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comments2.xml" ContentType="application/vnd.openxmlformats-officedocument.spreadsheetml.comments+xml"/>
  <Override PartName="/xl/tables/table3.xml" ContentType="application/vnd.openxmlformats-officedocument.spreadsheetml.table+xml"/>
  <Override PartName="/xl/tables/table4.xml" ContentType="application/vnd.openxmlformats-officedocument.spreadsheetml.table+xml"/>
  <Override PartName="/xl/queryTables/queryTable1.xml" ContentType="application/vnd.openxmlformats-officedocument.spreadsheetml.queryTable+xml"/>
  <Override PartName="/xl/tables/table5.xml" ContentType="application/vnd.openxmlformats-officedocument.spreadsheetml.table+xml"/>
  <Override PartName="/xl/tables/table6.xml" ContentType="application/vnd.openxmlformats-officedocument.spreadsheetml.table+xml"/>
  <Override PartName="/xl/queryTables/queryTable2.xml" ContentType="application/vnd.openxmlformats-officedocument.spreadsheetml.queryTable+xml"/>
  <Override PartName="/xl/tables/table7.xml" ContentType="application/vnd.openxmlformats-officedocument.spreadsheetml.table+xml"/>
  <Override PartName="/xl/pivotTables/pivotTable1.xml" ContentType="application/vnd.openxmlformats-officedocument.spreadsheetml.pivotTable+xml"/>
  <Override PartName="/xl/tables/table8.xml" ContentType="application/vnd.openxmlformats-officedocument.spreadsheetml.table+xml"/>
  <Override PartName="/xl/queryTables/queryTable3.xml" ContentType="application/vnd.openxmlformats-officedocument.spreadsheetml.query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queryTables/queryTable4.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Lecheverri\Downloads\"/>
    </mc:Choice>
  </mc:AlternateContent>
  <bookViews>
    <workbookView xWindow="-105" yWindow="-105" windowWidth="23250" windowHeight="12450" tabRatio="601"/>
  </bookViews>
  <sheets>
    <sheet name="PAA 2025" sheetId="1" r:id="rId1"/>
    <sheet name="Contrato" sheetId="8" r:id="rId2"/>
    <sheet name="INCORPORACIONES" sheetId="16" state="hidden" r:id="rId3"/>
    <sheet name="DISPONIBILIDADES_2025" sheetId="40" state="hidden" r:id="rId4"/>
    <sheet name="SECOP_II" sheetId="25" state="hidden" r:id="rId5"/>
    <sheet name="COMPROMISOS_2025" sheetId="41" state="hidden" r:id="rId6"/>
    <sheet name="RUBROS" sheetId="36" state="hidden" r:id="rId7"/>
    <sheet name="Hoja1" sheetId="45" state="hidden" r:id="rId8"/>
    <sheet name="PROYECTOS" sheetId="3" state="hidden" r:id="rId9"/>
    <sheet name="Consulta1" sheetId="39" state="hidden" r:id="rId10"/>
    <sheet name="Corrección Contrato-cdp" sheetId="44" state="hidden" r:id="rId11"/>
    <sheet name="DEPENDECIA" sheetId="35" state="hidden" r:id="rId12"/>
    <sheet name="PERSONAL_ACTIVO_2025" sheetId="46" state="hidden" r:id="rId13"/>
  </sheets>
  <externalReferences>
    <externalReference r:id="rId14"/>
    <externalReference r:id="rId15"/>
    <externalReference r:id="rId16"/>
  </externalReferences>
  <definedNames>
    <definedName name="_xlnm._FilterDatabase" localSheetId="1" hidden="1">Contrato!$Z$81:$Z$81</definedName>
    <definedName name="_xlnm._FilterDatabase" localSheetId="0" hidden="1">'PAA 2025'!$A$5:$CF$5</definedName>
    <definedName name="_xlnm._FilterDatabase" localSheetId="8" hidden="1">PROYECTOS!$S$1:$W$229</definedName>
    <definedName name="_xlnm._FilterDatabase" localSheetId="4" hidden="1">SECOP_II!$A$1:$AC$1159</definedName>
    <definedName name="A">#REF!</definedName>
    <definedName name="APOYO">#REF!</definedName>
    <definedName name="Apoyo_científico_al_rendimiento_deportivo_y_la_actividad_física_en_el_departamento_de_Antioquia">#REF!</definedName>
    <definedName name="Apoyo_técnico_y_psicosocial_a_los_Deportistas_de_Antioquia">#REF!</definedName>
    <definedName name="_xlnm.Print_Area" localSheetId="1">Contrato!$B$12</definedName>
    <definedName name="_xlnm.Print_Area" localSheetId="0">'PAA 2025'!$J$98</definedName>
    <definedName name="B">#REF!</definedName>
    <definedName name="BASEDATOS">#REF!</definedName>
    <definedName name="cambiar">#REF!</definedName>
    <definedName name="camila">#REF!</definedName>
    <definedName name="CAPACITACION">#REF!</definedName>
    <definedName name="Capacitacion_para_el_sector_del_deporte_la_actividad_fisica_la_recreacion_y_la_educacion_fisica_de_Anti">#REF!</definedName>
    <definedName name="CAR">#REF!</definedName>
    <definedName name="Construcción_de_Centro_de_Alto_Rendimiento_en_Apartadó">#REF!</definedName>
    <definedName name="Construcción_de_Unidades_de_Vida_para_Antioquia_U.V.A">#REF!</definedName>
    <definedName name="Contratación">'[1]Tipo de Contratación'!$A$1:$E$1</definedName>
    <definedName name="CONTRATOS">#REF!</definedName>
    <definedName name="D">#REF!</definedName>
    <definedName name="DatosExternos_1" localSheetId="9" hidden="1">Consulta1!$A$1:$F$978</definedName>
    <definedName name="DatosExternos_2" localSheetId="3" hidden="1">DISPONIBILIDADES_2025!$A$1:$O$582</definedName>
    <definedName name="DatosExternos_2" localSheetId="12" hidden="1">PERSONAL_ACTIVO_2025!$A$1:$H$131</definedName>
    <definedName name="DatosExternos_3" localSheetId="5" hidden="1">COMPROMISOS_2025!$A$1:$S$3153</definedName>
    <definedName name="Desarrollo_del_potencial_deportivo_en_el_departamento_de_Antioquia">#REF!</definedName>
    <definedName name="E">#REF!</definedName>
    <definedName name="ESCUELAS">#REF!</definedName>
    <definedName name="Fortalecimiento_de_la_imagen_institucional_como_referente_social_para_el_departamento_de_Antioquia">#REF!</definedName>
    <definedName name="Fortalecimiento_de_las_escuelas_deportivas_en_los_municipios_del_departamento_de_Antioquia">#REF!</definedName>
    <definedName name="Fortalecimiento_de_los_Juegos_del_Sector_Educativo_en_Antioquia">#REF!</definedName>
    <definedName name="Fortalecimiento_de_los_juegos_del_sector_social_comunitario_en_los_municipios_del_departamento_de_Antioqu">#REF!</definedName>
    <definedName name="Fortalecimiento_de_los_Programas_Recreativos_en_los_Municipios_del_Departamento_de_Antioquia">#REF!</definedName>
    <definedName name="Fortalecimiento_del_deporte_formativo_en_los_municipios_del_departamento_de_Antioquia">#REF!</definedName>
    <definedName name="Fortalecimiento_del_observatorio_del_deporte_de_Antioquia">#REF!</definedName>
    <definedName name="Fortalecimiento_del_programa_de_altos_logros_y_liderazgo_deportivo_en_el_departamento_de_Antioquia">#REF!</definedName>
    <definedName name="Fortalecimiento_del_programa_por_su_salud_muévase_pues_en_los_municipio_del_departamento_de_Antioquia">#REF!</definedName>
    <definedName name="Funcionamiento">#REF!</definedName>
    <definedName name="G">#REF!</definedName>
    <definedName name="H">#REF!</definedName>
    <definedName name="I">#REF!</definedName>
    <definedName name="IMAGEN">#REF!</definedName>
    <definedName name="INFRAESTRUCTURA">#REF!</definedName>
    <definedName name="J">#REF!</definedName>
    <definedName name="jorge">#REF!</definedName>
    <definedName name="JUEGOS">#REF!</definedName>
    <definedName name="K">#REF!</definedName>
    <definedName name="L">#REF!</definedName>
    <definedName name="M">#REF!</definedName>
    <definedName name="MEDICO">#REF!</definedName>
    <definedName name="Mejoramiento_de_la_infraestructura_deportiva_y_recreativa_en_el_Departamento_de_Antioquia">#REF!</definedName>
    <definedName name="Mejoramiento_del_sistema_de_información_de_Indeportes_Antioquia">#REF!</definedName>
    <definedName name="N">#REF!</definedName>
    <definedName name="O">#REF!</definedName>
    <definedName name="OBSERVATORIO">#REF!</definedName>
    <definedName name="OLE_LINK1" localSheetId="1">Contrato!#REF!</definedName>
    <definedName name="P">#REF!</definedName>
    <definedName name="POTENCIAL">#REF!</definedName>
    <definedName name="Proeycto">#REF!</definedName>
    <definedName name="PROY">'PAA 2025'!#REF!</definedName>
    <definedName name="PROYEC">'PAA 2025'!#REF!</definedName>
    <definedName name="Proyecto">#REF!</definedName>
    <definedName name="PROYECTOS">[2]Hoja7!$E$2:$E$19</definedName>
    <definedName name="PROYECTOS1">'[3]PROYECTOS 2012 - 2015'!$E$2:$E$19</definedName>
    <definedName name="Q">#REF!</definedName>
    <definedName name="RECREACION">#REF!</definedName>
    <definedName name="SALUD">#REF!</definedName>
    <definedName name="SEDUCATIVO">#REF!</definedName>
    <definedName name="SISTEMAS">#REF!</definedName>
    <definedName name="SUPER">#REF!</definedName>
    <definedName name="UVAS">#REF!</definedName>
  </definedNames>
  <calcPr calcId="162913"/>
  <pivotCaches>
    <pivotCache cacheId="1"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R2" i="8" l="1"/>
  <c r="AR3" i="8"/>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R110" i="8"/>
  <c r="AR111" i="8"/>
  <c r="AR112" i="8"/>
  <c r="AR113" i="8"/>
  <c r="AR114" i="8"/>
  <c r="AR115" i="8"/>
  <c r="AR116" i="8"/>
  <c r="AR117" i="8"/>
  <c r="AR118" i="8"/>
  <c r="AR119" i="8"/>
  <c r="AR120" i="8"/>
  <c r="AR121" i="8"/>
  <c r="AR122" i="8"/>
  <c r="AR123" i="8"/>
  <c r="AR124" i="8"/>
  <c r="AR125" i="8"/>
  <c r="AR126" i="8"/>
  <c r="AR127" i="8"/>
  <c r="AR128" i="8"/>
  <c r="AR129" i="8"/>
  <c r="AR130" i="8"/>
  <c r="AR131" i="8"/>
  <c r="AR132" i="8"/>
  <c r="AR133" i="8"/>
  <c r="AR134" i="8"/>
  <c r="AR135" i="8"/>
  <c r="AR136" i="8"/>
  <c r="AR137" i="8"/>
  <c r="AR138" i="8"/>
  <c r="AR139" i="8"/>
  <c r="AR140" i="8"/>
  <c r="AR141" i="8"/>
  <c r="AR142" i="8"/>
  <c r="AR143" i="8"/>
  <c r="AR144" i="8"/>
  <c r="AR145" i="8"/>
  <c r="AR146" i="8"/>
  <c r="AR147" i="8"/>
  <c r="AR148" i="8"/>
  <c r="AR149" i="8"/>
  <c r="AR150" i="8"/>
  <c r="AR151" i="8"/>
  <c r="AR152" i="8"/>
  <c r="AR153" i="8"/>
  <c r="AR154" i="8"/>
  <c r="AR155" i="8"/>
  <c r="AR156" i="8"/>
  <c r="AR157" i="8"/>
  <c r="AR158" i="8"/>
  <c r="AR159" i="8"/>
  <c r="AR160" i="8"/>
  <c r="AR161" i="8"/>
  <c r="AR162" i="8"/>
  <c r="AR163" i="8"/>
  <c r="AR164" i="8"/>
  <c r="AR165" i="8"/>
  <c r="AR166" i="8"/>
  <c r="AR167" i="8"/>
  <c r="AR168" i="8"/>
  <c r="AR169" i="8"/>
  <c r="AR170" i="8"/>
  <c r="AR171" i="8"/>
  <c r="AR172" i="8"/>
  <c r="AR173" i="8"/>
  <c r="AR174" i="8"/>
  <c r="AR175" i="8"/>
  <c r="AR176" i="8"/>
  <c r="AR177" i="8"/>
  <c r="AR178" i="8"/>
  <c r="AR179" i="8"/>
  <c r="AR180" i="8"/>
  <c r="AR181" i="8"/>
  <c r="AR182" i="8"/>
  <c r="AR183" i="8"/>
  <c r="AR184" i="8"/>
  <c r="AR185" i="8"/>
  <c r="AR186" i="8"/>
  <c r="AR187" i="8"/>
  <c r="AR188" i="8"/>
  <c r="AR189" i="8"/>
  <c r="AR190" i="8"/>
  <c r="AR191" i="8"/>
  <c r="AR192" i="8"/>
  <c r="AR193" i="8"/>
  <c r="AR194" i="8"/>
  <c r="AR195" i="8"/>
  <c r="AR196" i="8"/>
  <c r="AR197" i="8"/>
  <c r="AR198" i="8"/>
  <c r="AR199" i="8"/>
  <c r="AR200" i="8"/>
  <c r="AR201" i="8"/>
  <c r="AR202" i="8"/>
  <c r="AR203" i="8"/>
  <c r="AR204" i="8"/>
  <c r="AR205" i="8"/>
  <c r="AR206" i="8"/>
  <c r="AR207" i="8"/>
  <c r="AR208" i="8"/>
  <c r="AR209" i="8"/>
  <c r="AR210" i="8"/>
  <c r="AR211" i="8"/>
  <c r="AR212" i="8"/>
  <c r="AR213" i="8"/>
  <c r="AR214" i="8"/>
  <c r="AR215" i="8"/>
  <c r="AR216" i="8"/>
  <c r="AR218" i="8"/>
  <c r="AR219" i="8"/>
  <c r="AR220" i="8"/>
  <c r="AR221" i="8"/>
  <c r="AR222" i="8"/>
  <c r="AR223" i="8"/>
  <c r="AR224" i="8"/>
  <c r="AR225" i="8"/>
  <c r="AR226" i="8"/>
  <c r="AR227" i="8"/>
  <c r="AR228" i="8"/>
  <c r="AR229" i="8"/>
  <c r="AR231" i="8"/>
  <c r="AR232" i="8"/>
  <c r="AR233" i="8"/>
  <c r="AR234" i="8"/>
  <c r="AR235" i="8"/>
  <c r="AR236" i="8"/>
  <c r="AR237" i="8"/>
  <c r="AR238" i="8"/>
  <c r="AR239" i="8"/>
  <c r="AR240" i="8"/>
  <c r="AR241" i="8"/>
  <c r="AR242" i="8"/>
  <c r="AR243" i="8"/>
  <c r="AR244" i="8"/>
  <c r="AR245" i="8"/>
  <c r="AR246" i="8"/>
  <c r="AR247" i="8"/>
  <c r="AR248" i="8"/>
  <c r="AR249" i="8"/>
  <c r="AR250" i="8"/>
  <c r="AR251" i="8"/>
  <c r="AR252" i="8"/>
  <c r="AR253" i="8"/>
  <c r="AR254" i="8"/>
  <c r="AR255" i="8"/>
  <c r="AR256" i="8"/>
  <c r="AR257" i="8"/>
  <c r="AR258" i="8"/>
  <c r="AR259" i="8"/>
  <c r="AR260" i="8"/>
  <c r="AR261" i="8"/>
  <c r="AR262" i="8"/>
  <c r="AR263" i="8"/>
  <c r="AR264" i="8"/>
  <c r="AR265" i="8"/>
  <c r="AR266" i="8"/>
  <c r="AR267" i="8"/>
  <c r="AR268" i="8"/>
  <c r="AR269" i="8"/>
  <c r="AR270" i="8"/>
  <c r="AR271" i="8"/>
  <c r="AR272" i="8"/>
  <c r="AR273" i="8"/>
  <c r="AR274" i="8"/>
  <c r="AR275" i="8"/>
  <c r="AR276" i="8"/>
  <c r="AR277" i="8"/>
  <c r="AR278" i="8"/>
  <c r="AR279" i="8"/>
  <c r="AR280" i="8"/>
  <c r="AR281" i="8"/>
  <c r="AR282" i="8"/>
  <c r="AR283" i="8"/>
  <c r="AR284" i="8"/>
  <c r="AR285" i="8"/>
  <c r="AR286" i="8"/>
  <c r="AR287" i="8"/>
  <c r="AR288" i="8"/>
  <c r="AR289" i="8"/>
  <c r="AR290" i="8"/>
  <c r="AR291" i="8"/>
  <c r="AR292" i="8"/>
  <c r="AR293" i="8"/>
  <c r="AR294" i="8"/>
  <c r="AR295" i="8"/>
  <c r="AR296" i="8"/>
  <c r="AR297" i="8"/>
  <c r="AR298" i="8"/>
  <c r="AR299" i="8"/>
  <c r="AR300" i="8"/>
  <c r="AR301" i="8"/>
  <c r="AR302" i="8"/>
  <c r="AR303" i="8"/>
  <c r="AR304" i="8"/>
  <c r="AR305" i="8"/>
  <c r="AR306" i="8"/>
  <c r="AR307" i="8"/>
  <c r="AR308" i="8"/>
  <c r="AR309" i="8"/>
  <c r="AR310" i="8"/>
  <c r="AR311" i="8"/>
  <c r="AR312" i="8"/>
  <c r="AR313" i="8"/>
  <c r="AR314" i="8"/>
  <c r="AR315" i="8"/>
  <c r="AR316" i="8"/>
  <c r="AR317" i="8"/>
  <c r="AR318" i="8"/>
  <c r="AR319" i="8"/>
  <c r="AR320" i="8"/>
  <c r="AR321" i="8"/>
  <c r="AR322" i="8"/>
  <c r="AR323" i="8"/>
  <c r="AR324" i="8"/>
  <c r="AR325" i="8"/>
  <c r="AR326" i="8"/>
  <c r="AR327" i="8"/>
  <c r="AR328" i="8"/>
  <c r="AR329" i="8"/>
  <c r="AR330" i="8"/>
  <c r="AR331" i="8"/>
  <c r="AR332" i="8"/>
  <c r="AR333" i="8"/>
  <c r="AR334" i="8"/>
  <c r="AR335" i="8"/>
  <c r="AR336" i="8"/>
  <c r="AR337" i="8"/>
  <c r="AR338" i="8"/>
  <c r="AR339" i="8"/>
  <c r="AR340" i="8"/>
  <c r="AR341" i="8"/>
  <c r="AR342" i="8"/>
  <c r="AR343" i="8"/>
  <c r="AR344" i="8"/>
  <c r="AR345" i="8"/>
  <c r="AR346" i="8"/>
  <c r="AR347" i="8"/>
  <c r="AR348" i="8"/>
  <c r="AR349" i="8"/>
  <c r="AR350" i="8"/>
  <c r="AR351" i="8"/>
  <c r="AR352" i="8"/>
  <c r="AR353" i="8"/>
  <c r="AR354" i="8"/>
  <c r="AR355" i="8"/>
  <c r="AR356" i="8"/>
  <c r="AR357" i="8"/>
  <c r="AR359" i="8"/>
  <c r="AR361" i="8"/>
  <c r="AR362" i="8"/>
  <c r="AR363" i="8"/>
  <c r="AR364" i="8"/>
  <c r="AR365" i="8"/>
  <c r="AR366" i="8"/>
  <c r="AR367" i="8"/>
  <c r="AR368" i="8"/>
  <c r="AR369" i="8"/>
  <c r="AR370" i="8"/>
  <c r="AR371" i="8"/>
  <c r="AR372" i="8"/>
  <c r="AR373" i="8"/>
  <c r="AR374" i="8"/>
  <c r="AR375" i="8"/>
  <c r="AR376" i="8"/>
  <c r="AR377" i="8"/>
  <c r="AR378" i="8"/>
  <c r="AR380" i="8"/>
  <c r="AR384" i="8"/>
  <c r="AR385" i="8"/>
  <c r="AR387" i="8"/>
  <c r="S398" i="8"/>
  <c r="AF398" i="8"/>
  <c r="AG398" i="8" s="1"/>
  <c r="S397" i="8"/>
  <c r="AF397" i="8"/>
  <c r="AG397" i="8" s="1"/>
  <c r="S396" i="8"/>
  <c r="S395" i="8"/>
  <c r="AF396" i="8"/>
  <c r="AG396" i="8" s="1"/>
  <c r="AF395" i="8"/>
  <c r="AG395" i="8" s="1"/>
  <c r="S394" i="8"/>
  <c r="AF394" i="8"/>
  <c r="AG394" i="8" s="1"/>
  <c r="S393" i="8"/>
  <c r="AF393" i="8"/>
  <c r="AG393" i="8" s="1"/>
  <c r="I186" i="1"/>
  <c r="AG185" i="1"/>
  <c r="R185" i="1"/>
  <c r="Q185" i="1"/>
  <c r="E185" i="1" s="1"/>
  <c r="F185" i="1" s="1"/>
  <c r="P185" i="1"/>
  <c r="O185" i="1"/>
  <c r="I748" i="1"/>
  <c r="AG747" i="1"/>
  <c r="R747" i="1"/>
  <c r="Q747" i="1"/>
  <c r="H747" i="1" s="1"/>
  <c r="P747" i="1"/>
  <c r="O747" i="1"/>
  <c r="AG758" i="1"/>
  <c r="R758" i="1"/>
  <c r="Q758" i="1"/>
  <c r="E758" i="1" s="1"/>
  <c r="F758" i="1" s="1"/>
  <c r="P758" i="1"/>
  <c r="O758" i="1"/>
  <c r="S392" i="8"/>
  <c r="S391" i="8"/>
  <c r="AF392" i="8"/>
  <c r="AG392" i="8" s="1"/>
  <c r="AF391" i="8"/>
  <c r="AG391" i="8" s="1"/>
  <c r="S390" i="8"/>
  <c r="AF390" i="8"/>
  <c r="AG390" i="8" s="1"/>
  <c r="S389" i="8"/>
  <c r="AF389" i="8"/>
  <c r="AG389" i="8" s="1"/>
  <c r="S388" i="8"/>
  <c r="AF388" i="8"/>
  <c r="AG388" i="8" s="1"/>
  <c r="S387" i="8"/>
  <c r="AF387" i="8"/>
  <c r="AG387" i="8" s="1"/>
  <c r="S386" i="8"/>
  <c r="AF386" i="8"/>
  <c r="AG386" i="8" s="1"/>
  <c r="S385" i="8"/>
  <c r="AF385" i="8"/>
  <c r="AG385" i="8" s="1"/>
  <c r="AG746" i="1"/>
  <c r="R746" i="1"/>
  <c r="Q746" i="1"/>
  <c r="E746" i="1" s="1"/>
  <c r="F746" i="1" s="1"/>
  <c r="P746" i="1"/>
  <c r="O746" i="1"/>
  <c r="AG563" i="1"/>
  <c r="R563" i="1"/>
  <c r="Q563" i="1"/>
  <c r="C563" i="1" s="1"/>
  <c r="D563" i="1" s="1"/>
  <c r="P563" i="1"/>
  <c r="O563" i="1"/>
  <c r="P246" i="1"/>
  <c r="S384" i="8"/>
  <c r="T2" i="41"/>
  <c r="T3" i="41"/>
  <c r="T4" i="41"/>
  <c r="T5" i="41"/>
  <c r="T6" i="41"/>
  <c r="T7" i="41"/>
  <c r="T8" i="41"/>
  <c r="T9" i="41"/>
  <c r="T10" i="41"/>
  <c r="T11" i="41"/>
  <c r="T12" i="41"/>
  <c r="T13" i="41"/>
  <c r="T14" i="41"/>
  <c r="T15" i="41"/>
  <c r="T16" i="41"/>
  <c r="T17" i="41"/>
  <c r="T18" i="41"/>
  <c r="T19" i="41"/>
  <c r="T20" i="41"/>
  <c r="T21" i="41"/>
  <c r="T22" i="41"/>
  <c r="T23" i="41"/>
  <c r="T24" i="41"/>
  <c r="T25" i="41"/>
  <c r="T26" i="41"/>
  <c r="T27" i="41"/>
  <c r="T28" i="41"/>
  <c r="T29" i="41"/>
  <c r="T30" i="41"/>
  <c r="T31" i="41"/>
  <c r="T32" i="41"/>
  <c r="T33" i="41"/>
  <c r="T34" i="41"/>
  <c r="T35" i="41"/>
  <c r="T36" i="41"/>
  <c r="T37" i="41"/>
  <c r="T38" i="41"/>
  <c r="T39" i="41"/>
  <c r="T40" i="41"/>
  <c r="T41" i="41"/>
  <c r="T42" i="41"/>
  <c r="T43" i="41"/>
  <c r="T44" i="41"/>
  <c r="T45" i="41"/>
  <c r="T46" i="41"/>
  <c r="T47" i="41"/>
  <c r="T48" i="41"/>
  <c r="T49" i="41"/>
  <c r="T50" i="41"/>
  <c r="T51" i="41"/>
  <c r="T52" i="41"/>
  <c r="T53" i="41"/>
  <c r="T54" i="41"/>
  <c r="T55" i="41"/>
  <c r="T56" i="41"/>
  <c r="T57" i="41"/>
  <c r="T58" i="41"/>
  <c r="T59" i="41"/>
  <c r="T60" i="41"/>
  <c r="T61" i="41"/>
  <c r="T62" i="41"/>
  <c r="T63" i="41"/>
  <c r="T64" i="41"/>
  <c r="T65" i="41"/>
  <c r="T66" i="41"/>
  <c r="T67" i="41"/>
  <c r="T68" i="41"/>
  <c r="T69" i="41"/>
  <c r="T70" i="41"/>
  <c r="T71" i="41"/>
  <c r="T72" i="41"/>
  <c r="T73" i="41"/>
  <c r="T74" i="41"/>
  <c r="T75" i="41"/>
  <c r="T76" i="41"/>
  <c r="T77" i="41"/>
  <c r="T78" i="41"/>
  <c r="T79" i="41"/>
  <c r="T80" i="41"/>
  <c r="T81" i="41"/>
  <c r="T82" i="41"/>
  <c r="T83" i="41"/>
  <c r="T84" i="41"/>
  <c r="T85" i="41"/>
  <c r="T86" i="41"/>
  <c r="T87" i="41"/>
  <c r="T88" i="41"/>
  <c r="T89" i="41"/>
  <c r="T90" i="41"/>
  <c r="T91" i="41"/>
  <c r="T92" i="41"/>
  <c r="T93" i="41"/>
  <c r="T94" i="41"/>
  <c r="T95" i="41"/>
  <c r="T96" i="41"/>
  <c r="T97" i="41"/>
  <c r="T98" i="41"/>
  <c r="T99" i="41"/>
  <c r="T100" i="41"/>
  <c r="T101" i="41"/>
  <c r="T102" i="41"/>
  <c r="T103" i="41"/>
  <c r="T104" i="41"/>
  <c r="T105" i="41"/>
  <c r="T106" i="41"/>
  <c r="T107" i="41"/>
  <c r="T108" i="41"/>
  <c r="T109" i="41"/>
  <c r="T110" i="41"/>
  <c r="T111" i="41"/>
  <c r="T112" i="41"/>
  <c r="T113" i="41"/>
  <c r="T114" i="41"/>
  <c r="T115" i="41"/>
  <c r="T116" i="41"/>
  <c r="T117" i="41"/>
  <c r="T118" i="41"/>
  <c r="T119" i="41"/>
  <c r="T120" i="41"/>
  <c r="T121" i="41"/>
  <c r="T122" i="41"/>
  <c r="T123" i="41"/>
  <c r="T124" i="41"/>
  <c r="T125" i="41"/>
  <c r="T126" i="41"/>
  <c r="T127" i="41"/>
  <c r="T128" i="41"/>
  <c r="T129" i="41"/>
  <c r="T130" i="41"/>
  <c r="T131" i="41"/>
  <c r="T132" i="41"/>
  <c r="T133" i="41"/>
  <c r="T134" i="41"/>
  <c r="T135" i="41"/>
  <c r="T136" i="41"/>
  <c r="T137" i="41"/>
  <c r="T138" i="41"/>
  <c r="T139" i="41"/>
  <c r="T140" i="41"/>
  <c r="T141" i="41"/>
  <c r="T142" i="41"/>
  <c r="T143" i="41"/>
  <c r="T144" i="41"/>
  <c r="T145" i="41"/>
  <c r="T146" i="41"/>
  <c r="T147" i="41"/>
  <c r="T148" i="41"/>
  <c r="T149" i="41"/>
  <c r="T150" i="41"/>
  <c r="T151" i="41"/>
  <c r="T152" i="41"/>
  <c r="T153" i="41"/>
  <c r="T154" i="41"/>
  <c r="T155" i="41"/>
  <c r="T156" i="41"/>
  <c r="T157" i="41"/>
  <c r="T158" i="41"/>
  <c r="T159" i="41"/>
  <c r="T160" i="41"/>
  <c r="T161" i="41"/>
  <c r="T162" i="41"/>
  <c r="T163" i="41"/>
  <c r="T164" i="41"/>
  <c r="T165" i="41"/>
  <c r="T166" i="41"/>
  <c r="T167" i="41"/>
  <c r="T168" i="41"/>
  <c r="T169" i="41"/>
  <c r="T170" i="41"/>
  <c r="T171" i="41"/>
  <c r="T172" i="41"/>
  <c r="T173" i="41"/>
  <c r="T174" i="41"/>
  <c r="T175" i="41"/>
  <c r="T176" i="41"/>
  <c r="T177" i="41"/>
  <c r="T178" i="41"/>
  <c r="T179" i="41"/>
  <c r="T180" i="41"/>
  <c r="T181" i="41"/>
  <c r="T182" i="41"/>
  <c r="T183" i="41"/>
  <c r="T184" i="41"/>
  <c r="T185" i="41"/>
  <c r="T186" i="41"/>
  <c r="T187" i="41"/>
  <c r="T188" i="41"/>
  <c r="T189" i="41"/>
  <c r="T190" i="41"/>
  <c r="T191" i="41"/>
  <c r="T192" i="41"/>
  <c r="T193" i="41"/>
  <c r="T194" i="41"/>
  <c r="T195" i="41"/>
  <c r="T196" i="41"/>
  <c r="T197" i="41"/>
  <c r="T198" i="41"/>
  <c r="T199" i="41"/>
  <c r="T200" i="41"/>
  <c r="T201" i="41"/>
  <c r="T202" i="41"/>
  <c r="T203" i="41"/>
  <c r="T204" i="41"/>
  <c r="T205" i="41"/>
  <c r="T206" i="41"/>
  <c r="T207" i="41"/>
  <c r="T208" i="41"/>
  <c r="T209" i="41"/>
  <c r="T210" i="41"/>
  <c r="T211" i="41"/>
  <c r="T212" i="41"/>
  <c r="T213" i="41"/>
  <c r="T214" i="41"/>
  <c r="T215" i="41"/>
  <c r="T216" i="41"/>
  <c r="T217" i="41"/>
  <c r="T218" i="41"/>
  <c r="T219" i="41"/>
  <c r="T220" i="41"/>
  <c r="T221" i="41"/>
  <c r="T222" i="41"/>
  <c r="T223" i="41"/>
  <c r="T224" i="41"/>
  <c r="T225" i="41"/>
  <c r="T226" i="41"/>
  <c r="T227" i="41"/>
  <c r="T228" i="41"/>
  <c r="T229" i="41"/>
  <c r="T230" i="41"/>
  <c r="T231" i="41"/>
  <c r="T232" i="41"/>
  <c r="T233" i="41"/>
  <c r="T234" i="41"/>
  <c r="T235" i="41"/>
  <c r="T236" i="41"/>
  <c r="T237" i="41"/>
  <c r="T238" i="41"/>
  <c r="T239" i="41"/>
  <c r="T240" i="41"/>
  <c r="T241" i="41"/>
  <c r="T242" i="41"/>
  <c r="T243" i="41"/>
  <c r="T244" i="41"/>
  <c r="T245" i="41"/>
  <c r="T246" i="41"/>
  <c r="T247" i="41"/>
  <c r="T248" i="41"/>
  <c r="T249" i="41"/>
  <c r="T250" i="41"/>
  <c r="T251" i="41"/>
  <c r="T252" i="41"/>
  <c r="T253" i="41"/>
  <c r="T254" i="41"/>
  <c r="T255" i="41"/>
  <c r="T256" i="41"/>
  <c r="T257" i="41"/>
  <c r="T258" i="41"/>
  <c r="T259" i="41"/>
  <c r="T260" i="41"/>
  <c r="T261" i="41"/>
  <c r="T262" i="41"/>
  <c r="T263" i="41"/>
  <c r="T264" i="41"/>
  <c r="T265" i="41"/>
  <c r="T266" i="41"/>
  <c r="T267" i="41"/>
  <c r="T268" i="41"/>
  <c r="T269" i="41"/>
  <c r="T270" i="41"/>
  <c r="T271" i="41"/>
  <c r="T272" i="41"/>
  <c r="T273" i="41"/>
  <c r="T274" i="41"/>
  <c r="T275" i="41"/>
  <c r="T276" i="41"/>
  <c r="T277" i="41"/>
  <c r="T278" i="41"/>
  <c r="T279" i="41"/>
  <c r="T280" i="41"/>
  <c r="T281" i="41"/>
  <c r="T282" i="41"/>
  <c r="T283" i="41"/>
  <c r="T284" i="41"/>
  <c r="T285" i="41"/>
  <c r="T286" i="41"/>
  <c r="T287" i="41"/>
  <c r="T288" i="41"/>
  <c r="T289" i="41"/>
  <c r="T290" i="41"/>
  <c r="T291" i="41"/>
  <c r="T292" i="41"/>
  <c r="T293" i="41"/>
  <c r="T294" i="41"/>
  <c r="T295" i="41"/>
  <c r="T296" i="41"/>
  <c r="T297" i="41"/>
  <c r="T298" i="41"/>
  <c r="T299" i="41"/>
  <c r="T300" i="41"/>
  <c r="T301" i="41"/>
  <c r="T302" i="41"/>
  <c r="T303" i="41"/>
  <c r="T304" i="41"/>
  <c r="T305" i="41"/>
  <c r="T306" i="41"/>
  <c r="T307" i="41"/>
  <c r="T308" i="41"/>
  <c r="T309" i="41"/>
  <c r="T310" i="41"/>
  <c r="T311" i="41"/>
  <c r="T312" i="41"/>
  <c r="T313" i="41"/>
  <c r="T314" i="41"/>
  <c r="T315" i="41"/>
  <c r="T316" i="41"/>
  <c r="T317" i="41"/>
  <c r="T318" i="41"/>
  <c r="T319" i="41"/>
  <c r="T320" i="41"/>
  <c r="T321" i="41"/>
  <c r="T322" i="41"/>
  <c r="T323" i="41"/>
  <c r="T324" i="41"/>
  <c r="T325" i="41"/>
  <c r="T326" i="41"/>
  <c r="T327" i="41"/>
  <c r="T328" i="41"/>
  <c r="T329" i="41"/>
  <c r="T330" i="41"/>
  <c r="T331" i="41"/>
  <c r="T332" i="41"/>
  <c r="T333" i="41"/>
  <c r="T334" i="41"/>
  <c r="T335" i="41"/>
  <c r="T336" i="41"/>
  <c r="T337" i="41"/>
  <c r="T338" i="41"/>
  <c r="T339" i="41"/>
  <c r="T340" i="41"/>
  <c r="T341" i="41"/>
  <c r="T342" i="41"/>
  <c r="T343" i="41"/>
  <c r="T344" i="41"/>
  <c r="T345" i="41"/>
  <c r="T346" i="41"/>
  <c r="T347" i="41"/>
  <c r="T348" i="41"/>
  <c r="T349" i="41"/>
  <c r="T350" i="41"/>
  <c r="T351" i="41"/>
  <c r="T352" i="41"/>
  <c r="T353" i="41"/>
  <c r="T354" i="41"/>
  <c r="T355" i="41"/>
  <c r="T356" i="41"/>
  <c r="T357" i="41"/>
  <c r="T358" i="41"/>
  <c r="T359" i="41"/>
  <c r="T360" i="41"/>
  <c r="T361" i="41"/>
  <c r="T362" i="41"/>
  <c r="T363" i="41"/>
  <c r="T364" i="41"/>
  <c r="T365" i="41"/>
  <c r="T366" i="41"/>
  <c r="T367" i="41"/>
  <c r="T368" i="41"/>
  <c r="T369" i="41"/>
  <c r="T370" i="41"/>
  <c r="T371" i="41"/>
  <c r="T372" i="41"/>
  <c r="T373" i="41"/>
  <c r="T374" i="41"/>
  <c r="T375" i="41"/>
  <c r="T376" i="41"/>
  <c r="T377" i="41"/>
  <c r="T378" i="41"/>
  <c r="T379" i="41"/>
  <c r="T380" i="41"/>
  <c r="T381" i="41"/>
  <c r="T382" i="41"/>
  <c r="T383" i="41"/>
  <c r="T384" i="41"/>
  <c r="T385" i="41"/>
  <c r="T386" i="41"/>
  <c r="T387" i="41"/>
  <c r="T388" i="41"/>
  <c r="T389" i="41"/>
  <c r="T390" i="41"/>
  <c r="T391" i="41"/>
  <c r="T392" i="41"/>
  <c r="T393" i="41"/>
  <c r="T394" i="41"/>
  <c r="T395" i="41"/>
  <c r="T396" i="41"/>
  <c r="T397" i="41"/>
  <c r="T398" i="41"/>
  <c r="T399" i="41"/>
  <c r="T400" i="41"/>
  <c r="T401" i="41"/>
  <c r="T402" i="41"/>
  <c r="T403" i="41"/>
  <c r="T404" i="41"/>
  <c r="T405" i="41"/>
  <c r="T406" i="41"/>
  <c r="T407" i="41"/>
  <c r="T408" i="41"/>
  <c r="T409" i="41"/>
  <c r="T410" i="41"/>
  <c r="T411" i="41"/>
  <c r="T412" i="41"/>
  <c r="T413" i="41"/>
  <c r="T414" i="41"/>
  <c r="T415" i="41"/>
  <c r="T416" i="41"/>
  <c r="T417" i="41"/>
  <c r="T418" i="41"/>
  <c r="T419" i="41"/>
  <c r="T420" i="41"/>
  <c r="T421" i="41"/>
  <c r="T422" i="41"/>
  <c r="T423" i="41"/>
  <c r="T424" i="41"/>
  <c r="T425" i="41"/>
  <c r="T426" i="41"/>
  <c r="T427" i="41"/>
  <c r="T428" i="41"/>
  <c r="T429" i="41"/>
  <c r="T430" i="41"/>
  <c r="T431" i="41"/>
  <c r="T432" i="41"/>
  <c r="T433" i="41"/>
  <c r="T434" i="41"/>
  <c r="T435" i="41"/>
  <c r="T436" i="41"/>
  <c r="T437" i="41"/>
  <c r="T438" i="41"/>
  <c r="T439" i="41"/>
  <c r="T440" i="41"/>
  <c r="T441" i="41"/>
  <c r="T442" i="41"/>
  <c r="T443" i="41"/>
  <c r="T444" i="41"/>
  <c r="T445" i="41"/>
  <c r="T446" i="41"/>
  <c r="T447" i="41"/>
  <c r="T448" i="41"/>
  <c r="T449" i="41"/>
  <c r="T450" i="41"/>
  <c r="T451" i="41"/>
  <c r="T452" i="41"/>
  <c r="T453" i="41"/>
  <c r="T454" i="41"/>
  <c r="T455" i="41"/>
  <c r="T456" i="41"/>
  <c r="T457" i="41"/>
  <c r="T458" i="41"/>
  <c r="T459" i="41"/>
  <c r="T460" i="41"/>
  <c r="T461" i="41"/>
  <c r="T462" i="41"/>
  <c r="T463" i="41"/>
  <c r="T464" i="41"/>
  <c r="T465" i="41"/>
  <c r="T466" i="41"/>
  <c r="T467" i="41"/>
  <c r="T468" i="41"/>
  <c r="T469" i="41"/>
  <c r="T470" i="41"/>
  <c r="T471" i="41"/>
  <c r="T472" i="41"/>
  <c r="T473" i="41"/>
  <c r="T474" i="41"/>
  <c r="T475" i="41"/>
  <c r="T476" i="41"/>
  <c r="T477" i="41"/>
  <c r="T478" i="41"/>
  <c r="T479" i="41"/>
  <c r="T480" i="41"/>
  <c r="T481" i="41"/>
  <c r="T482" i="41"/>
  <c r="T483" i="41"/>
  <c r="T484" i="41"/>
  <c r="T485" i="41"/>
  <c r="T486" i="41"/>
  <c r="T487" i="41"/>
  <c r="T488" i="41"/>
  <c r="T489" i="41"/>
  <c r="T490" i="41"/>
  <c r="T491" i="41"/>
  <c r="T492" i="41"/>
  <c r="T493" i="41"/>
  <c r="T494" i="41"/>
  <c r="T495" i="41"/>
  <c r="T496" i="41"/>
  <c r="T497" i="41"/>
  <c r="T498" i="41"/>
  <c r="T499" i="41"/>
  <c r="T500" i="41"/>
  <c r="T501" i="41"/>
  <c r="T502" i="41"/>
  <c r="T503" i="41"/>
  <c r="T504" i="41"/>
  <c r="T505" i="41"/>
  <c r="T506" i="41"/>
  <c r="T507" i="41"/>
  <c r="T508" i="41"/>
  <c r="T509" i="41"/>
  <c r="T510" i="41"/>
  <c r="T511" i="41"/>
  <c r="T512" i="41"/>
  <c r="T513" i="41"/>
  <c r="T514" i="41"/>
  <c r="T515" i="41"/>
  <c r="T516" i="41"/>
  <c r="T517" i="41"/>
  <c r="T518" i="41"/>
  <c r="T519" i="41"/>
  <c r="T520" i="41"/>
  <c r="T521" i="41"/>
  <c r="T522" i="41"/>
  <c r="T523" i="41"/>
  <c r="T524" i="41"/>
  <c r="T525" i="41"/>
  <c r="T526" i="41"/>
  <c r="T527" i="41"/>
  <c r="T528" i="41"/>
  <c r="T529" i="41"/>
  <c r="T530" i="41"/>
  <c r="T531" i="41"/>
  <c r="T532" i="41"/>
  <c r="T533" i="41"/>
  <c r="T534" i="41"/>
  <c r="T535" i="41"/>
  <c r="T536" i="41"/>
  <c r="T537" i="41"/>
  <c r="T538" i="41"/>
  <c r="T539" i="41"/>
  <c r="T540" i="41"/>
  <c r="T541" i="41"/>
  <c r="T542" i="41"/>
  <c r="T543" i="41"/>
  <c r="T544" i="41"/>
  <c r="T545" i="41"/>
  <c r="T546" i="41"/>
  <c r="T547" i="41"/>
  <c r="T548" i="41"/>
  <c r="T549" i="41"/>
  <c r="T550" i="41"/>
  <c r="T551" i="41"/>
  <c r="T552" i="41"/>
  <c r="T553" i="41"/>
  <c r="T554" i="41"/>
  <c r="T555" i="41"/>
  <c r="T556" i="41"/>
  <c r="T557" i="41"/>
  <c r="T558" i="41"/>
  <c r="T559" i="41"/>
  <c r="T560" i="41"/>
  <c r="T561" i="41"/>
  <c r="T562" i="41"/>
  <c r="T563" i="41"/>
  <c r="T564" i="41"/>
  <c r="T565" i="41"/>
  <c r="T566" i="41"/>
  <c r="T567" i="41"/>
  <c r="T568" i="41"/>
  <c r="T569" i="41"/>
  <c r="T570" i="41"/>
  <c r="T571" i="41"/>
  <c r="T572" i="41"/>
  <c r="T573" i="41"/>
  <c r="T574" i="41"/>
  <c r="T575" i="41"/>
  <c r="T576" i="41"/>
  <c r="T577" i="41"/>
  <c r="T578" i="41"/>
  <c r="T579" i="41"/>
  <c r="T580" i="41"/>
  <c r="T581" i="41"/>
  <c r="T582" i="41"/>
  <c r="T583" i="41"/>
  <c r="T584" i="41"/>
  <c r="T585" i="41"/>
  <c r="T586" i="41"/>
  <c r="T587" i="41"/>
  <c r="T588" i="41"/>
  <c r="T589" i="41"/>
  <c r="T590" i="41"/>
  <c r="T591" i="41"/>
  <c r="T592" i="41"/>
  <c r="T593" i="41"/>
  <c r="T594" i="41"/>
  <c r="T595" i="41"/>
  <c r="T596" i="41"/>
  <c r="T597" i="41"/>
  <c r="T598" i="41"/>
  <c r="T599" i="41"/>
  <c r="T600" i="41"/>
  <c r="T601" i="41"/>
  <c r="T602" i="41"/>
  <c r="T603" i="41"/>
  <c r="T604" i="41"/>
  <c r="T605" i="41"/>
  <c r="T606" i="41"/>
  <c r="T607" i="41"/>
  <c r="T608" i="41"/>
  <c r="T609" i="41"/>
  <c r="T610" i="41"/>
  <c r="T611" i="41"/>
  <c r="T612" i="41"/>
  <c r="T613" i="41"/>
  <c r="T614" i="41"/>
  <c r="T615" i="41"/>
  <c r="T616" i="41"/>
  <c r="T617" i="41"/>
  <c r="T618" i="41"/>
  <c r="T619" i="41"/>
  <c r="T620" i="41"/>
  <c r="T621" i="41"/>
  <c r="T622" i="41"/>
  <c r="T623" i="41"/>
  <c r="T624" i="41"/>
  <c r="T625" i="41"/>
  <c r="T626" i="41"/>
  <c r="T627" i="41"/>
  <c r="T628" i="41"/>
  <c r="T629" i="41"/>
  <c r="T630" i="41"/>
  <c r="T631" i="41"/>
  <c r="T632" i="41"/>
  <c r="T633" i="41"/>
  <c r="T634" i="41"/>
  <c r="T635" i="41"/>
  <c r="T636" i="41"/>
  <c r="T637" i="41"/>
  <c r="T638" i="41"/>
  <c r="T639" i="41"/>
  <c r="T640" i="41"/>
  <c r="T641" i="41"/>
  <c r="T642" i="41"/>
  <c r="T643" i="41"/>
  <c r="T644" i="41"/>
  <c r="T645" i="41"/>
  <c r="T646" i="41"/>
  <c r="T647" i="41"/>
  <c r="T648" i="41"/>
  <c r="T649" i="41"/>
  <c r="T650" i="41"/>
  <c r="T651" i="41"/>
  <c r="T652" i="41"/>
  <c r="T653" i="41"/>
  <c r="T654" i="41"/>
  <c r="T655" i="41"/>
  <c r="T656" i="41"/>
  <c r="T657" i="41"/>
  <c r="T658" i="41"/>
  <c r="T659" i="41"/>
  <c r="T660" i="41"/>
  <c r="T661" i="41"/>
  <c r="T662" i="41"/>
  <c r="T663" i="41"/>
  <c r="T664" i="41"/>
  <c r="T665" i="41"/>
  <c r="T666" i="41"/>
  <c r="T667" i="41"/>
  <c r="T668" i="41"/>
  <c r="T669" i="41"/>
  <c r="T670" i="41"/>
  <c r="T671" i="41"/>
  <c r="T672" i="41"/>
  <c r="T673" i="41"/>
  <c r="T674" i="41"/>
  <c r="T675" i="41"/>
  <c r="T676" i="41"/>
  <c r="T677" i="41"/>
  <c r="T678" i="41"/>
  <c r="T679" i="41"/>
  <c r="T680" i="41"/>
  <c r="T681" i="41"/>
  <c r="T682" i="41"/>
  <c r="T683" i="41"/>
  <c r="T684" i="41"/>
  <c r="T685" i="41"/>
  <c r="T686" i="41"/>
  <c r="T687" i="41"/>
  <c r="T688" i="41"/>
  <c r="T689" i="41"/>
  <c r="T690" i="41"/>
  <c r="T691" i="41"/>
  <c r="T692" i="41"/>
  <c r="T693" i="41"/>
  <c r="T694" i="41"/>
  <c r="T695" i="41"/>
  <c r="T696" i="41"/>
  <c r="T697" i="41"/>
  <c r="T698" i="41"/>
  <c r="T699" i="41"/>
  <c r="T700" i="41"/>
  <c r="T701" i="41"/>
  <c r="T702" i="41"/>
  <c r="T703" i="41"/>
  <c r="T704" i="41"/>
  <c r="T705" i="41"/>
  <c r="T706" i="41"/>
  <c r="T707" i="41"/>
  <c r="T708" i="41"/>
  <c r="T709" i="41"/>
  <c r="T710" i="41"/>
  <c r="T711" i="41"/>
  <c r="T712" i="41"/>
  <c r="T713" i="41"/>
  <c r="T714" i="41"/>
  <c r="T715" i="41"/>
  <c r="T716" i="41"/>
  <c r="T717" i="41"/>
  <c r="T718" i="41"/>
  <c r="T719" i="41"/>
  <c r="T720" i="41"/>
  <c r="T721" i="41"/>
  <c r="T722" i="41"/>
  <c r="T723" i="41"/>
  <c r="T724" i="41"/>
  <c r="T725" i="41"/>
  <c r="T726" i="41"/>
  <c r="T727" i="41"/>
  <c r="T728" i="41"/>
  <c r="T729" i="41"/>
  <c r="T730" i="41"/>
  <c r="T731" i="41"/>
  <c r="T732" i="41"/>
  <c r="T733" i="41"/>
  <c r="T734" i="41"/>
  <c r="T735" i="41"/>
  <c r="T736" i="41"/>
  <c r="T737" i="41"/>
  <c r="T738" i="41"/>
  <c r="T739" i="41"/>
  <c r="T740" i="41"/>
  <c r="T741" i="41"/>
  <c r="T742" i="41"/>
  <c r="T743" i="41"/>
  <c r="T744" i="41"/>
  <c r="T745" i="41"/>
  <c r="T746" i="41"/>
  <c r="T747" i="41"/>
  <c r="T748" i="41"/>
  <c r="T749" i="41"/>
  <c r="T750" i="41"/>
  <c r="T751" i="41"/>
  <c r="T752" i="41"/>
  <c r="T753" i="41"/>
  <c r="T754" i="41"/>
  <c r="T755" i="41"/>
  <c r="T756" i="41"/>
  <c r="T757" i="41"/>
  <c r="T758" i="41"/>
  <c r="T759" i="41"/>
  <c r="T760" i="41"/>
  <c r="T761" i="41"/>
  <c r="T762" i="41"/>
  <c r="T763" i="41"/>
  <c r="T764" i="41"/>
  <c r="T765" i="41"/>
  <c r="T766" i="41"/>
  <c r="T767" i="41"/>
  <c r="T768" i="41"/>
  <c r="T769" i="41"/>
  <c r="T770" i="41"/>
  <c r="T771" i="41"/>
  <c r="T772" i="41"/>
  <c r="T773" i="41"/>
  <c r="T774" i="41"/>
  <c r="T775" i="41"/>
  <c r="T776" i="41"/>
  <c r="T777" i="41"/>
  <c r="T778" i="41"/>
  <c r="T779" i="41"/>
  <c r="T780" i="41"/>
  <c r="T781" i="41"/>
  <c r="T782" i="41"/>
  <c r="T783" i="41"/>
  <c r="T784" i="41"/>
  <c r="T785" i="41"/>
  <c r="T786" i="41"/>
  <c r="T787" i="41"/>
  <c r="T788" i="41"/>
  <c r="T789" i="41"/>
  <c r="T790" i="41"/>
  <c r="T791" i="41"/>
  <c r="T792" i="41"/>
  <c r="T793" i="41"/>
  <c r="T794" i="41"/>
  <c r="T795" i="41"/>
  <c r="T796" i="41"/>
  <c r="T797" i="41"/>
  <c r="T798" i="41"/>
  <c r="T799" i="41"/>
  <c r="T800" i="41"/>
  <c r="T801" i="41"/>
  <c r="T802" i="41"/>
  <c r="T803" i="41"/>
  <c r="T804" i="41"/>
  <c r="T805" i="41"/>
  <c r="T806" i="41"/>
  <c r="T807" i="41"/>
  <c r="T808" i="41"/>
  <c r="T809" i="41"/>
  <c r="T810" i="41"/>
  <c r="T811" i="41"/>
  <c r="T812" i="41"/>
  <c r="T813" i="41"/>
  <c r="T814" i="41"/>
  <c r="T815" i="41"/>
  <c r="T816" i="41"/>
  <c r="T817" i="41"/>
  <c r="T818" i="41"/>
  <c r="T819" i="41"/>
  <c r="T820" i="41"/>
  <c r="T821" i="41"/>
  <c r="T822" i="41"/>
  <c r="T823" i="41"/>
  <c r="T824" i="41"/>
  <c r="T825" i="41"/>
  <c r="T826" i="41"/>
  <c r="T827" i="41"/>
  <c r="T828" i="41"/>
  <c r="T829" i="41"/>
  <c r="T830" i="41"/>
  <c r="T831" i="41"/>
  <c r="T832" i="41"/>
  <c r="T833" i="41"/>
  <c r="T834" i="41"/>
  <c r="T835" i="41"/>
  <c r="T836" i="41"/>
  <c r="T837" i="41"/>
  <c r="T838" i="41"/>
  <c r="T839" i="41"/>
  <c r="T840" i="41"/>
  <c r="T841" i="41"/>
  <c r="T842" i="41"/>
  <c r="T843" i="41"/>
  <c r="T844" i="41"/>
  <c r="T845" i="41"/>
  <c r="T846" i="41"/>
  <c r="T847" i="41"/>
  <c r="T848" i="41"/>
  <c r="T849" i="41"/>
  <c r="T850" i="41"/>
  <c r="T851" i="41"/>
  <c r="T852" i="41"/>
  <c r="T853" i="41"/>
  <c r="T854" i="41"/>
  <c r="T855" i="41"/>
  <c r="T856" i="41"/>
  <c r="T857" i="41"/>
  <c r="T858" i="41"/>
  <c r="T859" i="41"/>
  <c r="T860" i="41"/>
  <c r="T861" i="41"/>
  <c r="T862" i="41"/>
  <c r="T863" i="41"/>
  <c r="T864" i="41"/>
  <c r="T865" i="41"/>
  <c r="T866" i="41"/>
  <c r="T867" i="41"/>
  <c r="T868" i="41"/>
  <c r="T869" i="41"/>
  <c r="T870" i="41"/>
  <c r="T871" i="41"/>
  <c r="T872" i="41"/>
  <c r="T873" i="41"/>
  <c r="T874" i="41"/>
  <c r="T875" i="41"/>
  <c r="T876" i="41"/>
  <c r="T877" i="41"/>
  <c r="T878" i="41"/>
  <c r="T879" i="41"/>
  <c r="T880" i="41"/>
  <c r="T881" i="41"/>
  <c r="T882" i="41"/>
  <c r="T883" i="41"/>
  <c r="T884" i="41"/>
  <c r="T885" i="41"/>
  <c r="T886" i="41"/>
  <c r="T887" i="41"/>
  <c r="T888" i="41"/>
  <c r="T889" i="41"/>
  <c r="T890" i="41"/>
  <c r="T891" i="41"/>
  <c r="T892" i="41"/>
  <c r="T893" i="41"/>
  <c r="T894" i="41"/>
  <c r="T895" i="41"/>
  <c r="T896" i="41"/>
  <c r="T897" i="41"/>
  <c r="T898" i="41"/>
  <c r="T899" i="41"/>
  <c r="T900" i="41"/>
  <c r="T901" i="41"/>
  <c r="T902" i="41"/>
  <c r="T903" i="41"/>
  <c r="T904" i="41"/>
  <c r="T905" i="41"/>
  <c r="T906" i="41"/>
  <c r="T907" i="41"/>
  <c r="T908" i="41"/>
  <c r="T909" i="41"/>
  <c r="T910" i="41"/>
  <c r="T911" i="41"/>
  <c r="T912" i="41"/>
  <c r="T913" i="41"/>
  <c r="T914" i="41"/>
  <c r="T915" i="41"/>
  <c r="T916" i="41"/>
  <c r="T917" i="41"/>
  <c r="T918" i="41"/>
  <c r="T919" i="41"/>
  <c r="T920" i="41"/>
  <c r="T921" i="41"/>
  <c r="T922" i="41"/>
  <c r="T923" i="41"/>
  <c r="T924" i="41"/>
  <c r="T925" i="41"/>
  <c r="T926" i="41"/>
  <c r="T927" i="41"/>
  <c r="T928" i="41"/>
  <c r="T929" i="41"/>
  <c r="T930" i="41"/>
  <c r="T931" i="41"/>
  <c r="T932" i="41"/>
  <c r="T933" i="41"/>
  <c r="T934" i="41"/>
  <c r="T935" i="41"/>
  <c r="T936" i="41"/>
  <c r="T937" i="41"/>
  <c r="T938" i="41"/>
  <c r="T939" i="41"/>
  <c r="T940" i="41"/>
  <c r="T941" i="41"/>
  <c r="T942" i="41"/>
  <c r="T943" i="41"/>
  <c r="T944" i="41"/>
  <c r="T945" i="41"/>
  <c r="T946" i="41"/>
  <c r="T947" i="41"/>
  <c r="T948" i="41"/>
  <c r="T949" i="41"/>
  <c r="T950" i="41"/>
  <c r="T951" i="41"/>
  <c r="T952" i="41"/>
  <c r="T953" i="41"/>
  <c r="T954" i="41"/>
  <c r="T955" i="41"/>
  <c r="T956" i="41"/>
  <c r="T957" i="41"/>
  <c r="T958" i="41"/>
  <c r="T959" i="41"/>
  <c r="T960" i="41"/>
  <c r="T961" i="41"/>
  <c r="T962" i="41"/>
  <c r="T963" i="41"/>
  <c r="T964" i="41"/>
  <c r="T965" i="41"/>
  <c r="T966" i="41"/>
  <c r="T967" i="41"/>
  <c r="T968" i="41"/>
  <c r="T969" i="41"/>
  <c r="T970" i="41"/>
  <c r="T971" i="41"/>
  <c r="T972" i="41"/>
  <c r="T973" i="41"/>
  <c r="T974" i="41"/>
  <c r="T975" i="41"/>
  <c r="T976" i="41"/>
  <c r="T977" i="41"/>
  <c r="T978" i="41"/>
  <c r="T979" i="41"/>
  <c r="T980" i="41"/>
  <c r="T981" i="41"/>
  <c r="T982" i="41"/>
  <c r="T983" i="41"/>
  <c r="T984" i="41"/>
  <c r="T985" i="41"/>
  <c r="T986" i="41"/>
  <c r="T987" i="41"/>
  <c r="T988" i="41"/>
  <c r="T989" i="41"/>
  <c r="T990" i="41"/>
  <c r="T991" i="41"/>
  <c r="T992" i="41"/>
  <c r="T993" i="41"/>
  <c r="T994" i="41"/>
  <c r="T995" i="41"/>
  <c r="T996" i="41"/>
  <c r="T997" i="41"/>
  <c r="T998" i="41"/>
  <c r="T999" i="41"/>
  <c r="T1000" i="41"/>
  <c r="T1001" i="41"/>
  <c r="T1002" i="41"/>
  <c r="T1003" i="41"/>
  <c r="T1004" i="41"/>
  <c r="T1005" i="41"/>
  <c r="T1006" i="41"/>
  <c r="T1007" i="41"/>
  <c r="T1008" i="41"/>
  <c r="T1009" i="41"/>
  <c r="T1010" i="41"/>
  <c r="T1011" i="41"/>
  <c r="T1012" i="41"/>
  <c r="T1013" i="41"/>
  <c r="T1014" i="41"/>
  <c r="T1015" i="41"/>
  <c r="T1016" i="41"/>
  <c r="T1017" i="41"/>
  <c r="T1018" i="41"/>
  <c r="T1019" i="41"/>
  <c r="T1020" i="41"/>
  <c r="T1021" i="41"/>
  <c r="T1022" i="41"/>
  <c r="T1023" i="41"/>
  <c r="T1024" i="41"/>
  <c r="T1025" i="41"/>
  <c r="T1026" i="41"/>
  <c r="T1027" i="41"/>
  <c r="T1028" i="41"/>
  <c r="T1029" i="41"/>
  <c r="T1030" i="41"/>
  <c r="T1031" i="41"/>
  <c r="T1032" i="41"/>
  <c r="T1033" i="41"/>
  <c r="T1034" i="41"/>
  <c r="T1035" i="41"/>
  <c r="T1036" i="41"/>
  <c r="T1037" i="41"/>
  <c r="T1038" i="41"/>
  <c r="T1039" i="41"/>
  <c r="T1040" i="41"/>
  <c r="T1041" i="41"/>
  <c r="T1042" i="41"/>
  <c r="T1043" i="41"/>
  <c r="T1044" i="41"/>
  <c r="T1045" i="41"/>
  <c r="T1046" i="41"/>
  <c r="T1047" i="41"/>
  <c r="T1048" i="41"/>
  <c r="T1049" i="41"/>
  <c r="T1050" i="41"/>
  <c r="T1051" i="41"/>
  <c r="T1052" i="41"/>
  <c r="T1053" i="41"/>
  <c r="T1054" i="41"/>
  <c r="T1055" i="41"/>
  <c r="T1056" i="41"/>
  <c r="T1057" i="41"/>
  <c r="T1058" i="41"/>
  <c r="T1059" i="41"/>
  <c r="T1060" i="41"/>
  <c r="T1061" i="41"/>
  <c r="T1062" i="41"/>
  <c r="T1063" i="41"/>
  <c r="T1064" i="41"/>
  <c r="T1065" i="41"/>
  <c r="T1066" i="41"/>
  <c r="T1067" i="41"/>
  <c r="T1068" i="41"/>
  <c r="T1069" i="41"/>
  <c r="T1070" i="41"/>
  <c r="T1071" i="41"/>
  <c r="T1072" i="41"/>
  <c r="T1073" i="41"/>
  <c r="T1074" i="41"/>
  <c r="T1075" i="41"/>
  <c r="T1076" i="41"/>
  <c r="T1077" i="41"/>
  <c r="T1078" i="41"/>
  <c r="T1079" i="41"/>
  <c r="T1080" i="41"/>
  <c r="T1081" i="41"/>
  <c r="T1082" i="41"/>
  <c r="T1083" i="41"/>
  <c r="T1084" i="41"/>
  <c r="T1085" i="41"/>
  <c r="T1086" i="41"/>
  <c r="T1087" i="41"/>
  <c r="T1088" i="41"/>
  <c r="T1089" i="41"/>
  <c r="T1090" i="41"/>
  <c r="T1091" i="41"/>
  <c r="T1092" i="41"/>
  <c r="T1093" i="41"/>
  <c r="T1094" i="41"/>
  <c r="T1095" i="41"/>
  <c r="T1096" i="41"/>
  <c r="T1097" i="41"/>
  <c r="T1098" i="41"/>
  <c r="T1099" i="41"/>
  <c r="T1100" i="41"/>
  <c r="T1101" i="41"/>
  <c r="T1102" i="41"/>
  <c r="T1103" i="41"/>
  <c r="T1104" i="41"/>
  <c r="T1105" i="41"/>
  <c r="T1106" i="41"/>
  <c r="T1107" i="41"/>
  <c r="T1108" i="41"/>
  <c r="T1109" i="41"/>
  <c r="T1110" i="41"/>
  <c r="T1111" i="41"/>
  <c r="T1112" i="41"/>
  <c r="T1113" i="41"/>
  <c r="T1114" i="41"/>
  <c r="T1115" i="41"/>
  <c r="T1116" i="41"/>
  <c r="T1117" i="41"/>
  <c r="T1118" i="41"/>
  <c r="T1119" i="41"/>
  <c r="T1120" i="41"/>
  <c r="T1121" i="41"/>
  <c r="T1122" i="41"/>
  <c r="T1123" i="41"/>
  <c r="T1124" i="41"/>
  <c r="T1125" i="41"/>
  <c r="T1126" i="41"/>
  <c r="T1127" i="41"/>
  <c r="T1128" i="41"/>
  <c r="T1129" i="41"/>
  <c r="T1130" i="41"/>
  <c r="T1131" i="41"/>
  <c r="T1132" i="41"/>
  <c r="T1133" i="41"/>
  <c r="T1134" i="41"/>
  <c r="T1135" i="41"/>
  <c r="T1136" i="41"/>
  <c r="T1137" i="41"/>
  <c r="T1138" i="41"/>
  <c r="T1139" i="41"/>
  <c r="T1140" i="41"/>
  <c r="T1141" i="41"/>
  <c r="T1142" i="41"/>
  <c r="T1143" i="41"/>
  <c r="T1144" i="41"/>
  <c r="T1145" i="41"/>
  <c r="T1146" i="41"/>
  <c r="T1147" i="41"/>
  <c r="T1148" i="41"/>
  <c r="T1149" i="41"/>
  <c r="T1150" i="41"/>
  <c r="T1151" i="41"/>
  <c r="T1152" i="41"/>
  <c r="T1153" i="41"/>
  <c r="T1154" i="41"/>
  <c r="T1155" i="41"/>
  <c r="T1156" i="41"/>
  <c r="T1157" i="41"/>
  <c r="T1158" i="41"/>
  <c r="T1159" i="41"/>
  <c r="T1160" i="41"/>
  <c r="T1161" i="41"/>
  <c r="T1162" i="41"/>
  <c r="T1163" i="41"/>
  <c r="T1164" i="41"/>
  <c r="T1165" i="41"/>
  <c r="T1166" i="41"/>
  <c r="T1167" i="41"/>
  <c r="T1168" i="41"/>
  <c r="T1169" i="41"/>
  <c r="T1170" i="41"/>
  <c r="T1171" i="41"/>
  <c r="T1172" i="41"/>
  <c r="T1173" i="41"/>
  <c r="T1174" i="41"/>
  <c r="T1175" i="41"/>
  <c r="T1176" i="41"/>
  <c r="T1177" i="41"/>
  <c r="T1178" i="41"/>
  <c r="T1179" i="41"/>
  <c r="T1180" i="41"/>
  <c r="T1181" i="41"/>
  <c r="T1182" i="41"/>
  <c r="T1183" i="41"/>
  <c r="T1184" i="41"/>
  <c r="T1185" i="41"/>
  <c r="T1186" i="41"/>
  <c r="T1187" i="41"/>
  <c r="T1188" i="41"/>
  <c r="T1189" i="41"/>
  <c r="T1190" i="41"/>
  <c r="T1191" i="41"/>
  <c r="T1192" i="41"/>
  <c r="T1193" i="41"/>
  <c r="T1194" i="41"/>
  <c r="T1195" i="41"/>
  <c r="T1196" i="41"/>
  <c r="T1197" i="41"/>
  <c r="T1198" i="41"/>
  <c r="T1199" i="41"/>
  <c r="T1200" i="41"/>
  <c r="T1201" i="41"/>
  <c r="T1202" i="41"/>
  <c r="T1203" i="41"/>
  <c r="T1204" i="41"/>
  <c r="T1205" i="41"/>
  <c r="T1206" i="41"/>
  <c r="T1207" i="41"/>
  <c r="T1208" i="41"/>
  <c r="T1209" i="41"/>
  <c r="T1210" i="41"/>
  <c r="T1211" i="41"/>
  <c r="T1212" i="41"/>
  <c r="T1213" i="41"/>
  <c r="T1214" i="41"/>
  <c r="T1215" i="41"/>
  <c r="T1216" i="41"/>
  <c r="T1217" i="41"/>
  <c r="T1218" i="41"/>
  <c r="T1219" i="41"/>
  <c r="T1220" i="41"/>
  <c r="T1221" i="41"/>
  <c r="T1222" i="41"/>
  <c r="T1223" i="41"/>
  <c r="T1224" i="41"/>
  <c r="T1225" i="41"/>
  <c r="T1226" i="41"/>
  <c r="T1227" i="41"/>
  <c r="T1228" i="41"/>
  <c r="T1229" i="41"/>
  <c r="T1230" i="41"/>
  <c r="T1231" i="41"/>
  <c r="T1232" i="41"/>
  <c r="T1233" i="41"/>
  <c r="T1234" i="41"/>
  <c r="T1235" i="41"/>
  <c r="T1236" i="41"/>
  <c r="T1237" i="41"/>
  <c r="T1238" i="41"/>
  <c r="T1239" i="41"/>
  <c r="T1240" i="41"/>
  <c r="T1241" i="41"/>
  <c r="T1242" i="41"/>
  <c r="T1243" i="41"/>
  <c r="T1244" i="41"/>
  <c r="T1245" i="41"/>
  <c r="T1246" i="41"/>
  <c r="T1247" i="41"/>
  <c r="T1248" i="41"/>
  <c r="T1249" i="41"/>
  <c r="T1250" i="41"/>
  <c r="T1251" i="41"/>
  <c r="T1252" i="41"/>
  <c r="T1253" i="41"/>
  <c r="T1254" i="41"/>
  <c r="T1255" i="41"/>
  <c r="T1256" i="41"/>
  <c r="T1257" i="41"/>
  <c r="T1258" i="41"/>
  <c r="T1259" i="41"/>
  <c r="T1260" i="41"/>
  <c r="T1261" i="41"/>
  <c r="T1262" i="41"/>
  <c r="T1263" i="41"/>
  <c r="T1264" i="41"/>
  <c r="T1265" i="41"/>
  <c r="T1266" i="41"/>
  <c r="T1267" i="41"/>
  <c r="T1268" i="41"/>
  <c r="T1269" i="41"/>
  <c r="T1270" i="41"/>
  <c r="T1271" i="41"/>
  <c r="T1272" i="41"/>
  <c r="T1273" i="41"/>
  <c r="T1274" i="41"/>
  <c r="T1275" i="41"/>
  <c r="T1276" i="41"/>
  <c r="T1277" i="41"/>
  <c r="T1278" i="41"/>
  <c r="T1279" i="41"/>
  <c r="T1280" i="41"/>
  <c r="T1281" i="41"/>
  <c r="T1282" i="41"/>
  <c r="T1283" i="41"/>
  <c r="T1284" i="41"/>
  <c r="T1285" i="41"/>
  <c r="T1286" i="41"/>
  <c r="T1287" i="41"/>
  <c r="T1288" i="41"/>
  <c r="T1289" i="41"/>
  <c r="T1290" i="41"/>
  <c r="T1291" i="41"/>
  <c r="T1292" i="41"/>
  <c r="T1293" i="41"/>
  <c r="T1294" i="41"/>
  <c r="T1295" i="41"/>
  <c r="T1296" i="41"/>
  <c r="T1297" i="41"/>
  <c r="T1298" i="41"/>
  <c r="T1299" i="41"/>
  <c r="T1300" i="41"/>
  <c r="T1301" i="41"/>
  <c r="T1302" i="41"/>
  <c r="T1303" i="41"/>
  <c r="T1304" i="41"/>
  <c r="T1305" i="41"/>
  <c r="T1306" i="41"/>
  <c r="T1307" i="41"/>
  <c r="T1308" i="41"/>
  <c r="T1309" i="41"/>
  <c r="T1310" i="41"/>
  <c r="T1311" i="41"/>
  <c r="T1312" i="41"/>
  <c r="T1313" i="41"/>
  <c r="T1314" i="41"/>
  <c r="T1315" i="41"/>
  <c r="T1316" i="41"/>
  <c r="T1317" i="41"/>
  <c r="T1318" i="41"/>
  <c r="T1319" i="41"/>
  <c r="T1320" i="41"/>
  <c r="T1321" i="41"/>
  <c r="T1322" i="41"/>
  <c r="T1323" i="41"/>
  <c r="T1324" i="41"/>
  <c r="T1325" i="41"/>
  <c r="T1326" i="41"/>
  <c r="T1327" i="41"/>
  <c r="T1328" i="41"/>
  <c r="T1329" i="41"/>
  <c r="T1330" i="41"/>
  <c r="T1331" i="41"/>
  <c r="T1332" i="41"/>
  <c r="T1333" i="41"/>
  <c r="T1334" i="41"/>
  <c r="T1335" i="41"/>
  <c r="T1336" i="41"/>
  <c r="T1337" i="41"/>
  <c r="T1338" i="41"/>
  <c r="T1339" i="41"/>
  <c r="T1340" i="41"/>
  <c r="T1341" i="41"/>
  <c r="T1342" i="41"/>
  <c r="T1343" i="41"/>
  <c r="T1344" i="41"/>
  <c r="T1345" i="41"/>
  <c r="T1346" i="41"/>
  <c r="T1347" i="41"/>
  <c r="T1348" i="41"/>
  <c r="T1349" i="41"/>
  <c r="T1350" i="41"/>
  <c r="T1351" i="41"/>
  <c r="T1352" i="41"/>
  <c r="T1353" i="41"/>
  <c r="T1354" i="41"/>
  <c r="T1355" i="41"/>
  <c r="T1356" i="41"/>
  <c r="T1357" i="41"/>
  <c r="T1358" i="41"/>
  <c r="T1359" i="41"/>
  <c r="T1360" i="41"/>
  <c r="T1361" i="41"/>
  <c r="T1362" i="41"/>
  <c r="T1363" i="41"/>
  <c r="T1364" i="41"/>
  <c r="T1365" i="41"/>
  <c r="T1366" i="41"/>
  <c r="T1367" i="41"/>
  <c r="T1368" i="41"/>
  <c r="T1369" i="41"/>
  <c r="T1370" i="41"/>
  <c r="T1371" i="41"/>
  <c r="T1372" i="41"/>
  <c r="T1373" i="41"/>
  <c r="T1374" i="41"/>
  <c r="T1375" i="41"/>
  <c r="T1376" i="41"/>
  <c r="T1377" i="41"/>
  <c r="T1378" i="41"/>
  <c r="T1379" i="41"/>
  <c r="T1380" i="41"/>
  <c r="T1381" i="41"/>
  <c r="T1382" i="41"/>
  <c r="T1383" i="41"/>
  <c r="T1384" i="41"/>
  <c r="T1385" i="41"/>
  <c r="T1386" i="41"/>
  <c r="T1387" i="41"/>
  <c r="T1388" i="41"/>
  <c r="T1389" i="41"/>
  <c r="T1390" i="41"/>
  <c r="T1391" i="41"/>
  <c r="T1392" i="41"/>
  <c r="T1393" i="41"/>
  <c r="T1394" i="41"/>
  <c r="T1395" i="41"/>
  <c r="T1396" i="41"/>
  <c r="T1397" i="41"/>
  <c r="T1398" i="41"/>
  <c r="T1399" i="41"/>
  <c r="T1400" i="41"/>
  <c r="T1401" i="41"/>
  <c r="T1402" i="41"/>
  <c r="T1403" i="41"/>
  <c r="T1404" i="41"/>
  <c r="T1405" i="41"/>
  <c r="T1406" i="41"/>
  <c r="T1407" i="41"/>
  <c r="T1408" i="41"/>
  <c r="T1409" i="41"/>
  <c r="T1410" i="41"/>
  <c r="T1411" i="41"/>
  <c r="T1412" i="41"/>
  <c r="T1413" i="41"/>
  <c r="T1414" i="41"/>
  <c r="T1415" i="41"/>
  <c r="T1416" i="41"/>
  <c r="T1417" i="41"/>
  <c r="T1418" i="41"/>
  <c r="T1419" i="41"/>
  <c r="T1420" i="41"/>
  <c r="T1421" i="41"/>
  <c r="T1422" i="41"/>
  <c r="T1423" i="41"/>
  <c r="T1424" i="41"/>
  <c r="T1425" i="41"/>
  <c r="T1426" i="41"/>
  <c r="T1427" i="41"/>
  <c r="T1428" i="41"/>
  <c r="T1429" i="41"/>
  <c r="T1430" i="41"/>
  <c r="T1431" i="41"/>
  <c r="T1432" i="41"/>
  <c r="T1433" i="41"/>
  <c r="T1434" i="41"/>
  <c r="T1435" i="41"/>
  <c r="T1436" i="41"/>
  <c r="T1437" i="41"/>
  <c r="T1438" i="41"/>
  <c r="T1439" i="41"/>
  <c r="T1440" i="41"/>
  <c r="T1441" i="41"/>
  <c r="T1442" i="41"/>
  <c r="T1443" i="41"/>
  <c r="T1444" i="41"/>
  <c r="T1445" i="41"/>
  <c r="T1446" i="41"/>
  <c r="T1447" i="41"/>
  <c r="T1448" i="41"/>
  <c r="T1449" i="41"/>
  <c r="T1450" i="41"/>
  <c r="T1451" i="41"/>
  <c r="T1452" i="41"/>
  <c r="T1453" i="41"/>
  <c r="T1454" i="41"/>
  <c r="T1455" i="41"/>
  <c r="T1456" i="41"/>
  <c r="T1457" i="41"/>
  <c r="T1458" i="41"/>
  <c r="T1459" i="41"/>
  <c r="T1460" i="41"/>
  <c r="T1461" i="41"/>
  <c r="T1462" i="41"/>
  <c r="T1463" i="41"/>
  <c r="T1464" i="41"/>
  <c r="T1465" i="41"/>
  <c r="T1466" i="41"/>
  <c r="T1467" i="41"/>
  <c r="T1468" i="41"/>
  <c r="T1469" i="41"/>
  <c r="T1470" i="41"/>
  <c r="T1471" i="41"/>
  <c r="T1472" i="41"/>
  <c r="T1473" i="41"/>
  <c r="T1474" i="41"/>
  <c r="T1475" i="41"/>
  <c r="T1476" i="41"/>
  <c r="T1477" i="41"/>
  <c r="T1478" i="41"/>
  <c r="T1479" i="41"/>
  <c r="T1480" i="41"/>
  <c r="T1481" i="41"/>
  <c r="T1482" i="41"/>
  <c r="T1483" i="41"/>
  <c r="T1484" i="41"/>
  <c r="T1485" i="41"/>
  <c r="T1486" i="41"/>
  <c r="T1487" i="41"/>
  <c r="T1488" i="41"/>
  <c r="T1489" i="41"/>
  <c r="T1490" i="41"/>
  <c r="T1491" i="41"/>
  <c r="T1492" i="41"/>
  <c r="T1493" i="41"/>
  <c r="T1494" i="41"/>
  <c r="T1495" i="41"/>
  <c r="T1496" i="41"/>
  <c r="T1497" i="41"/>
  <c r="T1498" i="41"/>
  <c r="T1499" i="41"/>
  <c r="T1500" i="41"/>
  <c r="T1501" i="41"/>
  <c r="T1502" i="41"/>
  <c r="T1503" i="41"/>
  <c r="T1504" i="41"/>
  <c r="T1505" i="41"/>
  <c r="T1506" i="41"/>
  <c r="T1507" i="41"/>
  <c r="T1508" i="41"/>
  <c r="T1509" i="41"/>
  <c r="T1510" i="41"/>
  <c r="T1511" i="41"/>
  <c r="T1512" i="41"/>
  <c r="T1513" i="41"/>
  <c r="T1514" i="41"/>
  <c r="T1515" i="41"/>
  <c r="T1516" i="41"/>
  <c r="T1517" i="41"/>
  <c r="T1518" i="41"/>
  <c r="T1519" i="41"/>
  <c r="T1520" i="41"/>
  <c r="T1521" i="41"/>
  <c r="T1522" i="41"/>
  <c r="T1523" i="41"/>
  <c r="T1524" i="41"/>
  <c r="T1525" i="41"/>
  <c r="T1526" i="41"/>
  <c r="T1527" i="41"/>
  <c r="T1528" i="41"/>
  <c r="T1529" i="41"/>
  <c r="T1530" i="41"/>
  <c r="T1531" i="41"/>
  <c r="T1532" i="41"/>
  <c r="T1533" i="41"/>
  <c r="T1534" i="41"/>
  <c r="T1535" i="41"/>
  <c r="T1536" i="41"/>
  <c r="T1537" i="41"/>
  <c r="T1538" i="41"/>
  <c r="T1539" i="41"/>
  <c r="T1540" i="41"/>
  <c r="T1541" i="41"/>
  <c r="T1542" i="41"/>
  <c r="T1543" i="41"/>
  <c r="T1544" i="41"/>
  <c r="T1545" i="41"/>
  <c r="T1546" i="41"/>
  <c r="T1547" i="41"/>
  <c r="T1548" i="41"/>
  <c r="T1549" i="41"/>
  <c r="T1550" i="41"/>
  <c r="T1551" i="41"/>
  <c r="T1552" i="41"/>
  <c r="T1553" i="41"/>
  <c r="T1554" i="41"/>
  <c r="T1555" i="41"/>
  <c r="T1556" i="41"/>
  <c r="T1557" i="41"/>
  <c r="T1558" i="41"/>
  <c r="T1559" i="41"/>
  <c r="T1560" i="41"/>
  <c r="T1561" i="41"/>
  <c r="T1562" i="41"/>
  <c r="T1563" i="41"/>
  <c r="T1564" i="41"/>
  <c r="T1565" i="41"/>
  <c r="T1566" i="41"/>
  <c r="T1567" i="41"/>
  <c r="T1568" i="41"/>
  <c r="T1569" i="41"/>
  <c r="T1570" i="41"/>
  <c r="T1571" i="41"/>
  <c r="T1572" i="41"/>
  <c r="T1573" i="41"/>
  <c r="T1574" i="41"/>
  <c r="T1575" i="41"/>
  <c r="T1576" i="41"/>
  <c r="T1577" i="41"/>
  <c r="T1578" i="41"/>
  <c r="T1579" i="41"/>
  <c r="T1580" i="41"/>
  <c r="T1581" i="41"/>
  <c r="T1582" i="41"/>
  <c r="T1583" i="41"/>
  <c r="T1584" i="41"/>
  <c r="T1585" i="41"/>
  <c r="T1586" i="41"/>
  <c r="T1587" i="41"/>
  <c r="T1588" i="41"/>
  <c r="T1589" i="41"/>
  <c r="T1590" i="41"/>
  <c r="T1591" i="41"/>
  <c r="T1592" i="41"/>
  <c r="T1593" i="41"/>
  <c r="T1594" i="41"/>
  <c r="T1595" i="41"/>
  <c r="T1596" i="41"/>
  <c r="T1597" i="41"/>
  <c r="T1598" i="41"/>
  <c r="T1599" i="41"/>
  <c r="T1600" i="41"/>
  <c r="T1601" i="41"/>
  <c r="T1602" i="41"/>
  <c r="T1603" i="41"/>
  <c r="T1604" i="41"/>
  <c r="T1605" i="41"/>
  <c r="T1606" i="41"/>
  <c r="T1607" i="41"/>
  <c r="T1608" i="41"/>
  <c r="T1609" i="41"/>
  <c r="T1610" i="41"/>
  <c r="T1611" i="41"/>
  <c r="T1612" i="41"/>
  <c r="T1613" i="41"/>
  <c r="T1614" i="41"/>
  <c r="T1615" i="41"/>
  <c r="T1616" i="41"/>
  <c r="T1617" i="41"/>
  <c r="T1618" i="41"/>
  <c r="T1619" i="41"/>
  <c r="T1620" i="41"/>
  <c r="T1621" i="41"/>
  <c r="T1622" i="41"/>
  <c r="T1623" i="41"/>
  <c r="T1624" i="41"/>
  <c r="T1625" i="41"/>
  <c r="T1626" i="41"/>
  <c r="T1627" i="41"/>
  <c r="T1628" i="41"/>
  <c r="T1629" i="41"/>
  <c r="T1630" i="41"/>
  <c r="T1631" i="41"/>
  <c r="T1632" i="41"/>
  <c r="T1633" i="41"/>
  <c r="T1634" i="41"/>
  <c r="T1635" i="41"/>
  <c r="T1636" i="41"/>
  <c r="T1637" i="41"/>
  <c r="T1638" i="41"/>
  <c r="T1639" i="41"/>
  <c r="T1640" i="41"/>
  <c r="T1641" i="41"/>
  <c r="T1642" i="41"/>
  <c r="T1643" i="41"/>
  <c r="T1644" i="41"/>
  <c r="T1645" i="41"/>
  <c r="T1646" i="41"/>
  <c r="T1647" i="41"/>
  <c r="T1648" i="41"/>
  <c r="T1649" i="41"/>
  <c r="T1650" i="41"/>
  <c r="T1651" i="41"/>
  <c r="T1652" i="41"/>
  <c r="T1653" i="41"/>
  <c r="T1654" i="41"/>
  <c r="T1655" i="41"/>
  <c r="T1656" i="41"/>
  <c r="T1657" i="41"/>
  <c r="T1658" i="41"/>
  <c r="T1659" i="41"/>
  <c r="T1660" i="41"/>
  <c r="T1661" i="41"/>
  <c r="T1662" i="41"/>
  <c r="T1663" i="41"/>
  <c r="T1664" i="41"/>
  <c r="T1665" i="41"/>
  <c r="T1666" i="41"/>
  <c r="T1667" i="41"/>
  <c r="T1668" i="41"/>
  <c r="T1669" i="41"/>
  <c r="T1670" i="41"/>
  <c r="T1671" i="41"/>
  <c r="T1672" i="41"/>
  <c r="T1673" i="41"/>
  <c r="T1674" i="41"/>
  <c r="T1675" i="41"/>
  <c r="T1676" i="41"/>
  <c r="T1677" i="41"/>
  <c r="T1678" i="41"/>
  <c r="T1679" i="41"/>
  <c r="T1680" i="41"/>
  <c r="T1681" i="41"/>
  <c r="T1682" i="41"/>
  <c r="T1683" i="41"/>
  <c r="T1684" i="41"/>
  <c r="T1685" i="41"/>
  <c r="T1686" i="41"/>
  <c r="T1687" i="41"/>
  <c r="T1688" i="41"/>
  <c r="T1689" i="41"/>
  <c r="T1690" i="41"/>
  <c r="T1691" i="41"/>
  <c r="T1692" i="41"/>
  <c r="T1693" i="41"/>
  <c r="T1694" i="41"/>
  <c r="T1695" i="41"/>
  <c r="T1696" i="41"/>
  <c r="T1697" i="41"/>
  <c r="T1698" i="41"/>
  <c r="T1699" i="41"/>
  <c r="T1700" i="41"/>
  <c r="T1701" i="41"/>
  <c r="T1702" i="41"/>
  <c r="T1703" i="41"/>
  <c r="T1704" i="41"/>
  <c r="T1705" i="41"/>
  <c r="T1706" i="41"/>
  <c r="T1707" i="41"/>
  <c r="T1708" i="41"/>
  <c r="T1709" i="41"/>
  <c r="T1710" i="41"/>
  <c r="T1711" i="41"/>
  <c r="T1712" i="41"/>
  <c r="T1713" i="41"/>
  <c r="T1714" i="41"/>
  <c r="T1715" i="41"/>
  <c r="T1716" i="41"/>
  <c r="T1717" i="41"/>
  <c r="T1718" i="41"/>
  <c r="T1719" i="41"/>
  <c r="T1720" i="41"/>
  <c r="T1721" i="41"/>
  <c r="T1722" i="41"/>
  <c r="T1723" i="41"/>
  <c r="T1724" i="41"/>
  <c r="T1725" i="41"/>
  <c r="T1726" i="41"/>
  <c r="T1727" i="41"/>
  <c r="T1728" i="41"/>
  <c r="T1729" i="41"/>
  <c r="T1730" i="41"/>
  <c r="T1731" i="41"/>
  <c r="T1732" i="41"/>
  <c r="T1733" i="41"/>
  <c r="T1734" i="41"/>
  <c r="T1735" i="41"/>
  <c r="T1736" i="41"/>
  <c r="T1737" i="41"/>
  <c r="T1738" i="41"/>
  <c r="T1739" i="41"/>
  <c r="T1740" i="41"/>
  <c r="T1741" i="41"/>
  <c r="T1742" i="41"/>
  <c r="T1743" i="41"/>
  <c r="T1744" i="41"/>
  <c r="T1745" i="41"/>
  <c r="T1746" i="41"/>
  <c r="T1747" i="41"/>
  <c r="T1748" i="41"/>
  <c r="T1749" i="41"/>
  <c r="T1750" i="41"/>
  <c r="T1751" i="41"/>
  <c r="T1752" i="41"/>
  <c r="T1753" i="41"/>
  <c r="T1754" i="41"/>
  <c r="T1755" i="41"/>
  <c r="T1756" i="41"/>
  <c r="T1757" i="41"/>
  <c r="T1758" i="41"/>
  <c r="T1759" i="41"/>
  <c r="T1760" i="41"/>
  <c r="T1761" i="41"/>
  <c r="T1762" i="41"/>
  <c r="T1763" i="41"/>
  <c r="T1764" i="41"/>
  <c r="T1765" i="41"/>
  <c r="T1766" i="41"/>
  <c r="T1767" i="41"/>
  <c r="T1768" i="41"/>
  <c r="T1769" i="41"/>
  <c r="T1770" i="41"/>
  <c r="T1771" i="41"/>
  <c r="T1772" i="41"/>
  <c r="T1773" i="41"/>
  <c r="T1774" i="41"/>
  <c r="T1775" i="41"/>
  <c r="T1776" i="41"/>
  <c r="T1777" i="41"/>
  <c r="T1778" i="41"/>
  <c r="T1779" i="41"/>
  <c r="T1780" i="41"/>
  <c r="T1781" i="41"/>
  <c r="T1782" i="41"/>
  <c r="T1783" i="41"/>
  <c r="T1784" i="41"/>
  <c r="T1785" i="41"/>
  <c r="T1786" i="41"/>
  <c r="T1787" i="41"/>
  <c r="T1788" i="41"/>
  <c r="T1789" i="41"/>
  <c r="T1790" i="41"/>
  <c r="T1791" i="41"/>
  <c r="T1792" i="41"/>
  <c r="T1793" i="41"/>
  <c r="T1794" i="41"/>
  <c r="T1795" i="41"/>
  <c r="T1796" i="41"/>
  <c r="T1797" i="41"/>
  <c r="T1798" i="41"/>
  <c r="T1799" i="41"/>
  <c r="T1800" i="41"/>
  <c r="T1801" i="41"/>
  <c r="T1802" i="41"/>
  <c r="T1803" i="41"/>
  <c r="T1804" i="41"/>
  <c r="T1805" i="41"/>
  <c r="T1806" i="41"/>
  <c r="T1807" i="41"/>
  <c r="T1808" i="41"/>
  <c r="T1809" i="41"/>
  <c r="T1810" i="41"/>
  <c r="T1811" i="41"/>
  <c r="T1812" i="41"/>
  <c r="T1813" i="41"/>
  <c r="T1814" i="41"/>
  <c r="T1815" i="41"/>
  <c r="T1816" i="41"/>
  <c r="T1817" i="41"/>
  <c r="T1818" i="41"/>
  <c r="T1819" i="41"/>
  <c r="T1820" i="41"/>
  <c r="T1821" i="41"/>
  <c r="T1822" i="41"/>
  <c r="T1823" i="41"/>
  <c r="T1824" i="41"/>
  <c r="T1825" i="41"/>
  <c r="T1826" i="41"/>
  <c r="T1827" i="41"/>
  <c r="T1828" i="41"/>
  <c r="T1829" i="41"/>
  <c r="T1830" i="41"/>
  <c r="T1831" i="41"/>
  <c r="T1832" i="41"/>
  <c r="T1833" i="41"/>
  <c r="T1834" i="41"/>
  <c r="T1835" i="41"/>
  <c r="T1836" i="41"/>
  <c r="T1837" i="41"/>
  <c r="T1838" i="41"/>
  <c r="T1839" i="41"/>
  <c r="T1840" i="41"/>
  <c r="T1841" i="41"/>
  <c r="T1842" i="41"/>
  <c r="T1843" i="41"/>
  <c r="T1844" i="41"/>
  <c r="T1845" i="41"/>
  <c r="T1846" i="41"/>
  <c r="T1847" i="41"/>
  <c r="T1848" i="41"/>
  <c r="T1849" i="41"/>
  <c r="T1850" i="41"/>
  <c r="T1851" i="41"/>
  <c r="T1852" i="41"/>
  <c r="T1853" i="41"/>
  <c r="T1854" i="41"/>
  <c r="T1855" i="41"/>
  <c r="T1856" i="41"/>
  <c r="T1857" i="41"/>
  <c r="T1858" i="41"/>
  <c r="T1859" i="41"/>
  <c r="T1860" i="41"/>
  <c r="T1861" i="41"/>
  <c r="T1862" i="41"/>
  <c r="T1863" i="41"/>
  <c r="T1864" i="41"/>
  <c r="T1865" i="41"/>
  <c r="T1866" i="41"/>
  <c r="T1867" i="41"/>
  <c r="T1868" i="41"/>
  <c r="T1869" i="41"/>
  <c r="T1870" i="41"/>
  <c r="T1871" i="41"/>
  <c r="T1872" i="41"/>
  <c r="T1873" i="41"/>
  <c r="T1874" i="41"/>
  <c r="T1875" i="41"/>
  <c r="T1876" i="41"/>
  <c r="T1877" i="41"/>
  <c r="T1878" i="41"/>
  <c r="T1879" i="41"/>
  <c r="T1880" i="41"/>
  <c r="T1881" i="41"/>
  <c r="T1882" i="41"/>
  <c r="T1883" i="41"/>
  <c r="T1884" i="41"/>
  <c r="T1885" i="41"/>
  <c r="T1886" i="41"/>
  <c r="T1887" i="41"/>
  <c r="T1888" i="41"/>
  <c r="T1889" i="41"/>
  <c r="T1890" i="41"/>
  <c r="T1891" i="41"/>
  <c r="T1892" i="41"/>
  <c r="T1893" i="41"/>
  <c r="T1894" i="41"/>
  <c r="T1895" i="41"/>
  <c r="T1896" i="41"/>
  <c r="T1897" i="41"/>
  <c r="T1898" i="41"/>
  <c r="T1899" i="41"/>
  <c r="T1900" i="41"/>
  <c r="T1901" i="41"/>
  <c r="T1902" i="41"/>
  <c r="T1903" i="41"/>
  <c r="T1904" i="41"/>
  <c r="T1905" i="41"/>
  <c r="T1906" i="41"/>
  <c r="T1907" i="41"/>
  <c r="T1908" i="41"/>
  <c r="T1909" i="41"/>
  <c r="T1910" i="41"/>
  <c r="T1911" i="41"/>
  <c r="T1912" i="41"/>
  <c r="T1913" i="41"/>
  <c r="T1914" i="41"/>
  <c r="T1915" i="41"/>
  <c r="T1916" i="41"/>
  <c r="T1917" i="41"/>
  <c r="T1918" i="41"/>
  <c r="T1919" i="41"/>
  <c r="T1920" i="41"/>
  <c r="T1921" i="41"/>
  <c r="T1922" i="41"/>
  <c r="T1923" i="41"/>
  <c r="T1924" i="41"/>
  <c r="T1925" i="41"/>
  <c r="T1926" i="41"/>
  <c r="T1927" i="41"/>
  <c r="T1928" i="41"/>
  <c r="T1929" i="41"/>
  <c r="T1930" i="41"/>
  <c r="T1931" i="41"/>
  <c r="T1932" i="41"/>
  <c r="T1933" i="41"/>
  <c r="T1934" i="41"/>
  <c r="T1935" i="41"/>
  <c r="T1936" i="41"/>
  <c r="T1937" i="41"/>
  <c r="T1938" i="41"/>
  <c r="T1939" i="41"/>
  <c r="T1940" i="41"/>
  <c r="T1941" i="41"/>
  <c r="T1942" i="41"/>
  <c r="T1943" i="41"/>
  <c r="T1944" i="41"/>
  <c r="T1945" i="41"/>
  <c r="T1946" i="41"/>
  <c r="T1947" i="41"/>
  <c r="T1948" i="41"/>
  <c r="T1949" i="41"/>
  <c r="T1950" i="41"/>
  <c r="T1951" i="41"/>
  <c r="T1952" i="41"/>
  <c r="T1953" i="41"/>
  <c r="T1954" i="41"/>
  <c r="T1955" i="41"/>
  <c r="T1956" i="41"/>
  <c r="T1957" i="41"/>
  <c r="T1958" i="41"/>
  <c r="T1959" i="41"/>
  <c r="T1960" i="41"/>
  <c r="T1961" i="41"/>
  <c r="T1962" i="41"/>
  <c r="T1963" i="41"/>
  <c r="T1964" i="41"/>
  <c r="T1965" i="41"/>
  <c r="T1966" i="41"/>
  <c r="T1967" i="41"/>
  <c r="T1968" i="41"/>
  <c r="T1969" i="41"/>
  <c r="T1970" i="41"/>
  <c r="T1971" i="41"/>
  <c r="T1972" i="41"/>
  <c r="T1973" i="41"/>
  <c r="T1974" i="41"/>
  <c r="T1975" i="41"/>
  <c r="T1976" i="41"/>
  <c r="T1977" i="41"/>
  <c r="T1978" i="41"/>
  <c r="T1979" i="41"/>
  <c r="T1980" i="41"/>
  <c r="T1981" i="41"/>
  <c r="T1982" i="41"/>
  <c r="T1983" i="41"/>
  <c r="T1984" i="41"/>
  <c r="T1985" i="41"/>
  <c r="T1986" i="41"/>
  <c r="T1987" i="41"/>
  <c r="T1988" i="41"/>
  <c r="T1989" i="41"/>
  <c r="T1990" i="41"/>
  <c r="T1991" i="41"/>
  <c r="T1992" i="41"/>
  <c r="T1993" i="41"/>
  <c r="T1994" i="41"/>
  <c r="T1995" i="41"/>
  <c r="T1996" i="41"/>
  <c r="T1997" i="41"/>
  <c r="T1998" i="41"/>
  <c r="T1999" i="41"/>
  <c r="T2000" i="41"/>
  <c r="T2001" i="41"/>
  <c r="T2002" i="41"/>
  <c r="T2003" i="41"/>
  <c r="T2004" i="41"/>
  <c r="T2005" i="41"/>
  <c r="T2006" i="41"/>
  <c r="T2007" i="41"/>
  <c r="T2008" i="41"/>
  <c r="T2009" i="41"/>
  <c r="T2010" i="41"/>
  <c r="T2011" i="41"/>
  <c r="T2012" i="41"/>
  <c r="T2013" i="41"/>
  <c r="T2014" i="41"/>
  <c r="T2015" i="41"/>
  <c r="T2016" i="41"/>
  <c r="T2017" i="41"/>
  <c r="T2018" i="41"/>
  <c r="T2019" i="41"/>
  <c r="T2020" i="41"/>
  <c r="T2021" i="41"/>
  <c r="T2022" i="41"/>
  <c r="T2023" i="41"/>
  <c r="T2024" i="41"/>
  <c r="T2025" i="41"/>
  <c r="T2026" i="41"/>
  <c r="T2027" i="41"/>
  <c r="T2028" i="41"/>
  <c r="T2029" i="41"/>
  <c r="T2030" i="41"/>
  <c r="T2031" i="41"/>
  <c r="T2032" i="41"/>
  <c r="T2033" i="41"/>
  <c r="T2034" i="41"/>
  <c r="T2035" i="41"/>
  <c r="T2036" i="41"/>
  <c r="T2037" i="41"/>
  <c r="T2038" i="41"/>
  <c r="T2039" i="41"/>
  <c r="T2040" i="41"/>
  <c r="T2041" i="41"/>
  <c r="T2042" i="41"/>
  <c r="T2043" i="41"/>
  <c r="T2044" i="41"/>
  <c r="T2045" i="41"/>
  <c r="T2046" i="41"/>
  <c r="T2047" i="41"/>
  <c r="T2048" i="41"/>
  <c r="T2049" i="41"/>
  <c r="T2050" i="41"/>
  <c r="T2051" i="41"/>
  <c r="T2052" i="41"/>
  <c r="T2053" i="41"/>
  <c r="T2054" i="41"/>
  <c r="T2055" i="41"/>
  <c r="T2056" i="41"/>
  <c r="T2057" i="41"/>
  <c r="T2058" i="41"/>
  <c r="T2059" i="41"/>
  <c r="T2060" i="41"/>
  <c r="T2061" i="41"/>
  <c r="T2062" i="41"/>
  <c r="T2063" i="41"/>
  <c r="T2064" i="41"/>
  <c r="T2065" i="41"/>
  <c r="T2066" i="41"/>
  <c r="T2067" i="41"/>
  <c r="T2068" i="41"/>
  <c r="T2069" i="41"/>
  <c r="T2070" i="41"/>
  <c r="T2071" i="41"/>
  <c r="T2072" i="41"/>
  <c r="T2073" i="41"/>
  <c r="T2074" i="41"/>
  <c r="T2075" i="41"/>
  <c r="T2076" i="41"/>
  <c r="T2077" i="41"/>
  <c r="T2078" i="41"/>
  <c r="T2079" i="41"/>
  <c r="T2080" i="41"/>
  <c r="T2081" i="41"/>
  <c r="T2082" i="41"/>
  <c r="T2083" i="41"/>
  <c r="T2084" i="41"/>
  <c r="T2085" i="41"/>
  <c r="T2086" i="41"/>
  <c r="T2087" i="41"/>
  <c r="T2088" i="41"/>
  <c r="T2089" i="41"/>
  <c r="T2090" i="41"/>
  <c r="T2091" i="41"/>
  <c r="T2092" i="41"/>
  <c r="T2093" i="41"/>
  <c r="T2094" i="41"/>
  <c r="T2095" i="41"/>
  <c r="T2096" i="41"/>
  <c r="T2097" i="41"/>
  <c r="T2098" i="41"/>
  <c r="T2099" i="41"/>
  <c r="T2100" i="41"/>
  <c r="T2101" i="41"/>
  <c r="T2102" i="41"/>
  <c r="T2103" i="41"/>
  <c r="T2104" i="41"/>
  <c r="T2105" i="41"/>
  <c r="T2106" i="41"/>
  <c r="T2107" i="41"/>
  <c r="T2108" i="41"/>
  <c r="T2109" i="41"/>
  <c r="T2110" i="41"/>
  <c r="T2111" i="41"/>
  <c r="T2112" i="41"/>
  <c r="T2113" i="41"/>
  <c r="T2114" i="41"/>
  <c r="T2115" i="41"/>
  <c r="T2116" i="41"/>
  <c r="T2117" i="41"/>
  <c r="T2118" i="41"/>
  <c r="T2119" i="41"/>
  <c r="T2120" i="41"/>
  <c r="T2121" i="41"/>
  <c r="T2122" i="41"/>
  <c r="T2123" i="41"/>
  <c r="T2124" i="41"/>
  <c r="T2125" i="41"/>
  <c r="T2126" i="41"/>
  <c r="T2127" i="41"/>
  <c r="T2128" i="41"/>
  <c r="T2129" i="41"/>
  <c r="T2130" i="41"/>
  <c r="T2131" i="41"/>
  <c r="T2132" i="41"/>
  <c r="T2133" i="41"/>
  <c r="T2134" i="41"/>
  <c r="T2135" i="41"/>
  <c r="T2136" i="41"/>
  <c r="T2137" i="41"/>
  <c r="T2138" i="41"/>
  <c r="T2139" i="41"/>
  <c r="T2140" i="41"/>
  <c r="T2141" i="41"/>
  <c r="T2142" i="41"/>
  <c r="T2143" i="41"/>
  <c r="T2144" i="41"/>
  <c r="T2145" i="41"/>
  <c r="T2146" i="41"/>
  <c r="T2147" i="41"/>
  <c r="T2148" i="41"/>
  <c r="T2149" i="41"/>
  <c r="T2150" i="41"/>
  <c r="T2151" i="41"/>
  <c r="T2152" i="41"/>
  <c r="T2153" i="41"/>
  <c r="T2154" i="41"/>
  <c r="T2155" i="41"/>
  <c r="T2156" i="41"/>
  <c r="T2157" i="41"/>
  <c r="T2158" i="41"/>
  <c r="T2159" i="41"/>
  <c r="T2160" i="41"/>
  <c r="T2161" i="41"/>
  <c r="T2162" i="41"/>
  <c r="T2163" i="41"/>
  <c r="T2164" i="41"/>
  <c r="T2165" i="41"/>
  <c r="T2166" i="41"/>
  <c r="T2167" i="41"/>
  <c r="T2168" i="41"/>
  <c r="T2169" i="41"/>
  <c r="T2170" i="41"/>
  <c r="T2171" i="41"/>
  <c r="T2172" i="41"/>
  <c r="T2173" i="41"/>
  <c r="T2174" i="41"/>
  <c r="T2175" i="41"/>
  <c r="T2176" i="41"/>
  <c r="T2177" i="41"/>
  <c r="T2178" i="41"/>
  <c r="T2179" i="41"/>
  <c r="T2180" i="41"/>
  <c r="T2181" i="41"/>
  <c r="T2182" i="41"/>
  <c r="T2183" i="41"/>
  <c r="T2184" i="41"/>
  <c r="T2185" i="41"/>
  <c r="T2186" i="41"/>
  <c r="T2187" i="41"/>
  <c r="T2188" i="41"/>
  <c r="T2189" i="41"/>
  <c r="T2190" i="41"/>
  <c r="T2191" i="41"/>
  <c r="T2192" i="41"/>
  <c r="T2193" i="41"/>
  <c r="T2194" i="41"/>
  <c r="T2195" i="41"/>
  <c r="T2196" i="41"/>
  <c r="T2197" i="41"/>
  <c r="T2198" i="41"/>
  <c r="T2199" i="41"/>
  <c r="T2200" i="41"/>
  <c r="T2201" i="41"/>
  <c r="T2202" i="41"/>
  <c r="T2203" i="41"/>
  <c r="T2204" i="41"/>
  <c r="T2205" i="41"/>
  <c r="T2206" i="41"/>
  <c r="T2207" i="41"/>
  <c r="T2208" i="41"/>
  <c r="T2209" i="41"/>
  <c r="T2210" i="41"/>
  <c r="T2211" i="41"/>
  <c r="T2212" i="41"/>
  <c r="T2213" i="41"/>
  <c r="T2214" i="41"/>
  <c r="T2215" i="41"/>
  <c r="T2216" i="41"/>
  <c r="T2217" i="41"/>
  <c r="T2218" i="41"/>
  <c r="T2219" i="41"/>
  <c r="T2220" i="41"/>
  <c r="T2221" i="41"/>
  <c r="T2222" i="41"/>
  <c r="T2223" i="41"/>
  <c r="T2224" i="41"/>
  <c r="T2225" i="41"/>
  <c r="T2226" i="41"/>
  <c r="T2227" i="41"/>
  <c r="T2228" i="41"/>
  <c r="T2229" i="41"/>
  <c r="T2230" i="41"/>
  <c r="T2231" i="41"/>
  <c r="T2232" i="41"/>
  <c r="T2233" i="41"/>
  <c r="T2234" i="41"/>
  <c r="T2235" i="41"/>
  <c r="T2236" i="41"/>
  <c r="T2237" i="41"/>
  <c r="T2238" i="41"/>
  <c r="T2239" i="41"/>
  <c r="T2240" i="41"/>
  <c r="T2241" i="41"/>
  <c r="T2242" i="41"/>
  <c r="T2243" i="41"/>
  <c r="T2244" i="41"/>
  <c r="T2245" i="41"/>
  <c r="T2246" i="41"/>
  <c r="T2247" i="41"/>
  <c r="T2248" i="41"/>
  <c r="T2249" i="41"/>
  <c r="T2250" i="41"/>
  <c r="T2251" i="41"/>
  <c r="T2252" i="41"/>
  <c r="T2253" i="41"/>
  <c r="T2254" i="41"/>
  <c r="T2255" i="41"/>
  <c r="T2256" i="41"/>
  <c r="T2257" i="41"/>
  <c r="T2258" i="41"/>
  <c r="T2259" i="41"/>
  <c r="T2260" i="41"/>
  <c r="T2261" i="41"/>
  <c r="T2262" i="41"/>
  <c r="T2263" i="41"/>
  <c r="T2264" i="41"/>
  <c r="T2265" i="41"/>
  <c r="T2266" i="41"/>
  <c r="T2267" i="41"/>
  <c r="T2268" i="41"/>
  <c r="T2269" i="41"/>
  <c r="T2270" i="41"/>
  <c r="T2271" i="41"/>
  <c r="T2272" i="41"/>
  <c r="T2273" i="41"/>
  <c r="T2274" i="41"/>
  <c r="T2275" i="41"/>
  <c r="T2276" i="41"/>
  <c r="T2277" i="41"/>
  <c r="T2278" i="41"/>
  <c r="T2279" i="41"/>
  <c r="T2280" i="41"/>
  <c r="T2281" i="41"/>
  <c r="T2282" i="41"/>
  <c r="T2283" i="41"/>
  <c r="T2284" i="41"/>
  <c r="T2285" i="41"/>
  <c r="T2286" i="41"/>
  <c r="T2287" i="41"/>
  <c r="T2288" i="41"/>
  <c r="T2289" i="41"/>
  <c r="T2290" i="41"/>
  <c r="T2291" i="41"/>
  <c r="T2292" i="41"/>
  <c r="T2293" i="41"/>
  <c r="T2294" i="41"/>
  <c r="T2295" i="41"/>
  <c r="T2296" i="41"/>
  <c r="T2297" i="41"/>
  <c r="T2298" i="41"/>
  <c r="T2299" i="41"/>
  <c r="T2300" i="41"/>
  <c r="T2301" i="41"/>
  <c r="T2302" i="41"/>
  <c r="T2303" i="41"/>
  <c r="T2304" i="41"/>
  <c r="T2305" i="41"/>
  <c r="T2306" i="41"/>
  <c r="T2307" i="41"/>
  <c r="T2308" i="41"/>
  <c r="T2309" i="41"/>
  <c r="T2310" i="41"/>
  <c r="T2311" i="41"/>
  <c r="T2312" i="41"/>
  <c r="T2313" i="41"/>
  <c r="T2314" i="41"/>
  <c r="T2315" i="41"/>
  <c r="T2316" i="41"/>
  <c r="T2317" i="41"/>
  <c r="T2318" i="41"/>
  <c r="T2319" i="41"/>
  <c r="T2320" i="41"/>
  <c r="T2321" i="41"/>
  <c r="T2322" i="41"/>
  <c r="T2323" i="41"/>
  <c r="T2324" i="41"/>
  <c r="T2325" i="41"/>
  <c r="T2326" i="41"/>
  <c r="T2327" i="41"/>
  <c r="T2328" i="41"/>
  <c r="T2329" i="41"/>
  <c r="T2330" i="41"/>
  <c r="T2331" i="41"/>
  <c r="T2332" i="41"/>
  <c r="T2333" i="41"/>
  <c r="T2334" i="41"/>
  <c r="T2335" i="41"/>
  <c r="T2336" i="41"/>
  <c r="T2337" i="41"/>
  <c r="T2338" i="41"/>
  <c r="T2339" i="41"/>
  <c r="T2340" i="41"/>
  <c r="T2341" i="41"/>
  <c r="T2342" i="41"/>
  <c r="T2343" i="41"/>
  <c r="T2344" i="41"/>
  <c r="T2345" i="41"/>
  <c r="T2346" i="41"/>
  <c r="T2347" i="41"/>
  <c r="T2348" i="41"/>
  <c r="T2349" i="41"/>
  <c r="T2350" i="41"/>
  <c r="T2351" i="41"/>
  <c r="T2352" i="41"/>
  <c r="T2353" i="41"/>
  <c r="T2354" i="41"/>
  <c r="T2355" i="41"/>
  <c r="T2356" i="41"/>
  <c r="T2357" i="41"/>
  <c r="T2358" i="41"/>
  <c r="T2359" i="41"/>
  <c r="T2360" i="41"/>
  <c r="T2361" i="41"/>
  <c r="T2362" i="41"/>
  <c r="T2363" i="41"/>
  <c r="T2364" i="41"/>
  <c r="T2365" i="41"/>
  <c r="T2366" i="41"/>
  <c r="T2367" i="41"/>
  <c r="T2368" i="41"/>
  <c r="T2369" i="41"/>
  <c r="T2370" i="41"/>
  <c r="T2371" i="41"/>
  <c r="T2372" i="41"/>
  <c r="T2373" i="41"/>
  <c r="T2374" i="41"/>
  <c r="T2375" i="41"/>
  <c r="T2376" i="41"/>
  <c r="T2377" i="41"/>
  <c r="T2378" i="41"/>
  <c r="T2379" i="41"/>
  <c r="T2380" i="41"/>
  <c r="T2381" i="41"/>
  <c r="T2382" i="41"/>
  <c r="T2383" i="41"/>
  <c r="T2384" i="41"/>
  <c r="T2385" i="41"/>
  <c r="T2386" i="41"/>
  <c r="T2387" i="41"/>
  <c r="T2388" i="41"/>
  <c r="T2389" i="41"/>
  <c r="T2390" i="41"/>
  <c r="T2391" i="41"/>
  <c r="T2392" i="41"/>
  <c r="T2393" i="41"/>
  <c r="T2394" i="41"/>
  <c r="T2395" i="41"/>
  <c r="T2396" i="41"/>
  <c r="T2397" i="41"/>
  <c r="T2398" i="41"/>
  <c r="T2399" i="41"/>
  <c r="T2400" i="41"/>
  <c r="T2401" i="41"/>
  <c r="T2402" i="41"/>
  <c r="T2403" i="41"/>
  <c r="T2404" i="41"/>
  <c r="T2405" i="41"/>
  <c r="T2406" i="41"/>
  <c r="T2407" i="41"/>
  <c r="T2408" i="41"/>
  <c r="T2409" i="41"/>
  <c r="T2410" i="41"/>
  <c r="T2411" i="41"/>
  <c r="T2412" i="41"/>
  <c r="T2413" i="41"/>
  <c r="T2414" i="41"/>
  <c r="T2415" i="41"/>
  <c r="T2416" i="41"/>
  <c r="T2417" i="41"/>
  <c r="T2418" i="41"/>
  <c r="T2419" i="41"/>
  <c r="T2420" i="41"/>
  <c r="T2421" i="41"/>
  <c r="T2422" i="41"/>
  <c r="T2423" i="41"/>
  <c r="T2424" i="41"/>
  <c r="T2425" i="41"/>
  <c r="T2426" i="41"/>
  <c r="T2427" i="41"/>
  <c r="T2428" i="41"/>
  <c r="T2429" i="41"/>
  <c r="T2430" i="41"/>
  <c r="T2431" i="41"/>
  <c r="T2432" i="41"/>
  <c r="T2433" i="41"/>
  <c r="T2434" i="41"/>
  <c r="T2435" i="41"/>
  <c r="T2436" i="41"/>
  <c r="T2437" i="41"/>
  <c r="T2438" i="41"/>
  <c r="T2439" i="41"/>
  <c r="T2440" i="41"/>
  <c r="T2441" i="41"/>
  <c r="T2442" i="41"/>
  <c r="T2443" i="41"/>
  <c r="T2444" i="41"/>
  <c r="T2445" i="41"/>
  <c r="T2446" i="41"/>
  <c r="T2447" i="41"/>
  <c r="T2448" i="41"/>
  <c r="T2449" i="41"/>
  <c r="T2450" i="41"/>
  <c r="T2451" i="41"/>
  <c r="T2452" i="41"/>
  <c r="T2453" i="41"/>
  <c r="T2454" i="41"/>
  <c r="T2455" i="41"/>
  <c r="T2456" i="41"/>
  <c r="T2457" i="41"/>
  <c r="T2458" i="41"/>
  <c r="T2459" i="41"/>
  <c r="T2460" i="41"/>
  <c r="T2461" i="41"/>
  <c r="T2462" i="41"/>
  <c r="T2463" i="41"/>
  <c r="T2464" i="41"/>
  <c r="T2465" i="41"/>
  <c r="T2466" i="41"/>
  <c r="T2467" i="41"/>
  <c r="T2468" i="41"/>
  <c r="T2469" i="41"/>
  <c r="T2470" i="41"/>
  <c r="T2471" i="41"/>
  <c r="T2472" i="41"/>
  <c r="T2473" i="41"/>
  <c r="T2474" i="41"/>
  <c r="T2475" i="41"/>
  <c r="T2476" i="41"/>
  <c r="T2477" i="41"/>
  <c r="T2478" i="41"/>
  <c r="T2479" i="41"/>
  <c r="T2480" i="41"/>
  <c r="T2481" i="41"/>
  <c r="T2482" i="41"/>
  <c r="T2483" i="41"/>
  <c r="T2484" i="41"/>
  <c r="T2485" i="41"/>
  <c r="T2486" i="41"/>
  <c r="T2487" i="41"/>
  <c r="T2488" i="41"/>
  <c r="T2489" i="41"/>
  <c r="T2490" i="41"/>
  <c r="T2491" i="41"/>
  <c r="T2492" i="41"/>
  <c r="T2493" i="41"/>
  <c r="T2494" i="41"/>
  <c r="T2495" i="41"/>
  <c r="T2496" i="41"/>
  <c r="T2497" i="41"/>
  <c r="T2498" i="41"/>
  <c r="T2499" i="41"/>
  <c r="T2500" i="41"/>
  <c r="T2501" i="41"/>
  <c r="T2502" i="41"/>
  <c r="T2503" i="41"/>
  <c r="T2504" i="41"/>
  <c r="T2505" i="41"/>
  <c r="T2506" i="41"/>
  <c r="T2507" i="41"/>
  <c r="T2508" i="41"/>
  <c r="T2509" i="41"/>
  <c r="T2510" i="41"/>
  <c r="T2511" i="41"/>
  <c r="T2512" i="41"/>
  <c r="T2513" i="41"/>
  <c r="T2514" i="41"/>
  <c r="T2515" i="41"/>
  <c r="T2516" i="41"/>
  <c r="T2517" i="41"/>
  <c r="T2518" i="41"/>
  <c r="T2519" i="41"/>
  <c r="T2520" i="41"/>
  <c r="T2521" i="41"/>
  <c r="T2522" i="41"/>
  <c r="T2523" i="41"/>
  <c r="T2524" i="41"/>
  <c r="T2525" i="41"/>
  <c r="T2526" i="41"/>
  <c r="T2527" i="41"/>
  <c r="T2528" i="41"/>
  <c r="T2529" i="41"/>
  <c r="T2530" i="41"/>
  <c r="T2531" i="41"/>
  <c r="T2532" i="41"/>
  <c r="T2533" i="41"/>
  <c r="T2534" i="41"/>
  <c r="T2535" i="41"/>
  <c r="T2536" i="41"/>
  <c r="T2537" i="41"/>
  <c r="T2538" i="41"/>
  <c r="T2539" i="41"/>
  <c r="T2540" i="41"/>
  <c r="T2541" i="41"/>
  <c r="T2542" i="41"/>
  <c r="T2543" i="41"/>
  <c r="T2544" i="41"/>
  <c r="T2545" i="41"/>
  <c r="T2546" i="41"/>
  <c r="T2547" i="41"/>
  <c r="T2548" i="41"/>
  <c r="T2549" i="41"/>
  <c r="T2550" i="41"/>
  <c r="T2551" i="41"/>
  <c r="T2552" i="41"/>
  <c r="T2553" i="41"/>
  <c r="T2554" i="41"/>
  <c r="T2555" i="41"/>
  <c r="T2556" i="41"/>
  <c r="T2557" i="41"/>
  <c r="T2558" i="41"/>
  <c r="T2559" i="41"/>
  <c r="T2560" i="41"/>
  <c r="T2561" i="41"/>
  <c r="T2562" i="41"/>
  <c r="T2563" i="41"/>
  <c r="T2564" i="41"/>
  <c r="T2565" i="41"/>
  <c r="T2566" i="41"/>
  <c r="T2567" i="41"/>
  <c r="T2568" i="41"/>
  <c r="T2569" i="41"/>
  <c r="T2570" i="41"/>
  <c r="T2571" i="41"/>
  <c r="T2572" i="41"/>
  <c r="T2573" i="41"/>
  <c r="T2574" i="41"/>
  <c r="T2575" i="41"/>
  <c r="T2576" i="41"/>
  <c r="T2577" i="41"/>
  <c r="T2578" i="41"/>
  <c r="T2579" i="41"/>
  <c r="T2580" i="41"/>
  <c r="T2581" i="41"/>
  <c r="T2582" i="41"/>
  <c r="T2583" i="41"/>
  <c r="T2584" i="41"/>
  <c r="T2585" i="41"/>
  <c r="T2586" i="41"/>
  <c r="T2587" i="41"/>
  <c r="T2588" i="41"/>
  <c r="T2589" i="41"/>
  <c r="T2590" i="41"/>
  <c r="T2591" i="41"/>
  <c r="T2592" i="41"/>
  <c r="T2593" i="41"/>
  <c r="T2594" i="41"/>
  <c r="T2595" i="41"/>
  <c r="T2596" i="41"/>
  <c r="T2597" i="41"/>
  <c r="T2598" i="41"/>
  <c r="T2599" i="41"/>
  <c r="T2600" i="41"/>
  <c r="T2601" i="41"/>
  <c r="T2602" i="41"/>
  <c r="T2603" i="41"/>
  <c r="T2604" i="41"/>
  <c r="T2605" i="41"/>
  <c r="T2606" i="41"/>
  <c r="T2607" i="41"/>
  <c r="T2608" i="41"/>
  <c r="T2609" i="41"/>
  <c r="T2610" i="41"/>
  <c r="T2611" i="41"/>
  <c r="T2612" i="41"/>
  <c r="T2613" i="41"/>
  <c r="T2614" i="41"/>
  <c r="T2615" i="41"/>
  <c r="T2616" i="41"/>
  <c r="T2617" i="41"/>
  <c r="T2618" i="41"/>
  <c r="T2619" i="41"/>
  <c r="T2620" i="41"/>
  <c r="T2621" i="41"/>
  <c r="T2622" i="41"/>
  <c r="T2623" i="41"/>
  <c r="T2624" i="41"/>
  <c r="T2625" i="41"/>
  <c r="T2626" i="41"/>
  <c r="T2627" i="41"/>
  <c r="T2628" i="41"/>
  <c r="T2629" i="41"/>
  <c r="T2630" i="41"/>
  <c r="T2631" i="41"/>
  <c r="T2632" i="41"/>
  <c r="T2633" i="41"/>
  <c r="T2634" i="41"/>
  <c r="T2635" i="41"/>
  <c r="T2636" i="41"/>
  <c r="T2637" i="41"/>
  <c r="T2638" i="41"/>
  <c r="T2639" i="41"/>
  <c r="T2640" i="41"/>
  <c r="T2641" i="41"/>
  <c r="T2642" i="41"/>
  <c r="T2643" i="41"/>
  <c r="T2644" i="41"/>
  <c r="T2645" i="41"/>
  <c r="T2646" i="41"/>
  <c r="T2647" i="41"/>
  <c r="T2648" i="41"/>
  <c r="T2649" i="41"/>
  <c r="T2650" i="41"/>
  <c r="T2651" i="41"/>
  <c r="T2652" i="41"/>
  <c r="T2653" i="41"/>
  <c r="T2654" i="41"/>
  <c r="T2655" i="41"/>
  <c r="T2656" i="41"/>
  <c r="T2657" i="41"/>
  <c r="T2658" i="41"/>
  <c r="T2659" i="41"/>
  <c r="T2660" i="41"/>
  <c r="T2661" i="41"/>
  <c r="T2662" i="41"/>
  <c r="T2663" i="41"/>
  <c r="T2664" i="41"/>
  <c r="T2665" i="41"/>
  <c r="T2666" i="41"/>
  <c r="T2667" i="41"/>
  <c r="T2668" i="41"/>
  <c r="T2669" i="41"/>
  <c r="T2670" i="41"/>
  <c r="T2671" i="41"/>
  <c r="T2672" i="41"/>
  <c r="T2673" i="41"/>
  <c r="T2674" i="41"/>
  <c r="T2675" i="41"/>
  <c r="T2676" i="41"/>
  <c r="T2677" i="41"/>
  <c r="T2678" i="41"/>
  <c r="T2679" i="41"/>
  <c r="T2680" i="41"/>
  <c r="T2681" i="41"/>
  <c r="T2682" i="41"/>
  <c r="T2683" i="41"/>
  <c r="T2684" i="41"/>
  <c r="T2685" i="41"/>
  <c r="T2686" i="41"/>
  <c r="T2687" i="41"/>
  <c r="T2688" i="41"/>
  <c r="T2689" i="41"/>
  <c r="T2690" i="41"/>
  <c r="T2691" i="41"/>
  <c r="T2692" i="41"/>
  <c r="T2693" i="41"/>
  <c r="T2694" i="41"/>
  <c r="T2695" i="41"/>
  <c r="T2696" i="41"/>
  <c r="T2697" i="41"/>
  <c r="T2698" i="41"/>
  <c r="T2699" i="41"/>
  <c r="T2700" i="41"/>
  <c r="T2701" i="41"/>
  <c r="T2702" i="41"/>
  <c r="T2703" i="41"/>
  <c r="T2704" i="41"/>
  <c r="T2705" i="41"/>
  <c r="T2706" i="41"/>
  <c r="T2707" i="41"/>
  <c r="T2708" i="41"/>
  <c r="T2709" i="41"/>
  <c r="T2710" i="41"/>
  <c r="T2711" i="41"/>
  <c r="T2712" i="41"/>
  <c r="T2713" i="41"/>
  <c r="T2714" i="41"/>
  <c r="T2715" i="41"/>
  <c r="T2716" i="41"/>
  <c r="T2717" i="41"/>
  <c r="T2718" i="41"/>
  <c r="T2719" i="41"/>
  <c r="T2720" i="41"/>
  <c r="T2721" i="41"/>
  <c r="T2722" i="41"/>
  <c r="T2723" i="41"/>
  <c r="T2724" i="41"/>
  <c r="T2725" i="41"/>
  <c r="T2726" i="41"/>
  <c r="T2727" i="41"/>
  <c r="T2728" i="41"/>
  <c r="T2729" i="41"/>
  <c r="T2730" i="41"/>
  <c r="T2731" i="41"/>
  <c r="T2732" i="41"/>
  <c r="T2733" i="41"/>
  <c r="T2734" i="41"/>
  <c r="T2735" i="41"/>
  <c r="T2736" i="41"/>
  <c r="T2737" i="41"/>
  <c r="T2738" i="41"/>
  <c r="T2739" i="41"/>
  <c r="T2740" i="41"/>
  <c r="T2741" i="41"/>
  <c r="T2742" i="41"/>
  <c r="T2743" i="41"/>
  <c r="T2744" i="41"/>
  <c r="T2745" i="41"/>
  <c r="T2746" i="41"/>
  <c r="T2747" i="41"/>
  <c r="T2748" i="41"/>
  <c r="T2749" i="41"/>
  <c r="T2750" i="41"/>
  <c r="T2751" i="41"/>
  <c r="T2752" i="41"/>
  <c r="T2753" i="41"/>
  <c r="T2754" i="41"/>
  <c r="T2755" i="41"/>
  <c r="T2756" i="41"/>
  <c r="T2757" i="41"/>
  <c r="T2758" i="41"/>
  <c r="T2759" i="41"/>
  <c r="T2760" i="41"/>
  <c r="T2761" i="41"/>
  <c r="T2762" i="41"/>
  <c r="T2763" i="41"/>
  <c r="T2764" i="41"/>
  <c r="T2765" i="41"/>
  <c r="T2766" i="41"/>
  <c r="T2767" i="41"/>
  <c r="T2768" i="41"/>
  <c r="T2769" i="41"/>
  <c r="T2770" i="41"/>
  <c r="T2771" i="41"/>
  <c r="T2772" i="41"/>
  <c r="T2773" i="41"/>
  <c r="T2774" i="41"/>
  <c r="T2775" i="41"/>
  <c r="T2776" i="41"/>
  <c r="T2777" i="41"/>
  <c r="T2778" i="41"/>
  <c r="T2779" i="41"/>
  <c r="T2780" i="41"/>
  <c r="T2781" i="41"/>
  <c r="T2782" i="41"/>
  <c r="T2783" i="41"/>
  <c r="T2784" i="41"/>
  <c r="T2785" i="41"/>
  <c r="T2786" i="41"/>
  <c r="T2787" i="41"/>
  <c r="T2788" i="41"/>
  <c r="T2789" i="41"/>
  <c r="T2790" i="41"/>
  <c r="T2791" i="41"/>
  <c r="T2792" i="41"/>
  <c r="T2793" i="41"/>
  <c r="T2794" i="41"/>
  <c r="T2795" i="41"/>
  <c r="T2796" i="41"/>
  <c r="T2797" i="41"/>
  <c r="T2798" i="41"/>
  <c r="T2799" i="41"/>
  <c r="T2800" i="41"/>
  <c r="T2801" i="41"/>
  <c r="T2802" i="41"/>
  <c r="T2803" i="41"/>
  <c r="T2804" i="41"/>
  <c r="T2805" i="41"/>
  <c r="T2806" i="41"/>
  <c r="T2807" i="41"/>
  <c r="T2808" i="41"/>
  <c r="T2809" i="41"/>
  <c r="T2810" i="41"/>
  <c r="T2811" i="41"/>
  <c r="T2812" i="41"/>
  <c r="T2813" i="41"/>
  <c r="T2814" i="41"/>
  <c r="T2815" i="41"/>
  <c r="T2816" i="41"/>
  <c r="T2817" i="41"/>
  <c r="T2818" i="41"/>
  <c r="T2819" i="41"/>
  <c r="T2820" i="41"/>
  <c r="T2821" i="41"/>
  <c r="T2822" i="41"/>
  <c r="T2823" i="41"/>
  <c r="T2824" i="41"/>
  <c r="T2825" i="41"/>
  <c r="T2826" i="41"/>
  <c r="T2827" i="41"/>
  <c r="T2828" i="41"/>
  <c r="T2829" i="41"/>
  <c r="T2830" i="41"/>
  <c r="T2831" i="41"/>
  <c r="T2832" i="41"/>
  <c r="T2833" i="41"/>
  <c r="T2834" i="41"/>
  <c r="T2835" i="41"/>
  <c r="T2836" i="41"/>
  <c r="T2837" i="41"/>
  <c r="T2838" i="41"/>
  <c r="T2839" i="41"/>
  <c r="T2840" i="41"/>
  <c r="T2841" i="41"/>
  <c r="T2842" i="41"/>
  <c r="T2843" i="41"/>
  <c r="T2844" i="41"/>
  <c r="T2845" i="41"/>
  <c r="T2846" i="41"/>
  <c r="T2847" i="41"/>
  <c r="T2848" i="41"/>
  <c r="T2849" i="41"/>
  <c r="T2850" i="41"/>
  <c r="T2851" i="41"/>
  <c r="T2852" i="41"/>
  <c r="T2853" i="41"/>
  <c r="T2854" i="41"/>
  <c r="T2855" i="41"/>
  <c r="T2856" i="41"/>
  <c r="T2857" i="41"/>
  <c r="T2858" i="41"/>
  <c r="T2859" i="41"/>
  <c r="T2860" i="41"/>
  <c r="T2861" i="41"/>
  <c r="T2862" i="41"/>
  <c r="T2863" i="41"/>
  <c r="T2864" i="41"/>
  <c r="T2865" i="41"/>
  <c r="T2866" i="41"/>
  <c r="T2867" i="41"/>
  <c r="T2868" i="41"/>
  <c r="T2869" i="41"/>
  <c r="T2870" i="41"/>
  <c r="T2871" i="41"/>
  <c r="T2872" i="41"/>
  <c r="T2873" i="41"/>
  <c r="T2874" i="41"/>
  <c r="T2875" i="41"/>
  <c r="T2876" i="41"/>
  <c r="T2877" i="41"/>
  <c r="T2878" i="41"/>
  <c r="T2879" i="41"/>
  <c r="T2880" i="41"/>
  <c r="T2881" i="41"/>
  <c r="T2882" i="41"/>
  <c r="T2883" i="41"/>
  <c r="T2884" i="41"/>
  <c r="T2885" i="41"/>
  <c r="T2886" i="41"/>
  <c r="T2887" i="41"/>
  <c r="T2888" i="41"/>
  <c r="T2889" i="41"/>
  <c r="T2890" i="41"/>
  <c r="T2891" i="41"/>
  <c r="T2892" i="41"/>
  <c r="T2893" i="41"/>
  <c r="T2894" i="41"/>
  <c r="T2895" i="41"/>
  <c r="T2896" i="41"/>
  <c r="T2897" i="41"/>
  <c r="T2898" i="41"/>
  <c r="T2899" i="41"/>
  <c r="T2900" i="41"/>
  <c r="T2901" i="41"/>
  <c r="T2902" i="41"/>
  <c r="T2903" i="41"/>
  <c r="T2904" i="41"/>
  <c r="T2905" i="41"/>
  <c r="T2906" i="41"/>
  <c r="T2907" i="41"/>
  <c r="T2908" i="41"/>
  <c r="T2909" i="41"/>
  <c r="T2910" i="41"/>
  <c r="T2911" i="41"/>
  <c r="T2912" i="41"/>
  <c r="T2913" i="41"/>
  <c r="T2914" i="41"/>
  <c r="T2915" i="41"/>
  <c r="T2916" i="41"/>
  <c r="T2917" i="41"/>
  <c r="T2918" i="41"/>
  <c r="T2919" i="41"/>
  <c r="T2920" i="41"/>
  <c r="T2921" i="41"/>
  <c r="T2922" i="41"/>
  <c r="T2923" i="41"/>
  <c r="T2924" i="41"/>
  <c r="T2925" i="41"/>
  <c r="T2926" i="41"/>
  <c r="T2927" i="41"/>
  <c r="T2928" i="41"/>
  <c r="T2929" i="41"/>
  <c r="T2930" i="41"/>
  <c r="T2931" i="41"/>
  <c r="T2932" i="41"/>
  <c r="T2933" i="41"/>
  <c r="T2934" i="41"/>
  <c r="T2935" i="41"/>
  <c r="T2936" i="41"/>
  <c r="T2937" i="41"/>
  <c r="T2938" i="41"/>
  <c r="T2939" i="41"/>
  <c r="T2940" i="41"/>
  <c r="T2941" i="41"/>
  <c r="T2942" i="41"/>
  <c r="T2943" i="41"/>
  <c r="T2944" i="41"/>
  <c r="T2945" i="41"/>
  <c r="T2946" i="41"/>
  <c r="T2947" i="41"/>
  <c r="T2948" i="41"/>
  <c r="T2949" i="41"/>
  <c r="T2950" i="41"/>
  <c r="T2951" i="41"/>
  <c r="T2952" i="41"/>
  <c r="T2953" i="41"/>
  <c r="T2954" i="41"/>
  <c r="T2955" i="41"/>
  <c r="T2956" i="41"/>
  <c r="T2957" i="41"/>
  <c r="T2958" i="41"/>
  <c r="T2959" i="41"/>
  <c r="T2960" i="41"/>
  <c r="T2961" i="41"/>
  <c r="T2962" i="41"/>
  <c r="T2963" i="41"/>
  <c r="T2964" i="41"/>
  <c r="T2965" i="41"/>
  <c r="T2966" i="41"/>
  <c r="T2967" i="41"/>
  <c r="T2968" i="41"/>
  <c r="T2969" i="41"/>
  <c r="T2970" i="41"/>
  <c r="T2971" i="41"/>
  <c r="T2972" i="41"/>
  <c r="T2973" i="41"/>
  <c r="T2974" i="41"/>
  <c r="T2975" i="41"/>
  <c r="T2976" i="41"/>
  <c r="T2977" i="41"/>
  <c r="T2978" i="41"/>
  <c r="T2979" i="41"/>
  <c r="T2980" i="41"/>
  <c r="T2981" i="41"/>
  <c r="T2982" i="41"/>
  <c r="T2983" i="41"/>
  <c r="T2984" i="41"/>
  <c r="T2985" i="41"/>
  <c r="T2986" i="41"/>
  <c r="T2987" i="41"/>
  <c r="T2988" i="41"/>
  <c r="T2989" i="41"/>
  <c r="T2990" i="41"/>
  <c r="T2991" i="41"/>
  <c r="T2992" i="41"/>
  <c r="T2993" i="41"/>
  <c r="T2994" i="41"/>
  <c r="T2995" i="41"/>
  <c r="T2996" i="41"/>
  <c r="T2997" i="41"/>
  <c r="T2998" i="41"/>
  <c r="T2999" i="41"/>
  <c r="T3000" i="41"/>
  <c r="T3001" i="41"/>
  <c r="T3002" i="41"/>
  <c r="T3003" i="41"/>
  <c r="T3004" i="41"/>
  <c r="T3005" i="41"/>
  <c r="T3006" i="41"/>
  <c r="T3007" i="41"/>
  <c r="T3008" i="41"/>
  <c r="T3009" i="41"/>
  <c r="T3010" i="41"/>
  <c r="T3011" i="41"/>
  <c r="T3012" i="41"/>
  <c r="T3013" i="41"/>
  <c r="T3014" i="41"/>
  <c r="T3015" i="41"/>
  <c r="T3016" i="41"/>
  <c r="T3017" i="41"/>
  <c r="T3018" i="41"/>
  <c r="T3019" i="41"/>
  <c r="T3020" i="41"/>
  <c r="T3021" i="41"/>
  <c r="T3022" i="41"/>
  <c r="T3023" i="41"/>
  <c r="T3024" i="41"/>
  <c r="T3025" i="41"/>
  <c r="T3026" i="41"/>
  <c r="T3027" i="41"/>
  <c r="T3028" i="41"/>
  <c r="T3029" i="41"/>
  <c r="T3030" i="41"/>
  <c r="T3031" i="41"/>
  <c r="T3032" i="41"/>
  <c r="T3033" i="41"/>
  <c r="T3034" i="41"/>
  <c r="T3035" i="41"/>
  <c r="T3036" i="41"/>
  <c r="T3037" i="41"/>
  <c r="T3038" i="41"/>
  <c r="T3039" i="41"/>
  <c r="T3040" i="41"/>
  <c r="T3041" i="41"/>
  <c r="T3042" i="41"/>
  <c r="T3043" i="41"/>
  <c r="T3044" i="41"/>
  <c r="T3045" i="41"/>
  <c r="T3046" i="41"/>
  <c r="T3047" i="41"/>
  <c r="T3048" i="41"/>
  <c r="T3049" i="41"/>
  <c r="T3050" i="41"/>
  <c r="T3051" i="41"/>
  <c r="T3052" i="41"/>
  <c r="T3053" i="41"/>
  <c r="T3054" i="41"/>
  <c r="T3055" i="41"/>
  <c r="T3056" i="41"/>
  <c r="T3057" i="41"/>
  <c r="T3058" i="41"/>
  <c r="T3059" i="41"/>
  <c r="T3060" i="41"/>
  <c r="T3061" i="41"/>
  <c r="T3062" i="41"/>
  <c r="T3063" i="41"/>
  <c r="T3064" i="41"/>
  <c r="T3065" i="41"/>
  <c r="T3066" i="41"/>
  <c r="T3067" i="41"/>
  <c r="T3068" i="41"/>
  <c r="T3069" i="41"/>
  <c r="T3070" i="41"/>
  <c r="T3071" i="41"/>
  <c r="T3072" i="41"/>
  <c r="T3073" i="41"/>
  <c r="T3074" i="41"/>
  <c r="T3075" i="41"/>
  <c r="T3076" i="41"/>
  <c r="T3077" i="41"/>
  <c r="T3078" i="41"/>
  <c r="T3079" i="41"/>
  <c r="T3080" i="41"/>
  <c r="T3081" i="41"/>
  <c r="T3082" i="41"/>
  <c r="T3083" i="41"/>
  <c r="T3084" i="41"/>
  <c r="T3085" i="41"/>
  <c r="T3086" i="41"/>
  <c r="T3087" i="41"/>
  <c r="T3088" i="41"/>
  <c r="T3089" i="41"/>
  <c r="T3090" i="41"/>
  <c r="T3091" i="41"/>
  <c r="T3092" i="41"/>
  <c r="T3093" i="41"/>
  <c r="T3094" i="41"/>
  <c r="T3095" i="41"/>
  <c r="T3096" i="41"/>
  <c r="T3097" i="41"/>
  <c r="T3098" i="41"/>
  <c r="T3099" i="41"/>
  <c r="T3100" i="41"/>
  <c r="T3101" i="41"/>
  <c r="T3102" i="41"/>
  <c r="T3103" i="41"/>
  <c r="T3104" i="41"/>
  <c r="T3105" i="41"/>
  <c r="T3106" i="41"/>
  <c r="T3107" i="41"/>
  <c r="T3108" i="41"/>
  <c r="T3109" i="41"/>
  <c r="T3110" i="41"/>
  <c r="T3111" i="41"/>
  <c r="T3112" i="41"/>
  <c r="T3113" i="41"/>
  <c r="T3114" i="41"/>
  <c r="T3115" i="41"/>
  <c r="T3116" i="41"/>
  <c r="T3117" i="41"/>
  <c r="T3118" i="41"/>
  <c r="T3119" i="41"/>
  <c r="T3120" i="41"/>
  <c r="T3121" i="41"/>
  <c r="T3122" i="41"/>
  <c r="T3123" i="41"/>
  <c r="T3124" i="41"/>
  <c r="T3125" i="41"/>
  <c r="T3126" i="41"/>
  <c r="T3127" i="41"/>
  <c r="T3128" i="41"/>
  <c r="T3129" i="41"/>
  <c r="T3130" i="41"/>
  <c r="T3131" i="41"/>
  <c r="T3132" i="41"/>
  <c r="T3133" i="41"/>
  <c r="T3134" i="41"/>
  <c r="T3135" i="41"/>
  <c r="T3136" i="41"/>
  <c r="T3137" i="41"/>
  <c r="T3138" i="41"/>
  <c r="T3139" i="41"/>
  <c r="T3140" i="41"/>
  <c r="T3141" i="41"/>
  <c r="T3142" i="41"/>
  <c r="T3143" i="41"/>
  <c r="T3144" i="41"/>
  <c r="T3145" i="41"/>
  <c r="T3146" i="41"/>
  <c r="T3147" i="41"/>
  <c r="T3148" i="41"/>
  <c r="T3149" i="41"/>
  <c r="T3150" i="41"/>
  <c r="T3151" i="41"/>
  <c r="T3152" i="41"/>
  <c r="T3153" i="41"/>
  <c r="V2" i="41"/>
  <c r="V3" i="41"/>
  <c r="V4" i="41"/>
  <c r="V5" i="41"/>
  <c r="V6" i="41"/>
  <c r="V7" i="41"/>
  <c r="V8" i="41"/>
  <c r="V9" i="41"/>
  <c r="V10" i="41"/>
  <c r="V11" i="41"/>
  <c r="V12" i="41"/>
  <c r="V13" i="41"/>
  <c r="V14" i="41"/>
  <c r="V15" i="41"/>
  <c r="V16" i="41"/>
  <c r="V17" i="41"/>
  <c r="V18" i="41"/>
  <c r="V19" i="41"/>
  <c r="V20" i="41"/>
  <c r="V21" i="41"/>
  <c r="V22" i="41"/>
  <c r="V23" i="41"/>
  <c r="V24" i="41"/>
  <c r="V25" i="41"/>
  <c r="V26" i="41"/>
  <c r="V27" i="41"/>
  <c r="V28" i="41"/>
  <c r="V29" i="41"/>
  <c r="V30" i="41"/>
  <c r="V31" i="41"/>
  <c r="V32" i="41"/>
  <c r="V33" i="41"/>
  <c r="V34" i="41"/>
  <c r="V35" i="41"/>
  <c r="V36" i="41"/>
  <c r="V37" i="41"/>
  <c r="V38" i="41"/>
  <c r="V39" i="41"/>
  <c r="V40" i="41"/>
  <c r="V41" i="41"/>
  <c r="V42" i="41"/>
  <c r="V43" i="41"/>
  <c r="V44" i="41"/>
  <c r="V45" i="41"/>
  <c r="V46" i="41"/>
  <c r="V47" i="41"/>
  <c r="V48" i="41"/>
  <c r="V49" i="41"/>
  <c r="V50" i="41"/>
  <c r="V51" i="41"/>
  <c r="V52" i="41"/>
  <c r="V53" i="41"/>
  <c r="V54" i="41"/>
  <c r="V55" i="41"/>
  <c r="V56" i="41"/>
  <c r="V57" i="41"/>
  <c r="V58" i="41"/>
  <c r="V59" i="41"/>
  <c r="V60" i="41"/>
  <c r="V61" i="41"/>
  <c r="V62" i="41"/>
  <c r="V63" i="41"/>
  <c r="V64" i="41"/>
  <c r="V65" i="41"/>
  <c r="V66" i="41"/>
  <c r="V67" i="41"/>
  <c r="V68" i="41"/>
  <c r="V69" i="41"/>
  <c r="V70" i="41"/>
  <c r="V71" i="41"/>
  <c r="V72" i="41"/>
  <c r="V73" i="41"/>
  <c r="V74" i="41"/>
  <c r="V75" i="41"/>
  <c r="V76" i="41"/>
  <c r="V77" i="41"/>
  <c r="V78" i="41"/>
  <c r="V79" i="41"/>
  <c r="V80" i="41"/>
  <c r="V81" i="41"/>
  <c r="V82" i="41"/>
  <c r="V83" i="41"/>
  <c r="V84" i="41"/>
  <c r="V85" i="41"/>
  <c r="V86" i="41"/>
  <c r="V87" i="41"/>
  <c r="V88" i="41"/>
  <c r="V89" i="41"/>
  <c r="V90" i="41"/>
  <c r="V91" i="41"/>
  <c r="V92" i="41"/>
  <c r="V93" i="41"/>
  <c r="V94" i="41"/>
  <c r="V95" i="41"/>
  <c r="V96" i="41"/>
  <c r="V97" i="41"/>
  <c r="V98" i="41"/>
  <c r="V99" i="41"/>
  <c r="V100" i="41"/>
  <c r="V101" i="41"/>
  <c r="V102" i="41"/>
  <c r="V103" i="41"/>
  <c r="V104" i="41"/>
  <c r="V105" i="41"/>
  <c r="V106" i="41"/>
  <c r="V107" i="41"/>
  <c r="V108" i="41"/>
  <c r="V109" i="41"/>
  <c r="V110" i="41"/>
  <c r="V111" i="41"/>
  <c r="V112" i="41"/>
  <c r="V113" i="41"/>
  <c r="V114" i="41"/>
  <c r="V115" i="41"/>
  <c r="V116" i="41"/>
  <c r="V117" i="41"/>
  <c r="V118" i="41"/>
  <c r="V119" i="41"/>
  <c r="V120" i="41"/>
  <c r="V121" i="41"/>
  <c r="V122" i="41"/>
  <c r="V123" i="41"/>
  <c r="V124" i="41"/>
  <c r="V125" i="41"/>
  <c r="V126" i="41"/>
  <c r="V127" i="41"/>
  <c r="V128" i="41"/>
  <c r="V129" i="41"/>
  <c r="V130" i="41"/>
  <c r="V131" i="41"/>
  <c r="V132" i="41"/>
  <c r="V133" i="41"/>
  <c r="V134" i="41"/>
  <c r="V135" i="41"/>
  <c r="V136" i="41"/>
  <c r="V137" i="41"/>
  <c r="V138" i="41"/>
  <c r="V139" i="41"/>
  <c r="V140" i="41"/>
  <c r="V141" i="41"/>
  <c r="V142" i="41"/>
  <c r="V143" i="41"/>
  <c r="V144" i="41"/>
  <c r="V145" i="41"/>
  <c r="V146" i="41"/>
  <c r="V147" i="41"/>
  <c r="V148" i="41"/>
  <c r="V149" i="41"/>
  <c r="V150" i="41"/>
  <c r="V151" i="41"/>
  <c r="V152" i="41"/>
  <c r="V153" i="41"/>
  <c r="V154" i="41"/>
  <c r="V155" i="41"/>
  <c r="V156" i="41"/>
  <c r="V157" i="41"/>
  <c r="V158" i="41"/>
  <c r="V159" i="41"/>
  <c r="V160" i="41"/>
  <c r="V161" i="41"/>
  <c r="V162" i="41"/>
  <c r="V163" i="41"/>
  <c r="V164" i="41"/>
  <c r="V165" i="41"/>
  <c r="V166" i="41"/>
  <c r="V167" i="41"/>
  <c r="V168" i="41"/>
  <c r="V169" i="41"/>
  <c r="V170" i="41"/>
  <c r="V171" i="41"/>
  <c r="V172" i="41"/>
  <c r="V173" i="41"/>
  <c r="V174" i="41"/>
  <c r="V175" i="41"/>
  <c r="V176" i="41"/>
  <c r="V177" i="41"/>
  <c r="V178" i="41"/>
  <c r="V179" i="41"/>
  <c r="V180" i="41"/>
  <c r="V181" i="41"/>
  <c r="V182" i="41"/>
  <c r="V183" i="41"/>
  <c r="V184" i="41"/>
  <c r="V185" i="41"/>
  <c r="V186" i="41"/>
  <c r="V187" i="41"/>
  <c r="V188" i="41"/>
  <c r="V189" i="41"/>
  <c r="V190" i="41"/>
  <c r="V191" i="41"/>
  <c r="V192" i="41"/>
  <c r="V193" i="41"/>
  <c r="V194" i="41"/>
  <c r="V195" i="41"/>
  <c r="V196" i="41"/>
  <c r="V197" i="41"/>
  <c r="V198" i="41"/>
  <c r="V199" i="41"/>
  <c r="V200" i="41"/>
  <c r="V201" i="41"/>
  <c r="V202" i="41"/>
  <c r="V203" i="41"/>
  <c r="V204" i="41"/>
  <c r="V205" i="41"/>
  <c r="V206" i="41"/>
  <c r="V207" i="41"/>
  <c r="V208" i="41"/>
  <c r="V209" i="41"/>
  <c r="V210" i="41"/>
  <c r="V211" i="41"/>
  <c r="V212" i="41"/>
  <c r="V213" i="41"/>
  <c r="V214" i="41"/>
  <c r="V215" i="41"/>
  <c r="V216" i="41"/>
  <c r="V217" i="41"/>
  <c r="V218" i="41"/>
  <c r="V219" i="41"/>
  <c r="V220" i="41"/>
  <c r="V221" i="41"/>
  <c r="V222" i="41"/>
  <c r="V223" i="41"/>
  <c r="V224" i="41"/>
  <c r="V225" i="41"/>
  <c r="V226" i="41"/>
  <c r="V227" i="41"/>
  <c r="V228" i="41"/>
  <c r="V229" i="41"/>
  <c r="V230" i="41"/>
  <c r="V231" i="41"/>
  <c r="V232" i="41"/>
  <c r="V233" i="41"/>
  <c r="V234" i="41"/>
  <c r="V235" i="41"/>
  <c r="V236" i="41"/>
  <c r="V237" i="41"/>
  <c r="V238" i="41"/>
  <c r="V239" i="41"/>
  <c r="V240" i="41"/>
  <c r="V241" i="41"/>
  <c r="V242" i="41"/>
  <c r="V243" i="41"/>
  <c r="V244" i="41"/>
  <c r="V245" i="41"/>
  <c r="V246" i="41"/>
  <c r="V247" i="41"/>
  <c r="V248" i="41"/>
  <c r="V249" i="41"/>
  <c r="V250" i="41"/>
  <c r="V251" i="41"/>
  <c r="V252" i="41"/>
  <c r="V253" i="41"/>
  <c r="V254" i="41"/>
  <c r="V255" i="41"/>
  <c r="V256" i="41"/>
  <c r="V257" i="41"/>
  <c r="V258" i="41"/>
  <c r="V259" i="41"/>
  <c r="V260" i="41"/>
  <c r="V261" i="41"/>
  <c r="V262" i="41"/>
  <c r="V263" i="41"/>
  <c r="V264" i="41"/>
  <c r="V265" i="41"/>
  <c r="V266" i="41"/>
  <c r="V267" i="41"/>
  <c r="V268" i="41"/>
  <c r="V269" i="41"/>
  <c r="V270" i="41"/>
  <c r="V271" i="41"/>
  <c r="V272" i="41"/>
  <c r="V273" i="41"/>
  <c r="V274" i="41"/>
  <c r="V275" i="41"/>
  <c r="V276" i="41"/>
  <c r="V277" i="41"/>
  <c r="V278" i="41"/>
  <c r="V279" i="41"/>
  <c r="V280" i="41"/>
  <c r="V281" i="41"/>
  <c r="V282" i="41"/>
  <c r="V283" i="41"/>
  <c r="V284" i="41"/>
  <c r="V285" i="41"/>
  <c r="V286" i="41"/>
  <c r="V287" i="41"/>
  <c r="V288" i="41"/>
  <c r="V289" i="41"/>
  <c r="V290" i="41"/>
  <c r="V291" i="41"/>
  <c r="V292" i="41"/>
  <c r="V293" i="41"/>
  <c r="V294" i="41"/>
  <c r="V295" i="41"/>
  <c r="V296" i="41"/>
  <c r="V297" i="41"/>
  <c r="V298" i="41"/>
  <c r="V299" i="41"/>
  <c r="V300" i="41"/>
  <c r="V301" i="41"/>
  <c r="V302" i="41"/>
  <c r="V303" i="41"/>
  <c r="V304" i="41"/>
  <c r="V305" i="41"/>
  <c r="V306" i="41"/>
  <c r="V307" i="41"/>
  <c r="V308" i="41"/>
  <c r="V309" i="41"/>
  <c r="V310" i="41"/>
  <c r="V311" i="41"/>
  <c r="V312" i="41"/>
  <c r="V313" i="41"/>
  <c r="V314" i="41"/>
  <c r="V315" i="41"/>
  <c r="V316" i="41"/>
  <c r="V317" i="41"/>
  <c r="V318" i="41"/>
  <c r="V319" i="41"/>
  <c r="V320" i="41"/>
  <c r="V321" i="41"/>
  <c r="V322" i="41"/>
  <c r="V323" i="41"/>
  <c r="V324" i="41"/>
  <c r="V325" i="41"/>
  <c r="V326" i="41"/>
  <c r="V327" i="41"/>
  <c r="V328" i="41"/>
  <c r="V329" i="41"/>
  <c r="V330" i="41"/>
  <c r="V331" i="41"/>
  <c r="V332" i="41"/>
  <c r="V333" i="41"/>
  <c r="V334" i="41"/>
  <c r="V335" i="41"/>
  <c r="V336" i="41"/>
  <c r="V337" i="41"/>
  <c r="V338" i="41"/>
  <c r="V339" i="41"/>
  <c r="V340" i="41"/>
  <c r="V341" i="41"/>
  <c r="V342" i="41"/>
  <c r="V343" i="41"/>
  <c r="V344" i="41"/>
  <c r="V345" i="41"/>
  <c r="V346" i="41"/>
  <c r="V347" i="41"/>
  <c r="V348" i="41"/>
  <c r="V349" i="41"/>
  <c r="V350" i="41"/>
  <c r="V351" i="41"/>
  <c r="V352" i="41"/>
  <c r="V353" i="41"/>
  <c r="V354" i="41"/>
  <c r="V355" i="41"/>
  <c r="V356" i="41"/>
  <c r="V357" i="41"/>
  <c r="V358" i="41"/>
  <c r="V359" i="41"/>
  <c r="V360" i="41"/>
  <c r="V361" i="41"/>
  <c r="V362" i="41"/>
  <c r="V363" i="41"/>
  <c r="V364" i="41"/>
  <c r="V365" i="41"/>
  <c r="V366" i="41"/>
  <c r="V367" i="41"/>
  <c r="V368" i="41"/>
  <c r="V369" i="41"/>
  <c r="V370" i="41"/>
  <c r="V371" i="41"/>
  <c r="V372" i="41"/>
  <c r="V373" i="41"/>
  <c r="V374" i="41"/>
  <c r="V375" i="41"/>
  <c r="V376" i="41"/>
  <c r="V377" i="41"/>
  <c r="V378" i="41"/>
  <c r="V379" i="41"/>
  <c r="V380" i="41"/>
  <c r="V381" i="41"/>
  <c r="V382" i="41"/>
  <c r="V383" i="41"/>
  <c r="V384" i="41"/>
  <c r="V385" i="41"/>
  <c r="V386" i="41"/>
  <c r="V387" i="41"/>
  <c r="V388" i="41"/>
  <c r="V389" i="41"/>
  <c r="V390" i="41"/>
  <c r="V391" i="41"/>
  <c r="V392" i="41"/>
  <c r="V393" i="41"/>
  <c r="V394" i="41"/>
  <c r="V395" i="41"/>
  <c r="V396" i="41"/>
  <c r="V397" i="41"/>
  <c r="V398" i="41"/>
  <c r="V399" i="41"/>
  <c r="V400" i="41"/>
  <c r="V401" i="41"/>
  <c r="V402" i="41"/>
  <c r="V403" i="41"/>
  <c r="V404" i="41"/>
  <c r="V405" i="41"/>
  <c r="V406" i="41"/>
  <c r="V407" i="41"/>
  <c r="V408" i="41"/>
  <c r="V409" i="41"/>
  <c r="V410" i="41"/>
  <c r="V411" i="41"/>
  <c r="V412" i="41"/>
  <c r="V413" i="41"/>
  <c r="V414" i="41"/>
  <c r="V415" i="41"/>
  <c r="V416" i="41"/>
  <c r="V417" i="41"/>
  <c r="V418" i="41"/>
  <c r="V419" i="41"/>
  <c r="V420" i="41"/>
  <c r="V421" i="41"/>
  <c r="V422" i="41"/>
  <c r="V423" i="41"/>
  <c r="V424" i="41"/>
  <c r="V425" i="41"/>
  <c r="V426" i="41"/>
  <c r="V427" i="41"/>
  <c r="V428" i="41"/>
  <c r="V429" i="41"/>
  <c r="V430" i="41"/>
  <c r="V431" i="41"/>
  <c r="V432" i="41"/>
  <c r="V433" i="41"/>
  <c r="V434" i="41"/>
  <c r="V435" i="41"/>
  <c r="V436" i="41"/>
  <c r="V437" i="41"/>
  <c r="V438" i="41"/>
  <c r="V439" i="41"/>
  <c r="V440" i="41"/>
  <c r="V441" i="41"/>
  <c r="V442" i="41"/>
  <c r="V443" i="41"/>
  <c r="V444" i="41"/>
  <c r="V445" i="41"/>
  <c r="V446" i="41"/>
  <c r="V447" i="41"/>
  <c r="V448" i="41"/>
  <c r="V449" i="41"/>
  <c r="V450" i="41"/>
  <c r="V451" i="41"/>
  <c r="V452" i="41"/>
  <c r="V453" i="41"/>
  <c r="V454" i="41"/>
  <c r="V455" i="41"/>
  <c r="V456" i="41"/>
  <c r="V457" i="41"/>
  <c r="V458" i="41"/>
  <c r="V459" i="41"/>
  <c r="V460" i="41"/>
  <c r="V461" i="41"/>
  <c r="V462" i="41"/>
  <c r="V463" i="41"/>
  <c r="V464" i="41"/>
  <c r="V465" i="41"/>
  <c r="V466" i="41"/>
  <c r="V467" i="41"/>
  <c r="V468" i="41"/>
  <c r="V469" i="41"/>
  <c r="V470" i="41"/>
  <c r="V471" i="41"/>
  <c r="V472" i="41"/>
  <c r="V473" i="41"/>
  <c r="V474" i="41"/>
  <c r="V475" i="41"/>
  <c r="V476" i="41"/>
  <c r="V477" i="41"/>
  <c r="V478" i="41"/>
  <c r="V479" i="41"/>
  <c r="V480" i="41"/>
  <c r="V481" i="41"/>
  <c r="V482" i="41"/>
  <c r="V483" i="41"/>
  <c r="V484" i="41"/>
  <c r="V485" i="41"/>
  <c r="V486" i="41"/>
  <c r="V487" i="41"/>
  <c r="V488" i="41"/>
  <c r="V489" i="41"/>
  <c r="V490" i="41"/>
  <c r="V491" i="41"/>
  <c r="V492" i="41"/>
  <c r="V493" i="41"/>
  <c r="V494" i="41"/>
  <c r="V495" i="41"/>
  <c r="V496" i="41"/>
  <c r="V497" i="41"/>
  <c r="V498" i="41"/>
  <c r="V499" i="41"/>
  <c r="V500" i="41"/>
  <c r="V501" i="41"/>
  <c r="V502" i="41"/>
  <c r="V503" i="41"/>
  <c r="V504" i="41"/>
  <c r="V505" i="41"/>
  <c r="V506" i="41"/>
  <c r="V507" i="41"/>
  <c r="V508" i="41"/>
  <c r="V509" i="41"/>
  <c r="V510" i="41"/>
  <c r="V511" i="41"/>
  <c r="V512" i="41"/>
  <c r="V513" i="41"/>
  <c r="V514" i="41"/>
  <c r="V515" i="41"/>
  <c r="V516" i="41"/>
  <c r="V517" i="41"/>
  <c r="V518" i="41"/>
  <c r="V519" i="41"/>
  <c r="V520" i="41"/>
  <c r="V521" i="41"/>
  <c r="V522" i="41"/>
  <c r="V523" i="41"/>
  <c r="V524" i="41"/>
  <c r="V525" i="41"/>
  <c r="V526" i="41"/>
  <c r="V527" i="41"/>
  <c r="V528" i="41"/>
  <c r="V529" i="41"/>
  <c r="V530" i="41"/>
  <c r="V531" i="41"/>
  <c r="V532" i="41"/>
  <c r="V533" i="41"/>
  <c r="V534" i="41"/>
  <c r="V535" i="41"/>
  <c r="V536" i="41"/>
  <c r="V537" i="41"/>
  <c r="V538" i="41"/>
  <c r="V539" i="41"/>
  <c r="V540" i="41"/>
  <c r="V541" i="41"/>
  <c r="V542" i="41"/>
  <c r="V543" i="41"/>
  <c r="V544" i="41"/>
  <c r="V545" i="41"/>
  <c r="V546" i="41"/>
  <c r="V547" i="41"/>
  <c r="V548" i="41"/>
  <c r="V549" i="41"/>
  <c r="V550" i="41"/>
  <c r="V551" i="41"/>
  <c r="V552" i="41"/>
  <c r="V553" i="41"/>
  <c r="V554" i="41"/>
  <c r="V555" i="41"/>
  <c r="V556" i="41"/>
  <c r="V557" i="41"/>
  <c r="V558" i="41"/>
  <c r="V559" i="41"/>
  <c r="V560" i="41"/>
  <c r="V561" i="41"/>
  <c r="V562" i="41"/>
  <c r="V563" i="41"/>
  <c r="V564" i="41"/>
  <c r="V565" i="41"/>
  <c r="V566" i="41"/>
  <c r="V567" i="41"/>
  <c r="V568" i="41"/>
  <c r="V569" i="41"/>
  <c r="V570" i="41"/>
  <c r="V571" i="41"/>
  <c r="V572" i="41"/>
  <c r="V573" i="41"/>
  <c r="V574" i="41"/>
  <c r="V575" i="41"/>
  <c r="V576" i="41"/>
  <c r="V577" i="41"/>
  <c r="V578" i="41"/>
  <c r="V579" i="41"/>
  <c r="V580" i="41"/>
  <c r="V581" i="41"/>
  <c r="V582" i="41"/>
  <c r="V583" i="41"/>
  <c r="V584" i="41"/>
  <c r="V585" i="41"/>
  <c r="V586" i="41"/>
  <c r="V587" i="41"/>
  <c r="V588" i="41"/>
  <c r="V589" i="41"/>
  <c r="V590" i="41"/>
  <c r="V591" i="41"/>
  <c r="V592" i="41"/>
  <c r="V593" i="41"/>
  <c r="V594" i="41"/>
  <c r="V595" i="41"/>
  <c r="V596" i="41"/>
  <c r="V597" i="41"/>
  <c r="V598" i="41"/>
  <c r="V599" i="41"/>
  <c r="V600" i="41"/>
  <c r="V601" i="41"/>
  <c r="V602" i="41"/>
  <c r="V603" i="41"/>
  <c r="V604" i="41"/>
  <c r="V605" i="41"/>
  <c r="V606" i="41"/>
  <c r="V607" i="41"/>
  <c r="V608" i="41"/>
  <c r="V609" i="41"/>
  <c r="V610" i="41"/>
  <c r="V611" i="41"/>
  <c r="V612" i="41"/>
  <c r="V613" i="41"/>
  <c r="V614" i="41"/>
  <c r="V615" i="41"/>
  <c r="V616" i="41"/>
  <c r="V617" i="41"/>
  <c r="V618" i="41"/>
  <c r="V619" i="41"/>
  <c r="V620" i="41"/>
  <c r="V621" i="41"/>
  <c r="V622" i="41"/>
  <c r="V623" i="41"/>
  <c r="V624" i="41"/>
  <c r="V625" i="41"/>
  <c r="V626" i="41"/>
  <c r="V627" i="41"/>
  <c r="V628" i="41"/>
  <c r="V629" i="41"/>
  <c r="V630" i="41"/>
  <c r="V631" i="41"/>
  <c r="V632" i="41"/>
  <c r="V633" i="41"/>
  <c r="V634" i="41"/>
  <c r="V635" i="41"/>
  <c r="V636" i="41"/>
  <c r="V637" i="41"/>
  <c r="V638" i="41"/>
  <c r="V639" i="41"/>
  <c r="V640" i="41"/>
  <c r="V641" i="41"/>
  <c r="V642" i="41"/>
  <c r="V643" i="41"/>
  <c r="V644" i="41"/>
  <c r="V645" i="41"/>
  <c r="V646" i="41"/>
  <c r="V647" i="41"/>
  <c r="V648" i="41"/>
  <c r="V649" i="41"/>
  <c r="V650" i="41"/>
  <c r="V651" i="41"/>
  <c r="V652" i="41"/>
  <c r="V653" i="41"/>
  <c r="V654" i="41"/>
  <c r="V655" i="41"/>
  <c r="V656" i="41"/>
  <c r="V657" i="41"/>
  <c r="V658" i="41"/>
  <c r="V659" i="41"/>
  <c r="V660" i="41"/>
  <c r="V661" i="41"/>
  <c r="V662" i="41"/>
  <c r="V663" i="41"/>
  <c r="V664" i="41"/>
  <c r="V665" i="41"/>
  <c r="V666" i="41"/>
  <c r="V667" i="41"/>
  <c r="V668" i="41"/>
  <c r="V669" i="41"/>
  <c r="V670" i="41"/>
  <c r="V671" i="41"/>
  <c r="V672" i="41"/>
  <c r="V673" i="41"/>
  <c r="V674" i="41"/>
  <c r="V675" i="41"/>
  <c r="V676" i="41"/>
  <c r="V677" i="41"/>
  <c r="V678" i="41"/>
  <c r="V679" i="41"/>
  <c r="V680" i="41"/>
  <c r="V681" i="41"/>
  <c r="V682" i="41"/>
  <c r="V683" i="41"/>
  <c r="V684" i="41"/>
  <c r="V685" i="41"/>
  <c r="V686" i="41"/>
  <c r="V687" i="41"/>
  <c r="V688" i="41"/>
  <c r="V689" i="41"/>
  <c r="V690" i="41"/>
  <c r="V691" i="41"/>
  <c r="V692" i="41"/>
  <c r="V693" i="41"/>
  <c r="V694" i="41"/>
  <c r="V695" i="41"/>
  <c r="V696" i="41"/>
  <c r="V697" i="41"/>
  <c r="V698" i="41"/>
  <c r="V699" i="41"/>
  <c r="V700" i="41"/>
  <c r="V701" i="41"/>
  <c r="V702" i="41"/>
  <c r="V703" i="41"/>
  <c r="V704" i="41"/>
  <c r="V705" i="41"/>
  <c r="V706" i="41"/>
  <c r="V707" i="41"/>
  <c r="V708" i="41"/>
  <c r="V709" i="41"/>
  <c r="V710" i="41"/>
  <c r="V711" i="41"/>
  <c r="V712" i="41"/>
  <c r="V713" i="41"/>
  <c r="V714" i="41"/>
  <c r="V715" i="41"/>
  <c r="V716" i="41"/>
  <c r="V717" i="41"/>
  <c r="V718" i="41"/>
  <c r="V719" i="41"/>
  <c r="V720" i="41"/>
  <c r="V721" i="41"/>
  <c r="V722" i="41"/>
  <c r="V723" i="41"/>
  <c r="V724" i="41"/>
  <c r="V725" i="41"/>
  <c r="V726" i="41"/>
  <c r="V727" i="41"/>
  <c r="V728" i="41"/>
  <c r="V729" i="41"/>
  <c r="V730" i="41"/>
  <c r="V731" i="41"/>
  <c r="V732" i="41"/>
  <c r="V733" i="41"/>
  <c r="V734" i="41"/>
  <c r="V735" i="41"/>
  <c r="V736" i="41"/>
  <c r="V737" i="41"/>
  <c r="V738" i="41"/>
  <c r="V739" i="41"/>
  <c r="V740" i="41"/>
  <c r="V741" i="41"/>
  <c r="V742" i="41"/>
  <c r="V743" i="41"/>
  <c r="V744" i="41"/>
  <c r="V745" i="41"/>
  <c r="V746" i="41"/>
  <c r="V747" i="41"/>
  <c r="V748" i="41"/>
  <c r="V749" i="41"/>
  <c r="V750" i="41"/>
  <c r="V751" i="41"/>
  <c r="V752" i="41"/>
  <c r="V753" i="41"/>
  <c r="V754" i="41"/>
  <c r="V755" i="41"/>
  <c r="V756" i="41"/>
  <c r="V757" i="41"/>
  <c r="V758" i="41"/>
  <c r="V759" i="41"/>
  <c r="V760" i="41"/>
  <c r="V761" i="41"/>
  <c r="V762" i="41"/>
  <c r="V763" i="41"/>
  <c r="V764" i="41"/>
  <c r="V765" i="41"/>
  <c r="V766" i="41"/>
  <c r="V767" i="41"/>
  <c r="V768" i="41"/>
  <c r="V769" i="41"/>
  <c r="V770" i="41"/>
  <c r="V771" i="41"/>
  <c r="V772" i="41"/>
  <c r="V773" i="41"/>
  <c r="V774" i="41"/>
  <c r="V775" i="41"/>
  <c r="V776" i="41"/>
  <c r="V777" i="41"/>
  <c r="V778" i="41"/>
  <c r="V779" i="41"/>
  <c r="V780" i="41"/>
  <c r="V781" i="41"/>
  <c r="V782" i="41"/>
  <c r="V783" i="41"/>
  <c r="V784" i="41"/>
  <c r="V785" i="41"/>
  <c r="V786" i="41"/>
  <c r="V787" i="41"/>
  <c r="V788" i="41"/>
  <c r="V789" i="41"/>
  <c r="V790" i="41"/>
  <c r="V791" i="41"/>
  <c r="V792" i="41"/>
  <c r="V793" i="41"/>
  <c r="V794" i="41"/>
  <c r="V795" i="41"/>
  <c r="V796" i="41"/>
  <c r="V797" i="41"/>
  <c r="V798" i="41"/>
  <c r="V799" i="41"/>
  <c r="V800" i="41"/>
  <c r="V801" i="41"/>
  <c r="V802" i="41"/>
  <c r="V803" i="41"/>
  <c r="V804" i="41"/>
  <c r="V805" i="41"/>
  <c r="V806" i="41"/>
  <c r="V807" i="41"/>
  <c r="V808" i="41"/>
  <c r="V809" i="41"/>
  <c r="V810" i="41"/>
  <c r="V811" i="41"/>
  <c r="V812" i="41"/>
  <c r="V813" i="41"/>
  <c r="V814" i="41"/>
  <c r="V815" i="41"/>
  <c r="V816" i="41"/>
  <c r="V817" i="41"/>
  <c r="V818" i="41"/>
  <c r="V819" i="41"/>
  <c r="V820" i="41"/>
  <c r="V821" i="41"/>
  <c r="V822" i="41"/>
  <c r="V823" i="41"/>
  <c r="V824" i="41"/>
  <c r="V825" i="41"/>
  <c r="V826" i="41"/>
  <c r="V827" i="41"/>
  <c r="V828" i="41"/>
  <c r="V829" i="41"/>
  <c r="V830" i="41"/>
  <c r="V831" i="41"/>
  <c r="V832" i="41"/>
  <c r="V833" i="41"/>
  <c r="V834" i="41"/>
  <c r="V835" i="41"/>
  <c r="V836" i="41"/>
  <c r="V837" i="41"/>
  <c r="V838" i="41"/>
  <c r="V839" i="41"/>
  <c r="V840" i="41"/>
  <c r="V841" i="41"/>
  <c r="V842" i="41"/>
  <c r="V843" i="41"/>
  <c r="V844" i="41"/>
  <c r="V845" i="41"/>
  <c r="V846" i="41"/>
  <c r="V847" i="41"/>
  <c r="V848" i="41"/>
  <c r="V849" i="41"/>
  <c r="V850" i="41"/>
  <c r="V851" i="41"/>
  <c r="V852" i="41"/>
  <c r="V853" i="41"/>
  <c r="V854" i="41"/>
  <c r="V855" i="41"/>
  <c r="V856" i="41"/>
  <c r="V857" i="41"/>
  <c r="V858" i="41"/>
  <c r="V859" i="41"/>
  <c r="V860" i="41"/>
  <c r="V861" i="41"/>
  <c r="V862" i="41"/>
  <c r="V863" i="41"/>
  <c r="V864" i="41"/>
  <c r="V865" i="41"/>
  <c r="V866" i="41"/>
  <c r="V867" i="41"/>
  <c r="V868" i="41"/>
  <c r="V869" i="41"/>
  <c r="V870" i="41"/>
  <c r="V871" i="41"/>
  <c r="V872" i="41"/>
  <c r="V873" i="41"/>
  <c r="V874" i="41"/>
  <c r="V875" i="41"/>
  <c r="V876" i="41"/>
  <c r="V877" i="41"/>
  <c r="V878" i="41"/>
  <c r="V879" i="41"/>
  <c r="V880" i="41"/>
  <c r="V881" i="41"/>
  <c r="V882" i="41"/>
  <c r="V883" i="41"/>
  <c r="V884" i="41"/>
  <c r="V885" i="41"/>
  <c r="V886" i="41"/>
  <c r="V887" i="41"/>
  <c r="V888" i="41"/>
  <c r="V889" i="41"/>
  <c r="V890" i="41"/>
  <c r="V891" i="41"/>
  <c r="V892" i="41"/>
  <c r="V893" i="41"/>
  <c r="V894" i="41"/>
  <c r="V895" i="41"/>
  <c r="V896" i="41"/>
  <c r="V897" i="41"/>
  <c r="V898" i="41"/>
  <c r="V899" i="41"/>
  <c r="V900" i="41"/>
  <c r="V901" i="41"/>
  <c r="V902" i="41"/>
  <c r="V903" i="41"/>
  <c r="V904" i="41"/>
  <c r="V905" i="41"/>
  <c r="V906" i="41"/>
  <c r="V907" i="41"/>
  <c r="V908" i="41"/>
  <c r="V909" i="41"/>
  <c r="V910" i="41"/>
  <c r="V911" i="41"/>
  <c r="V912" i="41"/>
  <c r="V913" i="41"/>
  <c r="V914" i="41"/>
  <c r="V915" i="41"/>
  <c r="V916" i="41"/>
  <c r="V917" i="41"/>
  <c r="V918" i="41"/>
  <c r="V919" i="41"/>
  <c r="V920" i="41"/>
  <c r="V921" i="41"/>
  <c r="V922" i="41"/>
  <c r="V923" i="41"/>
  <c r="V924" i="41"/>
  <c r="V925" i="41"/>
  <c r="V926" i="41"/>
  <c r="V927" i="41"/>
  <c r="V928" i="41"/>
  <c r="V929" i="41"/>
  <c r="V930" i="41"/>
  <c r="V931" i="41"/>
  <c r="V932" i="41"/>
  <c r="V933" i="41"/>
  <c r="V934" i="41"/>
  <c r="V935" i="41"/>
  <c r="V936" i="41"/>
  <c r="V937" i="41"/>
  <c r="V938" i="41"/>
  <c r="V939" i="41"/>
  <c r="V940" i="41"/>
  <c r="V941" i="41"/>
  <c r="V942" i="41"/>
  <c r="V943" i="41"/>
  <c r="V944" i="41"/>
  <c r="V945" i="41"/>
  <c r="V946" i="41"/>
  <c r="V947" i="41"/>
  <c r="V948" i="41"/>
  <c r="V949" i="41"/>
  <c r="V950" i="41"/>
  <c r="V951" i="41"/>
  <c r="V952" i="41"/>
  <c r="V953" i="41"/>
  <c r="V954" i="41"/>
  <c r="V955" i="41"/>
  <c r="V956" i="41"/>
  <c r="V957" i="41"/>
  <c r="V958" i="41"/>
  <c r="V959" i="41"/>
  <c r="V960" i="41"/>
  <c r="V961" i="41"/>
  <c r="V962" i="41"/>
  <c r="V963" i="41"/>
  <c r="V964" i="41"/>
  <c r="V965" i="41"/>
  <c r="V966" i="41"/>
  <c r="V967" i="41"/>
  <c r="V968" i="41"/>
  <c r="V969" i="41"/>
  <c r="V970" i="41"/>
  <c r="V971" i="41"/>
  <c r="V972" i="41"/>
  <c r="V973" i="41"/>
  <c r="V974" i="41"/>
  <c r="V975" i="41"/>
  <c r="V976" i="41"/>
  <c r="V977" i="41"/>
  <c r="V978" i="41"/>
  <c r="V979" i="41"/>
  <c r="V980" i="41"/>
  <c r="V981" i="41"/>
  <c r="V982" i="41"/>
  <c r="V983" i="41"/>
  <c r="V984" i="41"/>
  <c r="V985" i="41"/>
  <c r="V986" i="41"/>
  <c r="V987" i="41"/>
  <c r="V988" i="41"/>
  <c r="V989" i="41"/>
  <c r="V990" i="41"/>
  <c r="V991" i="41"/>
  <c r="V992" i="41"/>
  <c r="V993" i="41"/>
  <c r="V994" i="41"/>
  <c r="V995" i="41"/>
  <c r="V996" i="41"/>
  <c r="V997" i="41"/>
  <c r="V998" i="41"/>
  <c r="V999" i="41"/>
  <c r="V1000" i="41"/>
  <c r="V1001" i="41"/>
  <c r="V1002" i="41"/>
  <c r="V1003" i="41"/>
  <c r="V1004" i="41"/>
  <c r="V1005" i="41"/>
  <c r="V1006" i="41"/>
  <c r="V1007" i="41"/>
  <c r="V1008" i="41"/>
  <c r="V1009" i="41"/>
  <c r="V1010" i="41"/>
  <c r="V1011" i="41"/>
  <c r="V1012" i="41"/>
  <c r="V1013" i="41"/>
  <c r="V1014" i="41"/>
  <c r="V1015" i="41"/>
  <c r="V1016" i="41"/>
  <c r="V1017" i="41"/>
  <c r="V1018" i="41"/>
  <c r="V1019" i="41"/>
  <c r="V1020" i="41"/>
  <c r="V1021" i="41"/>
  <c r="V1022" i="41"/>
  <c r="V1023" i="41"/>
  <c r="V1024" i="41"/>
  <c r="V1025" i="41"/>
  <c r="V1026" i="41"/>
  <c r="V1027" i="41"/>
  <c r="V1028" i="41"/>
  <c r="V1029" i="41"/>
  <c r="V1030" i="41"/>
  <c r="V1031" i="41"/>
  <c r="V1032" i="41"/>
  <c r="V1033" i="41"/>
  <c r="V1034" i="41"/>
  <c r="V1035" i="41"/>
  <c r="V1036" i="41"/>
  <c r="V1037" i="41"/>
  <c r="V1038" i="41"/>
  <c r="V1039" i="41"/>
  <c r="V1040" i="41"/>
  <c r="V1041" i="41"/>
  <c r="V1042" i="41"/>
  <c r="V1043" i="41"/>
  <c r="V1044" i="41"/>
  <c r="V1045" i="41"/>
  <c r="V1046" i="41"/>
  <c r="V1047" i="41"/>
  <c r="V1048" i="41"/>
  <c r="V1049" i="41"/>
  <c r="V1050" i="41"/>
  <c r="V1051" i="41"/>
  <c r="V1052" i="41"/>
  <c r="V1053" i="41"/>
  <c r="V1054" i="41"/>
  <c r="V1055" i="41"/>
  <c r="V1056" i="41"/>
  <c r="V1057" i="41"/>
  <c r="V1058" i="41"/>
  <c r="V1059" i="41"/>
  <c r="V1060" i="41"/>
  <c r="V1061" i="41"/>
  <c r="V1062" i="41"/>
  <c r="V1063" i="41"/>
  <c r="V1064" i="41"/>
  <c r="V1065" i="41"/>
  <c r="V1066" i="41"/>
  <c r="V1067" i="41"/>
  <c r="V1068" i="41"/>
  <c r="V1069" i="41"/>
  <c r="V1070" i="41"/>
  <c r="V1071" i="41"/>
  <c r="V1072" i="41"/>
  <c r="V1073" i="41"/>
  <c r="V1074" i="41"/>
  <c r="V1075" i="41"/>
  <c r="V1076" i="41"/>
  <c r="V1077" i="41"/>
  <c r="V1078" i="41"/>
  <c r="V1079" i="41"/>
  <c r="V1080" i="41"/>
  <c r="V1081" i="41"/>
  <c r="V1082" i="41"/>
  <c r="V1083" i="41"/>
  <c r="V1084" i="41"/>
  <c r="V1085" i="41"/>
  <c r="V1086" i="41"/>
  <c r="V1087" i="41"/>
  <c r="V1088" i="41"/>
  <c r="V1089" i="41"/>
  <c r="V1090" i="41"/>
  <c r="V1091" i="41"/>
  <c r="V1092" i="41"/>
  <c r="V1093" i="41"/>
  <c r="V1094" i="41"/>
  <c r="V1095" i="41"/>
  <c r="V1096" i="41"/>
  <c r="V1097" i="41"/>
  <c r="V1098" i="41"/>
  <c r="V1099" i="41"/>
  <c r="V1100" i="41"/>
  <c r="V1101" i="41"/>
  <c r="V1102" i="41"/>
  <c r="V1103" i="41"/>
  <c r="V1104" i="41"/>
  <c r="V1105" i="41"/>
  <c r="V1106" i="41"/>
  <c r="V1107" i="41"/>
  <c r="V1108" i="41"/>
  <c r="V1109" i="41"/>
  <c r="V1110" i="41"/>
  <c r="V1111" i="41"/>
  <c r="V1112" i="41"/>
  <c r="V1113" i="41"/>
  <c r="V1114" i="41"/>
  <c r="V1115" i="41"/>
  <c r="V1116" i="41"/>
  <c r="V1117" i="41"/>
  <c r="V1118" i="41"/>
  <c r="V1119" i="41"/>
  <c r="V1120" i="41"/>
  <c r="V1121" i="41"/>
  <c r="V1122" i="41"/>
  <c r="V1123" i="41"/>
  <c r="V1124" i="41"/>
  <c r="V1125" i="41"/>
  <c r="V1126" i="41"/>
  <c r="V1127" i="41"/>
  <c r="V1128" i="41"/>
  <c r="V1129" i="41"/>
  <c r="V1130" i="41"/>
  <c r="V1131" i="41"/>
  <c r="V1132" i="41"/>
  <c r="V1133" i="41"/>
  <c r="V1134" i="41"/>
  <c r="V1135" i="41"/>
  <c r="V1136" i="41"/>
  <c r="V1137" i="41"/>
  <c r="V1138" i="41"/>
  <c r="V1139" i="41"/>
  <c r="V1140" i="41"/>
  <c r="V1141" i="41"/>
  <c r="V1142" i="41"/>
  <c r="V1143" i="41"/>
  <c r="V1144" i="41"/>
  <c r="V1145" i="41"/>
  <c r="V1146" i="41"/>
  <c r="V1147" i="41"/>
  <c r="V1148" i="41"/>
  <c r="V1149" i="41"/>
  <c r="V1150" i="41"/>
  <c r="V1151" i="41"/>
  <c r="V1152" i="41"/>
  <c r="V1153" i="41"/>
  <c r="V1154" i="41"/>
  <c r="V1155" i="41"/>
  <c r="V1156" i="41"/>
  <c r="V1157" i="41"/>
  <c r="V1158" i="41"/>
  <c r="V1159" i="41"/>
  <c r="V1160" i="41"/>
  <c r="V1161" i="41"/>
  <c r="V1162" i="41"/>
  <c r="V1163" i="41"/>
  <c r="V1164" i="41"/>
  <c r="V1165" i="41"/>
  <c r="V1166" i="41"/>
  <c r="V1167" i="41"/>
  <c r="V1168" i="41"/>
  <c r="V1169" i="41"/>
  <c r="V1170" i="41"/>
  <c r="V1171" i="41"/>
  <c r="V1172" i="41"/>
  <c r="V1173" i="41"/>
  <c r="V1174" i="41"/>
  <c r="V1175" i="41"/>
  <c r="V1176" i="41"/>
  <c r="V1177" i="41"/>
  <c r="V1178" i="41"/>
  <c r="V1179" i="41"/>
  <c r="V1180" i="41"/>
  <c r="V1181" i="41"/>
  <c r="V1182" i="41"/>
  <c r="V1183" i="41"/>
  <c r="V1184" i="41"/>
  <c r="V1185" i="41"/>
  <c r="V1186" i="41"/>
  <c r="V1187" i="41"/>
  <c r="V1188" i="41"/>
  <c r="V1189" i="41"/>
  <c r="V1190" i="41"/>
  <c r="V1191" i="41"/>
  <c r="V1192" i="41"/>
  <c r="V1193" i="41"/>
  <c r="V1194" i="41"/>
  <c r="V1195" i="41"/>
  <c r="V1196" i="41"/>
  <c r="V1197" i="41"/>
  <c r="V1198" i="41"/>
  <c r="V1199" i="41"/>
  <c r="V1200" i="41"/>
  <c r="V1201" i="41"/>
  <c r="V1202" i="41"/>
  <c r="V1203" i="41"/>
  <c r="V1204" i="41"/>
  <c r="V1205" i="41"/>
  <c r="V1206" i="41"/>
  <c r="V1207" i="41"/>
  <c r="V1208" i="41"/>
  <c r="V1209" i="41"/>
  <c r="V1210" i="41"/>
  <c r="V1211" i="41"/>
  <c r="V1212" i="41"/>
  <c r="V1213" i="41"/>
  <c r="V1214" i="41"/>
  <c r="V1215" i="41"/>
  <c r="V1216" i="41"/>
  <c r="V1217" i="41"/>
  <c r="V1218" i="41"/>
  <c r="V1219" i="41"/>
  <c r="V1220" i="41"/>
  <c r="V1221" i="41"/>
  <c r="V1222" i="41"/>
  <c r="V1223" i="41"/>
  <c r="V1224" i="41"/>
  <c r="V1225" i="41"/>
  <c r="V1226" i="41"/>
  <c r="V1227" i="41"/>
  <c r="V1228" i="41"/>
  <c r="V1229" i="41"/>
  <c r="V1230" i="41"/>
  <c r="V1231" i="41"/>
  <c r="V1232" i="41"/>
  <c r="V1233" i="41"/>
  <c r="V1234" i="41"/>
  <c r="V1235" i="41"/>
  <c r="V1236" i="41"/>
  <c r="V1237" i="41"/>
  <c r="V1238" i="41"/>
  <c r="V1239" i="41"/>
  <c r="V1240" i="41"/>
  <c r="V1241" i="41"/>
  <c r="V1242" i="41"/>
  <c r="V1243" i="41"/>
  <c r="V1244" i="41"/>
  <c r="V1245" i="41"/>
  <c r="V1246" i="41"/>
  <c r="V1247" i="41"/>
  <c r="V1248" i="41"/>
  <c r="V1249" i="41"/>
  <c r="V1250" i="41"/>
  <c r="V1251" i="41"/>
  <c r="V1252" i="41"/>
  <c r="V1253" i="41"/>
  <c r="V1254" i="41"/>
  <c r="V1255" i="41"/>
  <c r="V1256" i="41"/>
  <c r="V1257" i="41"/>
  <c r="V1258" i="41"/>
  <c r="V1259" i="41"/>
  <c r="V1260" i="41"/>
  <c r="V1261" i="41"/>
  <c r="V1262" i="41"/>
  <c r="V1263" i="41"/>
  <c r="V1264" i="41"/>
  <c r="V1265" i="41"/>
  <c r="V1266" i="41"/>
  <c r="V1267" i="41"/>
  <c r="V1268" i="41"/>
  <c r="V1269" i="41"/>
  <c r="V1270" i="41"/>
  <c r="V1271" i="41"/>
  <c r="V1272" i="41"/>
  <c r="V1273" i="41"/>
  <c r="V1274" i="41"/>
  <c r="V1275" i="41"/>
  <c r="V1276" i="41"/>
  <c r="V1277" i="41"/>
  <c r="V1278" i="41"/>
  <c r="V1279" i="41"/>
  <c r="V1280" i="41"/>
  <c r="V1281" i="41"/>
  <c r="V1282" i="41"/>
  <c r="V1283" i="41"/>
  <c r="V1284" i="41"/>
  <c r="V1285" i="41"/>
  <c r="V1286" i="41"/>
  <c r="V1287" i="41"/>
  <c r="V1288" i="41"/>
  <c r="V1289" i="41"/>
  <c r="V1290" i="41"/>
  <c r="V1291" i="41"/>
  <c r="V1292" i="41"/>
  <c r="V1293" i="41"/>
  <c r="V1294" i="41"/>
  <c r="V1295" i="41"/>
  <c r="V1296" i="41"/>
  <c r="V1297" i="41"/>
  <c r="V1298" i="41"/>
  <c r="V1299" i="41"/>
  <c r="V1300" i="41"/>
  <c r="V1301" i="41"/>
  <c r="V1302" i="41"/>
  <c r="V1303" i="41"/>
  <c r="V1304" i="41"/>
  <c r="V1305" i="41"/>
  <c r="V1306" i="41"/>
  <c r="V1307" i="41"/>
  <c r="V1308" i="41"/>
  <c r="V1309" i="41"/>
  <c r="V1310" i="41"/>
  <c r="V1311" i="41"/>
  <c r="V1312" i="41"/>
  <c r="V1313" i="41"/>
  <c r="V1314" i="41"/>
  <c r="V1315" i="41"/>
  <c r="V1316" i="41"/>
  <c r="V1317" i="41"/>
  <c r="V1318" i="41"/>
  <c r="V1319" i="41"/>
  <c r="V1320" i="41"/>
  <c r="V1321" i="41"/>
  <c r="V1322" i="41"/>
  <c r="V1323" i="41"/>
  <c r="V1324" i="41"/>
  <c r="V1325" i="41"/>
  <c r="V1326" i="41"/>
  <c r="V1327" i="41"/>
  <c r="V1328" i="41"/>
  <c r="V1329" i="41"/>
  <c r="V1330" i="41"/>
  <c r="V1331" i="41"/>
  <c r="V1332" i="41"/>
  <c r="V1333" i="41"/>
  <c r="V1334" i="41"/>
  <c r="V1335" i="41"/>
  <c r="V1336" i="41"/>
  <c r="V1337" i="41"/>
  <c r="V1338" i="41"/>
  <c r="V1339" i="41"/>
  <c r="V1340" i="41"/>
  <c r="V1341" i="41"/>
  <c r="V1342" i="41"/>
  <c r="V1343" i="41"/>
  <c r="V1344" i="41"/>
  <c r="V1345" i="41"/>
  <c r="V1346" i="41"/>
  <c r="V1347" i="41"/>
  <c r="V1348" i="41"/>
  <c r="V1349" i="41"/>
  <c r="V1350" i="41"/>
  <c r="V1351" i="41"/>
  <c r="V1352" i="41"/>
  <c r="V1353" i="41"/>
  <c r="V1354" i="41"/>
  <c r="V1355" i="41"/>
  <c r="V1356" i="41"/>
  <c r="V1357" i="41"/>
  <c r="V1358" i="41"/>
  <c r="V1359" i="41"/>
  <c r="V1360" i="41"/>
  <c r="V1361" i="41"/>
  <c r="V1362" i="41"/>
  <c r="V1363" i="41"/>
  <c r="V1364" i="41"/>
  <c r="V1365" i="41"/>
  <c r="V1366" i="41"/>
  <c r="V1367" i="41"/>
  <c r="V1368" i="41"/>
  <c r="V1369" i="41"/>
  <c r="V1370" i="41"/>
  <c r="V1371" i="41"/>
  <c r="V1372" i="41"/>
  <c r="V1373" i="41"/>
  <c r="V1374" i="41"/>
  <c r="V1375" i="41"/>
  <c r="V1376" i="41"/>
  <c r="V1377" i="41"/>
  <c r="V1378" i="41"/>
  <c r="V1379" i="41"/>
  <c r="V1380" i="41"/>
  <c r="V1381" i="41"/>
  <c r="V1382" i="41"/>
  <c r="V1383" i="41"/>
  <c r="V1384" i="41"/>
  <c r="V1385" i="41"/>
  <c r="V1386" i="41"/>
  <c r="V1387" i="41"/>
  <c r="V1388" i="41"/>
  <c r="V1389" i="41"/>
  <c r="V1390" i="41"/>
  <c r="V1391" i="41"/>
  <c r="V1392" i="41"/>
  <c r="V1393" i="41"/>
  <c r="V1394" i="41"/>
  <c r="V1395" i="41"/>
  <c r="V1396" i="41"/>
  <c r="V1397" i="41"/>
  <c r="V1398" i="41"/>
  <c r="V1399" i="41"/>
  <c r="V1400" i="41"/>
  <c r="V1401" i="41"/>
  <c r="V1402" i="41"/>
  <c r="V1403" i="41"/>
  <c r="V1404" i="41"/>
  <c r="V1405" i="41"/>
  <c r="V1406" i="41"/>
  <c r="V1407" i="41"/>
  <c r="V1408" i="41"/>
  <c r="V1409" i="41"/>
  <c r="V1410" i="41"/>
  <c r="V1411" i="41"/>
  <c r="V1412" i="41"/>
  <c r="V1413" i="41"/>
  <c r="V1414" i="41"/>
  <c r="V1415" i="41"/>
  <c r="V1416" i="41"/>
  <c r="V1417" i="41"/>
  <c r="V1418" i="41"/>
  <c r="V1419" i="41"/>
  <c r="V1420" i="41"/>
  <c r="V1421" i="41"/>
  <c r="V1422" i="41"/>
  <c r="V1423" i="41"/>
  <c r="V1424" i="41"/>
  <c r="V1425" i="41"/>
  <c r="V1426" i="41"/>
  <c r="V1427" i="41"/>
  <c r="V1428" i="41"/>
  <c r="V1429" i="41"/>
  <c r="V1430" i="41"/>
  <c r="V1431" i="41"/>
  <c r="V1432" i="41"/>
  <c r="V1433" i="41"/>
  <c r="V1434" i="41"/>
  <c r="V1435" i="41"/>
  <c r="V1436" i="41"/>
  <c r="V1437" i="41"/>
  <c r="V1438" i="41"/>
  <c r="V1439" i="41"/>
  <c r="V1440" i="41"/>
  <c r="V1441" i="41"/>
  <c r="V1442" i="41"/>
  <c r="V1443" i="41"/>
  <c r="V1444" i="41"/>
  <c r="V1445" i="41"/>
  <c r="V1446" i="41"/>
  <c r="V1447" i="41"/>
  <c r="V1448" i="41"/>
  <c r="V1449" i="41"/>
  <c r="V1450" i="41"/>
  <c r="V1451" i="41"/>
  <c r="V1452" i="41"/>
  <c r="V1453" i="41"/>
  <c r="V1454" i="41"/>
  <c r="V1455" i="41"/>
  <c r="V1456" i="41"/>
  <c r="V1457" i="41"/>
  <c r="V1458" i="41"/>
  <c r="V1459" i="41"/>
  <c r="V1460" i="41"/>
  <c r="V1461" i="41"/>
  <c r="V1462" i="41"/>
  <c r="V1463" i="41"/>
  <c r="V1464" i="41"/>
  <c r="V1465" i="41"/>
  <c r="V1466" i="41"/>
  <c r="V1467" i="41"/>
  <c r="V1468" i="41"/>
  <c r="V1469" i="41"/>
  <c r="V1470" i="41"/>
  <c r="V1471" i="41"/>
  <c r="V1472" i="41"/>
  <c r="V1473" i="41"/>
  <c r="V1474" i="41"/>
  <c r="V1475" i="41"/>
  <c r="V1476" i="41"/>
  <c r="V1477" i="41"/>
  <c r="V1478" i="41"/>
  <c r="V1479" i="41"/>
  <c r="V1480" i="41"/>
  <c r="V1481" i="41"/>
  <c r="V1482" i="41"/>
  <c r="V1483" i="41"/>
  <c r="V1484" i="41"/>
  <c r="V1485" i="41"/>
  <c r="V1486" i="41"/>
  <c r="V1487" i="41"/>
  <c r="V1488" i="41"/>
  <c r="V1489" i="41"/>
  <c r="V1490" i="41"/>
  <c r="V1491" i="41"/>
  <c r="V1492" i="41"/>
  <c r="V1493" i="41"/>
  <c r="V1494" i="41"/>
  <c r="V1495" i="41"/>
  <c r="V1496" i="41"/>
  <c r="V1497" i="41"/>
  <c r="V1498" i="41"/>
  <c r="V1499" i="41"/>
  <c r="V1500" i="41"/>
  <c r="V1501" i="41"/>
  <c r="V1502" i="41"/>
  <c r="V1503" i="41"/>
  <c r="V1504" i="41"/>
  <c r="V1505" i="41"/>
  <c r="V1506" i="41"/>
  <c r="V1507" i="41"/>
  <c r="V1508" i="41"/>
  <c r="V1509" i="41"/>
  <c r="V1510" i="41"/>
  <c r="V1511" i="41"/>
  <c r="V1512" i="41"/>
  <c r="V1513" i="41"/>
  <c r="V1514" i="41"/>
  <c r="V1515" i="41"/>
  <c r="V1516" i="41"/>
  <c r="V1517" i="41"/>
  <c r="V1518" i="41"/>
  <c r="V1519" i="41"/>
  <c r="V1520" i="41"/>
  <c r="V1521" i="41"/>
  <c r="V1522" i="41"/>
  <c r="V1523" i="41"/>
  <c r="V1524" i="41"/>
  <c r="V1525" i="41"/>
  <c r="V1526" i="41"/>
  <c r="V1527" i="41"/>
  <c r="V1528" i="41"/>
  <c r="V1529" i="41"/>
  <c r="V1530" i="41"/>
  <c r="V1531" i="41"/>
  <c r="V1532" i="41"/>
  <c r="V1533" i="41"/>
  <c r="V1534" i="41"/>
  <c r="V1535" i="41"/>
  <c r="V1536" i="41"/>
  <c r="V1537" i="41"/>
  <c r="V1538" i="41"/>
  <c r="V1539" i="41"/>
  <c r="V1540" i="41"/>
  <c r="V1541" i="41"/>
  <c r="V1542" i="41"/>
  <c r="V1543" i="41"/>
  <c r="V1544" i="41"/>
  <c r="V1545" i="41"/>
  <c r="V1546" i="41"/>
  <c r="V1547" i="41"/>
  <c r="V1548" i="41"/>
  <c r="V1549" i="41"/>
  <c r="V1550" i="41"/>
  <c r="V1551" i="41"/>
  <c r="V1552" i="41"/>
  <c r="V1553" i="41"/>
  <c r="V1554" i="41"/>
  <c r="V1555" i="41"/>
  <c r="V1556" i="41"/>
  <c r="V1557" i="41"/>
  <c r="V1558" i="41"/>
  <c r="V1559" i="41"/>
  <c r="V1560" i="41"/>
  <c r="V1561" i="41"/>
  <c r="V1562" i="41"/>
  <c r="V1563" i="41"/>
  <c r="V1564" i="41"/>
  <c r="V1565" i="41"/>
  <c r="V1566" i="41"/>
  <c r="V1567" i="41"/>
  <c r="V1568" i="41"/>
  <c r="V1569" i="41"/>
  <c r="V1570" i="41"/>
  <c r="V1571" i="41"/>
  <c r="V1572" i="41"/>
  <c r="V1573" i="41"/>
  <c r="V1574" i="41"/>
  <c r="V1575" i="41"/>
  <c r="V1576" i="41"/>
  <c r="V1577" i="41"/>
  <c r="V1578" i="41"/>
  <c r="V1579" i="41"/>
  <c r="V1580" i="41"/>
  <c r="V1581" i="41"/>
  <c r="V1582" i="41"/>
  <c r="V1583" i="41"/>
  <c r="V1584" i="41"/>
  <c r="V1585" i="41"/>
  <c r="V1586" i="41"/>
  <c r="V1587" i="41"/>
  <c r="V1588" i="41"/>
  <c r="V1589" i="41"/>
  <c r="V1590" i="41"/>
  <c r="V1591" i="41"/>
  <c r="V1592" i="41"/>
  <c r="V1593" i="41"/>
  <c r="V1594" i="41"/>
  <c r="V1595" i="41"/>
  <c r="V1596" i="41"/>
  <c r="V1597" i="41"/>
  <c r="V1598" i="41"/>
  <c r="V1599" i="41"/>
  <c r="V1600" i="41"/>
  <c r="V1601" i="41"/>
  <c r="V1602" i="41"/>
  <c r="V1603" i="41"/>
  <c r="V1604" i="41"/>
  <c r="V1605" i="41"/>
  <c r="V1606" i="41"/>
  <c r="V1607" i="41"/>
  <c r="V1608" i="41"/>
  <c r="V1609" i="41"/>
  <c r="V1610" i="41"/>
  <c r="V1611" i="41"/>
  <c r="V1612" i="41"/>
  <c r="V1613" i="41"/>
  <c r="V1614" i="41"/>
  <c r="V1615" i="41"/>
  <c r="V1616" i="41"/>
  <c r="V1617" i="41"/>
  <c r="V1618" i="41"/>
  <c r="V1619" i="41"/>
  <c r="V1620" i="41"/>
  <c r="V1621" i="41"/>
  <c r="V1622" i="41"/>
  <c r="V1623" i="41"/>
  <c r="V1624" i="41"/>
  <c r="V1625" i="41"/>
  <c r="V1626" i="41"/>
  <c r="V1627" i="41"/>
  <c r="V1628" i="41"/>
  <c r="V1629" i="41"/>
  <c r="V1630" i="41"/>
  <c r="V1631" i="41"/>
  <c r="V1632" i="41"/>
  <c r="V1633" i="41"/>
  <c r="V1634" i="41"/>
  <c r="V1635" i="41"/>
  <c r="V1636" i="41"/>
  <c r="V1637" i="41"/>
  <c r="V1638" i="41"/>
  <c r="V1639" i="41"/>
  <c r="V1640" i="41"/>
  <c r="V1641" i="41"/>
  <c r="V1642" i="41"/>
  <c r="V1643" i="41"/>
  <c r="V1644" i="41"/>
  <c r="V1645" i="41"/>
  <c r="V1646" i="41"/>
  <c r="V1647" i="41"/>
  <c r="V1648" i="41"/>
  <c r="V1649" i="41"/>
  <c r="V1650" i="41"/>
  <c r="V1651" i="41"/>
  <c r="V1652" i="41"/>
  <c r="V1653" i="41"/>
  <c r="V1654" i="41"/>
  <c r="V1655" i="41"/>
  <c r="V1656" i="41"/>
  <c r="V1657" i="41"/>
  <c r="V1658" i="41"/>
  <c r="V1659" i="41"/>
  <c r="V1660" i="41"/>
  <c r="V1661" i="41"/>
  <c r="V1662" i="41"/>
  <c r="V1663" i="41"/>
  <c r="V1664" i="41"/>
  <c r="V1665" i="41"/>
  <c r="V1666" i="41"/>
  <c r="V1667" i="41"/>
  <c r="V1668" i="41"/>
  <c r="V1669" i="41"/>
  <c r="V1670" i="41"/>
  <c r="V1671" i="41"/>
  <c r="V1672" i="41"/>
  <c r="V1673" i="41"/>
  <c r="V1674" i="41"/>
  <c r="V1675" i="41"/>
  <c r="V1676" i="41"/>
  <c r="V1677" i="41"/>
  <c r="V1678" i="41"/>
  <c r="V1679" i="41"/>
  <c r="V1680" i="41"/>
  <c r="V1681" i="41"/>
  <c r="V1682" i="41"/>
  <c r="V1683" i="41"/>
  <c r="V1684" i="41"/>
  <c r="V1685" i="41"/>
  <c r="V1686" i="41"/>
  <c r="V1687" i="41"/>
  <c r="V1688" i="41"/>
  <c r="V1689" i="41"/>
  <c r="V1690" i="41"/>
  <c r="V1691" i="41"/>
  <c r="V1692" i="41"/>
  <c r="V1693" i="41"/>
  <c r="V1694" i="41"/>
  <c r="V1695" i="41"/>
  <c r="V1696" i="41"/>
  <c r="V1697" i="41"/>
  <c r="V1698" i="41"/>
  <c r="V1699" i="41"/>
  <c r="V1700" i="41"/>
  <c r="V1701" i="41"/>
  <c r="V1702" i="41"/>
  <c r="V1703" i="41"/>
  <c r="V1704" i="41"/>
  <c r="V1705" i="41"/>
  <c r="V1706" i="41"/>
  <c r="V1707" i="41"/>
  <c r="V1708" i="41"/>
  <c r="V1709" i="41"/>
  <c r="V1710" i="41"/>
  <c r="V1711" i="41"/>
  <c r="V1712" i="41"/>
  <c r="V1713" i="41"/>
  <c r="V1714" i="41"/>
  <c r="V1715" i="41"/>
  <c r="V1716" i="41"/>
  <c r="V1717" i="41"/>
  <c r="V1718" i="41"/>
  <c r="V1719" i="41"/>
  <c r="V1720" i="41"/>
  <c r="V1721" i="41"/>
  <c r="V1722" i="41"/>
  <c r="V1723" i="41"/>
  <c r="V1724" i="41"/>
  <c r="V1725" i="41"/>
  <c r="V1726" i="41"/>
  <c r="V1727" i="41"/>
  <c r="V1728" i="41"/>
  <c r="V1729" i="41"/>
  <c r="V1730" i="41"/>
  <c r="V1731" i="41"/>
  <c r="V1732" i="41"/>
  <c r="V1733" i="41"/>
  <c r="V1734" i="41"/>
  <c r="V1735" i="41"/>
  <c r="V1736" i="41"/>
  <c r="V1737" i="41"/>
  <c r="V1738" i="41"/>
  <c r="V1739" i="41"/>
  <c r="V1740" i="41"/>
  <c r="V1741" i="41"/>
  <c r="V1742" i="41"/>
  <c r="V1743" i="41"/>
  <c r="V1744" i="41"/>
  <c r="V1745" i="41"/>
  <c r="V1746" i="41"/>
  <c r="V1747" i="41"/>
  <c r="V1748" i="41"/>
  <c r="V1749" i="41"/>
  <c r="V1750" i="41"/>
  <c r="V1751" i="41"/>
  <c r="V1752" i="41"/>
  <c r="V1753" i="41"/>
  <c r="V1754" i="41"/>
  <c r="V1755" i="41"/>
  <c r="V1756" i="41"/>
  <c r="V1757" i="41"/>
  <c r="V1758" i="41"/>
  <c r="V1759" i="41"/>
  <c r="V1760" i="41"/>
  <c r="V1761" i="41"/>
  <c r="V1762" i="41"/>
  <c r="V1763" i="41"/>
  <c r="V1764" i="41"/>
  <c r="V1765" i="41"/>
  <c r="V1766" i="41"/>
  <c r="V1767" i="41"/>
  <c r="V1768" i="41"/>
  <c r="V1769" i="41"/>
  <c r="V1770" i="41"/>
  <c r="V1771" i="41"/>
  <c r="V1772" i="41"/>
  <c r="V1773" i="41"/>
  <c r="V1774" i="41"/>
  <c r="V1775" i="41"/>
  <c r="V1776" i="41"/>
  <c r="V1777" i="41"/>
  <c r="V1778" i="41"/>
  <c r="V1779" i="41"/>
  <c r="V1780" i="41"/>
  <c r="V1781" i="41"/>
  <c r="V1782" i="41"/>
  <c r="V1783" i="41"/>
  <c r="V1784" i="41"/>
  <c r="V1785" i="41"/>
  <c r="V1786" i="41"/>
  <c r="V1787" i="41"/>
  <c r="V1788" i="41"/>
  <c r="V1789" i="41"/>
  <c r="V1790" i="41"/>
  <c r="V1791" i="41"/>
  <c r="V1792" i="41"/>
  <c r="V1793" i="41"/>
  <c r="V1794" i="41"/>
  <c r="V1795" i="41"/>
  <c r="V1796" i="41"/>
  <c r="V1797" i="41"/>
  <c r="V1798" i="41"/>
  <c r="V1799" i="41"/>
  <c r="V1800" i="41"/>
  <c r="V1801" i="41"/>
  <c r="V1802" i="41"/>
  <c r="V1803" i="41"/>
  <c r="V1804" i="41"/>
  <c r="V1805" i="41"/>
  <c r="V1806" i="41"/>
  <c r="V1807" i="41"/>
  <c r="V1808" i="41"/>
  <c r="V1809" i="41"/>
  <c r="V1810" i="41"/>
  <c r="V1811" i="41"/>
  <c r="V1812" i="41"/>
  <c r="V1813" i="41"/>
  <c r="V1814" i="41"/>
  <c r="V1815" i="41"/>
  <c r="V1816" i="41"/>
  <c r="V1817" i="41"/>
  <c r="V1818" i="41"/>
  <c r="V1819" i="41"/>
  <c r="V1820" i="41"/>
  <c r="V1821" i="41"/>
  <c r="V1822" i="41"/>
  <c r="V1823" i="41"/>
  <c r="V1824" i="41"/>
  <c r="V1825" i="41"/>
  <c r="V1826" i="41"/>
  <c r="V1827" i="41"/>
  <c r="V1828" i="41"/>
  <c r="V1829" i="41"/>
  <c r="V1830" i="41"/>
  <c r="V1831" i="41"/>
  <c r="V1832" i="41"/>
  <c r="V1833" i="41"/>
  <c r="V1834" i="41"/>
  <c r="V1835" i="41"/>
  <c r="V1836" i="41"/>
  <c r="V1837" i="41"/>
  <c r="V1838" i="41"/>
  <c r="V1839" i="41"/>
  <c r="V1840" i="41"/>
  <c r="V1841" i="41"/>
  <c r="V1842" i="41"/>
  <c r="V1843" i="41"/>
  <c r="V1844" i="41"/>
  <c r="V1845" i="41"/>
  <c r="V1846" i="41"/>
  <c r="V1847" i="41"/>
  <c r="V1848" i="41"/>
  <c r="V1849" i="41"/>
  <c r="V1850" i="41"/>
  <c r="V1851" i="41"/>
  <c r="V1852" i="41"/>
  <c r="V1853" i="41"/>
  <c r="V1854" i="41"/>
  <c r="V1855" i="41"/>
  <c r="V1856" i="41"/>
  <c r="V1857" i="41"/>
  <c r="V1858" i="41"/>
  <c r="V1859" i="41"/>
  <c r="V1860" i="41"/>
  <c r="V1861" i="41"/>
  <c r="V1862" i="41"/>
  <c r="V1863" i="41"/>
  <c r="V1864" i="41"/>
  <c r="V1865" i="41"/>
  <c r="V1866" i="41"/>
  <c r="V1867" i="41"/>
  <c r="V1868" i="41"/>
  <c r="V1869" i="41"/>
  <c r="V1870" i="41"/>
  <c r="V1871" i="41"/>
  <c r="V1872" i="41"/>
  <c r="V1873" i="41"/>
  <c r="V1874" i="41"/>
  <c r="V1875" i="41"/>
  <c r="V1876" i="41"/>
  <c r="V1877" i="41"/>
  <c r="V1878" i="41"/>
  <c r="V1879" i="41"/>
  <c r="V1880" i="41"/>
  <c r="V1881" i="41"/>
  <c r="V1882" i="41"/>
  <c r="V1883" i="41"/>
  <c r="V1884" i="41"/>
  <c r="V1885" i="41"/>
  <c r="V1886" i="41"/>
  <c r="V1887" i="41"/>
  <c r="V1888" i="41"/>
  <c r="V1889" i="41"/>
  <c r="V1890" i="41"/>
  <c r="V1891" i="41"/>
  <c r="V1892" i="41"/>
  <c r="V1893" i="41"/>
  <c r="V1894" i="41"/>
  <c r="V1895" i="41"/>
  <c r="V1896" i="41"/>
  <c r="V1897" i="41"/>
  <c r="V1898" i="41"/>
  <c r="V1899" i="41"/>
  <c r="V1900" i="41"/>
  <c r="V1901" i="41"/>
  <c r="V1902" i="41"/>
  <c r="V1903" i="41"/>
  <c r="V1904" i="41"/>
  <c r="V1905" i="41"/>
  <c r="V1906" i="41"/>
  <c r="V1907" i="41"/>
  <c r="V1908" i="41"/>
  <c r="V1909" i="41"/>
  <c r="V1910" i="41"/>
  <c r="V1911" i="41"/>
  <c r="V1912" i="41"/>
  <c r="V1913" i="41"/>
  <c r="V1914" i="41"/>
  <c r="V1915" i="41"/>
  <c r="V1916" i="41"/>
  <c r="V1917" i="41"/>
  <c r="V1918" i="41"/>
  <c r="V1919" i="41"/>
  <c r="V1920" i="41"/>
  <c r="V1921" i="41"/>
  <c r="V1922" i="41"/>
  <c r="V1923" i="41"/>
  <c r="V1924" i="41"/>
  <c r="V1925" i="41"/>
  <c r="V1926" i="41"/>
  <c r="V1927" i="41"/>
  <c r="V1928" i="41"/>
  <c r="V1929" i="41"/>
  <c r="V1930" i="41"/>
  <c r="V1931" i="41"/>
  <c r="V1932" i="41"/>
  <c r="V1933" i="41"/>
  <c r="V1934" i="41"/>
  <c r="V1935" i="41"/>
  <c r="V1936" i="41"/>
  <c r="V1937" i="41"/>
  <c r="V1938" i="41"/>
  <c r="V1939" i="41"/>
  <c r="V1940" i="41"/>
  <c r="V1941" i="41"/>
  <c r="V1942" i="41"/>
  <c r="V1943" i="41"/>
  <c r="V1944" i="41"/>
  <c r="V1945" i="41"/>
  <c r="V1946" i="41"/>
  <c r="V1947" i="41"/>
  <c r="V1948" i="41"/>
  <c r="V1949" i="41"/>
  <c r="V1950" i="41"/>
  <c r="V1951" i="41"/>
  <c r="V1952" i="41"/>
  <c r="V1953" i="41"/>
  <c r="V1954" i="41"/>
  <c r="V1955" i="41"/>
  <c r="V1956" i="41"/>
  <c r="V1957" i="41"/>
  <c r="V1958" i="41"/>
  <c r="V1959" i="41"/>
  <c r="V1960" i="41"/>
  <c r="V1961" i="41"/>
  <c r="V1962" i="41"/>
  <c r="V1963" i="41"/>
  <c r="V1964" i="41"/>
  <c r="V1965" i="41"/>
  <c r="V1966" i="41"/>
  <c r="V1967" i="41"/>
  <c r="V1968" i="41"/>
  <c r="V1969" i="41"/>
  <c r="V1970" i="41"/>
  <c r="V1971" i="41"/>
  <c r="V1972" i="41"/>
  <c r="V1973" i="41"/>
  <c r="V1974" i="41"/>
  <c r="V1975" i="41"/>
  <c r="V1976" i="41"/>
  <c r="V1977" i="41"/>
  <c r="V1978" i="41"/>
  <c r="V1979" i="41"/>
  <c r="V1980" i="41"/>
  <c r="V1981" i="41"/>
  <c r="V1982" i="41"/>
  <c r="V1983" i="41"/>
  <c r="V1984" i="41"/>
  <c r="V1985" i="41"/>
  <c r="V1986" i="41"/>
  <c r="V1987" i="41"/>
  <c r="V1988" i="41"/>
  <c r="V1989" i="41"/>
  <c r="V1990" i="41"/>
  <c r="V1991" i="41"/>
  <c r="V1992" i="41"/>
  <c r="V1993" i="41"/>
  <c r="V1994" i="41"/>
  <c r="V1995" i="41"/>
  <c r="V1996" i="41"/>
  <c r="V1997" i="41"/>
  <c r="V1998" i="41"/>
  <c r="V1999" i="41"/>
  <c r="V2000" i="41"/>
  <c r="V2001" i="41"/>
  <c r="V2002" i="41"/>
  <c r="V2003" i="41"/>
  <c r="V2004" i="41"/>
  <c r="V2005" i="41"/>
  <c r="V2006" i="41"/>
  <c r="V2007" i="41"/>
  <c r="V2008" i="41"/>
  <c r="V2009" i="41"/>
  <c r="V2010" i="41"/>
  <c r="V2011" i="41"/>
  <c r="V2012" i="41"/>
  <c r="V2013" i="41"/>
  <c r="V2014" i="41"/>
  <c r="V2015" i="41"/>
  <c r="V2016" i="41"/>
  <c r="V2017" i="41"/>
  <c r="V2018" i="41"/>
  <c r="V2019" i="41"/>
  <c r="V2020" i="41"/>
  <c r="V2021" i="41"/>
  <c r="V2022" i="41"/>
  <c r="V2023" i="41"/>
  <c r="V2024" i="41"/>
  <c r="V2025" i="41"/>
  <c r="V2026" i="41"/>
  <c r="V2027" i="41"/>
  <c r="V2028" i="41"/>
  <c r="V2029" i="41"/>
  <c r="V2030" i="41"/>
  <c r="V2031" i="41"/>
  <c r="V2032" i="41"/>
  <c r="V2033" i="41"/>
  <c r="V2034" i="41"/>
  <c r="V2035" i="41"/>
  <c r="V2036" i="41"/>
  <c r="V2037" i="41"/>
  <c r="V2038" i="41"/>
  <c r="V2039" i="41"/>
  <c r="V2040" i="41"/>
  <c r="V2041" i="41"/>
  <c r="V2042" i="41"/>
  <c r="V2043" i="41"/>
  <c r="V2044" i="41"/>
  <c r="V2045" i="41"/>
  <c r="V2046" i="41"/>
  <c r="V2047" i="41"/>
  <c r="V2048" i="41"/>
  <c r="V2049" i="41"/>
  <c r="V2050" i="41"/>
  <c r="V2051" i="41"/>
  <c r="V2052" i="41"/>
  <c r="V2053" i="41"/>
  <c r="V2054" i="41"/>
  <c r="V2055" i="41"/>
  <c r="V2056" i="41"/>
  <c r="V2057" i="41"/>
  <c r="V2058" i="41"/>
  <c r="V2059" i="41"/>
  <c r="V2060" i="41"/>
  <c r="V2061" i="41"/>
  <c r="V2062" i="41"/>
  <c r="V2063" i="41"/>
  <c r="V2064" i="41"/>
  <c r="V2065" i="41"/>
  <c r="V2066" i="41"/>
  <c r="V2067" i="41"/>
  <c r="V2068" i="41"/>
  <c r="V2069" i="41"/>
  <c r="V2070" i="41"/>
  <c r="V2071" i="41"/>
  <c r="V2072" i="41"/>
  <c r="V2073" i="41"/>
  <c r="V2074" i="41"/>
  <c r="V2075" i="41"/>
  <c r="V2076" i="41"/>
  <c r="V2077" i="41"/>
  <c r="V2078" i="41"/>
  <c r="V2079" i="41"/>
  <c r="V2080" i="41"/>
  <c r="V2081" i="41"/>
  <c r="V2082" i="41"/>
  <c r="V2083" i="41"/>
  <c r="V2084" i="41"/>
  <c r="V2085" i="41"/>
  <c r="V2086" i="41"/>
  <c r="V2087" i="41"/>
  <c r="V2088" i="41"/>
  <c r="V2089" i="41"/>
  <c r="V2090" i="41"/>
  <c r="V2091" i="41"/>
  <c r="V2092" i="41"/>
  <c r="V2093" i="41"/>
  <c r="V2094" i="41"/>
  <c r="V2095" i="41"/>
  <c r="V2096" i="41"/>
  <c r="V2097" i="41"/>
  <c r="V2098" i="41"/>
  <c r="V2099" i="41"/>
  <c r="V2100" i="41"/>
  <c r="V2101" i="41"/>
  <c r="V2102" i="41"/>
  <c r="V2103" i="41"/>
  <c r="V2104" i="41"/>
  <c r="V2105" i="41"/>
  <c r="V2106" i="41"/>
  <c r="V2107" i="41"/>
  <c r="V2108" i="41"/>
  <c r="V2109" i="41"/>
  <c r="V2110" i="41"/>
  <c r="V2111" i="41"/>
  <c r="V2112" i="41"/>
  <c r="V2113" i="41"/>
  <c r="V2114" i="41"/>
  <c r="V2115" i="41"/>
  <c r="V2116" i="41"/>
  <c r="V2117" i="41"/>
  <c r="V2118" i="41"/>
  <c r="V2119" i="41"/>
  <c r="V2120" i="41"/>
  <c r="V2121" i="41"/>
  <c r="V2122" i="41"/>
  <c r="V2123" i="41"/>
  <c r="V2124" i="41"/>
  <c r="V2125" i="41"/>
  <c r="V2126" i="41"/>
  <c r="V2127" i="41"/>
  <c r="V2128" i="41"/>
  <c r="V2129" i="41"/>
  <c r="V2130" i="41"/>
  <c r="V2131" i="41"/>
  <c r="V2132" i="41"/>
  <c r="V2133" i="41"/>
  <c r="V2134" i="41"/>
  <c r="V2135" i="41"/>
  <c r="V2136" i="41"/>
  <c r="V2137" i="41"/>
  <c r="V2138" i="41"/>
  <c r="V2139" i="41"/>
  <c r="V2140" i="41"/>
  <c r="V2141" i="41"/>
  <c r="V2142" i="41"/>
  <c r="V2143" i="41"/>
  <c r="V2144" i="41"/>
  <c r="V2145" i="41"/>
  <c r="V2146" i="41"/>
  <c r="V2147" i="41"/>
  <c r="V2148" i="41"/>
  <c r="V2149" i="41"/>
  <c r="V2150" i="41"/>
  <c r="V2151" i="41"/>
  <c r="V2152" i="41"/>
  <c r="V2153" i="41"/>
  <c r="V2154" i="41"/>
  <c r="V2155" i="41"/>
  <c r="V2156" i="41"/>
  <c r="V2157" i="41"/>
  <c r="V2158" i="41"/>
  <c r="V2159" i="41"/>
  <c r="V2160" i="41"/>
  <c r="V2161" i="41"/>
  <c r="V2162" i="41"/>
  <c r="V2163" i="41"/>
  <c r="V2164" i="41"/>
  <c r="V2165" i="41"/>
  <c r="V2166" i="41"/>
  <c r="V2167" i="41"/>
  <c r="V2168" i="41"/>
  <c r="V2169" i="41"/>
  <c r="V2170" i="41"/>
  <c r="V2171" i="41"/>
  <c r="V2172" i="41"/>
  <c r="V2173" i="41"/>
  <c r="V2174" i="41"/>
  <c r="V2175" i="41"/>
  <c r="V2176" i="41"/>
  <c r="V2177" i="41"/>
  <c r="V2178" i="41"/>
  <c r="V2179" i="41"/>
  <c r="V2180" i="41"/>
  <c r="V2181" i="41"/>
  <c r="V2182" i="41"/>
  <c r="V2183" i="41"/>
  <c r="V2184" i="41"/>
  <c r="V2185" i="41"/>
  <c r="V2186" i="41"/>
  <c r="V2187" i="41"/>
  <c r="V2188" i="41"/>
  <c r="V2189" i="41"/>
  <c r="V2190" i="41"/>
  <c r="V2191" i="41"/>
  <c r="V2192" i="41"/>
  <c r="V2193" i="41"/>
  <c r="V2194" i="41"/>
  <c r="V2195" i="41"/>
  <c r="V2196" i="41"/>
  <c r="V2197" i="41"/>
  <c r="V2198" i="41"/>
  <c r="V2199" i="41"/>
  <c r="V2200" i="41"/>
  <c r="V2201" i="41"/>
  <c r="V2202" i="41"/>
  <c r="V2203" i="41"/>
  <c r="V2204" i="41"/>
  <c r="V2205" i="41"/>
  <c r="V2206" i="41"/>
  <c r="V2207" i="41"/>
  <c r="V2208" i="41"/>
  <c r="V2209" i="41"/>
  <c r="V2210" i="41"/>
  <c r="V2211" i="41"/>
  <c r="V2212" i="41"/>
  <c r="V2213" i="41"/>
  <c r="V2214" i="41"/>
  <c r="V2215" i="41"/>
  <c r="V2216" i="41"/>
  <c r="V2217" i="41"/>
  <c r="V2218" i="41"/>
  <c r="V2219" i="41"/>
  <c r="V2220" i="41"/>
  <c r="V2221" i="41"/>
  <c r="V2222" i="41"/>
  <c r="V2223" i="41"/>
  <c r="V2224" i="41"/>
  <c r="V2225" i="41"/>
  <c r="V2226" i="41"/>
  <c r="V2227" i="41"/>
  <c r="V2228" i="41"/>
  <c r="V2229" i="41"/>
  <c r="V2230" i="41"/>
  <c r="V2231" i="41"/>
  <c r="V2232" i="41"/>
  <c r="V2233" i="41"/>
  <c r="V2234" i="41"/>
  <c r="V2235" i="41"/>
  <c r="V2236" i="41"/>
  <c r="V2237" i="41"/>
  <c r="V2238" i="41"/>
  <c r="V2239" i="41"/>
  <c r="V2240" i="41"/>
  <c r="V2241" i="41"/>
  <c r="V2242" i="41"/>
  <c r="V2243" i="41"/>
  <c r="V2244" i="41"/>
  <c r="V2245" i="41"/>
  <c r="V2246" i="41"/>
  <c r="V2247" i="41"/>
  <c r="V2248" i="41"/>
  <c r="V2249" i="41"/>
  <c r="V2250" i="41"/>
  <c r="V2251" i="41"/>
  <c r="V2252" i="41"/>
  <c r="V2253" i="41"/>
  <c r="V2254" i="41"/>
  <c r="V2255" i="41"/>
  <c r="V2256" i="41"/>
  <c r="V2257" i="41"/>
  <c r="V2258" i="41"/>
  <c r="V2259" i="41"/>
  <c r="V2260" i="41"/>
  <c r="V2261" i="41"/>
  <c r="V2262" i="41"/>
  <c r="V2263" i="41"/>
  <c r="V2264" i="41"/>
  <c r="V2265" i="41"/>
  <c r="V2266" i="41"/>
  <c r="V2267" i="41"/>
  <c r="V2268" i="41"/>
  <c r="V2269" i="41"/>
  <c r="V2270" i="41"/>
  <c r="V2271" i="41"/>
  <c r="V2272" i="41"/>
  <c r="V2273" i="41"/>
  <c r="V2274" i="41"/>
  <c r="V2275" i="41"/>
  <c r="V2276" i="41"/>
  <c r="V2277" i="41"/>
  <c r="V2278" i="41"/>
  <c r="V2279" i="41"/>
  <c r="V2280" i="41"/>
  <c r="V2281" i="41"/>
  <c r="V2282" i="41"/>
  <c r="V2283" i="41"/>
  <c r="V2284" i="41"/>
  <c r="V2285" i="41"/>
  <c r="V2286" i="41"/>
  <c r="V2287" i="41"/>
  <c r="V2288" i="41"/>
  <c r="V2289" i="41"/>
  <c r="V2290" i="41"/>
  <c r="V2291" i="41"/>
  <c r="V2292" i="41"/>
  <c r="V2293" i="41"/>
  <c r="V2294" i="41"/>
  <c r="V2295" i="41"/>
  <c r="V2296" i="41"/>
  <c r="V2297" i="41"/>
  <c r="V2298" i="41"/>
  <c r="V2299" i="41"/>
  <c r="V2300" i="41"/>
  <c r="V2301" i="41"/>
  <c r="V2302" i="41"/>
  <c r="V2303" i="41"/>
  <c r="V2304" i="41"/>
  <c r="V2305" i="41"/>
  <c r="V2306" i="41"/>
  <c r="V2307" i="41"/>
  <c r="V2308" i="41"/>
  <c r="V2309" i="41"/>
  <c r="V2310" i="41"/>
  <c r="V2311" i="41"/>
  <c r="V2312" i="41"/>
  <c r="V2313" i="41"/>
  <c r="V2314" i="41"/>
  <c r="V2315" i="41"/>
  <c r="V2316" i="41"/>
  <c r="V2317" i="41"/>
  <c r="V2318" i="41"/>
  <c r="V2319" i="41"/>
  <c r="V2320" i="41"/>
  <c r="V2321" i="41"/>
  <c r="V2322" i="41"/>
  <c r="V2323" i="41"/>
  <c r="V2324" i="41"/>
  <c r="V2325" i="41"/>
  <c r="V2326" i="41"/>
  <c r="V2327" i="41"/>
  <c r="V2328" i="41"/>
  <c r="V2329" i="41"/>
  <c r="V2330" i="41"/>
  <c r="V2331" i="41"/>
  <c r="V2332" i="41"/>
  <c r="V2333" i="41"/>
  <c r="V2334" i="41"/>
  <c r="V2335" i="41"/>
  <c r="V2336" i="41"/>
  <c r="V2337" i="41"/>
  <c r="V2338" i="41"/>
  <c r="V2339" i="41"/>
  <c r="V2340" i="41"/>
  <c r="V2341" i="41"/>
  <c r="V2342" i="41"/>
  <c r="V2343" i="41"/>
  <c r="V2344" i="41"/>
  <c r="V2345" i="41"/>
  <c r="V2346" i="41"/>
  <c r="V2347" i="41"/>
  <c r="V2348" i="41"/>
  <c r="V2349" i="41"/>
  <c r="V2350" i="41"/>
  <c r="V2351" i="41"/>
  <c r="V2352" i="41"/>
  <c r="V2353" i="41"/>
  <c r="V2354" i="41"/>
  <c r="V2355" i="41"/>
  <c r="V2356" i="41"/>
  <c r="V2357" i="41"/>
  <c r="V2358" i="41"/>
  <c r="V2359" i="41"/>
  <c r="V2360" i="41"/>
  <c r="V2361" i="41"/>
  <c r="V2362" i="41"/>
  <c r="V2363" i="41"/>
  <c r="V2364" i="41"/>
  <c r="V2365" i="41"/>
  <c r="V2366" i="41"/>
  <c r="V2367" i="41"/>
  <c r="V2368" i="41"/>
  <c r="V2369" i="41"/>
  <c r="V2370" i="41"/>
  <c r="V2371" i="41"/>
  <c r="V2372" i="41"/>
  <c r="V2373" i="41"/>
  <c r="V2374" i="41"/>
  <c r="V2375" i="41"/>
  <c r="V2376" i="41"/>
  <c r="V2377" i="41"/>
  <c r="V2378" i="41"/>
  <c r="V2379" i="41"/>
  <c r="V2380" i="41"/>
  <c r="V2381" i="41"/>
  <c r="V2382" i="41"/>
  <c r="V2383" i="41"/>
  <c r="V2384" i="41"/>
  <c r="V2385" i="41"/>
  <c r="V2386" i="41"/>
  <c r="V2387" i="41"/>
  <c r="V2388" i="41"/>
  <c r="V2389" i="41"/>
  <c r="V2390" i="41"/>
  <c r="V2391" i="41"/>
  <c r="V2392" i="41"/>
  <c r="V2393" i="41"/>
  <c r="V2394" i="41"/>
  <c r="V2395" i="41"/>
  <c r="V2396" i="41"/>
  <c r="V2397" i="41"/>
  <c r="V2398" i="41"/>
  <c r="V2399" i="41"/>
  <c r="V2400" i="41"/>
  <c r="V2401" i="41"/>
  <c r="V2402" i="41"/>
  <c r="V2403" i="41"/>
  <c r="V2404" i="41"/>
  <c r="V2405" i="41"/>
  <c r="V2406" i="41"/>
  <c r="V2407" i="41"/>
  <c r="V2408" i="41"/>
  <c r="V2409" i="41"/>
  <c r="V2410" i="41"/>
  <c r="V2411" i="41"/>
  <c r="V2412" i="41"/>
  <c r="V2413" i="41"/>
  <c r="V2414" i="41"/>
  <c r="V2415" i="41"/>
  <c r="V2416" i="41"/>
  <c r="V2417" i="41"/>
  <c r="V2418" i="41"/>
  <c r="V2419" i="41"/>
  <c r="V2420" i="41"/>
  <c r="V2421" i="41"/>
  <c r="V2422" i="41"/>
  <c r="V2423" i="41"/>
  <c r="V2424" i="41"/>
  <c r="V2425" i="41"/>
  <c r="V2426" i="41"/>
  <c r="V2427" i="41"/>
  <c r="V2428" i="41"/>
  <c r="V2429" i="41"/>
  <c r="V2430" i="41"/>
  <c r="V2431" i="41"/>
  <c r="V2432" i="41"/>
  <c r="V2433" i="41"/>
  <c r="V2434" i="41"/>
  <c r="V2435" i="41"/>
  <c r="V2436" i="41"/>
  <c r="V2437" i="41"/>
  <c r="V2438" i="41"/>
  <c r="V2439" i="41"/>
  <c r="V2440" i="41"/>
  <c r="V2441" i="41"/>
  <c r="V2442" i="41"/>
  <c r="V2443" i="41"/>
  <c r="V2444" i="41"/>
  <c r="V2445" i="41"/>
  <c r="V2446" i="41"/>
  <c r="V2447" i="41"/>
  <c r="V2448" i="41"/>
  <c r="V2449" i="41"/>
  <c r="V2450" i="41"/>
  <c r="V2451" i="41"/>
  <c r="V2452" i="41"/>
  <c r="V2453" i="41"/>
  <c r="V2454" i="41"/>
  <c r="V2455" i="41"/>
  <c r="V2456" i="41"/>
  <c r="V2457" i="41"/>
  <c r="V2458" i="41"/>
  <c r="V2459" i="41"/>
  <c r="V2460" i="41"/>
  <c r="V2461" i="41"/>
  <c r="V2462" i="41"/>
  <c r="V2463" i="41"/>
  <c r="V2464" i="41"/>
  <c r="V2465" i="41"/>
  <c r="V2466" i="41"/>
  <c r="V2467" i="41"/>
  <c r="V2468" i="41"/>
  <c r="V2469" i="41"/>
  <c r="V2470" i="41"/>
  <c r="V2471" i="41"/>
  <c r="V2472" i="41"/>
  <c r="V2473" i="41"/>
  <c r="V2474" i="41"/>
  <c r="V2475" i="41"/>
  <c r="V2476" i="41"/>
  <c r="V2477" i="41"/>
  <c r="V2478" i="41"/>
  <c r="V2479" i="41"/>
  <c r="V2480" i="41"/>
  <c r="V2481" i="41"/>
  <c r="V2482" i="41"/>
  <c r="V2483" i="41"/>
  <c r="V2484" i="41"/>
  <c r="V2485" i="41"/>
  <c r="V2486" i="41"/>
  <c r="V2487" i="41"/>
  <c r="V2488" i="41"/>
  <c r="V2489" i="41"/>
  <c r="V2490" i="41"/>
  <c r="V2491" i="41"/>
  <c r="V2492" i="41"/>
  <c r="V2493" i="41"/>
  <c r="V2494" i="41"/>
  <c r="V2495" i="41"/>
  <c r="V2496" i="41"/>
  <c r="V2497" i="41"/>
  <c r="V2498" i="41"/>
  <c r="V2499" i="41"/>
  <c r="V2500" i="41"/>
  <c r="V2501" i="41"/>
  <c r="V2502" i="41"/>
  <c r="V2503" i="41"/>
  <c r="V2504" i="41"/>
  <c r="V2505" i="41"/>
  <c r="V2506" i="41"/>
  <c r="V2507" i="41"/>
  <c r="V2508" i="41"/>
  <c r="V2509" i="41"/>
  <c r="V2510" i="41"/>
  <c r="V2511" i="41"/>
  <c r="V2512" i="41"/>
  <c r="V2513" i="41"/>
  <c r="V2514" i="41"/>
  <c r="V2515" i="41"/>
  <c r="V2516" i="41"/>
  <c r="V2517" i="41"/>
  <c r="V2518" i="41"/>
  <c r="V2519" i="41"/>
  <c r="V2520" i="41"/>
  <c r="V2521" i="41"/>
  <c r="V2522" i="41"/>
  <c r="V2523" i="41"/>
  <c r="V2524" i="41"/>
  <c r="V2525" i="41"/>
  <c r="V2526" i="41"/>
  <c r="V2527" i="41"/>
  <c r="V2528" i="41"/>
  <c r="V2529" i="41"/>
  <c r="V2530" i="41"/>
  <c r="V2531" i="41"/>
  <c r="V2532" i="41"/>
  <c r="V2533" i="41"/>
  <c r="V2534" i="41"/>
  <c r="V2535" i="41"/>
  <c r="V2536" i="41"/>
  <c r="V2537" i="41"/>
  <c r="V2538" i="41"/>
  <c r="V2539" i="41"/>
  <c r="V2540" i="41"/>
  <c r="V2541" i="41"/>
  <c r="V2542" i="41"/>
  <c r="V2543" i="41"/>
  <c r="V2544" i="41"/>
  <c r="V2545" i="41"/>
  <c r="V2546" i="41"/>
  <c r="V2547" i="41"/>
  <c r="V2548" i="41"/>
  <c r="V2549" i="41"/>
  <c r="V2550" i="41"/>
  <c r="V2551" i="41"/>
  <c r="V2552" i="41"/>
  <c r="V2553" i="41"/>
  <c r="V2554" i="41"/>
  <c r="V2555" i="41"/>
  <c r="V2556" i="41"/>
  <c r="V2557" i="41"/>
  <c r="V2558" i="41"/>
  <c r="V2559" i="41"/>
  <c r="V2560" i="41"/>
  <c r="V2561" i="41"/>
  <c r="V2562" i="41"/>
  <c r="V2563" i="41"/>
  <c r="V2564" i="41"/>
  <c r="V2565" i="41"/>
  <c r="V2566" i="41"/>
  <c r="V2567" i="41"/>
  <c r="V2568" i="41"/>
  <c r="V2569" i="41"/>
  <c r="V2570" i="41"/>
  <c r="V2571" i="41"/>
  <c r="V2572" i="41"/>
  <c r="V2573" i="41"/>
  <c r="V2574" i="41"/>
  <c r="V2575" i="41"/>
  <c r="V2576" i="41"/>
  <c r="V2577" i="41"/>
  <c r="V2578" i="41"/>
  <c r="V2579" i="41"/>
  <c r="V2580" i="41"/>
  <c r="V2581" i="41"/>
  <c r="V2582" i="41"/>
  <c r="V2583" i="41"/>
  <c r="V2584" i="41"/>
  <c r="V2585" i="41"/>
  <c r="V2586" i="41"/>
  <c r="V2587" i="41"/>
  <c r="V2588" i="41"/>
  <c r="V2589" i="41"/>
  <c r="V2590" i="41"/>
  <c r="V2591" i="41"/>
  <c r="V2592" i="41"/>
  <c r="V2593" i="41"/>
  <c r="V2594" i="41"/>
  <c r="V2595" i="41"/>
  <c r="V2596" i="41"/>
  <c r="V2597" i="41"/>
  <c r="V2598" i="41"/>
  <c r="V2599" i="41"/>
  <c r="V2600" i="41"/>
  <c r="V2601" i="41"/>
  <c r="V2602" i="41"/>
  <c r="V2603" i="41"/>
  <c r="V2604" i="41"/>
  <c r="V2605" i="41"/>
  <c r="V2606" i="41"/>
  <c r="V2607" i="41"/>
  <c r="V2608" i="41"/>
  <c r="V2609" i="41"/>
  <c r="V2610" i="41"/>
  <c r="V2611" i="41"/>
  <c r="V2612" i="41"/>
  <c r="V2613" i="41"/>
  <c r="V2614" i="41"/>
  <c r="V2615" i="41"/>
  <c r="V2616" i="41"/>
  <c r="V2617" i="41"/>
  <c r="V2618" i="41"/>
  <c r="V2619" i="41"/>
  <c r="V2620" i="41"/>
  <c r="V2621" i="41"/>
  <c r="V2622" i="41"/>
  <c r="V2623" i="41"/>
  <c r="V2624" i="41"/>
  <c r="V2625" i="41"/>
  <c r="V2626" i="41"/>
  <c r="V2627" i="41"/>
  <c r="V2628" i="41"/>
  <c r="V2629" i="41"/>
  <c r="V2630" i="41"/>
  <c r="V2631" i="41"/>
  <c r="V2632" i="41"/>
  <c r="V2633" i="41"/>
  <c r="V2634" i="41"/>
  <c r="V2635" i="41"/>
  <c r="V2636" i="41"/>
  <c r="V2637" i="41"/>
  <c r="V2638" i="41"/>
  <c r="V2639" i="41"/>
  <c r="V2640" i="41"/>
  <c r="V2641" i="41"/>
  <c r="V2642" i="41"/>
  <c r="V2643" i="41"/>
  <c r="V2644" i="41"/>
  <c r="V2645" i="41"/>
  <c r="V2646" i="41"/>
  <c r="V2647" i="41"/>
  <c r="V2648" i="41"/>
  <c r="V2649" i="41"/>
  <c r="V2650" i="41"/>
  <c r="V2651" i="41"/>
  <c r="V2652" i="41"/>
  <c r="V2653" i="41"/>
  <c r="V2654" i="41"/>
  <c r="V2655" i="41"/>
  <c r="V2656" i="41"/>
  <c r="V2657" i="41"/>
  <c r="V2658" i="41"/>
  <c r="V2659" i="41"/>
  <c r="V2660" i="41"/>
  <c r="V2661" i="41"/>
  <c r="V2662" i="41"/>
  <c r="V2663" i="41"/>
  <c r="V2664" i="41"/>
  <c r="V2665" i="41"/>
  <c r="V2666" i="41"/>
  <c r="V2667" i="41"/>
  <c r="V2668" i="41"/>
  <c r="V2669" i="41"/>
  <c r="V2670" i="41"/>
  <c r="V2671" i="41"/>
  <c r="V2672" i="41"/>
  <c r="V2673" i="41"/>
  <c r="V2674" i="41"/>
  <c r="V2675" i="41"/>
  <c r="V2676" i="41"/>
  <c r="V2677" i="41"/>
  <c r="V2678" i="41"/>
  <c r="V2679" i="41"/>
  <c r="V2680" i="41"/>
  <c r="V2681" i="41"/>
  <c r="V2682" i="41"/>
  <c r="V2683" i="41"/>
  <c r="V2684" i="41"/>
  <c r="V2685" i="41"/>
  <c r="V2686" i="41"/>
  <c r="V2687" i="41"/>
  <c r="V2688" i="41"/>
  <c r="V2689" i="41"/>
  <c r="V2690" i="41"/>
  <c r="V2691" i="41"/>
  <c r="V2692" i="41"/>
  <c r="V2693" i="41"/>
  <c r="V2694" i="41"/>
  <c r="V2695" i="41"/>
  <c r="V2696" i="41"/>
  <c r="V2697" i="41"/>
  <c r="V2698" i="41"/>
  <c r="V2699" i="41"/>
  <c r="V2700" i="41"/>
  <c r="V2701" i="41"/>
  <c r="V2702" i="41"/>
  <c r="V2703" i="41"/>
  <c r="V2704" i="41"/>
  <c r="V2705" i="41"/>
  <c r="V2706" i="41"/>
  <c r="V2707" i="41"/>
  <c r="V2708" i="41"/>
  <c r="V2709" i="41"/>
  <c r="V2710" i="41"/>
  <c r="V2711" i="41"/>
  <c r="V2712" i="41"/>
  <c r="V2713" i="41"/>
  <c r="V2714" i="41"/>
  <c r="V2715" i="41"/>
  <c r="V2716" i="41"/>
  <c r="V2717" i="41"/>
  <c r="V2718" i="41"/>
  <c r="V2719" i="41"/>
  <c r="V2720" i="41"/>
  <c r="V2721" i="41"/>
  <c r="V2722" i="41"/>
  <c r="V2723" i="41"/>
  <c r="V2724" i="41"/>
  <c r="V2725" i="41"/>
  <c r="V2726" i="41"/>
  <c r="V2727" i="41"/>
  <c r="V2728" i="41"/>
  <c r="V2729" i="41"/>
  <c r="V2730" i="41"/>
  <c r="V2731" i="41"/>
  <c r="V2732" i="41"/>
  <c r="V2733" i="41"/>
  <c r="V2734" i="41"/>
  <c r="V2735" i="41"/>
  <c r="V2736" i="41"/>
  <c r="V2737" i="41"/>
  <c r="V2738" i="41"/>
  <c r="V2739" i="41"/>
  <c r="V2740" i="41"/>
  <c r="V2741" i="41"/>
  <c r="V2742" i="41"/>
  <c r="V2743" i="41"/>
  <c r="V2744" i="41"/>
  <c r="V2745" i="41"/>
  <c r="V2746" i="41"/>
  <c r="V2747" i="41"/>
  <c r="V2748" i="41"/>
  <c r="V2749" i="41"/>
  <c r="V2750" i="41"/>
  <c r="V2751" i="41"/>
  <c r="V2752" i="41"/>
  <c r="V2753" i="41"/>
  <c r="V2754" i="41"/>
  <c r="V2755" i="41"/>
  <c r="V2756" i="41"/>
  <c r="V2757" i="41"/>
  <c r="V2758" i="41"/>
  <c r="V2759" i="41"/>
  <c r="V2760" i="41"/>
  <c r="V2761" i="41"/>
  <c r="V2762" i="41"/>
  <c r="V2763" i="41"/>
  <c r="V2764" i="41"/>
  <c r="V2765" i="41"/>
  <c r="V2766" i="41"/>
  <c r="V2767" i="41"/>
  <c r="V2768" i="41"/>
  <c r="V2769" i="41"/>
  <c r="V2770" i="41"/>
  <c r="V2771" i="41"/>
  <c r="V2772" i="41"/>
  <c r="V2773" i="41"/>
  <c r="V2774" i="41"/>
  <c r="V2775" i="41"/>
  <c r="V2776" i="41"/>
  <c r="V2777" i="41"/>
  <c r="V2778" i="41"/>
  <c r="V2779" i="41"/>
  <c r="V2780" i="41"/>
  <c r="V2781" i="41"/>
  <c r="V2782" i="41"/>
  <c r="V2783" i="41"/>
  <c r="V2784" i="41"/>
  <c r="V2785" i="41"/>
  <c r="V2786" i="41"/>
  <c r="V2787" i="41"/>
  <c r="V2788" i="41"/>
  <c r="V2789" i="41"/>
  <c r="V2790" i="41"/>
  <c r="V2791" i="41"/>
  <c r="V2792" i="41"/>
  <c r="V2793" i="41"/>
  <c r="V2794" i="41"/>
  <c r="V2795" i="41"/>
  <c r="V2796" i="41"/>
  <c r="V2797" i="41"/>
  <c r="V2798" i="41"/>
  <c r="V2799" i="41"/>
  <c r="V2800" i="41"/>
  <c r="V2801" i="41"/>
  <c r="V2802" i="41"/>
  <c r="V2803" i="41"/>
  <c r="V2804" i="41"/>
  <c r="V2805" i="41"/>
  <c r="V2806" i="41"/>
  <c r="V2807" i="41"/>
  <c r="V2808" i="41"/>
  <c r="V2809" i="41"/>
  <c r="V2810" i="41"/>
  <c r="V2811" i="41"/>
  <c r="V2812" i="41"/>
  <c r="V2813" i="41"/>
  <c r="V2814" i="41"/>
  <c r="V2815" i="41"/>
  <c r="V2816" i="41"/>
  <c r="V2817" i="41"/>
  <c r="V2818" i="41"/>
  <c r="V2819" i="41"/>
  <c r="V2820" i="41"/>
  <c r="V2821" i="41"/>
  <c r="V2822" i="41"/>
  <c r="V2823" i="41"/>
  <c r="V2824" i="41"/>
  <c r="V2825" i="41"/>
  <c r="V2826" i="41"/>
  <c r="V2827" i="41"/>
  <c r="V2828" i="41"/>
  <c r="V2829" i="41"/>
  <c r="V2830" i="41"/>
  <c r="V2831" i="41"/>
  <c r="V2832" i="41"/>
  <c r="V2833" i="41"/>
  <c r="V2834" i="41"/>
  <c r="V2835" i="41"/>
  <c r="V2836" i="41"/>
  <c r="V2837" i="41"/>
  <c r="V2838" i="41"/>
  <c r="V2839" i="41"/>
  <c r="V2840" i="41"/>
  <c r="V2841" i="41"/>
  <c r="V2842" i="41"/>
  <c r="V2843" i="41"/>
  <c r="V2844" i="41"/>
  <c r="V2845" i="41"/>
  <c r="V2846" i="41"/>
  <c r="V2847" i="41"/>
  <c r="V2848" i="41"/>
  <c r="V2849" i="41"/>
  <c r="V2850" i="41"/>
  <c r="V2851" i="41"/>
  <c r="V2852" i="41"/>
  <c r="V2853" i="41"/>
  <c r="V2854" i="41"/>
  <c r="V2855" i="41"/>
  <c r="V2856" i="41"/>
  <c r="V2857" i="41"/>
  <c r="V2858" i="41"/>
  <c r="V2859" i="41"/>
  <c r="V2860" i="41"/>
  <c r="V2861" i="41"/>
  <c r="V2862" i="41"/>
  <c r="V2863" i="41"/>
  <c r="V2864" i="41"/>
  <c r="V2865" i="41"/>
  <c r="V2866" i="41"/>
  <c r="V2867" i="41"/>
  <c r="V2868" i="41"/>
  <c r="V2869" i="41"/>
  <c r="V2870" i="41"/>
  <c r="V2871" i="41"/>
  <c r="V2872" i="41"/>
  <c r="V2873" i="41"/>
  <c r="V2874" i="41"/>
  <c r="V2875" i="41"/>
  <c r="V2876" i="41"/>
  <c r="V2877" i="41"/>
  <c r="V2878" i="41"/>
  <c r="V2879" i="41"/>
  <c r="V2880" i="41"/>
  <c r="V2881" i="41"/>
  <c r="V2882" i="41"/>
  <c r="V2883" i="41"/>
  <c r="V2884" i="41"/>
  <c r="V2885" i="41"/>
  <c r="V2886" i="41"/>
  <c r="V2887" i="41"/>
  <c r="V2888" i="41"/>
  <c r="V2889" i="41"/>
  <c r="V2890" i="41"/>
  <c r="V2891" i="41"/>
  <c r="V2892" i="41"/>
  <c r="V2893" i="41"/>
  <c r="V2894" i="41"/>
  <c r="V2895" i="41"/>
  <c r="V2896" i="41"/>
  <c r="V2897" i="41"/>
  <c r="V2898" i="41"/>
  <c r="V2899" i="41"/>
  <c r="V2900" i="41"/>
  <c r="V2901" i="41"/>
  <c r="V2902" i="41"/>
  <c r="V2903" i="41"/>
  <c r="V2904" i="41"/>
  <c r="V2905" i="41"/>
  <c r="V2906" i="41"/>
  <c r="V2907" i="41"/>
  <c r="V2908" i="41"/>
  <c r="V2909" i="41"/>
  <c r="V2910" i="41"/>
  <c r="V2911" i="41"/>
  <c r="V2912" i="41"/>
  <c r="V2913" i="41"/>
  <c r="V2914" i="41"/>
  <c r="V2915" i="41"/>
  <c r="V2916" i="41"/>
  <c r="V2917" i="41"/>
  <c r="V2918" i="41"/>
  <c r="V2919" i="41"/>
  <c r="V2920" i="41"/>
  <c r="V2921" i="41"/>
  <c r="V2922" i="41"/>
  <c r="V2923" i="41"/>
  <c r="V2924" i="41"/>
  <c r="V2925" i="41"/>
  <c r="V2926" i="41"/>
  <c r="V2927" i="41"/>
  <c r="V2928" i="41"/>
  <c r="V2929" i="41"/>
  <c r="V2930" i="41"/>
  <c r="V2931" i="41"/>
  <c r="V2932" i="41"/>
  <c r="V2933" i="41"/>
  <c r="V2934" i="41"/>
  <c r="V2935" i="41"/>
  <c r="V2936" i="41"/>
  <c r="V2937" i="41"/>
  <c r="V2938" i="41"/>
  <c r="V2939" i="41"/>
  <c r="V2940" i="41"/>
  <c r="V2941" i="41"/>
  <c r="V2942" i="41"/>
  <c r="V2943" i="41"/>
  <c r="V2944" i="41"/>
  <c r="V2945" i="41"/>
  <c r="V2946" i="41"/>
  <c r="V2947" i="41"/>
  <c r="V2948" i="41"/>
  <c r="V2949" i="41"/>
  <c r="V2950" i="41"/>
  <c r="V2951" i="41"/>
  <c r="V2952" i="41"/>
  <c r="V2953" i="41"/>
  <c r="V2954" i="41"/>
  <c r="V2955" i="41"/>
  <c r="V2956" i="41"/>
  <c r="V2957" i="41"/>
  <c r="V2958" i="41"/>
  <c r="V2959" i="41"/>
  <c r="V2960" i="41"/>
  <c r="V2961" i="41"/>
  <c r="V2962" i="41"/>
  <c r="V2963" i="41"/>
  <c r="V2964" i="41"/>
  <c r="V2965" i="41"/>
  <c r="V2966" i="41"/>
  <c r="V2967" i="41"/>
  <c r="V2968" i="41"/>
  <c r="V2969" i="41"/>
  <c r="V2970" i="41"/>
  <c r="V2971" i="41"/>
  <c r="V2972" i="41"/>
  <c r="V2973" i="41"/>
  <c r="V2974" i="41"/>
  <c r="V2975" i="41"/>
  <c r="V2976" i="41"/>
  <c r="V2977" i="41"/>
  <c r="V2978" i="41"/>
  <c r="V2979" i="41"/>
  <c r="V2980" i="41"/>
  <c r="V2981" i="41"/>
  <c r="V2982" i="41"/>
  <c r="V2983" i="41"/>
  <c r="V2984" i="41"/>
  <c r="V2985" i="41"/>
  <c r="V2986" i="41"/>
  <c r="V2987" i="41"/>
  <c r="V2988" i="41"/>
  <c r="V2989" i="41"/>
  <c r="V2990" i="41"/>
  <c r="V2991" i="41"/>
  <c r="V2992" i="41"/>
  <c r="V2993" i="41"/>
  <c r="V2994" i="41"/>
  <c r="V2995" i="41"/>
  <c r="V2996" i="41"/>
  <c r="V2997" i="41"/>
  <c r="V2998" i="41"/>
  <c r="V2999" i="41"/>
  <c r="V3000" i="41"/>
  <c r="V3001" i="41"/>
  <c r="V3002" i="41"/>
  <c r="V3003" i="41"/>
  <c r="V3004" i="41"/>
  <c r="V3005" i="41"/>
  <c r="V3006" i="41"/>
  <c r="V3007" i="41"/>
  <c r="V3008" i="41"/>
  <c r="V3009" i="41"/>
  <c r="V3010" i="41"/>
  <c r="V3011" i="41"/>
  <c r="V3012" i="41"/>
  <c r="V3013" i="41"/>
  <c r="V3014" i="41"/>
  <c r="V3015" i="41"/>
  <c r="V3016" i="41"/>
  <c r="V3017" i="41"/>
  <c r="V3018" i="41"/>
  <c r="V3019" i="41"/>
  <c r="V3020" i="41"/>
  <c r="V3021" i="41"/>
  <c r="V3022" i="41"/>
  <c r="V3023" i="41"/>
  <c r="V3024" i="41"/>
  <c r="V3025" i="41"/>
  <c r="V3026" i="41"/>
  <c r="V3027" i="41"/>
  <c r="V3028" i="41"/>
  <c r="V3029" i="41"/>
  <c r="V3030" i="41"/>
  <c r="V3031" i="41"/>
  <c r="V3032" i="41"/>
  <c r="V3033" i="41"/>
  <c r="V3034" i="41"/>
  <c r="V3035" i="41"/>
  <c r="V3036" i="41"/>
  <c r="V3037" i="41"/>
  <c r="V3038" i="41"/>
  <c r="V3039" i="41"/>
  <c r="V3040" i="41"/>
  <c r="V3041" i="41"/>
  <c r="V3042" i="41"/>
  <c r="V3043" i="41"/>
  <c r="V3044" i="41"/>
  <c r="V3045" i="41"/>
  <c r="V3046" i="41"/>
  <c r="V3047" i="41"/>
  <c r="V3048" i="41"/>
  <c r="V3049" i="41"/>
  <c r="V3050" i="41"/>
  <c r="V3051" i="41"/>
  <c r="V3052" i="41"/>
  <c r="V3053" i="41"/>
  <c r="V3054" i="41"/>
  <c r="V3055" i="41"/>
  <c r="V3056" i="41"/>
  <c r="V3057" i="41"/>
  <c r="V3058" i="41"/>
  <c r="V3059" i="41"/>
  <c r="V3060" i="41"/>
  <c r="V3061" i="41"/>
  <c r="V3062" i="41"/>
  <c r="V3063" i="41"/>
  <c r="V3064" i="41"/>
  <c r="V3065" i="41"/>
  <c r="V3066" i="41"/>
  <c r="V3067" i="41"/>
  <c r="V3068" i="41"/>
  <c r="V3069" i="41"/>
  <c r="V3070" i="41"/>
  <c r="V3071" i="41"/>
  <c r="V3072" i="41"/>
  <c r="V3073" i="41"/>
  <c r="V3074" i="41"/>
  <c r="V3075" i="41"/>
  <c r="V3076" i="41"/>
  <c r="V3077" i="41"/>
  <c r="V3078" i="41"/>
  <c r="V3079" i="41"/>
  <c r="V3080" i="41"/>
  <c r="V3081" i="41"/>
  <c r="V3082" i="41"/>
  <c r="V3083" i="41"/>
  <c r="V3084" i="41"/>
  <c r="V3085" i="41"/>
  <c r="V3086" i="41"/>
  <c r="V3087" i="41"/>
  <c r="V3088" i="41"/>
  <c r="V3089" i="41"/>
  <c r="V3090" i="41"/>
  <c r="V3091" i="41"/>
  <c r="V3092" i="41"/>
  <c r="V3093" i="41"/>
  <c r="V3094" i="41"/>
  <c r="V3095" i="41"/>
  <c r="V3096" i="41"/>
  <c r="V3097" i="41"/>
  <c r="V3098" i="41"/>
  <c r="V3099" i="41"/>
  <c r="V3100" i="41"/>
  <c r="V3101" i="41"/>
  <c r="V3102" i="41"/>
  <c r="V3103" i="41"/>
  <c r="V3104" i="41"/>
  <c r="V3105" i="41"/>
  <c r="V3106" i="41"/>
  <c r="V3107" i="41"/>
  <c r="V3108" i="41"/>
  <c r="V3109" i="41"/>
  <c r="V3110" i="41"/>
  <c r="V3111" i="41"/>
  <c r="V3112" i="41"/>
  <c r="V3113" i="41"/>
  <c r="V3114" i="41"/>
  <c r="V3115" i="41"/>
  <c r="V3116" i="41"/>
  <c r="V3117" i="41"/>
  <c r="V3118" i="41"/>
  <c r="V3119" i="41"/>
  <c r="V3120" i="41"/>
  <c r="V3121" i="41"/>
  <c r="V3122" i="41"/>
  <c r="V3123" i="41"/>
  <c r="V3124" i="41"/>
  <c r="V3125" i="41"/>
  <c r="V3126" i="41"/>
  <c r="V3127" i="41"/>
  <c r="V3128" i="41"/>
  <c r="V3129" i="41"/>
  <c r="V3130" i="41"/>
  <c r="V3131" i="41"/>
  <c r="V3132" i="41"/>
  <c r="V3133" i="41"/>
  <c r="V3134" i="41"/>
  <c r="V3135" i="41"/>
  <c r="V3136" i="41"/>
  <c r="V3137" i="41"/>
  <c r="V3138" i="41"/>
  <c r="V3139" i="41"/>
  <c r="V3140" i="41"/>
  <c r="V3141" i="41"/>
  <c r="V3142" i="41"/>
  <c r="V3143" i="41"/>
  <c r="V3144" i="41"/>
  <c r="V3145" i="41"/>
  <c r="V3146" i="41"/>
  <c r="V3147" i="41"/>
  <c r="V3148" i="41"/>
  <c r="V3149" i="41"/>
  <c r="V3150" i="41"/>
  <c r="V3151" i="41"/>
  <c r="V3152" i="41"/>
  <c r="V3153" i="41"/>
  <c r="W2" i="41"/>
  <c r="W3" i="41"/>
  <c r="W4" i="41"/>
  <c r="W5" i="41"/>
  <c r="W6" i="41"/>
  <c r="W7" i="41"/>
  <c r="W8" i="41"/>
  <c r="W9" i="41"/>
  <c r="W10" i="41"/>
  <c r="W11" i="41"/>
  <c r="W12" i="41"/>
  <c r="W13" i="41"/>
  <c r="W14" i="41"/>
  <c r="W15" i="41"/>
  <c r="W16" i="41"/>
  <c r="W17" i="41"/>
  <c r="W18" i="41"/>
  <c r="W19" i="41"/>
  <c r="W20" i="41"/>
  <c r="W21" i="41"/>
  <c r="W22" i="41"/>
  <c r="W23" i="41"/>
  <c r="W24" i="41"/>
  <c r="W25" i="41"/>
  <c r="W26" i="41"/>
  <c r="W27" i="41"/>
  <c r="W28" i="41"/>
  <c r="W29" i="41"/>
  <c r="W30" i="41"/>
  <c r="W31" i="41"/>
  <c r="W32" i="41"/>
  <c r="W33" i="41"/>
  <c r="W34" i="41"/>
  <c r="W35" i="41"/>
  <c r="W36" i="41"/>
  <c r="W37" i="41"/>
  <c r="W38" i="41"/>
  <c r="W39" i="41"/>
  <c r="W40" i="41"/>
  <c r="W41" i="41"/>
  <c r="W42" i="41"/>
  <c r="W43" i="41"/>
  <c r="W44" i="41"/>
  <c r="W45" i="41"/>
  <c r="W46" i="41"/>
  <c r="W47" i="41"/>
  <c r="W48" i="41"/>
  <c r="W49" i="41"/>
  <c r="W50" i="41"/>
  <c r="W51" i="41"/>
  <c r="W52" i="41"/>
  <c r="W53" i="41"/>
  <c r="W54" i="41"/>
  <c r="W55" i="41"/>
  <c r="W56" i="41"/>
  <c r="W57" i="41"/>
  <c r="W58" i="41"/>
  <c r="W59" i="41"/>
  <c r="W60" i="41"/>
  <c r="W61" i="41"/>
  <c r="W62" i="41"/>
  <c r="W63" i="41"/>
  <c r="W64" i="41"/>
  <c r="W65" i="41"/>
  <c r="W66" i="41"/>
  <c r="W67" i="41"/>
  <c r="W68" i="41"/>
  <c r="W69" i="41"/>
  <c r="W70" i="41"/>
  <c r="W71" i="41"/>
  <c r="W72" i="41"/>
  <c r="W73" i="41"/>
  <c r="W74" i="41"/>
  <c r="W75" i="41"/>
  <c r="W76" i="41"/>
  <c r="W77" i="41"/>
  <c r="W78" i="41"/>
  <c r="W79" i="41"/>
  <c r="W80" i="41"/>
  <c r="W81" i="41"/>
  <c r="W82" i="41"/>
  <c r="W83" i="41"/>
  <c r="W84" i="41"/>
  <c r="W85" i="41"/>
  <c r="W86" i="41"/>
  <c r="W87" i="41"/>
  <c r="W88" i="41"/>
  <c r="W89" i="41"/>
  <c r="W90" i="41"/>
  <c r="W91" i="41"/>
  <c r="W92" i="41"/>
  <c r="W93" i="41"/>
  <c r="W94" i="41"/>
  <c r="W95" i="41"/>
  <c r="W96" i="41"/>
  <c r="W97" i="41"/>
  <c r="W98" i="41"/>
  <c r="W99" i="41"/>
  <c r="W100" i="41"/>
  <c r="W101" i="41"/>
  <c r="W102" i="41"/>
  <c r="W103" i="41"/>
  <c r="W104" i="41"/>
  <c r="W105" i="41"/>
  <c r="W106" i="41"/>
  <c r="W107" i="41"/>
  <c r="W108" i="41"/>
  <c r="W109" i="41"/>
  <c r="W110" i="41"/>
  <c r="W111" i="41"/>
  <c r="W112" i="41"/>
  <c r="W113" i="41"/>
  <c r="W114" i="41"/>
  <c r="W115" i="41"/>
  <c r="W116" i="41"/>
  <c r="W117" i="41"/>
  <c r="W118" i="41"/>
  <c r="W119" i="41"/>
  <c r="W120" i="41"/>
  <c r="W121" i="41"/>
  <c r="W122" i="41"/>
  <c r="W123" i="41"/>
  <c r="W124" i="41"/>
  <c r="W125" i="41"/>
  <c r="W126" i="41"/>
  <c r="W127" i="41"/>
  <c r="W128" i="41"/>
  <c r="W129" i="41"/>
  <c r="W130" i="41"/>
  <c r="W131" i="41"/>
  <c r="W132" i="41"/>
  <c r="W133" i="41"/>
  <c r="W134" i="41"/>
  <c r="W135" i="41"/>
  <c r="W136" i="41"/>
  <c r="W137" i="41"/>
  <c r="W138" i="41"/>
  <c r="W139" i="41"/>
  <c r="W140" i="41"/>
  <c r="W141" i="41"/>
  <c r="W142" i="41"/>
  <c r="W143" i="41"/>
  <c r="W144" i="41"/>
  <c r="W145" i="41"/>
  <c r="W146" i="41"/>
  <c r="W147" i="41"/>
  <c r="W148" i="41"/>
  <c r="W149" i="41"/>
  <c r="W150" i="41"/>
  <c r="W151" i="41"/>
  <c r="W152" i="41"/>
  <c r="W153" i="41"/>
  <c r="W154" i="41"/>
  <c r="W155" i="41"/>
  <c r="W156" i="41"/>
  <c r="W157" i="41"/>
  <c r="W158" i="41"/>
  <c r="W159" i="41"/>
  <c r="W160" i="41"/>
  <c r="W161" i="41"/>
  <c r="W162" i="41"/>
  <c r="W163" i="41"/>
  <c r="W164" i="41"/>
  <c r="W165" i="41"/>
  <c r="W166" i="41"/>
  <c r="W167" i="41"/>
  <c r="W168" i="41"/>
  <c r="W169" i="41"/>
  <c r="W170" i="41"/>
  <c r="W171" i="41"/>
  <c r="W172" i="41"/>
  <c r="W173" i="41"/>
  <c r="W174" i="41"/>
  <c r="W175" i="41"/>
  <c r="W176" i="41"/>
  <c r="W177" i="41"/>
  <c r="W178" i="41"/>
  <c r="W179" i="41"/>
  <c r="W180" i="41"/>
  <c r="W181" i="41"/>
  <c r="W182" i="41"/>
  <c r="W183" i="41"/>
  <c r="W184" i="41"/>
  <c r="W185" i="41"/>
  <c r="W186" i="41"/>
  <c r="W187" i="41"/>
  <c r="W188" i="41"/>
  <c r="W189" i="41"/>
  <c r="W190" i="41"/>
  <c r="W191" i="41"/>
  <c r="W192" i="41"/>
  <c r="W193" i="41"/>
  <c r="W194" i="41"/>
  <c r="W195" i="41"/>
  <c r="W196" i="41"/>
  <c r="W197" i="41"/>
  <c r="W198" i="41"/>
  <c r="W199" i="41"/>
  <c r="W200" i="41"/>
  <c r="W201" i="41"/>
  <c r="W202" i="41"/>
  <c r="W203" i="41"/>
  <c r="W204" i="41"/>
  <c r="W205" i="41"/>
  <c r="W206" i="41"/>
  <c r="W207" i="41"/>
  <c r="W208" i="41"/>
  <c r="W209" i="41"/>
  <c r="W210" i="41"/>
  <c r="W211" i="41"/>
  <c r="W212" i="41"/>
  <c r="W213" i="41"/>
  <c r="W214" i="41"/>
  <c r="W215" i="41"/>
  <c r="W216" i="41"/>
  <c r="W217" i="41"/>
  <c r="W218" i="41"/>
  <c r="W219" i="41"/>
  <c r="W220" i="41"/>
  <c r="W221" i="41"/>
  <c r="W222" i="41"/>
  <c r="W223" i="41"/>
  <c r="W224" i="41"/>
  <c r="W225" i="41"/>
  <c r="W226" i="41"/>
  <c r="W227" i="41"/>
  <c r="W228" i="41"/>
  <c r="W229" i="41"/>
  <c r="W230" i="41"/>
  <c r="W231" i="41"/>
  <c r="W232" i="41"/>
  <c r="W233" i="41"/>
  <c r="W234" i="41"/>
  <c r="W235" i="41"/>
  <c r="W236" i="41"/>
  <c r="W237" i="41"/>
  <c r="W238" i="41"/>
  <c r="W239" i="41"/>
  <c r="W240" i="41"/>
  <c r="W241" i="41"/>
  <c r="W242" i="41"/>
  <c r="W243" i="41"/>
  <c r="W244" i="41"/>
  <c r="W245" i="41"/>
  <c r="W246" i="41"/>
  <c r="W247" i="41"/>
  <c r="W248" i="41"/>
  <c r="W249" i="41"/>
  <c r="W250" i="41"/>
  <c r="W251" i="41"/>
  <c r="W252" i="41"/>
  <c r="W253" i="41"/>
  <c r="W254" i="41"/>
  <c r="W255" i="41"/>
  <c r="W256" i="41"/>
  <c r="W257" i="41"/>
  <c r="W258" i="41"/>
  <c r="W259" i="41"/>
  <c r="W260" i="41"/>
  <c r="W261" i="41"/>
  <c r="W262" i="41"/>
  <c r="W263" i="41"/>
  <c r="W264" i="41"/>
  <c r="W265" i="41"/>
  <c r="W266" i="41"/>
  <c r="W267" i="41"/>
  <c r="W268" i="41"/>
  <c r="W269" i="41"/>
  <c r="W270" i="41"/>
  <c r="W271" i="41"/>
  <c r="W272" i="41"/>
  <c r="W273" i="41"/>
  <c r="W274" i="41"/>
  <c r="W275" i="41"/>
  <c r="W276" i="41"/>
  <c r="W277" i="41"/>
  <c r="W278" i="41"/>
  <c r="W279" i="41"/>
  <c r="W280" i="41"/>
  <c r="W281" i="41"/>
  <c r="W282" i="41"/>
  <c r="W283" i="41"/>
  <c r="W284" i="41"/>
  <c r="W285" i="41"/>
  <c r="W286" i="41"/>
  <c r="W287" i="41"/>
  <c r="W288" i="41"/>
  <c r="W289" i="41"/>
  <c r="W290" i="41"/>
  <c r="W291" i="41"/>
  <c r="W292" i="41"/>
  <c r="W293" i="41"/>
  <c r="W294" i="41"/>
  <c r="W295" i="41"/>
  <c r="W296" i="41"/>
  <c r="W297" i="41"/>
  <c r="W298" i="41"/>
  <c r="W299" i="41"/>
  <c r="W300" i="41"/>
  <c r="W301" i="41"/>
  <c r="W302" i="41"/>
  <c r="W303" i="41"/>
  <c r="W304" i="41"/>
  <c r="W305" i="41"/>
  <c r="W306" i="41"/>
  <c r="W307" i="41"/>
  <c r="W308" i="41"/>
  <c r="W309" i="41"/>
  <c r="W310" i="41"/>
  <c r="W311" i="41"/>
  <c r="W312" i="41"/>
  <c r="W313" i="41"/>
  <c r="W314" i="41"/>
  <c r="W315" i="41"/>
  <c r="W316" i="41"/>
  <c r="W317" i="41"/>
  <c r="W318" i="41"/>
  <c r="W319" i="41"/>
  <c r="W320" i="41"/>
  <c r="W321" i="41"/>
  <c r="W322" i="41"/>
  <c r="W323" i="41"/>
  <c r="W324" i="41"/>
  <c r="W325" i="41"/>
  <c r="W326" i="41"/>
  <c r="W327" i="41"/>
  <c r="W328" i="41"/>
  <c r="W329" i="41"/>
  <c r="W330" i="41"/>
  <c r="W331" i="41"/>
  <c r="W332" i="41"/>
  <c r="W333" i="41"/>
  <c r="W334" i="41"/>
  <c r="W335" i="41"/>
  <c r="W336" i="41"/>
  <c r="W337" i="41"/>
  <c r="W338" i="41"/>
  <c r="W339" i="41"/>
  <c r="W340" i="41"/>
  <c r="W341" i="41"/>
  <c r="W342" i="41"/>
  <c r="W343" i="41"/>
  <c r="W344" i="41"/>
  <c r="W345" i="41"/>
  <c r="W346" i="41"/>
  <c r="W347" i="41"/>
  <c r="W348" i="41"/>
  <c r="W349" i="41"/>
  <c r="W350" i="41"/>
  <c r="W351" i="41"/>
  <c r="W352" i="41"/>
  <c r="W353" i="41"/>
  <c r="W354" i="41"/>
  <c r="W355" i="41"/>
  <c r="W356" i="41"/>
  <c r="W357" i="41"/>
  <c r="W358" i="41"/>
  <c r="W359" i="41"/>
  <c r="W360" i="41"/>
  <c r="W361" i="41"/>
  <c r="W362" i="41"/>
  <c r="W363" i="41"/>
  <c r="W364" i="41"/>
  <c r="W365" i="41"/>
  <c r="W366" i="41"/>
  <c r="W367" i="41"/>
  <c r="W368" i="41"/>
  <c r="W369" i="41"/>
  <c r="W370" i="41"/>
  <c r="W371" i="41"/>
  <c r="W372" i="41"/>
  <c r="W373" i="41"/>
  <c r="W374" i="41"/>
  <c r="W375" i="41"/>
  <c r="W376" i="41"/>
  <c r="W377" i="41"/>
  <c r="W378" i="41"/>
  <c r="W379" i="41"/>
  <c r="W380" i="41"/>
  <c r="W381" i="41"/>
  <c r="W382" i="41"/>
  <c r="W383" i="41"/>
  <c r="W384" i="41"/>
  <c r="W385" i="41"/>
  <c r="W386" i="41"/>
  <c r="W387" i="41"/>
  <c r="W388" i="41"/>
  <c r="W389" i="41"/>
  <c r="W390" i="41"/>
  <c r="W391" i="41"/>
  <c r="W392" i="41"/>
  <c r="W393" i="41"/>
  <c r="W394" i="41"/>
  <c r="W395" i="41"/>
  <c r="W396" i="41"/>
  <c r="W397" i="41"/>
  <c r="W398" i="41"/>
  <c r="W399" i="41"/>
  <c r="W400" i="41"/>
  <c r="W401" i="41"/>
  <c r="W402" i="41"/>
  <c r="W403" i="41"/>
  <c r="W404" i="41"/>
  <c r="W405" i="41"/>
  <c r="W406" i="41"/>
  <c r="W407" i="41"/>
  <c r="W408" i="41"/>
  <c r="W409" i="41"/>
  <c r="W410" i="41"/>
  <c r="W411" i="41"/>
  <c r="W412" i="41"/>
  <c r="W413" i="41"/>
  <c r="W414" i="41"/>
  <c r="W415" i="41"/>
  <c r="W416" i="41"/>
  <c r="W417" i="41"/>
  <c r="W418" i="41"/>
  <c r="W419" i="41"/>
  <c r="W420" i="41"/>
  <c r="W421" i="41"/>
  <c r="W422" i="41"/>
  <c r="W423" i="41"/>
  <c r="W424" i="41"/>
  <c r="W425" i="41"/>
  <c r="W426" i="41"/>
  <c r="W427" i="41"/>
  <c r="W428" i="41"/>
  <c r="W429" i="41"/>
  <c r="W430" i="41"/>
  <c r="W431" i="41"/>
  <c r="W432" i="41"/>
  <c r="W433" i="41"/>
  <c r="W434" i="41"/>
  <c r="W435" i="41"/>
  <c r="W436" i="41"/>
  <c r="W437" i="41"/>
  <c r="W438" i="41"/>
  <c r="W439" i="41"/>
  <c r="W440" i="41"/>
  <c r="W441" i="41"/>
  <c r="W442" i="41"/>
  <c r="W443" i="41"/>
  <c r="W444" i="41"/>
  <c r="W445" i="41"/>
  <c r="W446" i="41"/>
  <c r="W447" i="41"/>
  <c r="W448" i="41"/>
  <c r="W449" i="41"/>
  <c r="W450" i="41"/>
  <c r="W451" i="41"/>
  <c r="W452" i="41"/>
  <c r="W453" i="41"/>
  <c r="W454" i="41"/>
  <c r="W455" i="41"/>
  <c r="W456" i="41"/>
  <c r="W457" i="41"/>
  <c r="W458" i="41"/>
  <c r="W459" i="41"/>
  <c r="W460" i="41"/>
  <c r="W461" i="41"/>
  <c r="W462" i="41"/>
  <c r="W463" i="41"/>
  <c r="W464" i="41"/>
  <c r="W465" i="41"/>
  <c r="W466" i="41"/>
  <c r="W467" i="41"/>
  <c r="W468" i="41"/>
  <c r="W469" i="41"/>
  <c r="W470" i="41"/>
  <c r="W471" i="41"/>
  <c r="W472" i="41"/>
  <c r="W473" i="41"/>
  <c r="W474" i="41"/>
  <c r="W475" i="41"/>
  <c r="W476" i="41"/>
  <c r="W477" i="41"/>
  <c r="W478" i="41"/>
  <c r="W479" i="41"/>
  <c r="W480" i="41"/>
  <c r="W481" i="41"/>
  <c r="W482" i="41"/>
  <c r="W483" i="41"/>
  <c r="W484" i="41"/>
  <c r="W485" i="41"/>
  <c r="W486" i="41"/>
  <c r="W487" i="41"/>
  <c r="W488" i="41"/>
  <c r="W489" i="41"/>
  <c r="W490" i="41"/>
  <c r="W491" i="41"/>
  <c r="W492" i="41"/>
  <c r="W493" i="41"/>
  <c r="W494" i="41"/>
  <c r="W495" i="41"/>
  <c r="W496" i="41"/>
  <c r="W497" i="41"/>
  <c r="W498" i="41"/>
  <c r="W499" i="41"/>
  <c r="W500" i="41"/>
  <c r="W501" i="41"/>
  <c r="W502" i="41"/>
  <c r="W503" i="41"/>
  <c r="W504" i="41"/>
  <c r="W505" i="41"/>
  <c r="W506" i="41"/>
  <c r="W507" i="41"/>
  <c r="W508" i="41"/>
  <c r="W509" i="41"/>
  <c r="W510" i="41"/>
  <c r="W511" i="41"/>
  <c r="W512" i="41"/>
  <c r="W513" i="41"/>
  <c r="W514" i="41"/>
  <c r="W515" i="41"/>
  <c r="W516" i="41"/>
  <c r="W517" i="41"/>
  <c r="W518" i="41"/>
  <c r="W519" i="41"/>
  <c r="W520" i="41"/>
  <c r="W521" i="41"/>
  <c r="W522" i="41"/>
  <c r="W523" i="41"/>
  <c r="W524" i="41"/>
  <c r="W525" i="41"/>
  <c r="W526" i="41"/>
  <c r="W527" i="41"/>
  <c r="W528" i="41"/>
  <c r="W529" i="41"/>
  <c r="W530" i="41"/>
  <c r="W531" i="41"/>
  <c r="W532" i="41"/>
  <c r="W533" i="41"/>
  <c r="W534" i="41"/>
  <c r="W535" i="41"/>
  <c r="W536" i="41"/>
  <c r="W537" i="41"/>
  <c r="W538" i="41"/>
  <c r="W539" i="41"/>
  <c r="W540" i="41"/>
  <c r="W541" i="41"/>
  <c r="W542" i="41"/>
  <c r="W543" i="41"/>
  <c r="W544" i="41"/>
  <c r="W545" i="41"/>
  <c r="W546" i="41"/>
  <c r="W547" i="41"/>
  <c r="W548" i="41"/>
  <c r="W549" i="41"/>
  <c r="W550" i="41"/>
  <c r="W551" i="41"/>
  <c r="W552" i="41"/>
  <c r="W553" i="41"/>
  <c r="W554" i="41"/>
  <c r="W555" i="41"/>
  <c r="W556" i="41"/>
  <c r="W557" i="41"/>
  <c r="W558" i="41"/>
  <c r="W559" i="41"/>
  <c r="W560" i="41"/>
  <c r="W561" i="41"/>
  <c r="W562" i="41"/>
  <c r="W563" i="41"/>
  <c r="W564" i="41"/>
  <c r="W565" i="41"/>
  <c r="W566" i="41"/>
  <c r="W567" i="41"/>
  <c r="W568" i="41"/>
  <c r="W569" i="41"/>
  <c r="W570" i="41"/>
  <c r="W571" i="41"/>
  <c r="W572" i="41"/>
  <c r="W573" i="41"/>
  <c r="W574" i="41"/>
  <c r="W575" i="41"/>
  <c r="W576" i="41"/>
  <c r="W577" i="41"/>
  <c r="W578" i="41"/>
  <c r="W579" i="41"/>
  <c r="W580" i="41"/>
  <c r="W581" i="41"/>
  <c r="W582" i="41"/>
  <c r="W583" i="41"/>
  <c r="W584" i="41"/>
  <c r="W585" i="41"/>
  <c r="W586" i="41"/>
  <c r="W587" i="41"/>
  <c r="W588" i="41"/>
  <c r="W589" i="41"/>
  <c r="W590" i="41"/>
  <c r="W591" i="41"/>
  <c r="W592" i="41"/>
  <c r="W593" i="41"/>
  <c r="W594" i="41"/>
  <c r="W595" i="41"/>
  <c r="W596" i="41"/>
  <c r="W597" i="41"/>
  <c r="W598" i="41"/>
  <c r="W599" i="41"/>
  <c r="W600" i="41"/>
  <c r="W601" i="41"/>
  <c r="W602" i="41"/>
  <c r="W603" i="41"/>
  <c r="W604" i="41"/>
  <c r="W605" i="41"/>
  <c r="W606" i="41"/>
  <c r="W607" i="41"/>
  <c r="W608" i="41"/>
  <c r="W609" i="41"/>
  <c r="W610" i="41"/>
  <c r="W611" i="41"/>
  <c r="W612" i="41"/>
  <c r="W613" i="41"/>
  <c r="W614" i="41"/>
  <c r="W615" i="41"/>
  <c r="W616" i="41"/>
  <c r="W617" i="41"/>
  <c r="W618" i="41"/>
  <c r="W619" i="41"/>
  <c r="W620" i="41"/>
  <c r="W621" i="41"/>
  <c r="W622" i="41"/>
  <c r="W623" i="41"/>
  <c r="W624" i="41"/>
  <c r="W625" i="41"/>
  <c r="W626" i="41"/>
  <c r="W627" i="41"/>
  <c r="W628" i="41"/>
  <c r="W629" i="41"/>
  <c r="W630" i="41"/>
  <c r="W631" i="41"/>
  <c r="W632" i="41"/>
  <c r="W633" i="41"/>
  <c r="W634" i="41"/>
  <c r="W635" i="41"/>
  <c r="W636" i="41"/>
  <c r="W637" i="41"/>
  <c r="W638" i="41"/>
  <c r="W639" i="41"/>
  <c r="W640" i="41"/>
  <c r="W641" i="41"/>
  <c r="W642" i="41"/>
  <c r="W643" i="41"/>
  <c r="W644" i="41"/>
  <c r="W645" i="41"/>
  <c r="W646" i="41"/>
  <c r="W647" i="41"/>
  <c r="W648" i="41"/>
  <c r="W649" i="41"/>
  <c r="W650" i="41"/>
  <c r="W651" i="41"/>
  <c r="W652" i="41"/>
  <c r="W653" i="41"/>
  <c r="W654" i="41"/>
  <c r="W655" i="41"/>
  <c r="W656" i="41"/>
  <c r="W657" i="41"/>
  <c r="W658" i="41"/>
  <c r="W659" i="41"/>
  <c r="W660" i="41"/>
  <c r="W661" i="41"/>
  <c r="W662" i="41"/>
  <c r="W663" i="41"/>
  <c r="W664" i="41"/>
  <c r="W665" i="41"/>
  <c r="W666" i="41"/>
  <c r="W667" i="41"/>
  <c r="W668" i="41"/>
  <c r="W669" i="41"/>
  <c r="W670" i="41"/>
  <c r="W671" i="41"/>
  <c r="W672" i="41"/>
  <c r="W673" i="41"/>
  <c r="W674" i="41"/>
  <c r="W675" i="41"/>
  <c r="W676" i="41"/>
  <c r="W677" i="41"/>
  <c r="W678" i="41"/>
  <c r="W679" i="41"/>
  <c r="W680" i="41"/>
  <c r="W681" i="41"/>
  <c r="W682" i="41"/>
  <c r="W683" i="41"/>
  <c r="W684" i="41"/>
  <c r="W685" i="41"/>
  <c r="W686" i="41"/>
  <c r="W687" i="41"/>
  <c r="W688" i="41"/>
  <c r="W689" i="41"/>
  <c r="W690" i="41"/>
  <c r="W691" i="41"/>
  <c r="W692" i="41"/>
  <c r="W693" i="41"/>
  <c r="W694" i="41"/>
  <c r="W695" i="41"/>
  <c r="W696" i="41"/>
  <c r="W697" i="41"/>
  <c r="W698" i="41"/>
  <c r="W699" i="41"/>
  <c r="W700" i="41"/>
  <c r="W701" i="41"/>
  <c r="W702" i="41"/>
  <c r="W703" i="41"/>
  <c r="W704" i="41"/>
  <c r="W705" i="41"/>
  <c r="W706" i="41"/>
  <c r="W707" i="41"/>
  <c r="W708" i="41"/>
  <c r="W709" i="41"/>
  <c r="W710" i="41"/>
  <c r="W711" i="41"/>
  <c r="W712" i="41"/>
  <c r="W713" i="41"/>
  <c r="W714" i="41"/>
  <c r="W715" i="41"/>
  <c r="W716" i="41"/>
  <c r="W717" i="41"/>
  <c r="W718" i="41"/>
  <c r="W719" i="41"/>
  <c r="W720" i="41"/>
  <c r="W721" i="41"/>
  <c r="W722" i="41"/>
  <c r="W723" i="41"/>
  <c r="W724" i="41"/>
  <c r="W725" i="41"/>
  <c r="W726" i="41"/>
  <c r="W727" i="41"/>
  <c r="W728" i="41"/>
  <c r="W729" i="41"/>
  <c r="W730" i="41"/>
  <c r="W731" i="41"/>
  <c r="W732" i="41"/>
  <c r="W733" i="41"/>
  <c r="W734" i="41"/>
  <c r="W735" i="41"/>
  <c r="W736" i="41"/>
  <c r="W737" i="41"/>
  <c r="W738" i="41"/>
  <c r="W739" i="41"/>
  <c r="W740" i="41"/>
  <c r="W741" i="41"/>
  <c r="W742" i="41"/>
  <c r="W743" i="41"/>
  <c r="W744" i="41"/>
  <c r="W745" i="41"/>
  <c r="W746" i="41"/>
  <c r="W747" i="41"/>
  <c r="W748" i="41"/>
  <c r="W749" i="41"/>
  <c r="W750" i="41"/>
  <c r="W751" i="41"/>
  <c r="W752" i="41"/>
  <c r="W753" i="41"/>
  <c r="W754" i="41"/>
  <c r="W755" i="41"/>
  <c r="W756" i="41"/>
  <c r="W757" i="41"/>
  <c r="W758" i="41"/>
  <c r="W759" i="41"/>
  <c r="W760" i="41"/>
  <c r="W761" i="41"/>
  <c r="W762" i="41"/>
  <c r="W763" i="41"/>
  <c r="W764" i="41"/>
  <c r="W765" i="41"/>
  <c r="W766" i="41"/>
  <c r="W767" i="41"/>
  <c r="W768" i="41"/>
  <c r="W769" i="41"/>
  <c r="W770" i="41"/>
  <c r="W771" i="41"/>
  <c r="W772" i="41"/>
  <c r="W773" i="41"/>
  <c r="W774" i="41"/>
  <c r="W775" i="41"/>
  <c r="W776" i="41"/>
  <c r="W777" i="41"/>
  <c r="W778" i="41"/>
  <c r="W779" i="41"/>
  <c r="W780" i="41"/>
  <c r="W781" i="41"/>
  <c r="W782" i="41"/>
  <c r="W783" i="41"/>
  <c r="W784" i="41"/>
  <c r="W785" i="41"/>
  <c r="W786" i="41"/>
  <c r="W787" i="41"/>
  <c r="W788" i="41"/>
  <c r="W789" i="41"/>
  <c r="W790" i="41"/>
  <c r="W791" i="41"/>
  <c r="W792" i="41"/>
  <c r="W793" i="41"/>
  <c r="W794" i="41"/>
  <c r="W795" i="41"/>
  <c r="W796" i="41"/>
  <c r="W797" i="41"/>
  <c r="W798" i="41"/>
  <c r="W799" i="41"/>
  <c r="W800" i="41"/>
  <c r="W801" i="41"/>
  <c r="W802" i="41"/>
  <c r="W803" i="41"/>
  <c r="W804" i="41"/>
  <c r="W805" i="41"/>
  <c r="W806" i="41"/>
  <c r="W807" i="41"/>
  <c r="W808" i="41"/>
  <c r="W809" i="41"/>
  <c r="W810" i="41"/>
  <c r="W811" i="41"/>
  <c r="W812" i="41"/>
  <c r="W813" i="41"/>
  <c r="W814" i="41"/>
  <c r="W815" i="41"/>
  <c r="W816" i="41"/>
  <c r="W817" i="41"/>
  <c r="W818" i="41"/>
  <c r="W819" i="41"/>
  <c r="W820" i="41"/>
  <c r="W821" i="41"/>
  <c r="W822" i="41"/>
  <c r="W823" i="41"/>
  <c r="W824" i="41"/>
  <c r="W825" i="41"/>
  <c r="W826" i="41"/>
  <c r="W827" i="41"/>
  <c r="W828" i="41"/>
  <c r="W829" i="41"/>
  <c r="W830" i="41"/>
  <c r="W831" i="41"/>
  <c r="W832" i="41"/>
  <c r="W833" i="41"/>
  <c r="W834" i="41"/>
  <c r="W835" i="41"/>
  <c r="W836" i="41"/>
  <c r="W837" i="41"/>
  <c r="W838" i="41"/>
  <c r="W839" i="41"/>
  <c r="W840" i="41"/>
  <c r="W841" i="41"/>
  <c r="W842" i="41"/>
  <c r="W843" i="41"/>
  <c r="W844" i="41"/>
  <c r="W845" i="41"/>
  <c r="W846" i="41"/>
  <c r="W847" i="41"/>
  <c r="W848" i="41"/>
  <c r="W849" i="41"/>
  <c r="W850" i="41"/>
  <c r="W851" i="41"/>
  <c r="W852" i="41"/>
  <c r="W853" i="41"/>
  <c r="W854" i="41"/>
  <c r="W855" i="41"/>
  <c r="W856" i="41"/>
  <c r="W857" i="41"/>
  <c r="W858" i="41"/>
  <c r="W859" i="41"/>
  <c r="W860" i="41"/>
  <c r="W861" i="41"/>
  <c r="W862" i="41"/>
  <c r="W863" i="41"/>
  <c r="W864" i="41"/>
  <c r="W865" i="41"/>
  <c r="W866" i="41"/>
  <c r="W867" i="41"/>
  <c r="W868" i="41"/>
  <c r="W869" i="41"/>
  <c r="W870" i="41"/>
  <c r="W871" i="41"/>
  <c r="W872" i="41"/>
  <c r="W873" i="41"/>
  <c r="W874" i="41"/>
  <c r="W875" i="41"/>
  <c r="W876" i="41"/>
  <c r="W877" i="41"/>
  <c r="W878" i="41"/>
  <c r="W879" i="41"/>
  <c r="W880" i="41"/>
  <c r="W881" i="41"/>
  <c r="W882" i="41"/>
  <c r="W883" i="41"/>
  <c r="W884" i="41"/>
  <c r="W885" i="41"/>
  <c r="W886" i="41"/>
  <c r="W887" i="41"/>
  <c r="W888" i="41"/>
  <c r="W889" i="41"/>
  <c r="W890" i="41"/>
  <c r="W891" i="41"/>
  <c r="W892" i="41"/>
  <c r="W893" i="41"/>
  <c r="W894" i="41"/>
  <c r="W895" i="41"/>
  <c r="W896" i="41"/>
  <c r="W897" i="41"/>
  <c r="W898" i="41"/>
  <c r="W899" i="41"/>
  <c r="W900" i="41"/>
  <c r="W901" i="41"/>
  <c r="W902" i="41"/>
  <c r="W903" i="41"/>
  <c r="W904" i="41"/>
  <c r="W905" i="41"/>
  <c r="W906" i="41"/>
  <c r="W907" i="41"/>
  <c r="W908" i="41"/>
  <c r="W909" i="41"/>
  <c r="W910" i="41"/>
  <c r="W911" i="41"/>
  <c r="W912" i="41"/>
  <c r="W913" i="41"/>
  <c r="W914" i="41"/>
  <c r="W915" i="41"/>
  <c r="W916" i="41"/>
  <c r="W917" i="41"/>
  <c r="W918" i="41"/>
  <c r="W919" i="41"/>
  <c r="W920" i="41"/>
  <c r="W921" i="41"/>
  <c r="W922" i="41"/>
  <c r="W923" i="41"/>
  <c r="W924" i="41"/>
  <c r="W925" i="41"/>
  <c r="W926" i="41"/>
  <c r="W927" i="41"/>
  <c r="W928" i="41"/>
  <c r="W929" i="41"/>
  <c r="W930" i="41"/>
  <c r="W931" i="41"/>
  <c r="W932" i="41"/>
  <c r="W933" i="41"/>
  <c r="W934" i="41"/>
  <c r="W935" i="41"/>
  <c r="W936" i="41"/>
  <c r="W937" i="41"/>
  <c r="W938" i="41"/>
  <c r="W939" i="41"/>
  <c r="W940" i="41"/>
  <c r="W941" i="41"/>
  <c r="W942" i="41"/>
  <c r="W943" i="41"/>
  <c r="W944" i="41"/>
  <c r="W945" i="41"/>
  <c r="W946" i="41"/>
  <c r="W947" i="41"/>
  <c r="W948" i="41"/>
  <c r="W949" i="41"/>
  <c r="W950" i="41"/>
  <c r="W951" i="41"/>
  <c r="W952" i="41"/>
  <c r="W953" i="41"/>
  <c r="W954" i="41"/>
  <c r="W955" i="41"/>
  <c r="W956" i="41"/>
  <c r="W957" i="41"/>
  <c r="W958" i="41"/>
  <c r="W959" i="41"/>
  <c r="W960" i="41"/>
  <c r="W961" i="41"/>
  <c r="W962" i="41"/>
  <c r="W963" i="41"/>
  <c r="W964" i="41"/>
  <c r="W965" i="41"/>
  <c r="W966" i="41"/>
  <c r="W967" i="41"/>
  <c r="W968" i="41"/>
  <c r="W969" i="41"/>
  <c r="W970" i="41"/>
  <c r="W971" i="41"/>
  <c r="W972" i="41"/>
  <c r="W973" i="41"/>
  <c r="W974" i="41"/>
  <c r="W975" i="41"/>
  <c r="W976" i="41"/>
  <c r="W977" i="41"/>
  <c r="W978" i="41"/>
  <c r="W979" i="41"/>
  <c r="W980" i="41"/>
  <c r="W981" i="41"/>
  <c r="W982" i="41"/>
  <c r="W983" i="41"/>
  <c r="W984" i="41"/>
  <c r="W985" i="41"/>
  <c r="W986" i="41"/>
  <c r="W987" i="41"/>
  <c r="W988" i="41"/>
  <c r="W989" i="41"/>
  <c r="W990" i="41"/>
  <c r="W991" i="41"/>
  <c r="W992" i="41"/>
  <c r="W993" i="41"/>
  <c r="W994" i="41"/>
  <c r="W995" i="41"/>
  <c r="W996" i="41"/>
  <c r="W997" i="41"/>
  <c r="W998" i="41"/>
  <c r="W999" i="41"/>
  <c r="W1000" i="41"/>
  <c r="W1001" i="41"/>
  <c r="W1002" i="41"/>
  <c r="W1003" i="41"/>
  <c r="W1004" i="41"/>
  <c r="W1005" i="41"/>
  <c r="W1006" i="41"/>
  <c r="W1007" i="41"/>
  <c r="W1008" i="41"/>
  <c r="W1009" i="41"/>
  <c r="W1010" i="41"/>
  <c r="W1011" i="41"/>
  <c r="W1012" i="41"/>
  <c r="W1013" i="41"/>
  <c r="W1014" i="41"/>
  <c r="W1015" i="41"/>
  <c r="W1016" i="41"/>
  <c r="W1017" i="41"/>
  <c r="W1018" i="41"/>
  <c r="W1019" i="41"/>
  <c r="W1020" i="41"/>
  <c r="W1021" i="41"/>
  <c r="W1022" i="41"/>
  <c r="W1023" i="41"/>
  <c r="W1024" i="41"/>
  <c r="W1025" i="41"/>
  <c r="W1026" i="41"/>
  <c r="W1027" i="41"/>
  <c r="W1028" i="41"/>
  <c r="W1029" i="41"/>
  <c r="W1030" i="41"/>
  <c r="W1031" i="41"/>
  <c r="W1032" i="41"/>
  <c r="W1033" i="41"/>
  <c r="W1034" i="41"/>
  <c r="W1035" i="41"/>
  <c r="W1036" i="41"/>
  <c r="W1037" i="41"/>
  <c r="W1038" i="41"/>
  <c r="W1039" i="41"/>
  <c r="W1040" i="41"/>
  <c r="W1041" i="41"/>
  <c r="W1042" i="41"/>
  <c r="W1043" i="41"/>
  <c r="W1044" i="41"/>
  <c r="W1045" i="41"/>
  <c r="W1046" i="41"/>
  <c r="W1047" i="41"/>
  <c r="W1048" i="41"/>
  <c r="W1049" i="41"/>
  <c r="W1050" i="41"/>
  <c r="W1051" i="41"/>
  <c r="W1052" i="41"/>
  <c r="W1053" i="41"/>
  <c r="W1054" i="41"/>
  <c r="W1055" i="41"/>
  <c r="W1056" i="41"/>
  <c r="W1057" i="41"/>
  <c r="W1058" i="41"/>
  <c r="W1059" i="41"/>
  <c r="W1060" i="41"/>
  <c r="W1061" i="41"/>
  <c r="W1062" i="41"/>
  <c r="W1063" i="41"/>
  <c r="W1064" i="41"/>
  <c r="W1065" i="41"/>
  <c r="W1066" i="41"/>
  <c r="W1067" i="41"/>
  <c r="W1068" i="41"/>
  <c r="W1069" i="41"/>
  <c r="W1070" i="41"/>
  <c r="W1071" i="41"/>
  <c r="W1072" i="41"/>
  <c r="W1073" i="41"/>
  <c r="W1074" i="41"/>
  <c r="W1075" i="41"/>
  <c r="W1076" i="41"/>
  <c r="W1077" i="41"/>
  <c r="W1078" i="41"/>
  <c r="W1079" i="41"/>
  <c r="W1080" i="41"/>
  <c r="W1081" i="41"/>
  <c r="W1082" i="41"/>
  <c r="W1083" i="41"/>
  <c r="W1084" i="41"/>
  <c r="W1085" i="41"/>
  <c r="W1086" i="41"/>
  <c r="W1087" i="41"/>
  <c r="W1088" i="41"/>
  <c r="W1089" i="41"/>
  <c r="W1090" i="41"/>
  <c r="W1091" i="41"/>
  <c r="W1092" i="41"/>
  <c r="W1093" i="41"/>
  <c r="W1094" i="41"/>
  <c r="W1095" i="41"/>
  <c r="W1096" i="41"/>
  <c r="W1097" i="41"/>
  <c r="W1098" i="41"/>
  <c r="W1099" i="41"/>
  <c r="W1100" i="41"/>
  <c r="W1101" i="41"/>
  <c r="W1102" i="41"/>
  <c r="W1103" i="41"/>
  <c r="W1104" i="41"/>
  <c r="W1105" i="41"/>
  <c r="W1106" i="41"/>
  <c r="W1107" i="41"/>
  <c r="W1108" i="41"/>
  <c r="W1109" i="41"/>
  <c r="W1110" i="41"/>
  <c r="W1111" i="41"/>
  <c r="W1112" i="41"/>
  <c r="W1113" i="41"/>
  <c r="W1114" i="41"/>
  <c r="W1115" i="41"/>
  <c r="W1116" i="41"/>
  <c r="W1117" i="41"/>
  <c r="W1118" i="41"/>
  <c r="W1119" i="41"/>
  <c r="W1120" i="41"/>
  <c r="W1121" i="41"/>
  <c r="W1122" i="41"/>
  <c r="W1123" i="41"/>
  <c r="W1124" i="41"/>
  <c r="W1125" i="41"/>
  <c r="W1126" i="41"/>
  <c r="W1127" i="41"/>
  <c r="W1128" i="41"/>
  <c r="W1129" i="41"/>
  <c r="W1130" i="41"/>
  <c r="W1131" i="41"/>
  <c r="W1132" i="41"/>
  <c r="W1133" i="41"/>
  <c r="W1134" i="41"/>
  <c r="W1135" i="41"/>
  <c r="W1136" i="41"/>
  <c r="W1137" i="41"/>
  <c r="W1138" i="41"/>
  <c r="W1139" i="41"/>
  <c r="W1140" i="41"/>
  <c r="W1141" i="41"/>
  <c r="W1142" i="41"/>
  <c r="W1143" i="41"/>
  <c r="W1144" i="41"/>
  <c r="W1145" i="41"/>
  <c r="W1146" i="41"/>
  <c r="W1147" i="41"/>
  <c r="W1148" i="41"/>
  <c r="W1149" i="41"/>
  <c r="W1150" i="41"/>
  <c r="W1151" i="41"/>
  <c r="W1152" i="41"/>
  <c r="W1153" i="41"/>
  <c r="W1154" i="41"/>
  <c r="W1155" i="41"/>
  <c r="W1156" i="41"/>
  <c r="W1157" i="41"/>
  <c r="W1158" i="41"/>
  <c r="W1159" i="41"/>
  <c r="W1160" i="41"/>
  <c r="W1161" i="41"/>
  <c r="W1162" i="41"/>
  <c r="W1163" i="41"/>
  <c r="W1164" i="41"/>
  <c r="W1165" i="41"/>
  <c r="W1166" i="41"/>
  <c r="W1167" i="41"/>
  <c r="W1168" i="41"/>
  <c r="W1169" i="41"/>
  <c r="W1170" i="41"/>
  <c r="W1171" i="41"/>
  <c r="W1172" i="41"/>
  <c r="W1173" i="41"/>
  <c r="W1174" i="41"/>
  <c r="W1175" i="41"/>
  <c r="W1176" i="41"/>
  <c r="W1177" i="41"/>
  <c r="W1178" i="41"/>
  <c r="W1179" i="41"/>
  <c r="W1180" i="41"/>
  <c r="W1181" i="41"/>
  <c r="W1182" i="41"/>
  <c r="W1183" i="41"/>
  <c r="W1184" i="41"/>
  <c r="W1185" i="41"/>
  <c r="W1186" i="41"/>
  <c r="W1187" i="41"/>
  <c r="W1188" i="41"/>
  <c r="W1189" i="41"/>
  <c r="W1190" i="41"/>
  <c r="W1191" i="41"/>
  <c r="W1192" i="41"/>
  <c r="W1193" i="41"/>
  <c r="W1194" i="41"/>
  <c r="W1195" i="41"/>
  <c r="W1196" i="41"/>
  <c r="W1197" i="41"/>
  <c r="W1198" i="41"/>
  <c r="W1199" i="41"/>
  <c r="W1200" i="41"/>
  <c r="W1201" i="41"/>
  <c r="W1202" i="41"/>
  <c r="W1203" i="41"/>
  <c r="W1204" i="41"/>
  <c r="W1205" i="41"/>
  <c r="W1206" i="41"/>
  <c r="W1207" i="41"/>
  <c r="W1208" i="41"/>
  <c r="W1209" i="41"/>
  <c r="W1210" i="41"/>
  <c r="W1211" i="41"/>
  <c r="W1212" i="41"/>
  <c r="W1213" i="41"/>
  <c r="W1214" i="41"/>
  <c r="W1215" i="41"/>
  <c r="W1216" i="41"/>
  <c r="W1217" i="41"/>
  <c r="W1218" i="41"/>
  <c r="W1219" i="41"/>
  <c r="W1220" i="41"/>
  <c r="W1221" i="41"/>
  <c r="W1222" i="41"/>
  <c r="W1223" i="41"/>
  <c r="W1224" i="41"/>
  <c r="W1225" i="41"/>
  <c r="W1226" i="41"/>
  <c r="W1227" i="41"/>
  <c r="W1228" i="41"/>
  <c r="W1229" i="41"/>
  <c r="W1230" i="41"/>
  <c r="W1231" i="41"/>
  <c r="W1232" i="41"/>
  <c r="W1233" i="41"/>
  <c r="W1234" i="41"/>
  <c r="W1235" i="41"/>
  <c r="W1236" i="41"/>
  <c r="W1237" i="41"/>
  <c r="W1238" i="41"/>
  <c r="W1239" i="41"/>
  <c r="W1240" i="41"/>
  <c r="W1241" i="41"/>
  <c r="W1242" i="41"/>
  <c r="W1243" i="41"/>
  <c r="W1244" i="41"/>
  <c r="W1245" i="41"/>
  <c r="W1246" i="41"/>
  <c r="W1247" i="41"/>
  <c r="W1248" i="41"/>
  <c r="W1249" i="41"/>
  <c r="W1250" i="41"/>
  <c r="W1251" i="41"/>
  <c r="W1252" i="41"/>
  <c r="W1253" i="41"/>
  <c r="W1254" i="41"/>
  <c r="W1255" i="41"/>
  <c r="W1256" i="41"/>
  <c r="W1257" i="41"/>
  <c r="W1258" i="41"/>
  <c r="W1259" i="41"/>
  <c r="W1260" i="41"/>
  <c r="W1261" i="41"/>
  <c r="W1262" i="41"/>
  <c r="W1263" i="41"/>
  <c r="W1264" i="41"/>
  <c r="W1265" i="41"/>
  <c r="W1266" i="41"/>
  <c r="W1267" i="41"/>
  <c r="W1268" i="41"/>
  <c r="W1269" i="41"/>
  <c r="W1270" i="41"/>
  <c r="W1271" i="41"/>
  <c r="W1272" i="41"/>
  <c r="W1273" i="41"/>
  <c r="W1274" i="41"/>
  <c r="W1275" i="41"/>
  <c r="W1276" i="41"/>
  <c r="W1277" i="41"/>
  <c r="W1278" i="41"/>
  <c r="W1279" i="41"/>
  <c r="W1280" i="41"/>
  <c r="W1281" i="41"/>
  <c r="W1282" i="41"/>
  <c r="W1283" i="41"/>
  <c r="W1284" i="41"/>
  <c r="W1285" i="41"/>
  <c r="W1286" i="41"/>
  <c r="W1287" i="41"/>
  <c r="W1288" i="41"/>
  <c r="W1289" i="41"/>
  <c r="W1290" i="41"/>
  <c r="W1291" i="41"/>
  <c r="W1292" i="41"/>
  <c r="W1293" i="41"/>
  <c r="W1294" i="41"/>
  <c r="W1295" i="41"/>
  <c r="W1296" i="41"/>
  <c r="W1297" i="41"/>
  <c r="W1298" i="41"/>
  <c r="W1299" i="41"/>
  <c r="W1300" i="41"/>
  <c r="W1301" i="41"/>
  <c r="W1302" i="41"/>
  <c r="W1303" i="41"/>
  <c r="W1304" i="41"/>
  <c r="W1305" i="41"/>
  <c r="W1306" i="41"/>
  <c r="W1307" i="41"/>
  <c r="W1308" i="41"/>
  <c r="W1309" i="41"/>
  <c r="W1310" i="41"/>
  <c r="W1311" i="41"/>
  <c r="W1312" i="41"/>
  <c r="W1313" i="41"/>
  <c r="W1314" i="41"/>
  <c r="W1315" i="41"/>
  <c r="W1316" i="41"/>
  <c r="W1317" i="41"/>
  <c r="W1318" i="41"/>
  <c r="W1319" i="41"/>
  <c r="W1320" i="41"/>
  <c r="W1321" i="41"/>
  <c r="W1322" i="41"/>
  <c r="W1323" i="41"/>
  <c r="W1324" i="41"/>
  <c r="W1325" i="41"/>
  <c r="W1326" i="41"/>
  <c r="W1327" i="41"/>
  <c r="W1328" i="41"/>
  <c r="W1329" i="41"/>
  <c r="W1330" i="41"/>
  <c r="W1331" i="41"/>
  <c r="W1332" i="41"/>
  <c r="W1333" i="41"/>
  <c r="W1334" i="41"/>
  <c r="W1335" i="41"/>
  <c r="W1336" i="41"/>
  <c r="W1337" i="41"/>
  <c r="W1338" i="41"/>
  <c r="W1339" i="41"/>
  <c r="W1340" i="41"/>
  <c r="W1341" i="41"/>
  <c r="W1342" i="41"/>
  <c r="W1343" i="41"/>
  <c r="W1344" i="41"/>
  <c r="W1345" i="41"/>
  <c r="W1346" i="41"/>
  <c r="W1347" i="41"/>
  <c r="W1348" i="41"/>
  <c r="W1349" i="41"/>
  <c r="W1350" i="41"/>
  <c r="W1351" i="41"/>
  <c r="W1352" i="41"/>
  <c r="W1353" i="41"/>
  <c r="W1354" i="41"/>
  <c r="W1355" i="41"/>
  <c r="W1356" i="41"/>
  <c r="W1357" i="41"/>
  <c r="W1358" i="41"/>
  <c r="W1359" i="41"/>
  <c r="W1360" i="41"/>
  <c r="W1361" i="41"/>
  <c r="W1362" i="41"/>
  <c r="W1363" i="41"/>
  <c r="W1364" i="41"/>
  <c r="W1365" i="41"/>
  <c r="W1366" i="41"/>
  <c r="W1367" i="41"/>
  <c r="W1368" i="41"/>
  <c r="W1369" i="41"/>
  <c r="W1370" i="41"/>
  <c r="W1371" i="41"/>
  <c r="W1372" i="41"/>
  <c r="W1373" i="41"/>
  <c r="W1374" i="41"/>
  <c r="W1375" i="41"/>
  <c r="W1376" i="41"/>
  <c r="W1377" i="41"/>
  <c r="W1378" i="41"/>
  <c r="W1379" i="41"/>
  <c r="W1380" i="41"/>
  <c r="W1381" i="41"/>
  <c r="W1382" i="41"/>
  <c r="W1383" i="41"/>
  <c r="W1384" i="41"/>
  <c r="W1385" i="41"/>
  <c r="W1386" i="41"/>
  <c r="W1387" i="41"/>
  <c r="W1388" i="41"/>
  <c r="W1389" i="41"/>
  <c r="W1390" i="41"/>
  <c r="W1391" i="41"/>
  <c r="W1392" i="41"/>
  <c r="W1393" i="41"/>
  <c r="W1394" i="41"/>
  <c r="W1395" i="41"/>
  <c r="W1396" i="41"/>
  <c r="W1397" i="41"/>
  <c r="W1398" i="41"/>
  <c r="W1399" i="41"/>
  <c r="W1400" i="41"/>
  <c r="W1401" i="41"/>
  <c r="W1402" i="41"/>
  <c r="W1403" i="41"/>
  <c r="W1404" i="41"/>
  <c r="W1405" i="41"/>
  <c r="W1406" i="41"/>
  <c r="W1407" i="41"/>
  <c r="W1408" i="41"/>
  <c r="W1409" i="41"/>
  <c r="W1410" i="41"/>
  <c r="W1411" i="41"/>
  <c r="W1412" i="41"/>
  <c r="W1413" i="41"/>
  <c r="W1414" i="41"/>
  <c r="W1415" i="41"/>
  <c r="W1416" i="41"/>
  <c r="W1417" i="41"/>
  <c r="W1418" i="41"/>
  <c r="W1419" i="41"/>
  <c r="W1420" i="41"/>
  <c r="W1421" i="41"/>
  <c r="W1422" i="41"/>
  <c r="W1423" i="41"/>
  <c r="W1424" i="41"/>
  <c r="W1425" i="41"/>
  <c r="W1426" i="41"/>
  <c r="W1427" i="41"/>
  <c r="W1428" i="41"/>
  <c r="W1429" i="41"/>
  <c r="W1430" i="41"/>
  <c r="W1431" i="41"/>
  <c r="W1432" i="41"/>
  <c r="W1433" i="41"/>
  <c r="W1434" i="41"/>
  <c r="W1435" i="41"/>
  <c r="W1436" i="41"/>
  <c r="W1437" i="41"/>
  <c r="W1438" i="41"/>
  <c r="W1439" i="41"/>
  <c r="W1440" i="41"/>
  <c r="W1441" i="41"/>
  <c r="W1442" i="41"/>
  <c r="W1443" i="41"/>
  <c r="W1444" i="41"/>
  <c r="W1445" i="41"/>
  <c r="W1446" i="41"/>
  <c r="W1447" i="41"/>
  <c r="W1448" i="41"/>
  <c r="W1449" i="41"/>
  <c r="W1450" i="41"/>
  <c r="W1451" i="41"/>
  <c r="W1452" i="41"/>
  <c r="W1453" i="41"/>
  <c r="W1454" i="41"/>
  <c r="W1455" i="41"/>
  <c r="W1456" i="41"/>
  <c r="W1457" i="41"/>
  <c r="W1458" i="41"/>
  <c r="W1459" i="41"/>
  <c r="W1460" i="41"/>
  <c r="W1461" i="41"/>
  <c r="W1462" i="41"/>
  <c r="W1463" i="41"/>
  <c r="W1464" i="41"/>
  <c r="W1465" i="41"/>
  <c r="W1466" i="41"/>
  <c r="W1467" i="41"/>
  <c r="W1468" i="41"/>
  <c r="W1469" i="41"/>
  <c r="W1470" i="41"/>
  <c r="W1471" i="41"/>
  <c r="W1472" i="41"/>
  <c r="W1473" i="41"/>
  <c r="W1474" i="41"/>
  <c r="W1475" i="41"/>
  <c r="W1476" i="41"/>
  <c r="W1477" i="41"/>
  <c r="W1478" i="41"/>
  <c r="W1479" i="41"/>
  <c r="W1480" i="41"/>
  <c r="W1481" i="41"/>
  <c r="W1482" i="41"/>
  <c r="W1483" i="41"/>
  <c r="W1484" i="41"/>
  <c r="W1485" i="41"/>
  <c r="W1486" i="41"/>
  <c r="W1487" i="41"/>
  <c r="W1488" i="41"/>
  <c r="W1489" i="41"/>
  <c r="W1490" i="41"/>
  <c r="W1491" i="41"/>
  <c r="W1492" i="41"/>
  <c r="W1493" i="41"/>
  <c r="W1494" i="41"/>
  <c r="W1495" i="41"/>
  <c r="W1496" i="41"/>
  <c r="W1497" i="41"/>
  <c r="W1498" i="41"/>
  <c r="W1499" i="41"/>
  <c r="W1500" i="41"/>
  <c r="W1501" i="41"/>
  <c r="W1502" i="41"/>
  <c r="W1503" i="41"/>
  <c r="W1504" i="41"/>
  <c r="W1505" i="41"/>
  <c r="W1506" i="41"/>
  <c r="W1507" i="41"/>
  <c r="W1508" i="41"/>
  <c r="W1509" i="41"/>
  <c r="W1510" i="41"/>
  <c r="W1511" i="41"/>
  <c r="W1512" i="41"/>
  <c r="W1513" i="41"/>
  <c r="W1514" i="41"/>
  <c r="W1515" i="41"/>
  <c r="W1516" i="41"/>
  <c r="W1517" i="41"/>
  <c r="W1518" i="41"/>
  <c r="W1519" i="41"/>
  <c r="W1520" i="41"/>
  <c r="W1521" i="41"/>
  <c r="W1522" i="41"/>
  <c r="W1523" i="41"/>
  <c r="W1524" i="41"/>
  <c r="W1525" i="41"/>
  <c r="W1526" i="41"/>
  <c r="W1527" i="41"/>
  <c r="W1528" i="41"/>
  <c r="W1529" i="41"/>
  <c r="W1530" i="41"/>
  <c r="W1531" i="41"/>
  <c r="W1532" i="41"/>
  <c r="W1533" i="41"/>
  <c r="W1534" i="41"/>
  <c r="W1535" i="41"/>
  <c r="W1536" i="41"/>
  <c r="W1537" i="41"/>
  <c r="W1538" i="41"/>
  <c r="W1539" i="41"/>
  <c r="W1540" i="41"/>
  <c r="W1541" i="41"/>
  <c r="W1542" i="41"/>
  <c r="W1543" i="41"/>
  <c r="W1544" i="41"/>
  <c r="W1545" i="41"/>
  <c r="W1546" i="41"/>
  <c r="W1547" i="41"/>
  <c r="W1548" i="41"/>
  <c r="W1549" i="41"/>
  <c r="W1550" i="41"/>
  <c r="W1551" i="41"/>
  <c r="W1552" i="41"/>
  <c r="W1553" i="41"/>
  <c r="W1554" i="41"/>
  <c r="W1555" i="41"/>
  <c r="W1556" i="41"/>
  <c r="W1557" i="41"/>
  <c r="W1558" i="41"/>
  <c r="W1559" i="41"/>
  <c r="W1560" i="41"/>
  <c r="W1561" i="41"/>
  <c r="W1562" i="41"/>
  <c r="W1563" i="41"/>
  <c r="W1564" i="41"/>
  <c r="W1565" i="41"/>
  <c r="W1566" i="41"/>
  <c r="W1567" i="41"/>
  <c r="W1568" i="41"/>
  <c r="W1569" i="41"/>
  <c r="W1570" i="41"/>
  <c r="W1571" i="41"/>
  <c r="W1572" i="41"/>
  <c r="W1573" i="41"/>
  <c r="W1574" i="41"/>
  <c r="W1575" i="41"/>
  <c r="W1576" i="41"/>
  <c r="W1577" i="41"/>
  <c r="W1578" i="41"/>
  <c r="W1579" i="41"/>
  <c r="W1580" i="41"/>
  <c r="W1581" i="41"/>
  <c r="W1582" i="41"/>
  <c r="W1583" i="41"/>
  <c r="W1584" i="41"/>
  <c r="W1585" i="41"/>
  <c r="W1586" i="41"/>
  <c r="W1587" i="41"/>
  <c r="W1588" i="41"/>
  <c r="W1589" i="41"/>
  <c r="W1590" i="41"/>
  <c r="W1591" i="41"/>
  <c r="W1592" i="41"/>
  <c r="W1593" i="41"/>
  <c r="W1594" i="41"/>
  <c r="W1595" i="41"/>
  <c r="W1596" i="41"/>
  <c r="W1597" i="41"/>
  <c r="W1598" i="41"/>
  <c r="W1599" i="41"/>
  <c r="W1600" i="41"/>
  <c r="W1601" i="41"/>
  <c r="W1602" i="41"/>
  <c r="W1603" i="41"/>
  <c r="W1604" i="41"/>
  <c r="W1605" i="41"/>
  <c r="W1606" i="41"/>
  <c r="W1607" i="41"/>
  <c r="W1608" i="41"/>
  <c r="W1609" i="41"/>
  <c r="W1610" i="41"/>
  <c r="W1611" i="41"/>
  <c r="W1612" i="41"/>
  <c r="W1613" i="41"/>
  <c r="W1614" i="41"/>
  <c r="W1615" i="41"/>
  <c r="W1616" i="41"/>
  <c r="W1617" i="41"/>
  <c r="W1618" i="41"/>
  <c r="W1619" i="41"/>
  <c r="W1620" i="41"/>
  <c r="W1621" i="41"/>
  <c r="W1622" i="41"/>
  <c r="W1623" i="41"/>
  <c r="W1624" i="41"/>
  <c r="W1625" i="41"/>
  <c r="W1626" i="41"/>
  <c r="W1627" i="41"/>
  <c r="W1628" i="41"/>
  <c r="W1629" i="41"/>
  <c r="W1630" i="41"/>
  <c r="W1631" i="41"/>
  <c r="W1632" i="41"/>
  <c r="W1633" i="41"/>
  <c r="W1634" i="41"/>
  <c r="W1635" i="41"/>
  <c r="W1636" i="41"/>
  <c r="W1637" i="41"/>
  <c r="W1638" i="41"/>
  <c r="W1639" i="41"/>
  <c r="W1640" i="41"/>
  <c r="W1641" i="41"/>
  <c r="W1642" i="41"/>
  <c r="W1643" i="41"/>
  <c r="W1644" i="41"/>
  <c r="W1645" i="41"/>
  <c r="W1646" i="41"/>
  <c r="W1647" i="41"/>
  <c r="W1648" i="41"/>
  <c r="W1649" i="41"/>
  <c r="W1650" i="41"/>
  <c r="W1651" i="41"/>
  <c r="W1652" i="41"/>
  <c r="W1653" i="41"/>
  <c r="W1654" i="41"/>
  <c r="W1655" i="41"/>
  <c r="W1656" i="41"/>
  <c r="W1657" i="41"/>
  <c r="W1658" i="41"/>
  <c r="W1659" i="41"/>
  <c r="W1660" i="41"/>
  <c r="W1661" i="41"/>
  <c r="W1662" i="41"/>
  <c r="W1663" i="41"/>
  <c r="W1664" i="41"/>
  <c r="W1665" i="41"/>
  <c r="W1666" i="41"/>
  <c r="W1667" i="41"/>
  <c r="W1668" i="41"/>
  <c r="W1669" i="41"/>
  <c r="W1670" i="41"/>
  <c r="W1671" i="41"/>
  <c r="W1672" i="41"/>
  <c r="W1673" i="41"/>
  <c r="W1674" i="41"/>
  <c r="W1675" i="41"/>
  <c r="W1676" i="41"/>
  <c r="W1677" i="41"/>
  <c r="W1678" i="41"/>
  <c r="W1679" i="41"/>
  <c r="W1680" i="41"/>
  <c r="W1681" i="41"/>
  <c r="W1682" i="41"/>
  <c r="W1683" i="41"/>
  <c r="W1684" i="41"/>
  <c r="W1685" i="41"/>
  <c r="W1686" i="41"/>
  <c r="W1687" i="41"/>
  <c r="W1688" i="41"/>
  <c r="W1689" i="41"/>
  <c r="W1690" i="41"/>
  <c r="W1691" i="41"/>
  <c r="W1692" i="41"/>
  <c r="W1693" i="41"/>
  <c r="W1694" i="41"/>
  <c r="W1695" i="41"/>
  <c r="W1696" i="41"/>
  <c r="W1697" i="41"/>
  <c r="W1698" i="41"/>
  <c r="W1699" i="41"/>
  <c r="W1700" i="41"/>
  <c r="W1701" i="41"/>
  <c r="W1702" i="41"/>
  <c r="W1703" i="41"/>
  <c r="W1704" i="41"/>
  <c r="W1705" i="41"/>
  <c r="W1706" i="41"/>
  <c r="W1707" i="41"/>
  <c r="W1708" i="41"/>
  <c r="W1709" i="41"/>
  <c r="W1710" i="41"/>
  <c r="W1711" i="41"/>
  <c r="W1712" i="41"/>
  <c r="W1713" i="41"/>
  <c r="W1714" i="41"/>
  <c r="W1715" i="41"/>
  <c r="W1716" i="41"/>
  <c r="W1717" i="41"/>
  <c r="W1718" i="41"/>
  <c r="W1719" i="41"/>
  <c r="W1720" i="41"/>
  <c r="W1721" i="41"/>
  <c r="W1722" i="41"/>
  <c r="W1723" i="41"/>
  <c r="W1724" i="41"/>
  <c r="W1725" i="41"/>
  <c r="W1726" i="41"/>
  <c r="W1727" i="41"/>
  <c r="W1728" i="41"/>
  <c r="W1729" i="41"/>
  <c r="W1730" i="41"/>
  <c r="W1731" i="41"/>
  <c r="W1732" i="41"/>
  <c r="W1733" i="41"/>
  <c r="W1734" i="41"/>
  <c r="W1735" i="41"/>
  <c r="W1736" i="41"/>
  <c r="W1737" i="41"/>
  <c r="W1738" i="41"/>
  <c r="W1739" i="41"/>
  <c r="W1740" i="41"/>
  <c r="W1741" i="41"/>
  <c r="W1742" i="41"/>
  <c r="W1743" i="41"/>
  <c r="W1744" i="41"/>
  <c r="W1745" i="41"/>
  <c r="W1746" i="41"/>
  <c r="W1747" i="41"/>
  <c r="W1748" i="41"/>
  <c r="W1749" i="41"/>
  <c r="W1750" i="41"/>
  <c r="W1751" i="41"/>
  <c r="W1752" i="41"/>
  <c r="W1753" i="41"/>
  <c r="W1754" i="41"/>
  <c r="W1755" i="41"/>
  <c r="W1756" i="41"/>
  <c r="W1757" i="41"/>
  <c r="W1758" i="41"/>
  <c r="W1759" i="41"/>
  <c r="W1760" i="41"/>
  <c r="W1761" i="41"/>
  <c r="W1762" i="41"/>
  <c r="W1763" i="41"/>
  <c r="W1764" i="41"/>
  <c r="W1765" i="41"/>
  <c r="W1766" i="41"/>
  <c r="W1767" i="41"/>
  <c r="W1768" i="41"/>
  <c r="W1769" i="41"/>
  <c r="W1770" i="41"/>
  <c r="W1771" i="41"/>
  <c r="W1772" i="41"/>
  <c r="W1773" i="41"/>
  <c r="W1774" i="41"/>
  <c r="W1775" i="41"/>
  <c r="W1776" i="41"/>
  <c r="W1777" i="41"/>
  <c r="W1778" i="41"/>
  <c r="W1779" i="41"/>
  <c r="W1780" i="41"/>
  <c r="W1781" i="41"/>
  <c r="W1782" i="41"/>
  <c r="W1783" i="41"/>
  <c r="W1784" i="41"/>
  <c r="W1785" i="41"/>
  <c r="W1786" i="41"/>
  <c r="W1787" i="41"/>
  <c r="W1788" i="41"/>
  <c r="W1789" i="41"/>
  <c r="W1790" i="41"/>
  <c r="W1791" i="41"/>
  <c r="W1792" i="41"/>
  <c r="W1793" i="41"/>
  <c r="W1794" i="41"/>
  <c r="W1795" i="41"/>
  <c r="W1796" i="41"/>
  <c r="W1797" i="41"/>
  <c r="W1798" i="41"/>
  <c r="W1799" i="41"/>
  <c r="W1800" i="41"/>
  <c r="W1801" i="41"/>
  <c r="W1802" i="41"/>
  <c r="W1803" i="41"/>
  <c r="W1804" i="41"/>
  <c r="W1805" i="41"/>
  <c r="W1806" i="41"/>
  <c r="W1807" i="41"/>
  <c r="W1808" i="41"/>
  <c r="W1809" i="41"/>
  <c r="W1810" i="41"/>
  <c r="W1811" i="41"/>
  <c r="W1812" i="41"/>
  <c r="W1813" i="41"/>
  <c r="W1814" i="41"/>
  <c r="W1815" i="41"/>
  <c r="W1816" i="41"/>
  <c r="W1817" i="41"/>
  <c r="W1818" i="41"/>
  <c r="W1819" i="41"/>
  <c r="W1820" i="41"/>
  <c r="W1821" i="41"/>
  <c r="W1822" i="41"/>
  <c r="W1823" i="41"/>
  <c r="W1824" i="41"/>
  <c r="W1825" i="41"/>
  <c r="W1826" i="41"/>
  <c r="W1827" i="41"/>
  <c r="W1828" i="41"/>
  <c r="W1829" i="41"/>
  <c r="W1830" i="41"/>
  <c r="W1831" i="41"/>
  <c r="W1832" i="41"/>
  <c r="W1833" i="41"/>
  <c r="W1834" i="41"/>
  <c r="W1835" i="41"/>
  <c r="W1836" i="41"/>
  <c r="W1837" i="41"/>
  <c r="W1838" i="41"/>
  <c r="W1839" i="41"/>
  <c r="W1840" i="41"/>
  <c r="W1841" i="41"/>
  <c r="W1842" i="41"/>
  <c r="W1843" i="41"/>
  <c r="W1844" i="41"/>
  <c r="W1845" i="41"/>
  <c r="W1846" i="41"/>
  <c r="W1847" i="41"/>
  <c r="W1848" i="41"/>
  <c r="W1849" i="41"/>
  <c r="W1850" i="41"/>
  <c r="W1851" i="41"/>
  <c r="W1852" i="41"/>
  <c r="W1853" i="41"/>
  <c r="W1854" i="41"/>
  <c r="W1855" i="41"/>
  <c r="W1856" i="41"/>
  <c r="W1857" i="41"/>
  <c r="W1858" i="41"/>
  <c r="W1859" i="41"/>
  <c r="W1860" i="41"/>
  <c r="W1861" i="41"/>
  <c r="W1862" i="41"/>
  <c r="W1863" i="41"/>
  <c r="W1864" i="41"/>
  <c r="W1865" i="41"/>
  <c r="W1866" i="41"/>
  <c r="W1867" i="41"/>
  <c r="W1868" i="41"/>
  <c r="W1869" i="41"/>
  <c r="W1870" i="41"/>
  <c r="W1871" i="41"/>
  <c r="W1872" i="41"/>
  <c r="W1873" i="41"/>
  <c r="W1874" i="41"/>
  <c r="W1875" i="41"/>
  <c r="W1876" i="41"/>
  <c r="W1877" i="41"/>
  <c r="W1878" i="41"/>
  <c r="W1879" i="41"/>
  <c r="W1880" i="41"/>
  <c r="W1881" i="41"/>
  <c r="W1882" i="41"/>
  <c r="W1883" i="41"/>
  <c r="W1884" i="41"/>
  <c r="W1885" i="41"/>
  <c r="W1886" i="41"/>
  <c r="W1887" i="41"/>
  <c r="W1888" i="41"/>
  <c r="W1889" i="41"/>
  <c r="W1890" i="41"/>
  <c r="W1891" i="41"/>
  <c r="W1892" i="41"/>
  <c r="W1893" i="41"/>
  <c r="W1894" i="41"/>
  <c r="W1895" i="41"/>
  <c r="W1896" i="41"/>
  <c r="W1897" i="41"/>
  <c r="W1898" i="41"/>
  <c r="W1899" i="41"/>
  <c r="W1900" i="41"/>
  <c r="W1901" i="41"/>
  <c r="W1902" i="41"/>
  <c r="W1903" i="41"/>
  <c r="W1904" i="41"/>
  <c r="W1905" i="41"/>
  <c r="W1906" i="41"/>
  <c r="W1907" i="41"/>
  <c r="W1908" i="41"/>
  <c r="W1909" i="41"/>
  <c r="W1910" i="41"/>
  <c r="W1911" i="41"/>
  <c r="W1912" i="41"/>
  <c r="W1913" i="41"/>
  <c r="W1914" i="41"/>
  <c r="W1915" i="41"/>
  <c r="W1916" i="41"/>
  <c r="W1917" i="41"/>
  <c r="W1918" i="41"/>
  <c r="W1919" i="41"/>
  <c r="W1920" i="41"/>
  <c r="W1921" i="41"/>
  <c r="W1922" i="41"/>
  <c r="W1923" i="41"/>
  <c r="W1924" i="41"/>
  <c r="W1925" i="41"/>
  <c r="W1926" i="41"/>
  <c r="W1927" i="41"/>
  <c r="W1928" i="41"/>
  <c r="W1929" i="41"/>
  <c r="W1930" i="41"/>
  <c r="W1931" i="41"/>
  <c r="W1932" i="41"/>
  <c r="W1933" i="41"/>
  <c r="W1934" i="41"/>
  <c r="W1935" i="41"/>
  <c r="W1936" i="41"/>
  <c r="W1937" i="41"/>
  <c r="W1938" i="41"/>
  <c r="W1939" i="41"/>
  <c r="W1940" i="41"/>
  <c r="W1941" i="41"/>
  <c r="W1942" i="41"/>
  <c r="W1943" i="41"/>
  <c r="W1944" i="41"/>
  <c r="W1945" i="41"/>
  <c r="W1946" i="41"/>
  <c r="W1947" i="41"/>
  <c r="W1948" i="41"/>
  <c r="W1949" i="41"/>
  <c r="W1950" i="41"/>
  <c r="W1951" i="41"/>
  <c r="W1952" i="41"/>
  <c r="W1953" i="41"/>
  <c r="W1954" i="41"/>
  <c r="W1955" i="41"/>
  <c r="W1956" i="41"/>
  <c r="W1957" i="41"/>
  <c r="W1958" i="41"/>
  <c r="W1959" i="41"/>
  <c r="W1960" i="41"/>
  <c r="W1961" i="41"/>
  <c r="W1962" i="41"/>
  <c r="W1963" i="41"/>
  <c r="W1964" i="41"/>
  <c r="W1965" i="41"/>
  <c r="W1966" i="41"/>
  <c r="W1967" i="41"/>
  <c r="W1968" i="41"/>
  <c r="W1969" i="41"/>
  <c r="W1970" i="41"/>
  <c r="W1971" i="41"/>
  <c r="W1972" i="41"/>
  <c r="W1973" i="41"/>
  <c r="W1974" i="41"/>
  <c r="W1975" i="41"/>
  <c r="W1976" i="41"/>
  <c r="W1977" i="41"/>
  <c r="W1978" i="41"/>
  <c r="W1979" i="41"/>
  <c r="W1980" i="41"/>
  <c r="W1981" i="41"/>
  <c r="W1982" i="41"/>
  <c r="W1983" i="41"/>
  <c r="W1984" i="41"/>
  <c r="W1985" i="41"/>
  <c r="W1986" i="41"/>
  <c r="W1987" i="41"/>
  <c r="W1988" i="41"/>
  <c r="W1989" i="41"/>
  <c r="W1990" i="41"/>
  <c r="W1991" i="41"/>
  <c r="W1992" i="41"/>
  <c r="W1993" i="41"/>
  <c r="W1994" i="41"/>
  <c r="W1995" i="41"/>
  <c r="W1996" i="41"/>
  <c r="W1997" i="41"/>
  <c r="W1998" i="41"/>
  <c r="W1999" i="41"/>
  <c r="W2000" i="41"/>
  <c r="W2001" i="41"/>
  <c r="W2002" i="41"/>
  <c r="W2003" i="41"/>
  <c r="W2004" i="41"/>
  <c r="W2005" i="41"/>
  <c r="W2006" i="41"/>
  <c r="W2007" i="41"/>
  <c r="W2008" i="41"/>
  <c r="W2009" i="41"/>
  <c r="W2010" i="41"/>
  <c r="W2011" i="41"/>
  <c r="W2012" i="41"/>
  <c r="W2013" i="41"/>
  <c r="W2014" i="41"/>
  <c r="W2015" i="41"/>
  <c r="W2016" i="41"/>
  <c r="W2017" i="41"/>
  <c r="W2018" i="41"/>
  <c r="W2019" i="41"/>
  <c r="W2020" i="41"/>
  <c r="W2021" i="41"/>
  <c r="W2022" i="41"/>
  <c r="W2023" i="41"/>
  <c r="W2024" i="41"/>
  <c r="W2025" i="41"/>
  <c r="W2026" i="41"/>
  <c r="W2027" i="41"/>
  <c r="W2028" i="41"/>
  <c r="W2029" i="41"/>
  <c r="W2030" i="41"/>
  <c r="W2031" i="41"/>
  <c r="W2032" i="41"/>
  <c r="W2033" i="41"/>
  <c r="W2034" i="41"/>
  <c r="W2035" i="41"/>
  <c r="W2036" i="41"/>
  <c r="W2037" i="41"/>
  <c r="W2038" i="41"/>
  <c r="W2039" i="41"/>
  <c r="W2040" i="41"/>
  <c r="W2041" i="41"/>
  <c r="W2042" i="41"/>
  <c r="W2043" i="41"/>
  <c r="W2044" i="41"/>
  <c r="W2045" i="41"/>
  <c r="W2046" i="41"/>
  <c r="W2047" i="41"/>
  <c r="W2048" i="41"/>
  <c r="W2049" i="41"/>
  <c r="W2050" i="41"/>
  <c r="W2051" i="41"/>
  <c r="W2052" i="41"/>
  <c r="W2053" i="41"/>
  <c r="W2054" i="41"/>
  <c r="W2055" i="41"/>
  <c r="W2056" i="41"/>
  <c r="W2057" i="41"/>
  <c r="W2058" i="41"/>
  <c r="W2059" i="41"/>
  <c r="W2060" i="41"/>
  <c r="W2061" i="41"/>
  <c r="W2062" i="41"/>
  <c r="W2063" i="41"/>
  <c r="W2064" i="41"/>
  <c r="W2065" i="41"/>
  <c r="W2066" i="41"/>
  <c r="W2067" i="41"/>
  <c r="W2068" i="41"/>
  <c r="W2069" i="41"/>
  <c r="W2070" i="41"/>
  <c r="W2071" i="41"/>
  <c r="W2072" i="41"/>
  <c r="W2073" i="41"/>
  <c r="W2074" i="41"/>
  <c r="W2075" i="41"/>
  <c r="W2076" i="41"/>
  <c r="W2077" i="41"/>
  <c r="W2078" i="41"/>
  <c r="W2079" i="41"/>
  <c r="W2080" i="41"/>
  <c r="W2081" i="41"/>
  <c r="W2082" i="41"/>
  <c r="W2083" i="41"/>
  <c r="W2084" i="41"/>
  <c r="W2085" i="41"/>
  <c r="W2086" i="41"/>
  <c r="W2087" i="41"/>
  <c r="W2088" i="41"/>
  <c r="W2089" i="41"/>
  <c r="W2090" i="41"/>
  <c r="W2091" i="41"/>
  <c r="W2092" i="41"/>
  <c r="W2093" i="41"/>
  <c r="W2094" i="41"/>
  <c r="W2095" i="41"/>
  <c r="W2096" i="41"/>
  <c r="W2097" i="41"/>
  <c r="W2098" i="41"/>
  <c r="W2099" i="41"/>
  <c r="W2100" i="41"/>
  <c r="W2101" i="41"/>
  <c r="W2102" i="41"/>
  <c r="W2103" i="41"/>
  <c r="W2104" i="41"/>
  <c r="W2105" i="41"/>
  <c r="W2106" i="41"/>
  <c r="W2107" i="41"/>
  <c r="W2108" i="41"/>
  <c r="W2109" i="41"/>
  <c r="W2110" i="41"/>
  <c r="W2111" i="41"/>
  <c r="W2112" i="41"/>
  <c r="W2113" i="41"/>
  <c r="W2114" i="41"/>
  <c r="W2115" i="41"/>
  <c r="W2116" i="41"/>
  <c r="W2117" i="41"/>
  <c r="W2118" i="41"/>
  <c r="W2119" i="41"/>
  <c r="W2120" i="41"/>
  <c r="W2121" i="41"/>
  <c r="W2122" i="41"/>
  <c r="W2123" i="41"/>
  <c r="W2124" i="41"/>
  <c r="W2125" i="41"/>
  <c r="W2126" i="41"/>
  <c r="W2127" i="41"/>
  <c r="W2128" i="41"/>
  <c r="W2129" i="41"/>
  <c r="W2130" i="41"/>
  <c r="W2131" i="41"/>
  <c r="W2132" i="41"/>
  <c r="W2133" i="41"/>
  <c r="W2134" i="41"/>
  <c r="W2135" i="41"/>
  <c r="W2136" i="41"/>
  <c r="W2137" i="41"/>
  <c r="W2138" i="41"/>
  <c r="W2139" i="41"/>
  <c r="W2140" i="41"/>
  <c r="W2141" i="41"/>
  <c r="W2142" i="41"/>
  <c r="W2143" i="41"/>
  <c r="W2144" i="41"/>
  <c r="W2145" i="41"/>
  <c r="W2146" i="41"/>
  <c r="W2147" i="41"/>
  <c r="W2148" i="41"/>
  <c r="W2149" i="41"/>
  <c r="W2150" i="41"/>
  <c r="W2151" i="41"/>
  <c r="W2152" i="41"/>
  <c r="W2153" i="41"/>
  <c r="W2154" i="41"/>
  <c r="W2155" i="41"/>
  <c r="W2156" i="41"/>
  <c r="W2157" i="41"/>
  <c r="W2158" i="41"/>
  <c r="W2159" i="41"/>
  <c r="W2160" i="41"/>
  <c r="W2161" i="41"/>
  <c r="W2162" i="41"/>
  <c r="W2163" i="41"/>
  <c r="W2164" i="41"/>
  <c r="W2165" i="41"/>
  <c r="W2166" i="41"/>
  <c r="W2167" i="41"/>
  <c r="W2168" i="41"/>
  <c r="W2169" i="41"/>
  <c r="W2170" i="41"/>
  <c r="W2171" i="41"/>
  <c r="W2172" i="41"/>
  <c r="W2173" i="41"/>
  <c r="W2174" i="41"/>
  <c r="W2175" i="41"/>
  <c r="W2176" i="41"/>
  <c r="W2177" i="41"/>
  <c r="W2178" i="41"/>
  <c r="W2179" i="41"/>
  <c r="W2180" i="41"/>
  <c r="W2181" i="41"/>
  <c r="W2182" i="41"/>
  <c r="W2183" i="41"/>
  <c r="W2184" i="41"/>
  <c r="W2185" i="41"/>
  <c r="W2186" i="41"/>
  <c r="W2187" i="41"/>
  <c r="W2188" i="41"/>
  <c r="W2189" i="41"/>
  <c r="W2190" i="41"/>
  <c r="W2191" i="41"/>
  <c r="W2192" i="41"/>
  <c r="W2193" i="41"/>
  <c r="W2194" i="41"/>
  <c r="W2195" i="41"/>
  <c r="W2196" i="41"/>
  <c r="W2197" i="41"/>
  <c r="W2198" i="41"/>
  <c r="W2199" i="41"/>
  <c r="W2200" i="41"/>
  <c r="W2201" i="41"/>
  <c r="W2202" i="41"/>
  <c r="W2203" i="41"/>
  <c r="W2204" i="41"/>
  <c r="W2205" i="41"/>
  <c r="W2206" i="41"/>
  <c r="W2207" i="41"/>
  <c r="W2208" i="41"/>
  <c r="W2209" i="41"/>
  <c r="W2210" i="41"/>
  <c r="W2211" i="41"/>
  <c r="W2212" i="41"/>
  <c r="W2213" i="41"/>
  <c r="W2214" i="41"/>
  <c r="W2215" i="41"/>
  <c r="W2216" i="41"/>
  <c r="W2217" i="41"/>
  <c r="W2218" i="41"/>
  <c r="W2219" i="41"/>
  <c r="W2220" i="41"/>
  <c r="W2221" i="41"/>
  <c r="W2222" i="41"/>
  <c r="W2223" i="41"/>
  <c r="W2224" i="41"/>
  <c r="W2225" i="41"/>
  <c r="W2226" i="41"/>
  <c r="W2227" i="41"/>
  <c r="W2228" i="41"/>
  <c r="W2229" i="41"/>
  <c r="W2230" i="41"/>
  <c r="W2231" i="41"/>
  <c r="W2232" i="41"/>
  <c r="W2233" i="41"/>
  <c r="W2234" i="41"/>
  <c r="W2235" i="41"/>
  <c r="W2236" i="41"/>
  <c r="W2237" i="41"/>
  <c r="W2238" i="41"/>
  <c r="W2239" i="41"/>
  <c r="W2240" i="41"/>
  <c r="W2241" i="41"/>
  <c r="W2242" i="41"/>
  <c r="W2243" i="41"/>
  <c r="W2244" i="41"/>
  <c r="W2245" i="41"/>
  <c r="W2246" i="41"/>
  <c r="W2247" i="41"/>
  <c r="W2248" i="41"/>
  <c r="W2249" i="41"/>
  <c r="W2250" i="41"/>
  <c r="W2251" i="41"/>
  <c r="W2252" i="41"/>
  <c r="W2253" i="41"/>
  <c r="W2254" i="41"/>
  <c r="W2255" i="41"/>
  <c r="W2256" i="41"/>
  <c r="W2257" i="41"/>
  <c r="W2258" i="41"/>
  <c r="W2259" i="41"/>
  <c r="W2260" i="41"/>
  <c r="W2261" i="41"/>
  <c r="W2262" i="41"/>
  <c r="W2263" i="41"/>
  <c r="W2264" i="41"/>
  <c r="W2265" i="41"/>
  <c r="W2266" i="41"/>
  <c r="W2267" i="41"/>
  <c r="W2268" i="41"/>
  <c r="W2269" i="41"/>
  <c r="W2270" i="41"/>
  <c r="W2271" i="41"/>
  <c r="W2272" i="41"/>
  <c r="W2273" i="41"/>
  <c r="W2274" i="41"/>
  <c r="W2275" i="41"/>
  <c r="W2276" i="41"/>
  <c r="W2277" i="41"/>
  <c r="W2278" i="41"/>
  <c r="W2279" i="41"/>
  <c r="W2280" i="41"/>
  <c r="W2281" i="41"/>
  <c r="W2282" i="41"/>
  <c r="W2283" i="41"/>
  <c r="W2284" i="41"/>
  <c r="W2285" i="41"/>
  <c r="W2286" i="41"/>
  <c r="W2287" i="41"/>
  <c r="W2288" i="41"/>
  <c r="W2289" i="41"/>
  <c r="W2290" i="41"/>
  <c r="W2291" i="41"/>
  <c r="W2292" i="41"/>
  <c r="W2293" i="41"/>
  <c r="W2294" i="41"/>
  <c r="W2295" i="41"/>
  <c r="W2296" i="41"/>
  <c r="W2297" i="41"/>
  <c r="W2298" i="41"/>
  <c r="W2299" i="41"/>
  <c r="W2300" i="41"/>
  <c r="W2301" i="41"/>
  <c r="W2302" i="41"/>
  <c r="W2303" i="41"/>
  <c r="W2304" i="41"/>
  <c r="W2305" i="41"/>
  <c r="W2306" i="41"/>
  <c r="W2307" i="41"/>
  <c r="W2308" i="41"/>
  <c r="W2309" i="41"/>
  <c r="W2310" i="41"/>
  <c r="W2311" i="41"/>
  <c r="W2312" i="41"/>
  <c r="W2313" i="41"/>
  <c r="W2314" i="41"/>
  <c r="W2315" i="41"/>
  <c r="W2316" i="41"/>
  <c r="W2317" i="41"/>
  <c r="W2318" i="41"/>
  <c r="W2319" i="41"/>
  <c r="W2320" i="41"/>
  <c r="W2321" i="41"/>
  <c r="W2322" i="41"/>
  <c r="W2323" i="41"/>
  <c r="W2324" i="41"/>
  <c r="W2325" i="41"/>
  <c r="W2326" i="41"/>
  <c r="W2327" i="41"/>
  <c r="W2328" i="41"/>
  <c r="W2329" i="41"/>
  <c r="W2330" i="41"/>
  <c r="W2331" i="41"/>
  <c r="W2332" i="41"/>
  <c r="W2333" i="41"/>
  <c r="W2334" i="41"/>
  <c r="W2335" i="41"/>
  <c r="W2336" i="41"/>
  <c r="W2337" i="41"/>
  <c r="W2338" i="41"/>
  <c r="W2339" i="41"/>
  <c r="W2340" i="41"/>
  <c r="W2341" i="41"/>
  <c r="W2342" i="41"/>
  <c r="W2343" i="41"/>
  <c r="W2344" i="41"/>
  <c r="W2345" i="41"/>
  <c r="W2346" i="41"/>
  <c r="W2347" i="41"/>
  <c r="W2348" i="41"/>
  <c r="W2349" i="41"/>
  <c r="W2350" i="41"/>
  <c r="W2351" i="41"/>
  <c r="W2352" i="41"/>
  <c r="W2353" i="41"/>
  <c r="W2354" i="41"/>
  <c r="W2355" i="41"/>
  <c r="W2356" i="41"/>
  <c r="W2357" i="41"/>
  <c r="W2358" i="41"/>
  <c r="W2359" i="41"/>
  <c r="W2360" i="41"/>
  <c r="W2361" i="41"/>
  <c r="W2362" i="41"/>
  <c r="W2363" i="41"/>
  <c r="W2364" i="41"/>
  <c r="W2365" i="41"/>
  <c r="W2366" i="41"/>
  <c r="W2367" i="41"/>
  <c r="W2368" i="41"/>
  <c r="W2369" i="41"/>
  <c r="W2370" i="41"/>
  <c r="W2371" i="41"/>
  <c r="W2372" i="41"/>
  <c r="W2373" i="41"/>
  <c r="W2374" i="41"/>
  <c r="W2375" i="41"/>
  <c r="W2376" i="41"/>
  <c r="W2377" i="41"/>
  <c r="W2378" i="41"/>
  <c r="W2379" i="41"/>
  <c r="W2380" i="41"/>
  <c r="W2381" i="41"/>
  <c r="W2382" i="41"/>
  <c r="W2383" i="41"/>
  <c r="W2384" i="41"/>
  <c r="W2385" i="41"/>
  <c r="W2386" i="41"/>
  <c r="W2387" i="41"/>
  <c r="W2388" i="41"/>
  <c r="W2389" i="41"/>
  <c r="W2390" i="41"/>
  <c r="W2391" i="41"/>
  <c r="W2392" i="41"/>
  <c r="W2393" i="41"/>
  <c r="W2394" i="41"/>
  <c r="W2395" i="41"/>
  <c r="W2396" i="41"/>
  <c r="W2397" i="41"/>
  <c r="W2398" i="41"/>
  <c r="W2399" i="41"/>
  <c r="W2400" i="41"/>
  <c r="W2401" i="41"/>
  <c r="W2402" i="41"/>
  <c r="W2403" i="41"/>
  <c r="W2404" i="41"/>
  <c r="W2405" i="41"/>
  <c r="W2406" i="41"/>
  <c r="W2407" i="41"/>
  <c r="W2408" i="41"/>
  <c r="W2409" i="41"/>
  <c r="W2410" i="41"/>
  <c r="W2411" i="41"/>
  <c r="W2412" i="41"/>
  <c r="W2413" i="41"/>
  <c r="W2414" i="41"/>
  <c r="W2415" i="41"/>
  <c r="W2416" i="41"/>
  <c r="W2417" i="41"/>
  <c r="W2418" i="41"/>
  <c r="W2419" i="41"/>
  <c r="W2420" i="41"/>
  <c r="W2421" i="41"/>
  <c r="W2422" i="41"/>
  <c r="W2423" i="41"/>
  <c r="W2424" i="41"/>
  <c r="W2425" i="41"/>
  <c r="W2426" i="41"/>
  <c r="W2427" i="41"/>
  <c r="W2428" i="41"/>
  <c r="W2429" i="41"/>
  <c r="W2430" i="41"/>
  <c r="W2431" i="41"/>
  <c r="W2432" i="41"/>
  <c r="W2433" i="41"/>
  <c r="W2434" i="41"/>
  <c r="W2435" i="41"/>
  <c r="W2436" i="41"/>
  <c r="W2437" i="41"/>
  <c r="W2438" i="41"/>
  <c r="W2439" i="41"/>
  <c r="W2440" i="41"/>
  <c r="W2441" i="41"/>
  <c r="W2442" i="41"/>
  <c r="W2443" i="41"/>
  <c r="W2444" i="41"/>
  <c r="W2445" i="41"/>
  <c r="W2446" i="41"/>
  <c r="W2447" i="41"/>
  <c r="W2448" i="41"/>
  <c r="W2449" i="41"/>
  <c r="W2450" i="41"/>
  <c r="W2451" i="41"/>
  <c r="W2452" i="41"/>
  <c r="W2453" i="41"/>
  <c r="W2454" i="41"/>
  <c r="W2455" i="41"/>
  <c r="W2456" i="41"/>
  <c r="W2457" i="41"/>
  <c r="W2458" i="41"/>
  <c r="W2459" i="41"/>
  <c r="W2460" i="41"/>
  <c r="W2461" i="41"/>
  <c r="W2462" i="41"/>
  <c r="W2463" i="41"/>
  <c r="W2464" i="41"/>
  <c r="W2465" i="41"/>
  <c r="W2466" i="41"/>
  <c r="W2467" i="41"/>
  <c r="W2468" i="41"/>
  <c r="W2469" i="41"/>
  <c r="W2470" i="41"/>
  <c r="W2471" i="41"/>
  <c r="W2472" i="41"/>
  <c r="W2473" i="41"/>
  <c r="W2474" i="41"/>
  <c r="W2475" i="41"/>
  <c r="W2476" i="41"/>
  <c r="W2477" i="41"/>
  <c r="W2478" i="41"/>
  <c r="W2479" i="41"/>
  <c r="W2480" i="41"/>
  <c r="W2481" i="41"/>
  <c r="W2482" i="41"/>
  <c r="W2483" i="41"/>
  <c r="W2484" i="41"/>
  <c r="W2485" i="41"/>
  <c r="W2486" i="41"/>
  <c r="W2487" i="41"/>
  <c r="W2488" i="41"/>
  <c r="W2489" i="41"/>
  <c r="W2490" i="41"/>
  <c r="W2491" i="41"/>
  <c r="W2492" i="41"/>
  <c r="W2493" i="41"/>
  <c r="W2494" i="41"/>
  <c r="W2495" i="41"/>
  <c r="W2496" i="41"/>
  <c r="W2497" i="41"/>
  <c r="W2498" i="41"/>
  <c r="W2499" i="41"/>
  <c r="W2500" i="41"/>
  <c r="W2501" i="41"/>
  <c r="W2502" i="41"/>
  <c r="W2503" i="41"/>
  <c r="W2504" i="41"/>
  <c r="W2505" i="41"/>
  <c r="W2506" i="41"/>
  <c r="W2507" i="41"/>
  <c r="W2508" i="41"/>
  <c r="W2509" i="41"/>
  <c r="W2510" i="41"/>
  <c r="W2511" i="41"/>
  <c r="W2512" i="41"/>
  <c r="W2513" i="41"/>
  <c r="W2514" i="41"/>
  <c r="W2515" i="41"/>
  <c r="W2516" i="41"/>
  <c r="W2517" i="41"/>
  <c r="W2518" i="41"/>
  <c r="W2519" i="41"/>
  <c r="W2520" i="41"/>
  <c r="W2521" i="41"/>
  <c r="W2522" i="41"/>
  <c r="W2523" i="41"/>
  <c r="W2524" i="41"/>
  <c r="W2525" i="41"/>
  <c r="W2526" i="41"/>
  <c r="W2527" i="41"/>
  <c r="W2528" i="41"/>
  <c r="W2529" i="41"/>
  <c r="W2530" i="41"/>
  <c r="W2531" i="41"/>
  <c r="W2532" i="41"/>
  <c r="W2533" i="41"/>
  <c r="W2534" i="41"/>
  <c r="W2535" i="41"/>
  <c r="W2536" i="41"/>
  <c r="W2537" i="41"/>
  <c r="W2538" i="41"/>
  <c r="W2539" i="41"/>
  <c r="W2540" i="41"/>
  <c r="W2541" i="41"/>
  <c r="W2542" i="41"/>
  <c r="W2543" i="41"/>
  <c r="W2544" i="41"/>
  <c r="W2545" i="41"/>
  <c r="W2546" i="41"/>
  <c r="W2547" i="41"/>
  <c r="W2548" i="41"/>
  <c r="W2549" i="41"/>
  <c r="W2550" i="41"/>
  <c r="W2551" i="41"/>
  <c r="W2552" i="41"/>
  <c r="W2553" i="41"/>
  <c r="W2554" i="41"/>
  <c r="W2555" i="41"/>
  <c r="W2556" i="41"/>
  <c r="W2557" i="41"/>
  <c r="W2558" i="41"/>
  <c r="W2559" i="41"/>
  <c r="W2560" i="41"/>
  <c r="W2561" i="41"/>
  <c r="W2562" i="41"/>
  <c r="W2563" i="41"/>
  <c r="W2564" i="41"/>
  <c r="W2565" i="41"/>
  <c r="W2566" i="41"/>
  <c r="W2567" i="41"/>
  <c r="W2568" i="41"/>
  <c r="W2569" i="41"/>
  <c r="W2570" i="41"/>
  <c r="W2571" i="41"/>
  <c r="W2572" i="41"/>
  <c r="W2573" i="41"/>
  <c r="W2574" i="41"/>
  <c r="W2575" i="41"/>
  <c r="W2576" i="41"/>
  <c r="W2577" i="41"/>
  <c r="W2578" i="41"/>
  <c r="W2579" i="41"/>
  <c r="W2580" i="41"/>
  <c r="W2581" i="41"/>
  <c r="W2582" i="41"/>
  <c r="W2583" i="41"/>
  <c r="W2584" i="41"/>
  <c r="W2585" i="41"/>
  <c r="W2586" i="41"/>
  <c r="W2587" i="41"/>
  <c r="W2588" i="41"/>
  <c r="W2589" i="41"/>
  <c r="W2590" i="41"/>
  <c r="W2591" i="41"/>
  <c r="W2592" i="41"/>
  <c r="W2593" i="41"/>
  <c r="W2594" i="41"/>
  <c r="W2595" i="41"/>
  <c r="W2596" i="41"/>
  <c r="W2597" i="41"/>
  <c r="W2598" i="41"/>
  <c r="W2599" i="41"/>
  <c r="W2600" i="41"/>
  <c r="W2601" i="41"/>
  <c r="W2602" i="41"/>
  <c r="W2603" i="41"/>
  <c r="W2604" i="41"/>
  <c r="W2605" i="41"/>
  <c r="W2606" i="41"/>
  <c r="W2607" i="41"/>
  <c r="W2608" i="41"/>
  <c r="W2609" i="41"/>
  <c r="W2610" i="41"/>
  <c r="W2611" i="41"/>
  <c r="W2612" i="41"/>
  <c r="W2613" i="41"/>
  <c r="W2614" i="41"/>
  <c r="W2615" i="41"/>
  <c r="W2616" i="41"/>
  <c r="W2617" i="41"/>
  <c r="W2618" i="41"/>
  <c r="W2619" i="41"/>
  <c r="W2620" i="41"/>
  <c r="W2621" i="41"/>
  <c r="W2622" i="41"/>
  <c r="W2623" i="41"/>
  <c r="W2624" i="41"/>
  <c r="W2625" i="41"/>
  <c r="W2626" i="41"/>
  <c r="W2627" i="41"/>
  <c r="W2628" i="41"/>
  <c r="W2629" i="41"/>
  <c r="W2630" i="41"/>
  <c r="W2631" i="41"/>
  <c r="W2632" i="41"/>
  <c r="W2633" i="41"/>
  <c r="W2634" i="41"/>
  <c r="W2635" i="41"/>
  <c r="W2636" i="41"/>
  <c r="W2637" i="41"/>
  <c r="W2638" i="41"/>
  <c r="W2639" i="41"/>
  <c r="W2640" i="41"/>
  <c r="W2641" i="41"/>
  <c r="W2642" i="41"/>
  <c r="W2643" i="41"/>
  <c r="W2644" i="41"/>
  <c r="W2645" i="41"/>
  <c r="W2646" i="41"/>
  <c r="W2647" i="41"/>
  <c r="W2648" i="41"/>
  <c r="W2649" i="41"/>
  <c r="W2650" i="41"/>
  <c r="W2651" i="41"/>
  <c r="W2652" i="41"/>
  <c r="W2653" i="41"/>
  <c r="W2654" i="41"/>
  <c r="W2655" i="41"/>
  <c r="W2656" i="41"/>
  <c r="W2657" i="41"/>
  <c r="W2658" i="41"/>
  <c r="W2659" i="41"/>
  <c r="W2660" i="41"/>
  <c r="W2661" i="41"/>
  <c r="W2662" i="41"/>
  <c r="W2663" i="41"/>
  <c r="W2664" i="41"/>
  <c r="W2665" i="41"/>
  <c r="W2666" i="41"/>
  <c r="W2667" i="41"/>
  <c r="W2668" i="41"/>
  <c r="W2669" i="41"/>
  <c r="W2670" i="41"/>
  <c r="W2671" i="41"/>
  <c r="W2672" i="41"/>
  <c r="W2673" i="41"/>
  <c r="W2674" i="41"/>
  <c r="W2675" i="41"/>
  <c r="W2676" i="41"/>
  <c r="W2677" i="41"/>
  <c r="W2678" i="41"/>
  <c r="W2679" i="41"/>
  <c r="W2680" i="41"/>
  <c r="W2681" i="41"/>
  <c r="W2682" i="41"/>
  <c r="W2683" i="41"/>
  <c r="W2684" i="41"/>
  <c r="W2685" i="41"/>
  <c r="W2686" i="41"/>
  <c r="W2687" i="41"/>
  <c r="W2688" i="41"/>
  <c r="W2689" i="41"/>
  <c r="W2690" i="41"/>
  <c r="W2691" i="41"/>
  <c r="W2692" i="41"/>
  <c r="W2693" i="41"/>
  <c r="W2694" i="41"/>
  <c r="W2695" i="41"/>
  <c r="W2696" i="41"/>
  <c r="W2697" i="41"/>
  <c r="W2698" i="41"/>
  <c r="W2699" i="41"/>
  <c r="W2700" i="41"/>
  <c r="W2701" i="41"/>
  <c r="W2702" i="41"/>
  <c r="W2703" i="41"/>
  <c r="W2704" i="41"/>
  <c r="W2705" i="41"/>
  <c r="W2706" i="41"/>
  <c r="W2707" i="41"/>
  <c r="W2708" i="41"/>
  <c r="W2709" i="41"/>
  <c r="W2710" i="41"/>
  <c r="W2711" i="41"/>
  <c r="W2712" i="41"/>
  <c r="W2713" i="41"/>
  <c r="W2714" i="41"/>
  <c r="W2715" i="41"/>
  <c r="W2716" i="41"/>
  <c r="W2717" i="41"/>
  <c r="W2718" i="41"/>
  <c r="W2719" i="41"/>
  <c r="W2720" i="41"/>
  <c r="W2721" i="41"/>
  <c r="W2722" i="41"/>
  <c r="W2723" i="41"/>
  <c r="W2724" i="41"/>
  <c r="W2725" i="41"/>
  <c r="W2726" i="41"/>
  <c r="W2727" i="41"/>
  <c r="W2728" i="41"/>
  <c r="W2729" i="41"/>
  <c r="W2730" i="41"/>
  <c r="W2731" i="41"/>
  <c r="W2732" i="41"/>
  <c r="W2733" i="41"/>
  <c r="W2734" i="41"/>
  <c r="W2735" i="41"/>
  <c r="W2736" i="41"/>
  <c r="W2737" i="41"/>
  <c r="W2738" i="41"/>
  <c r="W2739" i="41"/>
  <c r="W2740" i="41"/>
  <c r="W2741" i="41"/>
  <c r="W2742" i="41"/>
  <c r="W2743" i="41"/>
  <c r="W2744" i="41"/>
  <c r="W2745" i="41"/>
  <c r="W2746" i="41"/>
  <c r="W2747" i="41"/>
  <c r="W2748" i="41"/>
  <c r="W2749" i="41"/>
  <c r="W2750" i="41"/>
  <c r="W2751" i="41"/>
  <c r="W2752" i="41"/>
  <c r="W2753" i="41"/>
  <c r="W2754" i="41"/>
  <c r="W2755" i="41"/>
  <c r="W2756" i="41"/>
  <c r="W2757" i="41"/>
  <c r="W2758" i="41"/>
  <c r="W2759" i="41"/>
  <c r="W2760" i="41"/>
  <c r="W2761" i="41"/>
  <c r="W2762" i="41"/>
  <c r="W2763" i="41"/>
  <c r="W2764" i="41"/>
  <c r="W2765" i="41"/>
  <c r="W2766" i="41"/>
  <c r="W2767" i="41"/>
  <c r="W2768" i="41"/>
  <c r="W2769" i="41"/>
  <c r="W2770" i="41"/>
  <c r="W2771" i="41"/>
  <c r="W2772" i="41"/>
  <c r="W2773" i="41"/>
  <c r="W2774" i="41"/>
  <c r="W2775" i="41"/>
  <c r="W2776" i="41"/>
  <c r="W2777" i="41"/>
  <c r="W2778" i="41"/>
  <c r="W2779" i="41"/>
  <c r="W2780" i="41"/>
  <c r="W2781" i="41"/>
  <c r="W2782" i="41"/>
  <c r="W2783" i="41"/>
  <c r="W2784" i="41"/>
  <c r="W2785" i="41"/>
  <c r="W2786" i="41"/>
  <c r="W2787" i="41"/>
  <c r="W2788" i="41"/>
  <c r="W2789" i="41"/>
  <c r="W2790" i="41"/>
  <c r="W2791" i="41"/>
  <c r="W2792" i="41"/>
  <c r="W2793" i="41"/>
  <c r="W2794" i="41"/>
  <c r="W2795" i="41"/>
  <c r="W2796" i="41"/>
  <c r="W2797" i="41"/>
  <c r="W2798" i="41"/>
  <c r="W2799" i="41"/>
  <c r="W2800" i="41"/>
  <c r="W2801" i="41"/>
  <c r="W2802" i="41"/>
  <c r="W2803" i="41"/>
  <c r="W2804" i="41"/>
  <c r="W2805" i="41"/>
  <c r="W2806" i="41"/>
  <c r="W2807" i="41"/>
  <c r="W2808" i="41"/>
  <c r="W2809" i="41"/>
  <c r="W2810" i="41"/>
  <c r="W2811" i="41"/>
  <c r="W2812" i="41"/>
  <c r="W2813" i="41"/>
  <c r="W2814" i="41"/>
  <c r="W2815" i="41"/>
  <c r="W2816" i="41"/>
  <c r="W2817" i="41"/>
  <c r="W2818" i="41"/>
  <c r="W2819" i="41"/>
  <c r="W2820" i="41"/>
  <c r="W2821" i="41"/>
  <c r="W2822" i="41"/>
  <c r="W2823" i="41"/>
  <c r="W2824" i="41"/>
  <c r="W2825" i="41"/>
  <c r="W2826" i="41"/>
  <c r="W2827" i="41"/>
  <c r="W2828" i="41"/>
  <c r="W2829" i="41"/>
  <c r="W2830" i="41"/>
  <c r="W2831" i="41"/>
  <c r="W2832" i="41"/>
  <c r="W2833" i="41"/>
  <c r="W2834" i="41"/>
  <c r="W2835" i="41"/>
  <c r="W2836" i="41"/>
  <c r="W2837" i="41"/>
  <c r="W2838" i="41"/>
  <c r="W2839" i="41"/>
  <c r="W2840" i="41"/>
  <c r="W2841" i="41"/>
  <c r="W2842" i="41"/>
  <c r="W2843" i="41"/>
  <c r="W2844" i="41"/>
  <c r="W2845" i="41"/>
  <c r="W2846" i="41"/>
  <c r="W2847" i="41"/>
  <c r="W2848" i="41"/>
  <c r="W2849" i="41"/>
  <c r="W2850" i="41"/>
  <c r="W2851" i="41"/>
  <c r="W2852" i="41"/>
  <c r="W2853" i="41"/>
  <c r="W2854" i="41"/>
  <c r="W2855" i="41"/>
  <c r="W2856" i="41"/>
  <c r="W2857" i="41"/>
  <c r="W2858" i="41"/>
  <c r="W2859" i="41"/>
  <c r="W2860" i="41"/>
  <c r="W2861" i="41"/>
  <c r="W2862" i="41"/>
  <c r="W2863" i="41"/>
  <c r="W2864" i="41"/>
  <c r="W2865" i="41"/>
  <c r="W2866" i="41"/>
  <c r="W2867" i="41"/>
  <c r="W2868" i="41"/>
  <c r="W2869" i="41"/>
  <c r="W2870" i="41"/>
  <c r="W2871" i="41"/>
  <c r="W2872" i="41"/>
  <c r="W2873" i="41"/>
  <c r="W2874" i="41"/>
  <c r="W2875" i="41"/>
  <c r="W2876" i="41"/>
  <c r="W2877" i="41"/>
  <c r="W2878" i="41"/>
  <c r="W2879" i="41"/>
  <c r="W2880" i="41"/>
  <c r="W2881" i="41"/>
  <c r="W2882" i="41"/>
  <c r="W2883" i="41"/>
  <c r="W2884" i="41"/>
  <c r="W2885" i="41"/>
  <c r="W2886" i="41"/>
  <c r="W2887" i="41"/>
  <c r="W2888" i="41"/>
  <c r="W2889" i="41"/>
  <c r="W2890" i="41"/>
  <c r="W2891" i="41"/>
  <c r="W2892" i="41"/>
  <c r="W2893" i="41"/>
  <c r="W2894" i="41"/>
  <c r="W2895" i="41"/>
  <c r="W2896" i="41"/>
  <c r="W2897" i="41"/>
  <c r="W2898" i="41"/>
  <c r="W2899" i="41"/>
  <c r="W2900" i="41"/>
  <c r="W2901" i="41"/>
  <c r="W2902" i="41"/>
  <c r="W2903" i="41"/>
  <c r="W2904" i="41"/>
  <c r="W2905" i="41"/>
  <c r="W2906" i="41"/>
  <c r="W2907" i="41"/>
  <c r="W2908" i="41"/>
  <c r="W2909" i="41"/>
  <c r="W2910" i="41"/>
  <c r="W2911" i="41"/>
  <c r="W2912" i="41"/>
  <c r="W2913" i="41"/>
  <c r="W2914" i="41"/>
  <c r="W2915" i="41"/>
  <c r="W2916" i="41"/>
  <c r="W2917" i="41"/>
  <c r="W2918" i="41"/>
  <c r="W2919" i="41"/>
  <c r="W2920" i="41"/>
  <c r="W2921" i="41"/>
  <c r="W2922" i="41"/>
  <c r="W2923" i="41"/>
  <c r="W2924" i="41"/>
  <c r="W2925" i="41"/>
  <c r="W2926" i="41"/>
  <c r="W2927" i="41"/>
  <c r="W2928" i="41"/>
  <c r="W2929" i="41"/>
  <c r="W2930" i="41"/>
  <c r="W2931" i="41"/>
  <c r="W2932" i="41"/>
  <c r="W2933" i="41"/>
  <c r="W2934" i="41"/>
  <c r="W2935" i="41"/>
  <c r="W2936" i="41"/>
  <c r="W2937" i="41"/>
  <c r="W2938" i="41"/>
  <c r="W2939" i="41"/>
  <c r="W2940" i="41"/>
  <c r="W2941" i="41"/>
  <c r="W2942" i="41"/>
  <c r="W2943" i="41"/>
  <c r="W2944" i="41"/>
  <c r="W2945" i="41"/>
  <c r="W2946" i="41"/>
  <c r="W2947" i="41"/>
  <c r="W2948" i="41"/>
  <c r="W2949" i="41"/>
  <c r="W2950" i="41"/>
  <c r="W2951" i="41"/>
  <c r="W2952" i="41"/>
  <c r="W2953" i="41"/>
  <c r="W2954" i="41"/>
  <c r="W2955" i="41"/>
  <c r="W2956" i="41"/>
  <c r="W2957" i="41"/>
  <c r="W2958" i="41"/>
  <c r="W2959" i="41"/>
  <c r="W2960" i="41"/>
  <c r="W2961" i="41"/>
  <c r="W2962" i="41"/>
  <c r="W2963" i="41"/>
  <c r="W2964" i="41"/>
  <c r="W2965" i="41"/>
  <c r="W2966" i="41"/>
  <c r="W2967" i="41"/>
  <c r="W2968" i="41"/>
  <c r="W2969" i="41"/>
  <c r="W2970" i="41"/>
  <c r="W2971" i="41"/>
  <c r="W2972" i="41"/>
  <c r="W2973" i="41"/>
  <c r="W2974" i="41"/>
  <c r="W2975" i="41"/>
  <c r="W2976" i="41"/>
  <c r="W2977" i="41"/>
  <c r="W2978" i="41"/>
  <c r="W2979" i="41"/>
  <c r="W2980" i="41"/>
  <c r="W2981" i="41"/>
  <c r="W2982" i="41"/>
  <c r="W2983" i="41"/>
  <c r="W2984" i="41"/>
  <c r="W2985" i="41"/>
  <c r="W2986" i="41"/>
  <c r="W2987" i="41"/>
  <c r="W2988" i="41"/>
  <c r="W2989" i="41"/>
  <c r="W2990" i="41"/>
  <c r="W2991" i="41"/>
  <c r="W2992" i="41"/>
  <c r="W2993" i="41"/>
  <c r="W2994" i="41"/>
  <c r="W2995" i="41"/>
  <c r="W2996" i="41"/>
  <c r="W2997" i="41"/>
  <c r="W2998" i="41"/>
  <c r="W2999" i="41"/>
  <c r="W3000" i="41"/>
  <c r="W3001" i="41"/>
  <c r="W3002" i="41"/>
  <c r="W3003" i="41"/>
  <c r="W3004" i="41"/>
  <c r="W3005" i="41"/>
  <c r="W3006" i="41"/>
  <c r="W3007" i="41"/>
  <c r="W3008" i="41"/>
  <c r="W3009" i="41"/>
  <c r="W3010" i="41"/>
  <c r="W3011" i="41"/>
  <c r="W3012" i="41"/>
  <c r="W3013" i="41"/>
  <c r="W3014" i="41"/>
  <c r="W3015" i="41"/>
  <c r="W3016" i="41"/>
  <c r="W3017" i="41"/>
  <c r="W3018" i="41"/>
  <c r="W3019" i="41"/>
  <c r="W3020" i="41"/>
  <c r="W3021" i="41"/>
  <c r="W3022" i="41"/>
  <c r="W3023" i="41"/>
  <c r="W3024" i="41"/>
  <c r="W3025" i="41"/>
  <c r="W3026" i="41"/>
  <c r="W3027" i="41"/>
  <c r="W3028" i="41"/>
  <c r="W3029" i="41"/>
  <c r="W3030" i="41"/>
  <c r="W3031" i="41"/>
  <c r="W3032" i="41"/>
  <c r="W3033" i="41"/>
  <c r="W3034" i="41"/>
  <c r="W3035" i="41"/>
  <c r="W3036" i="41"/>
  <c r="W3037" i="41"/>
  <c r="W3038" i="41"/>
  <c r="W3039" i="41"/>
  <c r="W3040" i="41"/>
  <c r="W3041" i="41"/>
  <c r="W3042" i="41"/>
  <c r="W3043" i="41"/>
  <c r="W3044" i="41"/>
  <c r="W3045" i="41"/>
  <c r="W3046" i="41"/>
  <c r="W3047" i="41"/>
  <c r="W3048" i="41"/>
  <c r="W3049" i="41"/>
  <c r="W3050" i="41"/>
  <c r="W3051" i="41"/>
  <c r="W3052" i="41"/>
  <c r="W3053" i="41"/>
  <c r="W3054" i="41"/>
  <c r="W3055" i="41"/>
  <c r="W3056" i="41"/>
  <c r="W3057" i="41"/>
  <c r="W3058" i="41"/>
  <c r="W3059" i="41"/>
  <c r="W3060" i="41"/>
  <c r="W3061" i="41"/>
  <c r="W3062" i="41"/>
  <c r="W3063" i="41"/>
  <c r="W3064" i="41"/>
  <c r="W3065" i="41"/>
  <c r="W3066" i="41"/>
  <c r="W3067" i="41"/>
  <c r="W3068" i="41"/>
  <c r="W3069" i="41"/>
  <c r="W3070" i="41"/>
  <c r="W3071" i="41"/>
  <c r="W3072" i="41"/>
  <c r="W3073" i="41"/>
  <c r="W3074" i="41"/>
  <c r="W3075" i="41"/>
  <c r="W3076" i="41"/>
  <c r="W3077" i="41"/>
  <c r="W3078" i="41"/>
  <c r="W3079" i="41"/>
  <c r="W3080" i="41"/>
  <c r="W3081" i="41"/>
  <c r="W3082" i="41"/>
  <c r="W3083" i="41"/>
  <c r="W3084" i="41"/>
  <c r="W3085" i="41"/>
  <c r="W3086" i="41"/>
  <c r="W3087" i="41"/>
  <c r="W3088" i="41"/>
  <c r="W3089" i="41"/>
  <c r="W3090" i="41"/>
  <c r="W3091" i="41"/>
  <c r="W3092" i="41"/>
  <c r="W3093" i="41"/>
  <c r="W3094" i="41"/>
  <c r="W3095" i="41"/>
  <c r="W3096" i="41"/>
  <c r="W3097" i="41"/>
  <c r="W3098" i="41"/>
  <c r="W3099" i="41"/>
  <c r="W3100" i="41"/>
  <c r="W3101" i="41"/>
  <c r="W3102" i="41"/>
  <c r="W3103" i="41"/>
  <c r="W3104" i="41"/>
  <c r="W3105" i="41"/>
  <c r="W3106" i="41"/>
  <c r="W3107" i="41"/>
  <c r="W3108" i="41"/>
  <c r="W3109" i="41"/>
  <c r="W3110" i="41"/>
  <c r="W3111" i="41"/>
  <c r="W3112" i="41"/>
  <c r="W3113" i="41"/>
  <c r="W3114" i="41"/>
  <c r="W3115" i="41"/>
  <c r="W3116" i="41"/>
  <c r="W3117" i="41"/>
  <c r="W3118" i="41"/>
  <c r="W3119" i="41"/>
  <c r="W3120" i="41"/>
  <c r="W3121" i="41"/>
  <c r="W3122" i="41"/>
  <c r="W3123" i="41"/>
  <c r="W3124" i="41"/>
  <c r="W3125" i="41"/>
  <c r="W3126" i="41"/>
  <c r="W3127" i="41"/>
  <c r="W3128" i="41"/>
  <c r="W3129" i="41"/>
  <c r="W3130" i="41"/>
  <c r="W3131" i="41"/>
  <c r="W3132" i="41"/>
  <c r="W3133" i="41"/>
  <c r="W3134" i="41"/>
  <c r="W3135" i="41"/>
  <c r="W3136" i="41"/>
  <c r="W3137" i="41"/>
  <c r="W3138" i="41"/>
  <c r="W3139" i="41"/>
  <c r="W3140" i="41"/>
  <c r="W3141" i="41"/>
  <c r="W3142" i="41"/>
  <c r="W3143" i="41"/>
  <c r="W3144" i="41"/>
  <c r="W3145" i="41"/>
  <c r="W3146" i="41"/>
  <c r="W3147" i="41"/>
  <c r="W3148" i="41"/>
  <c r="W3149" i="41"/>
  <c r="W3150" i="41"/>
  <c r="W3151" i="41"/>
  <c r="W3152" i="41"/>
  <c r="W3153" i="41"/>
  <c r="X2" i="41"/>
  <c r="X3" i="41"/>
  <c r="X4" i="41"/>
  <c r="X5" i="41"/>
  <c r="X6" i="41"/>
  <c r="X7" i="41"/>
  <c r="X8" i="41"/>
  <c r="X9" i="41"/>
  <c r="X10" i="41"/>
  <c r="X11" i="41"/>
  <c r="X12" i="41"/>
  <c r="X13" i="41"/>
  <c r="X14" i="41"/>
  <c r="X15" i="41"/>
  <c r="X16" i="41"/>
  <c r="X17" i="41"/>
  <c r="X18" i="41"/>
  <c r="X19" i="41"/>
  <c r="X20" i="41"/>
  <c r="X21" i="41"/>
  <c r="X22" i="41"/>
  <c r="X23" i="41"/>
  <c r="X24" i="41"/>
  <c r="X25" i="41"/>
  <c r="X26" i="41"/>
  <c r="X27" i="41"/>
  <c r="X28" i="41"/>
  <c r="X29" i="41"/>
  <c r="X30" i="41"/>
  <c r="X31" i="41"/>
  <c r="X32" i="41"/>
  <c r="X33" i="41"/>
  <c r="X34" i="41"/>
  <c r="X35" i="41"/>
  <c r="X36" i="41"/>
  <c r="X37" i="41"/>
  <c r="X38" i="41"/>
  <c r="X39" i="41"/>
  <c r="X40" i="41"/>
  <c r="X41" i="41"/>
  <c r="X42" i="41"/>
  <c r="X43" i="41"/>
  <c r="X44" i="41"/>
  <c r="X45" i="41"/>
  <c r="X46" i="41"/>
  <c r="X47" i="41"/>
  <c r="X48" i="41"/>
  <c r="X49" i="41"/>
  <c r="X50" i="41"/>
  <c r="X51" i="41"/>
  <c r="X52" i="41"/>
  <c r="X53" i="41"/>
  <c r="X54" i="41"/>
  <c r="X55" i="41"/>
  <c r="X56" i="41"/>
  <c r="X57" i="41"/>
  <c r="X58" i="41"/>
  <c r="X59" i="41"/>
  <c r="X60" i="41"/>
  <c r="X61" i="41"/>
  <c r="X62" i="41"/>
  <c r="X63" i="41"/>
  <c r="X64" i="41"/>
  <c r="X65" i="41"/>
  <c r="X66" i="41"/>
  <c r="X67" i="41"/>
  <c r="X68" i="41"/>
  <c r="X69" i="41"/>
  <c r="X70" i="41"/>
  <c r="X71" i="41"/>
  <c r="X72" i="41"/>
  <c r="X73" i="41"/>
  <c r="X74" i="41"/>
  <c r="X75" i="41"/>
  <c r="X76" i="41"/>
  <c r="X77" i="41"/>
  <c r="X78" i="41"/>
  <c r="X79" i="41"/>
  <c r="X80" i="41"/>
  <c r="X81" i="41"/>
  <c r="X82" i="41"/>
  <c r="X83" i="41"/>
  <c r="X84" i="41"/>
  <c r="X85" i="41"/>
  <c r="X86" i="41"/>
  <c r="X87" i="41"/>
  <c r="X88" i="41"/>
  <c r="X89" i="41"/>
  <c r="X90" i="41"/>
  <c r="X91" i="41"/>
  <c r="X92" i="41"/>
  <c r="X93" i="41"/>
  <c r="X94" i="41"/>
  <c r="X95" i="41"/>
  <c r="X96" i="41"/>
  <c r="X97" i="41"/>
  <c r="X98" i="41"/>
  <c r="X99" i="41"/>
  <c r="X100" i="41"/>
  <c r="X101" i="41"/>
  <c r="X102" i="41"/>
  <c r="X103" i="41"/>
  <c r="X104" i="41"/>
  <c r="X105" i="41"/>
  <c r="X106" i="41"/>
  <c r="X107" i="41"/>
  <c r="X108" i="41"/>
  <c r="X109" i="41"/>
  <c r="X110" i="41"/>
  <c r="X111" i="41"/>
  <c r="X112" i="41"/>
  <c r="X113" i="41"/>
  <c r="X114" i="41"/>
  <c r="X115" i="41"/>
  <c r="X116" i="41"/>
  <c r="X117" i="41"/>
  <c r="X118" i="41"/>
  <c r="X119" i="41"/>
  <c r="X120" i="41"/>
  <c r="X121" i="41"/>
  <c r="X122" i="41"/>
  <c r="X123" i="41"/>
  <c r="X124" i="41"/>
  <c r="X125" i="41"/>
  <c r="X126" i="41"/>
  <c r="X127" i="41"/>
  <c r="X128" i="41"/>
  <c r="X129" i="41"/>
  <c r="X130" i="41"/>
  <c r="X131" i="41"/>
  <c r="X132" i="41"/>
  <c r="X133" i="41"/>
  <c r="X134" i="41"/>
  <c r="X135" i="41"/>
  <c r="X136" i="41"/>
  <c r="X137" i="41"/>
  <c r="X138" i="41"/>
  <c r="X139" i="41"/>
  <c r="X140" i="41"/>
  <c r="X141" i="41"/>
  <c r="X142" i="41"/>
  <c r="X143" i="41"/>
  <c r="X144" i="41"/>
  <c r="X145" i="41"/>
  <c r="X146" i="41"/>
  <c r="X147" i="41"/>
  <c r="X148" i="41"/>
  <c r="X149" i="41"/>
  <c r="X150" i="41"/>
  <c r="X151" i="41"/>
  <c r="X152" i="41"/>
  <c r="X153" i="41"/>
  <c r="X154" i="41"/>
  <c r="X155" i="41"/>
  <c r="X156" i="41"/>
  <c r="X157" i="41"/>
  <c r="X158" i="41"/>
  <c r="X159" i="41"/>
  <c r="X160" i="41"/>
  <c r="X161" i="41"/>
  <c r="X162" i="41"/>
  <c r="X163" i="41"/>
  <c r="X164" i="41"/>
  <c r="X165" i="41"/>
  <c r="X166" i="41"/>
  <c r="X167" i="41"/>
  <c r="X168" i="41"/>
  <c r="X169" i="41"/>
  <c r="X170" i="41"/>
  <c r="X171" i="41"/>
  <c r="X172" i="41"/>
  <c r="X173" i="41"/>
  <c r="X174" i="41"/>
  <c r="X175" i="41"/>
  <c r="X176" i="41"/>
  <c r="X177" i="41"/>
  <c r="X178" i="41"/>
  <c r="X179" i="41"/>
  <c r="X180" i="41"/>
  <c r="X181" i="41"/>
  <c r="X182" i="41"/>
  <c r="X183" i="41"/>
  <c r="X184" i="41"/>
  <c r="X185" i="41"/>
  <c r="X186" i="41"/>
  <c r="X187" i="41"/>
  <c r="X188" i="41"/>
  <c r="X189" i="41"/>
  <c r="X190" i="41"/>
  <c r="X191" i="41"/>
  <c r="X192" i="41"/>
  <c r="X193" i="41"/>
  <c r="X194" i="41"/>
  <c r="X195" i="41"/>
  <c r="X196" i="41"/>
  <c r="X197" i="41"/>
  <c r="X198" i="41"/>
  <c r="X199" i="41"/>
  <c r="X200" i="41"/>
  <c r="X201" i="41"/>
  <c r="X202" i="41"/>
  <c r="X203" i="41"/>
  <c r="X204" i="41"/>
  <c r="X205" i="41"/>
  <c r="X206" i="41"/>
  <c r="X207" i="41"/>
  <c r="X208" i="41"/>
  <c r="X209" i="41"/>
  <c r="X210" i="41"/>
  <c r="X211" i="41"/>
  <c r="X212" i="41"/>
  <c r="X213" i="41"/>
  <c r="X214" i="41"/>
  <c r="X215" i="41"/>
  <c r="X216" i="41"/>
  <c r="X217" i="41"/>
  <c r="X218" i="41"/>
  <c r="X219" i="41"/>
  <c r="X220" i="41"/>
  <c r="X221" i="41"/>
  <c r="X222" i="41"/>
  <c r="X223" i="41"/>
  <c r="X224" i="41"/>
  <c r="X225" i="41"/>
  <c r="X226" i="41"/>
  <c r="X227" i="41"/>
  <c r="X228" i="41"/>
  <c r="X229" i="41"/>
  <c r="X230" i="41"/>
  <c r="X231" i="41"/>
  <c r="X232" i="41"/>
  <c r="X233" i="41"/>
  <c r="X234" i="41"/>
  <c r="X235" i="41"/>
  <c r="X236" i="41"/>
  <c r="X237" i="41"/>
  <c r="X238" i="41"/>
  <c r="X239" i="41"/>
  <c r="X240" i="41"/>
  <c r="X241" i="41"/>
  <c r="X242" i="41"/>
  <c r="X243" i="41"/>
  <c r="X244" i="41"/>
  <c r="X245" i="41"/>
  <c r="X246" i="41"/>
  <c r="X247" i="41"/>
  <c r="X248" i="41"/>
  <c r="X249" i="41"/>
  <c r="X250" i="41"/>
  <c r="X251" i="41"/>
  <c r="X252" i="41"/>
  <c r="X253" i="41"/>
  <c r="X254" i="41"/>
  <c r="X255" i="41"/>
  <c r="X256" i="41"/>
  <c r="X257" i="41"/>
  <c r="X258" i="41"/>
  <c r="X259" i="41"/>
  <c r="X260" i="41"/>
  <c r="X261" i="41"/>
  <c r="X262" i="41"/>
  <c r="X263" i="41"/>
  <c r="X264" i="41"/>
  <c r="X265" i="41"/>
  <c r="X266" i="41"/>
  <c r="X267" i="41"/>
  <c r="X268" i="41"/>
  <c r="X269" i="41"/>
  <c r="X270" i="41"/>
  <c r="X271" i="41"/>
  <c r="X272" i="41"/>
  <c r="X273" i="41"/>
  <c r="X274" i="41"/>
  <c r="X275" i="41"/>
  <c r="X276" i="41"/>
  <c r="X277" i="41"/>
  <c r="X278" i="41"/>
  <c r="X279" i="41"/>
  <c r="X280" i="41"/>
  <c r="X281" i="41"/>
  <c r="X282" i="41"/>
  <c r="X283" i="41"/>
  <c r="X284" i="41"/>
  <c r="X285" i="41"/>
  <c r="X286" i="41"/>
  <c r="X287" i="41"/>
  <c r="X288" i="41"/>
  <c r="X289" i="41"/>
  <c r="X290" i="41"/>
  <c r="X291" i="41"/>
  <c r="X292" i="41"/>
  <c r="X293" i="41"/>
  <c r="X294" i="41"/>
  <c r="X295" i="41"/>
  <c r="X296" i="41"/>
  <c r="X297" i="41"/>
  <c r="X298" i="41"/>
  <c r="X299" i="41"/>
  <c r="X300" i="41"/>
  <c r="X301" i="41"/>
  <c r="X302" i="41"/>
  <c r="X303" i="41"/>
  <c r="X304" i="41"/>
  <c r="X305" i="41"/>
  <c r="X306" i="41"/>
  <c r="X307" i="41"/>
  <c r="X308" i="41"/>
  <c r="X309" i="41"/>
  <c r="X310" i="41"/>
  <c r="X311" i="41"/>
  <c r="X312" i="41"/>
  <c r="X313" i="41"/>
  <c r="X314" i="41"/>
  <c r="X315" i="41"/>
  <c r="X316" i="41"/>
  <c r="X317" i="41"/>
  <c r="X318" i="41"/>
  <c r="X319" i="41"/>
  <c r="X320" i="41"/>
  <c r="X321" i="41"/>
  <c r="X322" i="41"/>
  <c r="X323" i="41"/>
  <c r="X324" i="41"/>
  <c r="X325" i="41"/>
  <c r="X326" i="41"/>
  <c r="X327" i="41"/>
  <c r="X328" i="41"/>
  <c r="X329" i="41"/>
  <c r="X330" i="41"/>
  <c r="X331" i="41"/>
  <c r="X332" i="41"/>
  <c r="X333" i="41"/>
  <c r="X334" i="41"/>
  <c r="X335" i="41"/>
  <c r="X336" i="41"/>
  <c r="X337" i="41"/>
  <c r="X338" i="41"/>
  <c r="X339" i="41"/>
  <c r="X340" i="41"/>
  <c r="X341" i="41"/>
  <c r="X342" i="41"/>
  <c r="X343" i="41"/>
  <c r="X344" i="41"/>
  <c r="X345" i="41"/>
  <c r="X346" i="41"/>
  <c r="X347" i="41"/>
  <c r="X348" i="41"/>
  <c r="X349" i="41"/>
  <c r="X350" i="41"/>
  <c r="X351" i="41"/>
  <c r="X352" i="41"/>
  <c r="X353" i="41"/>
  <c r="X354" i="41"/>
  <c r="X355" i="41"/>
  <c r="X356" i="41"/>
  <c r="X357" i="41"/>
  <c r="X358" i="41"/>
  <c r="X359" i="41"/>
  <c r="X360" i="41"/>
  <c r="X361" i="41"/>
  <c r="X362" i="41"/>
  <c r="X363" i="41"/>
  <c r="X364" i="41"/>
  <c r="X365" i="41"/>
  <c r="X366" i="41"/>
  <c r="X367" i="41"/>
  <c r="X368" i="41"/>
  <c r="X369" i="41"/>
  <c r="X370" i="41"/>
  <c r="X371" i="41"/>
  <c r="X372" i="41"/>
  <c r="X373" i="41"/>
  <c r="X374" i="41"/>
  <c r="X375" i="41"/>
  <c r="X376" i="41"/>
  <c r="X377" i="41"/>
  <c r="X378" i="41"/>
  <c r="X379" i="41"/>
  <c r="X380" i="41"/>
  <c r="X381" i="41"/>
  <c r="X382" i="41"/>
  <c r="X383" i="41"/>
  <c r="X384" i="41"/>
  <c r="X385" i="41"/>
  <c r="X386" i="41"/>
  <c r="X387" i="41"/>
  <c r="X388" i="41"/>
  <c r="X389" i="41"/>
  <c r="X390" i="41"/>
  <c r="X391" i="41"/>
  <c r="X392" i="41"/>
  <c r="X393" i="41"/>
  <c r="X394" i="41"/>
  <c r="X395" i="41"/>
  <c r="X396" i="41"/>
  <c r="X397" i="41"/>
  <c r="X398" i="41"/>
  <c r="X399" i="41"/>
  <c r="X400" i="41"/>
  <c r="X401" i="41"/>
  <c r="X402" i="41"/>
  <c r="X403" i="41"/>
  <c r="X404" i="41"/>
  <c r="X405" i="41"/>
  <c r="X406" i="41"/>
  <c r="X407" i="41"/>
  <c r="X408" i="41"/>
  <c r="X409" i="41"/>
  <c r="X410" i="41"/>
  <c r="X411" i="41"/>
  <c r="X412" i="41"/>
  <c r="X413" i="41"/>
  <c r="X414" i="41"/>
  <c r="X415" i="41"/>
  <c r="X416" i="41"/>
  <c r="X417" i="41"/>
  <c r="X418" i="41"/>
  <c r="X419" i="41"/>
  <c r="X420" i="41"/>
  <c r="X421" i="41"/>
  <c r="X422" i="41"/>
  <c r="X423" i="41"/>
  <c r="X424" i="41"/>
  <c r="X425" i="41"/>
  <c r="X426" i="41"/>
  <c r="X427" i="41"/>
  <c r="X428" i="41"/>
  <c r="X429" i="41"/>
  <c r="X430" i="41"/>
  <c r="X431" i="41"/>
  <c r="X432" i="41"/>
  <c r="X433" i="41"/>
  <c r="X434" i="41"/>
  <c r="X435" i="41"/>
  <c r="X436" i="41"/>
  <c r="X437" i="41"/>
  <c r="X438" i="41"/>
  <c r="X439" i="41"/>
  <c r="X440" i="41"/>
  <c r="X441" i="41"/>
  <c r="X442" i="41"/>
  <c r="X443" i="41"/>
  <c r="X444" i="41"/>
  <c r="X445" i="41"/>
  <c r="X446" i="41"/>
  <c r="X447" i="41"/>
  <c r="X448" i="41"/>
  <c r="X449" i="41"/>
  <c r="X450" i="41"/>
  <c r="X451" i="41"/>
  <c r="X452" i="41"/>
  <c r="X453" i="41"/>
  <c r="X454" i="41"/>
  <c r="X455" i="41"/>
  <c r="X456" i="41"/>
  <c r="X457" i="41"/>
  <c r="X458" i="41"/>
  <c r="X459" i="41"/>
  <c r="X460" i="41"/>
  <c r="X461" i="41"/>
  <c r="X462" i="41"/>
  <c r="X463" i="41"/>
  <c r="X464" i="41"/>
  <c r="X465" i="41"/>
  <c r="X466" i="41"/>
  <c r="X467" i="41"/>
  <c r="X468" i="41"/>
  <c r="X469" i="41"/>
  <c r="X470" i="41"/>
  <c r="X471" i="41"/>
  <c r="X472" i="41"/>
  <c r="X473" i="41"/>
  <c r="X474" i="41"/>
  <c r="X475" i="41"/>
  <c r="X476" i="41"/>
  <c r="X477" i="41"/>
  <c r="X478" i="41"/>
  <c r="X479" i="41"/>
  <c r="X480" i="41"/>
  <c r="X481" i="41"/>
  <c r="X482" i="41"/>
  <c r="X483" i="41"/>
  <c r="X484" i="41"/>
  <c r="X485" i="41"/>
  <c r="X486" i="41"/>
  <c r="X487" i="41"/>
  <c r="X488" i="41"/>
  <c r="X489" i="41"/>
  <c r="X490" i="41"/>
  <c r="X491" i="41"/>
  <c r="X492" i="41"/>
  <c r="X493" i="41"/>
  <c r="X494" i="41"/>
  <c r="X495" i="41"/>
  <c r="X496" i="41"/>
  <c r="X497" i="41"/>
  <c r="X498" i="41"/>
  <c r="X499" i="41"/>
  <c r="X500" i="41"/>
  <c r="X501" i="41"/>
  <c r="X502" i="41"/>
  <c r="X503" i="41"/>
  <c r="X504" i="41"/>
  <c r="X505" i="41"/>
  <c r="X506" i="41"/>
  <c r="X507" i="41"/>
  <c r="X508" i="41"/>
  <c r="X509" i="41"/>
  <c r="X510" i="41"/>
  <c r="X511" i="41"/>
  <c r="X512" i="41"/>
  <c r="X513" i="41"/>
  <c r="X514" i="41"/>
  <c r="X515" i="41"/>
  <c r="X516" i="41"/>
  <c r="X517" i="41"/>
  <c r="X518" i="41"/>
  <c r="X519" i="41"/>
  <c r="X520" i="41"/>
  <c r="X521" i="41"/>
  <c r="X522" i="41"/>
  <c r="X523" i="41"/>
  <c r="X524" i="41"/>
  <c r="X525" i="41"/>
  <c r="X526" i="41"/>
  <c r="X527" i="41"/>
  <c r="X528" i="41"/>
  <c r="X529" i="41"/>
  <c r="X530" i="41"/>
  <c r="X531" i="41"/>
  <c r="X532" i="41"/>
  <c r="X533" i="41"/>
  <c r="X534" i="41"/>
  <c r="X535" i="41"/>
  <c r="X536" i="41"/>
  <c r="X537" i="41"/>
  <c r="X538" i="41"/>
  <c r="X539" i="41"/>
  <c r="X540" i="41"/>
  <c r="X541" i="41"/>
  <c r="X542" i="41"/>
  <c r="X543" i="41"/>
  <c r="X544" i="41"/>
  <c r="X545" i="41"/>
  <c r="X546" i="41"/>
  <c r="X547" i="41"/>
  <c r="X548" i="41"/>
  <c r="X549" i="41"/>
  <c r="X550" i="41"/>
  <c r="X551" i="41"/>
  <c r="X552" i="41"/>
  <c r="X553" i="41"/>
  <c r="X554" i="41"/>
  <c r="X555" i="41"/>
  <c r="X556" i="41"/>
  <c r="X557" i="41"/>
  <c r="X558" i="41"/>
  <c r="X559" i="41"/>
  <c r="X560" i="41"/>
  <c r="X561" i="41"/>
  <c r="X562" i="41"/>
  <c r="X563" i="41"/>
  <c r="X564" i="41"/>
  <c r="X565" i="41"/>
  <c r="X566" i="41"/>
  <c r="X567" i="41"/>
  <c r="X568" i="41"/>
  <c r="X569" i="41"/>
  <c r="X570" i="41"/>
  <c r="X571" i="41"/>
  <c r="X572" i="41"/>
  <c r="X573" i="41"/>
  <c r="X574" i="41"/>
  <c r="X575" i="41"/>
  <c r="X576" i="41"/>
  <c r="X577" i="41"/>
  <c r="X578" i="41"/>
  <c r="X579" i="41"/>
  <c r="X580" i="41"/>
  <c r="X581" i="41"/>
  <c r="X582" i="41"/>
  <c r="X583" i="41"/>
  <c r="X584" i="41"/>
  <c r="X585" i="41"/>
  <c r="X586" i="41"/>
  <c r="X587" i="41"/>
  <c r="X588" i="41"/>
  <c r="X589" i="41"/>
  <c r="X590" i="41"/>
  <c r="X591" i="41"/>
  <c r="X592" i="41"/>
  <c r="X593" i="41"/>
  <c r="X594" i="41"/>
  <c r="X595" i="41"/>
  <c r="X596" i="41"/>
  <c r="X597" i="41"/>
  <c r="X598" i="41"/>
  <c r="X599" i="41"/>
  <c r="X600" i="41"/>
  <c r="X601" i="41"/>
  <c r="X602" i="41"/>
  <c r="X603" i="41"/>
  <c r="X604" i="41"/>
  <c r="X605" i="41"/>
  <c r="X606" i="41"/>
  <c r="X607" i="41"/>
  <c r="X608" i="41"/>
  <c r="X609" i="41"/>
  <c r="X610" i="41"/>
  <c r="X611" i="41"/>
  <c r="X612" i="41"/>
  <c r="X613" i="41"/>
  <c r="X614" i="41"/>
  <c r="X615" i="41"/>
  <c r="X616" i="41"/>
  <c r="X617" i="41"/>
  <c r="X618" i="41"/>
  <c r="X619" i="41"/>
  <c r="X620" i="41"/>
  <c r="X621" i="41"/>
  <c r="X622" i="41"/>
  <c r="X623" i="41"/>
  <c r="X624" i="41"/>
  <c r="X625" i="41"/>
  <c r="X626" i="41"/>
  <c r="X627" i="41"/>
  <c r="X628" i="41"/>
  <c r="X629" i="41"/>
  <c r="X630" i="41"/>
  <c r="X631" i="41"/>
  <c r="X632" i="41"/>
  <c r="X633" i="41"/>
  <c r="X634" i="41"/>
  <c r="X635" i="41"/>
  <c r="X636" i="41"/>
  <c r="X637" i="41"/>
  <c r="X638" i="41"/>
  <c r="X639" i="41"/>
  <c r="X640" i="41"/>
  <c r="X641" i="41"/>
  <c r="X642" i="41"/>
  <c r="X643" i="41"/>
  <c r="X644" i="41"/>
  <c r="X645" i="41"/>
  <c r="X646" i="41"/>
  <c r="X647" i="41"/>
  <c r="X648" i="41"/>
  <c r="X649" i="41"/>
  <c r="X650" i="41"/>
  <c r="X651" i="41"/>
  <c r="X652" i="41"/>
  <c r="X653" i="41"/>
  <c r="X654" i="41"/>
  <c r="X655" i="41"/>
  <c r="X656" i="41"/>
  <c r="X657" i="41"/>
  <c r="X658" i="41"/>
  <c r="X659" i="41"/>
  <c r="X660" i="41"/>
  <c r="X661" i="41"/>
  <c r="X662" i="41"/>
  <c r="X663" i="41"/>
  <c r="X664" i="41"/>
  <c r="X665" i="41"/>
  <c r="X666" i="41"/>
  <c r="X667" i="41"/>
  <c r="X668" i="41"/>
  <c r="X669" i="41"/>
  <c r="X670" i="41"/>
  <c r="X671" i="41"/>
  <c r="X672" i="41"/>
  <c r="X673" i="41"/>
  <c r="X674" i="41"/>
  <c r="X675" i="41"/>
  <c r="X676" i="41"/>
  <c r="X677" i="41"/>
  <c r="X678" i="41"/>
  <c r="X679" i="41"/>
  <c r="X680" i="41"/>
  <c r="X681" i="41"/>
  <c r="X682" i="41"/>
  <c r="X683" i="41"/>
  <c r="X684" i="41"/>
  <c r="X685" i="41"/>
  <c r="X686" i="41"/>
  <c r="X687" i="41"/>
  <c r="X688" i="41"/>
  <c r="X689" i="41"/>
  <c r="X690" i="41"/>
  <c r="X691" i="41"/>
  <c r="X692" i="41"/>
  <c r="X693" i="41"/>
  <c r="X694" i="41"/>
  <c r="X695" i="41"/>
  <c r="X696" i="41"/>
  <c r="X697" i="41"/>
  <c r="X698" i="41"/>
  <c r="X699" i="41"/>
  <c r="X700" i="41"/>
  <c r="X701" i="41"/>
  <c r="X702" i="41"/>
  <c r="X703" i="41"/>
  <c r="X704" i="41"/>
  <c r="X705" i="41"/>
  <c r="X706" i="41"/>
  <c r="X707" i="41"/>
  <c r="X708" i="41"/>
  <c r="X709" i="41"/>
  <c r="X710" i="41"/>
  <c r="X711" i="41"/>
  <c r="X712" i="41"/>
  <c r="X713" i="41"/>
  <c r="X714" i="41"/>
  <c r="X715" i="41"/>
  <c r="X716" i="41"/>
  <c r="X717" i="41"/>
  <c r="X718" i="41"/>
  <c r="X719" i="41"/>
  <c r="X720" i="41"/>
  <c r="X721" i="41"/>
  <c r="X722" i="41"/>
  <c r="X723" i="41"/>
  <c r="X724" i="41"/>
  <c r="X725" i="41"/>
  <c r="X726" i="41"/>
  <c r="X727" i="41"/>
  <c r="X728" i="41"/>
  <c r="X729" i="41"/>
  <c r="X730" i="41"/>
  <c r="X731" i="41"/>
  <c r="X732" i="41"/>
  <c r="X733" i="41"/>
  <c r="X734" i="41"/>
  <c r="X735" i="41"/>
  <c r="X736" i="41"/>
  <c r="X737" i="41"/>
  <c r="X738" i="41"/>
  <c r="X739" i="41"/>
  <c r="X740" i="41"/>
  <c r="X741" i="41"/>
  <c r="X742" i="41"/>
  <c r="X743" i="41"/>
  <c r="X744" i="41"/>
  <c r="X745" i="41"/>
  <c r="X746" i="41"/>
  <c r="X747" i="41"/>
  <c r="X748" i="41"/>
  <c r="X749" i="41"/>
  <c r="X750" i="41"/>
  <c r="X751" i="41"/>
  <c r="X752" i="41"/>
  <c r="X753" i="41"/>
  <c r="X754" i="41"/>
  <c r="X755" i="41"/>
  <c r="X756" i="41"/>
  <c r="X757" i="41"/>
  <c r="X758" i="41"/>
  <c r="X759" i="41"/>
  <c r="X760" i="41"/>
  <c r="X761" i="41"/>
  <c r="X762" i="41"/>
  <c r="X763" i="41"/>
  <c r="X764" i="41"/>
  <c r="X765" i="41"/>
  <c r="X766" i="41"/>
  <c r="X767" i="41"/>
  <c r="X768" i="41"/>
  <c r="X769" i="41"/>
  <c r="X770" i="41"/>
  <c r="X771" i="41"/>
  <c r="X772" i="41"/>
  <c r="X773" i="41"/>
  <c r="X774" i="41"/>
  <c r="X775" i="41"/>
  <c r="X776" i="41"/>
  <c r="X777" i="41"/>
  <c r="X778" i="41"/>
  <c r="X779" i="41"/>
  <c r="X780" i="41"/>
  <c r="X781" i="41"/>
  <c r="X782" i="41"/>
  <c r="X783" i="41"/>
  <c r="X784" i="41"/>
  <c r="X785" i="41"/>
  <c r="X786" i="41"/>
  <c r="X787" i="41"/>
  <c r="X788" i="41"/>
  <c r="X789" i="41"/>
  <c r="X790" i="41"/>
  <c r="X791" i="41"/>
  <c r="X792" i="41"/>
  <c r="X793" i="41"/>
  <c r="X794" i="41"/>
  <c r="X795" i="41"/>
  <c r="X796" i="41"/>
  <c r="X797" i="41"/>
  <c r="X798" i="41"/>
  <c r="X799" i="41"/>
  <c r="X800" i="41"/>
  <c r="X801" i="41"/>
  <c r="X802" i="41"/>
  <c r="X803" i="41"/>
  <c r="X804" i="41"/>
  <c r="X805" i="41"/>
  <c r="X806" i="41"/>
  <c r="X807" i="41"/>
  <c r="X808" i="41"/>
  <c r="X809" i="41"/>
  <c r="X810" i="41"/>
  <c r="X811" i="41"/>
  <c r="X812" i="41"/>
  <c r="X813" i="41"/>
  <c r="X814" i="41"/>
  <c r="X815" i="41"/>
  <c r="X816" i="41"/>
  <c r="X817" i="41"/>
  <c r="X818" i="41"/>
  <c r="X819" i="41"/>
  <c r="X820" i="41"/>
  <c r="X821" i="41"/>
  <c r="X822" i="41"/>
  <c r="X823" i="41"/>
  <c r="X824" i="41"/>
  <c r="X825" i="41"/>
  <c r="X826" i="41"/>
  <c r="X827" i="41"/>
  <c r="X828" i="41"/>
  <c r="X829" i="41"/>
  <c r="X830" i="41"/>
  <c r="X831" i="41"/>
  <c r="X832" i="41"/>
  <c r="X833" i="41"/>
  <c r="X834" i="41"/>
  <c r="X835" i="41"/>
  <c r="X836" i="41"/>
  <c r="X837" i="41"/>
  <c r="X838" i="41"/>
  <c r="X839" i="41"/>
  <c r="X840" i="41"/>
  <c r="X841" i="41"/>
  <c r="X842" i="41"/>
  <c r="X843" i="41"/>
  <c r="X844" i="41"/>
  <c r="X845" i="41"/>
  <c r="X846" i="41"/>
  <c r="X847" i="41"/>
  <c r="X848" i="41"/>
  <c r="X849" i="41"/>
  <c r="X850" i="41"/>
  <c r="X851" i="41"/>
  <c r="X852" i="41"/>
  <c r="X853" i="41"/>
  <c r="X854" i="41"/>
  <c r="X855" i="41"/>
  <c r="X856" i="41"/>
  <c r="X857" i="41"/>
  <c r="X858" i="41"/>
  <c r="X859" i="41"/>
  <c r="X860" i="41"/>
  <c r="X861" i="41"/>
  <c r="X862" i="41"/>
  <c r="X863" i="41"/>
  <c r="X864" i="41"/>
  <c r="X865" i="41"/>
  <c r="X866" i="41"/>
  <c r="X867" i="41"/>
  <c r="X868" i="41"/>
  <c r="X869" i="41"/>
  <c r="X870" i="41"/>
  <c r="X871" i="41"/>
  <c r="X872" i="41"/>
  <c r="X873" i="41"/>
  <c r="X874" i="41"/>
  <c r="X875" i="41"/>
  <c r="X876" i="41"/>
  <c r="X877" i="41"/>
  <c r="X878" i="41"/>
  <c r="X879" i="41"/>
  <c r="X880" i="41"/>
  <c r="X881" i="41"/>
  <c r="X882" i="41"/>
  <c r="X883" i="41"/>
  <c r="X884" i="41"/>
  <c r="X885" i="41"/>
  <c r="X886" i="41"/>
  <c r="X887" i="41"/>
  <c r="X888" i="41"/>
  <c r="X889" i="41"/>
  <c r="X890" i="41"/>
  <c r="X891" i="41"/>
  <c r="X892" i="41"/>
  <c r="X893" i="41"/>
  <c r="X894" i="41"/>
  <c r="X895" i="41"/>
  <c r="X896" i="41"/>
  <c r="X897" i="41"/>
  <c r="X898" i="41"/>
  <c r="X899" i="41"/>
  <c r="X900" i="41"/>
  <c r="X901" i="41"/>
  <c r="X902" i="41"/>
  <c r="X903" i="41"/>
  <c r="X904" i="41"/>
  <c r="X905" i="41"/>
  <c r="X906" i="41"/>
  <c r="X907" i="41"/>
  <c r="X908" i="41"/>
  <c r="X909" i="41"/>
  <c r="X910" i="41"/>
  <c r="X911" i="41"/>
  <c r="X912" i="41"/>
  <c r="X913" i="41"/>
  <c r="X914" i="41"/>
  <c r="X915" i="41"/>
  <c r="X916" i="41"/>
  <c r="X917" i="41"/>
  <c r="X918" i="41"/>
  <c r="X919" i="41"/>
  <c r="X920" i="41"/>
  <c r="X921" i="41"/>
  <c r="X922" i="41"/>
  <c r="X923" i="41"/>
  <c r="X924" i="41"/>
  <c r="X925" i="41"/>
  <c r="X926" i="41"/>
  <c r="X927" i="41"/>
  <c r="X928" i="41"/>
  <c r="X929" i="41"/>
  <c r="X930" i="41"/>
  <c r="X931" i="41"/>
  <c r="X932" i="41"/>
  <c r="X933" i="41"/>
  <c r="X934" i="41"/>
  <c r="X935" i="41"/>
  <c r="X936" i="41"/>
  <c r="X937" i="41"/>
  <c r="X938" i="41"/>
  <c r="X939" i="41"/>
  <c r="X940" i="41"/>
  <c r="X941" i="41"/>
  <c r="X942" i="41"/>
  <c r="X943" i="41"/>
  <c r="X944" i="41"/>
  <c r="X945" i="41"/>
  <c r="X946" i="41"/>
  <c r="X947" i="41"/>
  <c r="X948" i="41"/>
  <c r="X949" i="41"/>
  <c r="X950" i="41"/>
  <c r="X951" i="41"/>
  <c r="X952" i="41"/>
  <c r="X953" i="41"/>
  <c r="X954" i="41"/>
  <c r="X955" i="41"/>
  <c r="X956" i="41"/>
  <c r="X957" i="41"/>
  <c r="X958" i="41"/>
  <c r="X959" i="41"/>
  <c r="X960" i="41"/>
  <c r="X961" i="41"/>
  <c r="X962" i="41"/>
  <c r="X963" i="41"/>
  <c r="X964" i="41"/>
  <c r="X965" i="41"/>
  <c r="X966" i="41"/>
  <c r="X967" i="41"/>
  <c r="X968" i="41"/>
  <c r="X969" i="41"/>
  <c r="X970" i="41"/>
  <c r="X971" i="41"/>
  <c r="X972" i="41"/>
  <c r="X973" i="41"/>
  <c r="X974" i="41"/>
  <c r="X975" i="41"/>
  <c r="X976" i="41"/>
  <c r="X977" i="41"/>
  <c r="X978" i="41"/>
  <c r="X979" i="41"/>
  <c r="X980" i="41"/>
  <c r="X981" i="41"/>
  <c r="X982" i="41"/>
  <c r="X983" i="41"/>
  <c r="X984" i="41"/>
  <c r="X985" i="41"/>
  <c r="X986" i="41"/>
  <c r="X987" i="41"/>
  <c r="X988" i="41"/>
  <c r="X989" i="41"/>
  <c r="X990" i="41"/>
  <c r="X991" i="41"/>
  <c r="X992" i="41"/>
  <c r="X993" i="41"/>
  <c r="X994" i="41"/>
  <c r="X995" i="41"/>
  <c r="X996" i="41"/>
  <c r="X997" i="41"/>
  <c r="X998" i="41"/>
  <c r="X999" i="41"/>
  <c r="X1000" i="41"/>
  <c r="X1001" i="41"/>
  <c r="X1002" i="41"/>
  <c r="X1003" i="41"/>
  <c r="X1004" i="41"/>
  <c r="X1005" i="41"/>
  <c r="X1006" i="41"/>
  <c r="X1007" i="41"/>
  <c r="X1008" i="41"/>
  <c r="X1009" i="41"/>
  <c r="X1010" i="41"/>
  <c r="X1011" i="41"/>
  <c r="X1012" i="41"/>
  <c r="X1013" i="41"/>
  <c r="X1014" i="41"/>
  <c r="X1015" i="41"/>
  <c r="X1016" i="41"/>
  <c r="X1017" i="41"/>
  <c r="X1018" i="41"/>
  <c r="X1019" i="41"/>
  <c r="X1020" i="41"/>
  <c r="X1021" i="41"/>
  <c r="X1022" i="41"/>
  <c r="X1023" i="41"/>
  <c r="X1024" i="41"/>
  <c r="X1025" i="41"/>
  <c r="X1026" i="41"/>
  <c r="X1027" i="41"/>
  <c r="X1028" i="41"/>
  <c r="X1029" i="41"/>
  <c r="X1030" i="41"/>
  <c r="X1031" i="41"/>
  <c r="X1032" i="41"/>
  <c r="X1033" i="41"/>
  <c r="X1034" i="41"/>
  <c r="X1035" i="41"/>
  <c r="X1036" i="41"/>
  <c r="X1037" i="41"/>
  <c r="X1038" i="41"/>
  <c r="X1039" i="41"/>
  <c r="X1040" i="41"/>
  <c r="X1041" i="41"/>
  <c r="X1042" i="41"/>
  <c r="X1043" i="41"/>
  <c r="X1044" i="41"/>
  <c r="X1045" i="41"/>
  <c r="X1046" i="41"/>
  <c r="X1047" i="41"/>
  <c r="X1048" i="41"/>
  <c r="X1049" i="41"/>
  <c r="X1050" i="41"/>
  <c r="X1051" i="41"/>
  <c r="X1052" i="41"/>
  <c r="X1053" i="41"/>
  <c r="X1054" i="41"/>
  <c r="X1055" i="41"/>
  <c r="X1056" i="41"/>
  <c r="X1057" i="41"/>
  <c r="X1058" i="41"/>
  <c r="X1059" i="41"/>
  <c r="X1060" i="41"/>
  <c r="X1061" i="41"/>
  <c r="X1062" i="41"/>
  <c r="X1063" i="41"/>
  <c r="X1064" i="41"/>
  <c r="X1065" i="41"/>
  <c r="X1066" i="41"/>
  <c r="X1067" i="41"/>
  <c r="X1068" i="41"/>
  <c r="X1069" i="41"/>
  <c r="X1070" i="41"/>
  <c r="X1071" i="41"/>
  <c r="X1072" i="41"/>
  <c r="X1073" i="41"/>
  <c r="X1074" i="41"/>
  <c r="X1075" i="41"/>
  <c r="X1076" i="41"/>
  <c r="X1077" i="41"/>
  <c r="X1078" i="41"/>
  <c r="X1079" i="41"/>
  <c r="X1080" i="41"/>
  <c r="X1081" i="41"/>
  <c r="X1082" i="41"/>
  <c r="X1083" i="41"/>
  <c r="X1084" i="41"/>
  <c r="X1085" i="41"/>
  <c r="X1086" i="41"/>
  <c r="X1087" i="41"/>
  <c r="X1088" i="41"/>
  <c r="X1089" i="41"/>
  <c r="X1090" i="41"/>
  <c r="X1091" i="41"/>
  <c r="X1092" i="41"/>
  <c r="X1093" i="41"/>
  <c r="X1094" i="41"/>
  <c r="X1095" i="41"/>
  <c r="X1096" i="41"/>
  <c r="X1097" i="41"/>
  <c r="X1098" i="41"/>
  <c r="X1099" i="41"/>
  <c r="X1100" i="41"/>
  <c r="X1101" i="41"/>
  <c r="X1102" i="41"/>
  <c r="X1103" i="41"/>
  <c r="X1104" i="41"/>
  <c r="X1105" i="41"/>
  <c r="X1106" i="41"/>
  <c r="X1107" i="41"/>
  <c r="X1108" i="41"/>
  <c r="X1109" i="41"/>
  <c r="X1110" i="41"/>
  <c r="X1111" i="41"/>
  <c r="X1112" i="41"/>
  <c r="X1113" i="41"/>
  <c r="X1114" i="41"/>
  <c r="X1115" i="41"/>
  <c r="X1116" i="41"/>
  <c r="X1117" i="41"/>
  <c r="X1118" i="41"/>
  <c r="X1119" i="41"/>
  <c r="X1120" i="41"/>
  <c r="X1121" i="41"/>
  <c r="X1122" i="41"/>
  <c r="X1123" i="41"/>
  <c r="X1124" i="41"/>
  <c r="X1125" i="41"/>
  <c r="X1126" i="41"/>
  <c r="X1127" i="41"/>
  <c r="X1128" i="41"/>
  <c r="X1129" i="41"/>
  <c r="X1130" i="41"/>
  <c r="X1131" i="41"/>
  <c r="X1132" i="41"/>
  <c r="X1133" i="41"/>
  <c r="X1134" i="41"/>
  <c r="X1135" i="41"/>
  <c r="X1136" i="41"/>
  <c r="X1137" i="41"/>
  <c r="X1138" i="41"/>
  <c r="X1139" i="41"/>
  <c r="X1140" i="41"/>
  <c r="X1141" i="41"/>
  <c r="X1142" i="41"/>
  <c r="X1143" i="41"/>
  <c r="X1144" i="41"/>
  <c r="X1145" i="41"/>
  <c r="X1146" i="41"/>
  <c r="X1147" i="41"/>
  <c r="X1148" i="41"/>
  <c r="X1149" i="41"/>
  <c r="X1150" i="41"/>
  <c r="X1151" i="41"/>
  <c r="X1152" i="41"/>
  <c r="X1153" i="41"/>
  <c r="X1154" i="41"/>
  <c r="X1155" i="41"/>
  <c r="X1156" i="41"/>
  <c r="X1157" i="41"/>
  <c r="X1158" i="41"/>
  <c r="X1159" i="41"/>
  <c r="X1160" i="41"/>
  <c r="X1161" i="41"/>
  <c r="X1162" i="41"/>
  <c r="X1163" i="41"/>
  <c r="X1164" i="41"/>
  <c r="X1165" i="41"/>
  <c r="X1166" i="41"/>
  <c r="X1167" i="41"/>
  <c r="X1168" i="41"/>
  <c r="X1169" i="41"/>
  <c r="X1170" i="41"/>
  <c r="X1171" i="41"/>
  <c r="X1172" i="41"/>
  <c r="X1173" i="41"/>
  <c r="X1174" i="41"/>
  <c r="X1175" i="41"/>
  <c r="X1176" i="41"/>
  <c r="X1177" i="41"/>
  <c r="X1178" i="41"/>
  <c r="X1179" i="41"/>
  <c r="X1180" i="41"/>
  <c r="X1181" i="41"/>
  <c r="X1182" i="41"/>
  <c r="X1183" i="41"/>
  <c r="X1184" i="41"/>
  <c r="X1185" i="41"/>
  <c r="X1186" i="41"/>
  <c r="X1187" i="41"/>
  <c r="X1188" i="41"/>
  <c r="X1189" i="41"/>
  <c r="X1190" i="41"/>
  <c r="X1191" i="41"/>
  <c r="X1192" i="41"/>
  <c r="X1193" i="41"/>
  <c r="X1194" i="41"/>
  <c r="X1195" i="41"/>
  <c r="X1196" i="41"/>
  <c r="X1197" i="41"/>
  <c r="X1198" i="41"/>
  <c r="X1199" i="41"/>
  <c r="X1200" i="41"/>
  <c r="X1201" i="41"/>
  <c r="X1202" i="41"/>
  <c r="X1203" i="41"/>
  <c r="X1204" i="41"/>
  <c r="X1205" i="41"/>
  <c r="X1206" i="41"/>
  <c r="X1207" i="41"/>
  <c r="X1208" i="41"/>
  <c r="X1209" i="41"/>
  <c r="X1210" i="41"/>
  <c r="X1211" i="41"/>
  <c r="X1212" i="41"/>
  <c r="X1213" i="41"/>
  <c r="X1214" i="41"/>
  <c r="X1215" i="41"/>
  <c r="X1216" i="41"/>
  <c r="X1217" i="41"/>
  <c r="X1218" i="41"/>
  <c r="X1219" i="41"/>
  <c r="X1220" i="41"/>
  <c r="X1221" i="41"/>
  <c r="X1222" i="41"/>
  <c r="X1223" i="41"/>
  <c r="X1224" i="41"/>
  <c r="X1225" i="41"/>
  <c r="X1226" i="41"/>
  <c r="X1227" i="41"/>
  <c r="X1228" i="41"/>
  <c r="X1229" i="41"/>
  <c r="X1230" i="41"/>
  <c r="X1231" i="41"/>
  <c r="X1232" i="41"/>
  <c r="X1233" i="41"/>
  <c r="X1234" i="41"/>
  <c r="X1235" i="41"/>
  <c r="X1236" i="41"/>
  <c r="X1237" i="41"/>
  <c r="X1238" i="41"/>
  <c r="X1239" i="41"/>
  <c r="X1240" i="41"/>
  <c r="X1241" i="41"/>
  <c r="X1242" i="41"/>
  <c r="X1243" i="41"/>
  <c r="X1244" i="41"/>
  <c r="X1245" i="41"/>
  <c r="X1246" i="41"/>
  <c r="X1247" i="41"/>
  <c r="X1248" i="41"/>
  <c r="X1249" i="41"/>
  <c r="X1250" i="41"/>
  <c r="X1251" i="41"/>
  <c r="X1252" i="41"/>
  <c r="X1253" i="41"/>
  <c r="X1254" i="41"/>
  <c r="X1255" i="41"/>
  <c r="X1256" i="41"/>
  <c r="X1257" i="41"/>
  <c r="X1258" i="41"/>
  <c r="X1259" i="41"/>
  <c r="X1260" i="41"/>
  <c r="X1261" i="41"/>
  <c r="X1262" i="41"/>
  <c r="X1263" i="41"/>
  <c r="X1264" i="41"/>
  <c r="X1265" i="41"/>
  <c r="X1266" i="41"/>
  <c r="X1267" i="41"/>
  <c r="X1268" i="41"/>
  <c r="X1269" i="41"/>
  <c r="X1270" i="41"/>
  <c r="X1271" i="41"/>
  <c r="X1272" i="41"/>
  <c r="X1273" i="41"/>
  <c r="X1274" i="41"/>
  <c r="X1275" i="41"/>
  <c r="X1276" i="41"/>
  <c r="X1277" i="41"/>
  <c r="X1278" i="41"/>
  <c r="X1279" i="41"/>
  <c r="X1280" i="41"/>
  <c r="X1281" i="41"/>
  <c r="X1282" i="41"/>
  <c r="X1283" i="41"/>
  <c r="X1284" i="41"/>
  <c r="X1285" i="41"/>
  <c r="X1286" i="41"/>
  <c r="X1287" i="41"/>
  <c r="X1288" i="41"/>
  <c r="X1289" i="41"/>
  <c r="X1290" i="41"/>
  <c r="X1291" i="41"/>
  <c r="X1292" i="41"/>
  <c r="X1293" i="41"/>
  <c r="X1294" i="41"/>
  <c r="X1295" i="41"/>
  <c r="X1296" i="41"/>
  <c r="X1297" i="41"/>
  <c r="X1298" i="41"/>
  <c r="X1299" i="41"/>
  <c r="X1300" i="41"/>
  <c r="X1301" i="41"/>
  <c r="X1302" i="41"/>
  <c r="X1303" i="41"/>
  <c r="X1304" i="41"/>
  <c r="X1305" i="41"/>
  <c r="X1306" i="41"/>
  <c r="X1307" i="41"/>
  <c r="X1308" i="41"/>
  <c r="X1309" i="41"/>
  <c r="X1310" i="41"/>
  <c r="X1311" i="41"/>
  <c r="X1312" i="41"/>
  <c r="X1313" i="41"/>
  <c r="X1314" i="41"/>
  <c r="X1315" i="41"/>
  <c r="X1316" i="41"/>
  <c r="X1317" i="41"/>
  <c r="X1318" i="41"/>
  <c r="X1319" i="41"/>
  <c r="X1320" i="41"/>
  <c r="X1321" i="41"/>
  <c r="X1322" i="41"/>
  <c r="X1323" i="41"/>
  <c r="X1324" i="41"/>
  <c r="X1325" i="41"/>
  <c r="X1326" i="41"/>
  <c r="X1327" i="41"/>
  <c r="X1328" i="41"/>
  <c r="X1329" i="41"/>
  <c r="X1330" i="41"/>
  <c r="X1331" i="41"/>
  <c r="X1332" i="41"/>
  <c r="X1333" i="41"/>
  <c r="X1334" i="41"/>
  <c r="X1335" i="41"/>
  <c r="X1336" i="41"/>
  <c r="X1337" i="41"/>
  <c r="X1338" i="41"/>
  <c r="X1339" i="41"/>
  <c r="X1340" i="41"/>
  <c r="X1341" i="41"/>
  <c r="X1342" i="41"/>
  <c r="X1343" i="41"/>
  <c r="X1344" i="41"/>
  <c r="X1345" i="41"/>
  <c r="X1346" i="41"/>
  <c r="X1347" i="41"/>
  <c r="X1348" i="41"/>
  <c r="X1349" i="41"/>
  <c r="X1350" i="41"/>
  <c r="X1351" i="41"/>
  <c r="X1352" i="41"/>
  <c r="X1353" i="41"/>
  <c r="X1354" i="41"/>
  <c r="X1355" i="41"/>
  <c r="X1356" i="41"/>
  <c r="X1357" i="41"/>
  <c r="X1358" i="41"/>
  <c r="X1359" i="41"/>
  <c r="X1360" i="41"/>
  <c r="X1361" i="41"/>
  <c r="X1362" i="41"/>
  <c r="X1363" i="41"/>
  <c r="X1364" i="41"/>
  <c r="X1365" i="41"/>
  <c r="X1366" i="41"/>
  <c r="X1367" i="41"/>
  <c r="X1368" i="41"/>
  <c r="X1369" i="41"/>
  <c r="X1370" i="41"/>
  <c r="X1371" i="41"/>
  <c r="X1372" i="41"/>
  <c r="X1373" i="41"/>
  <c r="X1374" i="41"/>
  <c r="X1375" i="41"/>
  <c r="X1376" i="41"/>
  <c r="X1377" i="41"/>
  <c r="X1378" i="41"/>
  <c r="X1379" i="41"/>
  <c r="X1380" i="41"/>
  <c r="X1381" i="41"/>
  <c r="X1382" i="41"/>
  <c r="X1383" i="41"/>
  <c r="X1384" i="41"/>
  <c r="X1385" i="41"/>
  <c r="X1386" i="41"/>
  <c r="X1387" i="41"/>
  <c r="X1388" i="41"/>
  <c r="X1389" i="41"/>
  <c r="X1390" i="41"/>
  <c r="X1391" i="41"/>
  <c r="X1392" i="41"/>
  <c r="X1393" i="41"/>
  <c r="X1394" i="41"/>
  <c r="X1395" i="41"/>
  <c r="X1396" i="41"/>
  <c r="X1397" i="41"/>
  <c r="X1398" i="41"/>
  <c r="X1399" i="41"/>
  <c r="X1400" i="41"/>
  <c r="X1401" i="41"/>
  <c r="X1402" i="41"/>
  <c r="X1403" i="41"/>
  <c r="X1404" i="41"/>
  <c r="X1405" i="41"/>
  <c r="X1406" i="41"/>
  <c r="X1407" i="41"/>
  <c r="X1408" i="41"/>
  <c r="X1409" i="41"/>
  <c r="X1410" i="41"/>
  <c r="X1411" i="41"/>
  <c r="X1412" i="41"/>
  <c r="X1413" i="41"/>
  <c r="X1414" i="41"/>
  <c r="X1415" i="41"/>
  <c r="X1416" i="41"/>
  <c r="X1417" i="41"/>
  <c r="X1418" i="41"/>
  <c r="X1419" i="41"/>
  <c r="X1420" i="41"/>
  <c r="X1421" i="41"/>
  <c r="X1422" i="41"/>
  <c r="X1423" i="41"/>
  <c r="X1424" i="41"/>
  <c r="X1425" i="41"/>
  <c r="X1426" i="41"/>
  <c r="X1427" i="41"/>
  <c r="X1428" i="41"/>
  <c r="X1429" i="41"/>
  <c r="X1430" i="41"/>
  <c r="X1431" i="41"/>
  <c r="X1432" i="41"/>
  <c r="X1433" i="41"/>
  <c r="X1434" i="41"/>
  <c r="X1435" i="41"/>
  <c r="X1436" i="41"/>
  <c r="X1437" i="41"/>
  <c r="X1438" i="41"/>
  <c r="X1439" i="41"/>
  <c r="X1440" i="41"/>
  <c r="X1441" i="41"/>
  <c r="X1442" i="41"/>
  <c r="X1443" i="41"/>
  <c r="X1444" i="41"/>
  <c r="X1445" i="41"/>
  <c r="X1446" i="41"/>
  <c r="X1447" i="41"/>
  <c r="X1448" i="41"/>
  <c r="X1449" i="41"/>
  <c r="X1450" i="41"/>
  <c r="X1451" i="41"/>
  <c r="X1452" i="41"/>
  <c r="X1453" i="41"/>
  <c r="X1454" i="41"/>
  <c r="X1455" i="41"/>
  <c r="X1456" i="41"/>
  <c r="X1457" i="41"/>
  <c r="X1458" i="41"/>
  <c r="X1459" i="41"/>
  <c r="X1460" i="41"/>
  <c r="X1461" i="41"/>
  <c r="X1462" i="41"/>
  <c r="X1463" i="41"/>
  <c r="X1464" i="41"/>
  <c r="X1465" i="41"/>
  <c r="X1466" i="41"/>
  <c r="X1467" i="41"/>
  <c r="X1468" i="41"/>
  <c r="X1469" i="41"/>
  <c r="X1470" i="41"/>
  <c r="X1471" i="41"/>
  <c r="X1472" i="41"/>
  <c r="X1473" i="41"/>
  <c r="X1474" i="41"/>
  <c r="X1475" i="41"/>
  <c r="X1476" i="41"/>
  <c r="X1477" i="41"/>
  <c r="X1478" i="41"/>
  <c r="X1479" i="41"/>
  <c r="X1480" i="41"/>
  <c r="X1481" i="41"/>
  <c r="X1482" i="41"/>
  <c r="X1483" i="41"/>
  <c r="X1484" i="41"/>
  <c r="X1485" i="41"/>
  <c r="X1486" i="41"/>
  <c r="X1487" i="41"/>
  <c r="X1488" i="41"/>
  <c r="X1489" i="41"/>
  <c r="X1490" i="41"/>
  <c r="X1491" i="41"/>
  <c r="X1492" i="41"/>
  <c r="X1493" i="41"/>
  <c r="X1494" i="41"/>
  <c r="X1495" i="41"/>
  <c r="X1496" i="41"/>
  <c r="X1497" i="41"/>
  <c r="X1498" i="41"/>
  <c r="X1499" i="41"/>
  <c r="X1500" i="41"/>
  <c r="X1501" i="41"/>
  <c r="X1502" i="41"/>
  <c r="X1503" i="41"/>
  <c r="X1504" i="41"/>
  <c r="X1505" i="41"/>
  <c r="X1506" i="41"/>
  <c r="X1507" i="41"/>
  <c r="X1508" i="41"/>
  <c r="X1509" i="41"/>
  <c r="X1510" i="41"/>
  <c r="X1511" i="41"/>
  <c r="X1512" i="41"/>
  <c r="X1513" i="41"/>
  <c r="X1514" i="41"/>
  <c r="X1515" i="41"/>
  <c r="X1516" i="41"/>
  <c r="X1517" i="41"/>
  <c r="X1518" i="41"/>
  <c r="X1519" i="41"/>
  <c r="X1520" i="41"/>
  <c r="X1521" i="41"/>
  <c r="X1522" i="41"/>
  <c r="X1523" i="41"/>
  <c r="X1524" i="41"/>
  <c r="X1525" i="41"/>
  <c r="X1526" i="41"/>
  <c r="X1527" i="41"/>
  <c r="X1528" i="41"/>
  <c r="X1529" i="41"/>
  <c r="X1530" i="41"/>
  <c r="X1531" i="41"/>
  <c r="X1532" i="41"/>
  <c r="X1533" i="41"/>
  <c r="X1534" i="41"/>
  <c r="X1535" i="41"/>
  <c r="X1536" i="41"/>
  <c r="X1537" i="41"/>
  <c r="X1538" i="41"/>
  <c r="X1539" i="41"/>
  <c r="X1540" i="41"/>
  <c r="X1541" i="41"/>
  <c r="X1542" i="41"/>
  <c r="X1543" i="41"/>
  <c r="X1544" i="41"/>
  <c r="X1545" i="41"/>
  <c r="X1546" i="41"/>
  <c r="X1547" i="41"/>
  <c r="X1548" i="41"/>
  <c r="X1549" i="41"/>
  <c r="X1550" i="41"/>
  <c r="X1551" i="41"/>
  <c r="X1552" i="41"/>
  <c r="X1553" i="41"/>
  <c r="X1554" i="41"/>
  <c r="X1555" i="41"/>
  <c r="X1556" i="41"/>
  <c r="X1557" i="41"/>
  <c r="X1558" i="41"/>
  <c r="X1559" i="41"/>
  <c r="X1560" i="41"/>
  <c r="X1561" i="41"/>
  <c r="X1562" i="41"/>
  <c r="X1563" i="41"/>
  <c r="X1564" i="41"/>
  <c r="X1565" i="41"/>
  <c r="X1566" i="41"/>
  <c r="X1567" i="41"/>
  <c r="X1568" i="41"/>
  <c r="X1569" i="41"/>
  <c r="X1570" i="41"/>
  <c r="X1571" i="41"/>
  <c r="X1572" i="41"/>
  <c r="X1573" i="41"/>
  <c r="X1574" i="41"/>
  <c r="X1575" i="41"/>
  <c r="X1576" i="41"/>
  <c r="X1577" i="41"/>
  <c r="X1578" i="41"/>
  <c r="X1579" i="41"/>
  <c r="X1580" i="41"/>
  <c r="X1581" i="41"/>
  <c r="X1582" i="41"/>
  <c r="X1583" i="41"/>
  <c r="X1584" i="41"/>
  <c r="X1585" i="41"/>
  <c r="X1586" i="41"/>
  <c r="X1587" i="41"/>
  <c r="X1588" i="41"/>
  <c r="X1589" i="41"/>
  <c r="X1590" i="41"/>
  <c r="X1591" i="41"/>
  <c r="X1592" i="41"/>
  <c r="X1593" i="41"/>
  <c r="X1594" i="41"/>
  <c r="X1595" i="41"/>
  <c r="X1596" i="41"/>
  <c r="X1597" i="41"/>
  <c r="X1598" i="41"/>
  <c r="X1599" i="41"/>
  <c r="X1600" i="41"/>
  <c r="X1601" i="41"/>
  <c r="X1602" i="41"/>
  <c r="X1603" i="41"/>
  <c r="X1604" i="41"/>
  <c r="X1605" i="41"/>
  <c r="X1606" i="41"/>
  <c r="X1607" i="41"/>
  <c r="X1608" i="41"/>
  <c r="X1609" i="41"/>
  <c r="X1610" i="41"/>
  <c r="X1611" i="41"/>
  <c r="X1612" i="41"/>
  <c r="X1613" i="41"/>
  <c r="X1614" i="41"/>
  <c r="X1615" i="41"/>
  <c r="X1616" i="41"/>
  <c r="X1617" i="41"/>
  <c r="X1618" i="41"/>
  <c r="X1619" i="41"/>
  <c r="X1620" i="41"/>
  <c r="X1621" i="41"/>
  <c r="X1622" i="41"/>
  <c r="X1623" i="41"/>
  <c r="X1624" i="41"/>
  <c r="X1625" i="41"/>
  <c r="X1626" i="41"/>
  <c r="X1627" i="41"/>
  <c r="X1628" i="41"/>
  <c r="X1629" i="41"/>
  <c r="X1630" i="41"/>
  <c r="X1631" i="41"/>
  <c r="X1632" i="41"/>
  <c r="X1633" i="41"/>
  <c r="X1634" i="41"/>
  <c r="X1635" i="41"/>
  <c r="X1636" i="41"/>
  <c r="X1637" i="41"/>
  <c r="X1638" i="41"/>
  <c r="X1639" i="41"/>
  <c r="X1640" i="41"/>
  <c r="X1641" i="41"/>
  <c r="X1642" i="41"/>
  <c r="X1643" i="41"/>
  <c r="X1644" i="41"/>
  <c r="X1645" i="41"/>
  <c r="X1646" i="41"/>
  <c r="X1647" i="41"/>
  <c r="X1648" i="41"/>
  <c r="X1649" i="41"/>
  <c r="X1650" i="41"/>
  <c r="X1651" i="41"/>
  <c r="X1652" i="41"/>
  <c r="X1653" i="41"/>
  <c r="X1654" i="41"/>
  <c r="X1655" i="41"/>
  <c r="X1656" i="41"/>
  <c r="X1657" i="41"/>
  <c r="X1658" i="41"/>
  <c r="X1659" i="41"/>
  <c r="X1660" i="41"/>
  <c r="X1661" i="41"/>
  <c r="X1662" i="41"/>
  <c r="X1663" i="41"/>
  <c r="X1664" i="41"/>
  <c r="X1665" i="41"/>
  <c r="X1666" i="41"/>
  <c r="X1667" i="41"/>
  <c r="X1668" i="41"/>
  <c r="X1669" i="41"/>
  <c r="X1670" i="41"/>
  <c r="X1671" i="41"/>
  <c r="X1672" i="41"/>
  <c r="X1673" i="41"/>
  <c r="X1674" i="41"/>
  <c r="X1675" i="41"/>
  <c r="X1676" i="41"/>
  <c r="X1677" i="41"/>
  <c r="X1678" i="41"/>
  <c r="X1679" i="41"/>
  <c r="X1680" i="41"/>
  <c r="X1681" i="41"/>
  <c r="X1682" i="41"/>
  <c r="X1683" i="41"/>
  <c r="X1684" i="41"/>
  <c r="X1685" i="41"/>
  <c r="X1686" i="41"/>
  <c r="X1687" i="41"/>
  <c r="X1688" i="41"/>
  <c r="X1689" i="41"/>
  <c r="X1690" i="41"/>
  <c r="X1691" i="41"/>
  <c r="X1692" i="41"/>
  <c r="X1693" i="41"/>
  <c r="X1694" i="41"/>
  <c r="X1695" i="41"/>
  <c r="X1696" i="41"/>
  <c r="X1697" i="41"/>
  <c r="X1698" i="41"/>
  <c r="X1699" i="41"/>
  <c r="X1700" i="41"/>
  <c r="X1701" i="41"/>
  <c r="X1702" i="41"/>
  <c r="X1703" i="41"/>
  <c r="X1704" i="41"/>
  <c r="X1705" i="41"/>
  <c r="X1706" i="41"/>
  <c r="X1707" i="41"/>
  <c r="X1708" i="41"/>
  <c r="X1709" i="41"/>
  <c r="X1710" i="41"/>
  <c r="X1711" i="41"/>
  <c r="X1712" i="41"/>
  <c r="X1713" i="41"/>
  <c r="X1714" i="41"/>
  <c r="X1715" i="41"/>
  <c r="X1716" i="41"/>
  <c r="X1717" i="41"/>
  <c r="X1718" i="41"/>
  <c r="X1719" i="41"/>
  <c r="X1720" i="41"/>
  <c r="X1721" i="41"/>
  <c r="X1722" i="41"/>
  <c r="X1723" i="41"/>
  <c r="X1724" i="41"/>
  <c r="X1725" i="41"/>
  <c r="X1726" i="41"/>
  <c r="X1727" i="41"/>
  <c r="X1728" i="41"/>
  <c r="X1729" i="41"/>
  <c r="X1730" i="41"/>
  <c r="X1731" i="41"/>
  <c r="X1732" i="41"/>
  <c r="X1733" i="41"/>
  <c r="X1734" i="41"/>
  <c r="X1735" i="41"/>
  <c r="X1736" i="41"/>
  <c r="X1737" i="41"/>
  <c r="X1738" i="41"/>
  <c r="X1739" i="41"/>
  <c r="X1740" i="41"/>
  <c r="X1741" i="41"/>
  <c r="X1742" i="41"/>
  <c r="X1743" i="41"/>
  <c r="X1744" i="41"/>
  <c r="X1745" i="41"/>
  <c r="X1746" i="41"/>
  <c r="X1747" i="41"/>
  <c r="X1748" i="41"/>
  <c r="X1749" i="41"/>
  <c r="X1750" i="41"/>
  <c r="X1751" i="41"/>
  <c r="X1752" i="41"/>
  <c r="X1753" i="41"/>
  <c r="X1754" i="41"/>
  <c r="X1755" i="41"/>
  <c r="X1756" i="41"/>
  <c r="X1757" i="41"/>
  <c r="X1758" i="41"/>
  <c r="X1759" i="41"/>
  <c r="X1760" i="41"/>
  <c r="X1761" i="41"/>
  <c r="X1762" i="41"/>
  <c r="X1763" i="41"/>
  <c r="X1764" i="41"/>
  <c r="X1765" i="41"/>
  <c r="X1766" i="41"/>
  <c r="X1767" i="41"/>
  <c r="X1768" i="41"/>
  <c r="X1769" i="41"/>
  <c r="X1770" i="41"/>
  <c r="X1771" i="41"/>
  <c r="X1772" i="41"/>
  <c r="X1773" i="41"/>
  <c r="X1774" i="41"/>
  <c r="X1775" i="41"/>
  <c r="X1776" i="41"/>
  <c r="X1777" i="41"/>
  <c r="X1778" i="41"/>
  <c r="X1779" i="41"/>
  <c r="X1780" i="41"/>
  <c r="X1781" i="41"/>
  <c r="X1782" i="41"/>
  <c r="X1783" i="41"/>
  <c r="X1784" i="41"/>
  <c r="X1785" i="41"/>
  <c r="X1786" i="41"/>
  <c r="X1787" i="41"/>
  <c r="X1788" i="41"/>
  <c r="X1789" i="41"/>
  <c r="X1790" i="41"/>
  <c r="X1791" i="41"/>
  <c r="X1792" i="41"/>
  <c r="X1793" i="41"/>
  <c r="X1794" i="41"/>
  <c r="X1795" i="41"/>
  <c r="X1796" i="41"/>
  <c r="X1797" i="41"/>
  <c r="X1798" i="41"/>
  <c r="X1799" i="41"/>
  <c r="X1800" i="41"/>
  <c r="X1801" i="41"/>
  <c r="X1802" i="41"/>
  <c r="X1803" i="41"/>
  <c r="X1804" i="41"/>
  <c r="X1805" i="41"/>
  <c r="X1806" i="41"/>
  <c r="X1807" i="41"/>
  <c r="X1808" i="41"/>
  <c r="X1809" i="41"/>
  <c r="X1810" i="41"/>
  <c r="X1811" i="41"/>
  <c r="X1812" i="41"/>
  <c r="X1813" i="41"/>
  <c r="X1814" i="41"/>
  <c r="X1815" i="41"/>
  <c r="X1816" i="41"/>
  <c r="X1817" i="41"/>
  <c r="X1818" i="41"/>
  <c r="X1819" i="41"/>
  <c r="X1820" i="41"/>
  <c r="X1821" i="41"/>
  <c r="X1822" i="41"/>
  <c r="X1823" i="41"/>
  <c r="X1824" i="41"/>
  <c r="X1825" i="41"/>
  <c r="X1826" i="41"/>
  <c r="X1827" i="41"/>
  <c r="X1828" i="41"/>
  <c r="X1829" i="41"/>
  <c r="X1830" i="41"/>
  <c r="X1831" i="41"/>
  <c r="X1832" i="41"/>
  <c r="X1833" i="41"/>
  <c r="X1834" i="41"/>
  <c r="X1835" i="41"/>
  <c r="X1836" i="41"/>
  <c r="X1837" i="41"/>
  <c r="X1838" i="41"/>
  <c r="X1839" i="41"/>
  <c r="X1840" i="41"/>
  <c r="X1841" i="41"/>
  <c r="X1842" i="41"/>
  <c r="X1843" i="41"/>
  <c r="X1844" i="41"/>
  <c r="X1845" i="41"/>
  <c r="X1846" i="41"/>
  <c r="X1847" i="41"/>
  <c r="X1848" i="41"/>
  <c r="X1849" i="41"/>
  <c r="X1850" i="41"/>
  <c r="X1851" i="41"/>
  <c r="X1852" i="41"/>
  <c r="X1853" i="41"/>
  <c r="X1854" i="41"/>
  <c r="X1855" i="41"/>
  <c r="X1856" i="41"/>
  <c r="X1857" i="41"/>
  <c r="X1858" i="41"/>
  <c r="X1859" i="41"/>
  <c r="X1860" i="41"/>
  <c r="X1861" i="41"/>
  <c r="X1862" i="41"/>
  <c r="X1863" i="41"/>
  <c r="X1864" i="41"/>
  <c r="X1865" i="41"/>
  <c r="X1866" i="41"/>
  <c r="X1867" i="41"/>
  <c r="X1868" i="41"/>
  <c r="X1869" i="41"/>
  <c r="X1870" i="41"/>
  <c r="X1871" i="41"/>
  <c r="X1872" i="41"/>
  <c r="X1873" i="41"/>
  <c r="X1874" i="41"/>
  <c r="X1875" i="41"/>
  <c r="X1876" i="41"/>
  <c r="X1877" i="41"/>
  <c r="X1878" i="41"/>
  <c r="X1879" i="41"/>
  <c r="X1880" i="41"/>
  <c r="X1881" i="41"/>
  <c r="X1882" i="41"/>
  <c r="X1883" i="41"/>
  <c r="X1884" i="41"/>
  <c r="X1885" i="41"/>
  <c r="X1886" i="41"/>
  <c r="X1887" i="41"/>
  <c r="X1888" i="41"/>
  <c r="X1889" i="41"/>
  <c r="X1890" i="41"/>
  <c r="X1891" i="41"/>
  <c r="X1892" i="41"/>
  <c r="X1893" i="41"/>
  <c r="X1894" i="41"/>
  <c r="X1895" i="41"/>
  <c r="X1896" i="41"/>
  <c r="X1897" i="41"/>
  <c r="X1898" i="41"/>
  <c r="X1899" i="41"/>
  <c r="X1900" i="41"/>
  <c r="X1901" i="41"/>
  <c r="X1902" i="41"/>
  <c r="X1903" i="41"/>
  <c r="X1904" i="41"/>
  <c r="X1905" i="41"/>
  <c r="X1906" i="41"/>
  <c r="X1907" i="41"/>
  <c r="X1908" i="41"/>
  <c r="X1909" i="41"/>
  <c r="X1910" i="41"/>
  <c r="X1911" i="41"/>
  <c r="X1912" i="41"/>
  <c r="X1913" i="41"/>
  <c r="X1914" i="41"/>
  <c r="X1915" i="41"/>
  <c r="X1916" i="41"/>
  <c r="X1917" i="41"/>
  <c r="X1918" i="41"/>
  <c r="X1919" i="41"/>
  <c r="X1920" i="41"/>
  <c r="X1921" i="41"/>
  <c r="X1922" i="41"/>
  <c r="X1923" i="41"/>
  <c r="X1924" i="41"/>
  <c r="X1925" i="41"/>
  <c r="X1926" i="41"/>
  <c r="X1927" i="41"/>
  <c r="X1928" i="41"/>
  <c r="X1929" i="41"/>
  <c r="X1930" i="41"/>
  <c r="X1931" i="41"/>
  <c r="X1932" i="41"/>
  <c r="X1933" i="41"/>
  <c r="X1934" i="41"/>
  <c r="X1935" i="41"/>
  <c r="X1936" i="41"/>
  <c r="X1937" i="41"/>
  <c r="X1938" i="41"/>
  <c r="X1939" i="41"/>
  <c r="X1940" i="41"/>
  <c r="X1941" i="41"/>
  <c r="X1942" i="41"/>
  <c r="X1943" i="41"/>
  <c r="X1944" i="41"/>
  <c r="X1945" i="41"/>
  <c r="X1946" i="41"/>
  <c r="X1947" i="41"/>
  <c r="X1948" i="41"/>
  <c r="X1949" i="41"/>
  <c r="X1950" i="41"/>
  <c r="X1951" i="41"/>
  <c r="X1952" i="41"/>
  <c r="X1953" i="41"/>
  <c r="X1954" i="41"/>
  <c r="X1955" i="41"/>
  <c r="X1956" i="41"/>
  <c r="X1957" i="41"/>
  <c r="X1958" i="41"/>
  <c r="X1959" i="41"/>
  <c r="X1960" i="41"/>
  <c r="X1961" i="41"/>
  <c r="X1962" i="41"/>
  <c r="X1963" i="41"/>
  <c r="X1964" i="41"/>
  <c r="X1965" i="41"/>
  <c r="X1966" i="41"/>
  <c r="X1967" i="41"/>
  <c r="X1968" i="41"/>
  <c r="X1969" i="41"/>
  <c r="X1970" i="41"/>
  <c r="X1971" i="41"/>
  <c r="X1972" i="41"/>
  <c r="X1973" i="41"/>
  <c r="X1974" i="41"/>
  <c r="X1975" i="41"/>
  <c r="X1976" i="41"/>
  <c r="X1977" i="41"/>
  <c r="X1978" i="41"/>
  <c r="X1979" i="41"/>
  <c r="X1980" i="41"/>
  <c r="X1981" i="41"/>
  <c r="X1982" i="41"/>
  <c r="X1983" i="41"/>
  <c r="X1984" i="41"/>
  <c r="X1985" i="41"/>
  <c r="X1986" i="41"/>
  <c r="X1987" i="41"/>
  <c r="X1988" i="41"/>
  <c r="X1989" i="41"/>
  <c r="X1990" i="41"/>
  <c r="X1991" i="41"/>
  <c r="X1992" i="41"/>
  <c r="X1993" i="41"/>
  <c r="X1994" i="41"/>
  <c r="X1995" i="41"/>
  <c r="X1996" i="41"/>
  <c r="X1997" i="41"/>
  <c r="X1998" i="41"/>
  <c r="X1999" i="41"/>
  <c r="X2000" i="41"/>
  <c r="X2001" i="41"/>
  <c r="X2002" i="41"/>
  <c r="X2003" i="41"/>
  <c r="X2004" i="41"/>
  <c r="X2005" i="41"/>
  <c r="X2006" i="41"/>
  <c r="X2007" i="41"/>
  <c r="X2008" i="41"/>
  <c r="X2009" i="41"/>
  <c r="X2010" i="41"/>
  <c r="X2011" i="41"/>
  <c r="X2012" i="41"/>
  <c r="X2013" i="41"/>
  <c r="X2014" i="41"/>
  <c r="X2015" i="41"/>
  <c r="X2016" i="41"/>
  <c r="X2017" i="41"/>
  <c r="X2018" i="41"/>
  <c r="X2019" i="41"/>
  <c r="X2020" i="41"/>
  <c r="X2021" i="41"/>
  <c r="X2022" i="41"/>
  <c r="X2023" i="41"/>
  <c r="X2024" i="41"/>
  <c r="X2025" i="41"/>
  <c r="X2026" i="41"/>
  <c r="X2027" i="41"/>
  <c r="X2028" i="41"/>
  <c r="X2029" i="41"/>
  <c r="X2030" i="41"/>
  <c r="X2031" i="41"/>
  <c r="X2032" i="41"/>
  <c r="X2033" i="41"/>
  <c r="X2034" i="41"/>
  <c r="X2035" i="41"/>
  <c r="X2036" i="41"/>
  <c r="X2037" i="41"/>
  <c r="X2038" i="41"/>
  <c r="X2039" i="41"/>
  <c r="X2040" i="41"/>
  <c r="X2041" i="41"/>
  <c r="X2042" i="41"/>
  <c r="X2043" i="41"/>
  <c r="X2044" i="41"/>
  <c r="X2045" i="41"/>
  <c r="X2046" i="41"/>
  <c r="X2047" i="41"/>
  <c r="X2048" i="41"/>
  <c r="X2049" i="41"/>
  <c r="X2050" i="41"/>
  <c r="X2051" i="41"/>
  <c r="X2052" i="41"/>
  <c r="X2053" i="41"/>
  <c r="X2054" i="41"/>
  <c r="X2055" i="41"/>
  <c r="X2056" i="41"/>
  <c r="X2057" i="41"/>
  <c r="X2058" i="41"/>
  <c r="X2059" i="41"/>
  <c r="X2060" i="41"/>
  <c r="X2061" i="41"/>
  <c r="X2062" i="41"/>
  <c r="X2063" i="41"/>
  <c r="X2064" i="41"/>
  <c r="X2065" i="41"/>
  <c r="X2066" i="41"/>
  <c r="X2067" i="41"/>
  <c r="X2068" i="41"/>
  <c r="X2069" i="41"/>
  <c r="X2070" i="41"/>
  <c r="X2071" i="41"/>
  <c r="X2072" i="41"/>
  <c r="X2073" i="41"/>
  <c r="X2074" i="41"/>
  <c r="X2075" i="41"/>
  <c r="X2076" i="41"/>
  <c r="X2077" i="41"/>
  <c r="X2078" i="41"/>
  <c r="X2079" i="41"/>
  <c r="X2080" i="41"/>
  <c r="X2081" i="41"/>
  <c r="X2082" i="41"/>
  <c r="X2083" i="41"/>
  <c r="X2084" i="41"/>
  <c r="X2085" i="41"/>
  <c r="X2086" i="41"/>
  <c r="X2087" i="41"/>
  <c r="X2088" i="41"/>
  <c r="X2089" i="41"/>
  <c r="X2090" i="41"/>
  <c r="X2091" i="41"/>
  <c r="X2092" i="41"/>
  <c r="X2093" i="41"/>
  <c r="X2094" i="41"/>
  <c r="X2095" i="41"/>
  <c r="X2096" i="41"/>
  <c r="X2097" i="41"/>
  <c r="X2098" i="41"/>
  <c r="X2099" i="41"/>
  <c r="X2100" i="41"/>
  <c r="X2101" i="41"/>
  <c r="X2102" i="41"/>
  <c r="X2103" i="41"/>
  <c r="X2104" i="41"/>
  <c r="X2105" i="41"/>
  <c r="X2106" i="41"/>
  <c r="X2107" i="41"/>
  <c r="X2108" i="41"/>
  <c r="X2109" i="41"/>
  <c r="X2110" i="41"/>
  <c r="X2111" i="41"/>
  <c r="X2112" i="41"/>
  <c r="X2113" i="41"/>
  <c r="X2114" i="41"/>
  <c r="X2115" i="41"/>
  <c r="X2116" i="41"/>
  <c r="X2117" i="41"/>
  <c r="X2118" i="41"/>
  <c r="X2119" i="41"/>
  <c r="X2120" i="41"/>
  <c r="X2121" i="41"/>
  <c r="X2122" i="41"/>
  <c r="X2123" i="41"/>
  <c r="X2124" i="41"/>
  <c r="X2125" i="41"/>
  <c r="X2126" i="41"/>
  <c r="X2127" i="41"/>
  <c r="X2128" i="41"/>
  <c r="X2129" i="41"/>
  <c r="X2130" i="41"/>
  <c r="X2131" i="41"/>
  <c r="X2132" i="41"/>
  <c r="X2133" i="41"/>
  <c r="X2134" i="41"/>
  <c r="X2135" i="41"/>
  <c r="X2136" i="41"/>
  <c r="X2137" i="41"/>
  <c r="X2138" i="41"/>
  <c r="X2139" i="41"/>
  <c r="X2140" i="41"/>
  <c r="X2141" i="41"/>
  <c r="X2142" i="41"/>
  <c r="X2143" i="41"/>
  <c r="X2144" i="41"/>
  <c r="X2145" i="41"/>
  <c r="X2146" i="41"/>
  <c r="X2147" i="41"/>
  <c r="X2148" i="41"/>
  <c r="X2149" i="41"/>
  <c r="X2150" i="41"/>
  <c r="X2151" i="41"/>
  <c r="X2152" i="41"/>
  <c r="X2153" i="41"/>
  <c r="X2154" i="41"/>
  <c r="X2155" i="41"/>
  <c r="X2156" i="41"/>
  <c r="X2157" i="41"/>
  <c r="X2158" i="41"/>
  <c r="X2159" i="41"/>
  <c r="X2160" i="41"/>
  <c r="X2161" i="41"/>
  <c r="X2162" i="41"/>
  <c r="X2163" i="41"/>
  <c r="X2164" i="41"/>
  <c r="X2165" i="41"/>
  <c r="X2166" i="41"/>
  <c r="X2167" i="41"/>
  <c r="X2168" i="41"/>
  <c r="X2169" i="41"/>
  <c r="X2170" i="41"/>
  <c r="X2171" i="41"/>
  <c r="X2172" i="41"/>
  <c r="X2173" i="41"/>
  <c r="X2174" i="41"/>
  <c r="X2175" i="41"/>
  <c r="X2176" i="41"/>
  <c r="X2177" i="41"/>
  <c r="X2178" i="41"/>
  <c r="X2179" i="41"/>
  <c r="X2180" i="41"/>
  <c r="X2181" i="41"/>
  <c r="X2182" i="41"/>
  <c r="X2183" i="41"/>
  <c r="X2184" i="41"/>
  <c r="X2185" i="41"/>
  <c r="X2186" i="41"/>
  <c r="X2187" i="41"/>
  <c r="X2188" i="41"/>
  <c r="X2189" i="41"/>
  <c r="X2190" i="41"/>
  <c r="X2191" i="41"/>
  <c r="X2192" i="41"/>
  <c r="X2193" i="41"/>
  <c r="X2194" i="41"/>
  <c r="X2195" i="41"/>
  <c r="X2196" i="41"/>
  <c r="X2197" i="41"/>
  <c r="X2198" i="41"/>
  <c r="X2199" i="41"/>
  <c r="X2200" i="41"/>
  <c r="X2201" i="41"/>
  <c r="X2202" i="41"/>
  <c r="X2203" i="41"/>
  <c r="X2204" i="41"/>
  <c r="X2205" i="41"/>
  <c r="X2206" i="41"/>
  <c r="X2207" i="41"/>
  <c r="X2208" i="41"/>
  <c r="X2209" i="41"/>
  <c r="X2210" i="41"/>
  <c r="X2211" i="41"/>
  <c r="X2212" i="41"/>
  <c r="X2213" i="41"/>
  <c r="X2214" i="41"/>
  <c r="X2215" i="41"/>
  <c r="X2216" i="41"/>
  <c r="X2217" i="41"/>
  <c r="X2218" i="41"/>
  <c r="X2219" i="41"/>
  <c r="X2220" i="41"/>
  <c r="X2221" i="41"/>
  <c r="X2222" i="41"/>
  <c r="X2223" i="41"/>
  <c r="X2224" i="41"/>
  <c r="X2225" i="41"/>
  <c r="X2226" i="41"/>
  <c r="X2227" i="41"/>
  <c r="X2228" i="41"/>
  <c r="X2229" i="41"/>
  <c r="X2230" i="41"/>
  <c r="X2231" i="41"/>
  <c r="X2232" i="41"/>
  <c r="X2233" i="41"/>
  <c r="X2234" i="41"/>
  <c r="X2235" i="41"/>
  <c r="X2236" i="41"/>
  <c r="X2237" i="41"/>
  <c r="X2238" i="41"/>
  <c r="X2239" i="41"/>
  <c r="X2240" i="41"/>
  <c r="X2241" i="41"/>
  <c r="X2242" i="41"/>
  <c r="X2243" i="41"/>
  <c r="X2244" i="41"/>
  <c r="X2245" i="41"/>
  <c r="X2246" i="41"/>
  <c r="X2247" i="41"/>
  <c r="X2248" i="41"/>
  <c r="X2249" i="41"/>
  <c r="X2250" i="41"/>
  <c r="X2251" i="41"/>
  <c r="X2252" i="41"/>
  <c r="X2253" i="41"/>
  <c r="X2254" i="41"/>
  <c r="X2255" i="41"/>
  <c r="X2256" i="41"/>
  <c r="X2257" i="41"/>
  <c r="X2258" i="41"/>
  <c r="X2259" i="41"/>
  <c r="X2260" i="41"/>
  <c r="X2261" i="41"/>
  <c r="X2262" i="41"/>
  <c r="X2263" i="41"/>
  <c r="X2264" i="41"/>
  <c r="X2265" i="41"/>
  <c r="X2266" i="41"/>
  <c r="X2267" i="41"/>
  <c r="X2268" i="41"/>
  <c r="X2269" i="41"/>
  <c r="X2270" i="41"/>
  <c r="X2271" i="41"/>
  <c r="X2272" i="41"/>
  <c r="X2273" i="41"/>
  <c r="X2274" i="41"/>
  <c r="X2275" i="41"/>
  <c r="X2276" i="41"/>
  <c r="X2277" i="41"/>
  <c r="X2278" i="41"/>
  <c r="X2279" i="41"/>
  <c r="X2280" i="41"/>
  <c r="X2281" i="41"/>
  <c r="X2282" i="41"/>
  <c r="X2283" i="41"/>
  <c r="X2284" i="41"/>
  <c r="X2285" i="41"/>
  <c r="X2286" i="41"/>
  <c r="X2287" i="41"/>
  <c r="X2288" i="41"/>
  <c r="X2289" i="41"/>
  <c r="X2290" i="41"/>
  <c r="X2291" i="41"/>
  <c r="X2292" i="41"/>
  <c r="X2293" i="41"/>
  <c r="X2294" i="41"/>
  <c r="X2295" i="41"/>
  <c r="X2296" i="41"/>
  <c r="X2297" i="41"/>
  <c r="X2298" i="41"/>
  <c r="X2299" i="41"/>
  <c r="X2300" i="41"/>
  <c r="X2301" i="41"/>
  <c r="X2302" i="41"/>
  <c r="X2303" i="41"/>
  <c r="X2304" i="41"/>
  <c r="X2305" i="41"/>
  <c r="X2306" i="41"/>
  <c r="X2307" i="41"/>
  <c r="X2308" i="41"/>
  <c r="X2309" i="41"/>
  <c r="X2310" i="41"/>
  <c r="X2311" i="41"/>
  <c r="X2312" i="41"/>
  <c r="X2313" i="41"/>
  <c r="X2314" i="41"/>
  <c r="X2315" i="41"/>
  <c r="X2316" i="41"/>
  <c r="X2317" i="41"/>
  <c r="X2318" i="41"/>
  <c r="X2319" i="41"/>
  <c r="X2320" i="41"/>
  <c r="X2321" i="41"/>
  <c r="X2322" i="41"/>
  <c r="X2323" i="41"/>
  <c r="X2324" i="41"/>
  <c r="X2325" i="41"/>
  <c r="X2326" i="41"/>
  <c r="X2327" i="41"/>
  <c r="X2328" i="41"/>
  <c r="X2329" i="41"/>
  <c r="X2330" i="41"/>
  <c r="X2331" i="41"/>
  <c r="X2332" i="41"/>
  <c r="X2333" i="41"/>
  <c r="X2334" i="41"/>
  <c r="X2335" i="41"/>
  <c r="X2336" i="41"/>
  <c r="X2337" i="41"/>
  <c r="X2338" i="41"/>
  <c r="X2339" i="41"/>
  <c r="X2340" i="41"/>
  <c r="X2341" i="41"/>
  <c r="X2342" i="41"/>
  <c r="X2343" i="41"/>
  <c r="X2344" i="41"/>
  <c r="X2345" i="41"/>
  <c r="X2346" i="41"/>
  <c r="X2347" i="41"/>
  <c r="X2348" i="41"/>
  <c r="X2349" i="41"/>
  <c r="X2350" i="41"/>
  <c r="X2351" i="41"/>
  <c r="X2352" i="41"/>
  <c r="X2353" i="41"/>
  <c r="X2354" i="41"/>
  <c r="X2355" i="41"/>
  <c r="X2356" i="41"/>
  <c r="X2357" i="41"/>
  <c r="X2358" i="41"/>
  <c r="X2359" i="41"/>
  <c r="X2360" i="41"/>
  <c r="X2361" i="41"/>
  <c r="X2362" i="41"/>
  <c r="X2363" i="41"/>
  <c r="X2364" i="41"/>
  <c r="X2365" i="41"/>
  <c r="X2366" i="41"/>
  <c r="X2367" i="41"/>
  <c r="X2368" i="41"/>
  <c r="X2369" i="41"/>
  <c r="X2370" i="41"/>
  <c r="X2371" i="41"/>
  <c r="X2372" i="41"/>
  <c r="X2373" i="41"/>
  <c r="X2374" i="41"/>
  <c r="X2375" i="41"/>
  <c r="X2376" i="41"/>
  <c r="X2377" i="41"/>
  <c r="X2378" i="41"/>
  <c r="X2379" i="41"/>
  <c r="X2380" i="41"/>
  <c r="X2381" i="41"/>
  <c r="X2382" i="41"/>
  <c r="X2383" i="41"/>
  <c r="X2384" i="41"/>
  <c r="X2385" i="41"/>
  <c r="X2386" i="41"/>
  <c r="X2387" i="41"/>
  <c r="X2388" i="41"/>
  <c r="X2389" i="41"/>
  <c r="X2390" i="41"/>
  <c r="X2391" i="41"/>
  <c r="X2392" i="41"/>
  <c r="X2393" i="41"/>
  <c r="X2394" i="41"/>
  <c r="X2395" i="41"/>
  <c r="X2396" i="41"/>
  <c r="X2397" i="41"/>
  <c r="X2398" i="41"/>
  <c r="X2399" i="41"/>
  <c r="X2400" i="41"/>
  <c r="X2401" i="41"/>
  <c r="X2402" i="41"/>
  <c r="X2403" i="41"/>
  <c r="X2404" i="41"/>
  <c r="X2405" i="41"/>
  <c r="X2406" i="41"/>
  <c r="X2407" i="41"/>
  <c r="X2408" i="41"/>
  <c r="X2409" i="41"/>
  <c r="X2410" i="41"/>
  <c r="X2411" i="41"/>
  <c r="X2412" i="41"/>
  <c r="X2413" i="41"/>
  <c r="X2414" i="41"/>
  <c r="X2415" i="41"/>
  <c r="X2416" i="41"/>
  <c r="X2417" i="41"/>
  <c r="X2418" i="41"/>
  <c r="X2419" i="41"/>
  <c r="X2420" i="41"/>
  <c r="X2421" i="41"/>
  <c r="X2422" i="41"/>
  <c r="X2423" i="41"/>
  <c r="X2424" i="41"/>
  <c r="X2425" i="41"/>
  <c r="X2426" i="41"/>
  <c r="X2427" i="41"/>
  <c r="X2428" i="41"/>
  <c r="X2429" i="41"/>
  <c r="X2430" i="41"/>
  <c r="X2431" i="41"/>
  <c r="X2432" i="41"/>
  <c r="X2433" i="41"/>
  <c r="X2434" i="41"/>
  <c r="X2435" i="41"/>
  <c r="X2436" i="41"/>
  <c r="X2437" i="41"/>
  <c r="X2438" i="41"/>
  <c r="X2439" i="41"/>
  <c r="X2440" i="41"/>
  <c r="X2441" i="41"/>
  <c r="X2442" i="41"/>
  <c r="X2443" i="41"/>
  <c r="X2444" i="41"/>
  <c r="X2445" i="41"/>
  <c r="X2446" i="41"/>
  <c r="X2447" i="41"/>
  <c r="X2448" i="41"/>
  <c r="X2449" i="41"/>
  <c r="X2450" i="41"/>
  <c r="X2451" i="41"/>
  <c r="X2452" i="41"/>
  <c r="X2453" i="41"/>
  <c r="X2454" i="41"/>
  <c r="X2455" i="41"/>
  <c r="X2456" i="41"/>
  <c r="X2457" i="41"/>
  <c r="X2458" i="41"/>
  <c r="X2459" i="41"/>
  <c r="X2460" i="41"/>
  <c r="X2461" i="41"/>
  <c r="X2462" i="41"/>
  <c r="X2463" i="41"/>
  <c r="X2464" i="41"/>
  <c r="X2465" i="41"/>
  <c r="X2466" i="41"/>
  <c r="X2467" i="41"/>
  <c r="X2468" i="41"/>
  <c r="X2469" i="41"/>
  <c r="X2470" i="41"/>
  <c r="X2471" i="41"/>
  <c r="X2472" i="41"/>
  <c r="X2473" i="41"/>
  <c r="X2474" i="41"/>
  <c r="X2475" i="41"/>
  <c r="X2476" i="41"/>
  <c r="X2477" i="41"/>
  <c r="X2478" i="41"/>
  <c r="X2479" i="41"/>
  <c r="X2480" i="41"/>
  <c r="X2481" i="41"/>
  <c r="X2482" i="41"/>
  <c r="X2483" i="41"/>
  <c r="X2484" i="41"/>
  <c r="X2485" i="41"/>
  <c r="X2486" i="41"/>
  <c r="X2487" i="41"/>
  <c r="X2488" i="41"/>
  <c r="X2489" i="41"/>
  <c r="X2490" i="41"/>
  <c r="X2491" i="41"/>
  <c r="X2492" i="41"/>
  <c r="X2493" i="41"/>
  <c r="X2494" i="41"/>
  <c r="X2495" i="41"/>
  <c r="X2496" i="41"/>
  <c r="X2497" i="41"/>
  <c r="X2498" i="41"/>
  <c r="X2499" i="41"/>
  <c r="X2500" i="41"/>
  <c r="X2501" i="41"/>
  <c r="X2502" i="41"/>
  <c r="X2503" i="41"/>
  <c r="X2504" i="41"/>
  <c r="X2505" i="41"/>
  <c r="X2506" i="41"/>
  <c r="X2507" i="41"/>
  <c r="X2508" i="41"/>
  <c r="X2509" i="41"/>
  <c r="X2510" i="41"/>
  <c r="X2511" i="41"/>
  <c r="X2512" i="41"/>
  <c r="X2513" i="41"/>
  <c r="X2514" i="41"/>
  <c r="X2515" i="41"/>
  <c r="X2516" i="41"/>
  <c r="X2517" i="41"/>
  <c r="X2518" i="41"/>
  <c r="X2519" i="41"/>
  <c r="X2520" i="41"/>
  <c r="X2521" i="41"/>
  <c r="X2522" i="41"/>
  <c r="X2523" i="41"/>
  <c r="X2524" i="41"/>
  <c r="X2525" i="41"/>
  <c r="X2526" i="41"/>
  <c r="X2527" i="41"/>
  <c r="X2528" i="41"/>
  <c r="X2529" i="41"/>
  <c r="X2530" i="41"/>
  <c r="X2531" i="41"/>
  <c r="X2532" i="41"/>
  <c r="X2533" i="41"/>
  <c r="X2534" i="41"/>
  <c r="X2535" i="41"/>
  <c r="X2536" i="41"/>
  <c r="X2537" i="41"/>
  <c r="X2538" i="41"/>
  <c r="X2539" i="41"/>
  <c r="X2540" i="41"/>
  <c r="X2541" i="41"/>
  <c r="X2542" i="41"/>
  <c r="X2543" i="41"/>
  <c r="X2544" i="41"/>
  <c r="X2545" i="41"/>
  <c r="X2546" i="41"/>
  <c r="X2547" i="41"/>
  <c r="X2548" i="41"/>
  <c r="X2549" i="41"/>
  <c r="X2550" i="41"/>
  <c r="X2551" i="41"/>
  <c r="X2552" i="41"/>
  <c r="X2553" i="41"/>
  <c r="X2554" i="41"/>
  <c r="X2555" i="41"/>
  <c r="X2556" i="41"/>
  <c r="X2557" i="41"/>
  <c r="X2558" i="41"/>
  <c r="X2559" i="41"/>
  <c r="X2560" i="41"/>
  <c r="X2561" i="41"/>
  <c r="X2562" i="41"/>
  <c r="X2563" i="41"/>
  <c r="X2564" i="41"/>
  <c r="X2565" i="41"/>
  <c r="X2566" i="41"/>
  <c r="X2567" i="41"/>
  <c r="X2568" i="41"/>
  <c r="X2569" i="41"/>
  <c r="X2570" i="41"/>
  <c r="X2571" i="41"/>
  <c r="X2572" i="41"/>
  <c r="X2573" i="41"/>
  <c r="X2574" i="41"/>
  <c r="X2575" i="41"/>
  <c r="X2576" i="41"/>
  <c r="X2577" i="41"/>
  <c r="X2578" i="41"/>
  <c r="X2579" i="41"/>
  <c r="X2580" i="41"/>
  <c r="X2581" i="41"/>
  <c r="X2582" i="41"/>
  <c r="X2583" i="41"/>
  <c r="X2584" i="41"/>
  <c r="X2585" i="41"/>
  <c r="X2586" i="41"/>
  <c r="X2587" i="41"/>
  <c r="X2588" i="41"/>
  <c r="X2589" i="41"/>
  <c r="X2590" i="41"/>
  <c r="X2591" i="41"/>
  <c r="X2592" i="41"/>
  <c r="X2593" i="41"/>
  <c r="X2594" i="41"/>
  <c r="X2595" i="41"/>
  <c r="X2596" i="41"/>
  <c r="X2597" i="41"/>
  <c r="X2598" i="41"/>
  <c r="X2599" i="41"/>
  <c r="X2600" i="41"/>
  <c r="X2601" i="41"/>
  <c r="X2602" i="41"/>
  <c r="X2603" i="41"/>
  <c r="X2604" i="41"/>
  <c r="X2605" i="41"/>
  <c r="X2606" i="41"/>
  <c r="X2607" i="41"/>
  <c r="X2608" i="41"/>
  <c r="X2609" i="41"/>
  <c r="X2610" i="41"/>
  <c r="X2611" i="41"/>
  <c r="X2612" i="41"/>
  <c r="X2613" i="41"/>
  <c r="X2614" i="41"/>
  <c r="X2615" i="41"/>
  <c r="X2616" i="41"/>
  <c r="X2617" i="41"/>
  <c r="X2618" i="41"/>
  <c r="X2619" i="41"/>
  <c r="X2620" i="41"/>
  <c r="X2621" i="41"/>
  <c r="X2622" i="41"/>
  <c r="X2623" i="41"/>
  <c r="X2624" i="41"/>
  <c r="X2625" i="41"/>
  <c r="X2626" i="41"/>
  <c r="X2627" i="41"/>
  <c r="X2628" i="41"/>
  <c r="X2629" i="41"/>
  <c r="X2630" i="41"/>
  <c r="X2631" i="41"/>
  <c r="X2632" i="41"/>
  <c r="X2633" i="41"/>
  <c r="X2634" i="41"/>
  <c r="X2635" i="41"/>
  <c r="X2636" i="41"/>
  <c r="X2637" i="41"/>
  <c r="X2638" i="41"/>
  <c r="X2639" i="41"/>
  <c r="X2640" i="41"/>
  <c r="X2641" i="41"/>
  <c r="X2642" i="41"/>
  <c r="X2643" i="41"/>
  <c r="X2644" i="41"/>
  <c r="X2645" i="41"/>
  <c r="X2646" i="41"/>
  <c r="X2647" i="41"/>
  <c r="X2648" i="41"/>
  <c r="X2649" i="41"/>
  <c r="X2650" i="41"/>
  <c r="X2651" i="41"/>
  <c r="X2652" i="41"/>
  <c r="X2653" i="41"/>
  <c r="X2654" i="41"/>
  <c r="X2655" i="41"/>
  <c r="X2656" i="41"/>
  <c r="X2657" i="41"/>
  <c r="X2658" i="41"/>
  <c r="X2659" i="41"/>
  <c r="X2660" i="41"/>
  <c r="X2661" i="41"/>
  <c r="X2662" i="41"/>
  <c r="X2663" i="41"/>
  <c r="X2664" i="41"/>
  <c r="X2665" i="41"/>
  <c r="X2666" i="41"/>
  <c r="X2667" i="41"/>
  <c r="X2668" i="41"/>
  <c r="X2669" i="41"/>
  <c r="X2670" i="41"/>
  <c r="X2671" i="41"/>
  <c r="X2672" i="41"/>
  <c r="X2673" i="41"/>
  <c r="X2674" i="41"/>
  <c r="X2675" i="41"/>
  <c r="X2676" i="41"/>
  <c r="X2677" i="41"/>
  <c r="X2678" i="41"/>
  <c r="X2679" i="41"/>
  <c r="X2680" i="41"/>
  <c r="X2681" i="41"/>
  <c r="X2682" i="41"/>
  <c r="X2683" i="41"/>
  <c r="X2684" i="41"/>
  <c r="X2685" i="41"/>
  <c r="X2686" i="41"/>
  <c r="X2687" i="41"/>
  <c r="X2688" i="41"/>
  <c r="X2689" i="41"/>
  <c r="X2690" i="41"/>
  <c r="X2691" i="41"/>
  <c r="X2692" i="41"/>
  <c r="X2693" i="41"/>
  <c r="X2694" i="41"/>
  <c r="X2695" i="41"/>
  <c r="X2696" i="41"/>
  <c r="X2697" i="41"/>
  <c r="X2698" i="41"/>
  <c r="X2699" i="41"/>
  <c r="X2700" i="41"/>
  <c r="X2701" i="41"/>
  <c r="X2702" i="41"/>
  <c r="X2703" i="41"/>
  <c r="X2704" i="41"/>
  <c r="X2705" i="41"/>
  <c r="X2706" i="41"/>
  <c r="X2707" i="41"/>
  <c r="X2708" i="41"/>
  <c r="X2709" i="41"/>
  <c r="X2710" i="41"/>
  <c r="X2711" i="41"/>
  <c r="X2712" i="41"/>
  <c r="X2713" i="41"/>
  <c r="X2714" i="41"/>
  <c r="X2715" i="41"/>
  <c r="X2716" i="41"/>
  <c r="X2717" i="41"/>
  <c r="X2718" i="41"/>
  <c r="X2719" i="41"/>
  <c r="X2720" i="41"/>
  <c r="X2721" i="41"/>
  <c r="X2722" i="41"/>
  <c r="X2723" i="41"/>
  <c r="X2724" i="41"/>
  <c r="X2725" i="41"/>
  <c r="X2726" i="41"/>
  <c r="X2727" i="41"/>
  <c r="X2728" i="41"/>
  <c r="X2729" i="41"/>
  <c r="X2730" i="41"/>
  <c r="X2731" i="41"/>
  <c r="X2732" i="41"/>
  <c r="X2733" i="41"/>
  <c r="X2734" i="41"/>
  <c r="X2735" i="41"/>
  <c r="X2736" i="41"/>
  <c r="X2737" i="41"/>
  <c r="X2738" i="41"/>
  <c r="X2739" i="41"/>
  <c r="X2740" i="41"/>
  <c r="X2741" i="41"/>
  <c r="X2742" i="41"/>
  <c r="X2743" i="41"/>
  <c r="X2744" i="41"/>
  <c r="X2745" i="41"/>
  <c r="X2746" i="41"/>
  <c r="X2747" i="41"/>
  <c r="X2748" i="41"/>
  <c r="X2749" i="41"/>
  <c r="X2750" i="41"/>
  <c r="X2751" i="41"/>
  <c r="X2752" i="41"/>
  <c r="X2753" i="41"/>
  <c r="X2754" i="41"/>
  <c r="X2755" i="41"/>
  <c r="X2756" i="41"/>
  <c r="X2757" i="41"/>
  <c r="X2758" i="41"/>
  <c r="X2759" i="41"/>
  <c r="X2760" i="41"/>
  <c r="X2761" i="41"/>
  <c r="X2762" i="41"/>
  <c r="X2763" i="41"/>
  <c r="X2764" i="41"/>
  <c r="X2765" i="41"/>
  <c r="X2766" i="41"/>
  <c r="X2767" i="41"/>
  <c r="X2768" i="41"/>
  <c r="X2769" i="41"/>
  <c r="X2770" i="41"/>
  <c r="X2771" i="41"/>
  <c r="X2772" i="41"/>
  <c r="X2773" i="41"/>
  <c r="X2774" i="41"/>
  <c r="X2775" i="41"/>
  <c r="X2776" i="41"/>
  <c r="X2777" i="41"/>
  <c r="X2778" i="41"/>
  <c r="X2779" i="41"/>
  <c r="X2780" i="41"/>
  <c r="X2781" i="41"/>
  <c r="X2782" i="41"/>
  <c r="X2783" i="41"/>
  <c r="X2784" i="41"/>
  <c r="X2785" i="41"/>
  <c r="X2786" i="41"/>
  <c r="X2787" i="41"/>
  <c r="X2788" i="41"/>
  <c r="X2789" i="41"/>
  <c r="X2790" i="41"/>
  <c r="X2791" i="41"/>
  <c r="X2792" i="41"/>
  <c r="X2793" i="41"/>
  <c r="X2794" i="41"/>
  <c r="X2795" i="41"/>
  <c r="X2796" i="41"/>
  <c r="X2797" i="41"/>
  <c r="X2798" i="41"/>
  <c r="X2799" i="41"/>
  <c r="X2800" i="41"/>
  <c r="X2801" i="41"/>
  <c r="X2802" i="41"/>
  <c r="X2803" i="41"/>
  <c r="X2804" i="41"/>
  <c r="X2805" i="41"/>
  <c r="X2806" i="41"/>
  <c r="X2807" i="41"/>
  <c r="X2808" i="41"/>
  <c r="X2809" i="41"/>
  <c r="X2810" i="41"/>
  <c r="X2811" i="41"/>
  <c r="X2812" i="41"/>
  <c r="X2813" i="41"/>
  <c r="X2814" i="41"/>
  <c r="X2815" i="41"/>
  <c r="X2816" i="41"/>
  <c r="X2817" i="41"/>
  <c r="X2818" i="41"/>
  <c r="X2819" i="41"/>
  <c r="X2820" i="41"/>
  <c r="X2821" i="41"/>
  <c r="X2822" i="41"/>
  <c r="X2823" i="41"/>
  <c r="X2824" i="41"/>
  <c r="X2825" i="41"/>
  <c r="X2826" i="41"/>
  <c r="X2827" i="41"/>
  <c r="X2828" i="41"/>
  <c r="X2829" i="41"/>
  <c r="X2830" i="41"/>
  <c r="X2831" i="41"/>
  <c r="X2832" i="41"/>
  <c r="X2833" i="41"/>
  <c r="X2834" i="41"/>
  <c r="X2835" i="41"/>
  <c r="X2836" i="41"/>
  <c r="X2837" i="41"/>
  <c r="X2838" i="41"/>
  <c r="X2839" i="41"/>
  <c r="X2840" i="41"/>
  <c r="X2841" i="41"/>
  <c r="X2842" i="41"/>
  <c r="X2843" i="41"/>
  <c r="X2844" i="41"/>
  <c r="X2845" i="41"/>
  <c r="X2846" i="41"/>
  <c r="X2847" i="41"/>
  <c r="X2848" i="41"/>
  <c r="X2849" i="41"/>
  <c r="X2850" i="41"/>
  <c r="X2851" i="41"/>
  <c r="X2852" i="41"/>
  <c r="X2853" i="41"/>
  <c r="X2854" i="41"/>
  <c r="X2855" i="41"/>
  <c r="X2856" i="41"/>
  <c r="X2857" i="41"/>
  <c r="X2858" i="41"/>
  <c r="X2859" i="41"/>
  <c r="X2860" i="41"/>
  <c r="X2861" i="41"/>
  <c r="X2862" i="41"/>
  <c r="X2863" i="41"/>
  <c r="X2864" i="41"/>
  <c r="X2865" i="41"/>
  <c r="X2866" i="41"/>
  <c r="X2867" i="41"/>
  <c r="X2868" i="41"/>
  <c r="X2869" i="41"/>
  <c r="X2870" i="41"/>
  <c r="X2871" i="41"/>
  <c r="X2872" i="41"/>
  <c r="X2873" i="41"/>
  <c r="X2874" i="41"/>
  <c r="X2875" i="41"/>
  <c r="X2876" i="41"/>
  <c r="X2877" i="41"/>
  <c r="X2878" i="41"/>
  <c r="X2879" i="41"/>
  <c r="X2880" i="41"/>
  <c r="X2881" i="41"/>
  <c r="X2882" i="41"/>
  <c r="X2883" i="41"/>
  <c r="X2884" i="41"/>
  <c r="X2885" i="41"/>
  <c r="X2886" i="41"/>
  <c r="X2887" i="41"/>
  <c r="X2888" i="41"/>
  <c r="X2889" i="41"/>
  <c r="X2890" i="41"/>
  <c r="X2891" i="41"/>
  <c r="X2892" i="41"/>
  <c r="X2893" i="41"/>
  <c r="X2894" i="41"/>
  <c r="X2895" i="41"/>
  <c r="X2896" i="41"/>
  <c r="X2897" i="41"/>
  <c r="X2898" i="41"/>
  <c r="X2899" i="41"/>
  <c r="X2900" i="41"/>
  <c r="X2901" i="41"/>
  <c r="X2902" i="41"/>
  <c r="X2903" i="41"/>
  <c r="X2904" i="41"/>
  <c r="X2905" i="41"/>
  <c r="X2906" i="41"/>
  <c r="X2907" i="41"/>
  <c r="X2908" i="41"/>
  <c r="X2909" i="41"/>
  <c r="X2910" i="41"/>
  <c r="X2911" i="41"/>
  <c r="X2912" i="41"/>
  <c r="X2913" i="41"/>
  <c r="X2914" i="41"/>
  <c r="X2915" i="41"/>
  <c r="X2916" i="41"/>
  <c r="X2917" i="41"/>
  <c r="X2918" i="41"/>
  <c r="X2919" i="41"/>
  <c r="X2920" i="41"/>
  <c r="X2921" i="41"/>
  <c r="X2922" i="41"/>
  <c r="X2923" i="41"/>
  <c r="X2924" i="41"/>
  <c r="X2925" i="41"/>
  <c r="X2926" i="41"/>
  <c r="X2927" i="41"/>
  <c r="X2928" i="41"/>
  <c r="X2929" i="41"/>
  <c r="X2930" i="41"/>
  <c r="X2931" i="41"/>
  <c r="X2932" i="41"/>
  <c r="X2933" i="41"/>
  <c r="X2934" i="41"/>
  <c r="X2935" i="41"/>
  <c r="X2936" i="41"/>
  <c r="X2937" i="41"/>
  <c r="X2938" i="41"/>
  <c r="X2939" i="41"/>
  <c r="X2940" i="41"/>
  <c r="X2941" i="41"/>
  <c r="X2942" i="41"/>
  <c r="X2943" i="41"/>
  <c r="X2944" i="41"/>
  <c r="X2945" i="41"/>
  <c r="X2946" i="41"/>
  <c r="X2947" i="41"/>
  <c r="X2948" i="41"/>
  <c r="X2949" i="41"/>
  <c r="X2950" i="41"/>
  <c r="X2951" i="41"/>
  <c r="X2952" i="41"/>
  <c r="X2953" i="41"/>
  <c r="X2954" i="41"/>
  <c r="X2955" i="41"/>
  <c r="X2956" i="41"/>
  <c r="X2957" i="41"/>
  <c r="X2958" i="41"/>
  <c r="X2959" i="41"/>
  <c r="X2960" i="41"/>
  <c r="X2961" i="41"/>
  <c r="X2962" i="41"/>
  <c r="X2963" i="41"/>
  <c r="X2964" i="41"/>
  <c r="X2965" i="41"/>
  <c r="X2966" i="41"/>
  <c r="X2967" i="41"/>
  <c r="X2968" i="41"/>
  <c r="X2969" i="41"/>
  <c r="X2970" i="41"/>
  <c r="X2971" i="41"/>
  <c r="X2972" i="41"/>
  <c r="X2973" i="41"/>
  <c r="X2974" i="41"/>
  <c r="X2975" i="41"/>
  <c r="X2976" i="41"/>
  <c r="X2977" i="41"/>
  <c r="X2978" i="41"/>
  <c r="X2979" i="41"/>
  <c r="X2980" i="41"/>
  <c r="X2981" i="41"/>
  <c r="X2982" i="41"/>
  <c r="X2983" i="41"/>
  <c r="X2984" i="41"/>
  <c r="X2985" i="41"/>
  <c r="X2986" i="41"/>
  <c r="X2987" i="41"/>
  <c r="X2988" i="41"/>
  <c r="X2989" i="41"/>
  <c r="X2990" i="41"/>
  <c r="X2991" i="41"/>
  <c r="X2992" i="41"/>
  <c r="X2993" i="41"/>
  <c r="X2994" i="41"/>
  <c r="X2995" i="41"/>
  <c r="X2996" i="41"/>
  <c r="X2997" i="41"/>
  <c r="X2998" i="41"/>
  <c r="X2999" i="41"/>
  <c r="X3000" i="41"/>
  <c r="X3001" i="41"/>
  <c r="X3002" i="41"/>
  <c r="X3003" i="41"/>
  <c r="X3004" i="41"/>
  <c r="X3005" i="41"/>
  <c r="X3006" i="41"/>
  <c r="X3007" i="41"/>
  <c r="X3008" i="41"/>
  <c r="X3009" i="41"/>
  <c r="X3010" i="41"/>
  <c r="X3011" i="41"/>
  <c r="X3012" i="41"/>
  <c r="X3013" i="41"/>
  <c r="X3014" i="41"/>
  <c r="X3015" i="41"/>
  <c r="X3016" i="41"/>
  <c r="X3017" i="41"/>
  <c r="X3018" i="41"/>
  <c r="X3019" i="41"/>
  <c r="X3020" i="41"/>
  <c r="X3021" i="41"/>
  <c r="X3022" i="41"/>
  <c r="X3023" i="41"/>
  <c r="X3024" i="41"/>
  <c r="X3025" i="41"/>
  <c r="X3026" i="41"/>
  <c r="X3027" i="41"/>
  <c r="X3028" i="41"/>
  <c r="X3029" i="41"/>
  <c r="X3030" i="41"/>
  <c r="X3031" i="41"/>
  <c r="X3032" i="41"/>
  <c r="X3033" i="41"/>
  <c r="X3034" i="41"/>
  <c r="X3035" i="41"/>
  <c r="X3036" i="41"/>
  <c r="X3037" i="41"/>
  <c r="X3038" i="41"/>
  <c r="X3039" i="41"/>
  <c r="X3040" i="41"/>
  <c r="X3041" i="41"/>
  <c r="X3042" i="41"/>
  <c r="X3043" i="41"/>
  <c r="X3044" i="41"/>
  <c r="X3045" i="41"/>
  <c r="X3046" i="41"/>
  <c r="X3047" i="41"/>
  <c r="X3048" i="41"/>
  <c r="X3049" i="41"/>
  <c r="X3050" i="41"/>
  <c r="X3051" i="41"/>
  <c r="X3052" i="41"/>
  <c r="X3053" i="41"/>
  <c r="X3054" i="41"/>
  <c r="X3055" i="41"/>
  <c r="X3056" i="41"/>
  <c r="X3057" i="41"/>
  <c r="X3058" i="41"/>
  <c r="X3059" i="41"/>
  <c r="X3060" i="41"/>
  <c r="X3061" i="41"/>
  <c r="X3062" i="41"/>
  <c r="X3063" i="41"/>
  <c r="X3064" i="41"/>
  <c r="X3065" i="41"/>
  <c r="X3066" i="41"/>
  <c r="X3067" i="41"/>
  <c r="X3068" i="41"/>
  <c r="X3069" i="41"/>
  <c r="X3070" i="41"/>
  <c r="X3071" i="41"/>
  <c r="X3072" i="41"/>
  <c r="X3073" i="41"/>
  <c r="X3074" i="41"/>
  <c r="X3075" i="41"/>
  <c r="X3076" i="41"/>
  <c r="X3077" i="41"/>
  <c r="X3078" i="41"/>
  <c r="X3079" i="41"/>
  <c r="X3080" i="41"/>
  <c r="X3081" i="41"/>
  <c r="X3082" i="41"/>
  <c r="X3083" i="41"/>
  <c r="X3084" i="41"/>
  <c r="X3085" i="41"/>
  <c r="X3086" i="41"/>
  <c r="X3087" i="41"/>
  <c r="X3088" i="41"/>
  <c r="X3089" i="41"/>
  <c r="X3090" i="41"/>
  <c r="X3091" i="41"/>
  <c r="X3092" i="41"/>
  <c r="X3093" i="41"/>
  <c r="X3094" i="41"/>
  <c r="X3095" i="41"/>
  <c r="X3096" i="41"/>
  <c r="X3097" i="41"/>
  <c r="X3098" i="41"/>
  <c r="X3099" i="41"/>
  <c r="X3100" i="41"/>
  <c r="X3101" i="41"/>
  <c r="X3102" i="41"/>
  <c r="X3103" i="41"/>
  <c r="X3104" i="41"/>
  <c r="X3105" i="41"/>
  <c r="X3106" i="41"/>
  <c r="X3107" i="41"/>
  <c r="X3108" i="41"/>
  <c r="X3109" i="41"/>
  <c r="X3110" i="41"/>
  <c r="X3111" i="41"/>
  <c r="X3112" i="41"/>
  <c r="X3113" i="41"/>
  <c r="X3114" i="41"/>
  <c r="X3115" i="41"/>
  <c r="X3116" i="41"/>
  <c r="X3117" i="41"/>
  <c r="X3118" i="41"/>
  <c r="X3119" i="41"/>
  <c r="X3120" i="41"/>
  <c r="X3121" i="41"/>
  <c r="X3122" i="41"/>
  <c r="X3123" i="41"/>
  <c r="X3124" i="41"/>
  <c r="X3125" i="41"/>
  <c r="X3126" i="41"/>
  <c r="X3127" i="41"/>
  <c r="X3128" i="41"/>
  <c r="X3129" i="41"/>
  <c r="X3130" i="41"/>
  <c r="X3131" i="41"/>
  <c r="X3132" i="41"/>
  <c r="X3133" i="41"/>
  <c r="X3134" i="41"/>
  <c r="X3135" i="41"/>
  <c r="X3136" i="41"/>
  <c r="X3137" i="41"/>
  <c r="X3138" i="41"/>
  <c r="X3139" i="41"/>
  <c r="X3140" i="41"/>
  <c r="X3141" i="41"/>
  <c r="X3142" i="41"/>
  <c r="X3143" i="41"/>
  <c r="X3144" i="41"/>
  <c r="X3145" i="41"/>
  <c r="X3146" i="41"/>
  <c r="X3147" i="41"/>
  <c r="X3148" i="41"/>
  <c r="X3149" i="41"/>
  <c r="X3150" i="41"/>
  <c r="X3151" i="41"/>
  <c r="X3152" i="41"/>
  <c r="X3153" i="41"/>
  <c r="I25" i="46"/>
  <c r="I42" i="46"/>
  <c r="I62" i="46"/>
  <c r="I47" i="46"/>
  <c r="I53" i="46"/>
  <c r="I54" i="46"/>
  <c r="I35" i="46"/>
  <c r="I59" i="46"/>
  <c r="I105" i="46"/>
  <c r="I90" i="46"/>
  <c r="I85" i="46"/>
  <c r="I49" i="46"/>
  <c r="I28" i="46"/>
  <c r="I89" i="46"/>
  <c r="I68" i="46"/>
  <c r="I84" i="46"/>
  <c r="I101" i="46"/>
  <c r="I127" i="46"/>
  <c r="I38" i="46"/>
  <c r="I52" i="46"/>
  <c r="I118" i="46"/>
  <c r="I91" i="46"/>
  <c r="I131" i="46"/>
  <c r="I29" i="46"/>
  <c r="I87" i="46"/>
  <c r="I19" i="46"/>
  <c r="I57" i="46"/>
  <c r="I12" i="46"/>
  <c r="I5" i="46"/>
  <c r="I107" i="46"/>
  <c r="I95" i="46"/>
  <c r="I78" i="46"/>
  <c r="I67" i="46"/>
  <c r="I30" i="46"/>
  <c r="I74" i="46"/>
  <c r="I26" i="46"/>
  <c r="I86" i="46"/>
  <c r="I40" i="46"/>
  <c r="I22" i="46"/>
  <c r="I23" i="46"/>
  <c r="I21" i="46"/>
  <c r="I92" i="46"/>
  <c r="I88" i="46"/>
  <c r="I100" i="46"/>
  <c r="I4" i="46"/>
  <c r="I20" i="46"/>
  <c r="I36" i="46"/>
  <c r="I96" i="46"/>
  <c r="I122" i="46"/>
  <c r="I108" i="46"/>
  <c r="I93" i="46"/>
  <c r="I76" i="46"/>
  <c r="I94" i="46"/>
  <c r="I117" i="46"/>
  <c r="I114" i="46"/>
  <c r="I123" i="46"/>
  <c r="I104" i="46"/>
  <c r="I115" i="46"/>
  <c r="I10" i="46"/>
  <c r="I39" i="46"/>
  <c r="I111" i="46"/>
  <c r="I75" i="46"/>
  <c r="I116" i="46"/>
  <c r="I102" i="46"/>
  <c r="I11" i="46"/>
  <c r="I83" i="46"/>
  <c r="I99" i="46"/>
  <c r="I77" i="46"/>
  <c r="I80" i="46"/>
  <c r="I18" i="46"/>
  <c r="I58" i="46"/>
  <c r="I60" i="46"/>
  <c r="I64" i="46"/>
  <c r="I6" i="46"/>
  <c r="I34" i="46"/>
  <c r="I106" i="46"/>
  <c r="I82" i="46"/>
  <c r="I44" i="46"/>
  <c r="I63" i="46"/>
  <c r="I72" i="46"/>
  <c r="I56" i="46"/>
  <c r="I41" i="46"/>
  <c r="I15" i="46"/>
  <c r="I109" i="46"/>
  <c r="I126" i="46"/>
  <c r="I112" i="46"/>
  <c r="I31" i="46"/>
  <c r="I113" i="46"/>
  <c r="I129" i="46"/>
  <c r="I48" i="46"/>
  <c r="I61" i="46"/>
  <c r="I46" i="46"/>
  <c r="I2" i="46"/>
  <c r="I79" i="46"/>
  <c r="I125" i="46"/>
  <c r="I37" i="46"/>
  <c r="I55" i="46"/>
  <c r="I50" i="46"/>
  <c r="I97" i="46"/>
  <c r="I73" i="46"/>
  <c r="I9" i="46"/>
  <c r="I45" i="46"/>
  <c r="I81" i="46"/>
  <c r="I43" i="46"/>
  <c r="I103" i="46"/>
  <c r="I17" i="46"/>
  <c r="I8" i="46"/>
  <c r="I13" i="46"/>
  <c r="I3" i="46"/>
  <c r="I124" i="46"/>
  <c r="I14" i="46"/>
  <c r="I128" i="46"/>
  <c r="I16" i="46"/>
  <c r="I71" i="46"/>
  <c r="I65" i="46"/>
  <c r="I70" i="46"/>
  <c r="I120" i="46"/>
  <c r="I24" i="46"/>
  <c r="I32" i="46"/>
  <c r="I27" i="46"/>
  <c r="I130" i="46"/>
  <c r="I110" i="46"/>
  <c r="I98" i="46"/>
  <c r="I69" i="46"/>
  <c r="I119" i="46"/>
  <c r="I66" i="46"/>
  <c r="I121" i="46"/>
  <c r="I33" i="46"/>
  <c r="I7" i="46"/>
  <c r="I51" i="46"/>
  <c r="S383" i="8"/>
  <c r="S382" i="8"/>
  <c r="S381" i="8"/>
  <c r="S380" i="8"/>
  <c r="S379" i="8"/>
  <c r="S378" i="8"/>
  <c r="S377" i="8"/>
  <c r="S376" i="8"/>
  <c r="S375" i="8"/>
  <c r="AF375" i="8"/>
  <c r="AG375" i="8" s="1"/>
  <c r="AF376" i="8"/>
  <c r="AG376" i="8" s="1"/>
  <c r="AF377" i="8"/>
  <c r="AG377" i="8" s="1"/>
  <c r="AF378" i="8"/>
  <c r="AG378" i="8" s="1"/>
  <c r="AF379" i="8"/>
  <c r="AG379" i="8" s="1"/>
  <c r="AF380" i="8"/>
  <c r="AG380" i="8" s="1"/>
  <c r="AF381" i="8"/>
  <c r="AG381" i="8" s="1"/>
  <c r="AF382" i="8"/>
  <c r="AG382" i="8" s="1"/>
  <c r="Z746" i="1"/>
  <c r="Z379" i="8"/>
  <c r="R384" i="8" a="1"/>
  <c r="AA747" i="1"/>
  <c r="AA746" i="1"/>
  <c r="AQ379" i="8" a="1"/>
  <c r="Y563" i="1"/>
  <c r="AQ386" i="8" a="1"/>
  <c r="R387" i="8" a="1"/>
  <c r="AQ387" i="8" a="1"/>
  <c r="AQ380" i="8" a="1"/>
  <c r="Z185" i="1"/>
  <c r="R386" i="8" a="1"/>
  <c r="AQ389" i="8" a="1"/>
  <c r="R380" i="8" a="1"/>
  <c r="R390" i="8" a="1"/>
  <c r="R383" i="8" a="1"/>
  <c r="R381" i="8" a="1"/>
  <c r="AQ375" i="8" a="1"/>
  <c r="AQ377" i="8" a="1"/>
  <c r="U563" i="1"/>
  <c r="P391" i="8" a="1"/>
  <c r="U758" i="1"/>
  <c r="R395" i="8" a="1"/>
  <c r="AQ391" i="8" a="1"/>
  <c r="P392" i="8" a="1"/>
  <c r="AQ392" i="8" a="1"/>
  <c r="N391" i="8" a="1"/>
  <c r="R393" i="8" a="1"/>
  <c r="Y758" i="1"/>
  <c r="AA185" i="1"/>
  <c r="T398" i="8" a="1"/>
  <c r="Z563" i="1"/>
  <c r="AQ394" i="8" a="1"/>
  <c r="AQ397" i="8" a="1"/>
  <c r="R396" i="8" a="1"/>
  <c r="R391" i="8" a="1"/>
  <c r="AQ378" i="8" a="1"/>
  <c r="Y746" i="1"/>
  <c r="AQ398" i="8" a="1"/>
  <c r="R397" i="8" a="1"/>
  <c r="N384" i="8" a="1"/>
  <c r="R377" i="8" a="1"/>
  <c r="AQ396" i="8" a="1"/>
  <c r="AQ395" i="8" a="1"/>
  <c r="R398" i="8" a="1"/>
  <c r="R392" i="8" a="1"/>
  <c r="R375" i="8" a="1"/>
  <c r="AQ385" i="8" a="1"/>
  <c r="R385" i="8" a="1"/>
  <c r="AQ393" i="8" a="1"/>
  <c r="R389" i="8" a="1"/>
  <c r="AQ376" i="8" a="1"/>
  <c r="AA758" i="1"/>
  <c r="U746" i="1"/>
  <c r="AQ390" i="8" a="1"/>
  <c r="R379" i="8" a="1"/>
  <c r="R388" i="8" a="1"/>
  <c r="Z747" i="1"/>
  <c r="U185" i="1"/>
  <c r="AA563" i="1"/>
  <c r="Y185" i="1"/>
  <c r="AQ388" i="8" a="1"/>
  <c r="R378" i="8" a="1"/>
  <c r="AQ382" i="8" a="1"/>
  <c r="Y747" i="1"/>
  <c r="R394" i="8" a="1"/>
  <c r="R382" i="8" a="1"/>
  <c r="Z758" i="1"/>
  <c r="AQ381" i="8" a="1"/>
  <c r="U747" i="1"/>
  <c r="R376" i="8" a="1"/>
  <c r="P384" i="8" a="1"/>
  <c r="AQ378" i="8" l="1"/>
  <c r="AQ377" i="8"/>
  <c r="AQ375" i="8"/>
  <c r="P392" i="8"/>
  <c r="AF746" i="1"/>
  <c r="R387" i="8"/>
  <c r="R390" i="8"/>
  <c r="K747" i="1"/>
  <c r="AF185" i="1"/>
  <c r="AQ395" i="8"/>
  <c r="N384" i="8"/>
  <c r="K563" i="1"/>
  <c r="AQ397" i="8"/>
  <c r="AQ381" i="8"/>
  <c r="AQ385" i="8"/>
  <c r="AQ388" i="8"/>
  <c r="AQ391" i="8"/>
  <c r="AF747" i="1"/>
  <c r="P384" i="8"/>
  <c r="R380" i="8"/>
  <c r="AF563" i="1"/>
  <c r="K758" i="1"/>
  <c r="AQ393" i="8"/>
  <c r="R397" i="8"/>
  <c r="R385" i="8"/>
  <c r="R388" i="8"/>
  <c r="AQ392" i="8"/>
  <c r="AQ380" i="8"/>
  <c r="R375" i="8"/>
  <c r="R381" i="8"/>
  <c r="AF758" i="1"/>
  <c r="AQ379" i="8"/>
  <c r="R384" i="8"/>
  <c r="AQ386" i="8"/>
  <c r="AQ389" i="8"/>
  <c r="R391" i="8"/>
  <c r="R393" i="8"/>
  <c r="AQ396" i="8"/>
  <c r="AQ398" i="8"/>
  <c r="AQ382" i="8"/>
  <c r="R379" i="8"/>
  <c r="R376" i="8"/>
  <c r="R382" i="8"/>
  <c r="R389" i="8"/>
  <c r="R392" i="8"/>
  <c r="AQ394" i="8"/>
  <c r="R395" i="8"/>
  <c r="T398" i="8"/>
  <c r="V398" i="8" s="1"/>
  <c r="AR379" i="8"/>
  <c r="R386" i="8"/>
  <c r="N391" i="8"/>
  <c r="R383" i="8"/>
  <c r="K746" i="1"/>
  <c r="AQ387" i="8"/>
  <c r="AQ390" i="8"/>
  <c r="K185" i="1"/>
  <c r="R394" i="8"/>
  <c r="R396" i="8"/>
  <c r="R398" i="8"/>
  <c r="R377" i="8"/>
  <c r="AQ376" i="8"/>
  <c r="R378" i="8"/>
  <c r="P391" i="8"/>
  <c r="E747" i="1"/>
  <c r="F747" i="1" s="1"/>
  <c r="C747" i="1"/>
  <c r="D747" i="1" s="1"/>
  <c r="H758" i="1"/>
  <c r="C758" i="1"/>
  <c r="D758" i="1" s="1"/>
  <c r="C746" i="1"/>
  <c r="D746" i="1" s="1"/>
  <c r="H185" i="1"/>
  <c r="H746" i="1"/>
  <c r="C185" i="1"/>
  <c r="D185" i="1" s="1"/>
  <c r="H563" i="1"/>
  <c r="E563" i="1"/>
  <c r="F563" i="1" s="1"/>
  <c r="AI375" i="8"/>
  <c r="AH375" i="8" s="1"/>
  <c r="AK375" i="8"/>
  <c r="AI378" i="8"/>
  <c r="AH378" i="8" s="1"/>
  <c r="AK378" i="8"/>
  <c r="AI377" i="8"/>
  <c r="AH377" i="8" s="1"/>
  <c r="AK377" i="8"/>
  <c r="AI376" i="8"/>
  <c r="AH376" i="8" s="1"/>
  <c r="AK376" i="8"/>
  <c r="AI380" i="8"/>
  <c r="AH380" i="8" s="1"/>
  <c r="AK380" i="8"/>
  <c r="AI379" i="8"/>
  <c r="AH379" i="8" s="1"/>
  <c r="AK379" i="8"/>
  <c r="S369" i="8"/>
  <c r="O206" i="1"/>
  <c r="O207" i="1"/>
  <c r="P206" i="1"/>
  <c r="P207" i="1"/>
  <c r="Q206" i="1"/>
  <c r="C206" i="1" s="1"/>
  <c r="D206" i="1" s="1"/>
  <c r="Q207" i="1"/>
  <c r="E207" i="1" s="1"/>
  <c r="F207" i="1" s="1"/>
  <c r="R206" i="1"/>
  <c r="R207" i="1"/>
  <c r="AG206" i="1"/>
  <c r="AG207" i="1"/>
  <c r="N398" i="8" a="1"/>
  <c r="Y206" i="1"/>
  <c r="Z382" i="8"/>
  <c r="Z386" i="8"/>
  <c r="P398" i="8" a="1"/>
  <c r="Y379" i="8"/>
  <c r="Y386" i="8"/>
  <c r="AH185" i="1" a="1"/>
  <c r="Y381" i="8"/>
  <c r="P395" i="8" a="1"/>
  <c r="N390" i="8" a="1"/>
  <c r="Z394" i="8"/>
  <c r="P397" i="8" a="1"/>
  <c r="Z389" i="8"/>
  <c r="AH747" i="1" a="1"/>
  <c r="N397" i="8" a="1"/>
  <c r="Y382" i="8"/>
  <c r="Y207" i="1"/>
  <c r="Y398" i="8"/>
  <c r="Y390" i="8"/>
  <c r="AP391" i="8" a="1"/>
  <c r="P388" i="8" a="1"/>
  <c r="N393" i="8" a="1"/>
  <c r="N387" i="8" a="1"/>
  <c r="AI747" i="1" a="1"/>
  <c r="Y391" i="8"/>
  <c r="P394" i="8" a="1"/>
  <c r="P390" i="8" a="1"/>
  <c r="P396" i="8" a="1"/>
  <c r="Z391" i="8"/>
  <c r="U206" i="1"/>
  <c r="N392" i="8" a="1"/>
  <c r="AH758" i="1" a="1"/>
  <c r="Z207" i="1"/>
  <c r="AH563" i="1" a="1"/>
  <c r="Z381" i="8"/>
  <c r="AI185" i="1" a="1"/>
  <c r="U207" i="1"/>
  <c r="P387" i="8" a="1"/>
  <c r="N389" i="8" a="1"/>
  <c r="Z398" i="8"/>
  <c r="Y395" i="8"/>
  <c r="Z397" i="8"/>
  <c r="N385" i="8" a="1"/>
  <c r="P385" i="8" a="1"/>
  <c r="Z388" i="8"/>
  <c r="Y388" i="8"/>
  <c r="Z396" i="8"/>
  <c r="Z393" i="8"/>
  <c r="Z395" i="8"/>
  <c r="N386" i="8" a="1"/>
  <c r="Y396" i="8"/>
  <c r="Y389" i="8"/>
  <c r="AI746" i="1" a="1"/>
  <c r="AI758" i="1" a="1"/>
  <c r="Z390" i="8"/>
  <c r="Y392" i="8"/>
  <c r="Z206" i="1"/>
  <c r="Y393" i="8"/>
  <c r="P386" i="8" a="1"/>
  <c r="AP392" i="8" a="1"/>
  <c r="N394" i="8" a="1"/>
  <c r="Y397" i="8"/>
  <c r="P389" i="8" a="1"/>
  <c r="R369" i="8" a="1"/>
  <c r="AI563" i="1" a="1"/>
  <c r="P393" i="8" a="1"/>
  <c r="U398" i="8"/>
  <c r="N396" i="8" a="1"/>
  <c r="N388" i="8" a="1"/>
  <c r="Z392" i="8"/>
  <c r="AO392" i="8" a="1"/>
  <c r="Y394" i="8"/>
  <c r="AO391" i="8" a="1"/>
  <c r="N395" i="8" a="1"/>
  <c r="AH746" i="1" a="1"/>
  <c r="AL398" i="8" l="1"/>
  <c r="AN398" i="8" s="1"/>
  <c r="AH563" i="1"/>
  <c r="AD563" i="1" s="1"/>
  <c r="AH746" i="1"/>
  <c r="AD746" i="1" s="1"/>
  <c r="P395" i="8"/>
  <c r="AR396" i="8"/>
  <c r="N397" i="8"/>
  <c r="AI746" i="1"/>
  <c r="AB746" i="1" s="1"/>
  <c r="AC746" i="1" s="1"/>
  <c r="AR392" i="8"/>
  <c r="N387" i="8"/>
  <c r="AO391" i="8"/>
  <c r="N394" i="8"/>
  <c r="P398" i="8"/>
  <c r="AR391" i="8"/>
  <c r="P390" i="8"/>
  <c r="AI563" i="1"/>
  <c r="AB563" i="1" s="1"/>
  <c r="AH747" i="1"/>
  <c r="AD747" i="1" s="1"/>
  <c r="N390" i="8"/>
  <c r="N393" i="8"/>
  <c r="AR398" i="8"/>
  <c r="N388" i="8"/>
  <c r="AR386" i="8"/>
  <c r="P387" i="8"/>
  <c r="N386" i="8"/>
  <c r="R369" i="8"/>
  <c r="AH758" i="1"/>
  <c r="AD758" i="1" s="1"/>
  <c r="AR397" i="8"/>
  <c r="P394" i="8"/>
  <c r="AR388" i="8"/>
  <c r="AR389" i="8"/>
  <c r="AH185" i="1"/>
  <c r="AD185" i="1" s="1"/>
  <c r="P388" i="8"/>
  <c r="AP392" i="8"/>
  <c r="N396" i="8"/>
  <c r="AR382" i="8"/>
  <c r="AR390" i="8"/>
  <c r="AI185" i="1"/>
  <c r="AB185" i="1" s="1"/>
  <c r="AC185" i="1" s="1"/>
  <c r="AR395" i="8"/>
  <c r="P389" i="8"/>
  <c r="N392" i="8"/>
  <c r="P396" i="8"/>
  <c r="P385" i="8"/>
  <c r="P397" i="8"/>
  <c r="K207" i="1"/>
  <c r="AP391" i="8"/>
  <c r="N389" i="8"/>
  <c r="N395" i="8"/>
  <c r="K206" i="1"/>
  <c r="AI758" i="1"/>
  <c r="AB758" i="1" s="1"/>
  <c r="P386" i="8"/>
  <c r="AR393" i="8"/>
  <c r="AR381" i="8"/>
  <c r="AI747" i="1"/>
  <c r="AB747" i="1" s="1"/>
  <c r="N385" i="8"/>
  <c r="AR394" i="8"/>
  <c r="AO392" i="8"/>
  <c r="P393" i="8"/>
  <c r="N398" i="8"/>
  <c r="AI398" i="8"/>
  <c r="AH398" i="8" s="1"/>
  <c r="AK398" i="8"/>
  <c r="AI397" i="8"/>
  <c r="AH397" i="8" s="1"/>
  <c r="AK397" i="8"/>
  <c r="AI396" i="8"/>
  <c r="AH396" i="8" s="1"/>
  <c r="AK396" i="8"/>
  <c r="AI395" i="8"/>
  <c r="AH395" i="8" s="1"/>
  <c r="AK395" i="8"/>
  <c r="AI394" i="8"/>
  <c r="AH394" i="8" s="1"/>
  <c r="AK394" i="8"/>
  <c r="AI393" i="8"/>
  <c r="AH393" i="8" s="1"/>
  <c r="AK393" i="8"/>
  <c r="AI392" i="8"/>
  <c r="AH392" i="8" s="1"/>
  <c r="AK392" i="8"/>
  <c r="AI391" i="8"/>
  <c r="AH391" i="8" s="1"/>
  <c r="AK391" i="8"/>
  <c r="AI390" i="8"/>
  <c r="AH390" i="8" s="1"/>
  <c r="AK390" i="8"/>
  <c r="AI389" i="8"/>
  <c r="AH389" i="8" s="1"/>
  <c r="AK389" i="8"/>
  <c r="AI388" i="8"/>
  <c r="AH388" i="8" s="1"/>
  <c r="AK388" i="8"/>
  <c r="AI387" i="8"/>
  <c r="AH387" i="8" s="1"/>
  <c r="AK387" i="8"/>
  <c r="AI386" i="8"/>
  <c r="AH386" i="8" s="1"/>
  <c r="AK386" i="8"/>
  <c r="AI385" i="8"/>
  <c r="AH385" i="8" s="1"/>
  <c r="AK385" i="8"/>
  <c r="AI381" i="8"/>
  <c r="AH381" i="8" s="1"/>
  <c r="AK381" i="8"/>
  <c r="AI382" i="8"/>
  <c r="AH382" i="8" s="1"/>
  <c r="AK382" i="8"/>
  <c r="H207" i="1"/>
  <c r="H206" i="1"/>
  <c r="C207" i="1"/>
  <c r="D207" i="1" s="1"/>
  <c r="E206" i="1"/>
  <c r="F206" i="1" s="1"/>
  <c r="AP397" i="8" a="1"/>
  <c r="AP393" i="8" a="1"/>
  <c r="AO393" i="8" a="1"/>
  <c r="AP390" i="8" a="1"/>
  <c r="AP387" i="8" a="1"/>
  <c r="AO397" i="8" a="1"/>
  <c r="AP394" i="8" a="1"/>
  <c r="AO398" i="8" a="1"/>
  <c r="AO394" i="8" a="1"/>
  <c r="AP389" i="8" a="1"/>
  <c r="AO386" i="8" a="1"/>
  <c r="AO385" i="8" a="1"/>
  <c r="AO390" i="8" a="1"/>
  <c r="AP395" i="8" a="1"/>
  <c r="AP398" i="8" a="1"/>
  <c r="AO387" i="8" a="1"/>
  <c r="AO396" i="8" a="1"/>
  <c r="AP388" i="8" a="1"/>
  <c r="AO395" i="8" a="1"/>
  <c r="AP386" i="8" a="1"/>
  <c r="AO388" i="8" a="1"/>
  <c r="AP385" i="8" a="1"/>
  <c r="AP396" i="8" a="1"/>
  <c r="AO389" i="8" a="1"/>
  <c r="AE758" i="1" l="1"/>
  <c r="AE747" i="1"/>
  <c r="AM398" i="8"/>
  <c r="AE563" i="1"/>
  <c r="AC563" i="1"/>
  <c r="AC758" i="1"/>
  <c r="AC747" i="1"/>
  <c r="AE185" i="1"/>
  <c r="AO395" i="8"/>
  <c r="AO398" i="8"/>
  <c r="AO389" i="8"/>
  <c r="AO386" i="8"/>
  <c r="AP398" i="8"/>
  <c r="AP393" i="8"/>
  <c r="AO396" i="8"/>
  <c r="AP387" i="8"/>
  <c r="AO394" i="8"/>
  <c r="AP388" i="8"/>
  <c r="AO385" i="8"/>
  <c r="AP396" i="8"/>
  <c r="AO393" i="8"/>
  <c r="AO390" i="8"/>
  <c r="AO397" i="8"/>
  <c r="AO388" i="8"/>
  <c r="AP385" i="8"/>
  <c r="AP394" i="8"/>
  <c r="AP386" i="8"/>
  <c r="AP389" i="8"/>
  <c r="AP395" i="8"/>
  <c r="AP397" i="8"/>
  <c r="AO387" i="8"/>
  <c r="AP390" i="8"/>
  <c r="AE746" i="1"/>
  <c r="AF369" i="8"/>
  <c r="AG369" i="8" s="1"/>
  <c r="AQ369" i="8" a="1"/>
  <c r="AQ369" i="8" l="1"/>
  <c r="AK369" i="8"/>
  <c r="AI369" i="8"/>
  <c r="AH369" i="8" s="1"/>
  <c r="O115" i="1" l="1"/>
  <c r="P115" i="1"/>
  <c r="Q115" i="1"/>
  <c r="C115" i="1" s="1"/>
  <c r="D115" i="1" s="1"/>
  <c r="R115" i="1"/>
  <c r="AG115" i="1"/>
  <c r="U115" i="1"/>
  <c r="Z115" i="1"/>
  <c r="Y115" i="1"/>
  <c r="AA115" i="1"/>
  <c r="AF115" i="1" l="1"/>
  <c r="K115" i="1"/>
  <c r="H115" i="1"/>
  <c r="E115" i="1"/>
  <c r="F115" i="1" s="1"/>
  <c r="O88" i="1"/>
  <c r="P88" i="1"/>
  <c r="Q88" i="1"/>
  <c r="C88" i="1" s="1"/>
  <c r="D88" i="1" s="1"/>
  <c r="R88" i="1"/>
  <c r="AG88" i="1"/>
  <c r="Y88" i="1"/>
  <c r="AA88" i="1"/>
  <c r="Z88" i="1"/>
  <c r="U88" i="1"/>
  <c r="AF88" i="1" l="1"/>
  <c r="K88" i="1"/>
  <c r="E88" i="1"/>
  <c r="F88" i="1" s="1"/>
  <c r="H88" i="1"/>
  <c r="O192" i="1" l="1"/>
  <c r="O193" i="1"/>
  <c r="P192" i="1"/>
  <c r="P193" i="1"/>
  <c r="Q192" i="1"/>
  <c r="C192" i="1" s="1"/>
  <c r="D192" i="1" s="1"/>
  <c r="Q193" i="1"/>
  <c r="C193" i="1" s="1"/>
  <c r="D193" i="1" s="1"/>
  <c r="R192" i="1"/>
  <c r="R193" i="1"/>
  <c r="AG192" i="1"/>
  <c r="AG193" i="1"/>
  <c r="O194" i="1"/>
  <c r="O195" i="1"/>
  <c r="O196" i="1"/>
  <c r="O197" i="1"/>
  <c r="P194" i="1"/>
  <c r="P195" i="1"/>
  <c r="P196" i="1"/>
  <c r="P197" i="1"/>
  <c r="Q194" i="1"/>
  <c r="C194" i="1" s="1"/>
  <c r="D194" i="1" s="1"/>
  <c r="Q195" i="1"/>
  <c r="C195" i="1" s="1"/>
  <c r="D195" i="1" s="1"/>
  <c r="Q196" i="1"/>
  <c r="C196" i="1" s="1"/>
  <c r="D196" i="1" s="1"/>
  <c r="Q197" i="1"/>
  <c r="C197" i="1" s="1"/>
  <c r="D197" i="1" s="1"/>
  <c r="R194" i="1"/>
  <c r="R195" i="1"/>
  <c r="R196" i="1"/>
  <c r="R197" i="1"/>
  <c r="AG194" i="1"/>
  <c r="AG195" i="1"/>
  <c r="AG196" i="1"/>
  <c r="AG197" i="1"/>
  <c r="O198" i="1"/>
  <c r="O199" i="1"/>
  <c r="O200" i="1"/>
  <c r="O201" i="1"/>
  <c r="P198" i="1"/>
  <c r="P199" i="1"/>
  <c r="P200" i="1"/>
  <c r="P201" i="1"/>
  <c r="Q198" i="1"/>
  <c r="C198" i="1" s="1"/>
  <c r="D198" i="1" s="1"/>
  <c r="Q199" i="1"/>
  <c r="C199" i="1" s="1"/>
  <c r="D199" i="1" s="1"/>
  <c r="Q200" i="1"/>
  <c r="H200" i="1" s="1"/>
  <c r="Q201" i="1"/>
  <c r="E201" i="1" s="1"/>
  <c r="F201" i="1" s="1"/>
  <c r="R198" i="1"/>
  <c r="R199" i="1"/>
  <c r="R200" i="1"/>
  <c r="R201" i="1"/>
  <c r="AG198" i="1"/>
  <c r="AG199" i="1"/>
  <c r="AG200" i="1"/>
  <c r="AG201" i="1"/>
  <c r="O202" i="1"/>
  <c r="O203" i="1"/>
  <c r="O204" i="1"/>
  <c r="O205" i="1"/>
  <c r="P202" i="1"/>
  <c r="P203" i="1"/>
  <c r="P204" i="1"/>
  <c r="P205" i="1"/>
  <c r="Q202" i="1"/>
  <c r="C202" i="1" s="1"/>
  <c r="D202" i="1" s="1"/>
  <c r="Q203" i="1"/>
  <c r="C203" i="1" s="1"/>
  <c r="D203" i="1" s="1"/>
  <c r="Q204" i="1"/>
  <c r="C204" i="1" s="1"/>
  <c r="D204" i="1" s="1"/>
  <c r="Q205" i="1"/>
  <c r="C205" i="1" s="1"/>
  <c r="D205" i="1" s="1"/>
  <c r="R202" i="1"/>
  <c r="R203" i="1"/>
  <c r="R204" i="1"/>
  <c r="R205" i="1"/>
  <c r="AG202" i="1"/>
  <c r="AG203" i="1"/>
  <c r="AG204" i="1"/>
  <c r="AG205" i="1"/>
  <c r="Z196" i="1"/>
  <c r="U200" i="1"/>
  <c r="Z204" i="1"/>
  <c r="Z194" i="1"/>
  <c r="Y198" i="1"/>
  <c r="Y194" i="1"/>
  <c r="Y197" i="1"/>
  <c r="U195" i="1"/>
  <c r="Z192" i="1"/>
  <c r="Y202" i="1"/>
  <c r="Z202" i="1"/>
  <c r="Y200" i="1"/>
  <c r="Z199" i="1"/>
  <c r="AA195" i="1"/>
  <c r="U202" i="1"/>
  <c r="Z197" i="1"/>
  <c r="Y199" i="1"/>
  <c r="Z205" i="1"/>
  <c r="Z195" i="1"/>
  <c r="Y192" i="1"/>
  <c r="Y201" i="1"/>
  <c r="Z200" i="1"/>
  <c r="Z201" i="1"/>
  <c r="Z193" i="1"/>
  <c r="U199" i="1"/>
  <c r="Y203" i="1"/>
  <c r="U203" i="1"/>
  <c r="U205" i="1"/>
  <c r="Z203" i="1"/>
  <c r="U197" i="1"/>
  <c r="U198" i="1"/>
  <c r="Y204" i="1"/>
  <c r="U193" i="1"/>
  <c r="Y196" i="1"/>
  <c r="AA194" i="1"/>
  <c r="U201" i="1"/>
  <c r="Y195" i="1"/>
  <c r="Y205" i="1"/>
  <c r="Z198" i="1"/>
  <c r="U196" i="1"/>
  <c r="U192" i="1"/>
  <c r="U204" i="1"/>
  <c r="Y193" i="1"/>
  <c r="U194" i="1"/>
  <c r="K199" i="1" l="1"/>
  <c r="K193" i="1"/>
  <c r="K198" i="1"/>
  <c r="K192" i="1"/>
  <c r="K205" i="1"/>
  <c r="AF195" i="1"/>
  <c r="K204" i="1"/>
  <c r="AF194" i="1"/>
  <c r="K203" i="1"/>
  <c r="K197" i="1"/>
  <c r="K202" i="1"/>
  <c r="K196" i="1"/>
  <c r="K195" i="1"/>
  <c r="K201" i="1"/>
  <c r="K200" i="1"/>
  <c r="K194" i="1"/>
  <c r="H196" i="1"/>
  <c r="H192" i="1"/>
  <c r="H193" i="1"/>
  <c r="E193" i="1"/>
  <c r="F193" i="1" s="1"/>
  <c r="H195" i="1"/>
  <c r="E192" i="1"/>
  <c r="F192" i="1" s="1"/>
  <c r="H194" i="1"/>
  <c r="E197" i="1"/>
  <c r="F197" i="1" s="1"/>
  <c r="E196" i="1"/>
  <c r="F196" i="1" s="1"/>
  <c r="E195" i="1"/>
  <c r="F195" i="1" s="1"/>
  <c r="E194" i="1"/>
  <c r="F194" i="1" s="1"/>
  <c r="H197" i="1"/>
  <c r="H198" i="1"/>
  <c r="E200" i="1"/>
  <c r="F200" i="1" s="1"/>
  <c r="E199" i="1"/>
  <c r="F199" i="1" s="1"/>
  <c r="E198" i="1"/>
  <c r="F198" i="1" s="1"/>
  <c r="H199" i="1"/>
  <c r="H205" i="1"/>
  <c r="C200" i="1"/>
  <c r="D200" i="1" s="1"/>
  <c r="H201" i="1"/>
  <c r="C201" i="1"/>
  <c r="D201" i="1" s="1"/>
  <c r="H204" i="1"/>
  <c r="H203" i="1"/>
  <c r="E205" i="1"/>
  <c r="F205" i="1" s="1"/>
  <c r="E204" i="1"/>
  <c r="F204" i="1" s="1"/>
  <c r="E203" i="1"/>
  <c r="F203" i="1" s="1"/>
  <c r="E202" i="1"/>
  <c r="F202" i="1" s="1"/>
  <c r="H202" i="1"/>
  <c r="AF374" i="8" l="1"/>
  <c r="AG374" i="8" s="1"/>
  <c r="S374" i="8"/>
  <c r="AF373" i="8"/>
  <c r="AG373" i="8" s="1"/>
  <c r="S373" i="8"/>
  <c r="AF372" i="8"/>
  <c r="AG372" i="8" s="1"/>
  <c r="S372" i="8"/>
  <c r="AF371" i="8"/>
  <c r="AG371" i="8" s="1"/>
  <c r="S371" i="8"/>
  <c r="AF370" i="8"/>
  <c r="AG370" i="8" s="1"/>
  <c r="S370" i="8"/>
  <c r="AF368" i="8"/>
  <c r="AG368" i="8" s="1"/>
  <c r="S368" i="8"/>
  <c r="AF367" i="8"/>
  <c r="AG367" i="8" s="1"/>
  <c r="S367" i="8"/>
  <c r="R373" i="8" a="1"/>
  <c r="R367" i="8" a="1"/>
  <c r="AQ374" i="8" a="1"/>
  <c r="R374" i="8" a="1"/>
  <c r="AQ367" i="8" a="1"/>
  <c r="R370" i="8" a="1"/>
  <c r="AQ368" i="8" a="1"/>
  <c r="R368" i="8" a="1"/>
  <c r="AQ370" i="8" a="1"/>
  <c r="AQ371" i="8" a="1"/>
  <c r="R372" i="8" a="1"/>
  <c r="AQ372" i="8" a="1"/>
  <c r="AQ373" i="8" a="1"/>
  <c r="R371" i="8" a="1"/>
  <c r="AQ368" i="8" l="1"/>
  <c r="AQ372" i="8"/>
  <c r="R370" i="8"/>
  <c r="R373" i="8"/>
  <c r="AQ373" i="8"/>
  <c r="R368" i="8"/>
  <c r="R372" i="8"/>
  <c r="AQ370" i="8"/>
  <c r="R367" i="8"/>
  <c r="R371" i="8"/>
  <c r="R374" i="8"/>
  <c r="AQ367" i="8"/>
  <c r="AQ371" i="8"/>
  <c r="AQ374" i="8"/>
  <c r="AI374" i="8"/>
  <c r="AH374" i="8" s="1"/>
  <c r="AK374" i="8"/>
  <c r="AI371" i="8"/>
  <c r="AH371" i="8" s="1"/>
  <c r="AK371" i="8"/>
  <c r="AK372" i="8"/>
  <c r="AI372" i="8"/>
  <c r="AH372" i="8" s="1"/>
  <c r="AK367" i="8"/>
  <c r="AI367" i="8"/>
  <c r="AH367" i="8" s="1"/>
  <c r="AK373" i="8"/>
  <c r="AI373" i="8"/>
  <c r="AH373" i="8" s="1"/>
  <c r="AK370" i="8"/>
  <c r="AI370" i="8"/>
  <c r="AH370" i="8" s="1"/>
  <c r="AK368" i="8"/>
  <c r="AI368" i="8"/>
  <c r="AH368" i="8" s="1"/>
  <c r="O702" i="1" l="1"/>
  <c r="P702" i="1"/>
  <c r="Q702" i="1"/>
  <c r="C702" i="1" s="1"/>
  <c r="D702" i="1" s="1"/>
  <c r="R702" i="1"/>
  <c r="AG702" i="1"/>
  <c r="U702" i="1"/>
  <c r="Y702" i="1"/>
  <c r="Z702" i="1"/>
  <c r="K702" i="1" l="1"/>
  <c r="H702" i="1"/>
  <c r="E702" i="1"/>
  <c r="F702" i="1" s="1"/>
  <c r="O740" i="1" l="1"/>
  <c r="P740" i="1"/>
  <c r="Q740" i="1"/>
  <c r="C740" i="1" s="1"/>
  <c r="D740" i="1" s="1"/>
  <c r="R740" i="1"/>
  <c r="AG740" i="1"/>
  <c r="O741" i="1"/>
  <c r="P741" i="1"/>
  <c r="Q741" i="1"/>
  <c r="C741" i="1" s="1"/>
  <c r="D741" i="1" s="1"/>
  <c r="R741" i="1"/>
  <c r="AG741" i="1"/>
  <c r="O742" i="1"/>
  <c r="P742" i="1"/>
  <c r="Q742" i="1"/>
  <c r="C742" i="1" s="1"/>
  <c r="D742" i="1" s="1"/>
  <c r="R742" i="1"/>
  <c r="AG742" i="1"/>
  <c r="U740" i="1"/>
  <c r="AA740" i="1"/>
  <c r="Z742" i="1"/>
  <c r="U742" i="1"/>
  <c r="Y741" i="1"/>
  <c r="Z741" i="1"/>
  <c r="AA742" i="1"/>
  <c r="Z740" i="1"/>
  <c r="Y742" i="1"/>
  <c r="U741" i="1"/>
  <c r="AA741" i="1"/>
  <c r="Y740" i="1"/>
  <c r="K742" i="1" l="1"/>
  <c r="AF740" i="1"/>
  <c r="K740" i="1"/>
  <c r="AF741" i="1"/>
  <c r="K741" i="1"/>
  <c r="AF742" i="1"/>
  <c r="H742" i="1"/>
  <c r="H740" i="1"/>
  <c r="E740" i="1"/>
  <c r="F740" i="1" s="1"/>
  <c r="H741" i="1"/>
  <c r="E741" i="1"/>
  <c r="F741" i="1" s="1"/>
  <c r="E742" i="1"/>
  <c r="F742" i="1" s="1"/>
  <c r="O103" i="1" l="1"/>
  <c r="P103" i="1"/>
  <c r="Q103" i="1"/>
  <c r="C103" i="1" s="1"/>
  <c r="D103" i="1" s="1"/>
  <c r="R103" i="1"/>
  <c r="AG103" i="1"/>
  <c r="U103" i="1"/>
  <c r="Y103" i="1"/>
  <c r="Z103" i="1"/>
  <c r="K103" i="1" l="1"/>
  <c r="H103" i="1"/>
  <c r="E103" i="1"/>
  <c r="F103" i="1" s="1"/>
  <c r="O763" i="1"/>
  <c r="P763" i="1"/>
  <c r="Q763" i="1"/>
  <c r="C763" i="1" s="1"/>
  <c r="D763" i="1" s="1"/>
  <c r="R763" i="1"/>
  <c r="AG763" i="1"/>
  <c r="O764" i="1"/>
  <c r="P764" i="1"/>
  <c r="Q764" i="1"/>
  <c r="C764" i="1" s="1"/>
  <c r="D764" i="1" s="1"/>
  <c r="R764" i="1"/>
  <c r="AG764" i="1"/>
  <c r="O762" i="1"/>
  <c r="P762" i="1"/>
  <c r="Q762" i="1"/>
  <c r="C762" i="1" s="1"/>
  <c r="D762" i="1" s="1"/>
  <c r="R762" i="1"/>
  <c r="AG762" i="1"/>
  <c r="AA762" i="1"/>
  <c r="U763" i="1"/>
  <c r="Z764" i="1"/>
  <c r="Y762" i="1"/>
  <c r="U762" i="1"/>
  <c r="Z763" i="1"/>
  <c r="U764" i="1"/>
  <c r="Y764" i="1"/>
  <c r="Z762" i="1"/>
  <c r="Y763" i="1"/>
  <c r="K763" i="1" l="1"/>
  <c r="K764" i="1"/>
  <c r="AF762" i="1"/>
  <c r="K762" i="1"/>
  <c r="H763" i="1"/>
  <c r="E763" i="1"/>
  <c r="F763" i="1" s="1"/>
  <c r="H764" i="1"/>
  <c r="E764" i="1"/>
  <c r="F764" i="1" s="1"/>
  <c r="H762" i="1"/>
  <c r="E762" i="1"/>
  <c r="F762" i="1" s="1"/>
  <c r="O755" i="1" l="1"/>
  <c r="P755" i="1"/>
  <c r="Q755" i="1"/>
  <c r="C755" i="1" s="1"/>
  <c r="D755" i="1" s="1"/>
  <c r="R755" i="1"/>
  <c r="AG755" i="1"/>
  <c r="O756" i="1"/>
  <c r="O757" i="1"/>
  <c r="O759" i="1"/>
  <c r="O760" i="1"/>
  <c r="P756" i="1"/>
  <c r="P757" i="1"/>
  <c r="P759" i="1"/>
  <c r="P760" i="1"/>
  <c r="Q756" i="1"/>
  <c r="C756" i="1" s="1"/>
  <c r="D756" i="1" s="1"/>
  <c r="Q757" i="1"/>
  <c r="C757" i="1" s="1"/>
  <c r="D757" i="1" s="1"/>
  <c r="Q759" i="1"/>
  <c r="H759" i="1" s="1"/>
  <c r="Q760" i="1"/>
  <c r="C760" i="1" s="1"/>
  <c r="D760" i="1" s="1"/>
  <c r="R756" i="1"/>
  <c r="R757" i="1"/>
  <c r="R759" i="1"/>
  <c r="R760" i="1"/>
  <c r="AG756" i="1"/>
  <c r="AG757" i="1"/>
  <c r="AG759" i="1"/>
  <c r="AG760" i="1"/>
  <c r="O761" i="1"/>
  <c r="O765" i="1"/>
  <c r="O766" i="1"/>
  <c r="O767" i="1"/>
  <c r="P761" i="1"/>
  <c r="P765" i="1"/>
  <c r="P766" i="1"/>
  <c r="P767" i="1"/>
  <c r="Q761" i="1"/>
  <c r="C761" i="1" s="1"/>
  <c r="D761" i="1" s="1"/>
  <c r="Q765" i="1"/>
  <c r="C765" i="1" s="1"/>
  <c r="D765" i="1" s="1"/>
  <c r="Q766" i="1"/>
  <c r="E766" i="1" s="1"/>
  <c r="F766" i="1" s="1"/>
  <c r="Q767" i="1"/>
  <c r="H767" i="1" s="1"/>
  <c r="R761" i="1"/>
  <c r="R765" i="1"/>
  <c r="R766" i="1"/>
  <c r="R767" i="1"/>
  <c r="AG761" i="1"/>
  <c r="AG765" i="1"/>
  <c r="AG766" i="1"/>
  <c r="AG767" i="1"/>
  <c r="O768" i="1"/>
  <c r="O769" i="1"/>
  <c r="P768" i="1"/>
  <c r="P769" i="1"/>
  <c r="Q768" i="1"/>
  <c r="C768" i="1" s="1"/>
  <c r="D768" i="1" s="1"/>
  <c r="Q769" i="1"/>
  <c r="C769" i="1" s="1"/>
  <c r="D769" i="1" s="1"/>
  <c r="R768" i="1"/>
  <c r="R769" i="1"/>
  <c r="AG768" i="1"/>
  <c r="AG769" i="1"/>
  <c r="O770" i="1"/>
  <c r="P770" i="1"/>
  <c r="Q770" i="1"/>
  <c r="C770" i="1" s="1"/>
  <c r="D770" i="1" s="1"/>
  <c r="R770" i="1"/>
  <c r="AG770" i="1"/>
  <c r="O771" i="1"/>
  <c r="P771" i="1"/>
  <c r="Q771" i="1"/>
  <c r="C771" i="1" s="1"/>
  <c r="D771" i="1" s="1"/>
  <c r="R771" i="1"/>
  <c r="AG771" i="1"/>
  <c r="O278" i="1"/>
  <c r="P278" i="1"/>
  <c r="Q278" i="1"/>
  <c r="C278" i="1" s="1"/>
  <c r="D278" i="1" s="1"/>
  <c r="R278" i="1"/>
  <c r="AG278" i="1"/>
  <c r="O275" i="1"/>
  <c r="P275" i="1"/>
  <c r="Q275" i="1"/>
  <c r="C275" i="1" s="1"/>
  <c r="D275" i="1" s="1"/>
  <c r="R275" i="1"/>
  <c r="AG275" i="1"/>
  <c r="O267" i="1"/>
  <c r="P267" i="1"/>
  <c r="Q267" i="1"/>
  <c r="C267" i="1" s="1"/>
  <c r="D267" i="1" s="1"/>
  <c r="R267" i="1"/>
  <c r="AG267" i="1"/>
  <c r="O265" i="1"/>
  <c r="P265" i="1"/>
  <c r="Q265" i="1"/>
  <c r="C265" i="1" s="1"/>
  <c r="D265" i="1" s="1"/>
  <c r="R265" i="1"/>
  <c r="AG265" i="1"/>
  <c r="O263" i="1"/>
  <c r="P263" i="1"/>
  <c r="Q263" i="1"/>
  <c r="C263" i="1" s="1"/>
  <c r="D263" i="1" s="1"/>
  <c r="R263" i="1"/>
  <c r="AG263" i="1"/>
  <c r="O260" i="1"/>
  <c r="P260" i="1"/>
  <c r="Q260" i="1"/>
  <c r="C260" i="1" s="1"/>
  <c r="D260" i="1" s="1"/>
  <c r="R260" i="1"/>
  <c r="AG260" i="1"/>
  <c r="O257" i="1"/>
  <c r="P257" i="1"/>
  <c r="Q257" i="1"/>
  <c r="C257" i="1" s="1"/>
  <c r="D257" i="1" s="1"/>
  <c r="R257" i="1"/>
  <c r="AG257" i="1"/>
  <c r="O255" i="1"/>
  <c r="P255" i="1"/>
  <c r="Q255" i="1"/>
  <c r="C255" i="1" s="1"/>
  <c r="D255" i="1" s="1"/>
  <c r="R255" i="1"/>
  <c r="AG255" i="1"/>
  <c r="O251" i="1"/>
  <c r="P251" i="1"/>
  <c r="Q251" i="1"/>
  <c r="C251" i="1" s="1"/>
  <c r="D251" i="1" s="1"/>
  <c r="R251" i="1"/>
  <c r="AG251" i="1"/>
  <c r="O249" i="1"/>
  <c r="P249" i="1"/>
  <c r="Q249" i="1"/>
  <c r="C249" i="1" s="1"/>
  <c r="D249" i="1" s="1"/>
  <c r="R249" i="1"/>
  <c r="AG249" i="1"/>
  <c r="O244" i="1"/>
  <c r="P244" i="1"/>
  <c r="Q244" i="1"/>
  <c r="C244" i="1" s="1"/>
  <c r="D244" i="1" s="1"/>
  <c r="R244" i="1"/>
  <c r="AG244" i="1"/>
  <c r="O242" i="1"/>
  <c r="P242" i="1"/>
  <c r="Q242" i="1"/>
  <c r="C242" i="1" s="1"/>
  <c r="D242" i="1" s="1"/>
  <c r="R242" i="1"/>
  <c r="AG242" i="1"/>
  <c r="O239" i="1"/>
  <c r="P239" i="1"/>
  <c r="Q239" i="1"/>
  <c r="E239" i="1" s="1"/>
  <c r="F239" i="1" s="1"/>
  <c r="R239" i="1"/>
  <c r="AG239" i="1"/>
  <c r="O236" i="1"/>
  <c r="P236" i="1"/>
  <c r="Q236" i="1"/>
  <c r="C236" i="1" s="1"/>
  <c r="D236" i="1" s="1"/>
  <c r="R236" i="1"/>
  <c r="AG236" i="1"/>
  <c r="O234" i="1"/>
  <c r="P234" i="1"/>
  <c r="Q234" i="1"/>
  <c r="C234" i="1" s="1"/>
  <c r="D234" i="1" s="1"/>
  <c r="R234" i="1"/>
  <c r="AG234" i="1"/>
  <c r="S217" i="8"/>
  <c r="AF217" i="8"/>
  <c r="AG217" i="8" s="1"/>
  <c r="Z242" i="1"/>
  <c r="U265" i="1"/>
  <c r="U760" i="1"/>
  <c r="U267" i="1"/>
  <c r="Y767" i="1"/>
  <c r="AA768" i="1"/>
  <c r="U263" i="1"/>
  <c r="AA255" i="1"/>
  <c r="Z236" i="1"/>
  <c r="AA761" i="1"/>
  <c r="Y265" i="1"/>
  <c r="Y267" i="1"/>
  <c r="Z760" i="1"/>
  <c r="Y278" i="1"/>
  <c r="U759" i="1"/>
  <c r="U257" i="1"/>
  <c r="Z755" i="1"/>
  <c r="U249" i="1"/>
  <c r="Z765" i="1"/>
  <c r="Z251" i="1"/>
  <c r="Y239" i="1"/>
  <c r="AA236" i="1"/>
  <c r="Z759" i="1"/>
  <c r="U765" i="1"/>
  <c r="U755" i="1"/>
  <c r="Y759" i="1"/>
  <c r="AA770" i="1"/>
  <c r="Z770" i="1"/>
  <c r="R217" i="8" a="1"/>
  <c r="U771" i="1"/>
  <c r="U770" i="1"/>
  <c r="Y260" i="1"/>
  <c r="Y257" i="1"/>
  <c r="U757" i="1"/>
  <c r="Z267" i="1"/>
  <c r="Z263" i="1"/>
  <c r="AA759" i="1"/>
  <c r="Z255" i="1"/>
  <c r="Y756" i="1"/>
  <c r="Z257" i="1"/>
  <c r="Z761" i="1"/>
  <c r="AQ217" i="8" a="1"/>
  <c r="AA769" i="1"/>
  <c r="AA755" i="1"/>
  <c r="Z249" i="1"/>
  <c r="AA242" i="1"/>
  <c r="U236" i="1"/>
  <c r="U239" i="1"/>
  <c r="U756" i="1"/>
  <c r="AA263" i="1"/>
  <c r="Y761" i="1"/>
  <c r="AA265" i="1"/>
  <c r="Y769" i="1"/>
  <c r="Y275" i="1"/>
  <c r="U761" i="1"/>
  <c r="Y242" i="1"/>
  <c r="U768" i="1"/>
  <c r="Y770" i="1"/>
  <c r="U242" i="1"/>
  <c r="U767" i="1"/>
  <c r="Y766" i="1"/>
  <c r="AA267" i="1"/>
  <c r="AA765" i="1"/>
  <c r="Z275" i="1"/>
  <c r="Z265" i="1"/>
  <c r="Z244" i="1"/>
  <c r="AA257" i="1"/>
  <c r="Z756" i="1"/>
  <c r="AA766" i="1"/>
  <c r="U769" i="1"/>
  <c r="Y255" i="1"/>
  <c r="Y771" i="1"/>
  <c r="Y263" i="1"/>
  <c r="AA249" i="1"/>
  <c r="Y244" i="1"/>
  <c r="Y249" i="1"/>
  <c r="AA251" i="1"/>
  <c r="U234" i="1"/>
  <c r="Z769" i="1"/>
  <c r="U244" i="1"/>
  <c r="Z260" i="1"/>
  <c r="U278" i="1"/>
  <c r="U251" i="1"/>
  <c r="AA767" i="1"/>
  <c r="Z234" i="1"/>
  <c r="Y768" i="1"/>
  <c r="U260" i="1"/>
  <c r="U275" i="1"/>
  <c r="AA760" i="1"/>
  <c r="Y757" i="1"/>
  <c r="Y251" i="1"/>
  <c r="Y234" i="1"/>
  <c r="Y755" i="1"/>
  <c r="Z239" i="1"/>
  <c r="U255" i="1"/>
  <c r="U766" i="1"/>
  <c r="Z767" i="1"/>
  <c r="Y765" i="1"/>
  <c r="Y236" i="1"/>
  <c r="Z768" i="1"/>
  <c r="Z757" i="1"/>
  <c r="AA757" i="1"/>
  <c r="AA278" i="1"/>
  <c r="AA771" i="1"/>
  <c r="Z766" i="1"/>
  <c r="Z278" i="1"/>
  <c r="Z771" i="1"/>
  <c r="Y760" i="1"/>
  <c r="AQ217" i="8" l="1"/>
  <c r="K260" i="1"/>
  <c r="AF770" i="1"/>
  <c r="K251" i="1"/>
  <c r="K275" i="1"/>
  <c r="AF768" i="1"/>
  <c r="AF267" i="1"/>
  <c r="K760" i="1"/>
  <c r="K249" i="1"/>
  <c r="R217" i="8"/>
  <c r="AF257" i="1"/>
  <c r="K770" i="1"/>
  <c r="K769" i="1"/>
  <c r="K767" i="1"/>
  <c r="K759" i="1"/>
  <c r="AF755" i="1"/>
  <c r="K236" i="1"/>
  <c r="K267" i="1"/>
  <c r="AF771" i="1"/>
  <c r="K768" i="1"/>
  <c r="K766" i="1"/>
  <c r="K757" i="1"/>
  <c r="K257" i="1"/>
  <c r="AF265" i="1"/>
  <c r="K765" i="1"/>
  <c r="K756" i="1"/>
  <c r="K755" i="1"/>
  <c r="AF236" i="1"/>
  <c r="K244" i="1"/>
  <c r="AF255" i="1"/>
  <c r="K771" i="1"/>
  <c r="K761" i="1"/>
  <c r="AF769" i="1"/>
  <c r="K265" i="1"/>
  <c r="AF278" i="1"/>
  <c r="AF767" i="1"/>
  <c r="AF760" i="1"/>
  <c r="AF242" i="1"/>
  <c r="AF263" i="1"/>
  <c r="AF766" i="1"/>
  <c r="AF759" i="1"/>
  <c r="K239" i="1"/>
  <c r="AF249" i="1"/>
  <c r="K234" i="1"/>
  <c r="K242" i="1"/>
  <c r="K278" i="1"/>
  <c r="AF765" i="1"/>
  <c r="AF757" i="1"/>
  <c r="K255" i="1"/>
  <c r="AF251" i="1"/>
  <c r="K263" i="1"/>
  <c r="AF761" i="1"/>
  <c r="H769" i="1"/>
  <c r="H766" i="1"/>
  <c r="H755" i="1"/>
  <c r="H765" i="1"/>
  <c r="E755" i="1"/>
  <c r="F755" i="1" s="1"/>
  <c r="H761" i="1"/>
  <c r="E756" i="1"/>
  <c r="F756" i="1" s="1"/>
  <c r="H760" i="1"/>
  <c r="E760" i="1"/>
  <c r="F760" i="1" s="1"/>
  <c r="E759" i="1"/>
  <c r="F759" i="1" s="1"/>
  <c r="E757" i="1"/>
  <c r="F757" i="1" s="1"/>
  <c r="H757" i="1"/>
  <c r="C759" i="1"/>
  <c r="D759" i="1" s="1"/>
  <c r="C767" i="1"/>
  <c r="D767" i="1" s="1"/>
  <c r="H756" i="1"/>
  <c r="C766" i="1"/>
  <c r="D766" i="1" s="1"/>
  <c r="E767" i="1"/>
  <c r="F767" i="1" s="1"/>
  <c r="E765" i="1"/>
  <c r="F765" i="1" s="1"/>
  <c r="E761" i="1"/>
  <c r="F761" i="1" s="1"/>
  <c r="H768" i="1"/>
  <c r="E769" i="1"/>
  <c r="F769" i="1" s="1"/>
  <c r="E768" i="1"/>
  <c r="F768" i="1" s="1"/>
  <c r="E770" i="1"/>
  <c r="F770" i="1" s="1"/>
  <c r="H770" i="1"/>
  <c r="H771" i="1"/>
  <c r="E771" i="1"/>
  <c r="F771" i="1" s="1"/>
  <c r="H278" i="1"/>
  <c r="H275" i="1"/>
  <c r="E278" i="1"/>
  <c r="F278" i="1" s="1"/>
  <c r="E275" i="1"/>
  <c r="F275" i="1" s="1"/>
  <c r="H267" i="1"/>
  <c r="E267" i="1"/>
  <c r="F267" i="1" s="1"/>
  <c r="H265" i="1"/>
  <c r="E265" i="1"/>
  <c r="F265" i="1" s="1"/>
  <c r="H263" i="1"/>
  <c r="E263" i="1"/>
  <c r="F263" i="1" s="1"/>
  <c r="H260" i="1"/>
  <c r="E260" i="1"/>
  <c r="F260" i="1" s="1"/>
  <c r="H257" i="1"/>
  <c r="E257" i="1"/>
  <c r="F257" i="1" s="1"/>
  <c r="H255" i="1"/>
  <c r="E255" i="1"/>
  <c r="F255" i="1" s="1"/>
  <c r="H251" i="1"/>
  <c r="H244" i="1"/>
  <c r="H249" i="1"/>
  <c r="E251" i="1"/>
  <c r="F251" i="1" s="1"/>
  <c r="E249" i="1"/>
  <c r="F249" i="1" s="1"/>
  <c r="E244" i="1"/>
  <c r="F244" i="1" s="1"/>
  <c r="E242" i="1"/>
  <c r="F242" i="1" s="1"/>
  <c r="H242" i="1"/>
  <c r="C239" i="1"/>
  <c r="D239" i="1" s="1"/>
  <c r="H239" i="1"/>
  <c r="H236" i="1"/>
  <c r="E236" i="1"/>
  <c r="F236" i="1" s="1"/>
  <c r="H234" i="1"/>
  <c r="E234" i="1"/>
  <c r="F234" i="1" s="1"/>
  <c r="Y217" i="8"/>
  <c r="Z217" i="8"/>
  <c r="AR217" i="8" l="1"/>
  <c r="AK217" i="8"/>
  <c r="AI217" i="8"/>
  <c r="AH217" i="8" s="1"/>
  <c r="O170" i="1"/>
  <c r="P170" i="1"/>
  <c r="Q170" i="1"/>
  <c r="C170" i="1" s="1"/>
  <c r="D170" i="1" s="1"/>
  <c r="R170" i="1"/>
  <c r="AG170" i="1"/>
  <c r="O221" i="1"/>
  <c r="P221" i="1"/>
  <c r="Q221" i="1"/>
  <c r="C221" i="1" s="1"/>
  <c r="D221" i="1" s="1"/>
  <c r="R221" i="1"/>
  <c r="AG221" i="1"/>
  <c r="O222" i="1"/>
  <c r="P222" i="1"/>
  <c r="Q222" i="1"/>
  <c r="C222" i="1" s="1"/>
  <c r="D222" i="1" s="1"/>
  <c r="R222" i="1"/>
  <c r="AG222" i="1"/>
  <c r="Y222" i="1"/>
  <c r="Z222" i="1"/>
  <c r="Y170" i="1"/>
  <c r="U221" i="1"/>
  <c r="U170" i="1"/>
  <c r="Z221" i="1"/>
  <c r="U222" i="1"/>
  <c r="Z170" i="1"/>
  <c r="Y221" i="1"/>
  <c r="K170" i="1" l="1"/>
  <c r="K221" i="1"/>
  <c r="K222" i="1"/>
  <c r="H170" i="1"/>
  <c r="E170" i="1"/>
  <c r="F170" i="1" s="1"/>
  <c r="H221" i="1"/>
  <c r="E221" i="1"/>
  <c r="F221" i="1" s="1"/>
  <c r="E222" i="1"/>
  <c r="F222" i="1" s="1"/>
  <c r="H222" i="1"/>
  <c r="O749" i="1" l="1"/>
  <c r="P749" i="1"/>
  <c r="Q749" i="1"/>
  <c r="E749" i="1" s="1"/>
  <c r="F749" i="1" s="1"/>
  <c r="R749" i="1"/>
  <c r="AG749" i="1"/>
  <c r="Y749" i="1"/>
  <c r="Z749" i="1"/>
  <c r="U749" i="1"/>
  <c r="K749" i="1" l="1"/>
  <c r="H749" i="1"/>
  <c r="C749" i="1"/>
  <c r="D749" i="1" s="1"/>
  <c r="S366" i="8" l="1"/>
  <c r="S365" i="8"/>
  <c r="S364" i="8"/>
  <c r="S363" i="8"/>
  <c r="S362" i="8"/>
  <c r="S361" i="8"/>
  <c r="S360" i="8"/>
  <c r="S359" i="8"/>
  <c r="S358" i="8"/>
  <c r="S357" i="8"/>
  <c r="S356" i="8"/>
  <c r="S355" i="8"/>
  <c r="S354" i="8"/>
  <c r="S353" i="8"/>
  <c r="AF353" i="8"/>
  <c r="AG353" i="8" s="1"/>
  <c r="AF354" i="8"/>
  <c r="AG354" i="8" s="1"/>
  <c r="AF355" i="8"/>
  <c r="AG355" i="8" s="1"/>
  <c r="AF356" i="8"/>
  <c r="AG356" i="8" s="1"/>
  <c r="AF357" i="8"/>
  <c r="AG357" i="8" s="1"/>
  <c r="AF358" i="8"/>
  <c r="AG358" i="8" s="1"/>
  <c r="AF359" i="8"/>
  <c r="AG359" i="8" s="1"/>
  <c r="AF360" i="8"/>
  <c r="AG360" i="8" s="1"/>
  <c r="AF361" i="8"/>
  <c r="AG361" i="8" s="1"/>
  <c r="AF362" i="8"/>
  <c r="AG362" i="8" s="1"/>
  <c r="AF363" i="8"/>
  <c r="AG363" i="8" s="1"/>
  <c r="AF364" i="8"/>
  <c r="AG364" i="8" s="1"/>
  <c r="AF365" i="8"/>
  <c r="AG365" i="8" s="1"/>
  <c r="AF366" i="8"/>
  <c r="AG366" i="8" s="1"/>
  <c r="AQ359" i="8" a="1"/>
  <c r="AQ357" i="8" a="1"/>
  <c r="AQ360" i="8" a="1"/>
  <c r="R358" i="8" a="1"/>
  <c r="AQ362" i="8" a="1"/>
  <c r="AQ365" i="8" a="1"/>
  <c r="R366" i="8" a="1"/>
  <c r="R362" i="8" a="1"/>
  <c r="R355" i="8" a="1"/>
  <c r="AQ356" i="8" a="1"/>
  <c r="R365" i="8" a="1"/>
  <c r="R354" i="8" a="1"/>
  <c r="R364" i="8" a="1"/>
  <c r="Z358" i="8"/>
  <c r="AQ361" i="8" a="1"/>
  <c r="AQ364" i="8" a="1"/>
  <c r="AQ363" i="8" a="1"/>
  <c r="AQ358" i="8" a="1"/>
  <c r="AQ366" i="8" a="1"/>
  <c r="AQ354" i="8" a="1"/>
  <c r="AQ353" i="8" a="1"/>
  <c r="R363" i="8" a="1"/>
  <c r="R360" i="8" a="1"/>
  <c r="R356" i="8" a="1"/>
  <c r="R361" i="8" a="1"/>
  <c r="AQ355" i="8" a="1"/>
  <c r="R359" i="8" a="1"/>
  <c r="R353" i="8" a="1"/>
  <c r="R357" i="8" a="1"/>
  <c r="AQ364" i="8" l="1"/>
  <c r="AQ362" i="8"/>
  <c r="AQ355" i="8"/>
  <c r="R355" i="8"/>
  <c r="R361" i="8"/>
  <c r="AQ361" i="8"/>
  <c r="AQ354" i="8"/>
  <c r="AQ360" i="8"/>
  <c r="AQ353" i="8"/>
  <c r="R356" i="8"/>
  <c r="R362" i="8"/>
  <c r="AQ359" i="8"/>
  <c r="AQ366" i="8"/>
  <c r="AQ358" i="8"/>
  <c r="R357" i="8"/>
  <c r="R363" i="8"/>
  <c r="AQ365" i="8"/>
  <c r="R358" i="8"/>
  <c r="R364" i="8"/>
  <c r="AQ363" i="8"/>
  <c r="R353" i="8"/>
  <c r="R359" i="8"/>
  <c r="R365" i="8"/>
  <c r="AQ357" i="8"/>
  <c r="R354" i="8"/>
  <c r="R360" i="8"/>
  <c r="R366" i="8"/>
  <c r="AR358" i="8"/>
  <c r="AQ356" i="8"/>
  <c r="AI356" i="8"/>
  <c r="AH356" i="8" s="1"/>
  <c r="AK354" i="8"/>
  <c r="AI354" i="8"/>
  <c r="AH354" i="8" s="1"/>
  <c r="AK353" i="8"/>
  <c r="AI353" i="8"/>
  <c r="AH353" i="8" s="1"/>
  <c r="AI359" i="8"/>
  <c r="AH359" i="8" s="1"/>
  <c r="AK359" i="8"/>
  <c r="AK358" i="8"/>
  <c r="AI358" i="8"/>
  <c r="AH358" i="8" s="1"/>
  <c r="AI365" i="8"/>
  <c r="AH365" i="8" s="1"/>
  <c r="AK365" i="8"/>
  <c r="AI364" i="8"/>
  <c r="AH364" i="8" s="1"/>
  <c r="AK364" i="8"/>
  <c r="AI363" i="8"/>
  <c r="AH363" i="8" s="1"/>
  <c r="AK363" i="8"/>
  <c r="AK366" i="8"/>
  <c r="AI366" i="8"/>
  <c r="AH366" i="8" s="1"/>
  <c r="S5" i="8"/>
  <c r="O699" i="1"/>
  <c r="P699" i="1"/>
  <c r="Q699" i="1"/>
  <c r="C699" i="1" s="1"/>
  <c r="D699" i="1" s="1"/>
  <c r="R699" i="1"/>
  <c r="AG699" i="1"/>
  <c r="O700" i="1"/>
  <c r="P700" i="1"/>
  <c r="Q700" i="1"/>
  <c r="C700" i="1" s="1"/>
  <c r="D700" i="1" s="1"/>
  <c r="R700" i="1"/>
  <c r="AG700" i="1"/>
  <c r="Y360" i="8"/>
  <c r="Y700" i="1"/>
  <c r="R5" i="8" a="1"/>
  <c r="Z699" i="1"/>
  <c r="U699" i="1"/>
  <c r="Y699" i="1"/>
  <c r="U700" i="1"/>
  <c r="Z700" i="1"/>
  <c r="Z360" i="8"/>
  <c r="Y358" i="8"/>
  <c r="AR360" i="8" l="1"/>
  <c r="K699" i="1"/>
  <c r="K700" i="1"/>
  <c r="R5" i="8"/>
  <c r="AK356" i="8"/>
  <c r="AI357" i="8"/>
  <c r="AH357" i="8" s="1"/>
  <c r="AK357" i="8"/>
  <c r="AI355" i="8"/>
  <c r="AH355" i="8" s="1"/>
  <c r="AK355" i="8"/>
  <c r="AK361" i="8"/>
  <c r="AI361" i="8"/>
  <c r="AH361" i="8" s="1"/>
  <c r="AK360" i="8"/>
  <c r="AI360" i="8"/>
  <c r="AH360" i="8" s="1"/>
  <c r="AI362" i="8"/>
  <c r="AH362" i="8" s="1"/>
  <c r="AK362" i="8"/>
  <c r="H700" i="1"/>
  <c r="E699" i="1"/>
  <c r="F699" i="1" s="1"/>
  <c r="H699" i="1"/>
  <c r="E700" i="1"/>
  <c r="F700" i="1" s="1"/>
  <c r="S351" i="8" l="1"/>
  <c r="S350" i="8"/>
  <c r="S349" i="8"/>
  <c r="S348" i="8"/>
  <c r="S347" i="8"/>
  <c r="S346" i="8"/>
  <c r="S345" i="8"/>
  <c r="S344" i="8"/>
  <c r="AF344" i="8"/>
  <c r="AG344" i="8" s="1"/>
  <c r="AF345" i="8"/>
  <c r="AG345" i="8" s="1"/>
  <c r="AF346" i="8"/>
  <c r="AG346" i="8" s="1"/>
  <c r="AF347" i="8"/>
  <c r="AG347" i="8" s="1"/>
  <c r="AF348" i="8"/>
  <c r="AG348" i="8" s="1"/>
  <c r="AF349" i="8"/>
  <c r="AG349" i="8" s="1"/>
  <c r="AF350" i="8"/>
  <c r="AG350" i="8" s="1"/>
  <c r="AF351" i="8"/>
  <c r="AG351" i="8" s="1"/>
  <c r="R351" i="8" a="1"/>
  <c r="R347" i="8" a="1"/>
  <c r="R349" i="8" a="1"/>
  <c r="R350" i="8" a="1"/>
  <c r="AQ344" i="8" a="1"/>
  <c r="AQ351" i="8" a="1"/>
  <c r="AQ349" i="8" a="1"/>
  <c r="R344" i="8" a="1"/>
  <c r="AQ345" i="8" a="1"/>
  <c r="R346" i="8" a="1"/>
  <c r="AQ347" i="8" a="1"/>
  <c r="R348" i="8" a="1"/>
  <c r="AQ350" i="8" a="1"/>
  <c r="AQ348" i="8" a="1"/>
  <c r="R345" i="8" a="1"/>
  <c r="AQ346" i="8" a="1"/>
  <c r="AQ347" i="8" l="1"/>
  <c r="AQ346" i="8"/>
  <c r="R347" i="8"/>
  <c r="AQ348" i="8"/>
  <c r="R346" i="8"/>
  <c r="AQ351" i="8"/>
  <c r="AQ345" i="8"/>
  <c r="R348" i="8"/>
  <c r="AQ350" i="8"/>
  <c r="AQ344" i="8"/>
  <c r="R349" i="8"/>
  <c r="AQ349" i="8"/>
  <c r="R344" i="8"/>
  <c r="R350" i="8"/>
  <c r="R345" i="8"/>
  <c r="R351" i="8"/>
  <c r="AI345" i="8"/>
  <c r="AH345" i="8" s="1"/>
  <c r="AI347" i="8"/>
  <c r="AH347" i="8" s="1"/>
  <c r="AK347" i="8"/>
  <c r="AI346" i="8"/>
  <c r="AH346" i="8" s="1"/>
  <c r="AK346" i="8"/>
  <c r="AI349" i="8"/>
  <c r="AH349" i="8" s="1"/>
  <c r="AK349" i="8"/>
  <c r="AI348" i="8"/>
  <c r="AH348" i="8" s="1"/>
  <c r="AK348" i="8"/>
  <c r="AK350" i="8"/>
  <c r="AI351" i="8"/>
  <c r="AH351" i="8" s="1"/>
  <c r="AK351" i="8"/>
  <c r="S339" i="8"/>
  <c r="O698" i="1"/>
  <c r="P698" i="1"/>
  <c r="Q698" i="1"/>
  <c r="C698" i="1" s="1"/>
  <c r="D698" i="1" s="1"/>
  <c r="R698" i="1"/>
  <c r="AG698" i="1"/>
  <c r="O697" i="1"/>
  <c r="P697" i="1"/>
  <c r="Q697" i="1"/>
  <c r="C697" i="1" s="1"/>
  <c r="D697" i="1" s="1"/>
  <c r="R697" i="1"/>
  <c r="AG697" i="1"/>
  <c r="O696" i="1"/>
  <c r="P696" i="1"/>
  <c r="Q696" i="1"/>
  <c r="C696" i="1" s="1"/>
  <c r="D696" i="1" s="1"/>
  <c r="R696" i="1"/>
  <c r="AG696" i="1"/>
  <c r="AA698" i="1"/>
  <c r="Y698" i="1"/>
  <c r="Y697" i="1"/>
  <c r="U698" i="1"/>
  <c r="U697" i="1"/>
  <c r="Z697" i="1"/>
  <c r="Z696" i="1"/>
  <c r="R339" i="8" a="1"/>
  <c r="Y696" i="1"/>
  <c r="U696" i="1"/>
  <c r="Z698" i="1"/>
  <c r="K698" i="1" l="1"/>
  <c r="R339" i="8"/>
  <c r="AF698" i="1"/>
  <c r="K697" i="1"/>
  <c r="K696" i="1"/>
  <c r="AK345" i="8"/>
  <c r="AI344" i="8"/>
  <c r="AH344" i="8" s="1"/>
  <c r="AK344" i="8"/>
  <c r="AI350" i="8"/>
  <c r="AH350" i="8" s="1"/>
  <c r="H698" i="1"/>
  <c r="E698" i="1"/>
  <c r="F698" i="1" s="1"/>
  <c r="H697" i="1"/>
  <c r="E697" i="1"/>
  <c r="F697" i="1" s="1"/>
  <c r="H696" i="1"/>
  <c r="E696" i="1"/>
  <c r="F696" i="1" s="1"/>
  <c r="AF5" i="8" l="1"/>
  <c r="AG5" i="8" s="1"/>
  <c r="AQ5" i="8" a="1"/>
  <c r="AQ5" i="8" l="1"/>
  <c r="S67" i="8"/>
  <c r="AF67" i="8"/>
  <c r="AG67" i="8" s="1"/>
  <c r="O695" i="1"/>
  <c r="P695" i="1"/>
  <c r="Q695" i="1"/>
  <c r="C695" i="1" s="1"/>
  <c r="D695" i="1" s="1"/>
  <c r="R695" i="1"/>
  <c r="AG695" i="1"/>
  <c r="Y695" i="1"/>
  <c r="AA695" i="1"/>
  <c r="U695" i="1"/>
  <c r="AQ67" i="8" a="1"/>
  <c r="R67" i="8" a="1"/>
  <c r="Z695" i="1"/>
  <c r="K695" i="1" l="1"/>
  <c r="AQ67" i="8"/>
  <c r="R67" i="8"/>
  <c r="AF695" i="1"/>
  <c r="AI5" i="8"/>
  <c r="AH5" i="8" s="1"/>
  <c r="AK5" i="8"/>
  <c r="H695" i="1"/>
  <c r="E695" i="1"/>
  <c r="F695" i="1" s="1"/>
  <c r="AG693" i="1"/>
  <c r="R693" i="1"/>
  <c r="Q693" i="1"/>
  <c r="E693" i="1" s="1"/>
  <c r="F693" i="1" s="1"/>
  <c r="P693" i="1"/>
  <c r="O693" i="1"/>
  <c r="AG694" i="1"/>
  <c r="R694" i="1"/>
  <c r="Q694" i="1"/>
  <c r="E694" i="1" s="1"/>
  <c r="F694" i="1" s="1"/>
  <c r="P694" i="1"/>
  <c r="O694" i="1"/>
  <c r="O691" i="1"/>
  <c r="P691" i="1"/>
  <c r="Q691" i="1"/>
  <c r="C691" i="1" s="1"/>
  <c r="D691" i="1" s="1"/>
  <c r="R691" i="1"/>
  <c r="AG691" i="1"/>
  <c r="O692" i="1"/>
  <c r="P692" i="1"/>
  <c r="Q692" i="1"/>
  <c r="C692" i="1" s="1"/>
  <c r="D692" i="1" s="1"/>
  <c r="R692" i="1"/>
  <c r="AG692" i="1"/>
  <c r="U693" i="1"/>
  <c r="Y692" i="1"/>
  <c r="Z692" i="1"/>
  <c r="U692" i="1"/>
  <c r="U691" i="1"/>
  <c r="Z694" i="1"/>
  <c r="Y691" i="1"/>
  <c r="AA693" i="1"/>
  <c r="Y693" i="1"/>
  <c r="U694" i="1"/>
  <c r="Z693" i="1"/>
  <c r="AA694" i="1"/>
  <c r="Y694" i="1"/>
  <c r="Z691" i="1"/>
  <c r="AF693" i="1" l="1"/>
  <c r="K693" i="1"/>
  <c r="K694" i="1"/>
  <c r="K691" i="1"/>
  <c r="AF694" i="1"/>
  <c r="K692" i="1"/>
  <c r="AI67" i="8"/>
  <c r="AH67" i="8" s="1"/>
  <c r="AK67" i="8"/>
  <c r="C694" i="1"/>
  <c r="D694" i="1" s="1"/>
  <c r="H694" i="1"/>
  <c r="C693" i="1"/>
  <c r="D693" i="1" s="1"/>
  <c r="H693" i="1"/>
  <c r="H691" i="1"/>
  <c r="H692" i="1"/>
  <c r="E691" i="1"/>
  <c r="F691" i="1" s="1"/>
  <c r="E692" i="1"/>
  <c r="F692" i="1" s="1"/>
  <c r="O689" i="1"/>
  <c r="P689" i="1"/>
  <c r="Q689" i="1"/>
  <c r="C689" i="1" s="1"/>
  <c r="D689" i="1" s="1"/>
  <c r="R689" i="1"/>
  <c r="AG689" i="1"/>
  <c r="O690" i="1"/>
  <c r="P690" i="1"/>
  <c r="Q690" i="1"/>
  <c r="C690" i="1" s="1"/>
  <c r="D690" i="1" s="1"/>
  <c r="R690" i="1"/>
  <c r="AG690" i="1"/>
  <c r="U690" i="1"/>
  <c r="Z690" i="1"/>
  <c r="Y690" i="1"/>
  <c r="Z689" i="1"/>
  <c r="Y689" i="1"/>
  <c r="U689" i="1"/>
  <c r="K689" i="1" l="1"/>
  <c r="K690" i="1"/>
  <c r="E689" i="1"/>
  <c r="F689" i="1" s="1"/>
  <c r="H689" i="1"/>
  <c r="H690" i="1"/>
  <c r="E690" i="1"/>
  <c r="F690" i="1" s="1"/>
  <c r="AG7" i="1" l="1"/>
  <c r="U7" i="1"/>
  <c r="S352" i="8" l="1"/>
  <c r="S343" i="8"/>
  <c r="S342" i="8"/>
  <c r="S341" i="8"/>
  <c r="S340" i="8"/>
  <c r="S338" i="8"/>
  <c r="S337" i="8"/>
  <c r="S336" i="8"/>
  <c r="S335" i="8"/>
  <c r="S334" i="8"/>
  <c r="S333" i="8"/>
  <c r="S332" i="8"/>
  <c r="S331" i="8"/>
  <c r="S330" i="8"/>
  <c r="S329" i="8"/>
  <c r="S328" i="8"/>
  <c r="S327" i="8"/>
  <c r="S326" i="8"/>
  <c r="S325" i="8"/>
  <c r="S324" i="8"/>
  <c r="S323" i="8"/>
  <c r="S322" i="8"/>
  <c r="S321" i="8"/>
  <c r="S320" i="8"/>
  <c r="S319" i="8"/>
  <c r="S318" i="8"/>
  <c r="S317" i="8"/>
  <c r="S316" i="8"/>
  <c r="S315" i="8"/>
  <c r="S314" i="8"/>
  <c r="S313" i="8"/>
  <c r="S312" i="8"/>
  <c r="S311" i="8"/>
  <c r="S310" i="8"/>
  <c r="S309" i="8"/>
  <c r="S308" i="8"/>
  <c r="S307" i="8"/>
  <c r="S306" i="8"/>
  <c r="S305" i="8"/>
  <c r="S304" i="8"/>
  <c r="S303" i="8"/>
  <c r="S302" i="8"/>
  <c r="S301" i="8"/>
  <c r="S300" i="8"/>
  <c r="S299" i="8"/>
  <c r="S298" i="8"/>
  <c r="S297" i="8"/>
  <c r="S296" i="8"/>
  <c r="S295" i="8"/>
  <c r="S294" i="8"/>
  <c r="S293" i="8"/>
  <c r="S292" i="8"/>
  <c r="S291" i="8"/>
  <c r="S290" i="8"/>
  <c r="S289" i="8"/>
  <c r="S288" i="8"/>
  <c r="S287" i="8"/>
  <c r="S286" i="8"/>
  <c r="S285" i="8"/>
  <c r="AF383" i="8"/>
  <c r="AG383" i="8" s="1"/>
  <c r="AF352" i="8"/>
  <c r="AG352" i="8" s="1"/>
  <c r="AF343" i="8"/>
  <c r="AG343" i="8" s="1"/>
  <c r="AF342" i="8"/>
  <c r="AG342" i="8" s="1"/>
  <c r="AF341" i="8"/>
  <c r="AG341" i="8" s="1"/>
  <c r="AF340" i="8"/>
  <c r="AG340" i="8" s="1"/>
  <c r="AF339" i="8"/>
  <c r="AG339" i="8" s="1"/>
  <c r="AF338" i="8"/>
  <c r="AG338" i="8" s="1"/>
  <c r="AF337" i="8"/>
  <c r="AG337" i="8" s="1"/>
  <c r="AF336" i="8"/>
  <c r="AG336" i="8" s="1"/>
  <c r="AF335" i="8"/>
  <c r="AG335" i="8" s="1"/>
  <c r="AF334" i="8"/>
  <c r="AG334" i="8" s="1"/>
  <c r="AF333" i="8"/>
  <c r="AG333" i="8" s="1"/>
  <c r="AF332" i="8"/>
  <c r="AG332" i="8" s="1"/>
  <c r="AF331" i="8"/>
  <c r="AG331" i="8" s="1"/>
  <c r="AF327" i="8"/>
  <c r="AG327" i="8" s="1"/>
  <c r="AF328" i="8"/>
  <c r="AG328" i="8" s="1"/>
  <c r="AF329" i="8"/>
  <c r="AG329" i="8" s="1"/>
  <c r="AF330" i="8"/>
  <c r="AG330" i="8" s="1"/>
  <c r="AF285" i="8"/>
  <c r="AG285" i="8" s="1"/>
  <c r="AF286" i="8"/>
  <c r="AG286" i="8" s="1"/>
  <c r="AF287" i="8"/>
  <c r="AG287" i="8" s="1"/>
  <c r="AF288" i="8"/>
  <c r="AG288" i="8" s="1"/>
  <c r="AF289" i="8"/>
  <c r="AG289" i="8" s="1"/>
  <c r="AF290" i="8"/>
  <c r="AG290" i="8" s="1"/>
  <c r="AF291" i="8"/>
  <c r="AG291" i="8" s="1"/>
  <c r="AF292" i="8"/>
  <c r="AG292" i="8" s="1"/>
  <c r="AF293" i="8"/>
  <c r="AG293" i="8" s="1"/>
  <c r="AF294" i="8"/>
  <c r="AG294" i="8" s="1"/>
  <c r="AF295" i="8"/>
  <c r="AG295" i="8" s="1"/>
  <c r="AF296" i="8"/>
  <c r="AG296" i="8" s="1"/>
  <c r="AF297" i="8"/>
  <c r="AG297" i="8" s="1"/>
  <c r="AF298" i="8"/>
  <c r="AG298" i="8" s="1"/>
  <c r="AF299" i="8"/>
  <c r="AG299" i="8" s="1"/>
  <c r="AF300" i="8"/>
  <c r="AG300" i="8" s="1"/>
  <c r="AK300" i="8" s="1"/>
  <c r="AF301" i="8"/>
  <c r="AG301" i="8" s="1"/>
  <c r="AK301" i="8" s="1"/>
  <c r="AF302" i="8"/>
  <c r="AG302" i="8" s="1"/>
  <c r="AF303" i="8"/>
  <c r="AG303" i="8" s="1"/>
  <c r="AF304" i="8"/>
  <c r="AG304" i="8" s="1"/>
  <c r="AF305" i="8"/>
  <c r="AG305" i="8" s="1"/>
  <c r="AF306" i="8"/>
  <c r="AG306" i="8" s="1"/>
  <c r="AF307" i="8"/>
  <c r="AG307" i="8" s="1"/>
  <c r="AF308" i="8"/>
  <c r="AG308" i="8" s="1"/>
  <c r="AF309" i="8"/>
  <c r="AG309" i="8" s="1"/>
  <c r="AF310" i="8"/>
  <c r="AG310" i="8" s="1"/>
  <c r="AF311" i="8"/>
  <c r="AG311" i="8" s="1"/>
  <c r="AF312" i="8"/>
  <c r="AG312" i="8" s="1"/>
  <c r="AF313" i="8"/>
  <c r="AG313" i="8" s="1"/>
  <c r="AF314" i="8"/>
  <c r="AG314" i="8" s="1"/>
  <c r="AI340" i="8" l="1"/>
  <c r="AH340" i="8" s="1"/>
  <c r="AI332" i="8"/>
  <c r="AH332" i="8" s="1"/>
  <c r="AI352" i="8"/>
  <c r="AH352" i="8" s="1"/>
  <c r="AK341" i="8"/>
  <c r="AI336" i="8"/>
  <c r="AH336" i="8" s="1"/>
  <c r="AK336" i="8"/>
  <c r="AI333" i="8"/>
  <c r="AH333" i="8" s="1"/>
  <c r="AK333" i="8"/>
  <c r="AI337" i="8"/>
  <c r="AH337" i="8" s="1"/>
  <c r="AK337" i="8"/>
  <c r="AK289" i="8"/>
  <c r="AI288" i="8"/>
  <c r="AH288" i="8" s="1"/>
  <c r="AK288" i="8"/>
  <c r="AK287" i="8"/>
  <c r="AI287" i="8"/>
  <c r="AH287" i="8" s="1"/>
  <c r="AK312" i="8"/>
  <c r="AK298" i="8"/>
  <c r="AI298" i="8"/>
  <c r="AH298" i="8" s="1"/>
  <c r="AI297" i="8"/>
  <c r="AH297" i="8" s="1"/>
  <c r="AK297" i="8"/>
  <c r="AI301" i="8"/>
  <c r="AH301" i="8" s="1"/>
  <c r="AI300" i="8"/>
  <c r="AH300" i="8" s="1"/>
  <c r="AI313" i="8"/>
  <c r="AH313" i="8" s="1"/>
  <c r="AK307" i="8"/>
  <c r="AI307" i="8"/>
  <c r="AH307" i="8" s="1"/>
  <c r="AI309" i="8"/>
  <c r="AH309" i="8" s="1"/>
  <c r="AK309" i="8"/>
  <c r="AK308" i="8"/>
  <c r="AI308" i="8"/>
  <c r="AH308" i="8" s="1"/>
  <c r="AI341" i="8" l="1"/>
  <c r="AH341" i="8" s="1"/>
  <c r="AK352" i="8"/>
  <c r="AK340" i="8"/>
  <c r="AK332" i="8"/>
  <c r="AI342" i="8"/>
  <c r="AH342" i="8" s="1"/>
  <c r="AK342" i="8"/>
  <c r="AI331" i="8"/>
  <c r="AH331" i="8" s="1"/>
  <c r="AK331" i="8"/>
  <c r="AI289" i="8"/>
  <c r="AH289" i="8" s="1"/>
  <c r="AI312" i="8"/>
  <c r="AH312" i="8" s="1"/>
  <c r="AI338" i="8"/>
  <c r="AH338" i="8" s="1"/>
  <c r="AK338" i="8"/>
  <c r="AI343" i="8"/>
  <c r="AH343" i="8" s="1"/>
  <c r="AK343" i="8"/>
  <c r="AI334" i="8"/>
  <c r="AH334" i="8" s="1"/>
  <c r="AK334" i="8"/>
  <c r="AI335" i="8"/>
  <c r="AH335" i="8" s="1"/>
  <c r="AK335" i="8"/>
  <c r="AI339" i="8"/>
  <c r="AH339" i="8" s="1"/>
  <c r="AK339" i="8"/>
  <c r="AI327" i="8"/>
  <c r="AH327" i="8" s="1"/>
  <c r="AK327" i="8"/>
  <c r="AK328" i="8"/>
  <c r="AI328" i="8"/>
  <c r="AH328" i="8" s="1"/>
  <c r="AK329" i="8"/>
  <c r="AI329" i="8"/>
  <c r="AH329" i="8" s="1"/>
  <c r="AK330" i="8"/>
  <c r="AI330" i="8"/>
  <c r="AH330" i="8" s="1"/>
  <c r="AI291" i="8"/>
  <c r="AH291" i="8" s="1"/>
  <c r="AK291" i="8"/>
  <c r="AI285" i="8"/>
  <c r="AH285" i="8" s="1"/>
  <c r="AK285" i="8"/>
  <c r="AI292" i="8"/>
  <c r="AH292" i="8" s="1"/>
  <c r="AK292" i="8"/>
  <c r="AK286" i="8"/>
  <c r="AI286" i="8"/>
  <c r="AH286" i="8" s="1"/>
  <c r="AI293" i="8"/>
  <c r="AH293" i="8" s="1"/>
  <c r="AK293" i="8"/>
  <c r="AK290" i="8"/>
  <c r="AI290" i="8"/>
  <c r="AH290" i="8" s="1"/>
  <c r="AI294" i="8"/>
  <c r="AH294" i="8" s="1"/>
  <c r="AK294" i="8"/>
  <c r="AK295" i="8"/>
  <c r="AI295" i="8"/>
  <c r="AH295" i="8" s="1"/>
  <c r="AI304" i="8"/>
  <c r="AH304" i="8" s="1"/>
  <c r="AK304" i="8"/>
  <c r="AK302" i="8"/>
  <c r="AI302" i="8"/>
  <c r="AH302" i="8" s="1"/>
  <c r="AK313" i="8"/>
  <c r="AK296" i="8"/>
  <c r="AI296" i="8"/>
  <c r="AH296" i="8" s="1"/>
  <c r="AK299" i="8"/>
  <c r="AI299" i="8"/>
  <c r="AH299" i="8" s="1"/>
  <c r="AI303" i="8"/>
  <c r="AH303" i="8" s="1"/>
  <c r="AK303" i="8"/>
  <c r="AI310" i="8"/>
  <c r="AH310" i="8" s="1"/>
  <c r="AK310" i="8"/>
  <c r="AK305" i="8"/>
  <c r="AI305" i="8"/>
  <c r="AH305" i="8" s="1"/>
  <c r="AK306" i="8"/>
  <c r="AI306" i="8"/>
  <c r="AH306" i="8" s="1"/>
  <c r="AI311" i="8"/>
  <c r="AH311" i="8" s="1"/>
  <c r="AK311" i="8"/>
  <c r="AK314" i="8"/>
  <c r="AI314" i="8"/>
  <c r="AH314" i="8" s="1"/>
  <c r="S284" i="8"/>
  <c r="S283" i="8"/>
  <c r="S282" i="8"/>
  <c r="S281" i="8"/>
  <c r="S280" i="8"/>
  <c r="AF326" i="8"/>
  <c r="AG326" i="8" s="1"/>
  <c r="AF325" i="8"/>
  <c r="AG325" i="8" s="1"/>
  <c r="AF324" i="8"/>
  <c r="AG324" i="8" s="1"/>
  <c r="AF323" i="8"/>
  <c r="AG323" i="8" s="1"/>
  <c r="AF322" i="8"/>
  <c r="AG322" i="8" s="1"/>
  <c r="AF321" i="8"/>
  <c r="AG321" i="8" s="1"/>
  <c r="AF320" i="8"/>
  <c r="AG320" i="8" s="1"/>
  <c r="AF319" i="8"/>
  <c r="AG319" i="8" s="1"/>
  <c r="AF318" i="8"/>
  <c r="AG318" i="8" s="1"/>
  <c r="AF317" i="8"/>
  <c r="AG317" i="8" s="1"/>
  <c r="AF316" i="8"/>
  <c r="AG316" i="8" s="1"/>
  <c r="AF315" i="8"/>
  <c r="AG315" i="8" s="1"/>
  <c r="AF284" i="8"/>
  <c r="AG284" i="8" s="1"/>
  <c r="AF283" i="8"/>
  <c r="AG283" i="8" s="1"/>
  <c r="O687" i="1"/>
  <c r="P687" i="1"/>
  <c r="Q687" i="1"/>
  <c r="H687" i="1" s="1"/>
  <c r="R687" i="1"/>
  <c r="AG687" i="1"/>
  <c r="O688" i="1"/>
  <c r="P688" i="1"/>
  <c r="Q688" i="1"/>
  <c r="C688" i="1" s="1"/>
  <c r="D688" i="1" s="1"/>
  <c r="R688" i="1"/>
  <c r="AG688" i="1"/>
  <c r="P63" i="8" a="1"/>
  <c r="P257" i="8" a="1"/>
  <c r="P267" i="8" a="1"/>
  <c r="P355" i="8" a="1"/>
  <c r="P161" i="8" a="1"/>
  <c r="N158" i="8" a="1"/>
  <c r="P41" i="8" a="1"/>
  <c r="P235" i="8" a="1"/>
  <c r="N376" i="8" a="1"/>
  <c r="P115" i="8" a="1"/>
  <c r="P308" i="8" a="1"/>
  <c r="P362" i="8" a="1"/>
  <c r="P176" i="8" a="1"/>
  <c r="P25" i="8" a="1"/>
  <c r="P69" i="8" a="1"/>
  <c r="P262" i="8" a="1"/>
  <c r="P367" i="8" a="1"/>
  <c r="P142" i="8" a="1"/>
  <c r="P335" i="8" a="1"/>
  <c r="P34" i="8" a="1"/>
  <c r="P228" i="8" a="1"/>
  <c r="N379" i="8" a="1"/>
  <c r="P120" i="8" a="1"/>
  <c r="P313" i="8" a="1"/>
  <c r="P24" i="8" a="1"/>
  <c r="P218" i="8" a="1"/>
  <c r="P98" i="8" a="1"/>
  <c r="AI760" i="1" a="1"/>
  <c r="N226" i="8" a="1"/>
  <c r="R330" i="8" a="1"/>
  <c r="AQ295" i="8" a="1"/>
  <c r="N381" i="8" a="1"/>
  <c r="P124" i="8" a="1"/>
  <c r="P317" i="8" a="1"/>
  <c r="P111" i="8" a="1"/>
  <c r="P28" i="8" a="1"/>
  <c r="P222" i="8" a="1"/>
  <c r="P268" i="8" a="1"/>
  <c r="P102" i="8" a="1"/>
  <c r="P295" i="8" a="1"/>
  <c r="N348" i="8" a="1"/>
  <c r="P175" i="8" a="1"/>
  <c r="N371" i="8" a="1"/>
  <c r="P43" i="8" a="1"/>
  <c r="P237" i="8" a="1"/>
  <c r="N369" i="8" a="1"/>
  <c r="P129" i="8" a="1"/>
  <c r="P322" i="8" a="1"/>
  <c r="P9" i="8" a="1"/>
  <c r="P202" i="8" a="1"/>
  <c r="N5" i="8" a="1"/>
  <c r="P95" i="8" a="1"/>
  <c r="P288" i="8" a="1"/>
  <c r="N358" i="8" a="1"/>
  <c r="P180" i="8" a="1"/>
  <c r="P255" i="8" a="1"/>
  <c r="P39" i="8" a="1"/>
  <c r="P233" i="8" a="1"/>
  <c r="P146" i="8" a="1"/>
  <c r="N367" i="8" a="1"/>
  <c r="P137" i="8" a="1"/>
  <c r="P330" i="8" a="1"/>
  <c r="P17" i="8" a="1"/>
  <c r="P210" i="8" a="1"/>
  <c r="P14" i="8" a="1"/>
  <c r="P91" i="8" a="1"/>
  <c r="P284" i="8" a="1"/>
  <c r="N355" i="8" a="1"/>
  <c r="P152" i="8" a="1"/>
  <c r="P2" i="8" a="1"/>
  <c r="P44" i="8" a="1"/>
  <c r="P238" i="8" a="1"/>
  <c r="P375" i="8" a="1"/>
  <c r="P118" i="8" a="1"/>
  <c r="P311" i="8" a="1"/>
  <c r="P10" i="8" a="1"/>
  <c r="P203" i="8" a="1"/>
  <c r="N365" i="8" a="1"/>
  <c r="P96" i="8" a="1"/>
  <c r="P289" i="8" a="1"/>
  <c r="P51" i="8" a="1"/>
  <c r="P245" i="8" a="1"/>
  <c r="P182" i="8" a="1"/>
  <c r="N356" i="8" a="1"/>
  <c r="P149" i="8" a="1"/>
  <c r="P342" i="8" a="1"/>
  <c r="P29" i="8" a="1"/>
  <c r="P223" i="8" a="1"/>
  <c r="P207" i="8" a="1"/>
  <c r="P103" i="8" a="1"/>
  <c r="P296" i="8" a="1"/>
  <c r="P354" i="8" a="1"/>
  <c r="P164" i="8" a="1"/>
  <c r="N194" i="8" a="1"/>
  <c r="P56" i="8" a="1"/>
  <c r="P250" i="8" a="1"/>
  <c r="P373" i="8" a="1"/>
  <c r="P130" i="8" a="1"/>
  <c r="P323" i="8" a="1"/>
  <c r="P22" i="8" a="1"/>
  <c r="P215" i="8" a="1"/>
  <c r="P220" i="8" a="1"/>
  <c r="P108" i="8" a="1"/>
  <c r="P301" i="8" a="1"/>
  <c r="P12" i="8" a="1"/>
  <c r="P205" i="8" a="1"/>
  <c r="P74" i="8" a="1"/>
  <c r="AI251" i="1" a="1"/>
  <c r="N21" i="8" a="1"/>
  <c r="R336" i="8" a="1"/>
  <c r="AQ307" i="8" a="1"/>
  <c r="P133" i="8" a="1"/>
  <c r="P135" i="8" a="1"/>
  <c r="N342" i="8" a="1"/>
  <c r="AQ313" i="8" a="1"/>
  <c r="N154" i="8" a="1"/>
  <c r="AI88" i="1" a="1"/>
  <c r="N287" i="8" a="1"/>
  <c r="N88" i="8" a="1"/>
  <c r="AQ309" i="8" a="1"/>
  <c r="N215" i="8" a="1"/>
  <c r="N16" i="8" a="1"/>
  <c r="N144" i="8" a="1"/>
  <c r="N294" i="8" a="1"/>
  <c r="AQ335" i="8" a="1"/>
  <c r="N277" i="8" a="1"/>
  <c r="N78" i="8" a="1"/>
  <c r="N375" i="8" a="1"/>
  <c r="P112" i="8" a="1"/>
  <c r="P305" i="8" a="1"/>
  <c r="P87" i="8" a="1"/>
  <c r="P16" i="8" a="1"/>
  <c r="P209" i="8" a="1"/>
  <c r="N67" i="8" a="1"/>
  <c r="P90" i="8" a="1"/>
  <c r="P283" i="8" a="1"/>
  <c r="P366" i="8" a="1"/>
  <c r="P163" i="8" a="1"/>
  <c r="N182" i="8" a="1"/>
  <c r="P31" i="8" a="1"/>
  <c r="P225" i="8" a="1"/>
  <c r="N378" i="8" a="1"/>
  <c r="P117" i="8" a="1"/>
  <c r="P310" i="8" a="1"/>
  <c r="P347" i="8" a="1"/>
  <c r="P190" i="8" a="1"/>
  <c r="P231" i="8" a="1"/>
  <c r="P83" i="8" a="1"/>
  <c r="P276" i="8" a="1"/>
  <c r="N362" i="8" a="1"/>
  <c r="P168" i="8" a="1"/>
  <c r="P37" i="8" a="1"/>
  <c r="P73" i="8" a="1"/>
  <c r="P266" i="8" a="1"/>
  <c r="P327" i="8" a="1"/>
  <c r="N159" i="8" a="1"/>
  <c r="N339" i="8" a="1"/>
  <c r="R306" i="8" a="1"/>
  <c r="Z383" i="8"/>
  <c r="N349" i="8" a="1"/>
  <c r="P172" i="8" a="1"/>
  <c r="N37" i="8" a="1"/>
  <c r="P256" i="8" a="1"/>
  <c r="P77" i="8" a="1"/>
  <c r="P270" i="8" a="1"/>
  <c r="P358" i="8" a="1"/>
  <c r="P150" i="8" a="1"/>
  <c r="P343" i="8" a="1"/>
  <c r="P30" i="8" a="1"/>
  <c r="P224" i="8" a="1"/>
  <c r="P195" i="8" a="1"/>
  <c r="P92" i="8" a="1"/>
  <c r="P285" i="8" a="1"/>
  <c r="N359" i="8" a="1"/>
  <c r="P177" i="8" a="1"/>
  <c r="N354" i="8" a="1"/>
  <c r="P57" i="8" a="1"/>
  <c r="P251" i="8" a="1"/>
  <c r="P372" i="8" a="1"/>
  <c r="P143" i="8" a="1"/>
  <c r="P336" i="8" a="1"/>
  <c r="P35" i="8" a="1"/>
  <c r="P229" i="8" a="1"/>
  <c r="N373" i="8" a="1"/>
  <c r="P88" i="8" a="1"/>
  <c r="P281" i="8" a="1"/>
  <c r="N380" i="8" a="1"/>
  <c r="P344" i="8" a="1"/>
  <c r="P185" i="8" a="1"/>
  <c r="P219" i="8" a="1"/>
  <c r="P65" i="8" a="1"/>
  <c r="P259" i="8" a="1"/>
  <c r="P374" i="8" a="1"/>
  <c r="P139" i="8" a="1"/>
  <c r="P332" i="8" a="1"/>
  <c r="P7" i="8" a="1"/>
  <c r="P200" i="8" a="1"/>
  <c r="P26" i="8" a="1"/>
  <c r="P93" i="8" a="1"/>
  <c r="P286" i="8" a="1"/>
  <c r="N351" i="8" a="1"/>
  <c r="P166" i="8" a="1"/>
  <c r="N231" i="8" a="1"/>
  <c r="P58" i="8" a="1"/>
  <c r="P252" i="8" a="1"/>
  <c r="N217" i="8" a="1"/>
  <c r="P144" i="8" a="1"/>
  <c r="P337" i="8" a="1"/>
  <c r="P100" i="8" a="1"/>
  <c r="P293" i="8" a="1"/>
  <c r="P62" i="8" a="1"/>
  <c r="P3" i="8" a="1"/>
  <c r="P197" i="8" a="1"/>
  <c r="N122" i="8" a="1"/>
  <c r="P78" i="8" a="1"/>
  <c r="P271" i="8" a="1"/>
  <c r="P356" i="8" a="1"/>
  <c r="P151" i="8" a="1"/>
  <c r="P352" i="8" a="1"/>
  <c r="P19" i="8" a="1"/>
  <c r="P212" i="8" a="1"/>
  <c r="P244" i="8" a="1"/>
  <c r="P105" i="8" a="1"/>
  <c r="P298" i="8" a="1"/>
  <c r="N347" i="8" a="1"/>
  <c r="P178" i="8" a="1"/>
  <c r="N383" i="8" a="1"/>
  <c r="P71" i="8" a="1"/>
  <c r="P264" i="8" a="1"/>
  <c r="P353" i="8" a="1"/>
  <c r="P156" i="8" a="1"/>
  <c r="N98" i="8" a="1"/>
  <c r="P60" i="8" a="1"/>
  <c r="P254" i="8" a="1"/>
  <c r="P279" i="8" a="1"/>
  <c r="N304" i="8" a="1"/>
  <c r="N140" i="8" a="1"/>
  <c r="R312" i="8" a="1"/>
  <c r="AQ311" i="8" a="1"/>
  <c r="P230" i="8" a="1"/>
  <c r="AI242" i="1" a="1"/>
  <c r="R324" i="8" a="1"/>
  <c r="AH698" i="1" a="1"/>
  <c r="N273" i="8" a="1"/>
  <c r="AH770" i="1" a="1"/>
  <c r="N56" i="8" a="1"/>
  <c r="R323" i="8" a="1"/>
  <c r="AI755" i="1" a="1"/>
  <c r="N334" i="8" a="1"/>
  <c r="AH194" i="1" a="1"/>
  <c r="N263" i="8" a="1"/>
  <c r="N63" i="8" a="1"/>
  <c r="AQ329" i="8" a="1"/>
  <c r="N353" i="8" a="1"/>
  <c r="P160" i="8" a="1"/>
  <c r="N146" i="8" a="1"/>
  <c r="P171" i="8" a="1"/>
  <c r="P64" i="8" a="1"/>
  <c r="P258" i="8" a="1"/>
  <c r="P368" i="8" a="1"/>
  <c r="P138" i="8" a="1"/>
  <c r="P331" i="8" a="1"/>
  <c r="P18" i="8" a="1"/>
  <c r="P211" i="8" a="1"/>
  <c r="P50" i="8" a="1"/>
  <c r="P80" i="8" a="1"/>
  <c r="P273" i="8" a="1"/>
  <c r="N364" i="8" a="1"/>
  <c r="P165" i="8" a="1"/>
  <c r="N206" i="8" a="1"/>
  <c r="P45" i="8" a="1"/>
  <c r="P239" i="8" a="1"/>
  <c r="N368" i="8" a="1"/>
  <c r="P131" i="8" a="1"/>
  <c r="P324" i="8" a="1"/>
  <c r="P23" i="8" a="1"/>
  <c r="P216" i="8" a="1"/>
  <c r="P380" i="8" a="1"/>
  <c r="P121" i="8" a="1"/>
  <c r="P314" i="8" a="1"/>
  <c r="P99" i="8" a="1"/>
  <c r="N337" i="8" a="1"/>
  <c r="N138" i="8" a="1"/>
  <c r="AQ343" i="8" a="1"/>
  <c r="AI115" i="1" a="1"/>
  <c r="P27" i="8" a="1"/>
  <c r="P221" i="8" a="1"/>
  <c r="P134" i="8" a="1"/>
  <c r="N382" i="8" a="1"/>
  <c r="P125" i="8" a="1"/>
  <c r="P318" i="8" a="1"/>
  <c r="P4" i="8" a="1"/>
  <c r="P198" i="8" a="1"/>
  <c r="P315" i="8" a="1"/>
  <c r="P79" i="8" a="1"/>
  <c r="P272" i="8" a="1"/>
  <c r="N370" i="8" a="1"/>
  <c r="P140" i="8" a="1"/>
  <c r="P333" i="8" a="1"/>
  <c r="P32" i="8" a="1"/>
  <c r="P226" i="8" a="1"/>
  <c r="P316" i="8" a="1"/>
  <c r="P106" i="8" a="1"/>
  <c r="P299" i="8" a="1"/>
  <c r="P348" i="8" a="1"/>
  <c r="P191" i="8" a="1"/>
  <c r="P243" i="8" a="1"/>
  <c r="P84" i="8" a="1"/>
  <c r="P277" i="8" a="1"/>
  <c r="P371" i="8" a="1"/>
  <c r="P136" i="8" a="1"/>
  <c r="P329" i="8" a="1"/>
  <c r="P123" i="8" a="1"/>
  <c r="P40" i="8" a="1"/>
  <c r="P234" i="8" a="1"/>
  <c r="P378" i="8" a="1"/>
  <c r="P114" i="8" a="1"/>
  <c r="P307" i="8" a="1"/>
  <c r="N346" i="8" a="1"/>
  <c r="P187" i="8" a="1"/>
  <c r="P170" i="8" a="1"/>
  <c r="P55" i="8" a="1"/>
  <c r="P249" i="8" a="1"/>
  <c r="N374" i="8" a="1"/>
  <c r="P141" i="8" a="1"/>
  <c r="P334" i="8" a="1"/>
  <c r="P21" i="8" a="1"/>
  <c r="P214" i="8" a="1"/>
  <c r="P232" i="8" a="1"/>
  <c r="P107" i="8" a="1"/>
  <c r="P300" i="8" a="1"/>
  <c r="P350" i="8" a="1"/>
  <c r="P192" i="8" a="1"/>
  <c r="P359" i="8" a="1"/>
  <c r="P148" i="8" a="1"/>
  <c r="P341" i="8" a="1"/>
  <c r="P147" i="8" a="1"/>
  <c r="P52" i="8" a="1"/>
  <c r="P246" i="8" a="1"/>
  <c r="P381" i="8" a="1"/>
  <c r="P126" i="8" a="1"/>
  <c r="P319" i="8" a="1"/>
  <c r="P6" i="8" a="1"/>
  <c r="P199" i="8" a="1"/>
  <c r="P339" i="8" a="1"/>
  <c r="P68" i="8" a="1"/>
  <c r="P261" i="8" a="1"/>
  <c r="P383" i="8" a="1"/>
  <c r="P153" i="8" a="1"/>
  <c r="N49" i="8" a="1"/>
  <c r="P33" i="8" a="1"/>
  <c r="P227" i="8" a="1"/>
  <c r="P376" i="8" a="1"/>
  <c r="P119" i="8" a="1"/>
  <c r="P312" i="8" a="1"/>
  <c r="P11" i="8" a="1"/>
  <c r="P204" i="8" a="1"/>
  <c r="P280" i="8" a="1"/>
  <c r="P109" i="8" a="1"/>
  <c r="P302" i="8" a="1"/>
  <c r="P75" i="8" a="1"/>
  <c r="N133" i="8" a="1"/>
  <c r="N283" i="8" a="1"/>
  <c r="R288" i="8" a="1"/>
  <c r="N361" i="8" a="1"/>
  <c r="P326" i="8" a="1"/>
  <c r="N192" i="8" a="1"/>
  <c r="AQ337" i="8" a="1"/>
  <c r="N266" i="8" a="1"/>
  <c r="N54" i="8" a="1"/>
  <c r="N243" i="8" a="1"/>
  <c r="N187" i="8" a="1"/>
  <c r="R299" i="8" a="1"/>
  <c r="N268" i="8" a="1"/>
  <c r="N104" i="8" a="1"/>
  <c r="AH251" i="1" a="1"/>
  <c r="N32" i="8" a="1"/>
  <c r="R322" i="8" a="1"/>
  <c r="AH759" i="1" a="1"/>
  <c r="P15" i="8" a="1"/>
  <c r="P208" i="8" a="1"/>
  <c r="P110" i="8" a="1"/>
  <c r="P377" i="8" a="1"/>
  <c r="P113" i="8" a="1"/>
  <c r="P306" i="8" a="1"/>
  <c r="P345" i="8" a="1"/>
  <c r="P186" i="8" a="1"/>
  <c r="P194" i="8" a="1"/>
  <c r="P66" i="8" a="1"/>
  <c r="P260" i="8" a="1"/>
  <c r="P369" i="8" a="1"/>
  <c r="P128" i="8" a="1"/>
  <c r="P321" i="8" a="1"/>
  <c r="P20" i="8" a="1"/>
  <c r="P213" i="8" a="1"/>
  <c r="P159" i="8" a="1"/>
  <c r="P94" i="8" a="1"/>
  <c r="P287" i="8" a="1"/>
  <c r="P361" i="8" a="1"/>
  <c r="P179" i="8" a="1"/>
  <c r="P364" i="8" a="1"/>
  <c r="P72" i="8" a="1"/>
  <c r="P265" i="8" a="1"/>
  <c r="N350" i="8" a="1"/>
  <c r="P169" i="8" a="1"/>
  <c r="P379" i="8" a="1"/>
  <c r="P340" i="8" a="1"/>
  <c r="N107" i="8" a="1"/>
  <c r="N257" i="8" a="1"/>
  <c r="AQ304" i="8" a="1"/>
  <c r="AI771" i="1" a="1"/>
  <c r="P76" i="8" a="1"/>
  <c r="P269" i="8" a="1"/>
  <c r="P303" i="8" a="1"/>
  <c r="P363" i="8" a="1"/>
  <c r="P173" i="8" a="1"/>
  <c r="P13" i="8" a="1"/>
  <c r="P53" i="8" a="1"/>
  <c r="P247" i="8" a="1"/>
  <c r="P382" i="8" a="1"/>
  <c r="P127" i="8" a="1"/>
  <c r="P320" i="8" a="1"/>
  <c r="N344" i="8" a="1"/>
  <c r="P188" i="8" a="1"/>
  <c r="P291" i="8" a="1"/>
  <c r="P81" i="8" a="1"/>
  <c r="P274" i="8" a="1"/>
  <c r="P357" i="8" a="1"/>
  <c r="P154" i="8" a="1"/>
  <c r="N61" i="8" a="1"/>
  <c r="P46" i="8" a="1"/>
  <c r="P240" i="8" a="1"/>
  <c r="P370" i="8" a="1"/>
  <c r="P132" i="8" a="1"/>
  <c r="P325" i="8" a="1"/>
  <c r="N345" i="8" a="1"/>
  <c r="P184" i="8" a="1"/>
  <c r="P67" i="8" a="1"/>
  <c r="P304" i="8" a="1"/>
  <c r="P89" i="8" a="1"/>
  <c r="P282" i="8" a="1"/>
  <c r="N352" i="8" a="1"/>
  <c r="P162" i="8" a="1"/>
  <c r="N170" i="8" a="1"/>
  <c r="P42" i="8" a="1"/>
  <c r="P236" i="8" a="1"/>
  <c r="P328" i="8" a="1"/>
  <c r="P104" i="8" a="1"/>
  <c r="P297" i="8" a="1"/>
  <c r="P346" i="8" a="1"/>
  <c r="P189" i="8" a="1"/>
  <c r="P206" i="8" a="1"/>
  <c r="P70" i="8" a="1"/>
  <c r="P263" i="8" a="1"/>
  <c r="P365" i="8" a="1"/>
  <c r="P155" i="8" a="1"/>
  <c r="N86" i="8" a="1"/>
  <c r="P47" i="8" a="1"/>
  <c r="P241" i="8" a="1"/>
  <c r="P5" i="8" a="1"/>
  <c r="P196" i="8" a="1"/>
  <c r="P86" i="8" a="1"/>
  <c r="N134" i="8" a="1"/>
  <c r="P101" i="8" a="1"/>
  <c r="P294" i="8" a="1"/>
  <c r="N360" i="8" a="1"/>
  <c r="P174" i="8" a="1"/>
  <c r="P351" i="8" a="1"/>
  <c r="P54" i="8" a="1"/>
  <c r="P248" i="8" a="1"/>
  <c r="N377" i="8" a="1"/>
  <c r="P116" i="8" a="1"/>
  <c r="P309" i="8" a="1"/>
  <c r="P8" i="8" a="1"/>
  <c r="P201" i="8" a="1"/>
  <c r="N357" i="8" a="1"/>
  <c r="P82" i="8" a="1"/>
  <c r="P275" i="8" a="1"/>
  <c r="N363" i="8" a="1"/>
  <c r="P167" i="8" a="1"/>
  <c r="N2" i="8" a="1"/>
  <c r="P59" i="8" a="1"/>
  <c r="P253" i="8" a="1"/>
  <c r="N366" i="8" a="1"/>
  <c r="P157" i="8" a="1"/>
  <c r="N110" i="8" a="1"/>
  <c r="P292" i="8" a="1"/>
  <c r="N252" i="8" a="1"/>
  <c r="N52" i="8" a="1"/>
  <c r="AQ290" i="8" a="1"/>
  <c r="P36" i="8" a="1"/>
  <c r="P122" i="8" a="1"/>
  <c r="N81" i="8" a="1"/>
  <c r="AQ327" i="8" a="1"/>
  <c r="N35" i="8" a="1"/>
  <c r="N185" i="8" a="1"/>
  <c r="N168" i="8" a="1"/>
  <c r="N318" i="8" a="1"/>
  <c r="AQ336" i="8" a="1"/>
  <c r="N97" i="8" a="1"/>
  <c r="N247" i="8" a="1"/>
  <c r="N25" i="8" a="1"/>
  <c r="N163" i="8" a="1"/>
  <c r="R298" i="8" a="1"/>
  <c r="N99" i="8" a="1"/>
  <c r="N296" i="8" a="1"/>
  <c r="N46" i="8" a="1"/>
  <c r="AH694" i="1" a="1"/>
  <c r="N212" i="8" a="1"/>
  <c r="R315" i="8" a="1"/>
  <c r="AI769" i="1" a="1"/>
  <c r="N141" i="8" a="1"/>
  <c r="AI759" i="1" a="1"/>
  <c r="N274" i="8" a="1"/>
  <c r="R332" i="8" a="1"/>
  <c r="AH249" i="1" a="1"/>
  <c r="N57" i="8" a="1"/>
  <c r="AI770" i="1" a="1"/>
  <c r="N45" i="8" a="1"/>
  <c r="R337" i="8" a="1"/>
  <c r="AH767" i="1" a="1"/>
  <c r="N238" i="8" a="1"/>
  <c r="N4" i="8" a="1"/>
  <c r="P145" i="8" a="1"/>
  <c r="P183" i="8" a="1"/>
  <c r="N197" i="8" a="1"/>
  <c r="AI741" i="1" a="1"/>
  <c r="N9" i="8" a="1"/>
  <c r="AI762" i="1" a="1"/>
  <c r="N142" i="8" a="1"/>
  <c r="R342" i="8" a="1"/>
  <c r="AQ305" i="8" a="1"/>
  <c r="N71" i="8" a="1"/>
  <c r="N221" i="8" a="1"/>
  <c r="N279" i="8" a="1"/>
  <c r="N149" i="8" a="1"/>
  <c r="AQ294" i="8" a="1"/>
  <c r="N132" i="8" a="1"/>
  <c r="N282" i="8" a="1"/>
  <c r="N60" i="8" a="1"/>
  <c r="N210" i="8" a="1"/>
  <c r="R285" i="8" a="1"/>
  <c r="N338" i="8" a="1"/>
  <c r="N127" i="8" a="1"/>
  <c r="N62" i="8" a="1"/>
  <c r="N260" i="8" a="1"/>
  <c r="R302" i="8" a="1"/>
  <c r="N195" i="8" a="1"/>
  <c r="N31" i="8" a="1"/>
  <c r="N183" i="8" a="1"/>
  <c r="N19" i="8" a="1"/>
  <c r="R307" i="8" a="1"/>
  <c r="N26" i="8" a="1"/>
  <c r="P360" i="8" a="1"/>
  <c r="P49" i="8" a="1"/>
  <c r="N311" i="8" a="1"/>
  <c r="AQ306" i="8" a="1"/>
  <c r="N325" i="8" a="1"/>
  <c r="N126" i="8" a="1"/>
  <c r="N109" i="8" a="1"/>
  <c r="N259" i="8" a="1"/>
  <c r="R287" i="8" a="1"/>
  <c r="N74" i="8" a="1"/>
  <c r="N175" i="8" a="1"/>
  <c r="N256" i="8" a="1"/>
  <c r="N92" i="8" a="1"/>
  <c r="R310" i="8" a="1"/>
  <c r="AI694" i="1" a="1"/>
  <c r="N225" i="8" a="1"/>
  <c r="AI768" i="1" a="1"/>
  <c r="N153" i="8" a="1"/>
  <c r="R327" i="8" a="1"/>
  <c r="AH768" i="1" a="1"/>
  <c r="N82" i="8" a="1"/>
  <c r="AH740" i="1" a="1"/>
  <c r="N214" i="8" a="1"/>
  <c r="N15" i="8" a="1"/>
  <c r="AQ314" i="8" a="1"/>
  <c r="N327" i="8" a="1"/>
  <c r="N148" i="8" a="1"/>
  <c r="N335" i="8" a="1"/>
  <c r="N136" i="8" a="1"/>
  <c r="P97" i="8" a="1"/>
  <c r="P38" i="8" a="1"/>
  <c r="N66" i="8" a="1"/>
  <c r="AQ299" i="8" a="1"/>
  <c r="N299" i="8" a="1"/>
  <c r="N100" i="8" a="1"/>
  <c r="N83" i="8" a="1"/>
  <c r="N233" i="8" a="1"/>
  <c r="AQ293" i="8" a="1"/>
  <c r="N11" i="8" a="1"/>
  <c r="N161" i="8" a="1"/>
  <c r="N289" i="8" a="1"/>
  <c r="N90" i="8" a="1"/>
  <c r="AQ341" i="8" a="1"/>
  <c r="N73" i="8" a="1"/>
  <c r="N223" i="8" a="1"/>
  <c r="N267" i="8" a="1"/>
  <c r="N139" i="8" a="1"/>
  <c r="R297" i="8" a="1"/>
  <c r="N220" i="8" a="1"/>
  <c r="N55" i="8" a="1"/>
  <c r="N219" i="8" a="1"/>
  <c r="N188" i="8" a="1"/>
  <c r="R314" i="8" a="1"/>
  <c r="AI255" i="1" a="1"/>
  <c r="N321" i="8" a="1"/>
  <c r="AH263" i="1" a="1"/>
  <c r="N309" i="8" a="1"/>
  <c r="R319" i="8" a="1"/>
  <c r="N316" i="8" a="1"/>
  <c r="N152" i="8" a="1"/>
  <c r="N224" i="8" a="1"/>
  <c r="N59" i="8" a="1"/>
  <c r="AI767" i="1" a="1"/>
  <c r="AO132" i="8" a="1"/>
  <c r="AP289" i="8" a="1"/>
  <c r="AO355" i="8" a="1"/>
  <c r="AP296" i="8" a="1"/>
  <c r="AO366" i="8" a="1"/>
  <c r="AO277" i="8" a="1"/>
  <c r="AO373" i="8" a="1"/>
  <c r="AP92" i="8" a="1"/>
  <c r="AO349" i="8" a="1"/>
  <c r="AO327" i="8" a="1"/>
  <c r="AO120" i="8" a="1"/>
  <c r="AP379" i="8" a="1"/>
  <c r="AP20" i="8" a="1"/>
  <c r="AP110" i="8" a="1"/>
  <c r="AO337" i="8" a="1"/>
  <c r="AO193" i="8" a="1"/>
  <c r="AO21" i="8" a="1"/>
  <c r="AO194" i="8" a="1"/>
  <c r="AO250" i="8" a="1"/>
  <c r="AO42" i="8" a="1"/>
  <c r="AP58" i="8" a="1"/>
  <c r="AP259" i="8" a="1"/>
  <c r="AO367" i="8" a="1"/>
  <c r="AO45" i="8" a="1"/>
  <c r="AO187" i="8" a="1"/>
  <c r="AP191" i="8" a="1"/>
  <c r="N165" i="8" a="1"/>
  <c r="N205" i="8" a="1"/>
  <c r="N291" i="8" a="1"/>
  <c r="R291" i="8" a="1"/>
  <c r="N75" i="8" a="1"/>
  <c r="N272" i="8" a="1"/>
  <c r="N207" i="8" a="1"/>
  <c r="N43" i="8" a="1"/>
  <c r="R308" i="8" a="1"/>
  <c r="N340" i="8" a="1"/>
  <c r="N176" i="8" a="1"/>
  <c r="N328" i="8" a="1"/>
  <c r="N164" i="8" a="1"/>
  <c r="R313" i="8" a="1"/>
  <c r="N171" i="8" a="1"/>
  <c r="N7" i="8" a="1"/>
  <c r="AI742" i="1" a="1"/>
  <c r="P242" i="8" a="1"/>
  <c r="AI698" i="1" a="1"/>
  <c r="R318" i="8" a="1"/>
  <c r="N292" i="8" a="1"/>
  <c r="N128" i="8" a="1"/>
  <c r="AH695" i="1" a="1"/>
  <c r="N261" i="8" a="1"/>
  <c r="R317" i="8" a="1"/>
  <c r="AI765" i="1" a="1"/>
  <c r="N189" i="8" a="1"/>
  <c r="AH761" i="1" a="1"/>
  <c r="N118" i="8" a="1"/>
  <c r="R341" i="8" a="1"/>
  <c r="AH195" i="1" a="1"/>
  <c r="N251" i="8" a="1"/>
  <c r="N51" i="8" a="1"/>
  <c r="N179" i="8" a="1"/>
  <c r="N329" i="8" a="1"/>
  <c r="AQ298" i="8" a="1"/>
  <c r="N108" i="8" a="1"/>
  <c r="N258" i="8" a="1"/>
  <c r="N241" i="8" a="1"/>
  <c r="N41" i="8" a="1"/>
  <c r="AQ339" i="8" a="1"/>
  <c r="N24" i="8" a="1"/>
  <c r="N174" i="8" a="1"/>
  <c r="N12" i="8" a="1"/>
  <c r="N162" i="8" a="1"/>
  <c r="AQ352" i="8" a="1"/>
  <c r="N204" i="8" a="1"/>
  <c r="P85" i="8" a="1"/>
  <c r="N372" i="8" a="1"/>
  <c r="N211" i="8" a="1"/>
  <c r="AQ285" i="8" a="1"/>
  <c r="N95" i="8" a="1"/>
  <c r="N245" i="8" a="1"/>
  <c r="N228" i="8" a="1"/>
  <c r="N28" i="8" a="1"/>
  <c r="AQ308" i="8" a="1"/>
  <c r="N156" i="8" a="1"/>
  <c r="N306" i="8" a="1"/>
  <c r="N85" i="8" a="1"/>
  <c r="N235" i="8" a="1"/>
  <c r="R286" i="8" a="1"/>
  <c r="N218" i="8" a="1"/>
  <c r="N6" i="8" a="1"/>
  <c r="N87" i="8" a="1"/>
  <c r="N284" i="8" a="1"/>
  <c r="R303" i="8" a="1"/>
  <c r="AI693" i="1" a="1"/>
  <c r="N200" i="8" a="1"/>
  <c r="AI757" i="1" a="1"/>
  <c r="N333" i="8" a="1"/>
  <c r="R320" i="8" a="1"/>
  <c r="AI249" i="1" a="1"/>
  <c r="N117" i="8" a="1"/>
  <c r="AI278" i="1" a="1"/>
  <c r="N105" i="8" a="1"/>
  <c r="R325" i="8" a="1"/>
  <c r="P193" i="8" a="1"/>
  <c r="AI740" i="1" a="1"/>
  <c r="R343" i="8" a="1"/>
  <c r="AH278" i="1" a="1"/>
  <c r="N69" i="8" a="1"/>
  <c r="AI761" i="1" a="1"/>
  <c r="N201" i="8" a="1"/>
  <c r="R329" i="8" a="1"/>
  <c r="AH762" i="1" a="1"/>
  <c r="N130" i="8" a="1"/>
  <c r="AQ289" i="8" a="1"/>
  <c r="N58" i="8" a="1"/>
  <c r="N208" i="8" a="1"/>
  <c r="AQ310" i="8" a="1"/>
  <c r="N191" i="8" a="1"/>
  <c r="N341" i="8" a="1"/>
  <c r="N120" i="8" a="1"/>
  <c r="N270" i="8" a="1"/>
  <c r="AQ334" i="8" a="1"/>
  <c r="N48" i="8" a="1"/>
  <c r="N198" i="8" a="1"/>
  <c r="N181" i="8" a="1"/>
  <c r="N331" i="8" a="1"/>
  <c r="R290" i="8" a="1"/>
  <c r="N314" i="8" a="1"/>
  <c r="N103" i="8" a="1"/>
  <c r="N302" i="8" a="1"/>
  <c r="N91" i="8" a="1"/>
  <c r="R295" i="8" a="1"/>
  <c r="N145" i="8" a="1"/>
  <c r="N295" i="8" a="1"/>
  <c r="AQ338" i="8" a="1"/>
  <c r="N209" i="8" a="1"/>
  <c r="AO281" i="8" a="1"/>
  <c r="AO301" i="8" a="1"/>
  <c r="AP203" i="8" a="1"/>
  <c r="AP14" i="8" a="1"/>
  <c r="AP359" i="8" a="1"/>
  <c r="AO77" i="8" a="1"/>
  <c r="AO97" i="8" a="1"/>
  <c r="AP336" i="8" a="1"/>
  <c r="AP30" i="8" a="1"/>
  <c r="AP3" i="8" a="1"/>
  <c r="AO64" i="8" a="1"/>
  <c r="AO289" i="8" a="1"/>
  <c r="AP265" i="8" a="1"/>
  <c r="AP369" i="8" a="1"/>
  <c r="AP22" i="8" a="1"/>
  <c r="AO6" i="8" a="1"/>
  <c r="AO218" i="8" a="1"/>
  <c r="AP205" i="8" a="1"/>
  <c r="N196" i="8" a="1"/>
  <c r="N324" i="8" a="1"/>
  <c r="N125" i="8" a="1"/>
  <c r="AQ328" i="8" a="1"/>
  <c r="N253" i="8" a="1"/>
  <c r="N53" i="8" a="1"/>
  <c r="N36" i="8" a="1"/>
  <c r="N186" i="8" a="1"/>
  <c r="AQ383" i="8" a="1"/>
  <c r="N169" i="8" a="1"/>
  <c r="N319" i="8" a="1"/>
  <c r="N157" i="8" a="1"/>
  <c r="N307" i="8" a="1"/>
  <c r="R289" i="8" a="1"/>
  <c r="N303" i="8" a="1"/>
  <c r="N150" i="8" a="1"/>
  <c r="P217" i="8" a="1"/>
  <c r="P338" i="8" a="1"/>
  <c r="N47" i="8" a="1"/>
  <c r="AQ331" i="8" a="1"/>
  <c r="N121" i="8" a="1"/>
  <c r="N271" i="8" a="1"/>
  <c r="N254" i="8" a="1"/>
  <c r="N42" i="8" a="1"/>
  <c r="R293" i="8" a="1"/>
  <c r="N123" i="8" a="1"/>
  <c r="N320" i="8" a="1"/>
  <c r="AH693" i="1" a="1"/>
  <c r="N237" i="8" a="1"/>
  <c r="R316" i="8" a="1"/>
  <c r="AI267" i="1" a="1"/>
  <c r="N20" i="8" a="1"/>
  <c r="AH267" i="1" a="1"/>
  <c r="N298" i="8" a="1"/>
  <c r="R333" i="8" a="1"/>
  <c r="AI195" i="1" a="1"/>
  <c r="N227" i="8" a="1"/>
  <c r="N27" i="8" a="1"/>
  <c r="N10" i="8" a="1"/>
  <c r="N160" i="8" a="1"/>
  <c r="AQ300" i="8" a="1"/>
  <c r="N143" i="8" a="1"/>
  <c r="N293" i="8" a="1"/>
  <c r="N131" i="8" a="1"/>
  <c r="N281" i="8" a="1"/>
  <c r="AQ302" i="8" a="1"/>
  <c r="N93" i="8" a="1"/>
  <c r="P181" i="8" a="1"/>
  <c r="AH115" i="1" a="1"/>
  <c r="N112" i="8" a="1"/>
  <c r="AH236" i="1" a="1"/>
  <c r="N213" i="8" a="1"/>
  <c r="AH757" i="1" a="1"/>
  <c r="N315" i="8" a="1"/>
  <c r="R335" i="8" a="1"/>
  <c r="AH88" i="1" a="1"/>
  <c r="N275" i="8" a="1"/>
  <c r="N76" i="8" a="1"/>
  <c r="N203" i="8" a="1"/>
  <c r="N3" i="8" a="1"/>
  <c r="AQ296" i="8" a="1"/>
  <c r="N336" i="8" a="1"/>
  <c r="N137" i="8" a="1"/>
  <c r="N265" i="8" a="1"/>
  <c r="N65" i="8" a="1"/>
  <c r="AQ340" i="8" a="1"/>
  <c r="N193" i="8" a="1"/>
  <c r="N343" i="8" a="1"/>
  <c r="N326" i="8" a="1"/>
  <c r="N115" i="8" a="1"/>
  <c r="R296" i="8" a="1"/>
  <c r="N50" i="8" a="1"/>
  <c r="N248" i="8" a="1"/>
  <c r="N38" i="8" a="1"/>
  <c r="N236" i="8" a="1"/>
  <c r="R301" i="8" a="1"/>
  <c r="P290" i="8" a="1"/>
  <c r="N278" i="8" a="1"/>
  <c r="R294" i="8" a="1"/>
  <c r="N255" i="8" a="1"/>
  <c r="N199" i="8" a="1"/>
  <c r="N135" i="8" a="1"/>
  <c r="N332" i="8" a="1"/>
  <c r="R305" i="8" a="1"/>
  <c r="AI695" i="1" a="1"/>
  <c r="N249" i="8" a="1"/>
  <c r="AH760" i="1" a="1"/>
  <c r="N177" i="8" a="1"/>
  <c r="R328" i="8" a="1"/>
  <c r="AI263" i="1" a="1"/>
  <c r="N310" i="8" a="1"/>
  <c r="AI194" i="1" a="1"/>
  <c r="N239" i="8" a="1"/>
  <c r="N39" i="8" a="1"/>
  <c r="AQ287" i="8" a="1"/>
  <c r="N167" i="8" a="1"/>
  <c r="N317" i="8" a="1"/>
  <c r="N300" i="8" a="1"/>
  <c r="N101" i="8" a="1"/>
  <c r="AQ330" i="8" a="1"/>
  <c r="N84" i="8" a="1"/>
  <c r="N234" i="8" a="1"/>
  <c r="N72" i="8" a="1"/>
  <c r="N222" i="8" a="1"/>
  <c r="AQ332" i="8" a="1"/>
  <c r="N264" i="8" a="1"/>
  <c r="N64" i="8" a="1"/>
  <c r="N290" i="8" a="1"/>
  <c r="N178" i="8" a="1"/>
  <c r="AO143" i="8" a="1"/>
  <c r="AO121" i="8" a="1"/>
  <c r="AH255" i="1" a="1"/>
  <c r="N94" i="8" a="1"/>
  <c r="R340" i="8" a="1"/>
  <c r="AQ301" i="8" a="1"/>
  <c r="N22" i="8" a="1"/>
  <c r="N172" i="8" a="1"/>
  <c r="N155" i="8" a="1"/>
  <c r="N305" i="8" a="1"/>
  <c r="AQ286" i="8" a="1"/>
  <c r="N288" i="8" a="1"/>
  <c r="N89" i="8" a="1"/>
  <c r="N276" i="8" a="1"/>
  <c r="N77" i="8" a="1"/>
  <c r="AQ288" i="8" a="1"/>
  <c r="N119" i="8" a="1"/>
  <c r="N269" i="8" a="1"/>
  <c r="P48" i="8" a="1"/>
  <c r="P158" i="8" a="1"/>
  <c r="N285" i="8" a="1"/>
  <c r="AQ297" i="8" a="1"/>
  <c r="N240" i="8" a="1"/>
  <c r="N40" i="8" a="1"/>
  <c r="N23" i="8" a="1"/>
  <c r="N173" i="8" a="1"/>
  <c r="AQ292" i="8" a="1"/>
  <c r="N301" i="8" a="1"/>
  <c r="N102" i="8" a="1"/>
  <c r="N230" i="8" a="1"/>
  <c r="N18" i="8" a="1"/>
  <c r="R292" i="8" a="1"/>
  <c r="N13" i="8" a="1"/>
  <c r="N151" i="8" a="1"/>
  <c r="N232" i="8" a="1"/>
  <c r="N68" i="8" a="1"/>
  <c r="R309" i="8" a="1"/>
  <c r="AH755" i="1" a="1"/>
  <c r="AO383" i="8" a="1"/>
  <c r="AI766" i="1" a="1"/>
  <c r="N129" i="8" a="1"/>
  <c r="R326" i="8" a="1"/>
  <c r="AI236" i="1" a="1"/>
  <c r="N262" i="8" a="1"/>
  <c r="AH765" i="1" a="1"/>
  <c r="N250" i="8" a="1"/>
  <c r="R331" i="8" a="1"/>
  <c r="AI257" i="1" a="1"/>
  <c r="N124" i="8" a="1"/>
  <c r="P278" i="8" a="1"/>
  <c r="N14" i="8" a="1"/>
  <c r="R300" i="8" a="1"/>
  <c r="N147" i="8" a="1"/>
  <c r="AO352" i="8" a="1"/>
  <c r="N280" i="8" a="1"/>
  <c r="N116" i="8" a="1"/>
  <c r="R311" i="8" a="1"/>
  <c r="AH242" i="1" a="1"/>
  <c r="N44" i="8" a="1"/>
  <c r="AH257" i="1" a="1"/>
  <c r="N322" i="8" a="1"/>
  <c r="R334" i="8" a="1"/>
  <c r="AH766" i="1" a="1"/>
  <c r="N106" i="8" a="1"/>
  <c r="AQ303" i="8" a="1"/>
  <c r="N34" i="8" a="1"/>
  <c r="N184" i="8" a="1"/>
  <c r="AQ312" i="8" a="1"/>
  <c r="N312" i="8" a="1"/>
  <c r="N113" i="8" a="1"/>
  <c r="N96" i="8" a="1"/>
  <c r="N246" i="8" a="1"/>
  <c r="AQ333" i="8" a="1"/>
  <c r="N229" i="8" a="1"/>
  <c r="N29" i="8" a="1"/>
  <c r="N216" i="8" a="1"/>
  <c r="N17" i="8" a="1"/>
  <c r="P349" i="8" a="1"/>
  <c r="P61" i="8" a="1"/>
  <c r="N166" i="8" a="1"/>
  <c r="AQ291" i="8" a="1"/>
  <c r="N180" i="8" a="1"/>
  <c r="N330" i="8" a="1"/>
  <c r="N313" i="8" a="1"/>
  <c r="N114" i="8" a="1"/>
  <c r="AQ342" i="8" a="1"/>
  <c r="N242" i="8" a="1"/>
  <c r="N30" i="8" a="1"/>
  <c r="N111" i="8" a="1"/>
  <c r="N308" i="8" a="1"/>
  <c r="R304" i="8" a="1"/>
  <c r="N244" i="8" a="1"/>
  <c r="N80" i="8" a="1"/>
  <c r="AI265" i="1" a="1"/>
  <c r="N8" i="8" a="1"/>
  <c r="R321" i="8" a="1"/>
  <c r="AH771" i="1" a="1"/>
  <c r="N286" i="8" a="1"/>
  <c r="AH769" i="1" a="1"/>
  <c r="N70" i="8" a="1"/>
  <c r="R338" i="8" a="1"/>
  <c r="AH741" i="1" a="1"/>
  <c r="N202" i="8" a="1"/>
  <c r="AH742" i="1" a="1"/>
  <c r="N190" i="8" a="1"/>
  <c r="R352" i="8" a="1"/>
  <c r="AH265" i="1" a="1"/>
  <c r="N33" i="8" a="1"/>
  <c r="N323" i="8" a="1"/>
  <c r="N79" i="8" a="1"/>
  <c r="N297" i="8" a="1"/>
  <c r="AO108" i="8" a="1"/>
  <c r="AP61" i="8" a="1"/>
  <c r="AP44" i="8" a="1"/>
  <c r="AP281" i="8" a="1"/>
  <c r="AP66" i="8" a="1"/>
  <c r="AO253" i="8" a="1"/>
  <c r="AP135" i="8" a="1"/>
  <c r="AP177" i="8" a="1"/>
  <c r="AP256" i="8" a="1"/>
  <c r="AP98" i="8" a="1"/>
  <c r="AO300" i="8" a="1"/>
  <c r="AO257" i="8" a="1"/>
  <c r="AP94" i="8" a="1"/>
  <c r="AP306" i="8" a="1"/>
  <c r="AO354" i="8" a="1"/>
  <c r="AO229" i="8" a="1"/>
  <c r="AO245" i="8" a="1"/>
  <c r="AP227" i="8" a="1"/>
  <c r="AO124" i="8" a="1"/>
  <c r="AO18" i="8" a="1"/>
  <c r="AP144" i="8" a="1"/>
  <c r="AP332" i="8" a="1"/>
  <c r="AP351" i="8" a="1"/>
  <c r="AO269" i="8" a="1"/>
  <c r="AO163" i="8" a="1"/>
  <c r="AP277" i="8" a="1"/>
  <c r="AP118" i="8" a="1"/>
  <c r="AO266" i="8" a="1"/>
  <c r="AO190" i="8" a="1"/>
  <c r="AP307" i="8" a="1"/>
  <c r="AP223" i="8" a="1"/>
  <c r="AO285" i="8" a="1"/>
  <c r="AP40" i="8" a="1"/>
  <c r="AO186" i="8" a="1"/>
  <c r="AP106" i="8" a="1"/>
  <c r="AP318" i="8" a="1"/>
  <c r="AO344" i="8" a="1"/>
  <c r="AO103" i="8" a="1"/>
  <c r="AO100" i="8" a="1"/>
  <c r="AP34" i="8" a="1"/>
  <c r="AP235" i="8" a="1"/>
  <c r="AP184" i="8" a="1"/>
  <c r="AO17" i="8" a="1"/>
  <c r="AO74" i="8" a="1"/>
  <c r="AP353" i="8" a="1"/>
  <c r="AO179" i="8" a="1"/>
  <c r="AP97" i="8" a="1"/>
  <c r="AP249" i="8" a="1"/>
  <c r="AO345" i="8" a="1"/>
  <c r="AO290" i="8" a="1"/>
  <c r="AO324" i="8" a="1"/>
  <c r="AP230" i="8" a="1"/>
  <c r="AP291" i="8" a="1"/>
  <c r="AP269" i="8" a="1"/>
  <c r="AP362" i="8" a="1"/>
  <c r="AO48" i="8" a="1"/>
  <c r="AO159" i="8" a="1"/>
  <c r="AP310" i="8" a="1"/>
  <c r="AP16" i="8" a="1"/>
  <c r="AO309" i="8" a="1"/>
  <c r="AO96" i="8" a="1"/>
  <c r="AO147" i="8" a="1"/>
  <c r="AP183" i="8" a="1"/>
  <c r="AO272" i="8" a="1"/>
  <c r="AO83" i="8" a="1"/>
  <c r="AP368" i="8" a="1"/>
  <c r="AP312" i="8" a="1"/>
  <c r="AO350" i="8" a="1"/>
  <c r="AO60" i="8" a="1"/>
  <c r="AP38" i="8" a="1"/>
  <c r="AP141" i="8" a="1"/>
  <c r="AP123" i="8" a="1"/>
  <c r="AO203" i="8" a="1"/>
  <c r="AO196" i="8" a="1"/>
  <c r="AO372" i="8" a="1"/>
  <c r="AP129" i="8" a="1"/>
  <c r="AP111" i="8" a="1"/>
  <c r="AO259" i="8" a="1"/>
  <c r="AO267" i="8" a="1"/>
  <c r="AP327" i="8" a="1"/>
  <c r="AP117" i="8" a="1"/>
  <c r="AP87" i="8" a="1"/>
  <c r="AO325" i="8" a="1"/>
  <c r="AO153" i="8" a="1"/>
  <c r="AP279" i="8" a="1"/>
  <c r="AP105" i="8" a="1"/>
  <c r="AP62" i="8" a="1"/>
  <c r="AP89" i="8" a="1"/>
  <c r="AP154" i="8" a="1"/>
  <c r="AO182" i="8" a="1"/>
  <c r="AO19" i="8" a="1"/>
  <c r="AO118" i="8" a="1"/>
  <c r="AP206" i="8" a="1"/>
  <c r="AP180" i="8" a="1"/>
  <c r="AP287" i="8" a="1"/>
  <c r="AO360" i="8" a="1"/>
  <c r="AO343" i="8" a="1"/>
  <c r="AP148" i="8" a="1"/>
  <c r="AP253" i="8" a="1"/>
  <c r="AO189" i="8" a="1"/>
  <c r="AP88" i="8" a="1"/>
  <c r="AO311" i="8" a="1"/>
  <c r="AO58" i="8" a="1"/>
  <c r="AP335" i="8" a="1"/>
  <c r="AP82" i="8" a="1"/>
  <c r="AP237" i="8" a="1"/>
  <c r="AP99" i="8" a="1"/>
  <c r="AO200" i="8" a="1"/>
  <c r="AP245" i="8" a="1"/>
  <c r="AO31" i="8" a="1"/>
  <c r="AO261" i="8" a="1"/>
  <c r="AP155" i="8" a="1"/>
  <c r="AO170" i="8" a="1"/>
  <c r="AP77" i="8" a="1"/>
  <c r="AO43" i="8" a="1"/>
  <c r="AO88" i="8" a="1"/>
  <c r="AP143" i="8" a="1"/>
  <c r="AP343" i="8" a="1"/>
  <c r="AP317" i="8" a="1"/>
  <c r="AO188" i="8" a="1"/>
  <c r="AO233" i="8" a="1"/>
  <c r="AP131" i="8" a="1"/>
  <c r="AP331" i="8" a="1"/>
  <c r="AP224" i="8" a="1"/>
  <c r="AO50" i="8" a="1"/>
  <c r="AO28" i="8" a="1"/>
  <c r="AP119" i="8" a="1"/>
  <c r="AP319" i="8" a="1"/>
  <c r="AP311" i="8" a="1"/>
  <c r="AO247" i="8" a="1"/>
  <c r="AO223" i="8" a="1"/>
  <c r="AO140" i="8" a="1"/>
  <c r="AO227" i="8" a="1"/>
  <c r="AP158" i="8" a="1"/>
  <c r="AO94" i="8" a="1"/>
  <c r="AO219" i="8" a="1"/>
  <c r="AP54" i="8" a="1"/>
  <c r="AP153" i="8" a="1"/>
  <c r="AO217" i="8" a="1"/>
  <c r="AO176" i="8" a="1"/>
  <c r="AP53" i="8" a="1"/>
  <c r="AO135" i="8" a="1"/>
  <c r="AO86" i="8" a="1"/>
  <c r="AO104" i="8" a="1"/>
  <c r="AP275" i="8" a="1"/>
  <c r="AO353" i="8" a="1"/>
  <c r="AP298" i="8" a="1"/>
  <c r="AO158" i="8" a="1"/>
  <c r="AO20" i="8" a="1"/>
  <c r="AP193" i="8" a="1"/>
  <c r="AP2" i="8" a="1"/>
  <c r="AP233" i="8" a="1"/>
  <c r="AO49" i="8" a="1"/>
  <c r="AO99" i="8" a="1"/>
  <c r="AP181" i="8" a="1"/>
  <c r="AP333" i="8" a="1"/>
  <c r="AP221" i="8" a="1"/>
  <c r="AP376" i="8" a="1"/>
  <c r="AO310" i="8" a="1"/>
  <c r="AP169" i="8" a="1"/>
  <c r="AP321" i="8" a="1"/>
  <c r="AP208" i="8" a="1"/>
  <c r="AP201" i="8" a="1"/>
  <c r="AO137" i="8" a="1"/>
  <c r="AP157" i="8" a="1"/>
  <c r="AP309" i="8" a="1"/>
  <c r="AP196" i="8" a="1"/>
  <c r="AP39" i="8" a="1"/>
  <c r="AP285" i="8" a="1"/>
  <c r="AP64" i="8" a="1"/>
  <c r="AO293" i="8" a="1"/>
  <c r="AO71" i="8" a="1"/>
  <c r="AP297" i="8" a="1"/>
  <c r="AP226" i="8" a="1"/>
  <c r="AP211" i="8" a="1"/>
  <c r="AP207" i="8" a="1"/>
  <c r="AO128" i="8" a="1"/>
  <c r="AO5" i="8" a="1"/>
  <c r="AP18" i="8" a="1"/>
  <c r="AO13" i="8" a="1"/>
  <c r="AP35" i="8" a="1"/>
  <c r="AP370" i="8" a="1"/>
  <c r="AO317" i="8" a="1"/>
  <c r="AO339" i="8" a="1"/>
  <c r="AP29" i="8" a="1"/>
  <c r="AP215" i="8" a="1"/>
  <c r="AO239" i="8" a="1"/>
  <c r="AP355" i="8" a="1"/>
  <c r="AP250" i="8" a="1"/>
  <c r="AO378" i="8" a="1"/>
  <c r="AP360" i="8" a="1"/>
  <c r="AP220" i="8" a="1"/>
  <c r="AO305" i="8" a="1"/>
  <c r="AO79" i="8" a="1"/>
  <c r="AP51" i="8" a="1"/>
  <c r="AO262" i="8" a="1"/>
  <c r="AP185" i="8" a="1"/>
  <c r="AP251" i="8" a="1"/>
  <c r="AO313" i="8" a="1"/>
  <c r="AO178" i="8" a="1"/>
  <c r="AO340" i="8" a="1"/>
  <c r="AP242" i="8" a="1"/>
  <c r="AP136" i="8" a="1"/>
  <c r="AO291" i="8" a="1"/>
  <c r="AP32" i="8" a="1"/>
  <c r="AP134" i="8" a="1"/>
  <c r="AP83" i="8" a="1"/>
  <c r="AO55" i="8" a="1"/>
  <c r="AO226" i="8" a="1"/>
  <c r="AP367" i="8" a="1"/>
  <c r="AP161" i="8" a="1"/>
  <c r="AP4" i="8" a="1"/>
  <c r="AO115" i="8" a="1"/>
  <c r="AO213" i="8" a="1"/>
  <c r="AO93" i="8" a="1"/>
  <c r="AO279" i="8" a="1"/>
  <c r="AP350" i="8" a="1"/>
  <c r="AP187" i="8" a="1"/>
  <c r="AP381" i="8" a="1"/>
  <c r="AO238" i="8" a="1"/>
  <c r="AO144" i="8" a="1"/>
  <c r="AP132" i="8" a="1"/>
  <c r="AP320" i="8" a="1"/>
  <c r="AO377" i="8" a="1"/>
  <c r="AP292" i="8" a="1"/>
  <c r="AO73" i="8" a="1"/>
  <c r="AP73" i="8" a="1"/>
  <c r="AP225" i="8" a="1"/>
  <c r="AP112" i="8" a="1"/>
  <c r="AO376" i="8" a="1"/>
  <c r="AO265" i="8" a="1"/>
  <c r="AP75" i="8" a="1"/>
  <c r="AP189" i="8" a="1"/>
  <c r="AO14" i="8" a="1"/>
  <c r="AO331" i="8" a="1"/>
  <c r="AO192" i="8" a="1"/>
  <c r="AP8" i="8" a="1"/>
  <c r="AO2" i="8" a="1"/>
  <c r="AO237" i="8" a="1"/>
  <c r="AO361" i="8" a="1"/>
  <c r="AP55" i="8" a="1"/>
  <c r="AP371" i="8" a="1"/>
  <c r="AO119" i="8" a="1"/>
  <c r="AO32" i="8" a="1"/>
  <c r="AP255" i="8" a="1"/>
  <c r="AP43" i="8" a="1"/>
  <c r="AO381" i="8" a="1"/>
  <c r="AO264" i="8" a="1"/>
  <c r="AO208" i="8" a="1"/>
  <c r="AP37" i="8" a="1"/>
  <c r="AP31" i="8" a="1"/>
  <c r="AO375" i="8" a="1"/>
  <c r="AO59" i="8" a="1"/>
  <c r="AO3" i="8" a="1"/>
  <c r="AO98" i="8" a="1"/>
  <c r="AP19" i="8" a="1"/>
  <c r="AP290" i="8" a="1"/>
  <c r="AO207" i="8" a="1"/>
  <c r="AP13" i="8" a="1"/>
  <c r="AO297" i="8" a="1"/>
  <c r="AO195" i="8" a="1"/>
  <c r="AO142" i="8" a="1"/>
  <c r="AP91" i="8" a="1"/>
  <c r="AP150" i="8" a="1"/>
  <c r="AP305" i="8" a="1"/>
  <c r="AP261" i="8" a="1"/>
  <c r="AP11" i="8" a="1"/>
  <c r="AO371" i="8" a="1"/>
  <c r="AP151" i="8" a="1"/>
  <c r="AP48" i="8" a="1"/>
  <c r="AO312" i="8" a="1"/>
  <c r="AO61" i="8" a="1"/>
  <c r="AO321" i="8" a="1"/>
  <c r="AO151" i="8" a="1"/>
  <c r="AO228" i="8" a="1"/>
  <c r="AP124" i="8" a="1"/>
  <c r="AP165" i="8" a="1"/>
  <c r="AO52" i="8" a="1"/>
  <c r="AP382" i="8" a="1"/>
  <c r="AO27" i="8" a="1"/>
  <c r="AO292" i="8" a="1"/>
  <c r="AP70" i="8" a="1"/>
  <c r="AP282" i="8" a="1"/>
  <c r="AP128" i="8" a="1"/>
  <c r="AO75" i="8" a="1"/>
  <c r="AO154" i="8" a="1"/>
  <c r="AP57" i="8" a="1"/>
  <c r="AP270" i="8" a="1"/>
  <c r="AP347" i="8" a="1"/>
  <c r="AO220" i="8" a="1"/>
  <c r="AO299" i="8" a="1"/>
  <c r="AP45" i="8" a="1"/>
  <c r="AP258" i="8" a="1"/>
  <c r="AP209" i="8" a="1"/>
  <c r="AO113" i="8" a="1"/>
  <c r="AO95" i="8" a="1"/>
  <c r="AP33" i="8" a="1"/>
  <c r="AP246" i="8" a="1"/>
  <c r="AP152" i="8" a="1"/>
  <c r="AP133" i="8" a="1"/>
  <c r="AP228" i="8" a="1"/>
  <c r="AP244" i="8" a="1"/>
  <c r="AO282" i="8" a="1"/>
  <c r="AP252" i="8" a="1"/>
  <c r="AO287" i="8" a="1"/>
  <c r="AO90" i="8" a="1"/>
  <c r="AP263" i="8" a="1"/>
  <c r="AO180" i="8" a="1"/>
  <c r="AP200" i="8" a="1"/>
  <c r="AO63" i="8" a="1"/>
  <c r="AP372" i="8" a="1"/>
  <c r="AP24" i="8" a="1"/>
  <c r="AP42" i="8" a="1"/>
  <c r="AO358" i="8" a="1"/>
  <c r="AO308" i="8" a="1"/>
  <c r="AO136" i="8" a="1"/>
  <c r="AP68" i="8" a="1"/>
  <c r="AO323" i="8" a="1"/>
  <c r="AO221" i="8" a="1"/>
  <c r="AP96" i="8" a="1"/>
  <c r="AP284" i="8" a="1"/>
  <c r="AO89" i="8" a="1"/>
  <c r="AO276" i="8" a="1"/>
  <c r="AO16" i="8" a="1"/>
  <c r="AP84" i="8" a="1"/>
  <c r="AP272" i="8" a="1"/>
  <c r="AO7" i="8" a="1"/>
  <c r="AO72" i="8" a="1"/>
  <c r="AO111" i="8" a="1"/>
  <c r="AP72" i="8" a="1"/>
  <c r="AP260" i="8" a="1"/>
  <c r="AO303" i="8" a="1"/>
  <c r="AO216" i="8" a="1"/>
  <c r="AO256" i="8" a="1"/>
  <c r="AP59" i="8" a="1"/>
  <c r="AP248" i="8" a="1"/>
  <c r="AP192" i="8" a="1"/>
  <c r="AO125" i="8" a="1"/>
  <c r="AO145" i="8" a="1"/>
  <c r="AO214" i="8" a="1"/>
  <c r="AO129" i="8" a="1"/>
  <c r="AO240" i="8" a="1"/>
  <c r="AO380" i="8" a="1"/>
  <c r="AO382" i="8" a="1"/>
  <c r="AO65" i="8" a="1"/>
  <c r="AP197" i="8" a="1"/>
  <c r="AP330" i="8" a="1"/>
  <c r="AP102" i="8" a="1"/>
  <c r="AO76" i="8" a="1"/>
  <c r="AO166" i="8" a="1"/>
  <c r="AO234" i="8" a="1"/>
  <c r="AP358" i="8" a="1"/>
  <c r="AP179" i="8" a="1"/>
  <c r="AO44" i="8" a="1"/>
  <c r="AO41" i="8" a="1"/>
  <c r="AO351" i="8" a="1"/>
  <c r="AO11" i="8" a="1"/>
  <c r="AO112" i="8" a="1"/>
  <c r="AO370" i="8" a="1"/>
  <c r="AP373" i="8" a="1"/>
  <c r="AO175" i="8" a="1"/>
  <c r="AO80" i="8" a="1"/>
  <c r="AP218" i="8" a="1"/>
  <c r="AP25" i="8" a="1"/>
  <c r="AP257" i="8" a="1"/>
  <c r="AO368" i="8" a="1"/>
  <c r="AO284" i="8" a="1"/>
  <c r="AO304" i="8" a="1"/>
  <c r="AO183" i="8" a="1"/>
  <c r="AO23" i="8" a="1"/>
  <c r="AP232" i="8" a="1"/>
  <c r="AP114" i="8" a="1"/>
  <c r="AO164" i="8" a="1"/>
  <c r="AO328" i="8" a="1"/>
  <c r="AO168" i="8" a="1"/>
  <c r="AP46" i="8" a="1"/>
  <c r="AP247" i="8" a="1"/>
  <c r="AP170" i="8" a="1"/>
  <c r="AO316" i="8" a="1"/>
  <c r="AO242" i="8" a="1"/>
  <c r="AO362" i="8" a="1"/>
  <c r="AP163" i="8" a="1"/>
  <c r="AP294" i="8" a="1"/>
  <c r="AP71" i="8" a="1"/>
  <c r="AO85" i="8" a="1"/>
  <c r="AP280" i="8" a="1"/>
  <c r="AP146" i="8" a="1"/>
  <c r="AP322" i="8" a="1"/>
  <c r="AO255" i="8" a="1"/>
  <c r="AO248" i="8" a="1"/>
  <c r="AP149" i="8" a="1"/>
  <c r="AO131" i="8" a="1"/>
  <c r="AO123" i="8" a="1"/>
  <c r="AP300" i="8" a="1"/>
  <c r="AO346" i="8" a="1"/>
  <c r="AP140" i="8" a="1"/>
  <c r="AO169" i="8" a="1"/>
  <c r="AO268" i="8" a="1"/>
  <c r="AP288" i="8" a="1"/>
  <c r="AO348" i="8" a="1"/>
  <c r="AP79" i="8" a="1"/>
  <c r="AO314" i="8" a="1"/>
  <c r="AO130" i="8" a="1"/>
  <c r="AP276" i="8" a="1"/>
  <c r="AP366" i="8" a="1"/>
  <c r="AP95" i="8" a="1"/>
  <c r="AO117" i="8" a="1"/>
  <c r="AO275" i="8" a="1"/>
  <c r="AP264" i="8" a="1"/>
  <c r="AP356" i="8" a="1"/>
  <c r="AP107" i="8" a="1"/>
  <c r="AO294" i="8" a="1"/>
  <c r="AO198" i="8" a="1"/>
  <c r="AO156" i="8" a="1"/>
  <c r="AO258" i="8" a="1"/>
  <c r="AO47" i="8" a="1"/>
  <c r="AO53" i="8" a="1"/>
  <c r="AO101" i="8" a="1"/>
  <c r="AP254" i="8" a="1"/>
  <c r="AP5" i="8" a="1"/>
  <c r="AP293" i="8" a="1"/>
  <c r="AO332" i="8" a="1"/>
  <c r="AO29" i="8" a="1"/>
  <c r="AP286" i="8" a="1"/>
  <c r="AO172" i="8" a="1"/>
  <c r="AP127" i="8" a="1"/>
  <c r="AO244" i="8" a="1"/>
  <c r="AP217" i="8" a="1"/>
  <c r="AO296" i="8" a="1"/>
  <c r="AP377" i="8" a="1"/>
  <c r="AP171" i="8" a="1"/>
  <c r="AP167" i="8" a="1"/>
  <c r="AP213" i="8" a="1"/>
  <c r="AO51" i="8" a="1"/>
  <c r="AP338" i="8" a="1"/>
  <c r="AP346" i="8" a="1"/>
  <c r="AP67" i="8" a="1"/>
  <c r="AP109" i="8" a="1"/>
  <c r="AO165" i="8" a="1"/>
  <c r="AP326" i="8" a="1"/>
  <c r="AO359" i="8" a="1"/>
  <c r="AO37" i="8" a="1"/>
  <c r="AP74" i="8" a="1"/>
  <c r="AO341" i="8" a="1"/>
  <c r="AP314" i="8" a="1"/>
  <c r="AO364" i="8" a="1"/>
  <c r="AO146" i="8" a="1"/>
  <c r="AP156" i="8" a="1"/>
  <c r="AO87" i="8" a="1"/>
  <c r="AP302" i="8" a="1"/>
  <c r="AP383" i="8" a="1"/>
  <c r="AP341" i="8" a="1"/>
  <c r="AP329" i="8" a="1"/>
  <c r="AP81" i="8" a="1"/>
  <c r="AP283" i="8" a="1"/>
  <c r="AO12" i="8" a="1"/>
  <c r="AO102" i="8" a="1"/>
  <c r="AP93" i="8" a="1"/>
  <c r="AP299" i="8" a="1"/>
  <c r="AP273" i="8" a="1"/>
  <c r="AP324" i="8" a="1"/>
  <c r="AO68" i="8" a="1"/>
  <c r="AP344" i="8" a="1"/>
  <c r="AP36" i="8" a="1"/>
  <c r="AO295" i="8" a="1"/>
  <c r="AO26" i="8" a="1"/>
  <c r="AP147" i="8" a="1"/>
  <c r="AP175" i="8" a="1"/>
  <c r="AP380" i="8" a="1"/>
  <c r="AO225" i="8" a="1"/>
  <c r="AP219" i="8" a="1"/>
  <c r="AO24" i="8" a="1"/>
  <c r="AO254" i="8" a="1"/>
  <c r="AP10" i="8" a="1"/>
  <c r="AP210" i="8" a="1"/>
  <c r="AO202" i="8" a="1"/>
  <c r="AO36" i="8" a="1"/>
  <c r="AO288" i="8" a="1"/>
  <c r="AP240" i="8" a="1"/>
  <c r="AP194" i="8" a="1"/>
  <c r="AP108" i="8" a="1"/>
  <c r="AO210" i="8" a="1"/>
  <c r="AP26" i="8" a="1"/>
  <c r="AP160" i="8" a="1"/>
  <c r="AP49" i="8" a="1"/>
  <c r="AP315" i="8" a="1"/>
  <c r="AP100" i="8" a="1"/>
  <c r="AO33" i="8" a="1"/>
  <c r="AO249" i="8" a="1"/>
  <c r="AP120" i="8" a="1"/>
  <c r="AP308" i="8" a="1"/>
  <c r="AP6" i="8" a="1"/>
  <c r="AO133" i="8" a="1"/>
  <c r="AO92" i="8" a="1"/>
  <c r="AP60" i="8" a="1"/>
  <c r="AO10" i="8" a="1"/>
  <c r="AO278" i="8" a="1"/>
  <c r="AP334" i="8" a="1"/>
  <c r="AP304" i="8" a="1"/>
  <c r="AP23" i="8" a="1"/>
  <c r="AO155" i="8" a="1"/>
  <c r="AO81" i="8" a="1"/>
  <c r="AP357" i="8" a="1"/>
  <c r="AP173" i="8" a="1"/>
  <c r="AO302" i="8" a="1"/>
  <c r="AO84" i="8" a="1"/>
  <c r="AO69" i="8" a="1"/>
  <c r="AP231" i="8" a="1"/>
  <c r="AP90" i="8" a="1"/>
  <c r="AO157" i="8" a="1"/>
  <c r="AO335" i="8" a="1"/>
  <c r="AO116" i="8" a="1"/>
  <c r="AO127" i="8" a="1"/>
  <c r="AO206" i="8" a="1"/>
  <c r="AP28" i="8" a="1"/>
  <c r="AP239" i="8" a="1"/>
  <c r="AO109" i="8" a="1"/>
  <c r="AP9" i="8" a="1"/>
  <c r="AO241" i="8" a="1"/>
  <c r="AO9" i="8" a="1"/>
  <c r="AP214" i="8" a="1"/>
  <c r="AP378" i="8" a="1"/>
  <c r="AP168" i="8" a="1"/>
  <c r="AO141" i="8" a="1"/>
  <c r="AO185" i="8" a="1"/>
  <c r="AP202" i="8" a="1"/>
  <c r="AP268" i="8" a="1"/>
  <c r="AP121" i="8" a="1"/>
  <c r="AO286" i="8" a="1"/>
  <c r="AO330" i="8" a="1"/>
  <c r="AP190" i="8" a="1"/>
  <c r="AO67" i="8" a="1"/>
  <c r="AP69" i="8" a="1"/>
  <c r="AO326" i="8" a="1"/>
  <c r="AO126" i="8" a="1"/>
  <c r="AP178" i="8" a="1"/>
  <c r="AO122" i="8" a="1"/>
  <c r="AO374" i="8" a="1"/>
  <c r="AO211" i="8" a="1"/>
  <c r="AP313" i="8" a="1"/>
  <c r="AO347" i="8" a="1"/>
  <c r="AO232" i="8" a="1"/>
  <c r="AP47" i="8" a="1"/>
  <c r="AO215" i="8" a="1"/>
  <c r="AO191" i="8" a="1"/>
  <c r="AP352" i="8" a="1"/>
  <c r="AO134" i="8" a="1"/>
  <c r="AP116" i="8" a="1"/>
  <c r="AP86" i="8" a="1"/>
  <c r="AO260" i="8" a="1"/>
  <c r="AP65" i="8" a="1"/>
  <c r="AO334" i="8" a="1"/>
  <c r="AP76" i="8" a="1"/>
  <c r="AO107" i="8" a="1"/>
  <c r="AP104" i="8" a="1"/>
  <c r="AP85" i="8" a="1"/>
  <c r="AO139" i="8" a="1"/>
  <c r="AO30" i="8" a="1"/>
  <c r="AP212" i="8" a="1"/>
  <c r="AO4" i="8" a="1"/>
  <c r="AO230" i="8" a="1"/>
  <c r="AP241" i="8" a="1"/>
  <c r="AP328" i="8" a="1"/>
  <c r="AP162" i="8" a="1"/>
  <c r="AO307" i="8" a="1"/>
  <c r="AO25" i="8" a="1"/>
  <c r="AP229" i="8" a="1"/>
  <c r="AP195" i="8" a="1"/>
  <c r="Y383" i="8"/>
  <c r="AO91" i="8" a="1"/>
  <c r="AO177" i="8" a="1"/>
  <c r="AP216" i="8" a="1"/>
  <c r="AP50" i="8" a="1"/>
  <c r="AP234" i="8" a="1"/>
  <c r="AO236" i="8" a="1"/>
  <c r="AO322" i="8" a="1"/>
  <c r="AP204" i="8" a="1"/>
  <c r="AP339" i="8" a="1"/>
  <c r="AP349" i="8" a="1"/>
  <c r="AO22" i="8" a="1"/>
  <c r="AP172" i="8" a="1"/>
  <c r="AO246" i="8" a="1"/>
  <c r="AO160" i="8" a="1"/>
  <c r="AO271" i="8" a="1"/>
  <c r="AP17" i="8" a="1"/>
  <c r="AP222" i="8" a="1"/>
  <c r="AP354" i="8" a="1"/>
  <c r="AO209" i="8" a="1"/>
  <c r="AO40" i="8" a="1"/>
  <c r="AO114" i="8" a="1"/>
  <c r="AP274" i="8" a="1"/>
  <c r="AO8" i="8" a="1"/>
  <c r="AO320" i="8" a="1"/>
  <c r="AO171" i="8" a="1"/>
  <c r="AP78" i="8" a="1"/>
  <c r="AP80" i="8" a="1"/>
  <c r="AO110" i="8" a="1"/>
  <c r="AP27" i="8" a="1"/>
  <c r="AO338" i="8" a="1"/>
  <c r="AO197" i="8" a="1"/>
  <c r="AP375" i="8" a="1"/>
  <c r="AP137" i="8" a="1"/>
  <c r="AP267" i="8" a="1"/>
  <c r="AO212" i="8" a="1"/>
  <c r="AO342" i="8" a="1"/>
  <c r="AP316" i="8" a="1"/>
  <c r="AP125" i="8" a="1"/>
  <c r="AP138" i="8" a="1"/>
  <c r="AO39" i="8" a="1"/>
  <c r="AO138" i="8" a="1"/>
  <c r="AP159" i="8" a="1"/>
  <c r="AP113" i="8" a="1"/>
  <c r="AO38" i="8" a="1"/>
  <c r="AO82" i="8" a="1"/>
  <c r="AO283" i="8" a="1"/>
  <c r="AO357" i="8" a="1"/>
  <c r="AP101" i="8" a="1"/>
  <c r="AP236" i="8" a="1"/>
  <c r="AP325" i="8" a="1"/>
  <c r="AP142" i="8" a="1"/>
  <c r="AO224" i="8" a="1"/>
  <c r="AO251" i="8" a="1"/>
  <c r="AP365" i="8" a="1"/>
  <c r="AP122" i="8" a="1"/>
  <c r="AP266" i="8" a="1"/>
  <c r="AP199" i="8" a="1"/>
  <c r="AO174" i="8" a="1"/>
  <c r="AO273" i="8" a="1"/>
  <c r="AO222" i="8" a="1"/>
  <c r="AO162" i="8" a="1"/>
  <c r="AP139" i="8" a="1"/>
  <c r="AO243" i="8" a="1"/>
  <c r="AO105" i="8" a="1"/>
  <c r="AP41" i="8" a="1"/>
  <c r="AP323" i="8" a="1"/>
  <c r="AP340" i="8" a="1"/>
  <c r="AO263" i="8" a="1"/>
  <c r="AP262" i="8" a="1"/>
  <c r="AO252" i="8" a="1"/>
  <c r="AP243" i="8" a="1"/>
  <c r="AP166" i="8" a="1"/>
  <c r="AO148" i="8" a="1"/>
  <c r="AO62" i="8" a="1"/>
  <c r="AP63" i="8" a="1"/>
  <c r="AP164" i="8" a="1"/>
  <c r="AP15" i="8" a="1"/>
  <c r="AO369" i="8" a="1"/>
  <c r="AO35" i="8" a="1"/>
  <c r="AO56" i="8" a="1"/>
  <c r="AO181" i="8" a="1"/>
  <c r="AP303" i="8" a="1"/>
  <c r="AP174" i="8" a="1"/>
  <c r="AP301" i="8" a="1"/>
  <c r="AO167" i="8" a="1"/>
  <c r="AO57" i="8" a="1"/>
  <c r="AO205" i="8" a="1"/>
  <c r="AO379" i="8" a="1"/>
  <c r="AO54" i="8" a="1"/>
  <c r="AP52" i="8" a="1"/>
  <c r="AP374" i="8" a="1"/>
  <c r="AP126" i="8" a="1"/>
  <c r="AP176" i="8" a="1"/>
  <c r="AP295" i="8" a="1"/>
  <c r="AP342" i="8" a="1"/>
  <c r="AO46" i="8" a="1"/>
  <c r="AP182" i="8" a="1"/>
  <c r="AP115" i="8" a="1"/>
  <c r="AP363" i="8" a="1"/>
  <c r="AO184" i="8" a="1"/>
  <c r="AO70" i="8" a="1"/>
  <c r="AP7" i="8" a="1"/>
  <c r="AP348" i="8" a="1"/>
  <c r="AO201" i="8" a="1"/>
  <c r="AO15" i="8" a="1"/>
  <c r="AP21" i="8" a="1"/>
  <c r="AO329" i="8" a="1"/>
  <c r="AP130" i="8" a="1"/>
  <c r="AP278" i="8" a="1"/>
  <c r="AP188" i="8" a="1"/>
  <c r="AO333" i="8" a="1"/>
  <c r="AO298" i="8" a="1"/>
  <c r="AO336" i="8" a="1"/>
  <c r="AO204" i="8" a="1"/>
  <c r="AO365" i="8" a="1"/>
  <c r="AO106" i="8" a="1"/>
  <c r="AO173" i="8" a="1"/>
  <c r="AO34" i="8" a="1"/>
  <c r="AO280" i="8" a="1"/>
  <c r="AO149" i="8" a="1"/>
  <c r="AO306" i="8" a="1"/>
  <c r="AP198" i="8" a="1"/>
  <c r="AP361" i="8" a="1"/>
  <c r="AO315" i="8" a="1"/>
  <c r="AO318" i="8" a="1"/>
  <c r="AP145" i="8" a="1"/>
  <c r="AP271" i="8" a="1"/>
  <c r="AO231" i="8" a="1"/>
  <c r="AP337" i="8" a="1"/>
  <c r="AP12" i="8" a="1"/>
  <c r="AO66" i="8" a="1"/>
  <c r="AO270" i="8" a="1"/>
  <c r="AP186" i="8" a="1"/>
  <c r="AO363" i="8" a="1"/>
  <c r="AO199" i="8" a="1"/>
  <c r="AO78" i="8" a="1"/>
  <c r="AO319" i="8" a="1"/>
  <c r="AO150" i="8" a="1"/>
  <c r="AO161" i="8" a="1"/>
  <c r="AP238" i="8" a="1"/>
  <c r="AP56" i="8" a="1"/>
  <c r="AO356" i="8" a="1"/>
  <c r="AP364" i="8" a="1"/>
  <c r="AO235" i="8" a="1"/>
  <c r="AO274" i="8" a="1"/>
  <c r="AP345" i="8" a="1"/>
  <c r="AP103" i="8" a="1"/>
  <c r="AO152" i="8" a="1"/>
  <c r="Z687" i="1"/>
  <c r="AQ319" i="8" a="1"/>
  <c r="R282" i="8" a="1"/>
  <c r="R283" i="8" a="1"/>
  <c r="AQ324" i="8" a="1"/>
  <c r="U688" i="1"/>
  <c r="AQ315" i="8" a="1"/>
  <c r="AQ283" i="8" a="1"/>
  <c r="Y687" i="1"/>
  <c r="Z688" i="1"/>
  <c r="R284" i="8" a="1"/>
  <c r="AQ325" i="8" a="1"/>
  <c r="U687" i="1"/>
  <c r="AQ284" i="8" a="1"/>
  <c r="AQ321" i="8" a="1"/>
  <c r="AQ317" i="8" a="1"/>
  <c r="AQ316" i="8" a="1"/>
  <c r="Y688" i="1"/>
  <c r="R281" i="8" a="1"/>
  <c r="AQ318" i="8" a="1"/>
  <c r="AQ326" i="8" a="1"/>
  <c r="AQ320" i="8" a="1"/>
  <c r="AQ323" i="8" a="1"/>
  <c r="AQ322" i="8" a="1"/>
  <c r="R280" i="8" a="1"/>
  <c r="AO152" i="8" l="1"/>
  <c r="AP103" i="8"/>
  <c r="AP345" i="8"/>
  <c r="AO274" i="8"/>
  <c r="AO235" i="8"/>
  <c r="AP364" i="8"/>
  <c r="AO356" i="8"/>
  <c r="AP56" i="8"/>
  <c r="AP238" i="8"/>
  <c r="AO161" i="8"/>
  <c r="AO150" i="8"/>
  <c r="AO319" i="8"/>
  <c r="AO78" i="8"/>
  <c r="AO199" i="8"/>
  <c r="AO363" i="8"/>
  <c r="AP186" i="8"/>
  <c r="AO270" i="8"/>
  <c r="AO66" i="8"/>
  <c r="AP12" i="8"/>
  <c r="AP337" i="8"/>
  <c r="AO231" i="8"/>
  <c r="AP271" i="8"/>
  <c r="AP145" i="8"/>
  <c r="AO318" i="8"/>
  <c r="AO315" i="8"/>
  <c r="AP361" i="8"/>
  <c r="AP198" i="8"/>
  <c r="AO306" i="8"/>
  <c r="AO149" i="8"/>
  <c r="AO280" i="8"/>
  <c r="AO34" i="8"/>
  <c r="AO173" i="8"/>
  <c r="AO106" i="8"/>
  <c r="AO365" i="8"/>
  <c r="AO204" i="8"/>
  <c r="AO336" i="8"/>
  <c r="AO298" i="8"/>
  <c r="AO333" i="8"/>
  <c r="AP188" i="8"/>
  <c r="AP278" i="8"/>
  <c r="AP130" i="8"/>
  <c r="AO329" i="8"/>
  <c r="AP21" i="8"/>
  <c r="AO15" i="8"/>
  <c r="AO201" i="8"/>
  <c r="AP348" i="8"/>
  <c r="AP7" i="8"/>
  <c r="AO70" i="8"/>
  <c r="AO184" i="8"/>
  <c r="AP363" i="8"/>
  <c r="AP115" i="8"/>
  <c r="AP182" i="8"/>
  <c r="AO46" i="8"/>
  <c r="AP342" i="8"/>
  <c r="AP295" i="8"/>
  <c r="AP176" i="8"/>
  <c r="AP126" i="8"/>
  <c r="AP374" i="8"/>
  <c r="AP52" i="8"/>
  <c r="AO54" i="8"/>
  <c r="AO379" i="8"/>
  <c r="AO205" i="8"/>
  <c r="AO57" i="8"/>
  <c r="AO167" i="8"/>
  <c r="AP301" i="8"/>
  <c r="AP174" i="8"/>
  <c r="AP303" i="8"/>
  <c r="AO181" i="8"/>
  <c r="AO56" i="8"/>
  <c r="AO35" i="8"/>
  <c r="AO369" i="8"/>
  <c r="AP15" i="8"/>
  <c r="AP164" i="8"/>
  <c r="AP63" i="8"/>
  <c r="AO62" i="8"/>
  <c r="AO148" i="8"/>
  <c r="AP166" i="8"/>
  <c r="AP243" i="8"/>
  <c r="AO252" i="8"/>
  <c r="AP262" i="8"/>
  <c r="AO263" i="8"/>
  <c r="AP340" i="8"/>
  <c r="AP323" i="8"/>
  <c r="AP41" i="8"/>
  <c r="AO105" i="8"/>
  <c r="AO243" i="8"/>
  <c r="AP139" i="8"/>
  <c r="AO162" i="8"/>
  <c r="AO222" i="8"/>
  <c r="AO273" i="8"/>
  <c r="AO174" i="8"/>
  <c r="AP199" i="8"/>
  <c r="AP266" i="8"/>
  <c r="AP122" i="8"/>
  <c r="AP365" i="8"/>
  <c r="AO251" i="8"/>
  <c r="AO224" i="8"/>
  <c r="AP142" i="8"/>
  <c r="AP325" i="8"/>
  <c r="AP236" i="8"/>
  <c r="AP101" i="8"/>
  <c r="AO357" i="8"/>
  <c r="AO283" i="8"/>
  <c r="AO82" i="8"/>
  <c r="AO38" i="8"/>
  <c r="AP113" i="8"/>
  <c r="AP159" i="8"/>
  <c r="AO138" i="8"/>
  <c r="AO39" i="8"/>
  <c r="AP138" i="8"/>
  <c r="AP125" i="8"/>
  <c r="AP316" i="8"/>
  <c r="AO342" i="8"/>
  <c r="AO212" i="8"/>
  <c r="AP267" i="8"/>
  <c r="AP137" i="8"/>
  <c r="AP375" i="8"/>
  <c r="AO197" i="8"/>
  <c r="AO338" i="8"/>
  <c r="AP27" i="8"/>
  <c r="AO110" i="8"/>
  <c r="AP80" i="8"/>
  <c r="AP78" i="8"/>
  <c r="AO171" i="8"/>
  <c r="AO320" i="8"/>
  <c r="AO8" i="8"/>
  <c r="AP274" i="8"/>
  <c r="AO114" i="8"/>
  <c r="AO40" i="8"/>
  <c r="AO209" i="8"/>
  <c r="AP354" i="8"/>
  <c r="AP222" i="8"/>
  <c r="AP17" i="8"/>
  <c r="AO271" i="8"/>
  <c r="AO160" i="8"/>
  <c r="AO246" i="8"/>
  <c r="AP172" i="8"/>
  <c r="AO22" i="8"/>
  <c r="AP349" i="8"/>
  <c r="AP339" i="8"/>
  <c r="AP204" i="8"/>
  <c r="AO322" i="8"/>
  <c r="AO236" i="8"/>
  <c r="AP234" i="8"/>
  <c r="AP50" i="8"/>
  <c r="AP216" i="8"/>
  <c r="AO177" i="8"/>
  <c r="AO91" i="8"/>
  <c r="AP195" i="8"/>
  <c r="AP229" i="8"/>
  <c r="AO25" i="8"/>
  <c r="AO307" i="8"/>
  <c r="AP162" i="8"/>
  <c r="AP328" i="8"/>
  <c r="AP241" i="8"/>
  <c r="AO230" i="8"/>
  <c r="AO4" i="8"/>
  <c r="AP212" i="8"/>
  <c r="AO30" i="8"/>
  <c r="AO139" i="8"/>
  <c r="AP85" i="8"/>
  <c r="AP104" i="8"/>
  <c r="AO107" i="8"/>
  <c r="AP76" i="8"/>
  <c r="AO334" i="8"/>
  <c r="AP65" i="8"/>
  <c r="AO260" i="8"/>
  <c r="AP86" i="8"/>
  <c r="AP116" i="8"/>
  <c r="AO134" i="8"/>
  <c r="AP352" i="8"/>
  <c r="AO191" i="8"/>
  <c r="AO215" i="8"/>
  <c r="AP47" i="8"/>
  <c r="AO232" i="8"/>
  <c r="AO347" i="8"/>
  <c r="AP313" i="8"/>
  <c r="AO211" i="8"/>
  <c r="AO374" i="8"/>
  <c r="AO122" i="8"/>
  <c r="AP178" i="8"/>
  <c r="AO126" i="8"/>
  <c r="AO326" i="8"/>
  <c r="AP69" i="8"/>
  <c r="AO67" i="8"/>
  <c r="AP190" i="8"/>
  <c r="AO330" i="8"/>
  <c r="AO286" i="8"/>
  <c r="AP121" i="8"/>
  <c r="AP268" i="8"/>
  <c r="AP202" i="8"/>
  <c r="AO185" i="8"/>
  <c r="AO141" i="8"/>
  <c r="AP168" i="8"/>
  <c r="AP378" i="8"/>
  <c r="AP214" i="8"/>
  <c r="AO9" i="8"/>
  <c r="AO241" i="8"/>
  <c r="AP9" i="8"/>
  <c r="AO109" i="8"/>
  <c r="AP239" i="8"/>
  <c r="AP28" i="8"/>
  <c r="AO206" i="8"/>
  <c r="AO127" i="8"/>
  <c r="AO116" i="8"/>
  <c r="AO335" i="8"/>
  <c r="AO157" i="8"/>
  <c r="AP90" i="8"/>
  <c r="AP231" i="8"/>
  <c r="AO69" i="8"/>
  <c r="AO84" i="8"/>
  <c r="AO302" i="8"/>
  <c r="AP173" i="8"/>
  <c r="AP357" i="8"/>
  <c r="AO81" i="8"/>
  <c r="AO155" i="8"/>
  <c r="AP23" i="8"/>
  <c r="AP304" i="8"/>
  <c r="AP334" i="8"/>
  <c r="AO278" i="8"/>
  <c r="AO10" i="8"/>
  <c r="AP60" i="8"/>
  <c r="AO92" i="8"/>
  <c r="AO133" i="8"/>
  <c r="AP6" i="8"/>
  <c r="AP308" i="8"/>
  <c r="AP120" i="8"/>
  <c r="AO249" i="8"/>
  <c r="AO33" i="8"/>
  <c r="AP100" i="8"/>
  <c r="AP315" i="8"/>
  <c r="AP49" i="8"/>
  <c r="AP160" i="8"/>
  <c r="AP26" i="8"/>
  <c r="AO210" i="8"/>
  <c r="AP108" i="8"/>
  <c r="AP194" i="8"/>
  <c r="AP240" i="8"/>
  <c r="AO288" i="8"/>
  <c r="AO36" i="8"/>
  <c r="AO202" i="8"/>
  <c r="AP210" i="8"/>
  <c r="AP10" i="8"/>
  <c r="AO254" i="8"/>
  <c r="AO24" i="8"/>
  <c r="AP219" i="8"/>
  <c r="AO225" i="8"/>
  <c r="AP380" i="8"/>
  <c r="AP175" i="8"/>
  <c r="AP147" i="8"/>
  <c r="AO26" i="8"/>
  <c r="AO295" i="8"/>
  <c r="AP36" i="8"/>
  <c r="AP344" i="8"/>
  <c r="AO68" i="8"/>
  <c r="AP324" i="8"/>
  <c r="AP273" i="8"/>
  <c r="AP299" i="8"/>
  <c r="AP93" i="8"/>
  <c r="AO102" i="8"/>
  <c r="AO12" i="8"/>
  <c r="AP283" i="8"/>
  <c r="AP81" i="8"/>
  <c r="AP329" i="8"/>
  <c r="AP341" i="8"/>
  <c r="AP383" i="8"/>
  <c r="AP302" i="8"/>
  <c r="AO87" i="8"/>
  <c r="AP156" i="8"/>
  <c r="AO146" i="8"/>
  <c r="AO364" i="8"/>
  <c r="AP314" i="8"/>
  <c r="AO341" i="8"/>
  <c r="AP74" i="8"/>
  <c r="AO37" i="8"/>
  <c r="AO359" i="8"/>
  <c r="AP326" i="8"/>
  <c r="AO165" i="8"/>
  <c r="AP109" i="8"/>
  <c r="AP67" i="8"/>
  <c r="AP346" i="8"/>
  <c r="AP338" i="8"/>
  <c r="AO51" i="8"/>
  <c r="AP213" i="8"/>
  <c r="AP167" i="8"/>
  <c r="AP171" i="8"/>
  <c r="AP377" i="8"/>
  <c r="AO296" i="8"/>
  <c r="AP217" i="8"/>
  <c r="AO244" i="8"/>
  <c r="AP127" i="8"/>
  <c r="AO172" i="8"/>
  <c r="AP286" i="8"/>
  <c r="AO29" i="8"/>
  <c r="AO332" i="8"/>
  <c r="AP293" i="8"/>
  <c r="AP5" i="8"/>
  <c r="AP254" i="8"/>
  <c r="AO101" i="8"/>
  <c r="AO53" i="8"/>
  <c r="AO47" i="8"/>
  <c r="AO258" i="8"/>
  <c r="AO156" i="8"/>
  <c r="AO198" i="8"/>
  <c r="AO294" i="8"/>
  <c r="AP107" i="8"/>
  <c r="AP356" i="8"/>
  <c r="AP264" i="8"/>
  <c r="AO275" i="8"/>
  <c r="AO117" i="8"/>
  <c r="AP95" i="8"/>
  <c r="AP366" i="8"/>
  <c r="AP276" i="8"/>
  <c r="AO130" i="8"/>
  <c r="AO314" i="8"/>
  <c r="AP79" i="8"/>
  <c r="AO348" i="8"/>
  <c r="AP288" i="8"/>
  <c r="AO268" i="8"/>
  <c r="AO169" i="8"/>
  <c r="AP140" i="8"/>
  <c r="AO346" i="8"/>
  <c r="AP300" i="8"/>
  <c r="AO123" i="8"/>
  <c r="AO131" i="8"/>
  <c r="AP149" i="8"/>
  <c r="AO248" i="8"/>
  <c r="AO255" i="8"/>
  <c r="AP322" i="8"/>
  <c r="AP146" i="8"/>
  <c r="AP280" i="8"/>
  <c r="AO85" i="8"/>
  <c r="AP71" i="8"/>
  <c r="AP294" i="8"/>
  <c r="AP163" i="8"/>
  <c r="AO362" i="8"/>
  <c r="AO242" i="8"/>
  <c r="AO316" i="8"/>
  <c r="AP170" i="8"/>
  <c r="AP247" i="8"/>
  <c r="AP46" i="8"/>
  <c r="AO168" i="8"/>
  <c r="AO328" i="8"/>
  <c r="AO164" i="8"/>
  <c r="AP114" i="8"/>
  <c r="AP232" i="8"/>
  <c r="AO23" i="8"/>
  <c r="AO183" i="8"/>
  <c r="AO304" i="8"/>
  <c r="AO284" i="8"/>
  <c r="AO368" i="8"/>
  <c r="AP257" i="8"/>
  <c r="AP25" i="8"/>
  <c r="AP218" i="8"/>
  <c r="AO80" i="8"/>
  <c r="AO175" i="8"/>
  <c r="AP373" i="8"/>
  <c r="AO370" i="8"/>
  <c r="AO112" i="8"/>
  <c r="AO11" i="8"/>
  <c r="AO351" i="8"/>
  <c r="AO41" i="8"/>
  <c r="AO44" i="8"/>
  <c r="AP179" i="8"/>
  <c r="AP358" i="8"/>
  <c r="AO234" i="8"/>
  <c r="AO166" i="8"/>
  <c r="AO76" i="8"/>
  <c r="AP102" i="8"/>
  <c r="AP330" i="8"/>
  <c r="AP197" i="8"/>
  <c r="AO65" i="8"/>
  <c r="AO382" i="8"/>
  <c r="AO380" i="8"/>
  <c r="AO240" i="8"/>
  <c r="AO129" i="8"/>
  <c r="AO214" i="8"/>
  <c r="AO145" i="8"/>
  <c r="AO125" i="8"/>
  <c r="AP192" i="8"/>
  <c r="AP248" i="8"/>
  <c r="AP59" i="8"/>
  <c r="AO256" i="8"/>
  <c r="AO216" i="8"/>
  <c r="AO303" i="8"/>
  <c r="AP260" i="8"/>
  <c r="AP72" i="8"/>
  <c r="AO111" i="8"/>
  <c r="AO72" i="8"/>
  <c r="AO7" i="8"/>
  <c r="AP272" i="8"/>
  <c r="AP84" i="8"/>
  <c r="AO16" i="8"/>
  <c r="AO276" i="8"/>
  <c r="AO89" i="8"/>
  <c r="AP284" i="8"/>
  <c r="AP96" i="8"/>
  <c r="AO221" i="8"/>
  <c r="AO323" i="8"/>
  <c r="AP68" i="8"/>
  <c r="AO136" i="8"/>
  <c r="AO308" i="8"/>
  <c r="AO358" i="8"/>
  <c r="AP42" i="8"/>
  <c r="AP24" i="8"/>
  <c r="AP372" i="8"/>
  <c r="AO63" i="8"/>
  <c r="AP200" i="8"/>
  <c r="AO180" i="8"/>
  <c r="AP263" i="8"/>
  <c r="AO90" i="8"/>
  <c r="AO287" i="8"/>
  <c r="AP252" i="8"/>
  <c r="AO282" i="8"/>
  <c r="AP244" i="8"/>
  <c r="AP228" i="8"/>
  <c r="AP133" i="8"/>
  <c r="AP152" i="8"/>
  <c r="AP246" i="8"/>
  <c r="AP33" i="8"/>
  <c r="AO95" i="8"/>
  <c r="AO113" i="8"/>
  <c r="AP209" i="8"/>
  <c r="AP258" i="8"/>
  <c r="AP45" i="8"/>
  <c r="AO299" i="8"/>
  <c r="AO220" i="8"/>
  <c r="AP347" i="8"/>
  <c r="AP270" i="8"/>
  <c r="AP57" i="8"/>
  <c r="AO154" i="8"/>
  <c r="AO75" i="8"/>
  <c r="AP128" i="8"/>
  <c r="AP282" i="8"/>
  <c r="AP70" i="8"/>
  <c r="AO292" i="8"/>
  <c r="AO27" i="8"/>
  <c r="AP382" i="8"/>
  <c r="AO52" i="8"/>
  <c r="AP165" i="8"/>
  <c r="AP124" i="8"/>
  <c r="AO228" i="8"/>
  <c r="AO151" i="8"/>
  <c r="AO321" i="8"/>
  <c r="AO61" i="8"/>
  <c r="AO312" i="8"/>
  <c r="AP48" i="8"/>
  <c r="AP151" i="8"/>
  <c r="AO371" i="8"/>
  <c r="AP11" i="8"/>
  <c r="AP261" i="8"/>
  <c r="AP305" i="8"/>
  <c r="AP150" i="8"/>
  <c r="AP91" i="8"/>
  <c r="AO142" i="8"/>
  <c r="AO195" i="8"/>
  <c r="AO297" i="8"/>
  <c r="AP13" i="8"/>
  <c r="AO207" i="8"/>
  <c r="AP290" i="8"/>
  <c r="AP19" i="8"/>
  <c r="AO98" i="8"/>
  <c r="AO3" i="8"/>
  <c r="AO59" i="8"/>
  <c r="AO375" i="8"/>
  <c r="AP31" i="8"/>
  <c r="AP37" i="8"/>
  <c r="AO208" i="8"/>
  <c r="AO264" i="8"/>
  <c r="AO381" i="8"/>
  <c r="AP43" i="8"/>
  <c r="AP255" i="8"/>
  <c r="AO32" i="8"/>
  <c r="AO119" i="8"/>
  <c r="AP371" i="8"/>
  <c r="AP55" i="8"/>
  <c r="AO361" i="8"/>
  <c r="AO237" i="8"/>
  <c r="AO2" i="8"/>
  <c r="AP8" i="8"/>
  <c r="AO192" i="8"/>
  <c r="AO331" i="8"/>
  <c r="AO14" i="8"/>
  <c r="AP189" i="8"/>
  <c r="AP75" i="8"/>
  <c r="AO265" i="8"/>
  <c r="AO376" i="8"/>
  <c r="AP112" i="8"/>
  <c r="AP225" i="8"/>
  <c r="AP73" i="8"/>
  <c r="AO73" i="8"/>
  <c r="AP292" i="8"/>
  <c r="AO377" i="8"/>
  <c r="AP320" i="8"/>
  <c r="AP132" i="8"/>
  <c r="AO144" i="8"/>
  <c r="AO238" i="8"/>
  <c r="AP381" i="8"/>
  <c r="AP187" i="8"/>
  <c r="AP350" i="8"/>
  <c r="AO279" i="8"/>
  <c r="AO93" i="8"/>
  <c r="AO213" i="8"/>
  <c r="AO115" i="8"/>
  <c r="AP4" i="8"/>
  <c r="AP161" i="8"/>
  <c r="AP367" i="8"/>
  <c r="AO226" i="8"/>
  <c r="AO55" i="8"/>
  <c r="AP83" i="8"/>
  <c r="AP134" i="8"/>
  <c r="AP32" i="8"/>
  <c r="AO291" i="8"/>
  <c r="AP136" i="8"/>
  <c r="AP242" i="8"/>
  <c r="AO340" i="8"/>
  <c r="AO178" i="8"/>
  <c r="AO313" i="8"/>
  <c r="AP251" i="8"/>
  <c r="AP185" i="8"/>
  <c r="AO262" i="8"/>
  <c r="AP51" i="8"/>
  <c r="AO79" i="8"/>
  <c r="AO305" i="8"/>
  <c r="AP220" i="8"/>
  <c r="AP360" i="8"/>
  <c r="AO378" i="8"/>
  <c r="AP250" i="8"/>
  <c r="AP355" i="8"/>
  <c r="AO239" i="8"/>
  <c r="AP215" i="8"/>
  <c r="AP29" i="8"/>
  <c r="AO339" i="8"/>
  <c r="AO317" i="8"/>
  <c r="AP370" i="8"/>
  <c r="AP35" i="8"/>
  <c r="AO13" i="8"/>
  <c r="AP18" i="8"/>
  <c r="AO5" i="8"/>
  <c r="AO128" i="8"/>
  <c r="AP207" i="8"/>
  <c r="AP211" i="8"/>
  <c r="AP226" i="8"/>
  <c r="AP297" i="8"/>
  <c r="AO71" i="8"/>
  <c r="AO293" i="8"/>
  <c r="AP64" i="8"/>
  <c r="AP285" i="8"/>
  <c r="AP39" i="8"/>
  <c r="AP196" i="8"/>
  <c r="AP309" i="8"/>
  <c r="AP157" i="8"/>
  <c r="AO137" i="8"/>
  <c r="AP201" i="8"/>
  <c r="AP208" i="8"/>
  <c r="AP321" i="8"/>
  <c r="AP169" i="8"/>
  <c r="AO310" i="8"/>
  <c r="AP376" i="8"/>
  <c r="AP221" i="8"/>
  <c r="AP333" i="8"/>
  <c r="AP181" i="8"/>
  <c r="AO99" i="8"/>
  <c r="AO49" i="8"/>
  <c r="AP233" i="8"/>
  <c r="AP2" i="8"/>
  <c r="AP193" i="8"/>
  <c r="AO20" i="8"/>
  <c r="AO158" i="8"/>
  <c r="AP298" i="8"/>
  <c r="AO353" i="8"/>
  <c r="AP275" i="8"/>
  <c r="AO104" i="8"/>
  <c r="AO86" i="8"/>
  <c r="AO135" i="8"/>
  <c r="AP53" i="8"/>
  <c r="AO176" i="8"/>
  <c r="AO217" i="8"/>
  <c r="AP153" i="8"/>
  <c r="AP54" i="8"/>
  <c r="AO219" i="8"/>
  <c r="AO94" i="8"/>
  <c r="AP158" i="8"/>
  <c r="AO227" i="8"/>
  <c r="AO140" i="8"/>
  <c r="AO223" i="8"/>
  <c r="AO247" i="8"/>
  <c r="AP311" i="8"/>
  <c r="AP319" i="8"/>
  <c r="AP119" i="8"/>
  <c r="AO28" i="8"/>
  <c r="AO50" i="8"/>
  <c r="AP224" i="8"/>
  <c r="AP331" i="8"/>
  <c r="AP131" i="8"/>
  <c r="AO233" i="8"/>
  <c r="AO188" i="8"/>
  <c r="AP317" i="8"/>
  <c r="AP343" i="8"/>
  <c r="AP143" i="8"/>
  <c r="AO88" i="8"/>
  <c r="AO43" i="8"/>
  <c r="AP77" i="8"/>
  <c r="AO170" i="8"/>
  <c r="AP155" i="8"/>
  <c r="AO261" i="8"/>
  <c r="AO31" i="8"/>
  <c r="AP245" i="8"/>
  <c r="AO200" i="8"/>
  <c r="AP99" i="8"/>
  <c r="AP237" i="8"/>
  <c r="AP82" i="8"/>
  <c r="AP335" i="8"/>
  <c r="AO58" i="8"/>
  <c r="AO311" i="8"/>
  <c r="AP88" i="8"/>
  <c r="AO189" i="8"/>
  <c r="AP253" i="8"/>
  <c r="AP148" i="8"/>
  <c r="AO343" i="8"/>
  <c r="AO360" i="8"/>
  <c r="AP287" i="8"/>
  <c r="AP180" i="8"/>
  <c r="AP206" i="8"/>
  <c r="AO118" i="8"/>
  <c r="AO19" i="8"/>
  <c r="AO182" i="8"/>
  <c r="AP154" i="8"/>
  <c r="AP89" i="8"/>
  <c r="AP62" i="8"/>
  <c r="AP105" i="8"/>
  <c r="AP279" i="8"/>
  <c r="AO153" i="8"/>
  <c r="AO325" i="8"/>
  <c r="AP87" i="8"/>
  <c r="AP117" i="8"/>
  <c r="AP327" i="8"/>
  <c r="AO267" i="8"/>
  <c r="AO259" i="8"/>
  <c r="AP111" i="8"/>
  <c r="AP129" i="8"/>
  <c r="AO372" i="8"/>
  <c r="AO196" i="8"/>
  <c r="AO203" i="8"/>
  <c r="AP123" i="8"/>
  <c r="AP141" i="8"/>
  <c r="AP38" i="8"/>
  <c r="AO60" i="8"/>
  <c r="AO350" i="8"/>
  <c r="AP312" i="8"/>
  <c r="AP368" i="8"/>
  <c r="AO83" i="8"/>
  <c r="AO272" i="8"/>
  <c r="AP183" i="8"/>
  <c r="AO147" i="8"/>
  <c r="AO96" i="8"/>
  <c r="AO309" i="8"/>
  <c r="AP16" i="8"/>
  <c r="AP310" i="8"/>
  <c r="AO159" i="8"/>
  <c r="AO48" i="8"/>
  <c r="AP362" i="8"/>
  <c r="AP269" i="8"/>
  <c r="AP291" i="8"/>
  <c r="AP230" i="8"/>
  <c r="AO324" i="8"/>
  <c r="AO290" i="8"/>
  <c r="AO345" i="8"/>
  <c r="AP249" i="8"/>
  <c r="AP97" i="8"/>
  <c r="AO179" i="8"/>
  <c r="AP353" i="8"/>
  <c r="AO74" i="8"/>
  <c r="AO17" i="8"/>
  <c r="AP184" i="8"/>
  <c r="AP235" i="8"/>
  <c r="AP34" i="8"/>
  <c r="AO100" i="8"/>
  <c r="AO103" i="8"/>
  <c r="AO344" i="8"/>
  <c r="AP318" i="8"/>
  <c r="AP106" i="8"/>
  <c r="AO186" i="8"/>
  <c r="AP40" i="8"/>
  <c r="AO285" i="8"/>
  <c r="AP223" i="8"/>
  <c r="AP307" i="8"/>
  <c r="AO190" i="8"/>
  <c r="AO266" i="8"/>
  <c r="AP118" i="8"/>
  <c r="AP277" i="8"/>
  <c r="AO163" i="8"/>
  <c r="AO269" i="8"/>
  <c r="AP351" i="8"/>
  <c r="AP332" i="8"/>
  <c r="AP144" i="8"/>
  <c r="AO18" i="8"/>
  <c r="AO124" i="8"/>
  <c r="AP227" i="8"/>
  <c r="AO245" i="8"/>
  <c r="AO229" i="8"/>
  <c r="AO354" i="8"/>
  <c r="AP306" i="8"/>
  <c r="AP94" i="8"/>
  <c r="AO257" i="8"/>
  <c r="AO300" i="8"/>
  <c r="AP98" i="8"/>
  <c r="AP256" i="8"/>
  <c r="AP177" i="8"/>
  <c r="AP135" i="8"/>
  <c r="AO253" i="8"/>
  <c r="AP66" i="8"/>
  <c r="AP281" i="8"/>
  <c r="AP44" i="8"/>
  <c r="AP61" i="8"/>
  <c r="AO108" i="8"/>
  <c r="N297" i="8"/>
  <c r="N79" i="8"/>
  <c r="N323" i="8"/>
  <c r="N33" i="8"/>
  <c r="AH265" i="1"/>
  <c r="AD265" i="1" s="1"/>
  <c r="R352" i="8"/>
  <c r="N190" i="8"/>
  <c r="AH742" i="1"/>
  <c r="AD742" i="1" s="1"/>
  <c r="N202" i="8"/>
  <c r="AH741" i="1"/>
  <c r="AD741" i="1" s="1"/>
  <c r="R338" i="8"/>
  <c r="N70" i="8"/>
  <c r="AH769" i="1"/>
  <c r="AD769" i="1" s="1"/>
  <c r="N286" i="8"/>
  <c r="AH771" i="1"/>
  <c r="AD771" i="1" s="1"/>
  <c r="R321" i="8"/>
  <c r="N8" i="8"/>
  <c r="AI265" i="1"/>
  <c r="AB265" i="1" s="1"/>
  <c r="N80" i="8"/>
  <c r="N244" i="8"/>
  <c r="R304" i="8"/>
  <c r="N308" i="8"/>
  <c r="N111" i="8"/>
  <c r="N30" i="8"/>
  <c r="N242" i="8"/>
  <c r="AQ342" i="8"/>
  <c r="N114" i="8"/>
  <c r="N313" i="8"/>
  <c r="N330" i="8"/>
  <c r="N180" i="8"/>
  <c r="AQ291" i="8"/>
  <c r="N166" i="8"/>
  <c r="P61" i="8"/>
  <c r="P349" i="8"/>
  <c r="N17" i="8"/>
  <c r="N216" i="8"/>
  <c r="N29" i="8"/>
  <c r="N229" i="8"/>
  <c r="AQ333" i="8"/>
  <c r="N246" i="8"/>
  <c r="N96" i="8"/>
  <c r="N113" i="8"/>
  <c r="N312" i="8"/>
  <c r="AQ312" i="8"/>
  <c r="N184" i="8"/>
  <c r="N34" i="8"/>
  <c r="AQ303" i="8"/>
  <c r="N106" i="8"/>
  <c r="AH766" i="1"/>
  <c r="AD766" i="1" s="1"/>
  <c r="R334" i="8"/>
  <c r="N322" i="8"/>
  <c r="AH257" i="1"/>
  <c r="AD257" i="1" s="1"/>
  <c r="N44" i="8"/>
  <c r="AH242" i="1"/>
  <c r="AD242" i="1" s="1"/>
  <c r="R311" i="8"/>
  <c r="N116" i="8"/>
  <c r="N280" i="8"/>
  <c r="AO352" i="8"/>
  <c r="N147" i="8"/>
  <c r="R300" i="8"/>
  <c r="N14" i="8"/>
  <c r="P278" i="8"/>
  <c r="N124" i="8"/>
  <c r="AI257" i="1"/>
  <c r="AB257" i="1" s="1"/>
  <c r="AC257" i="1" s="1"/>
  <c r="R331" i="8"/>
  <c r="N250" i="8"/>
  <c r="AH765" i="1"/>
  <c r="AD765" i="1" s="1"/>
  <c r="N262" i="8"/>
  <c r="AI236" i="1"/>
  <c r="AB236" i="1" s="1"/>
  <c r="R326" i="8"/>
  <c r="N129" i="8"/>
  <c r="AI766" i="1"/>
  <c r="AB766" i="1" s="1"/>
  <c r="AO383" i="8"/>
  <c r="AH755" i="1"/>
  <c r="AD755" i="1" s="1"/>
  <c r="R309" i="8"/>
  <c r="N68" i="8"/>
  <c r="N232" i="8"/>
  <c r="N151" i="8"/>
  <c r="N13" i="8"/>
  <c r="R292" i="8"/>
  <c r="N18" i="8"/>
  <c r="N230" i="8"/>
  <c r="N102" i="8"/>
  <c r="N301" i="8"/>
  <c r="AQ292" i="8"/>
  <c r="N173" i="8"/>
  <c r="N23" i="8"/>
  <c r="N40" i="8"/>
  <c r="N240" i="8"/>
  <c r="AQ297" i="8"/>
  <c r="N285" i="8"/>
  <c r="P158" i="8"/>
  <c r="P48" i="8"/>
  <c r="N269" i="8"/>
  <c r="N119" i="8"/>
  <c r="AQ288" i="8"/>
  <c r="N77" i="8"/>
  <c r="N276" i="8"/>
  <c r="N89" i="8"/>
  <c r="N288" i="8"/>
  <c r="AQ286" i="8"/>
  <c r="N305" i="8"/>
  <c r="N155" i="8"/>
  <c r="N172" i="8"/>
  <c r="N22" i="8"/>
  <c r="AQ301" i="8"/>
  <c r="R340" i="8"/>
  <c r="N94" i="8"/>
  <c r="AH255" i="1"/>
  <c r="AD255" i="1" s="1"/>
  <c r="AO121" i="8"/>
  <c r="AO143" i="8"/>
  <c r="N178" i="8"/>
  <c r="N290" i="8"/>
  <c r="N64" i="8"/>
  <c r="N264" i="8"/>
  <c r="AQ332" i="8"/>
  <c r="N222" i="8"/>
  <c r="N72" i="8"/>
  <c r="N234" i="8"/>
  <c r="N84" i="8"/>
  <c r="AQ330" i="8"/>
  <c r="N101" i="8"/>
  <c r="N300" i="8"/>
  <c r="N317" i="8"/>
  <c r="N167" i="8"/>
  <c r="AQ287" i="8"/>
  <c r="N39" i="8"/>
  <c r="N239" i="8"/>
  <c r="AI194" i="1"/>
  <c r="AB194" i="1" s="1"/>
  <c r="N310" i="8"/>
  <c r="AI263" i="1"/>
  <c r="AB263" i="1" s="1"/>
  <c r="R328" i="8"/>
  <c r="N177" i="8"/>
  <c r="AH760" i="1"/>
  <c r="AD760" i="1" s="1"/>
  <c r="N249" i="8"/>
  <c r="AI695" i="1"/>
  <c r="AB695" i="1" s="1"/>
  <c r="R305" i="8"/>
  <c r="N332" i="8"/>
  <c r="N135" i="8"/>
  <c r="N199" i="8"/>
  <c r="N255" i="8"/>
  <c r="R294" i="8"/>
  <c r="N278" i="8"/>
  <c r="P290" i="8"/>
  <c r="R301" i="8"/>
  <c r="N236" i="8"/>
  <c r="N38" i="8"/>
  <c r="N248" i="8"/>
  <c r="N50" i="8"/>
  <c r="R296" i="8"/>
  <c r="N115" i="8"/>
  <c r="N326" i="8"/>
  <c r="N343" i="8"/>
  <c r="N193" i="8"/>
  <c r="AQ340" i="8"/>
  <c r="N65" i="8"/>
  <c r="N265" i="8"/>
  <c r="N137" i="8"/>
  <c r="N336" i="8"/>
  <c r="AQ296" i="8"/>
  <c r="N3" i="8"/>
  <c r="N203" i="8"/>
  <c r="N76" i="8"/>
  <c r="N275" i="8"/>
  <c r="AH88" i="1"/>
  <c r="AD88" i="1" s="1"/>
  <c r="R335" i="8"/>
  <c r="N315" i="8"/>
  <c r="AH757" i="1"/>
  <c r="AD757" i="1" s="1"/>
  <c r="N213" i="8"/>
  <c r="AH236" i="1"/>
  <c r="AD236" i="1" s="1"/>
  <c r="N112" i="8"/>
  <c r="AH115" i="1"/>
  <c r="AD115" i="1" s="1"/>
  <c r="P181" i="8"/>
  <c r="N93" i="8"/>
  <c r="AQ302" i="8"/>
  <c r="N281" i="8"/>
  <c r="N131" i="8"/>
  <c r="N293" i="8"/>
  <c r="N143" i="8"/>
  <c r="AQ300" i="8"/>
  <c r="N160" i="8"/>
  <c r="N10" i="8"/>
  <c r="N27" i="8"/>
  <c r="N227" i="8"/>
  <c r="AI195" i="1"/>
  <c r="AB195" i="1" s="1"/>
  <c r="R333" i="8"/>
  <c r="N298" i="8"/>
  <c r="AH267" i="1"/>
  <c r="AD267" i="1" s="1"/>
  <c r="N20" i="8"/>
  <c r="AI267" i="1"/>
  <c r="AB267" i="1" s="1"/>
  <c r="R316" i="8"/>
  <c r="N237" i="8"/>
  <c r="AH693" i="1"/>
  <c r="AD693" i="1" s="1"/>
  <c r="N320" i="8"/>
  <c r="N123" i="8"/>
  <c r="R293" i="8"/>
  <c r="N42" i="8"/>
  <c r="N254" i="8"/>
  <c r="N271" i="8"/>
  <c r="N121" i="8"/>
  <c r="AQ331" i="8"/>
  <c r="N47" i="8"/>
  <c r="P338" i="8"/>
  <c r="P217" i="8"/>
  <c r="N150" i="8"/>
  <c r="N303" i="8"/>
  <c r="R289" i="8"/>
  <c r="N307" i="8"/>
  <c r="N157" i="8"/>
  <c r="N319" i="8"/>
  <c r="N169" i="8"/>
  <c r="AQ383" i="8"/>
  <c r="N186" i="8"/>
  <c r="N36" i="8"/>
  <c r="N53" i="8"/>
  <c r="N253" i="8"/>
  <c r="AQ328" i="8"/>
  <c r="N125" i="8"/>
  <c r="N324" i="8"/>
  <c r="N196" i="8"/>
  <c r="AP205" i="8"/>
  <c r="AO218" i="8"/>
  <c r="AO6" i="8"/>
  <c r="AP22" i="8"/>
  <c r="AP369" i="8"/>
  <c r="AP265" i="8"/>
  <c r="AO289" i="8"/>
  <c r="AO64" i="8"/>
  <c r="AP3" i="8"/>
  <c r="AP30" i="8"/>
  <c r="AP336" i="8"/>
  <c r="AO97" i="8"/>
  <c r="AO77" i="8"/>
  <c r="AP359" i="8"/>
  <c r="AP14" i="8"/>
  <c r="AP203" i="8"/>
  <c r="AO301" i="8"/>
  <c r="AO281" i="8"/>
  <c r="N209" i="8"/>
  <c r="AQ338" i="8"/>
  <c r="N295" i="8"/>
  <c r="N145" i="8"/>
  <c r="R295" i="8"/>
  <c r="N91" i="8"/>
  <c r="N302" i="8"/>
  <c r="N103" i="8"/>
  <c r="N314" i="8"/>
  <c r="R290" i="8"/>
  <c r="N331" i="8"/>
  <c r="N181" i="8"/>
  <c r="N198" i="8"/>
  <c r="N48" i="8"/>
  <c r="AQ334" i="8"/>
  <c r="N270" i="8"/>
  <c r="N120" i="8"/>
  <c r="N341" i="8"/>
  <c r="N191" i="8"/>
  <c r="AQ310" i="8"/>
  <c r="N208" i="8"/>
  <c r="N58" i="8"/>
  <c r="AQ289" i="8"/>
  <c r="N130" i="8"/>
  <c r="AH762" i="1"/>
  <c r="AD762" i="1" s="1"/>
  <c r="R329" i="8"/>
  <c r="N201" i="8"/>
  <c r="AI761" i="1"/>
  <c r="AB761" i="1" s="1"/>
  <c r="N69" i="8"/>
  <c r="AH278" i="1"/>
  <c r="AD278" i="1" s="1"/>
  <c r="R343" i="8"/>
  <c r="AI740" i="1"/>
  <c r="AB740" i="1" s="1"/>
  <c r="P193" i="8"/>
  <c r="R325" i="8"/>
  <c r="N105" i="8"/>
  <c r="AI278" i="1"/>
  <c r="AB278" i="1" s="1"/>
  <c r="AC278" i="1" s="1"/>
  <c r="N117" i="8"/>
  <c r="AI249" i="1"/>
  <c r="AB249" i="1" s="1"/>
  <c r="AC249" i="1" s="1"/>
  <c r="R320" i="8"/>
  <c r="N333" i="8"/>
  <c r="AI757" i="1"/>
  <c r="AB757" i="1" s="1"/>
  <c r="N200" i="8"/>
  <c r="AI693" i="1"/>
  <c r="AB693" i="1" s="1"/>
  <c r="AC693" i="1" s="1"/>
  <c r="R303" i="8"/>
  <c r="N284" i="8"/>
  <c r="N87" i="8"/>
  <c r="N6" i="8"/>
  <c r="N218" i="8"/>
  <c r="R286" i="8"/>
  <c r="N235" i="8"/>
  <c r="N85" i="8"/>
  <c r="N306" i="8"/>
  <c r="N156" i="8"/>
  <c r="AQ308" i="8"/>
  <c r="N28" i="8"/>
  <c r="N228" i="8"/>
  <c r="N245" i="8"/>
  <c r="N95" i="8"/>
  <c r="AQ285" i="8"/>
  <c r="N211" i="8"/>
  <c r="N372" i="8"/>
  <c r="P85" i="8"/>
  <c r="N204" i="8"/>
  <c r="AQ352" i="8"/>
  <c r="N162" i="8"/>
  <c r="N12" i="8"/>
  <c r="N174" i="8"/>
  <c r="N24" i="8"/>
  <c r="AQ339" i="8"/>
  <c r="N41" i="8"/>
  <c r="N241" i="8"/>
  <c r="N258" i="8"/>
  <c r="N108" i="8"/>
  <c r="AQ298" i="8"/>
  <c r="N329" i="8"/>
  <c r="N179" i="8"/>
  <c r="N51" i="8"/>
  <c r="N251" i="8"/>
  <c r="AH195" i="1"/>
  <c r="AD195" i="1" s="1"/>
  <c r="R341" i="8"/>
  <c r="N118" i="8"/>
  <c r="AH761" i="1"/>
  <c r="AD761" i="1" s="1"/>
  <c r="N189" i="8"/>
  <c r="AI765" i="1"/>
  <c r="AB765" i="1" s="1"/>
  <c r="R317" i="8"/>
  <c r="N261" i="8"/>
  <c r="AH695" i="1"/>
  <c r="AD695" i="1" s="1"/>
  <c r="N128" i="8"/>
  <c r="N292" i="8"/>
  <c r="R318" i="8"/>
  <c r="AI698" i="1"/>
  <c r="AB698" i="1" s="1"/>
  <c r="P242" i="8"/>
  <c r="AI742" i="1"/>
  <c r="AB742" i="1" s="1"/>
  <c r="N7" i="8"/>
  <c r="N171" i="8"/>
  <c r="R313" i="8"/>
  <c r="N164" i="8"/>
  <c r="N328" i="8"/>
  <c r="N176" i="8"/>
  <c r="N340" i="8"/>
  <c r="R308" i="8"/>
  <c r="N43" i="8"/>
  <c r="N207" i="8"/>
  <c r="N272" i="8"/>
  <c r="N75" i="8"/>
  <c r="R291" i="8"/>
  <c r="N291" i="8"/>
  <c r="N205" i="8"/>
  <c r="N165" i="8"/>
  <c r="AP191" i="8"/>
  <c r="AO187" i="8"/>
  <c r="AO45" i="8"/>
  <c r="AO367" i="8"/>
  <c r="AP259" i="8"/>
  <c r="AP58" i="8"/>
  <c r="AO42" i="8"/>
  <c r="AO250" i="8"/>
  <c r="AO194" i="8"/>
  <c r="AO21" i="8"/>
  <c r="AO193" i="8"/>
  <c r="AO337" i="8"/>
  <c r="AP110" i="8"/>
  <c r="AP20" i="8"/>
  <c r="AP379" i="8"/>
  <c r="AO120" i="8"/>
  <c r="AO327" i="8"/>
  <c r="AO349" i="8"/>
  <c r="AP92" i="8"/>
  <c r="AO373" i="8"/>
  <c r="AO277" i="8"/>
  <c r="AO366" i="8"/>
  <c r="AP296" i="8"/>
  <c r="AO355" i="8"/>
  <c r="AP289" i="8"/>
  <c r="AO132" i="8"/>
  <c r="AI767" i="1"/>
  <c r="AB767" i="1" s="1"/>
  <c r="N59" i="8"/>
  <c r="N224" i="8"/>
  <c r="N152" i="8"/>
  <c r="N316" i="8"/>
  <c r="R319" i="8"/>
  <c r="N309" i="8"/>
  <c r="AH263" i="1"/>
  <c r="AD263" i="1" s="1"/>
  <c r="N321" i="8"/>
  <c r="AI255" i="1"/>
  <c r="AB255" i="1" s="1"/>
  <c r="R314" i="8"/>
  <c r="N188" i="8"/>
  <c r="N219" i="8"/>
  <c r="N55" i="8"/>
  <c r="N220" i="8"/>
  <c r="R297" i="8"/>
  <c r="N139" i="8"/>
  <c r="N267" i="8"/>
  <c r="N223" i="8"/>
  <c r="N73" i="8"/>
  <c r="AQ341" i="8"/>
  <c r="N90" i="8"/>
  <c r="N289" i="8"/>
  <c r="N161" i="8"/>
  <c r="N11" i="8"/>
  <c r="AQ293" i="8"/>
  <c r="N233" i="8"/>
  <c r="N83" i="8"/>
  <c r="N100" i="8"/>
  <c r="N299" i="8"/>
  <c r="AQ299" i="8"/>
  <c r="N66" i="8"/>
  <c r="P38" i="8"/>
  <c r="P97" i="8"/>
  <c r="N136" i="8"/>
  <c r="N335" i="8"/>
  <c r="N148" i="8"/>
  <c r="N327" i="8"/>
  <c r="AQ314" i="8"/>
  <c r="N15" i="8"/>
  <c r="N214" i="8"/>
  <c r="AH740" i="1"/>
  <c r="AD740" i="1" s="1"/>
  <c r="N82" i="8"/>
  <c r="AH768" i="1"/>
  <c r="AD768" i="1" s="1"/>
  <c r="R327" i="8"/>
  <c r="N153" i="8"/>
  <c r="AI768" i="1"/>
  <c r="AB768" i="1" s="1"/>
  <c r="N225" i="8"/>
  <c r="AI694" i="1"/>
  <c r="AB694" i="1" s="1"/>
  <c r="R310" i="8"/>
  <c r="N92" i="8"/>
  <c r="N256" i="8"/>
  <c r="N175" i="8"/>
  <c r="N74" i="8"/>
  <c r="R287" i="8"/>
  <c r="N259" i="8"/>
  <c r="N109" i="8"/>
  <c r="N126" i="8"/>
  <c r="N325" i="8"/>
  <c r="AQ306" i="8"/>
  <c r="N311" i="8"/>
  <c r="P49" i="8"/>
  <c r="P360" i="8"/>
  <c r="N26" i="8"/>
  <c r="R307" i="8"/>
  <c r="N19" i="8"/>
  <c r="N183" i="8"/>
  <c r="N31" i="8"/>
  <c r="N195" i="8"/>
  <c r="R302" i="8"/>
  <c r="N260" i="8"/>
  <c r="N62" i="8"/>
  <c r="N127" i="8"/>
  <c r="N338" i="8"/>
  <c r="R285" i="8"/>
  <c r="N210" i="8"/>
  <c r="N60" i="8"/>
  <c r="N282" i="8"/>
  <c r="N132" i="8"/>
  <c r="AQ294" i="8"/>
  <c r="N149" i="8"/>
  <c r="N279" i="8"/>
  <c r="N221" i="8"/>
  <c r="N71" i="8"/>
  <c r="AQ305" i="8"/>
  <c r="R342" i="8"/>
  <c r="N142" i="8"/>
  <c r="AI762" i="1"/>
  <c r="AB762" i="1" s="1"/>
  <c r="N9" i="8"/>
  <c r="AI741" i="1"/>
  <c r="AB741" i="1" s="1"/>
  <c r="N197" i="8"/>
  <c r="P183" i="8"/>
  <c r="P145" i="8"/>
  <c r="N4" i="8"/>
  <c r="N238" i="8"/>
  <c r="AH767" i="1"/>
  <c r="AD767" i="1" s="1"/>
  <c r="R337" i="8"/>
  <c r="N45" i="8"/>
  <c r="AI770" i="1"/>
  <c r="AB770" i="1" s="1"/>
  <c r="N57" i="8"/>
  <c r="AH249" i="1"/>
  <c r="AD249" i="1" s="1"/>
  <c r="R332" i="8"/>
  <c r="N274" i="8"/>
  <c r="AI759" i="1"/>
  <c r="AB759" i="1" s="1"/>
  <c r="N141" i="8"/>
  <c r="AI769" i="1"/>
  <c r="AB769" i="1" s="1"/>
  <c r="R315" i="8"/>
  <c r="N212" i="8"/>
  <c r="AH694" i="1"/>
  <c r="AD694" i="1" s="1"/>
  <c r="N46" i="8"/>
  <c r="N296" i="8"/>
  <c r="N99" i="8"/>
  <c r="R298" i="8"/>
  <c r="N163" i="8"/>
  <c r="N25" i="8"/>
  <c r="N247" i="8"/>
  <c r="N97" i="8"/>
  <c r="AQ336" i="8"/>
  <c r="N318" i="8"/>
  <c r="N168" i="8"/>
  <c r="N185" i="8"/>
  <c r="N35" i="8"/>
  <c r="AQ327" i="8"/>
  <c r="N81" i="8"/>
  <c r="P122" i="8"/>
  <c r="P36" i="8"/>
  <c r="AQ290" i="8"/>
  <c r="N52" i="8"/>
  <c r="N252" i="8"/>
  <c r="P292" i="8"/>
  <c r="N110" i="8"/>
  <c r="P157" i="8"/>
  <c r="N366" i="8"/>
  <c r="P253" i="8"/>
  <c r="P59" i="8"/>
  <c r="N2" i="8"/>
  <c r="P167" i="8"/>
  <c r="N363" i="8"/>
  <c r="P275" i="8"/>
  <c r="P82" i="8"/>
  <c r="N357" i="8"/>
  <c r="P201" i="8"/>
  <c r="P8" i="8"/>
  <c r="P309" i="8"/>
  <c r="P116" i="8"/>
  <c r="N377" i="8"/>
  <c r="P248" i="8"/>
  <c r="P54" i="8"/>
  <c r="P351" i="8"/>
  <c r="P174" i="8"/>
  <c r="N360" i="8"/>
  <c r="P294" i="8"/>
  <c r="P101" i="8"/>
  <c r="N134" i="8"/>
  <c r="P86" i="8"/>
  <c r="P196" i="8"/>
  <c r="P5" i="8"/>
  <c r="P241" i="8"/>
  <c r="P47" i="8"/>
  <c r="N86" i="8"/>
  <c r="P155" i="8"/>
  <c r="P365" i="8"/>
  <c r="P263" i="8"/>
  <c r="P70" i="8"/>
  <c r="P206" i="8"/>
  <c r="P189" i="8"/>
  <c r="P346" i="8"/>
  <c r="P297" i="8"/>
  <c r="P104" i="8"/>
  <c r="P328" i="8"/>
  <c r="P236" i="8"/>
  <c r="P42" i="8"/>
  <c r="N170" i="8"/>
  <c r="P162" i="8"/>
  <c r="N352" i="8"/>
  <c r="P282" i="8"/>
  <c r="P89" i="8"/>
  <c r="P304" i="8"/>
  <c r="P67" i="8"/>
  <c r="P184" i="8"/>
  <c r="N345" i="8"/>
  <c r="P325" i="8"/>
  <c r="P132" i="8"/>
  <c r="P370" i="8"/>
  <c r="P240" i="8"/>
  <c r="P46" i="8"/>
  <c r="N61" i="8"/>
  <c r="P154" i="8"/>
  <c r="P357" i="8"/>
  <c r="P274" i="8"/>
  <c r="P81" i="8"/>
  <c r="P291" i="8"/>
  <c r="P188" i="8"/>
  <c r="N344" i="8"/>
  <c r="P320" i="8"/>
  <c r="P127" i="8"/>
  <c r="P382" i="8"/>
  <c r="P247" i="8"/>
  <c r="P53" i="8"/>
  <c r="P13" i="8"/>
  <c r="P173" i="8"/>
  <c r="P363" i="8"/>
  <c r="P303" i="8"/>
  <c r="P269" i="8"/>
  <c r="P76" i="8"/>
  <c r="AI771" i="1"/>
  <c r="AB771" i="1" s="1"/>
  <c r="AQ304" i="8"/>
  <c r="N257" i="8"/>
  <c r="N107" i="8"/>
  <c r="P340" i="8"/>
  <c r="P379" i="8"/>
  <c r="P169" i="8"/>
  <c r="N350" i="8"/>
  <c r="P265" i="8"/>
  <c r="P72" i="8"/>
  <c r="P364" i="8"/>
  <c r="P179" i="8"/>
  <c r="P361" i="8"/>
  <c r="P287" i="8"/>
  <c r="P94" i="8"/>
  <c r="P159" i="8"/>
  <c r="P213" i="8"/>
  <c r="P20" i="8"/>
  <c r="P321" i="8"/>
  <c r="P128" i="8"/>
  <c r="P369" i="8"/>
  <c r="P260" i="8"/>
  <c r="P66" i="8"/>
  <c r="P194" i="8"/>
  <c r="P186" i="8"/>
  <c r="P345" i="8"/>
  <c r="P306" i="8"/>
  <c r="P113" i="8"/>
  <c r="P377" i="8"/>
  <c r="P110" i="8"/>
  <c r="P208" i="8"/>
  <c r="P15" i="8"/>
  <c r="AH759" i="1"/>
  <c r="AD759" i="1" s="1"/>
  <c r="R322" i="8"/>
  <c r="N32" i="8"/>
  <c r="AH251" i="1"/>
  <c r="AD251" i="1" s="1"/>
  <c r="N104" i="8"/>
  <c r="N268" i="8"/>
  <c r="R299" i="8"/>
  <c r="N187" i="8"/>
  <c r="N243" i="8"/>
  <c r="N54" i="8"/>
  <c r="N266" i="8"/>
  <c r="AQ337" i="8"/>
  <c r="N192" i="8"/>
  <c r="P326" i="8"/>
  <c r="N361" i="8"/>
  <c r="R288" i="8"/>
  <c r="N283" i="8"/>
  <c r="N133" i="8"/>
  <c r="P75" i="8"/>
  <c r="P302" i="8"/>
  <c r="P109" i="8"/>
  <c r="P280" i="8"/>
  <c r="P204" i="8"/>
  <c r="P11" i="8"/>
  <c r="P312" i="8"/>
  <c r="P119" i="8"/>
  <c r="P376" i="8"/>
  <c r="P227" i="8"/>
  <c r="P33" i="8"/>
  <c r="N49" i="8"/>
  <c r="P153" i="8"/>
  <c r="P383" i="8"/>
  <c r="P261" i="8"/>
  <c r="P68" i="8"/>
  <c r="P339" i="8"/>
  <c r="P199" i="8"/>
  <c r="P6" i="8"/>
  <c r="P319" i="8"/>
  <c r="P126" i="8"/>
  <c r="P381" i="8"/>
  <c r="P246" i="8"/>
  <c r="P52" i="8"/>
  <c r="P147" i="8"/>
  <c r="P341" i="8"/>
  <c r="P148" i="8"/>
  <c r="P359" i="8"/>
  <c r="P192" i="8"/>
  <c r="P350" i="8"/>
  <c r="P300" i="8"/>
  <c r="P107" i="8"/>
  <c r="P232" i="8"/>
  <c r="P214" i="8"/>
  <c r="P21" i="8"/>
  <c r="P334" i="8"/>
  <c r="P141" i="8"/>
  <c r="N374" i="8"/>
  <c r="P249" i="8"/>
  <c r="P55" i="8"/>
  <c r="P170" i="8"/>
  <c r="P187" i="8"/>
  <c r="N346" i="8"/>
  <c r="P307" i="8"/>
  <c r="P114" i="8"/>
  <c r="P378" i="8"/>
  <c r="P234" i="8"/>
  <c r="P40" i="8"/>
  <c r="P123" i="8"/>
  <c r="P329" i="8"/>
  <c r="P136" i="8"/>
  <c r="P371" i="8"/>
  <c r="P277" i="8"/>
  <c r="P84" i="8"/>
  <c r="P243" i="8"/>
  <c r="P191" i="8"/>
  <c r="P348" i="8"/>
  <c r="P299" i="8"/>
  <c r="P106" i="8"/>
  <c r="P316" i="8"/>
  <c r="P226" i="8"/>
  <c r="P32" i="8"/>
  <c r="P333" i="8"/>
  <c r="P140" i="8"/>
  <c r="N370" i="8"/>
  <c r="P272" i="8"/>
  <c r="P79" i="8"/>
  <c r="P315" i="8"/>
  <c r="P198" i="8"/>
  <c r="P4" i="8"/>
  <c r="P318" i="8"/>
  <c r="P125" i="8"/>
  <c r="N382" i="8"/>
  <c r="P134" i="8"/>
  <c r="P221" i="8"/>
  <c r="P27" i="8"/>
  <c r="AI115" i="1"/>
  <c r="AB115" i="1" s="1"/>
  <c r="AC115" i="1" s="1"/>
  <c r="AQ343" i="8"/>
  <c r="N138" i="8"/>
  <c r="N337" i="8"/>
  <c r="P99" i="8"/>
  <c r="P314" i="8"/>
  <c r="P121" i="8"/>
  <c r="P380" i="8"/>
  <c r="P216" i="8"/>
  <c r="P23" i="8"/>
  <c r="P324" i="8"/>
  <c r="P131" i="8"/>
  <c r="N368" i="8"/>
  <c r="P239" i="8"/>
  <c r="P45" i="8"/>
  <c r="N206" i="8"/>
  <c r="P165" i="8"/>
  <c r="N364" i="8"/>
  <c r="P273" i="8"/>
  <c r="P80" i="8"/>
  <c r="P50" i="8"/>
  <c r="P211" i="8"/>
  <c r="P18" i="8"/>
  <c r="P331" i="8"/>
  <c r="P138" i="8"/>
  <c r="P368" i="8"/>
  <c r="P258" i="8"/>
  <c r="P64" i="8"/>
  <c r="P171" i="8"/>
  <c r="N146" i="8"/>
  <c r="P160" i="8"/>
  <c r="N353" i="8"/>
  <c r="AQ329" i="8"/>
  <c r="N63" i="8"/>
  <c r="N263" i="8"/>
  <c r="AH194" i="1"/>
  <c r="AD194" i="1" s="1"/>
  <c r="N334" i="8"/>
  <c r="AI755" i="1"/>
  <c r="AB755" i="1" s="1"/>
  <c r="R323" i="8"/>
  <c r="N56" i="8"/>
  <c r="AH770" i="1"/>
  <c r="AD770" i="1" s="1"/>
  <c r="N273" i="8"/>
  <c r="AH698" i="1"/>
  <c r="AD698" i="1" s="1"/>
  <c r="R324" i="8"/>
  <c r="AI242" i="1"/>
  <c r="AB242" i="1" s="1"/>
  <c r="P230" i="8"/>
  <c r="AQ311" i="8"/>
  <c r="R312" i="8"/>
  <c r="N140" i="8"/>
  <c r="N304" i="8"/>
  <c r="P279" i="8"/>
  <c r="P254" i="8"/>
  <c r="P60" i="8"/>
  <c r="N98" i="8"/>
  <c r="P156" i="8"/>
  <c r="P353" i="8"/>
  <c r="P264" i="8"/>
  <c r="P71" i="8"/>
  <c r="N383" i="8"/>
  <c r="P178" i="8"/>
  <c r="N347" i="8"/>
  <c r="P298" i="8"/>
  <c r="P105" i="8"/>
  <c r="P244" i="8"/>
  <c r="P212" i="8"/>
  <c r="P19" i="8"/>
  <c r="P352" i="8"/>
  <c r="P151" i="8"/>
  <c r="P356" i="8"/>
  <c r="P271" i="8"/>
  <c r="P78" i="8"/>
  <c r="N122" i="8"/>
  <c r="P197" i="8"/>
  <c r="P3" i="8"/>
  <c r="P62" i="8"/>
  <c r="P293" i="8"/>
  <c r="P100" i="8"/>
  <c r="P337" i="8"/>
  <c r="P144" i="8"/>
  <c r="N217" i="8"/>
  <c r="P252" i="8"/>
  <c r="P58" i="8"/>
  <c r="N231" i="8"/>
  <c r="P166" i="8"/>
  <c r="N351" i="8"/>
  <c r="P286" i="8"/>
  <c r="P93" i="8"/>
  <c r="P26" i="8"/>
  <c r="P200" i="8"/>
  <c r="P7" i="8"/>
  <c r="P332" i="8"/>
  <c r="P139" i="8"/>
  <c r="P374" i="8"/>
  <c r="P259" i="8"/>
  <c r="P65" i="8"/>
  <c r="P219" i="8"/>
  <c r="P185" i="8"/>
  <c r="P344" i="8"/>
  <c r="N380" i="8"/>
  <c r="P281" i="8"/>
  <c r="P88" i="8"/>
  <c r="N373" i="8"/>
  <c r="P229" i="8"/>
  <c r="P35" i="8"/>
  <c r="P336" i="8"/>
  <c r="P143" i="8"/>
  <c r="P372" i="8"/>
  <c r="P251" i="8"/>
  <c r="P57" i="8"/>
  <c r="N354" i="8"/>
  <c r="P177" i="8"/>
  <c r="N359" i="8"/>
  <c r="P285" i="8"/>
  <c r="P92" i="8"/>
  <c r="P195" i="8"/>
  <c r="P224" i="8"/>
  <c r="P30" i="8"/>
  <c r="P343" i="8"/>
  <c r="P150" i="8"/>
  <c r="P358" i="8"/>
  <c r="P270" i="8"/>
  <c r="P77" i="8"/>
  <c r="P256" i="8"/>
  <c r="N37" i="8"/>
  <c r="P172" i="8"/>
  <c r="N349" i="8"/>
  <c r="AK383" i="8"/>
  <c r="AR383" i="8"/>
  <c r="AI383" i="8"/>
  <c r="AH383" i="8" s="1"/>
  <c r="R306" i="8"/>
  <c r="N339" i="8"/>
  <c r="N159" i="8"/>
  <c r="P327" i="8"/>
  <c r="P266" i="8"/>
  <c r="P73" i="8"/>
  <c r="P37" i="8"/>
  <c r="P168" i="8"/>
  <c r="N362" i="8"/>
  <c r="P276" i="8"/>
  <c r="P83" i="8"/>
  <c r="P231" i="8"/>
  <c r="P190" i="8"/>
  <c r="P347" i="8"/>
  <c r="P310" i="8"/>
  <c r="P117" i="8"/>
  <c r="N378" i="8"/>
  <c r="P225" i="8"/>
  <c r="P31" i="8"/>
  <c r="N182" i="8"/>
  <c r="P163" i="8"/>
  <c r="P366" i="8"/>
  <c r="P283" i="8"/>
  <c r="P90" i="8"/>
  <c r="N67" i="8"/>
  <c r="P209" i="8"/>
  <c r="P16" i="8"/>
  <c r="P87" i="8"/>
  <c r="P305" i="8"/>
  <c r="P112" i="8"/>
  <c r="N375" i="8"/>
  <c r="N78" i="8"/>
  <c r="N277" i="8"/>
  <c r="AQ335" i="8"/>
  <c r="N294" i="8"/>
  <c r="N144" i="8"/>
  <c r="N16" i="8"/>
  <c r="N215" i="8"/>
  <c r="AQ309" i="8"/>
  <c r="N88" i="8"/>
  <c r="N287" i="8"/>
  <c r="AI88" i="1"/>
  <c r="AB88" i="1" s="1"/>
  <c r="AC88" i="1" s="1"/>
  <c r="N154" i="8"/>
  <c r="AQ313" i="8"/>
  <c r="N342" i="8"/>
  <c r="P135" i="8"/>
  <c r="P133" i="8"/>
  <c r="AQ307" i="8"/>
  <c r="R336" i="8"/>
  <c r="N21" i="8"/>
  <c r="AI251" i="1"/>
  <c r="AB251" i="1" s="1"/>
  <c r="P74" i="8"/>
  <c r="P205" i="8"/>
  <c r="P12" i="8"/>
  <c r="P301" i="8"/>
  <c r="P108" i="8"/>
  <c r="P220" i="8"/>
  <c r="P215" i="8"/>
  <c r="P22" i="8"/>
  <c r="P323" i="8"/>
  <c r="P130" i="8"/>
  <c r="P373" i="8"/>
  <c r="P250" i="8"/>
  <c r="P56" i="8"/>
  <c r="N194" i="8"/>
  <c r="P164" i="8"/>
  <c r="P354" i="8"/>
  <c r="P296" i="8"/>
  <c r="P103" i="8"/>
  <c r="P207" i="8"/>
  <c r="P223" i="8"/>
  <c r="P29" i="8"/>
  <c r="P342" i="8"/>
  <c r="P149" i="8"/>
  <c r="N356" i="8"/>
  <c r="P182" i="8"/>
  <c r="P245" i="8"/>
  <c r="P51" i="8"/>
  <c r="P289" i="8"/>
  <c r="P96" i="8"/>
  <c r="N365" i="8"/>
  <c r="P203" i="8"/>
  <c r="P10" i="8"/>
  <c r="P311" i="8"/>
  <c r="P118" i="8"/>
  <c r="P375" i="8"/>
  <c r="P238" i="8"/>
  <c r="P44" i="8"/>
  <c r="P2" i="8"/>
  <c r="P152" i="8"/>
  <c r="N355" i="8"/>
  <c r="P284" i="8"/>
  <c r="P91" i="8"/>
  <c r="P14" i="8"/>
  <c r="P210" i="8"/>
  <c r="P17" i="8"/>
  <c r="P330" i="8"/>
  <c r="P137" i="8"/>
  <c r="N367" i="8"/>
  <c r="P146" i="8"/>
  <c r="P233" i="8"/>
  <c r="P39" i="8"/>
  <c r="P255" i="8"/>
  <c r="P180" i="8"/>
  <c r="N358" i="8"/>
  <c r="P288" i="8"/>
  <c r="P95" i="8"/>
  <c r="N5" i="8"/>
  <c r="P202" i="8"/>
  <c r="P9" i="8"/>
  <c r="P322" i="8"/>
  <c r="P129" i="8"/>
  <c r="N369" i="8"/>
  <c r="P237" i="8"/>
  <c r="P43" i="8"/>
  <c r="N371" i="8"/>
  <c r="P175" i="8"/>
  <c r="N348" i="8"/>
  <c r="P295" i="8"/>
  <c r="P102" i="8"/>
  <c r="P268" i="8"/>
  <c r="P222" i="8"/>
  <c r="P28" i="8"/>
  <c r="P111" i="8"/>
  <c r="P317" i="8"/>
  <c r="P124" i="8"/>
  <c r="N381" i="8"/>
  <c r="AQ295" i="8"/>
  <c r="R330" i="8"/>
  <c r="N226" i="8"/>
  <c r="AI760" i="1"/>
  <c r="AB760" i="1" s="1"/>
  <c r="P98" i="8"/>
  <c r="P218" i="8"/>
  <c r="P24" i="8"/>
  <c r="P313" i="8"/>
  <c r="P120" i="8"/>
  <c r="N379" i="8"/>
  <c r="P228" i="8"/>
  <c r="P34" i="8"/>
  <c r="P335" i="8"/>
  <c r="P142" i="8"/>
  <c r="P367" i="8"/>
  <c r="P262" i="8"/>
  <c r="P69" i="8"/>
  <c r="P25" i="8"/>
  <c r="P176" i="8"/>
  <c r="P362" i="8"/>
  <c r="P308" i="8"/>
  <c r="P115" i="8"/>
  <c r="N376" i="8"/>
  <c r="P235" i="8"/>
  <c r="P41" i="8"/>
  <c r="N158" i="8"/>
  <c r="P161" i="8"/>
  <c r="P355" i="8"/>
  <c r="P267" i="8"/>
  <c r="P257" i="8"/>
  <c r="P63" i="8"/>
  <c r="AE115" i="1"/>
  <c r="AE249" i="1"/>
  <c r="AE278" i="1"/>
  <c r="AE88" i="1"/>
  <c r="AC194" i="1"/>
  <c r="AE194" i="1"/>
  <c r="AE257" i="1"/>
  <c r="R284" i="8"/>
  <c r="AQ317" i="8"/>
  <c r="AQ323" i="8"/>
  <c r="R282" i="8"/>
  <c r="K688" i="1"/>
  <c r="AQ318" i="8"/>
  <c r="AQ324" i="8"/>
  <c r="R283" i="8"/>
  <c r="AQ325" i="8"/>
  <c r="AQ284" i="8"/>
  <c r="AQ320" i="8"/>
  <c r="AQ326" i="8"/>
  <c r="AQ283" i="8"/>
  <c r="AQ315" i="8"/>
  <c r="AQ321" i="8"/>
  <c r="R280" i="8"/>
  <c r="AQ319" i="8"/>
  <c r="K687" i="1"/>
  <c r="AQ316" i="8"/>
  <c r="AQ322" i="8"/>
  <c r="R281" i="8"/>
  <c r="AI320" i="8"/>
  <c r="AH320" i="8" s="1"/>
  <c r="AI319" i="8"/>
  <c r="AH319" i="8" s="1"/>
  <c r="AK319" i="8"/>
  <c r="AI318" i="8"/>
  <c r="AH318" i="8" s="1"/>
  <c r="AI316" i="8"/>
  <c r="AH316" i="8" s="1"/>
  <c r="AI317" i="8"/>
  <c r="AH317" i="8" s="1"/>
  <c r="AK317" i="8"/>
  <c r="AK315" i="8"/>
  <c r="AI315" i="8"/>
  <c r="AH315" i="8" s="1"/>
  <c r="AI283" i="8"/>
  <c r="AH283" i="8" s="1"/>
  <c r="E687" i="1"/>
  <c r="F687" i="1" s="1"/>
  <c r="C687" i="1"/>
  <c r="D687" i="1" s="1"/>
  <c r="H688" i="1"/>
  <c r="E688" i="1"/>
  <c r="F688" i="1" s="1"/>
  <c r="AC760" i="1" l="1"/>
  <c r="AE760" i="1"/>
  <c r="AC251" i="1"/>
  <c r="AE251" i="1"/>
  <c r="AC770" i="1"/>
  <c r="AE770" i="1"/>
  <c r="AC768" i="1"/>
  <c r="AE768" i="1"/>
  <c r="AC695" i="1"/>
  <c r="AE695" i="1"/>
  <c r="AC766" i="1"/>
  <c r="AE766" i="1"/>
  <c r="AC771" i="1"/>
  <c r="AE771" i="1"/>
  <c r="AC769" i="1"/>
  <c r="AE769" i="1"/>
  <c r="AC741" i="1"/>
  <c r="AE741" i="1"/>
  <c r="AE255" i="1"/>
  <c r="AC255" i="1"/>
  <c r="AC742" i="1"/>
  <c r="AE742" i="1"/>
  <c r="AE757" i="1"/>
  <c r="AC757" i="1"/>
  <c r="AC263" i="1"/>
  <c r="AE263" i="1"/>
  <c r="AC755" i="1"/>
  <c r="AE755" i="1"/>
  <c r="AC694" i="1"/>
  <c r="AE694" i="1"/>
  <c r="AC767" i="1"/>
  <c r="AE767" i="1"/>
  <c r="AC765" i="1"/>
  <c r="AE765" i="1"/>
  <c r="AC740" i="1"/>
  <c r="AE740" i="1"/>
  <c r="AE761" i="1"/>
  <c r="AC761" i="1"/>
  <c r="AC267" i="1"/>
  <c r="AE267" i="1"/>
  <c r="AC265" i="1"/>
  <c r="AE265" i="1"/>
  <c r="AC242" i="1"/>
  <c r="AE242" i="1"/>
  <c r="AC759" i="1"/>
  <c r="AE759" i="1"/>
  <c r="AC762" i="1"/>
  <c r="AE762" i="1"/>
  <c r="AC698" i="1"/>
  <c r="AE698" i="1"/>
  <c r="AE693" i="1"/>
  <c r="AC195" i="1"/>
  <c r="AE195" i="1"/>
  <c r="AC236" i="1"/>
  <c r="AE236" i="1"/>
  <c r="AI325" i="8"/>
  <c r="AH325" i="8" s="1"/>
  <c r="AK325" i="8"/>
  <c r="AI323" i="8"/>
  <c r="AH323" i="8" s="1"/>
  <c r="AK323" i="8"/>
  <c r="AK326" i="8"/>
  <c r="AI326" i="8"/>
  <c r="AH326" i="8" s="1"/>
  <c r="AI322" i="8"/>
  <c r="AH322" i="8" s="1"/>
  <c r="AK322" i="8"/>
  <c r="AI324" i="8"/>
  <c r="AH324" i="8" s="1"/>
  <c r="AK324" i="8"/>
  <c r="AK320" i="8"/>
  <c r="AI321" i="8"/>
  <c r="AH321" i="8" s="1"/>
  <c r="AK321" i="8"/>
  <c r="AK318" i="8"/>
  <c r="AK316" i="8"/>
  <c r="AK283" i="8"/>
  <c r="AI284" i="8"/>
  <c r="AH284" i="8" s="1"/>
  <c r="AK284" i="8"/>
  <c r="AF282" i="8"/>
  <c r="AG282" i="8" s="1"/>
  <c r="AF281" i="8"/>
  <c r="AG281" i="8" s="1"/>
  <c r="AF280" i="8"/>
  <c r="AG280" i="8" s="1"/>
  <c r="AF279" i="8"/>
  <c r="AG279" i="8" s="1"/>
  <c r="AK279" i="8" s="1"/>
  <c r="S279" i="8"/>
  <c r="AF278" i="8"/>
  <c r="AG278" i="8" s="1"/>
  <c r="S278" i="8"/>
  <c r="AF277" i="8"/>
  <c r="AG277" i="8" s="1"/>
  <c r="S277" i="8"/>
  <c r="AF276" i="8"/>
  <c r="AG276" i="8" s="1"/>
  <c r="AK276" i="8" s="1"/>
  <c r="S276" i="8"/>
  <c r="AF275" i="8"/>
  <c r="AG275" i="8" s="1"/>
  <c r="S275" i="8"/>
  <c r="AF274" i="8"/>
  <c r="AG274" i="8" s="1"/>
  <c r="S274" i="8"/>
  <c r="S268" i="8"/>
  <c r="R274" i="8" a="1"/>
  <c r="R268" i="8" a="1"/>
  <c r="AQ277" i="8" a="1"/>
  <c r="R277" i="8" a="1"/>
  <c r="AQ278" i="8" a="1"/>
  <c r="AQ275" i="8" a="1"/>
  <c r="R279" i="8" a="1"/>
  <c r="R276" i="8" a="1"/>
  <c r="R278" i="8" a="1"/>
  <c r="R275" i="8" a="1"/>
  <c r="AQ282" i="8" a="1"/>
  <c r="AQ280" i="8" a="1"/>
  <c r="AQ281" i="8" a="1"/>
  <c r="AQ274" i="8" a="1"/>
  <c r="AQ279" i="8" a="1"/>
  <c r="AQ276" i="8" a="1"/>
  <c r="R268" i="8" l="1"/>
  <c r="R274" i="8"/>
  <c r="R277" i="8"/>
  <c r="AQ277" i="8"/>
  <c r="R275" i="8"/>
  <c r="R278" i="8"/>
  <c r="AQ280" i="8"/>
  <c r="AQ282" i="8"/>
  <c r="AQ275" i="8"/>
  <c r="AQ278" i="8"/>
  <c r="R276" i="8"/>
  <c r="R279" i="8"/>
  <c r="AQ274" i="8"/>
  <c r="AQ281" i="8"/>
  <c r="AQ276" i="8"/>
  <c r="AQ279" i="8"/>
  <c r="AI277" i="8"/>
  <c r="AH277" i="8" s="1"/>
  <c r="AK277" i="8"/>
  <c r="AK278" i="8"/>
  <c r="AI278" i="8"/>
  <c r="AH278" i="8" s="1"/>
  <c r="AK275" i="8"/>
  <c r="AI275" i="8"/>
  <c r="AH275" i="8" s="1"/>
  <c r="AI276" i="8"/>
  <c r="AH276" i="8" s="1"/>
  <c r="AI279" i="8"/>
  <c r="AH279" i="8" s="1"/>
  <c r="AK281" i="8"/>
  <c r="AI281" i="8"/>
  <c r="AH281" i="8" s="1"/>
  <c r="O686" i="1"/>
  <c r="P686" i="1"/>
  <c r="Q686" i="1"/>
  <c r="C686" i="1" s="1"/>
  <c r="D686" i="1" s="1"/>
  <c r="R686" i="1"/>
  <c r="AG686" i="1"/>
  <c r="Z686" i="1"/>
  <c r="Y686" i="1"/>
  <c r="U686" i="1"/>
  <c r="K686" i="1" l="1"/>
  <c r="AI282" i="8"/>
  <c r="AH282" i="8" s="1"/>
  <c r="AK282" i="8"/>
  <c r="AI274" i="8"/>
  <c r="AH274" i="8" s="1"/>
  <c r="AK274" i="8"/>
  <c r="AK280" i="8"/>
  <c r="AI280" i="8"/>
  <c r="AH280" i="8" s="1"/>
  <c r="H686" i="1"/>
  <c r="E686" i="1"/>
  <c r="F686" i="1" s="1"/>
  <c r="O685" i="1" l="1"/>
  <c r="P685" i="1"/>
  <c r="Q685" i="1"/>
  <c r="C685" i="1" s="1"/>
  <c r="D685" i="1" s="1"/>
  <c r="R685" i="1"/>
  <c r="AG685" i="1"/>
  <c r="Y685" i="1"/>
  <c r="Z685" i="1"/>
  <c r="U685" i="1"/>
  <c r="K685" i="1" l="1"/>
  <c r="H685" i="1"/>
  <c r="E685" i="1"/>
  <c r="F685" i="1" s="1"/>
  <c r="O676" i="1"/>
  <c r="P676" i="1"/>
  <c r="Q676" i="1"/>
  <c r="E676" i="1" s="1"/>
  <c r="F676" i="1" s="1"/>
  <c r="R676" i="1"/>
  <c r="AG676" i="1"/>
  <c r="U676" i="1"/>
  <c r="Y676" i="1"/>
  <c r="Z676" i="1"/>
  <c r="K676" i="1" l="1"/>
  <c r="C676" i="1"/>
  <c r="D676" i="1" s="1"/>
  <c r="H676" i="1"/>
  <c r="R684" i="1" l="1"/>
  <c r="Q684" i="1"/>
  <c r="AG559" i="1"/>
  <c r="R559" i="1"/>
  <c r="Q559" i="1"/>
  <c r="E559" i="1" s="1"/>
  <c r="F559" i="1" s="1"/>
  <c r="P559" i="1"/>
  <c r="O559" i="1"/>
  <c r="O682" i="1"/>
  <c r="P682" i="1"/>
  <c r="Q682" i="1"/>
  <c r="H682" i="1" s="1"/>
  <c r="R682" i="1"/>
  <c r="AG682" i="1"/>
  <c r="O683" i="1"/>
  <c r="P683" i="1"/>
  <c r="Q683" i="1"/>
  <c r="E683" i="1" s="1"/>
  <c r="F683" i="1" s="1"/>
  <c r="R683" i="1"/>
  <c r="AG683" i="1"/>
  <c r="U682" i="1"/>
  <c r="Y682" i="1"/>
  <c r="Z559" i="1"/>
  <c r="Y683" i="1"/>
  <c r="Z682" i="1"/>
  <c r="U559" i="1"/>
  <c r="U683" i="1"/>
  <c r="Z683" i="1"/>
  <c r="Y559" i="1"/>
  <c r="AA682" i="1"/>
  <c r="AF682" i="1" l="1"/>
  <c r="K559" i="1"/>
  <c r="K682" i="1"/>
  <c r="K683" i="1"/>
  <c r="H559" i="1"/>
  <c r="C559" i="1"/>
  <c r="D559" i="1" s="1"/>
  <c r="C682" i="1"/>
  <c r="D682" i="1" s="1"/>
  <c r="C683" i="1"/>
  <c r="D683" i="1" s="1"/>
  <c r="E682" i="1"/>
  <c r="F682" i="1" s="1"/>
  <c r="H683" i="1"/>
  <c r="AF28" i="8"/>
  <c r="R8" i="1"/>
  <c r="R9" i="1"/>
  <c r="R10" i="1"/>
  <c r="R11" i="1"/>
  <c r="R12" i="1"/>
  <c r="R13" i="1"/>
  <c r="R14" i="1"/>
  <c r="R15" i="1"/>
  <c r="R677"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2" i="1"/>
  <c r="R63" i="1"/>
  <c r="R64" i="1"/>
  <c r="R65" i="1"/>
  <c r="R66" i="1"/>
  <c r="R67" i="1"/>
  <c r="R68" i="1"/>
  <c r="R69" i="1"/>
  <c r="R70" i="1"/>
  <c r="R71" i="1"/>
  <c r="R72" i="1"/>
  <c r="R73" i="1"/>
  <c r="R74" i="1"/>
  <c r="R75" i="1"/>
  <c r="R76" i="1"/>
  <c r="R77" i="1"/>
  <c r="R78" i="1"/>
  <c r="R79" i="1"/>
  <c r="R675" i="1"/>
  <c r="R80" i="1"/>
  <c r="R81" i="1"/>
  <c r="R82" i="1"/>
  <c r="R83" i="1"/>
  <c r="R84" i="1"/>
  <c r="R85" i="1"/>
  <c r="R86" i="1"/>
  <c r="R87" i="1"/>
  <c r="R89" i="1"/>
  <c r="R90" i="1"/>
  <c r="R91" i="1"/>
  <c r="R92" i="1"/>
  <c r="R93" i="1"/>
  <c r="R94" i="1"/>
  <c r="R95" i="1"/>
  <c r="R96" i="1"/>
  <c r="R97" i="1"/>
  <c r="R671" i="1"/>
  <c r="R98" i="1"/>
  <c r="R99" i="1"/>
  <c r="R100" i="1"/>
  <c r="R101" i="1"/>
  <c r="R102" i="1"/>
  <c r="R104" i="1"/>
  <c r="R105" i="1"/>
  <c r="R106" i="1"/>
  <c r="R670" i="1"/>
  <c r="R107" i="1"/>
  <c r="R108" i="1"/>
  <c r="R109" i="1"/>
  <c r="R110" i="1"/>
  <c r="R111" i="1"/>
  <c r="R112" i="1"/>
  <c r="R113" i="1"/>
  <c r="R114" i="1"/>
  <c r="R116" i="1"/>
  <c r="R678" i="1"/>
  <c r="R117" i="1"/>
  <c r="R118" i="1"/>
  <c r="R119" i="1"/>
  <c r="R120" i="1"/>
  <c r="R121" i="1"/>
  <c r="R122" i="1"/>
  <c r="R123" i="1"/>
  <c r="R124" i="1"/>
  <c r="R125" i="1"/>
  <c r="R126" i="1"/>
  <c r="R127" i="1"/>
  <c r="R128" i="1"/>
  <c r="R129" i="1"/>
  <c r="R130" i="1"/>
  <c r="R131" i="1"/>
  <c r="R132" i="1"/>
  <c r="R133" i="1"/>
  <c r="R134" i="1"/>
  <c r="R135" i="1"/>
  <c r="R136" i="1"/>
  <c r="R137" i="1"/>
  <c r="R138" i="1"/>
  <c r="R139" i="1"/>
  <c r="R140" i="1"/>
  <c r="R141" i="1"/>
  <c r="R142" i="1"/>
  <c r="R143" i="1"/>
  <c r="R144" i="1"/>
  <c r="R145" i="1"/>
  <c r="R146" i="1"/>
  <c r="R147" i="1"/>
  <c r="R148" i="1"/>
  <c r="R149" i="1"/>
  <c r="R150" i="1"/>
  <c r="R151" i="1"/>
  <c r="R152" i="1"/>
  <c r="R153" i="1"/>
  <c r="R154" i="1"/>
  <c r="R155" i="1"/>
  <c r="R156" i="1"/>
  <c r="R157" i="1"/>
  <c r="R158" i="1"/>
  <c r="R159" i="1"/>
  <c r="R160" i="1"/>
  <c r="R161" i="1"/>
  <c r="R162" i="1"/>
  <c r="R163" i="1"/>
  <c r="R164" i="1"/>
  <c r="R165" i="1"/>
  <c r="R166" i="1"/>
  <c r="R167" i="1"/>
  <c r="R681" i="1"/>
  <c r="R168" i="1"/>
  <c r="R669" i="1"/>
  <c r="R169" i="1"/>
  <c r="R171" i="1"/>
  <c r="R172" i="1"/>
  <c r="R173" i="1"/>
  <c r="R174" i="1"/>
  <c r="R175" i="1"/>
  <c r="R672" i="1"/>
  <c r="R673" i="1"/>
  <c r="R674" i="1"/>
  <c r="R176" i="1"/>
  <c r="R177" i="1"/>
  <c r="R178" i="1"/>
  <c r="R179" i="1"/>
  <c r="R180" i="1"/>
  <c r="R181" i="1"/>
  <c r="R182" i="1"/>
  <c r="R183" i="1"/>
  <c r="R184" i="1"/>
  <c r="R186" i="1"/>
  <c r="R187" i="1"/>
  <c r="R679" i="1"/>
  <c r="R188" i="1"/>
  <c r="R189" i="1"/>
  <c r="R190" i="1"/>
  <c r="R666" i="1"/>
  <c r="R667" i="1"/>
  <c r="R668" i="1"/>
  <c r="R191" i="1"/>
  <c r="R680" i="1"/>
  <c r="R208" i="1"/>
  <c r="R209" i="1"/>
  <c r="R210" i="1"/>
  <c r="R211" i="1"/>
  <c r="R212" i="1"/>
  <c r="R213" i="1"/>
  <c r="R214" i="1"/>
  <c r="R215" i="1"/>
  <c r="R216" i="1"/>
  <c r="R217" i="1"/>
  <c r="R218" i="1"/>
  <c r="R219" i="1"/>
  <c r="R220" i="1"/>
  <c r="R223" i="1"/>
  <c r="R224" i="1"/>
  <c r="R225" i="1"/>
  <c r="R226" i="1"/>
  <c r="R227" i="1"/>
  <c r="R228" i="1"/>
  <c r="R229" i="1"/>
  <c r="R230" i="1"/>
  <c r="R231" i="1"/>
  <c r="R232" i="1"/>
  <c r="R233" i="1"/>
  <c r="R235" i="1"/>
  <c r="R237" i="1"/>
  <c r="R238" i="1"/>
  <c r="R240" i="1"/>
  <c r="R241" i="1"/>
  <c r="R243" i="1"/>
  <c r="R245" i="1"/>
  <c r="R246" i="1"/>
  <c r="R247" i="1"/>
  <c r="R248" i="1"/>
  <c r="R250" i="1"/>
  <c r="R252" i="1"/>
  <c r="R253" i="1"/>
  <c r="R254" i="1"/>
  <c r="R256" i="1"/>
  <c r="R258" i="1"/>
  <c r="R259" i="1"/>
  <c r="R261" i="1"/>
  <c r="R262" i="1"/>
  <c r="R264" i="1"/>
  <c r="R266" i="1"/>
  <c r="R268" i="1"/>
  <c r="R269" i="1"/>
  <c r="R270" i="1"/>
  <c r="R271" i="1"/>
  <c r="R272" i="1"/>
  <c r="R273" i="1"/>
  <c r="R274" i="1"/>
  <c r="R276" i="1"/>
  <c r="R277" i="1"/>
  <c r="R279" i="1"/>
  <c r="R280" i="1"/>
  <c r="R281" i="1"/>
  <c r="R282" i="1"/>
  <c r="R283" i="1"/>
  <c r="R284" i="1"/>
  <c r="R285" i="1"/>
  <c r="R286" i="1"/>
  <c r="R287" i="1"/>
  <c r="R288" i="1"/>
  <c r="R289" i="1"/>
  <c r="R290" i="1"/>
  <c r="R291" i="1"/>
  <c r="R292" i="1"/>
  <c r="R293" i="1"/>
  <c r="R294" i="1"/>
  <c r="R295" i="1"/>
  <c r="R296" i="1"/>
  <c r="R297" i="1"/>
  <c r="R298" i="1"/>
  <c r="R299" i="1"/>
  <c r="R300" i="1"/>
  <c r="R301" i="1"/>
  <c r="R302" i="1"/>
  <c r="R303" i="1"/>
  <c r="R304" i="1"/>
  <c r="R305" i="1"/>
  <c r="R306" i="1"/>
  <c r="R307" i="1"/>
  <c r="R308" i="1"/>
  <c r="R309" i="1"/>
  <c r="R310" i="1"/>
  <c r="R311" i="1"/>
  <c r="R312" i="1"/>
  <c r="R313" i="1"/>
  <c r="R314" i="1"/>
  <c r="R315" i="1"/>
  <c r="R316" i="1"/>
  <c r="R317" i="1"/>
  <c r="R318" i="1"/>
  <c r="R319" i="1"/>
  <c r="R320" i="1"/>
  <c r="R321" i="1"/>
  <c r="R322" i="1"/>
  <c r="R323" i="1"/>
  <c r="R324" i="1"/>
  <c r="R325" i="1"/>
  <c r="R326" i="1"/>
  <c r="R327" i="1"/>
  <c r="R328" i="1"/>
  <c r="R329" i="1"/>
  <c r="R330" i="1"/>
  <c r="R331" i="1"/>
  <c r="R332" i="1"/>
  <c r="R333" i="1"/>
  <c r="R334" i="1"/>
  <c r="R335" i="1"/>
  <c r="R701" i="1"/>
  <c r="R703" i="1"/>
  <c r="R336" i="1"/>
  <c r="R337" i="1"/>
  <c r="R338" i="1"/>
  <c r="R339" i="1"/>
  <c r="R340" i="1"/>
  <c r="R341" i="1"/>
  <c r="R342" i="1"/>
  <c r="R343" i="1"/>
  <c r="R344" i="1"/>
  <c r="R345" i="1"/>
  <c r="R346" i="1"/>
  <c r="R347" i="1"/>
  <c r="R348" i="1"/>
  <c r="R349" i="1"/>
  <c r="R350" i="1"/>
  <c r="R351" i="1"/>
  <c r="R352" i="1"/>
  <c r="R353" i="1"/>
  <c r="R354" i="1"/>
  <c r="R355" i="1"/>
  <c r="R356" i="1"/>
  <c r="R357" i="1"/>
  <c r="R358" i="1"/>
  <c r="R359" i="1"/>
  <c r="R360" i="1"/>
  <c r="R361" i="1"/>
  <c r="R362" i="1"/>
  <c r="R363" i="1"/>
  <c r="R364" i="1"/>
  <c r="R365" i="1"/>
  <c r="R366" i="1"/>
  <c r="R367" i="1"/>
  <c r="R368" i="1"/>
  <c r="R369" i="1"/>
  <c r="R370" i="1"/>
  <c r="R371" i="1"/>
  <c r="R372" i="1"/>
  <c r="R373" i="1"/>
  <c r="R374" i="1"/>
  <c r="R375" i="1"/>
  <c r="R376" i="1"/>
  <c r="R377" i="1"/>
  <c r="R378" i="1"/>
  <c r="R379" i="1"/>
  <c r="R380" i="1"/>
  <c r="R381" i="1"/>
  <c r="R382" i="1"/>
  <c r="R383" i="1"/>
  <c r="R384" i="1"/>
  <c r="R385" i="1"/>
  <c r="R386" i="1"/>
  <c r="R387" i="1"/>
  <c r="R388" i="1"/>
  <c r="R389" i="1"/>
  <c r="R390" i="1"/>
  <c r="R391" i="1"/>
  <c r="R392" i="1"/>
  <c r="R393" i="1"/>
  <c r="R394" i="1"/>
  <c r="R395" i="1"/>
  <c r="R396" i="1"/>
  <c r="R397" i="1"/>
  <c r="R398" i="1"/>
  <c r="R399" i="1"/>
  <c r="R400" i="1"/>
  <c r="R401" i="1"/>
  <c r="R402" i="1"/>
  <c r="R403" i="1"/>
  <c r="R404" i="1"/>
  <c r="R405" i="1"/>
  <c r="R406" i="1"/>
  <c r="R407" i="1"/>
  <c r="R408" i="1"/>
  <c r="R409" i="1"/>
  <c r="R410" i="1"/>
  <c r="R411" i="1"/>
  <c r="R412" i="1"/>
  <c r="R413" i="1"/>
  <c r="R414" i="1"/>
  <c r="R415" i="1"/>
  <c r="R416" i="1"/>
  <c r="R417" i="1"/>
  <c r="R418" i="1"/>
  <c r="R419" i="1"/>
  <c r="R420" i="1"/>
  <c r="R421" i="1"/>
  <c r="R422" i="1"/>
  <c r="R423" i="1"/>
  <c r="R424" i="1"/>
  <c r="R425" i="1"/>
  <c r="R426" i="1"/>
  <c r="R427" i="1"/>
  <c r="R428" i="1"/>
  <c r="R429" i="1"/>
  <c r="R430" i="1"/>
  <c r="R431" i="1"/>
  <c r="R432" i="1"/>
  <c r="R433" i="1"/>
  <c r="R434" i="1"/>
  <c r="R435" i="1"/>
  <c r="R436" i="1"/>
  <c r="R437" i="1"/>
  <c r="R438" i="1"/>
  <c r="R439" i="1"/>
  <c r="R440" i="1"/>
  <c r="R441" i="1"/>
  <c r="R442" i="1"/>
  <c r="R443" i="1"/>
  <c r="R444" i="1"/>
  <c r="R445" i="1"/>
  <c r="R446" i="1"/>
  <c r="R447" i="1"/>
  <c r="R448" i="1"/>
  <c r="R449" i="1"/>
  <c r="R450" i="1"/>
  <c r="R451" i="1"/>
  <c r="R452" i="1"/>
  <c r="R453" i="1"/>
  <c r="R454" i="1"/>
  <c r="R455" i="1"/>
  <c r="R456" i="1"/>
  <c r="R457" i="1"/>
  <c r="R458" i="1"/>
  <c r="R459" i="1"/>
  <c r="R460" i="1"/>
  <c r="R461" i="1"/>
  <c r="R462" i="1"/>
  <c r="R463" i="1"/>
  <c r="R464" i="1"/>
  <c r="R465" i="1"/>
  <c r="R466" i="1"/>
  <c r="R467" i="1"/>
  <c r="R468" i="1"/>
  <c r="R469" i="1"/>
  <c r="R470" i="1"/>
  <c r="R471" i="1"/>
  <c r="R472" i="1"/>
  <c r="R473" i="1"/>
  <c r="R474" i="1"/>
  <c r="R475" i="1"/>
  <c r="R476" i="1"/>
  <c r="R477" i="1"/>
  <c r="R478" i="1"/>
  <c r="R479" i="1"/>
  <c r="R480" i="1"/>
  <c r="R481" i="1"/>
  <c r="R482" i="1"/>
  <c r="R483" i="1"/>
  <c r="R484" i="1"/>
  <c r="R485" i="1"/>
  <c r="R486" i="1"/>
  <c r="R487" i="1"/>
  <c r="R488" i="1"/>
  <c r="R489" i="1"/>
  <c r="R490" i="1"/>
  <c r="R491" i="1"/>
  <c r="R492" i="1"/>
  <c r="R493" i="1"/>
  <c r="R494" i="1"/>
  <c r="R495" i="1"/>
  <c r="R496" i="1"/>
  <c r="R497" i="1"/>
  <c r="R498" i="1"/>
  <c r="R499" i="1"/>
  <c r="R500" i="1"/>
  <c r="R501" i="1"/>
  <c r="R502" i="1"/>
  <c r="R503" i="1"/>
  <c r="R504" i="1"/>
  <c r="R505" i="1"/>
  <c r="R506" i="1"/>
  <c r="R507" i="1"/>
  <c r="R508" i="1"/>
  <c r="R509" i="1"/>
  <c r="R510" i="1"/>
  <c r="R511" i="1"/>
  <c r="R512" i="1"/>
  <c r="R513" i="1"/>
  <c r="R514" i="1"/>
  <c r="R515" i="1"/>
  <c r="R516" i="1"/>
  <c r="R517" i="1"/>
  <c r="R518" i="1"/>
  <c r="R519" i="1"/>
  <c r="R520" i="1"/>
  <c r="R521" i="1"/>
  <c r="R522" i="1"/>
  <c r="R523" i="1"/>
  <c r="R524" i="1"/>
  <c r="R525" i="1"/>
  <c r="R526" i="1"/>
  <c r="R527" i="1"/>
  <c r="R528" i="1"/>
  <c r="R529" i="1"/>
  <c r="R530" i="1"/>
  <c r="R531" i="1"/>
  <c r="R532" i="1"/>
  <c r="R533" i="1"/>
  <c r="R534" i="1"/>
  <c r="R535" i="1"/>
  <c r="R536" i="1"/>
  <c r="R537" i="1"/>
  <c r="R538" i="1"/>
  <c r="R539" i="1"/>
  <c r="R540" i="1"/>
  <c r="R541" i="1"/>
  <c r="R542" i="1"/>
  <c r="R543" i="1"/>
  <c r="R544" i="1"/>
  <c r="R545" i="1"/>
  <c r="R546" i="1"/>
  <c r="R547" i="1"/>
  <c r="R548" i="1"/>
  <c r="R549" i="1"/>
  <c r="R550" i="1"/>
  <c r="R551" i="1"/>
  <c r="R552" i="1"/>
  <c r="R553" i="1"/>
  <c r="R554" i="1"/>
  <c r="R555" i="1"/>
  <c r="R556" i="1"/>
  <c r="R557" i="1"/>
  <c r="R558" i="1"/>
  <c r="R560" i="1"/>
  <c r="R561" i="1"/>
  <c r="R562" i="1"/>
  <c r="R564" i="1"/>
  <c r="R565" i="1"/>
  <c r="R566" i="1"/>
  <c r="R665" i="1"/>
  <c r="R567" i="1"/>
  <c r="R568" i="1"/>
  <c r="R569" i="1"/>
  <c r="R570" i="1"/>
  <c r="R571" i="1"/>
  <c r="R572" i="1"/>
  <c r="R573" i="1"/>
  <c r="R574" i="1"/>
  <c r="R575" i="1"/>
  <c r="R576" i="1"/>
  <c r="R577" i="1"/>
  <c r="R578" i="1"/>
  <c r="R579" i="1"/>
  <c r="R580" i="1"/>
  <c r="R581" i="1"/>
  <c r="R582" i="1"/>
  <c r="R583" i="1"/>
  <c r="R584" i="1"/>
  <c r="R585" i="1"/>
  <c r="R586" i="1"/>
  <c r="R587" i="1"/>
  <c r="R588" i="1"/>
  <c r="R589" i="1"/>
  <c r="R590" i="1"/>
  <c r="R591" i="1"/>
  <c r="R592" i="1"/>
  <c r="R593" i="1"/>
  <c r="R594" i="1"/>
  <c r="R595" i="1"/>
  <c r="R596" i="1"/>
  <c r="R597" i="1"/>
  <c r="R598" i="1"/>
  <c r="R599" i="1"/>
  <c r="R600" i="1"/>
  <c r="R601" i="1"/>
  <c r="R602" i="1"/>
  <c r="R603" i="1"/>
  <c r="R604" i="1"/>
  <c r="R605" i="1"/>
  <c r="R606" i="1"/>
  <c r="R607" i="1"/>
  <c r="R608" i="1"/>
  <c r="R609" i="1"/>
  <c r="R610" i="1"/>
  <c r="R611" i="1"/>
  <c r="R612" i="1"/>
  <c r="R613" i="1"/>
  <c r="R614" i="1"/>
  <c r="R615" i="1"/>
  <c r="R616" i="1"/>
  <c r="R617" i="1"/>
  <c r="R618" i="1"/>
  <c r="R619" i="1"/>
  <c r="R620" i="1"/>
  <c r="R621" i="1"/>
  <c r="R622" i="1"/>
  <c r="R623" i="1"/>
  <c r="R624" i="1"/>
  <c r="R625" i="1"/>
  <c r="R626" i="1"/>
  <c r="R627" i="1"/>
  <c r="R628" i="1"/>
  <c r="R629" i="1"/>
  <c r="R630" i="1"/>
  <c r="R631" i="1"/>
  <c r="R632" i="1"/>
  <c r="R633" i="1"/>
  <c r="R634" i="1"/>
  <c r="R635" i="1"/>
  <c r="R636" i="1"/>
  <c r="R637" i="1"/>
  <c r="R638" i="1"/>
  <c r="R639" i="1"/>
  <c r="R640" i="1"/>
  <c r="R641" i="1"/>
  <c r="R642" i="1"/>
  <c r="R643" i="1"/>
  <c r="R644" i="1"/>
  <c r="R645" i="1"/>
  <c r="R646" i="1"/>
  <c r="R647" i="1"/>
  <c r="R648" i="1"/>
  <c r="R649" i="1"/>
  <c r="R650" i="1"/>
  <c r="R651" i="1"/>
  <c r="R652" i="1"/>
  <c r="R653" i="1"/>
  <c r="R654" i="1"/>
  <c r="R655" i="1"/>
  <c r="R656" i="1"/>
  <c r="R657" i="1"/>
  <c r="R704" i="1"/>
  <c r="R705" i="1"/>
  <c r="R706" i="1"/>
  <c r="R707" i="1"/>
  <c r="R708" i="1"/>
  <c r="R709" i="1"/>
  <c r="R710" i="1"/>
  <c r="R711" i="1"/>
  <c r="R712" i="1"/>
  <c r="R713" i="1"/>
  <c r="R714" i="1"/>
  <c r="R715" i="1"/>
  <c r="R716" i="1"/>
  <c r="R717" i="1"/>
  <c r="R718" i="1"/>
  <c r="R719" i="1"/>
  <c r="R720" i="1"/>
  <c r="R721" i="1"/>
  <c r="R722" i="1"/>
  <c r="R723" i="1"/>
  <c r="R724" i="1"/>
  <c r="R725" i="1"/>
  <c r="R726" i="1"/>
  <c r="R727" i="1"/>
  <c r="R728" i="1"/>
  <c r="R729" i="1"/>
  <c r="R730" i="1"/>
  <c r="R731" i="1"/>
  <c r="R732" i="1"/>
  <c r="R733" i="1"/>
  <c r="R734" i="1"/>
  <c r="R735" i="1"/>
  <c r="R736" i="1"/>
  <c r="R737" i="1"/>
  <c r="R738" i="1"/>
  <c r="R739" i="1"/>
  <c r="R743" i="1"/>
  <c r="R660" i="1"/>
  <c r="R661" i="1"/>
  <c r="R662" i="1"/>
  <c r="R663" i="1"/>
  <c r="R664" i="1"/>
  <c r="R744" i="1"/>
  <c r="R658" i="1"/>
  <c r="R659" i="1"/>
  <c r="R745" i="1"/>
  <c r="R748" i="1"/>
  <c r="R750" i="1"/>
  <c r="R751" i="1"/>
  <c r="R752" i="1"/>
  <c r="R753" i="1"/>
  <c r="R754" i="1"/>
  <c r="R7" i="1"/>
  <c r="S273" i="8" l="1"/>
  <c r="S272" i="8"/>
  <c r="S271" i="8"/>
  <c r="S270" i="8"/>
  <c r="S269" i="8"/>
  <c r="S267" i="8"/>
  <c r="S266" i="8"/>
  <c r="S265" i="8"/>
  <c r="S264" i="8"/>
  <c r="AF273" i="8"/>
  <c r="AG273" i="8" s="1"/>
  <c r="AF272" i="8"/>
  <c r="AG272" i="8" s="1"/>
  <c r="AF271" i="8"/>
  <c r="AG271" i="8" s="1"/>
  <c r="AF270" i="8"/>
  <c r="AG270" i="8" s="1"/>
  <c r="AF269" i="8"/>
  <c r="AG269" i="8" s="1"/>
  <c r="AF268" i="8"/>
  <c r="AG268" i="8" s="1"/>
  <c r="AF267" i="8"/>
  <c r="AG267" i="8" s="1"/>
  <c r="AF266" i="8"/>
  <c r="AG266" i="8" s="1"/>
  <c r="AF265" i="8"/>
  <c r="AG265" i="8" s="1"/>
  <c r="AF264" i="8"/>
  <c r="AG264" i="8" s="1"/>
  <c r="AQ273" i="8" a="1"/>
  <c r="R265" i="8" a="1"/>
  <c r="R271" i="8" a="1"/>
  <c r="R264" i="8" a="1"/>
  <c r="AQ266" i="8" a="1"/>
  <c r="AQ269" i="8" a="1"/>
  <c r="AQ272" i="8" a="1"/>
  <c r="AQ267" i="8" a="1"/>
  <c r="R272" i="8" a="1"/>
  <c r="AQ268" i="8" a="1"/>
  <c r="AQ265" i="8" a="1"/>
  <c r="R267" i="8" a="1"/>
  <c r="AQ271" i="8" a="1"/>
  <c r="R270" i="8" a="1"/>
  <c r="R269" i="8" a="1"/>
  <c r="R273" i="8" a="1"/>
  <c r="AQ270" i="8" a="1"/>
  <c r="AQ264" i="8" a="1"/>
  <c r="R266" i="8" a="1"/>
  <c r="AQ266" i="8" l="1"/>
  <c r="AQ272" i="8"/>
  <c r="R269" i="8"/>
  <c r="AQ265" i="8"/>
  <c r="R267" i="8"/>
  <c r="R270" i="8"/>
  <c r="AQ271" i="8"/>
  <c r="AQ273" i="8"/>
  <c r="AQ268" i="8"/>
  <c r="R264" i="8"/>
  <c r="R271" i="8"/>
  <c r="AQ269" i="8"/>
  <c r="R265" i="8"/>
  <c r="R272" i="8"/>
  <c r="AQ267" i="8"/>
  <c r="AQ264" i="8"/>
  <c r="AQ270" i="8"/>
  <c r="R266" i="8"/>
  <c r="R273" i="8"/>
  <c r="AI272" i="8"/>
  <c r="AH272" i="8" s="1"/>
  <c r="AI270" i="8"/>
  <c r="AH270" i="8" s="1"/>
  <c r="AK270" i="8"/>
  <c r="AI267" i="8"/>
  <c r="AH267" i="8" s="1"/>
  <c r="AK266" i="8"/>
  <c r="AI266" i="8"/>
  <c r="AH266" i="8" s="1"/>
  <c r="AI264" i="8"/>
  <c r="AH264" i="8" s="1"/>
  <c r="AK272" i="8" l="1"/>
  <c r="AK273" i="8"/>
  <c r="AI273" i="8"/>
  <c r="AH273" i="8" s="1"/>
  <c r="AI271" i="8"/>
  <c r="AH271" i="8" s="1"/>
  <c r="AK271" i="8"/>
  <c r="AI269" i="8"/>
  <c r="AH269" i="8" s="1"/>
  <c r="AK269" i="8"/>
  <c r="AK267" i="8"/>
  <c r="AI268" i="8"/>
  <c r="AH268" i="8" s="1"/>
  <c r="AK268" i="8"/>
  <c r="AK264" i="8"/>
  <c r="AI265" i="8"/>
  <c r="AH265" i="8" s="1"/>
  <c r="AK265" i="8"/>
  <c r="AG677" i="1" l="1"/>
  <c r="Q677" i="1"/>
  <c r="P677" i="1"/>
  <c r="O677" i="1"/>
  <c r="U677" i="1"/>
  <c r="U210" i="1"/>
  <c r="U680" i="1"/>
  <c r="Z677" i="1"/>
  <c r="Y677" i="1"/>
  <c r="K677" i="1" l="1"/>
  <c r="C677" i="1"/>
  <c r="D677" i="1" s="1"/>
  <c r="E677" i="1"/>
  <c r="F677" i="1" s="1"/>
  <c r="H677" i="1"/>
  <c r="O681" i="1" l="1"/>
  <c r="P681" i="1"/>
  <c r="Q681" i="1"/>
  <c r="C681" i="1" s="1"/>
  <c r="D681" i="1" s="1"/>
  <c r="AG681" i="1"/>
  <c r="Z681" i="1"/>
  <c r="U681" i="1"/>
  <c r="Y681" i="1"/>
  <c r="K681" i="1" l="1"/>
  <c r="E681" i="1"/>
  <c r="F681" i="1" s="1"/>
  <c r="H681" i="1"/>
  <c r="S263" i="8" l="1"/>
  <c r="AF262" i="8"/>
  <c r="AG262" i="8" s="1"/>
  <c r="S262" i="8"/>
  <c r="AF261" i="8"/>
  <c r="AG261" i="8" s="1"/>
  <c r="S261" i="8"/>
  <c r="S230" i="8"/>
  <c r="R262" i="8" a="1"/>
  <c r="AQ261" i="8" a="1"/>
  <c r="AQ262" i="8" a="1"/>
  <c r="R261" i="8" a="1"/>
  <c r="R263" i="8" a="1"/>
  <c r="R230" i="8" a="1"/>
  <c r="R230" i="8" l="1"/>
  <c r="R261" i="8"/>
  <c r="AQ261" i="8"/>
  <c r="R262" i="8"/>
  <c r="AQ262" i="8"/>
  <c r="R263" i="8"/>
  <c r="AF244" i="8"/>
  <c r="AG244" i="8" s="1"/>
  <c r="AF245" i="8"/>
  <c r="AG245" i="8" s="1"/>
  <c r="AF246" i="8"/>
  <c r="AG246" i="8" s="1"/>
  <c r="AF247" i="8"/>
  <c r="AG247" i="8" s="1"/>
  <c r="AK247" i="8" s="1"/>
  <c r="AF248" i="8"/>
  <c r="AG248" i="8" s="1"/>
  <c r="AK248" i="8" s="1"/>
  <c r="AF249" i="8"/>
  <c r="AG249" i="8" s="1"/>
  <c r="AK249" i="8" s="1"/>
  <c r="AF250" i="8"/>
  <c r="AG250" i="8" s="1"/>
  <c r="AK250" i="8" s="1"/>
  <c r="AF251" i="8"/>
  <c r="AG251" i="8" s="1"/>
  <c r="AF252" i="8"/>
  <c r="AG252" i="8" s="1"/>
  <c r="AF253" i="8"/>
  <c r="AG253" i="8" s="1"/>
  <c r="AF254" i="8"/>
  <c r="AG254" i="8" s="1"/>
  <c r="AF255" i="8"/>
  <c r="AG255" i="8" s="1"/>
  <c r="AF256" i="8"/>
  <c r="AG256" i="8" s="1"/>
  <c r="AF257" i="8"/>
  <c r="AG257" i="8" s="1"/>
  <c r="AF258" i="8"/>
  <c r="AG258" i="8" s="1"/>
  <c r="AF259" i="8"/>
  <c r="AG259" i="8" s="1"/>
  <c r="AK259" i="8" s="1"/>
  <c r="AF260" i="8"/>
  <c r="AG260" i="8" s="1"/>
  <c r="AK260" i="8" s="1"/>
  <c r="S260" i="8"/>
  <c r="S259" i="8"/>
  <c r="S258" i="8"/>
  <c r="S257" i="8"/>
  <c r="S256" i="8"/>
  <c r="S255" i="8"/>
  <c r="S254" i="8"/>
  <c r="S253" i="8"/>
  <c r="S252" i="8"/>
  <c r="S251" i="8"/>
  <c r="S250" i="8"/>
  <c r="S249" i="8"/>
  <c r="S248" i="8"/>
  <c r="S247" i="8"/>
  <c r="S246" i="8"/>
  <c r="S245" i="8"/>
  <c r="S244" i="8"/>
  <c r="S243" i="8"/>
  <c r="AF243" i="8"/>
  <c r="AG243" i="8" s="1"/>
  <c r="S242" i="8"/>
  <c r="AF242" i="8"/>
  <c r="AG242" i="8" s="1"/>
  <c r="S241" i="8"/>
  <c r="AF241" i="8"/>
  <c r="AG241" i="8" s="1"/>
  <c r="S240" i="8"/>
  <c r="AF240" i="8"/>
  <c r="AG240" i="8" s="1"/>
  <c r="S239" i="8"/>
  <c r="AF239" i="8"/>
  <c r="AG239" i="8" s="1"/>
  <c r="S238" i="8"/>
  <c r="AF238" i="8"/>
  <c r="AG238" i="8" s="1"/>
  <c r="S221" i="8"/>
  <c r="R243" i="8" a="1"/>
  <c r="R259" i="8" a="1"/>
  <c r="AQ238" i="8" a="1"/>
  <c r="R260" i="8" a="1"/>
  <c r="AQ254" i="8" a="1"/>
  <c r="R250" i="8" a="1"/>
  <c r="R251" i="8" a="1"/>
  <c r="R257" i="8" a="1"/>
  <c r="R244" i="8" a="1"/>
  <c r="R241" i="8" a="1"/>
  <c r="R245" i="8" a="1"/>
  <c r="AQ248" i="8" a="1"/>
  <c r="AQ243" i="8" a="1"/>
  <c r="AQ256" i="8" a="1"/>
  <c r="AQ253" i="8" a="1"/>
  <c r="AQ257" i="8" a="1"/>
  <c r="R221" i="8" a="1"/>
  <c r="AQ246" i="8" a="1"/>
  <c r="R242" i="8" a="1"/>
  <c r="AQ258" i="8" a="1"/>
  <c r="AQ244" i="8" a="1"/>
  <c r="R238" i="8" a="1"/>
  <c r="AQ260" i="8" a="1"/>
  <c r="AQ240" i="8" a="1"/>
  <c r="AQ242" i="8" a="1"/>
  <c r="AQ247" i="8" a="1"/>
  <c r="R254" i="8" a="1"/>
  <c r="R258" i="8" a="1"/>
  <c r="AQ259" i="8" a="1"/>
  <c r="R248" i="8" a="1"/>
  <c r="R252" i="8" a="1"/>
  <c r="AQ241" i="8" a="1"/>
  <c r="AQ250" i="8" a="1"/>
  <c r="AQ245" i="8" a="1"/>
  <c r="R240" i="8" a="1"/>
  <c r="R253" i="8" a="1"/>
  <c r="R239" i="8" a="1"/>
  <c r="R255" i="8" a="1"/>
  <c r="AQ251" i="8" a="1"/>
  <c r="AQ239" i="8" a="1"/>
  <c r="R249" i="8" a="1"/>
  <c r="AQ252" i="8" a="1"/>
  <c r="AQ255" i="8" a="1"/>
  <c r="R256" i="8" a="1"/>
  <c r="R247" i="8" a="1"/>
  <c r="AQ249" i="8" a="1"/>
  <c r="R246" i="8" a="1"/>
  <c r="AQ255" i="8" l="1"/>
  <c r="AQ239" i="8"/>
  <c r="AQ242" i="8"/>
  <c r="R246" i="8"/>
  <c r="R252" i="8"/>
  <c r="R258" i="8"/>
  <c r="AQ254" i="8"/>
  <c r="R238" i="8"/>
  <c r="R245" i="8"/>
  <c r="R257" i="8"/>
  <c r="AQ253" i="8"/>
  <c r="R239" i="8"/>
  <c r="R242" i="8"/>
  <c r="R247" i="8"/>
  <c r="R253" i="8"/>
  <c r="R259" i="8"/>
  <c r="AQ252" i="8"/>
  <c r="AQ251" i="8"/>
  <c r="AQ240" i="8"/>
  <c r="AQ243" i="8"/>
  <c r="R248" i="8"/>
  <c r="R254" i="8"/>
  <c r="R260" i="8"/>
  <c r="AQ250" i="8"/>
  <c r="R241" i="8"/>
  <c r="R251" i="8"/>
  <c r="AQ256" i="8"/>
  <c r="AQ244" i="8"/>
  <c r="AQ249" i="8"/>
  <c r="R221" i="8"/>
  <c r="R240" i="8"/>
  <c r="R243" i="8"/>
  <c r="R249" i="8"/>
  <c r="R255" i="8"/>
  <c r="AQ260" i="8"/>
  <c r="AQ248" i="8"/>
  <c r="AQ259" i="8"/>
  <c r="AQ247" i="8"/>
  <c r="AQ238" i="8"/>
  <c r="AQ241" i="8"/>
  <c r="R244" i="8"/>
  <c r="R250" i="8"/>
  <c r="R256" i="8"/>
  <c r="AQ258" i="8"/>
  <c r="AQ246" i="8"/>
  <c r="AQ257" i="8"/>
  <c r="AQ245" i="8"/>
  <c r="AI262" i="8"/>
  <c r="AH262" i="8" s="1"/>
  <c r="AK262" i="8"/>
  <c r="AK261" i="8"/>
  <c r="AI261" i="8"/>
  <c r="AH261" i="8" s="1"/>
  <c r="AI253" i="8"/>
  <c r="AH253" i="8" s="1"/>
  <c r="AI252" i="8"/>
  <c r="AH252" i="8" s="1"/>
  <c r="AI259" i="8"/>
  <c r="AH259" i="8" s="1"/>
  <c r="AK251" i="8"/>
  <c r="AI244" i="8"/>
  <c r="AH244" i="8" s="1"/>
  <c r="AI248" i="8"/>
  <c r="AH248" i="8" s="1"/>
  <c r="AK258" i="8"/>
  <c r="AI258" i="8"/>
  <c r="AH258" i="8" s="1"/>
  <c r="AI250" i="8"/>
  <c r="AH250" i="8" s="1"/>
  <c r="AK246" i="8"/>
  <c r="AI246" i="8"/>
  <c r="AH246" i="8" s="1"/>
  <c r="AI247" i="8"/>
  <c r="AH247" i="8" s="1"/>
  <c r="AI260" i="8"/>
  <c r="AH260" i="8" s="1"/>
  <c r="AI249" i="8"/>
  <c r="AH249" i="8" s="1"/>
  <c r="AK242" i="8"/>
  <c r="AI241" i="8"/>
  <c r="AH241" i="8" s="1"/>
  <c r="AI239" i="8"/>
  <c r="AH239" i="8" s="1"/>
  <c r="AK238" i="8"/>
  <c r="O675" i="1"/>
  <c r="P675" i="1"/>
  <c r="Q675" i="1"/>
  <c r="C675" i="1" s="1"/>
  <c r="D675" i="1" s="1"/>
  <c r="AG675" i="1"/>
  <c r="O672" i="1"/>
  <c r="P672" i="1"/>
  <c r="Q672" i="1"/>
  <c r="C672" i="1" s="1"/>
  <c r="D672" i="1" s="1"/>
  <c r="AG672" i="1"/>
  <c r="O673" i="1"/>
  <c r="P673" i="1"/>
  <c r="Q673" i="1"/>
  <c r="C673" i="1" s="1"/>
  <c r="D673" i="1" s="1"/>
  <c r="AG673" i="1"/>
  <c r="O674" i="1"/>
  <c r="P674" i="1"/>
  <c r="Q674" i="1"/>
  <c r="C674" i="1" s="1"/>
  <c r="D674" i="1" s="1"/>
  <c r="AG674" i="1"/>
  <c r="U675" i="1"/>
  <c r="Y674" i="1"/>
  <c r="U674" i="1"/>
  <c r="Z673" i="1"/>
  <c r="U672" i="1"/>
  <c r="Z672" i="1"/>
  <c r="Z674" i="1"/>
  <c r="Y675" i="1"/>
  <c r="Y673" i="1"/>
  <c r="Z675" i="1"/>
  <c r="U673" i="1"/>
  <c r="Y672" i="1"/>
  <c r="K672" i="1" l="1"/>
  <c r="K673" i="1"/>
  <c r="K674" i="1"/>
  <c r="K675" i="1"/>
  <c r="AK253" i="8"/>
  <c r="AI251" i="8"/>
  <c r="AH251" i="8" s="1"/>
  <c r="AK252" i="8"/>
  <c r="AI255" i="8"/>
  <c r="AH255" i="8" s="1"/>
  <c r="AK255" i="8"/>
  <c r="AK244" i="8"/>
  <c r="AI256" i="8"/>
  <c r="AH256" i="8" s="1"/>
  <c r="AK256" i="8"/>
  <c r="AI245" i="8"/>
  <c r="AH245" i="8" s="1"/>
  <c r="AK245" i="8"/>
  <c r="AI254" i="8"/>
  <c r="AH254" i="8" s="1"/>
  <c r="AK254" i="8"/>
  <c r="AI257" i="8"/>
  <c r="AH257" i="8" s="1"/>
  <c r="AK257" i="8"/>
  <c r="AK243" i="8"/>
  <c r="AI243" i="8"/>
  <c r="AH243" i="8" s="1"/>
  <c r="AI242" i="8"/>
  <c r="AH242" i="8" s="1"/>
  <c r="AK241" i="8"/>
  <c r="AI240" i="8"/>
  <c r="AH240" i="8" s="1"/>
  <c r="AK240" i="8"/>
  <c r="AK239" i="8"/>
  <c r="AI238" i="8"/>
  <c r="AH238" i="8" s="1"/>
  <c r="H675" i="1"/>
  <c r="E675" i="1"/>
  <c r="F675" i="1" s="1"/>
  <c r="H672" i="1"/>
  <c r="E672" i="1"/>
  <c r="F672" i="1" s="1"/>
  <c r="H673" i="1"/>
  <c r="E673" i="1"/>
  <c r="F673" i="1" s="1"/>
  <c r="H674" i="1"/>
  <c r="E674" i="1"/>
  <c r="F674" i="1" s="1"/>
  <c r="AF221" i="8" l="1"/>
  <c r="AG221" i="8" s="1"/>
  <c r="AQ221" i="8" a="1"/>
  <c r="AQ221" i="8" l="1"/>
  <c r="AI221" i="8"/>
  <c r="AH221" i="8" s="1"/>
  <c r="AK221" i="8"/>
  <c r="O671" i="1" l="1"/>
  <c r="P671" i="1"/>
  <c r="Q671" i="1"/>
  <c r="C671" i="1" s="1"/>
  <c r="D671" i="1" s="1"/>
  <c r="AG671" i="1"/>
  <c r="O98" i="1"/>
  <c r="P98" i="1"/>
  <c r="Q98" i="1"/>
  <c r="C98" i="1" s="1"/>
  <c r="D98" i="1" s="1"/>
  <c r="AG98" i="1"/>
  <c r="Y98" i="1"/>
  <c r="Y671" i="1"/>
  <c r="Z98" i="1"/>
  <c r="U671" i="1"/>
  <c r="AA98" i="1"/>
  <c r="Z671" i="1"/>
  <c r="U98" i="1"/>
  <c r="AF98" i="1" l="1"/>
  <c r="K671" i="1"/>
  <c r="K98" i="1"/>
  <c r="H671" i="1"/>
  <c r="E671" i="1"/>
  <c r="F671" i="1" s="1"/>
  <c r="H98" i="1"/>
  <c r="E98" i="1"/>
  <c r="F98" i="1" s="1"/>
  <c r="S237" i="8" l="1"/>
  <c r="AF237" i="8"/>
  <c r="AG237" i="8" s="1"/>
  <c r="R237" i="8" a="1"/>
  <c r="AQ237" i="8" a="1"/>
  <c r="AQ237" i="8" l="1"/>
  <c r="R237" i="8"/>
  <c r="AK237" i="8"/>
  <c r="AI237" i="8"/>
  <c r="AH237" i="8" s="1"/>
  <c r="S236" i="8" l="1"/>
  <c r="S235" i="8"/>
  <c r="S234" i="8"/>
  <c r="S233" i="8"/>
  <c r="S232" i="8"/>
  <c r="S231" i="8"/>
  <c r="S229" i="8"/>
  <c r="S228" i="8"/>
  <c r="S227" i="8"/>
  <c r="S226" i="8"/>
  <c r="S225" i="8"/>
  <c r="S224" i="8"/>
  <c r="S223" i="8"/>
  <c r="S222" i="8"/>
  <c r="S220" i="8"/>
  <c r="S219" i="8"/>
  <c r="S218" i="8"/>
  <c r="S216" i="8"/>
  <c r="S215" i="8"/>
  <c r="S214" i="8"/>
  <c r="S213" i="8"/>
  <c r="S212" i="8"/>
  <c r="S211" i="8"/>
  <c r="S210" i="8"/>
  <c r="S209" i="8"/>
  <c r="S208" i="8"/>
  <c r="S207" i="8"/>
  <c r="S206" i="8"/>
  <c r="S205" i="8"/>
  <c r="S204" i="8"/>
  <c r="S203" i="8"/>
  <c r="S202" i="8"/>
  <c r="S201" i="8"/>
  <c r="S200" i="8"/>
  <c r="S199" i="8"/>
  <c r="S198" i="8"/>
  <c r="S197" i="8"/>
  <c r="S196" i="8"/>
  <c r="S195" i="8"/>
  <c r="S194" i="8"/>
  <c r="S193" i="8"/>
  <c r="S192" i="8"/>
  <c r="S191" i="8"/>
  <c r="S190" i="8"/>
  <c r="S189" i="8"/>
  <c r="S188" i="8"/>
  <c r="S187" i="8"/>
  <c r="S186" i="8"/>
  <c r="S185" i="8"/>
  <c r="S184" i="8"/>
  <c r="S183" i="8"/>
  <c r="S182" i="8"/>
  <c r="S181" i="8"/>
  <c r="S180" i="8"/>
  <c r="S179" i="8"/>
  <c r="S178" i="8"/>
  <c r="S177" i="8"/>
  <c r="S176" i="8"/>
  <c r="S175" i="8"/>
  <c r="S174" i="8"/>
  <c r="S173" i="8"/>
  <c r="S172" i="8"/>
  <c r="S171" i="8"/>
  <c r="S170" i="8"/>
  <c r="S169" i="8"/>
  <c r="S168" i="8"/>
  <c r="S167" i="8"/>
  <c r="S166" i="8"/>
  <c r="S165" i="8"/>
  <c r="S164" i="8"/>
  <c r="S163" i="8"/>
  <c r="S162" i="8"/>
  <c r="S161" i="8"/>
  <c r="S160" i="8"/>
  <c r="S159" i="8"/>
  <c r="S158" i="8"/>
  <c r="S157" i="8"/>
  <c r="S156" i="8"/>
  <c r="S155" i="8"/>
  <c r="S154" i="8"/>
  <c r="S153" i="8"/>
  <c r="S152" i="8"/>
  <c r="S151" i="8"/>
  <c r="S150" i="8"/>
  <c r="S149" i="8"/>
  <c r="S148" i="8"/>
  <c r="S147" i="8"/>
  <c r="S146" i="8"/>
  <c r="S145" i="8"/>
  <c r="S144" i="8"/>
  <c r="S143" i="8"/>
  <c r="S142" i="8"/>
  <c r="S141" i="8"/>
  <c r="S140" i="8"/>
  <c r="S139" i="8"/>
  <c r="S138" i="8"/>
  <c r="S137" i="8"/>
  <c r="S136" i="8"/>
  <c r="S135" i="8"/>
  <c r="S134" i="8"/>
  <c r="S133" i="8"/>
  <c r="S132" i="8"/>
  <c r="S131" i="8"/>
  <c r="S130" i="8"/>
  <c r="S129" i="8"/>
  <c r="S128" i="8"/>
  <c r="S127" i="8"/>
  <c r="S126" i="8"/>
  <c r="S125" i="8"/>
  <c r="S124" i="8"/>
  <c r="S123" i="8"/>
  <c r="S122" i="8"/>
  <c r="S121" i="8"/>
  <c r="S120" i="8"/>
  <c r="S119" i="8"/>
  <c r="S118" i="8"/>
  <c r="S117" i="8"/>
  <c r="S116" i="8"/>
  <c r="S115" i="8"/>
  <c r="S114" i="8"/>
  <c r="S113" i="8"/>
  <c r="S112" i="8"/>
  <c r="S111" i="8"/>
  <c r="S110" i="8"/>
  <c r="S109" i="8"/>
  <c r="S108" i="8"/>
  <c r="S107" i="8"/>
  <c r="S106" i="8"/>
  <c r="S105" i="8"/>
  <c r="S104" i="8"/>
  <c r="S103" i="8"/>
  <c r="S102" i="8"/>
  <c r="S101" i="8"/>
  <c r="S100" i="8"/>
  <c r="S99" i="8"/>
  <c r="S98" i="8"/>
  <c r="S97" i="8"/>
  <c r="S96" i="8"/>
  <c r="S95" i="8"/>
  <c r="S94" i="8"/>
  <c r="S93" i="8"/>
  <c r="S92" i="8"/>
  <c r="S91" i="8"/>
  <c r="S90" i="8"/>
  <c r="S89" i="8"/>
  <c r="S88" i="8"/>
  <c r="S87" i="8"/>
  <c r="S86" i="8"/>
  <c r="S85" i="8"/>
  <c r="S84" i="8"/>
  <c r="S83" i="8"/>
  <c r="S82" i="8"/>
  <c r="S81" i="8"/>
  <c r="S80" i="8"/>
  <c r="S79" i="8"/>
  <c r="S78" i="8"/>
  <c r="AF78" i="8"/>
  <c r="AG78" i="8" s="1"/>
  <c r="AF79" i="8"/>
  <c r="AG79" i="8" s="1"/>
  <c r="AF80" i="8"/>
  <c r="AG80" i="8" s="1"/>
  <c r="AI80" i="8" s="1"/>
  <c r="AH80" i="8" s="1"/>
  <c r="AF81" i="8"/>
  <c r="AG81" i="8" s="1"/>
  <c r="AF82" i="8"/>
  <c r="AG82" i="8" s="1"/>
  <c r="AF83" i="8"/>
  <c r="AG83" i="8" s="1"/>
  <c r="AF84" i="8"/>
  <c r="AG84" i="8" s="1"/>
  <c r="AF85" i="8"/>
  <c r="AG85" i="8" s="1"/>
  <c r="AF86" i="8"/>
  <c r="AG86" i="8" s="1"/>
  <c r="AF87" i="8"/>
  <c r="AG87" i="8" s="1"/>
  <c r="AF88" i="8"/>
  <c r="AG88" i="8" s="1"/>
  <c r="AF89" i="8"/>
  <c r="AG89" i="8" s="1"/>
  <c r="AF90" i="8"/>
  <c r="AG90" i="8" s="1"/>
  <c r="AF91" i="8"/>
  <c r="AG91" i="8" s="1"/>
  <c r="AF92" i="8"/>
  <c r="AG92" i="8" s="1"/>
  <c r="AF93" i="8"/>
  <c r="AG93" i="8" s="1"/>
  <c r="AF94" i="8"/>
  <c r="AG94" i="8" s="1"/>
  <c r="AF95" i="8"/>
  <c r="AG95" i="8" s="1"/>
  <c r="AF96" i="8"/>
  <c r="AG96" i="8" s="1"/>
  <c r="AF97" i="8"/>
  <c r="AG97" i="8" s="1"/>
  <c r="AF98" i="8"/>
  <c r="AG98" i="8" s="1"/>
  <c r="AF99" i="8"/>
  <c r="AG99" i="8" s="1"/>
  <c r="AF100" i="8"/>
  <c r="AG100" i="8" s="1"/>
  <c r="AF101" i="8"/>
  <c r="AG101" i="8" s="1"/>
  <c r="AF102" i="8"/>
  <c r="AG102" i="8" s="1"/>
  <c r="AF103" i="8"/>
  <c r="AG103" i="8" s="1"/>
  <c r="AF104" i="8"/>
  <c r="AG104" i="8" s="1"/>
  <c r="AF105" i="8"/>
  <c r="AG105" i="8" s="1"/>
  <c r="AF106" i="8"/>
  <c r="AG106" i="8" s="1"/>
  <c r="AF107" i="8"/>
  <c r="AG107" i="8" s="1"/>
  <c r="AF108" i="8"/>
  <c r="AG108" i="8" s="1"/>
  <c r="AF109" i="8"/>
  <c r="AG109" i="8" s="1"/>
  <c r="AF110" i="8"/>
  <c r="AG110" i="8" s="1"/>
  <c r="AF111" i="8"/>
  <c r="AG111" i="8" s="1"/>
  <c r="AF112" i="8"/>
  <c r="AG112" i="8" s="1"/>
  <c r="AF113" i="8"/>
  <c r="AG113" i="8" s="1"/>
  <c r="AF114" i="8"/>
  <c r="AG114" i="8" s="1"/>
  <c r="AK114" i="8" s="1"/>
  <c r="AF115" i="8"/>
  <c r="AG115" i="8" s="1"/>
  <c r="AF116" i="8"/>
  <c r="AG116" i="8" s="1"/>
  <c r="AF117" i="8"/>
  <c r="AG117" i="8" s="1"/>
  <c r="AF118" i="8"/>
  <c r="AG118" i="8" s="1"/>
  <c r="AF119" i="8"/>
  <c r="AG119" i="8" s="1"/>
  <c r="AF120" i="8"/>
  <c r="AG120" i="8" s="1"/>
  <c r="AF121" i="8"/>
  <c r="AG121" i="8" s="1"/>
  <c r="AF122" i="8"/>
  <c r="AG122" i="8" s="1"/>
  <c r="AF123" i="8"/>
  <c r="AG123" i="8" s="1"/>
  <c r="AF124" i="8"/>
  <c r="AG124" i="8" s="1"/>
  <c r="AF125" i="8"/>
  <c r="AG125" i="8" s="1"/>
  <c r="AF126" i="8"/>
  <c r="AG126" i="8" s="1"/>
  <c r="AF127" i="8"/>
  <c r="AG127" i="8" s="1"/>
  <c r="AF128" i="8"/>
  <c r="AG128" i="8" s="1"/>
  <c r="AF129" i="8"/>
  <c r="AG129" i="8" s="1"/>
  <c r="AF130" i="8"/>
  <c r="AG130" i="8" s="1"/>
  <c r="AF131" i="8"/>
  <c r="AG131" i="8" s="1"/>
  <c r="AF132" i="8"/>
  <c r="AG132" i="8" s="1"/>
  <c r="AF133" i="8"/>
  <c r="AG133" i="8" s="1"/>
  <c r="AF134" i="8"/>
  <c r="AG134" i="8" s="1"/>
  <c r="AI134" i="8" s="1"/>
  <c r="AH134" i="8" s="1"/>
  <c r="AF135" i="8"/>
  <c r="AG135" i="8" s="1"/>
  <c r="AF136" i="8"/>
  <c r="AG136" i="8" s="1"/>
  <c r="AF137" i="8"/>
  <c r="AG137" i="8" s="1"/>
  <c r="AF138" i="8"/>
  <c r="AG138" i="8" s="1"/>
  <c r="AF139" i="8"/>
  <c r="AG139" i="8" s="1"/>
  <c r="AF140" i="8"/>
  <c r="AG140" i="8" s="1"/>
  <c r="AF141" i="8"/>
  <c r="AG141" i="8" s="1"/>
  <c r="AF142" i="8"/>
  <c r="AG142" i="8" s="1"/>
  <c r="AF143" i="8"/>
  <c r="AG143" i="8" s="1"/>
  <c r="AF144" i="8"/>
  <c r="AG144" i="8" s="1"/>
  <c r="AF145" i="8"/>
  <c r="AG145" i="8" s="1"/>
  <c r="AF146" i="8"/>
  <c r="AG146" i="8" s="1"/>
  <c r="AF147" i="8"/>
  <c r="AG147" i="8" s="1"/>
  <c r="AF148" i="8"/>
  <c r="AG148" i="8" s="1"/>
  <c r="AF149" i="8"/>
  <c r="AG149" i="8" s="1"/>
  <c r="AF150" i="8"/>
  <c r="AG150" i="8" s="1"/>
  <c r="AF151" i="8"/>
  <c r="AG151" i="8" s="1"/>
  <c r="AF152" i="8"/>
  <c r="AG152" i="8" s="1"/>
  <c r="AF153" i="8"/>
  <c r="AG153" i="8" s="1"/>
  <c r="AF154" i="8"/>
  <c r="AG154" i="8" s="1"/>
  <c r="AF155" i="8"/>
  <c r="AG155" i="8" s="1"/>
  <c r="AF156" i="8"/>
  <c r="AG156" i="8" s="1"/>
  <c r="AF157" i="8"/>
  <c r="AG157" i="8" s="1"/>
  <c r="AF158" i="8"/>
  <c r="AG158" i="8" s="1"/>
  <c r="AF159" i="8"/>
  <c r="AG159" i="8" s="1"/>
  <c r="AF160" i="8"/>
  <c r="AG160" i="8" s="1"/>
  <c r="AF161" i="8"/>
  <c r="AG161" i="8" s="1"/>
  <c r="AF162" i="8"/>
  <c r="AG162" i="8" s="1"/>
  <c r="AF163" i="8"/>
  <c r="AG163" i="8" s="1"/>
  <c r="AF164" i="8"/>
  <c r="AG164" i="8" s="1"/>
  <c r="AF165" i="8"/>
  <c r="AG165" i="8" s="1"/>
  <c r="AF166" i="8"/>
  <c r="AG166" i="8" s="1"/>
  <c r="AF167" i="8"/>
  <c r="AG167" i="8" s="1"/>
  <c r="AF168" i="8"/>
  <c r="AG168" i="8" s="1"/>
  <c r="AF169" i="8"/>
  <c r="AG169" i="8" s="1"/>
  <c r="AF170" i="8"/>
  <c r="AG170" i="8" s="1"/>
  <c r="AF171" i="8"/>
  <c r="AG171" i="8" s="1"/>
  <c r="AF172" i="8"/>
  <c r="AG172" i="8" s="1"/>
  <c r="AF173" i="8"/>
  <c r="AG173" i="8" s="1"/>
  <c r="AF174" i="8"/>
  <c r="AG174" i="8" s="1"/>
  <c r="AF175" i="8"/>
  <c r="AG175" i="8" s="1"/>
  <c r="AF176" i="8"/>
  <c r="AG176" i="8" s="1"/>
  <c r="AF177" i="8"/>
  <c r="AG177" i="8" s="1"/>
  <c r="AF178" i="8"/>
  <c r="AG178" i="8" s="1"/>
  <c r="AF179" i="8"/>
  <c r="AG179" i="8" s="1"/>
  <c r="AF180" i="8"/>
  <c r="AG180" i="8" s="1"/>
  <c r="AF181" i="8"/>
  <c r="AG181" i="8" s="1"/>
  <c r="AF182" i="8"/>
  <c r="AG182" i="8" s="1"/>
  <c r="AF183" i="8"/>
  <c r="AG183" i="8" s="1"/>
  <c r="AF184" i="8"/>
  <c r="AG184" i="8" s="1"/>
  <c r="AF185" i="8"/>
  <c r="AG185" i="8" s="1"/>
  <c r="AF186" i="8"/>
  <c r="AG186" i="8" s="1"/>
  <c r="AF187" i="8"/>
  <c r="AG187" i="8" s="1"/>
  <c r="AF188" i="8"/>
  <c r="AG188" i="8" s="1"/>
  <c r="AF189" i="8"/>
  <c r="AG189" i="8" s="1"/>
  <c r="AF190" i="8"/>
  <c r="AG190" i="8" s="1"/>
  <c r="AF191" i="8"/>
  <c r="AG191" i="8" s="1"/>
  <c r="AF192" i="8"/>
  <c r="AG192" i="8" s="1"/>
  <c r="AF193" i="8"/>
  <c r="AG193" i="8" s="1"/>
  <c r="AF194" i="8"/>
  <c r="AG194" i="8" s="1"/>
  <c r="AF195" i="8"/>
  <c r="AG195" i="8" s="1"/>
  <c r="AF196" i="8"/>
  <c r="AG196" i="8" s="1"/>
  <c r="AF197" i="8"/>
  <c r="AG197" i="8" s="1"/>
  <c r="AF198" i="8"/>
  <c r="AG198" i="8" s="1"/>
  <c r="AF199" i="8"/>
  <c r="AG199" i="8" s="1"/>
  <c r="AF200" i="8"/>
  <c r="AG200" i="8" s="1"/>
  <c r="AK200" i="8" s="1"/>
  <c r="AF201" i="8"/>
  <c r="AG201" i="8" s="1"/>
  <c r="AF202" i="8"/>
  <c r="AG202" i="8" s="1"/>
  <c r="AF203" i="8"/>
  <c r="AG203" i="8" s="1"/>
  <c r="AF204" i="8"/>
  <c r="AG204" i="8" s="1"/>
  <c r="AF205" i="8"/>
  <c r="AG205" i="8" s="1"/>
  <c r="AF206" i="8"/>
  <c r="AG206" i="8" s="1"/>
  <c r="AF207" i="8"/>
  <c r="AG207" i="8" s="1"/>
  <c r="AF208" i="8"/>
  <c r="AG208" i="8" s="1"/>
  <c r="AF209" i="8"/>
  <c r="AG209" i="8" s="1"/>
  <c r="AF210" i="8"/>
  <c r="AG210" i="8" s="1"/>
  <c r="AF211" i="8"/>
  <c r="AG211" i="8" s="1"/>
  <c r="AF212" i="8"/>
  <c r="AG212" i="8" s="1"/>
  <c r="AI212" i="8" s="1"/>
  <c r="AH212" i="8" s="1"/>
  <c r="AF213" i="8"/>
  <c r="AG213" i="8" s="1"/>
  <c r="AF214" i="8"/>
  <c r="AG214" i="8" s="1"/>
  <c r="AF215" i="8"/>
  <c r="AG215" i="8" s="1"/>
  <c r="AF216" i="8"/>
  <c r="AG216" i="8" s="1"/>
  <c r="AF218" i="8"/>
  <c r="AG218" i="8" s="1"/>
  <c r="AF219" i="8"/>
  <c r="AG219" i="8" s="1"/>
  <c r="AF220" i="8"/>
  <c r="AG220" i="8" s="1"/>
  <c r="AF222" i="8"/>
  <c r="AG222" i="8" s="1"/>
  <c r="AF223" i="8"/>
  <c r="AG223" i="8" s="1"/>
  <c r="AF224" i="8"/>
  <c r="AG224" i="8" s="1"/>
  <c r="AF225" i="8"/>
  <c r="AG225" i="8" s="1"/>
  <c r="AF226" i="8"/>
  <c r="AG226" i="8" s="1"/>
  <c r="AF227" i="8"/>
  <c r="AG227" i="8" s="1"/>
  <c r="AF228" i="8"/>
  <c r="AG228" i="8" s="1"/>
  <c r="AF229" i="8"/>
  <c r="AG229" i="8" s="1"/>
  <c r="AF230" i="8"/>
  <c r="AG230" i="8" s="1"/>
  <c r="AF231" i="8"/>
  <c r="AG231" i="8" s="1"/>
  <c r="AF232" i="8"/>
  <c r="AG232" i="8" s="1"/>
  <c r="AF233" i="8"/>
  <c r="AG233" i="8" s="1"/>
  <c r="AF234" i="8"/>
  <c r="AG234" i="8" s="1"/>
  <c r="AF235" i="8"/>
  <c r="AG235" i="8" s="1"/>
  <c r="AF236" i="8"/>
  <c r="AG236" i="8" s="1"/>
  <c r="R173" i="8" a="1"/>
  <c r="AQ78" i="8" a="1"/>
  <c r="AQ103" i="8" a="1"/>
  <c r="AQ227" i="8" a="1"/>
  <c r="AQ187" i="8" a="1"/>
  <c r="R184" i="8" a="1"/>
  <c r="R88" i="8" a="1"/>
  <c r="AQ141" i="8" a="1"/>
  <c r="R141" i="8" a="1"/>
  <c r="AQ142" i="8" a="1"/>
  <c r="R194" i="8" a="1"/>
  <c r="R98" i="8" a="1"/>
  <c r="AQ230" i="8" a="1"/>
  <c r="R139" i="8" a="1"/>
  <c r="AQ146" i="8" a="1"/>
  <c r="AQ207" i="8" a="1"/>
  <c r="R224" i="8" a="1"/>
  <c r="R126" i="8" a="1"/>
  <c r="AQ172" i="8" a="1"/>
  <c r="R179" i="8" a="1"/>
  <c r="AQ139" i="8" a="1"/>
  <c r="AQ205" i="8" a="1"/>
  <c r="AQ167" i="8" a="1"/>
  <c r="AQ228" i="8" a="1"/>
  <c r="AQ216" i="8" a="1"/>
  <c r="AQ123" i="8" a="1"/>
  <c r="AQ112" i="8" a="1"/>
  <c r="R215" i="8" a="1"/>
  <c r="R119" i="8" a="1"/>
  <c r="AQ186" i="8" a="1"/>
  <c r="AQ225" i="8" a="1"/>
  <c r="AQ203" i="8" a="1"/>
  <c r="R228" i="8" a="1"/>
  <c r="R130" i="8" a="1"/>
  <c r="AQ164" i="8" a="1"/>
  <c r="R183" i="8" a="1"/>
  <c r="R87" i="8" a="1"/>
  <c r="AQ231" i="8" a="1"/>
  <c r="R140" i="8" a="1"/>
  <c r="AQ144" i="8" a="1"/>
  <c r="R181" i="8" a="1"/>
  <c r="R85" i="8" a="1"/>
  <c r="AQ99" i="8" a="1"/>
  <c r="AQ183" i="8" a="1"/>
  <c r="R168" i="8" a="1"/>
  <c r="AQ88" i="8" a="1"/>
  <c r="AQ121" i="8" a="1"/>
  <c r="R137" i="8" a="1"/>
  <c r="AQ79" i="8" a="1"/>
  <c r="AQ215" i="8" a="1"/>
  <c r="R172" i="8" a="1"/>
  <c r="AQ226" i="8" a="1"/>
  <c r="AQ118" i="8" a="1"/>
  <c r="R134" i="8" a="1"/>
  <c r="R175" i="8" a="1"/>
  <c r="AQ219" i="8" a="1"/>
  <c r="R186" i="8" a="1"/>
  <c r="AQ196" i="8" a="1"/>
  <c r="R155" i="8" a="1"/>
  <c r="AQ199" i="8" a="1"/>
  <c r="R142" i="8" a="1"/>
  <c r="R123" i="8" a="1"/>
  <c r="R80" i="8" a="1"/>
  <c r="AQ232" i="8" a="1"/>
  <c r="R84" i="8" a="1"/>
  <c r="R89" i="8" a="1"/>
  <c r="AQ143" i="8" a="1"/>
  <c r="R100" i="8" a="1"/>
  <c r="R129" i="8" a="1"/>
  <c r="R158" i="8" a="1"/>
  <c r="R199" i="8" a="1"/>
  <c r="AQ111" i="8" a="1"/>
  <c r="R162" i="8" a="1"/>
  <c r="AQ201" i="8" a="1"/>
  <c r="R220" i="8" a="1"/>
  <c r="R128" i="8" a="1"/>
  <c r="AQ182" i="8" a="1"/>
  <c r="R108" i="8" a="1"/>
  <c r="AQ156" i="8" a="1"/>
  <c r="AQ223" i="8" a="1"/>
  <c r="AQ162" i="8" a="1"/>
  <c r="R200" i="8" a="1"/>
  <c r="R204" i="8" a="1"/>
  <c r="R196" i="8" a="1"/>
  <c r="AQ108" i="8" a="1"/>
  <c r="AQ148" i="8" a="1"/>
  <c r="AQ82" i="8" a="1"/>
  <c r="AQ137" i="8" a="1"/>
  <c r="AQ153" i="8" a="1"/>
  <c r="AQ94" i="8" a="1"/>
  <c r="AQ180" i="8" a="1"/>
  <c r="AQ98" i="8" a="1"/>
  <c r="AQ124" i="8" a="1"/>
  <c r="AQ218" i="8" a="1"/>
  <c r="AQ120" i="8" a="1"/>
  <c r="R132" i="8" a="1"/>
  <c r="AQ138" i="8" a="1"/>
  <c r="R154" i="8" a="1"/>
  <c r="R111" i="8" a="1"/>
  <c r="R205" i="8" a="1"/>
  <c r="R192" i="8" a="1"/>
  <c r="R185" i="8" a="1"/>
  <c r="AQ128" i="8" a="1"/>
  <c r="AQ122" i="8" a="1"/>
  <c r="AQ193" i="8" a="1"/>
  <c r="R214" i="8" a="1"/>
  <c r="R156" i="8" a="1"/>
  <c r="R148" i="8" a="1"/>
  <c r="AQ204" i="8" a="1"/>
  <c r="R210" i="8" a="1"/>
  <c r="R121" i="8" a="1"/>
  <c r="AQ85" i="8" a="1"/>
  <c r="R149" i="8" a="1"/>
  <c r="AQ126" i="8" a="1"/>
  <c r="AQ151" i="8" a="1"/>
  <c r="AQ119" i="8" a="1"/>
  <c r="AQ165" i="8" a="1"/>
  <c r="R160" i="8" a="1"/>
  <c r="AQ104" i="8" a="1"/>
  <c r="R213" i="8" a="1"/>
  <c r="R117" i="8" a="1"/>
  <c r="AQ190" i="8" a="1"/>
  <c r="R170" i="8" a="1"/>
  <c r="AQ84" i="8" a="1"/>
  <c r="R211" i="8" a="1"/>
  <c r="R115" i="8" a="1"/>
  <c r="AQ194" i="8" a="1"/>
  <c r="AQ149" i="8" a="1"/>
  <c r="R198" i="8" a="1"/>
  <c r="R102" i="8" a="1"/>
  <c r="AQ222" i="8" a="1"/>
  <c r="R131" i="8" a="1"/>
  <c r="AQ129" i="8" a="1"/>
  <c r="R166" i="8" a="1"/>
  <c r="R171" i="8" a="1"/>
  <c r="R176" i="8" a="1"/>
  <c r="R169" i="8" a="1"/>
  <c r="AQ157" i="8" a="1"/>
  <c r="AQ208" i="8" a="1"/>
  <c r="R191" i="8" a="1"/>
  <c r="R95" i="8" a="1"/>
  <c r="AQ236" i="8" a="1"/>
  <c r="AQ177" i="8" a="1"/>
  <c r="AQ145" i="8" a="1"/>
  <c r="R202" i="8" a="1"/>
  <c r="R106" i="8" a="1"/>
  <c r="AQ212" i="8" a="1"/>
  <c r="R159" i="8" a="1"/>
  <c r="AQ106" i="8" a="1"/>
  <c r="R212" i="8" a="1"/>
  <c r="R116" i="8" a="1"/>
  <c r="AQ192" i="8" a="1"/>
  <c r="R157" i="8" a="1"/>
  <c r="AQ110" i="8" a="1"/>
  <c r="AQ159" i="8" a="1"/>
  <c r="AQ97" i="8" a="1"/>
  <c r="R144" i="8" a="1"/>
  <c r="AQ136" i="8" a="1"/>
  <c r="R236" i="8" a="1"/>
  <c r="R113" i="8" a="1"/>
  <c r="AQ175" i="8" a="1"/>
  <c r="AQ181" i="8" a="1"/>
  <c r="R124" i="8" a="1"/>
  <c r="R201" i="8" a="1"/>
  <c r="AQ214" i="8" a="1"/>
  <c r="R86" i="8" a="1"/>
  <c r="R127" i="8" a="1"/>
  <c r="AQ171" i="8" a="1"/>
  <c r="R138" i="8" a="1"/>
  <c r="AQ125" i="8" a="1"/>
  <c r="R107" i="8" a="1"/>
  <c r="AQ107" i="8" a="1"/>
  <c r="R94" i="8" a="1"/>
  <c r="AQ178" i="8" a="1"/>
  <c r="R218" i="8" a="1"/>
  <c r="AQ113" i="8" a="1"/>
  <c r="AQ185" i="8" a="1"/>
  <c r="AQ150" i="8" a="1"/>
  <c r="AQ93" i="8" a="1"/>
  <c r="AQ176" i="8" a="1"/>
  <c r="R81" i="8" a="1"/>
  <c r="R110" i="8" a="1"/>
  <c r="R151" i="8" a="1"/>
  <c r="AQ89" i="8" a="1"/>
  <c r="R90" i="8" a="1"/>
  <c r="AQ117" i="8" a="1"/>
  <c r="R147" i="8" a="1"/>
  <c r="AQ168" i="8" a="1"/>
  <c r="AQ195" i="8" a="1"/>
  <c r="AQ160" i="8" a="1"/>
  <c r="R233" i="8" a="1"/>
  <c r="R114" i="8" a="1"/>
  <c r="AQ229" i="8" a="1"/>
  <c r="R145" i="8" a="1"/>
  <c r="AQ127" i="8" a="1"/>
  <c r="AQ166" i="8" a="1"/>
  <c r="R79" i="8" a="1"/>
  <c r="R190" i="8" a="1"/>
  <c r="AQ224" i="8" a="1"/>
  <c r="AQ200" i="8" a="1"/>
  <c r="R219" i="8" a="1"/>
  <c r="AQ147" i="8" a="1"/>
  <c r="R229" i="8" a="1"/>
  <c r="AQ130" i="8" a="1"/>
  <c r="AQ169" i="8" a="1"/>
  <c r="AQ163" i="8" a="1"/>
  <c r="AQ116" i="8" a="1"/>
  <c r="AQ202" i="8" a="1"/>
  <c r="R109" i="8" a="1"/>
  <c r="R96" i="8" a="1"/>
  <c r="R222" i="8" a="1"/>
  <c r="R225" i="8" a="1"/>
  <c r="AQ91" i="8" a="1"/>
  <c r="AQ86" i="8" a="1"/>
  <c r="R161" i="8" a="1"/>
  <c r="R206" i="8" a="1"/>
  <c r="AQ114" i="8" a="1"/>
  <c r="R180" i="8" a="1"/>
  <c r="R223" i="8" a="1"/>
  <c r="R125" i="8" a="1"/>
  <c r="AQ174" i="8" a="1"/>
  <c r="AQ211" i="8" a="1"/>
  <c r="AQ191" i="8" a="1"/>
  <c r="R235" i="8" a="1"/>
  <c r="R136" i="8" a="1"/>
  <c r="AQ152" i="8" a="1"/>
  <c r="R189" i="8" a="1"/>
  <c r="R93" i="8" a="1"/>
  <c r="AQ155" i="8" a="1"/>
  <c r="R146" i="8" a="1"/>
  <c r="AQ132" i="8" a="1"/>
  <c r="R187" i="8" a="1"/>
  <c r="R91" i="8" a="1"/>
  <c r="AQ87" i="8" a="1"/>
  <c r="AQ135" i="8" a="1"/>
  <c r="R174" i="8" a="1"/>
  <c r="R78" i="8" a="1"/>
  <c r="AQ235" i="8" a="1"/>
  <c r="R83" i="8" a="1"/>
  <c r="AQ179" i="8" a="1"/>
  <c r="R118" i="8" a="1"/>
  <c r="R99" i="8" a="1"/>
  <c r="R104" i="8" a="1"/>
  <c r="R97" i="8" a="1"/>
  <c r="R231" i="8" a="1"/>
  <c r="AQ101" i="8" a="1"/>
  <c r="R167" i="8" a="1"/>
  <c r="AQ90" i="8" a="1"/>
  <c r="AQ115" i="8" a="1"/>
  <c r="AQ83" i="8" a="1"/>
  <c r="AQ81" i="8" a="1"/>
  <c r="R178" i="8" a="1"/>
  <c r="R82" i="8" a="1"/>
  <c r="R234" i="8" a="1"/>
  <c r="R135" i="8" a="1"/>
  <c r="AQ154" i="8" a="1"/>
  <c r="R188" i="8" a="1"/>
  <c r="R92" i="8" a="1"/>
  <c r="R232" i="8" a="1"/>
  <c r="R133" i="8" a="1"/>
  <c r="AQ158" i="8" a="1"/>
  <c r="AQ233" i="8" a="1"/>
  <c r="R216" i="8" a="1"/>
  <c r="R120" i="8" a="1"/>
  <c r="AQ184" i="8" a="1"/>
  <c r="R209" i="8" a="1"/>
  <c r="AQ102" i="8" a="1"/>
  <c r="AQ105" i="8" a="1"/>
  <c r="AQ133" i="8" a="1"/>
  <c r="AQ80" i="8" a="1"/>
  <c r="R153" i="8" a="1"/>
  <c r="R103" i="8" a="1"/>
  <c r="AQ209" i="8" a="1"/>
  <c r="AQ188" i="8" a="1"/>
  <c r="AQ161" i="8" a="1"/>
  <c r="R227" i="8" a="1"/>
  <c r="AQ220" i="8" a="1"/>
  <c r="R193" i="8" a="1"/>
  <c r="AQ109" i="8" a="1"/>
  <c r="R165" i="8" a="1"/>
  <c r="R163" i="8" a="1"/>
  <c r="AQ197" i="8" a="1"/>
  <c r="AQ210" i="8" a="1"/>
  <c r="AQ134" i="8" a="1"/>
  <c r="R143" i="8" a="1"/>
  <c r="AQ213" i="8" a="1"/>
  <c r="R207" i="8" a="1"/>
  <c r="AQ96" i="8" a="1"/>
  <c r="AQ206" i="8" a="1"/>
  <c r="AQ234" i="8" a="1"/>
  <c r="AQ95" i="8" a="1"/>
  <c r="R182" i="8" a="1"/>
  <c r="R203" i="8" a="1"/>
  <c r="R152" i="8" a="1"/>
  <c r="AQ189" i="8" a="1"/>
  <c r="AQ170" i="8" a="1"/>
  <c r="R226" i="8" a="1"/>
  <c r="R197" i="8" a="1"/>
  <c r="R101" i="8" a="1"/>
  <c r="R208" i="8" a="1"/>
  <c r="R112" i="8" a="1"/>
  <c r="R122" i="8" a="1"/>
  <c r="R150" i="8" a="1"/>
  <c r="AQ140" i="8" a="1"/>
  <c r="AQ131" i="8" a="1"/>
  <c r="R164" i="8" a="1"/>
  <c r="AQ173" i="8" a="1"/>
  <c r="AQ198" i="8" a="1"/>
  <c r="R105" i="8" a="1"/>
  <c r="AQ100" i="8" a="1"/>
  <c r="R195" i="8" a="1"/>
  <c r="R177" i="8" a="1"/>
  <c r="AQ92" i="8" a="1"/>
  <c r="AQ121" i="8" l="1"/>
  <c r="AQ235" i="8"/>
  <c r="AQ185" i="8"/>
  <c r="AQ125" i="8"/>
  <c r="AQ234" i="8"/>
  <c r="AQ222" i="8"/>
  <c r="AQ208" i="8"/>
  <c r="AQ196" i="8"/>
  <c r="AQ184" i="8"/>
  <c r="AQ172" i="8"/>
  <c r="AQ160" i="8"/>
  <c r="AQ148" i="8"/>
  <c r="AQ136" i="8"/>
  <c r="AQ124" i="8"/>
  <c r="AQ112" i="8"/>
  <c r="AQ100" i="8"/>
  <c r="AQ88" i="8"/>
  <c r="R78" i="8"/>
  <c r="R84" i="8"/>
  <c r="R90" i="8"/>
  <c r="R96" i="8"/>
  <c r="R102" i="8"/>
  <c r="R108" i="8"/>
  <c r="R114" i="8"/>
  <c r="R120" i="8"/>
  <c r="R126" i="8"/>
  <c r="R132" i="8"/>
  <c r="R138" i="8"/>
  <c r="R144" i="8"/>
  <c r="R150" i="8"/>
  <c r="R156" i="8"/>
  <c r="R162" i="8"/>
  <c r="R168" i="8"/>
  <c r="R174" i="8"/>
  <c r="R180" i="8"/>
  <c r="R186" i="8"/>
  <c r="R192" i="8"/>
  <c r="R198" i="8"/>
  <c r="R204" i="8"/>
  <c r="R210" i="8"/>
  <c r="R216" i="8"/>
  <c r="R224" i="8"/>
  <c r="R231" i="8"/>
  <c r="AQ193" i="8"/>
  <c r="AQ97" i="8"/>
  <c r="AQ197" i="8"/>
  <c r="AQ137" i="8"/>
  <c r="AQ220" i="8"/>
  <c r="AQ183" i="8"/>
  <c r="AQ135" i="8"/>
  <c r="AQ157" i="8"/>
  <c r="AQ223" i="8"/>
  <c r="AQ173" i="8"/>
  <c r="AQ149" i="8"/>
  <c r="AQ113" i="8"/>
  <c r="AQ89" i="8"/>
  <c r="AQ233" i="8"/>
  <c r="AQ207" i="8"/>
  <c r="AQ195" i="8"/>
  <c r="AQ171" i="8"/>
  <c r="AQ159" i="8"/>
  <c r="AQ147" i="8"/>
  <c r="AQ123" i="8"/>
  <c r="AQ111" i="8"/>
  <c r="AQ99" i="8"/>
  <c r="AQ87" i="8"/>
  <c r="AQ232" i="8"/>
  <c r="AQ219" i="8"/>
  <c r="AQ206" i="8"/>
  <c r="AQ194" i="8"/>
  <c r="AQ182" i="8"/>
  <c r="AQ170" i="8"/>
  <c r="AQ158" i="8"/>
  <c r="AQ146" i="8"/>
  <c r="AQ134" i="8"/>
  <c r="AQ122" i="8"/>
  <c r="AQ110" i="8"/>
  <c r="AQ98" i="8"/>
  <c r="AQ86" i="8"/>
  <c r="R79" i="8"/>
  <c r="R85" i="8"/>
  <c r="R91" i="8"/>
  <c r="R97" i="8"/>
  <c r="R103" i="8"/>
  <c r="R109" i="8"/>
  <c r="R115" i="8"/>
  <c r="R121" i="8"/>
  <c r="R127" i="8"/>
  <c r="R133" i="8"/>
  <c r="R139" i="8"/>
  <c r="R145" i="8"/>
  <c r="R151" i="8"/>
  <c r="R157" i="8"/>
  <c r="R163" i="8"/>
  <c r="R169" i="8"/>
  <c r="R175" i="8"/>
  <c r="R181" i="8"/>
  <c r="R187" i="8"/>
  <c r="R193" i="8"/>
  <c r="R199" i="8"/>
  <c r="R205" i="8"/>
  <c r="R211" i="8"/>
  <c r="R218" i="8"/>
  <c r="R225" i="8"/>
  <c r="R232" i="8"/>
  <c r="AQ230" i="8"/>
  <c r="AQ216" i="8"/>
  <c r="AQ204" i="8"/>
  <c r="AQ192" i="8"/>
  <c r="AQ180" i="8"/>
  <c r="AQ168" i="8"/>
  <c r="AQ156" i="8"/>
  <c r="AQ144" i="8"/>
  <c r="AQ132" i="8"/>
  <c r="AQ120" i="8"/>
  <c r="AQ108" i="8"/>
  <c r="AQ96" i="8"/>
  <c r="AQ84" i="8"/>
  <c r="R80" i="8"/>
  <c r="R86" i="8"/>
  <c r="R92" i="8"/>
  <c r="R98" i="8"/>
  <c r="R104" i="8"/>
  <c r="R110" i="8"/>
  <c r="R116" i="8"/>
  <c r="R122" i="8"/>
  <c r="R128" i="8"/>
  <c r="R134" i="8"/>
  <c r="R140" i="8"/>
  <c r="R146" i="8"/>
  <c r="R152" i="8"/>
  <c r="R158" i="8"/>
  <c r="R164" i="8"/>
  <c r="R170" i="8"/>
  <c r="R176" i="8"/>
  <c r="R182" i="8"/>
  <c r="R188" i="8"/>
  <c r="R194" i="8"/>
  <c r="R200" i="8"/>
  <c r="R206" i="8"/>
  <c r="R212" i="8"/>
  <c r="R219" i="8"/>
  <c r="R226" i="8"/>
  <c r="R233" i="8"/>
  <c r="AQ231" i="8"/>
  <c r="AQ155" i="8"/>
  <c r="AQ228" i="8"/>
  <c r="AQ214" i="8"/>
  <c r="AQ202" i="8"/>
  <c r="AQ190" i="8"/>
  <c r="AQ178" i="8"/>
  <c r="AQ166" i="8"/>
  <c r="AQ154" i="8"/>
  <c r="AQ142" i="8"/>
  <c r="AQ130" i="8"/>
  <c r="AQ118" i="8"/>
  <c r="AQ106" i="8"/>
  <c r="AQ94" i="8"/>
  <c r="AQ82" i="8"/>
  <c r="R81" i="8"/>
  <c r="R87" i="8"/>
  <c r="R93" i="8"/>
  <c r="R99" i="8"/>
  <c r="R105" i="8"/>
  <c r="R111" i="8"/>
  <c r="R117" i="8"/>
  <c r="R123" i="8"/>
  <c r="R129" i="8"/>
  <c r="R135" i="8"/>
  <c r="R141" i="8"/>
  <c r="R147" i="8"/>
  <c r="R153" i="8"/>
  <c r="R159" i="8"/>
  <c r="R165" i="8"/>
  <c r="R171" i="8"/>
  <c r="R177" i="8"/>
  <c r="R183" i="8"/>
  <c r="R189" i="8"/>
  <c r="R195" i="8"/>
  <c r="R201" i="8"/>
  <c r="R207" i="8"/>
  <c r="R213" i="8"/>
  <c r="R220" i="8"/>
  <c r="R227" i="8"/>
  <c r="R234" i="8"/>
  <c r="AQ141" i="8"/>
  <c r="AQ167" i="8"/>
  <c r="AQ226" i="8"/>
  <c r="AQ212" i="8"/>
  <c r="AQ200" i="8"/>
  <c r="AQ188" i="8"/>
  <c r="AQ176" i="8"/>
  <c r="AQ164" i="8"/>
  <c r="AQ152" i="8"/>
  <c r="AQ140" i="8"/>
  <c r="AQ128" i="8"/>
  <c r="AQ116" i="8"/>
  <c r="AQ104" i="8"/>
  <c r="AQ92" i="8"/>
  <c r="AQ80" i="8"/>
  <c r="R82" i="8"/>
  <c r="R88" i="8"/>
  <c r="R94" i="8"/>
  <c r="R100" i="8"/>
  <c r="R106" i="8"/>
  <c r="R112" i="8"/>
  <c r="R118" i="8"/>
  <c r="R124" i="8"/>
  <c r="R130" i="8"/>
  <c r="R136" i="8"/>
  <c r="R142" i="8"/>
  <c r="R148" i="8"/>
  <c r="R154" i="8"/>
  <c r="R160" i="8"/>
  <c r="R166" i="8"/>
  <c r="R172" i="8"/>
  <c r="R178" i="8"/>
  <c r="R184" i="8"/>
  <c r="R190" i="8"/>
  <c r="R196" i="8"/>
  <c r="R202" i="8"/>
  <c r="R208" i="8"/>
  <c r="R214" i="8"/>
  <c r="R222" i="8"/>
  <c r="R228" i="8"/>
  <c r="R235" i="8"/>
  <c r="AQ205" i="8"/>
  <c r="AQ133" i="8"/>
  <c r="AQ213" i="8"/>
  <c r="AQ165" i="8"/>
  <c r="AQ117" i="8"/>
  <c r="AQ93" i="8"/>
  <c r="AQ81" i="8"/>
  <c r="AQ187" i="8"/>
  <c r="AQ218" i="8"/>
  <c r="AQ181" i="8"/>
  <c r="AQ145" i="8"/>
  <c r="AQ109" i="8"/>
  <c r="AQ229" i="8"/>
  <c r="AQ215" i="8"/>
  <c r="AQ203" i="8"/>
  <c r="AQ191" i="8"/>
  <c r="AQ179" i="8"/>
  <c r="AQ143" i="8"/>
  <c r="AQ131" i="8"/>
  <c r="AQ119" i="8"/>
  <c r="AQ107" i="8"/>
  <c r="AQ95" i="8"/>
  <c r="AQ83" i="8"/>
  <c r="AQ227" i="8"/>
  <c r="AQ201" i="8"/>
  <c r="AQ189" i="8"/>
  <c r="AQ177" i="8"/>
  <c r="AQ153" i="8"/>
  <c r="AQ129" i="8"/>
  <c r="AQ105" i="8"/>
  <c r="AQ225" i="8"/>
  <c r="AQ211" i="8"/>
  <c r="AQ199" i="8"/>
  <c r="AQ175" i="8"/>
  <c r="AQ163" i="8"/>
  <c r="AQ151" i="8"/>
  <c r="AQ139" i="8"/>
  <c r="AQ127" i="8"/>
  <c r="AQ115" i="8"/>
  <c r="AQ103" i="8"/>
  <c r="AQ91" i="8"/>
  <c r="AQ79" i="8"/>
  <c r="AQ236" i="8"/>
  <c r="AQ224" i="8"/>
  <c r="AQ210" i="8"/>
  <c r="AQ198" i="8"/>
  <c r="AQ186" i="8"/>
  <c r="AQ174" i="8"/>
  <c r="AQ162" i="8"/>
  <c r="AQ150" i="8"/>
  <c r="AQ138" i="8"/>
  <c r="AQ126" i="8"/>
  <c r="AQ114" i="8"/>
  <c r="AQ102" i="8"/>
  <c r="AQ90" i="8"/>
  <c r="AQ78" i="8"/>
  <c r="R83" i="8"/>
  <c r="R89" i="8"/>
  <c r="R95" i="8"/>
  <c r="R101" i="8"/>
  <c r="R107" i="8"/>
  <c r="R113" i="8"/>
  <c r="R119" i="8"/>
  <c r="R125" i="8"/>
  <c r="R131" i="8"/>
  <c r="R137" i="8"/>
  <c r="R143" i="8"/>
  <c r="R149" i="8"/>
  <c r="R155" i="8"/>
  <c r="R161" i="8"/>
  <c r="R167" i="8"/>
  <c r="R173" i="8"/>
  <c r="R179" i="8"/>
  <c r="R185" i="8"/>
  <c r="R191" i="8"/>
  <c r="R197" i="8"/>
  <c r="R203" i="8"/>
  <c r="R209" i="8"/>
  <c r="R215" i="8"/>
  <c r="R223" i="8"/>
  <c r="R229" i="8"/>
  <c r="R236" i="8"/>
  <c r="AQ169" i="8"/>
  <c r="AQ85" i="8"/>
  <c r="AQ209" i="8"/>
  <c r="AQ161" i="8"/>
  <c r="AQ101" i="8"/>
  <c r="AK80" i="8"/>
  <c r="AI114" i="8"/>
  <c r="AH114" i="8" s="1"/>
  <c r="AK134" i="8"/>
  <c r="AK146" i="8"/>
  <c r="AK145" i="8"/>
  <c r="AI78" i="8"/>
  <c r="AH78" i="8" s="1"/>
  <c r="AI174" i="8"/>
  <c r="AH174" i="8" s="1"/>
  <c r="AK186" i="8"/>
  <c r="AK95" i="8"/>
  <c r="AI95" i="8"/>
  <c r="AH95" i="8" s="1"/>
  <c r="AK93" i="8"/>
  <c r="AI93" i="8"/>
  <c r="AH93" i="8" s="1"/>
  <c r="AI117" i="8"/>
  <c r="AH117" i="8" s="1"/>
  <c r="AK117" i="8"/>
  <c r="AI200" i="8"/>
  <c r="AH200" i="8" s="1"/>
  <c r="AI142" i="8"/>
  <c r="AH142" i="8" s="1"/>
  <c r="AK212" i="8"/>
  <c r="Y230" i="8"/>
  <c r="Z230" i="8"/>
  <c r="AR230" i="8" l="1"/>
  <c r="AI186" i="8"/>
  <c r="AH186" i="8" s="1"/>
  <c r="AI146" i="8"/>
  <c r="AH146" i="8" s="1"/>
  <c r="AI145" i="8"/>
  <c r="AH145" i="8" s="1"/>
  <c r="AK174" i="8"/>
  <c r="AK142" i="8"/>
  <c r="AK133" i="8"/>
  <c r="AI133" i="8"/>
  <c r="AH133" i="8" s="1"/>
  <c r="AK78" i="8"/>
  <c r="AI120" i="8"/>
  <c r="AH120" i="8" s="1"/>
  <c r="AK120" i="8"/>
  <c r="AK106" i="8"/>
  <c r="AI106" i="8"/>
  <c r="AH106" i="8" s="1"/>
  <c r="AK104" i="8"/>
  <c r="AI104" i="8"/>
  <c r="AH104" i="8" s="1"/>
  <c r="AI198" i="8"/>
  <c r="AH198" i="8" s="1"/>
  <c r="AK198" i="8"/>
  <c r="AK158" i="8"/>
  <c r="AI158" i="8"/>
  <c r="AH158" i="8" s="1"/>
  <c r="AI172" i="8"/>
  <c r="AH172" i="8" s="1"/>
  <c r="AK172" i="8"/>
  <c r="AI130" i="8"/>
  <c r="AH130" i="8" s="1"/>
  <c r="AK130" i="8"/>
  <c r="AI225" i="8"/>
  <c r="AH225" i="8" s="1"/>
  <c r="AK225" i="8"/>
  <c r="AK94" i="8"/>
  <c r="AI94" i="8"/>
  <c r="AH94" i="8" s="1"/>
  <c r="AI96" i="8"/>
  <c r="AH96" i="8" s="1"/>
  <c r="AK96" i="8"/>
  <c r="AK131" i="8"/>
  <c r="AI131" i="8"/>
  <c r="AH131" i="8" s="1"/>
  <c r="AI108" i="8"/>
  <c r="AH108" i="8" s="1"/>
  <c r="AK108" i="8"/>
  <c r="AI181" i="8"/>
  <c r="AH181" i="8" s="1"/>
  <c r="AK181" i="8"/>
  <c r="AK226" i="8"/>
  <c r="AI226" i="8"/>
  <c r="AH226" i="8" s="1"/>
  <c r="AK107" i="8"/>
  <c r="AI107" i="8"/>
  <c r="AH107" i="8" s="1"/>
  <c r="AI123" i="8"/>
  <c r="AH123" i="8" s="1"/>
  <c r="AK123" i="8"/>
  <c r="AK197" i="8"/>
  <c r="AI197" i="8"/>
  <c r="AH197" i="8" s="1"/>
  <c r="AK229" i="8"/>
  <c r="AI229" i="8"/>
  <c r="AH229" i="8" s="1"/>
  <c r="AK187" i="8"/>
  <c r="AI187" i="8"/>
  <c r="AH187" i="8" s="1"/>
  <c r="AK141" i="8"/>
  <c r="AI141" i="8"/>
  <c r="AH141" i="8" s="1"/>
  <c r="AK111" i="8"/>
  <c r="AI111" i="8"/>
  <c r="AH111" i="8" s="1"/>
  <c r="AI160" i="8"/>
  <c r="AH160" i="8" s="1"/>
  <c r="AK160" i="8"/>
  <c r="AI151" i="8"/>
  <c r="AH151" i="8" s="1"/>
  <c r="AK151" i="8"/>
  <c r="AI169" i="8"/>
  <c r="AH169" i="8" s="1"/>
  <c r="AK169" i="8"/>
  <c r="AI175" i="8"/>
  <c r="AH175" i="8" s="1"/>
  <c r="AK175" i="8"/>
  <c r="AK208" i="8"/>
  <c r="AI208" i="8"/>
  <c r="AH208" i="8" s="1"/>
  <c r="AI224" i="8"/>
  <c r="AH224" i="8" s="1"/>
  <c r="AK224" i="8"/>
  <c r="AK87" i="8"/>
  <c r="AI87" i="8"/>
  <c r="AH87" i="8" s="1"/>
  <c r="AI157" i="8"/>
  <c r="AH157" i="8" s="1"/>
  <c r="AK157" i="8"/>
  <c r="AI135" i="8"/>
  <c r="AH135" i="8" s="1"/>
  <c r="AK135" i="8"/>
  <c r="AI92" i="8"/>
  <c r="AH92" i="8" s="1"/>
  <c r="AK92" i="8"/>
  <c r="AK167" i="8"/>
  <c r="AI167" i="8"/>
  <c r="AH167" i="8" s="1"/>
  <c r="AI110" i="8"/>
  <c r="AH110" i="8" s="1"/>
  <c r="AK110" i="8"/>
  <c r="AI199" i="8"/>
  <c r="AH199" i="8" s="1"/>
  <c r="AK199" i="8"/>
  <c r="AI195" i="8"/>
  <c r="AH195" i="8" s="1"/>
  <c r="AK195" i="8"/>
  <c r="AI129" i="8"/>
  <c r="AH129" i="8" s="1"/>
  <c r="AK129" i="8"/>
  <c r="AK103" i="8"/>
  <c r="AI103" i="8"/>
  <c r="AH103" i="8" s="1"/>
  <c r="AK171" i="8"/>
  <c r="AI171" i="8"/>
  <c r="AH171" i="8" s="1"/>
  <c r="AI196" i="8"/>
  <c r="AH196" i="8" s="1"/>
  <c r="AK196" i="8"/>
  <c r="AK235" i="8"/>
  <c r="AI235" i="8"/>
  <c r="AH235" i="8" s="1"/>
  <c r="AK149" i="8"/>
  <c r="AI149" i="8"/>
  <c r="AH149" i="8" s="1"/>
  <c r="AI182" i="8"/>
  <c r="AH182" i="8" s="1"/>
  <c r="AK182" i="8"/>
  <c r="AK236" i="8"/>
  <c r="AI236" i="8"/>
  <c r="AH236" i="8" s="1"/>
  <c r="AK176" i="8"/>
  <c r="AI176" i="8"/>
  <c r="AH176" i="8" s="1"/>
  <c r="AI101" i="8"/>
  <c r="AH101" i="8" s="1"/>
  <c r="AK101" i="8"/>
  <c r="AK165" i="8"/>
  <c r="AI165" i="8"/>
  <c r="AH165" i="8" s="1"/>
  <c r="AK79" i="8"/>
  <c r="AI79" i="8"/>
  <c r="AH79" i="8" s="1"/>
  <c r="AI127" i="8"/>
  <c r="AH127" i="8" s="1"/>
  <c r="AK127" i="8"/>
  <c r="AI170" i="8"/>
  <c r="AH170" i="8" s="1"/>
  <c r="AK170" i="8"/>
  <c r="AI143" i="8"/>
  <c r="AH143" i="8" s="1"/>
  <c r="AK143" i="8"/>
  <c r="AK228" i="8"/>
  <c r="AI228" i="8"/>
  <c r="AH228" i="8" s="1"/>
  <c r="AI81" i="8"/>
  <c r="AH81" i="8" s="1"/>
  <c r="AK81" i="8"/>
  <c r="AK179" i="8"/>
  <c r="AI179" i="8"/>
  <c r="AH179" i="8" s="1"/>
  <c r="AK124" i="8"/>
  <c r="AI124" i="8"/>
  <c r="AH124" i="8" s="1"/>
  <c r="AI97" i="8"/>
  <c r="AH97" i="8" s="1"/>
  <c r="AK97" i="8"/>
  <c r="AI156" i="8"/>
  <c r="AH156" i="8" s="1"/>
  <c r="AK156" i="8"/>
  <c r="AK90" i="8"/>
  <c r="AI90" i="8"/>
  <c r="AH90" i="8" s="1"/>
  <c r="AI214" i="8"/>
  <c r="AH214" i="8" s="1"/>
  <c r="AK214" i="8"/>
  <c r="AK98" i="8"/>
  <c r="AI98" i="8"/>
  <c r="AH98" i="8" s="1"/>
  <c r="AI102" i="8"/>
  <c r="AH102" i="8" s="1"/>
  <c r="AK102" i="8"/>
  <c r="AK202" i="8"/>
  <c r="AI202" i="8"/>
  <c r="AH202" i="8" s="1"/>
  <c r="AI190" i="8"/>
  <c r="AH190" i="8" s="1"/>
  <c r="AK190" i="8"/>
  <c r="AI210" i="8"/>
  <c r="AH210" i="8" s="1"/>
  <c r="AK210" i="8"/>
  <c r="AI153" i="8"/>
  <c r="AH153" i="8" s="1"/>
  <c r="AK153" i="8"/>
  <c r="AK118" i="8"/>
  <c r="AI118" i="8"/>
  <c r="AH118" i="8" s="1"/>
  <c r="AK194" i="8"/>
  <c r="AI194" i="8"/>
  <c r="AH194" i="8" s="1"/>
  <c r="AK85" i="8"/>
  <c r="AI85" i="8"/>
  <c r="AH85" i="8" s="1"/>
  <c r="AI116" i="8"/>
  <c r="AH116" i="8" s="1"/>
  <c r="AK116" i="8"/>
  <c r="AI216" i="8"/>
  <c r="AH216" i="8" s="1"/>
  <c r="AK216" i="8"/>
  <c r="AK222" i="8"/>
  <c r="AI222" i="8"/>
  <c r="AH222" i="8" s="1"/>
  <c r="AK109" i="8"/>
  <c r="AI109" i="8"/>
  <c r="AH109" i="8" s="1"/>
  <c r="AI138" i="8"/>
  <c r="AH138" i="8" s="1"/>
  <c r="AK138" i="8"/>
  <c r="AI152" i="8"/>
  <c r="AH152" i="8" s="1"/>
  <c r="AK152" i="8"/>
  <c r="AI230" i="8"/>
  <c r="AH230" i="8" s="1"/>
  <c r="AK230" i="8"/>
  <c r="AK155" i="8"/>
  <c r="AI155" i="8"/>
  <c r="AH155" i="8" s="1"/>
  <c r="AI128" i="8"/>
  <c r="AH128" i="8" s="1"/>
  <c r="AK128" i="8"/>
  <c r="AK88" i="8"/>
  <c r="AI88" i="8"/>
  <c r="AH88" i="8" s="1"/>
  <c r="AI154" i="8"/>
  <c r="AH154" i="8" s="1"/>
  <c r="AK154" i="8"/>
  <c r="AI144" i="8"/>
  <c r="AH144" i="8" s="1"/>
  <c r="AK144" i="8"/>
  <c r="AK220" i="8"/>
  <c r="AI220" i="8"/>
  <c r="AH220" i="8" s="1"/>
  <c r="AI148" i="8"/>
  <c r="AH148" i="8" s="1"/>
  <c r="AK148" i="8"/>
  <c r="AI112" i="8"/>
  <c r="AH112" i="8" s="1"/>
  <c r="AK112" i="8"/>
  <c r="AI168" i="8"/>
  <c r="AH168" i="8" s="1"/>
  <c r="AK168" i="8"/>
  <c r="AI180" i="8"/>
  <c r="AH180" i="8" s="1"/>
  <c r="AK180" i="8"/>
  <c r="AK188" i="8"/>
  <c r="AI188" i="8"/>
  <c r="AH188" i="8" s="1"/>
  <c r="AI162" i="8"/>
  <c r="AH162" i="8" s="1"/>
  <c r="AK162" i="8"/>
  <c r="AI207" i="8"/>
  <c r="AH207" i="8" s="1"/>
  <c r="AK207" i="8"/>
  <c r="AI213" i="8"/>
  <c r="AH213" i="8" s="1"/>
  <c r="AK213" i="8"/>
  <c r="AK201" i="8"/>
  <c r="AI201" i="8"/>
  <c r="AH201" i="8" s="1"/>
  <c r="AI139" i="8"/>
  <c r="AH139" i="8" s="1"/>
  <c r="AK139" i="8"/>
  <c r="AK206" i="8"/>
  <c r="AI206" i="8"/>
  <c r="AH206" i="8" s="1"/>
  <c r="AI209" i="8"/>
  <c r="AH209" i="8" s="1"/>
  <c r="AK209" i="8"/>
  <c r="AI183" i="8"/>
  <c r="AH183" i="8" s="1"/>
  <c r="AK183" i="8"/>
  <c r="AK137" i="8"/>
  <c r="AI137" i="8"/>
  <c r="AH137" i="8" s="1"/>
  <c r="AI232" i="8"/>
  <c r="AH232" i="8" s="1"/>
  <c r="AK232" i="8"/>
  <c r="AI121" i="8"/>
  <c r="AH121" i="8" s="1"/>
  <c r="AK121" i="8"/>
  <c r="AI136" i="8"/>
  <c r="AH136" i="8" s="1"/>
  <c r="AK136" i="8"/>
  <c r="AK203" i="8"/>
  <c r="AI203" i="8"/>
  <c r="AH203" i="8" s="1"/>
  <c r="AK189" i="8"/>
  <c r="AI189" i="8"/>
  <c r="AH189" i="8" s="1"/>
  <c r="AI150" i="8"/>
  <c r="AH150" i="8" s="1"/>
  <c r="AK150" i="8"/>
  <c r="AK119" i="8"/>
  <c r="AI119" i="8"/>
  <c r="AH119" i="8" s="1"/>
  <c r="AI161" i="8"/>
  <c r="AH161" i="8" s="1"/>
  <c r="AK161" i="8"/>
  <c r="AK159" i="8"/>
  <c r="AI159" i="8"/>
  <c r="AH159" i="8" s="1"/>
  <c r="AI218" i="8"/>
  <c r="AH218" i="8" s="1"/>
  <c r="AK218" i="8"/>
  <c r="AI205" i="8"/>
  <c r="AH205" i="8" s="1"/>
  <c r="AK205" i="8"/>
  <c r="AK125" i="8"/>
  <c r="AI125" i="8"/>
  <c r="AH125" i="8" s="1"/>
  <c r="AI100" i="8"/>
  <c r="AH100" i="8" s="1"/>
  <c r="AK100" i="8"/>
  <c r="AI122" i="8"/>
  <c r="AH122" i="8" s="1"/>
  <c r="AK122" i="8"/>
  <c r="AI193" i="8"/>
  <c r="AH193" i="8" s="1"/>
  <c r="AK193" i="8"/>
  <c r="AI105" i="8"/>
  <c r="AH105" i="8" s="1"/>
  <c r="AK105" i="8"/>
  <c r="AI82" i="8"/>
  <c r="AH82" i="8" s="1"/>
  <c r="AK82" i="8"/>
  <c r="AI84" i="8"/>
  <c r="AH84" i="8" s="1"/>
  <c r="AK84" i="8"/>
  <c r="AI147" i="8"/>
  <c r="AH147" i="8" s="1"/>
  <c r="AK147" i="8"/>
  <c r="AI231" i="8"/>
  <c r="AH231" i="8" s="1"/>
  <c r="AK231" i="8"/>
  <c r="AI177" i="8"/>
  <c r="AH177" i="8" s="1"/>
  <c r="AK177" i="8"/>
  <c r="AI184" i="8"/>
  <c r="AH184" i="8" s="1"/>
  <c r="AK184" i="8"/>
  <c r="AK191" i="8"/>
  <c r="AI191" i="8"/>
  <c r="AH191" i="8" s="1"/>
  <c r="AI126" i="8"/>
  <c r="AH126" i="8" s="1"/>
  <c r="AK126" i="8"/>
  <c r="AI166" i="8"/>
  <c r="AH166" i="8" s="1"/>
  <c r="AK166" i="8"/>
  <c r="AI164" i="8"/>
  <c r="AH164" i="8" s="1"/>
  <c r="AK164" i="8"/>
  <c r="AI132" i="8"/>
  <c r="AH132" i="8" s="1"/>
  <c r="AK132" i="8"/>
  <c r="AK83" i="8"/>
  <c r="AI83" i="8"/>
  <c r="AH83" i="8" s="1"/>
  <c r="AK204" i="8"/>
  <c r="AI204" i="8"/>
  <c r="AH204" i="8" s="1"/>
  <c r="AK234" i="8"/>
  <c r="AI234" i="8"/>
  <c r="AH234" i="8" s="1"/>
  <c r="AK140" i="8"/>
  <c r="AI140" i="8"/>
  <c r="AH140" i="8" s="1"/>
  <c r="AK223" i="8"/>
  <c r="AI223" i="8"/>
  <c r="AH223" i="8" s="1"/>
  <c r="AI192" i="8"/>
  <c r="AH192" i="8" s="1"/>
  <c r="AK192" i="8"/>
  <c r="AI86" i="8"/>
  <c r="AH86" i="8" s="1"/>
  <c r="AK86" i="8"/>
  <c r="AI211" i="8"/>
  <c r="AH211" i="8" s="1"/>
  <c r="AK211" i="8"/>
  <c r="AI178" i="8"/>
  <c r="AH178" i="8" s="1"/>
  <c r="AK178" i="8"/>
  <c r="AK173" i="8"/>
  <c r="AI173" i="8"/>
  <c r="AH173" i="8" s="1"/>
  <c r="AI91" i="8"/>
  <c r="AH91" i="8" s="1"/>
  <c r="AK91" i="8"/>
  <c r="AI233" i="8"/>
  <c r="AH233" i="8" s="1"/>
  <c r="AK233" i="8"/>
  <c r="AI185" i="8"/>
  <c r="AH185" i="8" s="1"/>
  <c r="AK185" i="8"/>
  <c r="AI227" i="8"/>
  <c r="AH227" i="8" s="1"/>
  <c r="AK227" i="8"/>
  <c r="AK215" i="8"/>
  <c r="AI215" i="8"/>
  <c r="AH215" i="8" s="1"/>
  <c r="AK163" i="8"/>
  <c r="AI163" i="8"/>
  <c r="AH163" i="8" s="1"/>
  <c r="AK219" i="8"/>
  <c r="AI219" i="8"/>
  <c r="AH219" i="8" s="1"/>
  <c r="AI99" i="8"/>
  <c r="AH99" i="8" s="1"/>
  <c r="AK99" i="8"/>
  <c r="AI89" i="8"/>
  <c r="AH89" i="8" s="1"/>
  <c r="AK89" i="8"/>
  <c r="AI113" i="8"/>
  <c r="AH113" i="8" s="1"/>
  <c r="AK113" i="8"/>
  <c r="AK115" i="8"/>
  <c r="AI115" i="8"/>
  <c r="AH115" i="8" s="1"/>
  <c r="O670" i="1"/>
  <c r="P670" i="1"/>
  <c r="Q670" i="1"/>
  <c r="C670" i="1" s="1"/>
  <c r="D670" i="1" s="1"/>
  <c r="AG670" i="1"/>
  <c r="Y670" i="1"/>
  <c r="U670" i="1"/>
  <c r="Z670" i="1"/>
  <c r="K670" i="1" l="1"/>
  <c r="H670" i="1"/>
  <c r="E670" i="1"/>
  <c r="F670" i="1" s="1"/>
  <c r="O669" i="1" l="1"/>
  <c r="P669" i="1"/>
  <c r="Q669" i="1"/>
  <c r="C669" i="1" s="1"/>
  <c r="D669" i="1" s="1"/>
  <c r="AG669" i="1"/>
  <c r="AA669" i="1"/>
  <c r="Z669" i="1"/>
  <c r="U669" i="1"/>
  <c r="Y669" i="1"/>
  <c r="AF669" i="1" l="1"/>
  <c r="K669" i="1"/>
  <c r="H669" i="1"/>
  <c r="E669" i="1"/>
  <c r="F669" i="1" s="1"/>
  <c r="S77" i="8" l="1"/>
  <c r="AF77" i="8"/>
  <c r="AG77" i="8" s="1"/>
  <c r="S76" i="8"/>
  <c r="S75" i="8"/>
  <c r="AF76" i="8"/>
  <c r="AG76" i="8" s="1"/>
  <c r="AF75" i="8"/>
  <c r="AG75" i="8" s="1"/>
  <c r="AK70" i="8"/>
  <c r="AI70" i="8"/>
  <c r="AH70" i="8" s="1"/>
  <c r="AF70" i="8"/>
  <c r="AG70" i="8" s="1"/>
  <c r="S70" i="8"/>
  <c r="O666" i="1"/>
  <c r="P666" i="1"/>
  <c r="Q666" i="1"/>
  <c r="C666" i="1" s="1"/>
  <c r="D666" i="1" s="1"/>
  <c r="AG666" i="1"/>
  <c r="O667" i="1"/>
  <c r="P667" i="1"/>
  <c r="Q667" i="1"/>
  <c r="H667" i="1" s="1"/>
  <c r="AG667" i="1"/>
  <c r="O668" i="1"/>
  <c r="P668" i="1"/>
  <c r="Q668" i="1"/>
  <c r="C668" i="1" s="1"/>
  <c r="D668" i="1" s="1"/>
  <c r="AG668" i="1"/>
  <c r="R76" i="8" a="1"/>
  <c r="Y667" i="1"/>
  <c r="Y666" i="1"/>
  <c r="AQ76" i="8" a="1"/>
  <c r="Z666" i="1"/>
  <c r="U666" i="1"/>
  <c r="U667" i="1"/>
  <c r="AQ75" i="8" a="1"/>
  <c r="Y86" i="1"/>
  <c r="AQ70" i="8" a="1"/>
  <c r="Y668" i="1"/>
  <c r="AQ77" i="8" a="1"/>
  <c r="R77" i="8" a="1"/>
  <c r="Z668" i="1"/>
  <c r="Z667" i="1"/>
  <c r="R75" i="8" a="1"/>
  <c r="R70" i="8" a="1"/>
  <c r="U668" i="1"/>
  <c r="K666" i="1" l="1"/>
  <c r="AQ76" i="8"/>
  <c r="R75" i="8"/>
  <c r="K667" i="1"/>
  <c r="R70" i="8"/>
  <c r="R76" i="8"/>
  <c r="AQ75" i="8"/>
  <c r="AQ77" i="8"/>
  <c r="R77" i="8"/>
  <c r="K668" i="1"/>
  <c r="AQ70" i="8"/>
  <c r="AI76" i="8"/>
  <c r="AH76" i="8" s="1"/>
  <c r="AK76" i="8"/>
  <c r="AI75" i="8"/>
  <c r="AH75" i="8" s="1"/>
  <c r="E667" i="1"/>
  <c r="F667" i="1" s="1"/>
  <c r="H666" i="1"/>
  <c r="C667" i="1"/>
  <c r="D667" i="1" s="1"/>
  <c r="E666" i="1"/>
  <c r="F666" i="1" s="1"/>
  <c r="H668" i="1"/>
  <c r="E668" i="1"/>
  <c r="F668" i="1" s="1"/>
  <c r="AI77" i="8" l="1"/>
  <c r="AH77" i="8" s="1"/>
  <c r="AK77" i="8"/>
  <c r="AK75" i="8"/>
  <c r="O665" i="1"/>
  <c r="P665" i="1"/>
  <c r="Q665" i="1"/>
  <c r="C665" i="1" s="1"/>
  <c r="D665" i="1" s="1"/>
  <c r="AG665" i="1"/>
  <c r="U567" i="1"/>
  <c r="U665" i="1"/>
  <c r="Z665" i="1"/>
  <c r="Y665" i="1"/>
  <c r="K665" i="1" l="1"/>
  <c r="H665" i="1"/>
  <c r="E665" i="1"/>
  <c r="F665" i="1" s="1"/>
  <c r="O704" i="1" l="1"/>
  <c r="P704" i="1"/>
  <c r="Q704" i="1"/>
  <c r="C704" i="1" s="1"/>
  <c r="D704" i="1" s="1"/>
  <c r="AG704" i="1"/>
  <c r="O705" i="1"/>
  <c r="P705" i="1"/>
  <c r="Q705" i="1"/>
  <c r="C705" i="1" s="1"/>
  <c r="D705" i="1" s="1"/>
  <c r="AG705" i="1"/>
  <c r="O211" i="1"/>
  <c r="P211" i="1"/>
  <c r="Q211" i="1"/>
  <c r="E211" i="1" s="1"/>
  <c r="F211" i="1" s="1"/>
  <c r="AG211" i="1"/>
  <c r="Z705" i="1"/>
  <c r="U705" i="1"/>
  <c r="Y211" i="1"/>
  <c r="Z211" i="1"/>
  <c r="U704" i="1"/>
  <c r="Y704" i="1"/>
  <c r="AA705" i="1"/>
  <c r="AA704" i="1"/>
  <c r="Y705" i="1"/>
  <c r="U211" i="1"/>
  <c r="Z704" i="1"/>
  <c r="K704" i="1" l="1"/>
  <c r="AF704" i="1"/>
  <c r="K211" i="1"/>
  <c r="AF705" i="1"/>
  <c r="K705" i="1"/>
  <c r="H704" i="1"/>
  <c r="E704" i="1"/>
  <c r="F704" i="1" s="1"/>
  <c r="E705" i="1"/>
  <c r="F705" i="1" s="1"/>
  <c r="C211" i="1"/>
  <c r="D211" i="1" s="1"/>
  <c r="H705" i="1"/>
  <c r="H211" i="1"/>
  <c r="O751" i="1"/>
  <c r="P751" i="1"/>
  <c r="Q751" i="1"/>
  <c r="C751" i="1" s="1"/>
  <c r="D751" i="1" s="1"/>
  <c r="AG751" i="1"/>
  <c r="AA751" i="1"/>
  <c r="Z751" i="1"/>
  <c r="Y751" i="1"/>
  <c r="U751" i="1"/>
  <c r="AF751" i="1" l="1"/>
  <c r="K751" i="1"/>
  <c r="E751" i="1"/>
  <c r="F751" i="1" s="1"/>
  <c r="H751" i="1"/>
  <c r="O660" i="1" l="1"/>
  <c r="P660" i="1"/>
  <c r="Q660" i="1"/>
  <c r="C660" i="1" s="1"/>
  <c r="D660" i="1" s="1"/>
  <c r="AG660" i="1"/>
  <c r="O661" i="1"/>
  <c r="O662" i="1"/>
  <c r="P661" i="1"/>
  <c r="P662" i="1"/>
  <c r="Q661" i="1"/>
  <c r="C661" i="1" s="1"/>
  <c r="D661" i="1" s="1"/>
  <c r="Q662" i="1"/>
  <c r="C662" i="1" s="1"/>
  <c r="D662" i="1" s="1"/>
  <c r="AG661" i="1"/>
  <c r="AG662" i="1"/>
  <c r="O663" i="1"/>
  <c r="P663" i="1"/>
  <c r="Q663" i="1"/>
  <c r="C663" i="1" s="1"/>
  <c r="D663" i="1" s="1"/>
  <c r="AG663" i="1"/>
  <c r="O664" i="1"/>
  <c r="P664" i="1"/>
  <c r="Q664" i="1"/>
  <c r="C664" i="1" s="1"/>
  <c r="D664" i="1" s="1"/>
  <c r="AG664" i="1"/>
  <c r="Z661" i="1"/>
  <c r="Y660" i="1"/>
  <c r="U663" i="1"/>
  <c r="U661" i="1"/>
  <c r="Y663" i="1"/>
  <c r="Z663" i="1"/>
  <c r="U664" i="1"/>
  <c r="Y664" i="1"/>
  <c r="U662" i="1"/>
  <c r="Z664" i="1"/>
  <c r="U660" i="1"/>
  <c r="Y661" i="1"/>
  <c r="Z662" i="1"/>
  <c r="Y662" i="1"/>
  <c r="Z660" i="1"/>
  <c r="K662" i="1" l="1"/>
  <c r="K660" i="1"/>
  <c r="K661" i="1"/>
  <c r="K664" i="1"/>
  <c r="K663" i="1"/>
  <c r="H661" i="1"/>
  <c r="E660" i="1"/>
  <c r="F660" i="1" s="1"/>
  <c r="H662" i="1"/>
  <c r="H660" i="1"/>
  <c r="E662" i="1"/>
  <c r="F662" i="1" s="1"/>
  <c r="E661" i="1"/>
  <c r="F661" i="1" s="1"/>
  <c r="H663" i="1"/>
  <c r="E663" i="1"/>
  <c r="F663" i="1" s="1"/>
  <c r="H664" i="1"/>
  <c r="E664" i="1"/>
  <c r="F664" i="1" s="1"/>
  <c r="O658" i="1"/>
  <c r="P658" i="1"/>
  <c r="Q658" i="1"/>
  <c r="C658" i="1" s="1"/>
  <c r="D658" i="1" s="1"/>
  <c r="AG658" i="1"/>
  <c r="O659" i="1"/>
  <c r="P659" i="1"/>
  <c r="Q659" i="1"/>
  <c r="C659" i="1" s="1"/>
  <c r="D659" i="1" s="1"/>
  <c r="AG659" i="1"/>
  <c r="U659" i="1"/>
  <c r="U658" i="1"/>
  <c r="Z658" i="1"/>
  <c r="Y659" i="1"/>
  <c r="Z659" i="1"/>
  <c r="Y658" i="1"/>
  <c r="K658" i="1" l="1"/>
  <c r="K659" i="1"/>
  <c r="E658" i="1"/>
  <c r="F658" i="1" s="1"/>
  <c r="H658" i="1"/>
  <c r="E659" i="1"/>
  <c r="F659" i="1" s="1"/>
  <c r="H659" i="1"/>
  <c r="O701" i="1" l="1"/>
  <c r="P701" i="1"/>
  <c r="Q701" i="1"/>
  <c r="C701" i="1" s="1"/>
  <c r="D701" i="1" s="1"/>
  <c r="AG701" i="1"/>
  <c r="O703" i="1"/>
  <c r="P703" i="1"/>
  <c r="Q703" i="1"/>
  <c r="C703" i="1" s="1"/>
  <c r="D703" i="1" s="1"/>
  <c r="AG703" i="1"/>
  <c r="Z703" i="1"/>
  <c r="U703" i="1"/>
  <c r="AA701" i="1"/>
  <c r="U701" i="1"/>
  <c r="Y703" i="1"/>
  <c r="AA703" i="1"/>
  <c r="Z701" i="1"/>
  <c r="Y701" i="1"/>
  <c r="AF701" i="1" l="1"/>
  <c r="K701" i="1"/>
  <c r="AF703" i="1"/>
  <c r="K703" i="1"/>
  <c r="H701" i="1"/>
  <c r="E701" i="1"/>
  <c r="F701" i="1" s="1"/>
  <c r="H703" i="1"/>
  <c r="E703" i="1"/>
  <c r="F703" i="1" s="1"/>
  <c r="O646" i="1" l="1"/>
  <c r="O647" i="1"/>
  <c r="O648" i="1"/>
  <c r="O649" i="1"/>
  <c r="P646" i="1"/>
  <c r="P647" i="1"/>
  <c r="P648" i="1"/>
  <c r="P649" i="1"/>
  <c r="Q646" i="1"/>
  <c r="C646" i="1" s="1"/>
  <c r="D646" i="1" s="1"/>
  <c r="Q647" i="1"/>
  <c r="C647" i="1" s="1"/>
  <c r="D647" i="1" s="1"/>
  <c r="Q648" i="1"/>
  <c r="C648" i="1" s="1"/>
  <c r="D648" i="1" s="1"/>
  <c r="Q649" i="1"/>
  <c r="H649" i="1" s="1"/>
  <c r="AG646" i="1"/>
  <c r="AG647" i="1"/>
  <c r="AG648" i="1"/>
  <c r="AG649" i="1"/>
  <c r="O650" i="1"/>
  <c r="O651" i="1"/>
  <c r="O652" i="1"/>
  <c r="O653" i="1"/>
  <c r="P650" i="1"/>
  <c r="P651" i="1"/>
  <c r="P652" i="1"/>
  <c r="P653" i="1"/>
  <c r="Q650" i="1"/>
  <c r="C650" i="1" s="1"/>
  <c r="D650" i="1" s="1"/>
  <c r="Q651" i="1"/>
  <c r="C651" i="1" s="1"/>
  <c r="D651" i="1" s="1"/>
  <c r="Q652" i="1"/>
  <c r="C652" i="1" s="1"/>
  <c r="D652" i="1" s="1"/>
  <c r="Q653" i="1"/>
  <c r="H653" i="1" s="1"/>
  <c r="AG650" i="1"/>
  <c r="AG651" i="1"/>
  <c r="AG652" i="1"/>
  <c r="AG653" i="1"/>
  <c r="O654" i="1"/>
  <c r="P654" i="1"/>
  <c r="Q654" i="1"/>
  <c r="C654" i="1" s="1"/>
  <c r="D654" i="1" s="1"/>
  <c r="AG654" i="1"/>
  <c r="O655" i="1"/>
  <c r="P655" i="1"/>
  <c r="Q655" i="1"/>
  <c r="C655" i="1" s="1"/>
  <c r="D655" i="1" s="1"/>
  <c r="AG655" i="1"/>
  <c r="O656" i="1"/>
  <c r="P656" i="1"/>
  <c r="Q656" i="1"/>
  <c r="C656" i="1" s="1"/>
  <c r="D656" i="1" s="1"/>
  <c r="AG656" i="1"/>
  <c r="O657" i="1"/>
  <c r="P657" i="1"/>
  <c r="Q657" i="1"/>
  <c r="C657" i="1" s="1"/>
  <c r="D657" i="1" s="1"/>
  <c r="AG657" i="1"/>
  <c r="U646" i="1"/>
  <c r="Z646" i="1"/>
  <c r="U648" i="1"/>
  <c r="Y649" i="1"/>
  <c r="U649" i="1"/>
  <c r="U656" i="1"/>
  <c r="U657" i="1"/>
  <c r="Z649" i="1"/>
  <c r="Y655" i="1"/>
  <c r="U647" i="1"/>
  <c r="Y654" i="1"/>
  <c r="Z656" i="1"/>
  <c r="Z647" i="1"/>
  <c r="Y657" i="1"/>
  <c r="Z652" i="1"/>
  <c r="Y651" i="1"/>
  <c r="Z651" i="1"/>
  <c r="U653" i="1"/>
  <c r="Y656" i="1"/>
  <c r="Y653" i="1"/>
  <c r="Z655" i="1"/>
  <c r="Y652" i="1"/>
  <c r="U651" i="1"/>
  <c r="U650" i="1"/>
  <c r="Z648" i="1"/>
  <c r="U655" i="1"/>
  <c r="Z657" i="1"/>
  <c r="Y647" i="1"/>
  <c r="Z654" i="1"/>
  <c r="Y648" i="1"/>
  <c r="U652" i="1"/>
  <c r="U654" i="1"/>
  <c r="Y646" i="1"/>
  <c r="Z650" i="1"/>
  <c r="Z653" i="1"/>
  <c r="Y650" i="1"/>
  <c r="K650" i="1" l="1"/>
  <c r="K651" i="1"/>
  <c r="K649" i="1"/>
  <c r="K657" i="1"/>
  <c r="K648" i="1"/>
  <c r="K647" i="1"/>
  <c r="K646" i="1"/>
  <c r="K655" i="1"/>
  <c r="K656" i="1"/>
  <c r="K653" i="1"/>
  <c r="K652" i="1"/>
  <c r="K654" i="1"/>
  <c r="E648" i="1"/>
  <c r="F648" i="1" s="1"/>
  <c r="E647" i="1"/>
  <c r="F647" i="1" s="1"/>
  <c r="H648" i="1"/>
  <c r="C649" i="1"/>
  <c r="D649" i="1" s="1"/>
  <c r="E649" i="1"/>
  <c r="F649" i="1" s="1"/>
  <c r="E646" i="1"/>
  <c r="F646" i="1" s="1"/>
  <c r="H647" i="1"/>
  <c r="H646" i="1"/>
  <c r="H654" i="1"/>
  <c r="E653" i="1"/>
  <c r="F653" i="1" s="1"/>
  <c r="E652" i="1"/>
  <c r="F652" i="1" s="1"/>
  <c r="H651" i="1"/>
  <c r="H650" i="1"/>
  <c r="E651" i="1"/>
  <c r="F651" i="1" s="1"/>
  <c r="E650" i="1"/>
  <c r="F650" i="1" s="1"/>
  <c r="C653" i="1"/>
  <c r="D653" i="1" s="1"/>
  <c r="H652" i="1"/>
  <c r="E654" i="1"/>
  <c r="F654" i="1" s="1"/>
  <c r="H655" i="1"/>
  <c r="E655" i="1"/>
  <c r="F655" i="1" s="1"/>
  <c r="H656" i="1"/>
  <c r="E656" i="1"/>
  <c r="F656" i="1" s="1"/>
  <c r="H657" i="1"/>
  <c r="E657" i="1"/>
  <c r="F657" i="1" s="1"/>
  <c r="O645" i="1" l="1"/>
  <c r="P645" i="1"/>
  <c r="Q645" i="1"/>
  <c r="C645" i="1" s="1"/>
  <c r="D645" i="1" s="1"/>
  <c r="AG645" i="1"/>
  <c r="Y645" i="1"/>
  <c r="Z645" i="1"/>
  <c r="U645" i="1"/>
  <c r="K645" i="1" l="1"/>
  <c r="H645" i="1"/>
  <c r="E645" i="1"/>
  <c r="F645" i="1" s="1"/>
  <c r="O630" i="1" l="1"/>
  <c r="O631" i="1"/>
  <c r="P630" i="1"/>
  <c r="P631" i="1"/>
  <c r="Q630" i="1"/>
  <c r="C630" i="1" s="1"/>
  <c r="D630" i="1" s="1"/>
  <c r="Q631" i="1"/>
  <c r="C631" i="1" s="1"/>
  <c r="D631" i="1" s="1"/>
  <c r="AG630" i="1"/>
  <c r="AG631" i="1"/>
  <c r="O632" i="1"/>
  <c r="O633" i="1"/>
  <c r="O634" i="1"/>
  <c r="O635" i="1"/>
  <c r="O636" i="1"/>
  <c r="P632" i="1"/>
  <c r="P633" i="1"/>
  <c r="P634" i="1"/>
  <c r="P635" i="1"/>
  <c r="P636" i="1"/>
  <c r="Q632" i="1"/>
  <c r="C632" i="1" s="1"/>
  <c r="D632" i="1" s="1"/>
  <c r="Q633" i="1"/>
  <c r="C633" i="1" s="1"/>
  <c r="D633" i="1" s="1"/>
  <c r="Q634" i="1"/>
  <c r="E634" i="1" s="1"/>
  <c r="F634" i="1" s="1"/>
  <c r="Q635" i="1"/>
  <c r="E635" i="1" s="1"/>
  <c r="F635" i="1" s="1"/>
  <c r="Q636" i="1"/>
  <c r="H636" i="1" s="1"/>
  <c r="AG632" i="1"/>
  <c r="AG633" i="1"/>
  <c r="AG634" i="1"/>
  <c r="AG635" i="1"/>
  <c r="AG636" i="1"/>
  <c r="O637" i="1"/>
  <c r="O638" i="1"/>
  <c r="O639" i="1"/>
  <c r="O640" i="1"/>
  <c r="P637" i="1"/>
  <c r="P638" i="1"/>
  <c r="P639" i="1"/>
  <c r="P640" i="1"/>
  <c r="Q637" i="1"/>
  <c r="C637" i="1" s="1"/>
  <c r="D637" i="1" s="1"/>
  <c r="Q638" i="1"/>
  <c r="C638" i="1" s="1"/>
  <c r="D638" i="1" s="1"/>
  <c r="Q639" i="1"/>
  <c r="H639" i="1" s="1"/>
  <c r="Q640" i="1"/>
  <c r="C640" i="1" s="1"/>
  <c r="D640" i="1" s="1"/>
  <c r="AG637" i="1"/>
  <c r="AG638" i="1"/>
  <c r="AG639" i="1"/>
  <c r="AG640" i="1"/>
  <c r="O641" i="1"/>
  <c r="O642" i="1"/>
  <c r="P641" i="1"/>
  <c r="P642" i="1"/>
  <c r="Q641" i="1"/>
  <c r="C641" i="1" s="1"/>
  <c r="D641" i="1" s="1"/>
  <c r="Q642" i="1"/>
  <c r="C642" i="1" s="1"/>
  <c r="D642" i="1" s="1"/>
  <c r="AG641" i="1"/>
  <c r="AG642" i="1"/>
  <c r="O643" i="1"/>
  <c r="P643" i="1"/>
  <c r="Q643" i="1"/>
  <c r="C643" i="1" s="1"/>
  <c r="D643" i="1" s="1"/>
  <c r="AG643" i="1"/>
  <c r="O644" i="1"/>
  <c r="P644" i="1"/>
  <c r="Q644" i="1"/>
  <c r="C644" i="1" s="1"/>
  <c r="D644" i="1" s="1"/>
  <c r="AG644" i="1"/>
  <c r="O748" i="1"/>
  <c r="P748" i="1"/>
  <c r="Q748" i="1"/>
  <c r="C748" i="1" s="1"/>
  <c r="D748" i="1" s="1"/>
  <c r="AG748" i="1"/>
  <c r="Y634" i="1"/>
  <c r="Z634" i="1"/>
  <c r="Z632" i="1"/>
  <c r="Z633" i="1"/>
  <c r="Y630" i="1"/>
  <c r="Y640" i="1"/>
  <c r="Z644" i="1"/>
  <c r="Z643" i="1"/>
  <c r="Y748" i="1"/>
  <c r="U634" i="1"/>
  <c r="U644" i="1"/>
  <c r="Y641" i="1"/>
  <c r="Y638" i="1"/>
  <c r="U748" i="1"/>
  <c r="U641" i="1"/>
  <c r="Z641" i="1"/>
  <c r="U630" i="1"/>
  <c r="U640" i="1"/>
  <c r="Z748" i="1"/>
  <c r="Y639" i="1"/>
  <c r="Z630" i="1"/>
  <c r="Z637" i="1"/>
  <c r="U636" i="1"/>
  <c r="AA634" i="1"/>
  <c r="Y644" i="1"/>
  <c r="Z631" i="1"/>
  <c r="U642" i="1"/>
  <c r="U637" i="1"/>
  <c r="U631" i="1"/>
  <c r="Z636" i="1"/>
  <c r="Z642" i="1"/>
  <c r="Y643" i="1"/>
  <c r="AA748" i="1"/>
  <c r="U633" i="1"/>
  <c r="Y642" i="1"/>
  <c r="Z639" i="1"/>
  <c r="U643" i="1"/>
  <c r="Y635" i="1"/>
  <c r="Z635" i="1"/>
  <c r="U639" i="1"/>
  <c r="Y632" i="1"/>
  <c r="Y631" i="1"/>
  <c r="Z640" i="1"/>
  <c r="Y637" i="1"/>
  <c r="U638" i="1"/>
  <c r="U632" i="1"/>
  <c r="U635" i="1"/>
  <c r="Z638" i="1"/>
  <c r="Y636" i="1"/>
  <c r="Y633" i="1"/>
  <c r="K633" i="1" l="1"/>
  <c r="K640" i="1"/>
  <c r="K631" i="1"/>
  <c r="K639" i="1"/>
  <c r="AF634" i="1"/>
  <c r="K630" i="1"/>
  <c r="K638" i="1"/>
  <c r="K637" i="1"/>
  <c r="K632" i="1"/>
  <c r="K644" i="1"/>
  <c r="K748" i="1"/>
  <c r="AF748" i="1"/>
  <c r="K636" i="1"/>
  <c r="K642" i="1"/>
  <c r="K641" i="1"/>
  <c r="K635" i="1"/>
  <c r="K643" i="1"/>
  <c r="K634" i="1"/>
  <c r="H635" i="1"/>
  <c r="H634" i="1"/>
  <c r="H631" i="1"/>
  <c r="H630" i="1"/>
  <c r="H632" i="1"/>
  <c r="E633" i="1"/>
  <c r="F633" i="1" s="1"/>
  <c r="E630" i="1"/>
  <c r="F630" i="1" s="1"/>
  <c r="H633" i="1"/>
  <c r="E632" i="1"/>
  <c r="F632" i="1" s="1"/>
  <c r="E631" i="1"/>
  <c r="F631" i="1" s="1"/>
  <c r="C636" i="1"/>
  <c r="D636" i="1" s="1"/>
  <c r="C635" i="1"/>
  <c r="D635" i="1" s="1"/>
  <c r="E636" i="1"/>
  <c r="F636" i="1" s="1"/>
  <c r="C634" i="1"/>
  <c r="D634" i="1" s="1"/>
  <c r="E640" i="1"/>
  <c r="F640" i="1" s="1"/>
  <c r="E638" i="1"/>
  <c r="F638" i="1" s="1"/>
  <c r="E639" i="1"/>
  <c r="F639" i="1" s="1"/>
  <c r="H640" i="1"/>
  <c r="H638" i="1"/>
  <c r="H637" i="1"/>
  <c r="C639" i="1"/>
  <c r="D639" i="1" s="1"/>
  <c r="E637" i="1"/>
  <c r="F637" i="1" s="1"/>
  <c r="H643" i="1"/>
  <c r="H642" i="1"/>
  <c r="H641" i="1"/>
  <c r="E642" i="1"/>
  <c r="F642" i="1" s="1"/>
  <c r="E641" i="1"/>
  <c r="F641" i="1" s="1"/>
  <c r="E644" i="1"/>
  <c r="F644" i="1" s="1"/>
  <c r="E643" i="1"/>
  <c r="F643" i="1" s="1"/>
  <c r="H644" i="1"/>
  <c r="H748" i="1"/>
  <c r="E748" i="1"/>
  <c r="F748" i="1" s="1"/>
  <c r="S4" i="8" l="1"/>
  <c r="R4" i="8" a="1"/>
  <c r="R4" i="8" l="1"/>
  <c r="AF4" i="8"/>
  <c r="AG4" i="8" s="1"/>
  <c r="AQ4" i="8" a="1"/>
  <c r="AQ4" i="8" l="1"/>
  <c r="AI4" i="8"/>
  <c r="AH4" i="8" s="1"/>
  <c r="AK4" i="8"/>
  <c r="I618" i="1" l="1"/>
  <c r="I92" i="1" l="1"/>
  <c r="I91" i="1"/>
  <c r="O95" i="1"/>
  <c r="P95" i="1"/>
  <c r="Q95" i="1"/>
  <c r="C95" i="1" s="1"/>
  <c r="D95" i="1" s="1"/>
  <c r="AG95" i="1"/>
  <c r="I86" i="1"/>
  <c r="U95" i="1"/>
  <c r="Z95" i="1"/>
  <c r="Y95" i="1"/>
  <c r="K95" i="1" l="1"/>
  <c r="H95" i="1"/>
  <c r="E95" i="1"/>
  <c r="F95" i="1" s="1"/>
  <c r="S3" i="8" l="1"/>
  <c r="AF3" i="8"/>
  <c r="AG3" i="8" s="1"/>
  <c r="R3" i="8" a="1"/>
  <c r="AQ3" i="8" a="1"/>
  <c r="AQ3" i="8" l="1"/>
  <c r="R3" i="8"/>
  <c r="AI3" i="8"/>
  <c r="AH3" i="8" s="1"/>
  <c r="AK3" i="8"/>
  <c r="O625" i="1" l="1"/>
  <c r="P625" i="1"/>
  <c r="Q625" i="1"/>
  <c r="C625" i="1" s="1"/>
  <c r="D625" i="1" s="1"/>
  <c r="AG625" i="1"/>
  <c r="O626" i="1"/>
  <c r="P626" i="1"/>
  <c r="Q626" i="1"/>
  <c r="C626" i="1" s="1"/>
  <c r="D626" i="1" s="1"/>
  <c r="AG626" i="1"/>
  <c r="O627" i="1"/>
  <c r="P627" i="1"/>
  <c r="Q627" i="1"/>
  <c r="H627" i="1" s="1"/>
  <c r="AG627" i="1"/>
  <c r="O628" i="1"/>
  <c r="P628" i="1"/>
  <c r="Q628" i="1"/>
  <c r="C628" i="1" s="1"/>
  <c r="D628" i="1" s="1"/>
  <c r="AG628" i="1"/>
  <c r="O620" i="1"/>
  <c r="O621" i="1"/>
  <c r="P620" i="1"/>
  <c r="P621" i="1"/>
  <c r="Q620" i="1"/>
  <c r="C620" i="1" s="1"/>
  <c r="D620" i="1" s="1"/>
  <c r="Q621" i="1"/>
  <c r="C621" i="1" s="1"/>
  <c r="D621" i="1" s="1"/>
  <c r="AG620" i="1"/>
  <c r="AG621" i="1"/>
  <c r="O622" i="1"/>
  <c r="O623" i="1"/>
  <c r="P622" i="1"/>
  <c r="P623" i="1"/>
  <c r="Q622" i="1"/>
  <c r="C622" i="1" s="1"/>
  <c r="D622" i="1" s="1"/>
  <c r="Q623" i="1"/>
  <c r="C623" i="1" s="1"/>
  <c r="D623" i="1" s="1"/>
  <c r="AG622" i="1"/>
  <c r="AG623" i="1"/>
  <c r="O629" i="1"/>
  <c r="P629" i="1"/>
  <c r="Q629" i="1"/>
  <c r="H629" i="1" s="1"/>
  <c r="AG629" i="1"/>
  <c r="O163" i="1"/>
  <c r="O164" i="1"/>
  <c r="O165" i="1"/>
  <c r="P163" i="1"/>
  <c r="P164" i="1"/>
  <c r="P165" i="1"/>
  <c r="Q163" i="1"/>
  <c r="C163" i="1" s="1"/>
  <c r="D163" i="1" s="1"/>
  <c r="Q164" i="1"/>
  <c r="C164" i="1" s="1"/>
  <c r="D164" i="1" s="1"/>
  <c r="Q165" i="1"/>
  <c r="C165" i="1" s="1"/>
  <c r="D165" i="1" s="1"/>
  <c r="AG163" i="1"/>
  <c r="AG164" i="1"/>
  <c r="AG165" i="1"/>
  <c r="O153" i="1"/>
  <c r="O154" i="1"/>
  <c r="O155" i="1"/>
  <c r="O156" i="1"/>
  <c r="P153" i="1"/>
  <c r="P154" i="1"/>
  <c r="P155" i="1"/>
  <c r="P156" i="1"/>
  <c r="Q153" i="1"/>
  <c r="C153" i="1" s="1"/>
  <c r="D153" i="1" s="1"/>
  <c r="Q154" i="1"/>
  <c r="C154" i="1" s="1"/>
  <c r="D154" i="1" s="1"/>
  <c r="Q155" i="1"/>
  <c r="H155" i="1" s="1"/>
  <c r="Q156" i="1"/>
  <c r="H156" i="1" s="1"/>
  <c r="AG153" i="1"/>
  <c r="AG154" i="1"/>
  <c r="AG155" i="1"/>
  <c r="AG156" i="1"/>
  <c r="O138" i="1"/>
  <c r="O139" i="1"/>
  <c r="O140" i="1"/>
  <c r="O141" i="1"/>
  <c r="P138" i="1"/>
  <c r="P139" i="1"/>
  <c r="P140" i="1"/>
  <c r="P141" i="1"/>
  <c r="Q138" i="1"/>
  <c r="E138" i="1" s="1"/>
  <c r="F138" i="1" s="1"/>
  <c r="Q139" i="1"/>
  <c r="E139" i="1" s="1"/>
  <c r="F139" i="1" s="1"/>
  <c r="Q140" i="1"/>
  <c r="Q141" i="1"/>
  <c r="C141" i="1" s="1"/>
  <c r="D141" i="1" s="1"/>
  <c r="AG138" i="1"/>
  <c r="AG139" i="1"/>
  <c r="AG140" i="1"/>
  <c r="AG141" i="1"/>
  <c r="O133" i="1"/>
  <c r="O134" i="1"/>
  <c r="O135" i="1"/>
  <c r="O136" i="1"/>
  <c r="P133" i="1"/>
  <c r="P134" i="1"/>
  <c r="P135" i="1"/>
  <c r="P136" i="1"/>
  <c r="Q133" i="1"/>
  <c r="C133" i="1" s="1"/>
  <c r="D133" i="1" s="1"/>
  <c r="Q134" i="1"/>
  <c r="C134" i="1" s="1"/>
  <c r="D134" i="1" s="1"/>
  <c r="Q135" i="1"/>
  <c r="C135" i="1" s="1"/>
  <c r="D135" i="1" s="1"/>
  <c r="Q136" i="1"/>
  <c r="C136" i="1" s="1"/>
  <c r="D136" i="1" s="1"/>
  <c r="AG133" i="1"/>
  <c r="AG134" i="1"/>
  <c r="AG135" i="1"/>
  <c r="AG136" i="1"/>
  <c r="O128" i="1"/>
  <c r="O129" i="1"/>
  <c r="O130" i="1"/>
  <c r="O131" i="1"/>
  <c r="P128" i="1"/>
  <c r="P129" i="1"/>
  <c r="P130" i="1"/>
  <c r="P131" i="1"/>
  <c r="Q128" i="1"/>
  <c r="C128" i="1" s="1"/>
  <c r="D128" i="1" s="1"/>
  <c r="Q129" i="1"/>
  <c r="C129" i="1" s="1"/>
  <c r="D129" i="1" s="1"/>
  <c r="Q130" i="1"/>
  <c r="C130" i="1" s="1"/>
  <c r="D130" i="1" s="1"/>
  <c r="Q131" i="1"/>
  <c r="H131" i="1" s="1"/>
  <c r="AG128" i="1"/>
  <c r="AG129" i="1"/>
  <c r="AG130" i="1"/>
  <c r="AG131" i="1"/>
  <c r="O123" i="1"/>
  <c r="O124" i="1"/>
  <c r="O125" i="1"/>
  <c r="O126" i="1"/>
  <c r="P123" i="1"/>
  <c r="P124" i="1"/>
  <c r="P125" i="1"/>
  <c r="P126" i="1"/>
  <c r="Q123" i="1"/>
  <c r="C123" i="1" s="1"/>
  <c r="D123" i="1" s="1"/>
  <c r="Q124" i="1"/>
  <c r="H124" i="1" s="1"/>
  <c r="Q125" i="1"/>
  <c r="C125" i="1" s="1"/>
  <c r="D125" i="1" s="1"/>
  <c r="Q126" i="1"/>
  <c r="C126" i="1" s="1"/>
  <c r="D126" i="1" s="1"/>
  <c r="AG123" i="1"/>
  <c r="AG124" i="1"/>
  <c r="AG125" i="1"/>
  <c r="AG126" i="1"/>
  <c r="O118" i="1"/>
  <c r="O119" i="1"/>
  <c r="O120" i="1"/>
  <c r="O121" i="1"/>
  <c r="P118" i="1"/>
  <c r="P119" i="1"/>
  <c r="P120" i="1"/>
  <c r="P121" i="1"/>
  <c r="Q118" i="1"/>
  <c r="C118" i="1" s="1"/>
  <c r="D118" i="1" s="1"/>
  <c r="Q119" i="1"/>
  <c r="H119" i="1" s="1"/>
  <c r="Q120" i="1"/>
  <c r="C120" i="1" s="1"/>
  <c r="D120" i="1" s="1"/>
  <c r="Q121" i="1"/>
  <c r="C121" i="1" s="1"/>
  <c r="D121" i="1" s="1"/>
  <c r="AG118" i="1"/>
  <c r="AG119" i="1"/>
  <c r="AG120" i="1"/>
  <c r="AG121" i="1"/>
  <c r="O624" i="1"/>
  <c r="P624" i="1"/>
  <c r="Q624" i="1"/>
  <c r="C624" i="1" s="1"/>
  <c r="D624" i="1" s="1"/>
  <c r="AG624" i="1"/>
  <c r="O619" i="1"/>
  <c r="P619" i="1"/>
  <c r="Q619" i="1"/>
  <c r="C619" i="1" s="1"/>
  <c r="D619" i="1" s="1"/>
  <c r="AG619" i="1"/>
  <c r="O166" i="1"/>
  <c r="P166" i="1"/>
  <c r="Q166" i="1"/>
  <c r="C166" i="1" s="1"/>
  <c r="D166" i="1" s="1"/>
  <c r="AG166" i="1"/>
  <c r="O162" i="1"/>
  <c r="P162" i="1"/>
  <c r="Q162" i="1"/>
  <c r="C162" i="1" s="1"/>
  <c r="D162" i="1" s="1"/>
  <c r="AG162" i="1"/>
  <c r="O152" i="1"/>
  <c r="P152" i="1"/>
  <c r="Q152" i="1"/>
  <c r="C152" i="1" s="1"/>
  <c r="D152" i="1" s="1"/>
  <c r="AG152" i="1"/>
  <c r="O137" i="1"/>
  <c r="P137" i="1"/>
  <c r="Q137" i="1"/>
  <c r="C137" i="1" s="1"/>
  <c r="D137" i="1" s="1"/>
  <c r="AG137" i="1"/>
  <c r="O132" i="1"/>
  <c r="P132" i="1"/>
  <c r="Q132" i="1"/>
  <c r="C132" i="1" s="1"/>
  <c r="D132" i="1" s="1"/>
  <c r="AG132" i="1"/>
  <c r="O127" i="1"/>
  <c r="P127" i="1"/>
  <c r="Q127" i="1"/>
  <c r="H127" i="1" s="1"/>
  <c r="AG127" i="1"/>
  <c r="O122" i="1"/>
  <c r="P122" i="1"/>
  <c r="Q122" i="1"/>
  <c r="E122" i="1" s="1"/>
  <c r="F122" i="1" s="1"/>
  <c r="AG122" i="1"/>
  <c r="O117" i="1"/>
  <c r="P117" i="1"/>
  <c r="Q117" i="1"/>
  <c r="C117" i="1" s="1"/>
  <c r="D117" i="1" s="1"/>
  <c r="AG117" i="1"/>
  <c r="U310" i="1"/>
  <c r="Z123" i="1"/>
  <c r="Z620" i="1"/>
  <c r="U131" i="1"/>
  <c r="Z627" i="1"/>
  <c r="Z152" i="1"/>
  <c r="Z132" i="1"/>
  <c r="Y628" i="1"/>
  <c r="AA629" i="1"/>
  <c r="Y135" i="1"/>
  <c r="Y127" i="1"/>
  <c r="Y117" i="1"/>
  <c r="Y155" i="1"/>
  <c r="Z155" i="1"/>
  <c r="U309" i="1"/>
  <c r="Z619" i="1"/>
  <c r="Z629" i="1"/>
  <c r="Z139" i="1"/>
  <c r="Y120" i="1"/>
  <c r="Z625" i="1"/>
  <c r="U120" i="1"/>
  <c r="U126" i="1"/>
  <c r="U118" i="1"/>
  <c r="Y126" i="1"/>
  <c r="U117" i="1"/>
  <c r="Z628" i="1"/>
  <c r="U165" i="1"/>
  <c r="Y136" i="1"/>
  <c r="Y624" i="1"/>
  <c r="Z130" i="1"/>
  <c r="U141" i="1"/>
  <c r="U134" i="1"/>
  <c r="U154" i="1"/>
  <c r="Y140" i="1"/>
  <c r="Z135" i="1"/>
  <c r="Z129" i="1"/>
  <c r="Y141" i="1"/>
  <c r="U119" i="1"/>
  <c r="U155" i="1"/>
  <c r="U127" i="1"/>
  <c r="Z153" i="1"/>
  <c r="Y629" i="1"/>
  <c r="U624" i="1"/>
  <c r="U128" i="1"/>
  <c r="U138" i="1"/>
  <c r="Z134" i="1"/>
  <c r="Z121" i="1"/>
  <c r="U136" i="1"/>
  <c r="Y130" i="1"/>
  <c r="U156" i="1"/>
  <c r="Z163" i="1"/>
  <c r="Y122" i="1"/>
  <c r="U129" i="1"/>
  <c r="Z623" i="1"/>
  <c r="Z128" i="1"/>
  <c r="Z125" i="1"/>
  <c r="Y125" i="1"/>
  <c r="Z131" i="1"/>
  <c r="Y623" i="1"/>
  <c r="Z118" i="1"/>
  <c r="Y619" i="1"/>
  <c r="Z140" i="1"/>
  <c r="Z120" i="1"/>
  <c r="Z156" i="1"/>
  <c r="U619" i="1"/>
  <c r="Z166" i="1"/>
  <c r="Y162" i="1"/>
  <c r="Y123" i="1"/>
  <c r="Y620" i="1"/>
  <c r="U166" i="1"/>
  <c r="Y119" i="1"/>
  <c r="Y164" i="1"/>
  <c r="U152" i="1"/>
  <c r="Z626" i="1"/>
  <c r="U162" i="1"/>
  <c r="U163" i="1"/>
  <c r="Y134" i="1"/>
  <c r="Y137" i="1"/>
  <c r="U627" i="1"/>
  <c r="Y627" i="1"/>
  <c r="Y166" i="1"/>
  <c r="U133" i="1"/>
  <c r="U622" i="1"/>
  <c r="Y121" i="1"/>
  <c r="Y133" i="1"/>
  <c r="Z162" i="1"/>
  <c r="Y132" i="1"/>
  <c r="Y153" i="1"/>
  <c r="U139" i="1"/>
  <c r="Z164" i="1"/>
  <c r="U620" i="1"/>
  <c r="U122" i="1"/>
  <c r="Y621" i="1"/>
  <c r="U164" i="1"/>
  <c r="U130" i="1"/>
  <c r="Y124" i="1"/>
  <c r="Z154" i="1"/>
  <c r="U140" i="1"/>
  <c r="Z165" i="1"/>
  <c r="Z124" i="1"/>
  <c r="U625" i="1"/>
  <c r="Y128" i="1"/>
  <c r="Y131" i="1"/>
  <c r="U137" i="1"/>
  <c r="Y152" i="1"/>
  <c r="Z122" i="1"/>
  <c r="U123" i="1"/>
  <c r="U628" i="1"/>
  <c r="Y626" i="1"/>
  <c r="Z127" i="1"/>
  <c r="U135" i="1"/>
  <c r="U121" i="1"/>
  <c r="Y154" i="1"/>
  <c r="U125" i="1"/>
  <c r="Z141" i="1"/>
  <c r="Y156" i="1"/>
  <c r="U621" i="1"/>
  <c r="Z126" i="1"/>
  <c r="Y138" i="1"/>
  <c r="Y118" i="1"/>
  <c r="Z133" i="1"/>
  <c r="Z117" i="1"/>
  <c r="Y625" i="1"/>
  <c r="Z621" i="1"/>
  <c r="U629" i="1"/>
  <c r="U153" i="1"/>
  <c r="Y165" i="1"/>
  <c r="U623" i="1"/>
  <c r="Z136" i="1"/>
  <c r="Z138" i="1"/>
  <c r="U626" i="1"/>
  <c r="Z137" i="1"/>
  <c r="U132" i="1"/>
  <c r="Y139" i="1"/>
  <c r="Y622" i="1"/>
  <c r="Z119" i="1"/>
  <c r="Z624" i="1"/>
  <c r="Z622" i="1"/>
  <c r="Y129" i="1"/>
  <c r="Y163" i="1"/>
  <c r="U124" i="1"/>
  <c r="K139" i="1" l="1"/>
  <c r="K152" i="1"/>
  <c r="K123" i="1"/>
  <c r="K138" i="1"/>
  <c r="K156" i="1"/>
  <c r="K131" i="1"/>
  <c r="K166" i="1"/>
  <c r="K155" i="1"/>
  <c r="K129" i="1"/>
  <c r="K154" i="1"/>
  <c r="K165" i="1"/>
  <c r="K627" i="1"/>
  <c r="K117" i="1"/>
  <c r="K624" i="1"/>
  <c r="K128" i="1"/>
  <c r="K153" i="1"/>
  <c r="K164" i="1"/>
  <c r="K140" i="1"/>
  <c r="K124" i="1"/>
  <c r="K127" i="1"/>
  <c r="K136" i="1"/>
  <c r="K163" i="1"/>
  <c r="K625" i="1"/>
  <c r="K132" i="1"/>
  <c r="K125" i="1"/>
  <c r="K626" i="1"/>
  <c r="K137" i="1"/>
  <c r="K120" i="1"/>
  <c r="K135" i="1"/>
  <c r="K623" i="1"/>
  <c r="K119" i="1"/>
  <c r="K134" i="1"/>
  <c r="AF629" i="1"/>
  <c r="K622" i="1"/>
  <c r="K162" i="1"/>
  <c r="K118" i="1"/>
  <c r="K133" i="1"/>
  <c r="K621" i="1"/>
  <c r="K628" i="1"/>
  <c r="K130" i="1"/>
  <c r="K121" i="1"/>
  <c r="K122" i="1"/>
  <c r="K619" i="1"/>
  <c r="K126" i="1"/>
  <c r="K141" i="1"/>
  <c r="K629" i="1"/>
  <c r="K620" i="1"/>
  <c r="H626" i="1"/>
  <c r="H628" i="1"/>
  <c r="E627" i="1"/>
  <c r="F627" i="1" s="1"/>
  <c r="C627" i="1"/>
  <c r="D627" i="1" s="1"/>
  <c r="E628" i="1"/>
  <c r="F628" i="1" s="1"/>
  <c r="E629" i="1"/>
  <c r="F629" i="1" s="1"/>
  <c r="H623" i="1"/>
  <c r="C629" i="1"/>
  <c r="D629" i="1" s="1"/>
  <c r="E626" i="1"/>
  <c r="F626" i="1" s="1"/>
  <c r="H625" i="1"/>
  <c r="E625" i="1"/>
  <c r="F625" i="1" s="1"/>
  <c r="H620" i="1"/>
  <c r="E621" i="1"/>
  <c r="F621" i="1" s="1"/>
  <c r="H621" i="1"/>
  <c r="E620" i="1"/>
  <c r="F620" i="1" s="1"/>
  <c r="H622" i="1"/>
  <c r="E623" i="1"/>
  <c r="F623" i="1" s="1"/>
  <c r="E622" i="1"/>
  <c r="F622" i="1" s="1"/>
  <c r="E165" i="1"/>
  <c r="F165" i="1" s="1"/>
  <c r="E141" i="1"/>
  <c r="F141" i="1" s="1"/>
  <c r="E164" i="1"/>
  <c r="F164" i="1" s="1"/>
  <c r="E163" i="1"/>
  <c r="F163" i="1" s="1"/>
  <c r="H165" i="1"/>
  <c r="E156" i="1"/>
  <c r="F156" i="1" s="1"/>
  <c r="H164" i="1"/>
  <c r="E155" i="1"/>
  <c r="F155" i="1" s="1"/>
  <c r="H163" i="1"/>
  <c r="E154" i="1"/>
  <c r="F154" i="1" s="1"/>
  <c r="E153" i="1"/>
  <c r="F153" i="1" s="1"/>
  <c r="C156" i="1"/>
  <c r="D156" i="1" s="1"/>
  <c r="C155" i="1"/>
  <c r="D155" i="1" s="1"/>
  <c r="H136" i="1"/>
  <c r="C140" i="1"/>
  <c r="D140" i="1" s="1"/>
  <c r="H135" i="1"/>
  <c r="C139" i="1"/>
  <c r="D139" i="1" s="1"/>
  <c r="H154" i="1"/>
  <c r="H134" i="1"/>
  <c r="H141" i="1"/>
  <c r="C138" i="1"/>
  <c r="D138" i="1" s="1"/>
  <c r="H153" i="1"/>
  <c r="H133" i="1"/>
  <c r="H140" i="1"/>
  <c r="H139" i="1"/>
  <c r="H138" i="1"/>
  <c r="E140" i="1"/>
  <c r="F140" i="1" s="1"/>
  <c r="E136" i="1"/>
  <c r="F136" i="1" s="1"/>
  <c r="E135" i="1"/>
  <c r="F135" i="1" s="1"/>
  <c r="E134" i="1"/>
  <c r="F134" i="1" s="1"/>
  <c r="E133" i="1"/>
  <c r="F133" i="1" s="1"/>
  <c r="E126" i="1"/>
  <c r="F126" i="1" s="1"/>
  <c r="E125" i="1"/>
  <c r="F125" i="1" s="1"/>
  <c r="E124" i="1"/>
  <c r="F124" i="1" s="1"/>
  <c r="E123" i="1"/>
  <c r="F123" i="1" s="1"/>
  <c r="C124" i="1"/>
  <c r="D124" i="1" s="1"/>
  <c r="E131" i="1"/>
  <c r="F131" i="1" s="1"/>
  <c r="E130" i="1"/>
  <c r="F130" i="1" s="1"/>
  <c r="E129" i="1"/>
  <c r="F129" i="1" s="1"/>
  <c r="E128" i="1"/>
  <c r="F128" i="1" s="1"/>
  <c r="H129" i="1"/>
  <c r="H126" i="1"/>
  <c r="H128" i="1"/>
  <c r="H125" i="1"/>
  <c r="C131" i="1"/>
  <c r="D131" i="1" s="1"/>
  <c r="H130" i="1"/>
  <c r="H123" i="1"/>
  <c r="E121" i="1"/>
  <c r="F121" i="1" s="1"/>
  <c r="E120" i="1"/>
  <c r="F120" i="1" s="1"/>
  <c r="E119" i="1"/>
  <c r="F119" i="1" s="1"/>
  <c r="E118" i="1"/>
  <c r="F118" i="1" s="1"/>
  <c r="C119" i="1"/>
  <c r="D119" i="1" s="1"/>
  <c r="E127" i="1"/>
  <c r="F127" i="1" s="1"/>
  <c r="H132" i="1"/>
  <c r="H121" i="1"/>
  <c r="C122" i="1"/>
  <c r="D122" i="1" s="1"/>
  <c r="C127" i="1"/>
  <c r="D127" i="1" s="1"/>
  <c r="H120" i="1"/>
  <c r="H118" i="1"/>
  <c r="H166" i="1"/>
  <c r="E624" i="1"/>
  <c r="F624" i="1" s="1"/>
  <c r="E166" i="1"/>
  <c r="F166" i="1" s="1"/>
  <c r="H624" i="1"/>
  <c r="H117" i="1"/>
  <c r="E117" i="1"/>
  <c r="F117" i="1" s="1"/>
  <c r="H122" i="1"/>
  <c r="H619" i="1"/>
  <c r="E619" i="1"/>
  <c r="F619" i="1" s="1"/>
  <c r="H162" i="1"/>
  <c r="E162" i="1"/>
  <c r="F162" i="1" s="1"/>
  <c r="H152" i="1"/>
  <c r="E152" i="1"/>
  <c r="F152" i="1" s="1"/>
  <c r="H137" i="1"/>
  <c r="E137" i="1"/>
  <c r="F137" i="1" s="1"/>
  <c r="E132" i="1"/>
  <c r="F132" i="1" s="1"/>
  <c r="O618" i="1" l="1"/>
  <c r="P618" i="1"/>
  <c r="Q618" i="1"/>
  <c r="C618" i="1" s="1"/>
  <c r="D618" i="1" s="1"/>
  <c r="AG618" i="1"/>
  <c r="U618" i="1"/>
  <c r="Z618" i="1"/>
  <c r="Y618" i="1"/>
  <c r="K618" i="1" l="1"/>
  <c r="H618" i="1"/>
  <c r="E618" i="1"/>
  <c r="F618" i="1" s="1"/>
  <c r="O617" i="1" l="1"/>
  <c r="P617" i="1"/>
  <c r="Q617" i="1"/>
  <c r="E617" i="1" s="1"/>
  <c r="F617" i="1" s="1"/>
  <c r="AG617" i="1"/>
  <c r="O616" i="1"/>
  <c r="P616" i="1"/>
  <c r="Q616" i="1"/>
  <c r="C616" i="1" s="1"/>
  <c r="D616" i="1" s="1"/>
  <c r="AG616" i="1"/>
  <c r="Z616" i="1"/>
  <c r="U617" i="1"/>
  <c r="U616" i="1"/>
  <c r="Y617" i="1"/>
  <c r="Y616" i="1"/>
  <c r="Z617" i="1"/>
  <c r="K616" i="1" l="1"/>
  <c r="K617" i="1"/>
  <c r="C617" i="1"/>
  <c r="D617" i="1" s="1"/>
  <c r="H617" i="1"/>
  <c r="H616" i="1"/>
  <c r="E616" i="1"/>
  <c r="F616" i="1" s="1"/>
  <c r="O615" i="1"/>
  <c r="P615" i="1"/>
  <c r="Q615" i="1"/>
  <c r="C615" i="1" s="1"/>
  <c r="D615" i="1" s="1"/>
  <c r="AG615" i="1"/>
  <c r="O614" i="1"/>
  <c r="P614" i="1"/>
  <c r="Q614" i="1"/>
  <c r="C614" i="1" s="1"/>
  <c r="D614" i="1" s="1"/>
  <c r="AG614" i="1"/>
  <c r="Y615" i="1"/>
  <c r="Z614" i="1"/>
  <c r="Y614" i="1"/>
  <c r="U615" i="1"/>
  <c r="U614" i="1"/>
  <c r="Z615" i="1"/>
  <c r="K615" i="1" l="1"/>
  <c r="K614" i="1"/>
  <c r="H614" i="1"/>
  <c r="E614" i="1"/>
  <c r="F614" i="1" s="1"/>
  <c r="H615" i="1"/>
  <c r="E615" i="1"/>
  <c r="F615" i="1" s="1"/>
  <c r="O613" i="1" l="1"/>
  <c r="P613" i="1"/>
  <c r="Q613" i="1"/>
  <c r="C613" i="1" s="1"/>
  <c r="D613" i="1" s="1"/>
  <c r="AG613" i="1"/>
  <c r="O612" i="1"/>
  <c r="P612" i="1"/>
  <c r="Q612" i="1"/>
  <c r="C612" i="1" s="1"/>
  <c r="D612" i="1" s="1"/>
  <c r="AG612" i="1"/>
  <c r="O611" i="1"/>
  <c r="P611" i="1"/>
  <c r="Q611" i="1"/>
  <c r="C611" i="1" s="1"/>
  <c r="D611" i="1" s="1"/>
  <c r="AG611" i="1"/>
  <c r="O610" i="1"/>
  <c r="P610" i="1"/>
  <c r="Q610" i="1"/>
  <c r="C610" i="1" s="1"/>
  <c r="D610" i="1" s="1"/>
  <c r="AG610" i="1"/>
  <c r="O609" i="1"/>
  <c r="P609" i="1"/>
  <c r="Q609" i="1"/>
  <c r="H609" i="1" s="1"/>
  <c r="AG609" i="1"/>
  <c r="O608" i="1"/>
  <c r="P608" i="1"/>
  <c r="Q608" i="1"/>
  <c r="C608" i="1" s="1"/>
  <c r="D608" i="1" s="1"/>
  <c r="AG608" i="1"/>
  <c r="O607" i="1"/>
  <c r="P607" i="1"/>
  <c r="Q607" i="1"/>
  <c r="H607" i="1" s="1"/>
  <c r="AG607" i="1"/>
  <c r="O606" i="1"/>
  <c r="P606" i="1"/>
  <c r="Q606" i="1"/>
  <c r="C606" i="1" s="1"/>
  <c r="D606" i="1" s="1"/>
  <c r="AG606" i="1"/>
  <c r="Y612" i="1"/>
  <c r="U608" i="1"/>
  <c r="U612" i="1"/>
  <c r="U610" i="1"/>
  <c r="Y609" i="1"/>
  <c r="Z611" i="1"/>
  <c r="U611" i="1"/>
  <c r="Z606" i="1"/>
  <c r="Z608" i="1"/>
  <c r="Y613" i="1"/>
  <c r="Z613" i="1"/>
  <c r="Z610" i="1"/>
  <c r="U607" i="1"/>
  <c r="Z612" i="1"/>
  <c r="Y611" i="1"/>
  <c r="Y607" i="1"/>
  <c r="U606" i="1"/>
  <c r="U613" i="1"/>
  <c r="Y608" i="1"/>
  <c r="U609" i="1"/>
  <c r="Y610" i="1"/>
  <c r="Z609" i="1"/>
  <c r="Y606" i="1"/>
  <c r="Z607" i="1"/>
  <c r="K612" i="1" l="1"/>
  <c r="K607" i="1"/>
  <c r="K611" i="1"/>
  <c r="K613" i="1"/>
  <c r="K608" i="1"/>
  <c r="K609" i="1"/>
  <c r="K606" i="1"/>
  <c r="K610" i="1"/>
  <c r="C609" i="1"/>
  <c r="D609" i="1" s="1"/>
  <c r="E610" i="1"/>
  <c r="F610" i="1" s="1"/>
  <c r="E609" i="1"/>
  <c r="F609" i="1" s="1"/>
  <c r="H610" i="1"/>
  <c r="E607" i="1"/>
  <c r="F607" i="1" s="1"/>
  <c r="C607" i="1"/>
  <c r="D607" i="1" s="1"/>
  <c r="H612" i="1"/>
  <c r="H606" i="1"/>
  <c r="E606" i="1"/>
  <c r="F606" i="1" s="1"/>
  <c r="H613" i="1"/>
  <c r="E613" i="1"/>
  <c r="F613" i="1" s="1"/>
  <c r="E612" i="1"/>
  <c r="F612" i="1" s="1"/>
  <c r="E611" i="1"/>
  <c r="F611" i="1" s="1"/>
  <c r="H611" i="1"/>
  <c r="H608" i="1"/>
  <c r="E608" i="1"/>
  <c r="F608" i="1" s="1"/>
  <c r="O754" i="1" l="1"/>
  <c r="P754" i="1"/>
  <c r="Q754" i="1"/>
  <c r="C754" i="1" s="1"/>
  <c r="D754" i="1" s="1"/>
  <c r="AG754" i="1"/>
  <c r="O753" i="1"/>
  <c r="P753" i="1"/>
  <c r="Q753" i="1"/>
  <c r="C753" i="1" s="1"/>
  <c r="D753" i="1" s="1"/>
  <c r="AG753" i="1"/>
  <c r="O752" i="1"/>
  <c r="P752" i="1"/>
  <c r="Q752" i="1"/>
  <c r="AG752" i="1"/>
  <c r="O750" i="1"/>
  <c r="P750" i="1"/>
  <c r="Q750" i="1"/>
  <c r="C750" i="1" s="1"/>
  <c r="D750" i="1" s="1"/>
  <c r="AG750" i="1"/>
  <c r="O745" i="1"/>
  <c r="P745" i="1"/>
  <c r="Q745" i="1"/>
  <c r="C745" i="1" s="1"/>
  <c r="D745" i="1" s="1"/>
  <c r="AG745" i="1"/>
  <c r="O43" i="1"/>
  <c r="AA750" i="1"/>
  <c r="Z750" i="1"/>
  <c r="U745" i="1"/>
  <c r="U752" i="1"/>
  <c r="Z745" i="1"/>
  <c r="AA752" i="1"/>
  <c r="Y754" i="1"/>
  <c r="U754" i="1"/>
  <c r="AA753" i="1"/>
  <c r="AA745" i="1"/>
  <c r="Y753" i="1"/>
  <c r="Y752" i="1"/>
  <c r="Z754" i="1"/>
  <c r="U750" i="1"/>
  <c r="Y750" i="1"/>
  <c r="U753" i="1"/>
  <c r="Y745" i="1"/>
  <c r="Z752" i="1"/>
  <c r="AA754" i="1"/>
  <c r="Z753" i="1"/>
  <c r="AF752" i="1" l="1"/>
  <c r="K752" i="1"/>
  <c r="AF750" i="1"/>
  <c r="AF754" i="1"/>
  <c r="K754" i="1"/>
  <c r="K750" i="1"/>
  <c r="AF745" i="1"/>
  <c r="AF753" i="1"/>
  <c r="K745" i="1"/>
  <c r="K753" i="1"/>
  <c r="C752" i="1"/>
  <c r="D752" i="1" s="1"/>
  <c r="E752" i="1"/>
  <c r="F752" i="1" s="1"/>
  <c r="E750" i="1"/>
  <c r="F750" i="1" s="1"/>
  <c r="H745" i="1"/>
  <c r="E745" i="1"/>
  <c r="F745" i="1" s="1"/>
  <c r="H750" i="1"/>
  <c r="H752" i="1"/>
  <c r="H754" i="1"/>
  <c r="E754" i="1"/>
  <c r="F754" i="1" s="1"/>
  <c r="H753" i="1"/>
  <c r="E753" i="1"/>
  <c r="F753" i="1" s="1"/>
  <c r="O605" i="1" l="1"/>
  <c r="P605" i="1"/>
  <c r="Q605" i="1"/>
  <c r="C605" i="1" s="1"/>
  <c r="D605" i="1" s="1"/>
  <c r="AG605" i="1"/>
  <c r="Y605" i="1"/>
  <c r="Z605" i="1"/>
  <c r="U605" i="1"/>
  <c r="K605" i="1" l="1"/>
  <c r="H605" i="1"/>
  <c r="E605" i="1"/>
  <c r="F605" i="1" s="1"/>
  <c r="O593" i="1" l="1"/>
  <c r="O594" i="1"/>
  <c r="O595" i="1"/>
  <c r="O596" i="1"/>
  <c r="O597" i="1"/>
  <c r="O598" i="1"/>
  <c r="O599" i="1"/>
  <c r="O600" i="1"/>
  <c r="O601" i="1"/>
  <c r="O602" i="1"/>
  <c r="O603" i="1"/>
  <c r="O604" i="1"/>
  <c r="P593" i="1"/>
  <c r="P594" i="1"/>
  <c r="P595" i="1"/>
  <c r="P596" i="1"/>
  <c r="P597" i="1"/>
  <c r="P598" i="1"/>
  <c r="P599" i="1"/>
  <c r="P600" i="1"/>
  <c r="P601" i="1"/>
  <c r="P602" i="1"/>
  <c r="P603" i="1"/>
  <c r="P604" i="1"/>
  <c r="Q593" i="1"/>
  <c r="C593" i="1" s="1"/>
  <c r="D593" i="1" s="1"/>
  <c r="Q594" i="1"/>
  <c r="C594" i="1" s="1"/>
  <c r="D594" i="1" s="1"/>
  <c r="Q595" i="1"/>
  <c r="C595" i="1" s="1"/>
  <c r="D595" i="1" s="1"/>
  <c r="Q596" i="1"/>
  <c r="C596" i="1" s="1"/>
  <c r="D596" i="1" s="1"/>
  <c r="Q597" i="1"/>
  <c r="C597" i="1" s="1"/>
  <c r="D597" i="1" s="1"/>
  <c r="Q598" i="1"/>
  <c r="C598" i="1" s="1"/>
  <c r="D598" i="1" s="1"/>
  <c r="Q599" i="1"/>
  <c r="C599" i="1" s="1"/>
  <c r="D599" i="1" s="1"/>
  <c r="Q600" i="1"/>
  <c r="C600" i="1" s="1"/>
  <c r="D600" i="1" s="1"/>
  <c r="Q601" i="1"/>
  <c r="C601" i="1" s="1"/>
  <c r="D601" i="1" s="1"/>
  <c r="Q602" i="1"/>
  <c r="C602" i="1" s="1"/>
  <c r="D602" i="1" s="1"/>
  <c r="Q603" i="1"/>
  <c r="C603" i="1" s="1"/>
  <c r="D603" i="1" s="1"/>
  <c r="Q604" i="1"/>
  <c r="C604" i="1" s="1"/>
  <c r="D604" i="1" s="1"/>
  <c r="AG593" i="1"/>
  <c r="AG594" i="1"/>
  <c r="AG595" i="1"/>
  <c r="AG596" i="1"/>
  <c r="AG597" i="1"/>
  <c r="AG598" i="1"/>
  <c r="AG599" i="1"/>
  <c r="AG600" i="1"/>
  <c r="AG601" i="1"/>
  <c r="AG602" i="1"/>
  <c r="AG603" i="1"/>
  <c r="AG604" i="1"/>
  <c r="O61" i="1"/>
  <c r="P61" i="1"/>
  <c r="Q61" i="1"/>
  <c r="C61" i="1" s="1"/>
  <c r="D61" i="1" s="1"/>
  <c r="AG61" i="1"/>
  <c r="O592" i="1"/>
  <c r="P592" i="1"/>
  <c r="Q592" i="1"/>
  <c r="C592" i="1" s="1"/>
  <c r="D592" i="1" s="1"/>
  <c r="AG592" i="1"/>
  <c r="O44" i="1"/>
  <c r="P44" i="1"/>
  <c r="Q44" i="1"/>
  <c r="C44" i="1" s="1"/>
  <c r="D44" i="1" s="1"/>
  <c r="AG44" i="1"/>
  <c r="P43" i="1"/>
  <c r="Q43" i="1"/>
  <c r="C43" i="1" s="1"/>
  <c r="D43" i="1" s="1"/>
  <c r="AG43" i="1"/>
  <c r="O39" i="1"/>
  <c r="P39" i="1"/>
  <c r="Q39" i="1"/>
  <c r="C39" i="1" s="1"/>
  <c r="D39" i="1" s="1"/>
  <c r="AG39" i="1"/>
  <c r="O591" i="1"/>
  <c r="P591" i="1"/>
  <c r="Q591" i="1"/>
  <c r="E591" i="1" s="1"/>
  <c r="F591" i="1" s="1"/>
  <c r="AG591" i="1"/>
  <c r="Z61" i="1"/>
  <c r="Y601" i="1"/>
  <c r="Z595" i="1"/>
  <c r="Z592" i="1"/>
  <c r="U591" i="1"/>
  <c r="U599" i="1"/>
  <c r="Z604" i="1"/>
  <c r="U39" i="1"/>
  <c r="Z597" i="1"/>
  <c r="Y603" i="1"/>
  <c r="Y591" i="1"/>
  <c r="Y595" i="1"/>
  <c r="Z599" i="1"/>
  <c r="U43" i="1"/>
  <c r="Z43" i="1"/>
  <c r="U598" i="1"/>
  <c r="Y596" i="1"/>
  <c r="Z591" i="1"/>
  <c r="Y600" i="1"/>
  <c r="Y594" i="1"/>
  <c r="Z598" i="1"/>
  <c r="U61" i="1"/>
  <c r="U601" i="1"/>
  <c r="Z593" i="1"/>
  <c r="U592" i="1"/>
  <c r="U594" i="1"/>
  <c r="Y598" i="1"/>
  <c r="Y39" i="1"/>
  <c r="Y593" i="1"/>
  <c r="Y44" i="1"/>
  <c r="U604" i="1"/>
  <c r="Y604" i="1"/>
  <c r="U593" i="1"/>
  <c r="Y592" i="1"/>
  <c r="Z603" i="1"/>
  <c r="Z39" i="1"/>
  <c r="Z602" i="1"/>
  <c r="U603" i="1"/>
  <c r="Z596" i="1"/>
  <c r="U602" i="1"/>
  <c r="Z594" i="1"/>
  <c r="U597" i="1"/>
  <c r="U596" i="1"/>
  <c r="U600" i="1"/>
  <c r="U44" i="1"/>
  <c r="Y597" i="1"/>
  <c r="Z601" i="1"/>
  <c r="Y43" i="1"/>
  <c r="U595" i="1"/>
  <c r="Y599" i="1"/>
  <c r="Z600" i="1"/>
  <c r="Z44" i="1"/>
  <c r="Y61" i="1"/>
  <c r="Y602" i="1"/>
  <c r="K592" i="1" l="1"/>
  <c r="K604" i="1"/>
  <c r="K603" i="1"/>
  <c r="K602" i="1"/>
  <c r="K601" i="1"/>
  <c r="K600" i="1"/>
  <c r="K599" i="1"/>
  <c r="K44" i="1"/>
  <c r="K598" i="1"/>
  <c r="K61" i="1"/>
  <c r="K597" i="1"/>
  <c r="K39" i="1"/>
  <c r="K595" i="1"/>
  <c r="K594" i="1"/>
  <c r="K596" i="1"/>
  <c r="K591" i="1"/>
  <c r="K43" i="1"/>
  <c r="K593" i="1"/>
  <c r="H39" i="1"/>
  <c r="E39" i="1"/>
  <c r="F39" i="1" s="1"/>
  <c r="H604" i="1"/>
  <c r="E604" i="1"/>
  <c r="F604" i="1" s="1"/>
  <c r="H603" i="1"/>
  <c r="E603" i="1"/>
  <c r="F603" i="1" s="1"/>
  <c r="H602" i="1"/>
  <c r="E602" i="1"/>
  <c r="F602" i="1" s="1"/>
  <c r="H601" i="1"/>
  <c r="E601" i="1"/>
  <c r="F601" i="1" s="1"/>
  <c r="H600" i="1"/>
  <c r="E600" i="1"/>
  <c r="F600" i="1" s="1"/>
  <c r="H599" i="1"/>
  <c r="E599" i="1"/>
  <c r="F599" i="1" s="1"/>
  <c r="H598" i="1"/>
  <c r="E598" i="1"/>
  <c r="F598" i="1" s="1"/>
  <c r="H597" i="1"/>
  <c r="E597" i="1"/>
  <c r="F597" i="1" s="1"/>
  <c r="H596" i="1"/>
  <c r="E596" i="1"/>
  <c r="F596" i="1" s="1"/>
  <c r="H595" i="1"/>
  <c r="E595" i="1"/>
  <c r="F595" i="1" s="1"/>
  <c r="H594" i="1"/>
  <c r="E594" i="1"/>
  <c r="F594" i="1" s="1"/>
  <c r="H593" i="1"/>
  <c r="E593" i="1"/>
  <c r="F593" i="1" s="1"/>
  <c r="H61" i="1"/>
  <c r="E61" i="1"/>
  <c r="F61" i="1" s="1"/>
  <c r="H592" i="1"/>
  <c r="E592" i="1"/>
  <c r="F592" i="1" s="1"/>
  <c r="E44" i="1"/>
  <c r="F44" i="1" s="1"/>
  <c r="H44" i="1"/>
  <c r="H43" i="1"/>
  <c r="E43" i="1"/>
  <c r="F43" i="1" s="1"/>
  <c r="C591" i="1"/>
  <c r="D591" i="1" s="1"/>
  <c r="H591" i="1"/>
  <c r="O323" i="1" l="1"/>
  <c r="P323" i="1"/>
  <c r="Q323" i="1"/>
  <c r="C323" i="1" s="1"/>
  <c r="D323" i="1" s="1"/>
  <c r="AG323" i="1"/>
  <c r="O321" i="1"/>
  <c r="P321" i="1"/>
  <c r="Q321" i="1"/>
  <c r="C321" i="1" s="1"/>
  <c r="D321" i="1" s="1"/>
  <c r="AG321" i="1"/>
  <c r="O319" i="1"/>
  <c r="P319" i="1"/>
  <c r="Q319" i="1"/>
  <c r="H319" i="1" s="1"/>
  <c r="AG319" i="1"/>
  <c r="O315" i="1"/>
  <c r="P315" i="1"/>
  <c r="Q315" i="1"/>
  <c r="C315" i="1" s="1"/>
  <c r="D315" i="1" s="1"/>
  <c r="AG315" i="1"/>
  <c r="O311" i="1"/>
  <c r="P311" i="1"/>
  <c r="Q311" i="1"/>
  <c r="C311" i="1" s="1"/>
  <c r="D311" i="1" s="1"/>
  <c r="AG311" i="1"/>
  <c r="O309" i="1"/>
  <c r="P309" i="1"/>
  <c r="Q309" i="1"/>
  <c r="C309" i="1" s="1"/>
  <c r="D309" i="1" s="1"/>
  <c r="AG309" i="1"/>
  <c r="O307" i="1"/>
  <c r="P307" i="1"/>
  <c r="Q307" i="1"/>
  <c r="C307" i="1" s="1"/>
  <c r="D307" i="1" s="1"/>
  <c r="AG307" i="1"/>
  <c r="O317" i="1"/>
  <c r="P317" i="1"/>
  <c r="Q317" i="1"/>
  <c r="C317" i="1" s="1"/>
  <c r="D317" i="1" s="1"/>
  <c r="AG317" i="1"/>
  <c r="O313" i="1"/>
  <c r="P313" i="1"/>
  <c r="Q313" i="1"/>
  <c r="C313" i="1" s="1"/>
  <c r="D313" i="1" s="1"/>
  <c r="AG313" i="1"/>
  <c r="O306" i="1"/>
  <c r="P306" i="1"/>
  <c r="Q306" i="1"/>
  <c r="C306" i="1" s="1"/>
  <c r="D306" i="1" s="1"/>
  <c r="AG306" i="1"/>
  <c r="O304" i="1"/>
  <c r="P304" i="1"/>
  <c r="Q304" i="1"/>
  <c r="C304" i="1" s="1"/>
  <c r="D304" i="1" s="1"/>
  <c r="AG304" i="1"/>
  <c r="O302" i="1"/>
  <c r="P302" i="1"/>
  <c r="Q302" i="1"/>
  <c r="C302" i="1" s="1"/>
  <c r="D302" i="1" s="1"/>
  <c r="AG302" i="1"/>
  <c r="O300" i="1"/>
  <c r="P300" i="1"/>
  <c r="Q300" i="1"/>
  <c r="C300" i="1" s="1"/>
  <c r="D300" i="1" s="1"/>
  <c r="AG300" i="1"/>
  <c r="O298" i="1"/>
  <c r="P298" i="1"/>
  <c r="Q298" i="1"/>
  <c r="C298" i="1" s="1"/>
  <c r="D298" i="1" s="1"/>
  <c r="AG298" i="1"/>
  <c r="O296" i="1"/>
  <c r="P296" i="1"/>
  <c r="Q296" i="1"/>
  <c r="C296" i="1" s="1"/>
  <c r="D296" i="1" s="1"/>
  <c r="AG296" i="1"/>
  <c r="Z317" i="1"/>
  <c r="AA323" i="1"/>
  <c r="U313" i="1"/>
  <c r="U317" i="1"/>
  <c r="U319" i="1"/>
  <c r="Z315" i="1"/>
  <c r="Y302" i="1"/>
  <c r="Y313" i="1"/>
  <c r="Y319" i="1"/>
  <c r="Z302" i="1"/>
  <c r="AA302" i="1"/>
  <c r="Z311" i="1"/>
  <c r="U298" i="1"/>
  <c r="Y315" i="1"/>
  <c r="Y317" i="1"/>
  <c r="Z296" i="1"/>
  <c r="Z309" i="1"/>
  <c r="Y298" i="1"/>
  <c r="AA306" i="1"/>
  <c r="U300" i="1"/>
  <c r="U323" i="1"/>
  <c r="Y321" i="1"/>
  <c r="Y306" i="1"/>
  <c r="Y304" i="1"/>
  <c r="U321" i="1"/>
  <c r="Y309" i="1"/>
  <c r="Z319" i="1"/>
  <c r="Z321" i="1"/>
  <c r="Z313" i="1"/>
  <c r="U311" i="1"/>
  <c r="Z300" i="1"/>
  <c r="Y323" i="1"/>
  <c r="Z306" i="1"/>
  <c r="U296" i="1"/>
  <c r="Z304" i="1"/>
  <c r="Z307" i="1"/>
  <c r="Y296" i="1"/>
  <c r="AA321" i="1"/>
  <c r="U304" i="1"/>
  <c r="Y311" i="1"/>
  <c r="U315" i="1"/>
  <c r="Z298" i="1"/>
  <c r="U307" i="1"/>
  <c r="AA307" i="1"/>
  <c r="Z323" i="1"/>
  <c r="AA317" i="1"/>
  <c r="Y300" i="1"/>
  <c r="U302" i="1"/>
  <c r="U306" i="1"/>
  <c r="Y307" i="1"/>
  <c r="K307" i="1" l="1"/>
  <c r="K306" i="1"/>
  <c r="K311" i="1"/>
  <c r="K300" i="1"/>
  <c r="AF317" i="1"/>
  <c r="K296" i="1"/>
  <c r="K319" i="1"/>
  <c r="K317" i="1"/>
  <c r="AF323" i="1"/>
  <c r="K304" i="1"/>
  <c r="K309" i="1"/>
  <c r="K323" i="1"/>
  <c r="AF302" i="1"/>
  <c r="K313" i="1"/>
  <c r="K315" i="1"/>
  <c r="AF321" i="1"/>
  <c r="K298" i="1"/>
  <c r="AF307" i="1"/>
  <c r="K302" i="1"/>
  <c r="AF306" i="1"/>
  <c r="K321" i="1"/>
  <c r="H323" i="1"/>
  <c r="E323" i="1"/>
  <c r="F323" i="1" s="1"/>
  <c r="E319" i="1"/>
  <c r="F319" i="1" s="1"/>
  <c r="H321" i="1"/>
  <c r="C319" i="1"/>
  <c r="D319" i="1" s="1"/>
  <c r="E321" i="1"/>
  <c r="F321" i="1" s="1"/>
  <c r="H315" i="1"/>
  <c r="E315" i="1"/>
  <c r="F315" i="1" s="1"/>
  <c r="H309" i="1"/>
  <c r="E309" i="1"/>
  <c r="F309" i="1" s="1"/>
  <c r="H311" i="1"/>
  <c r="E311" i="1"/>
  <c r="F311" i="1" s="1"/>
  <c r="H307" i="1"/>
  <c r="E307" i="1"/>
  <c r="F307" i="1" s="1"/>
  <c r="H317" i="1"/>
  <c r="E317" i="1"/>
  <c r="F317" i="1" s="1"/>
  <c r="H313" i="1"/>
  <c r="E313" i="1"/>
  <c r="F313" i="1" s="1"/>
  <c r="H306" i="1"/>
  <c r="E306" i="1"/>
  <c r="F306" i="1" s="1"/>
  <c r="H304" i="1"/>
  <c r="E304" i="1"/>
  <c r="F304" i="1" s="1"/>
  <c r="H302" i="1"/>
  <c r="E302" i="1"/>
  <c r="F302" i="1" s="1"/>
  <c r="H300" i="1"/>
  <c r="E300" i="1"/>
  <c r="F300" i="1" s="1"/>
  <c r="H298" i="1"/>
  <c r="E298" i="1"/>
  <c r="F298" i="1" s="1"/>
  <c r="H296" i="1"/>
  <c r="E296" i="1"/>
  <c r="F296" i="1" s="1"/>
  <c r="O560" i="1" l="1"/>
  <c r="O561" i="1"/>
  <c r="O562" i="1"/>
  <c r="O564" i="1"/>
  <c r="O565" i="1"/>
  <c r="O566" i="1"/>
  <c r="O567" i="1"/>
  <c r="O568" i="1"/>
  <c r="O569" i="1"/>
  <c r="O570" i="1"/>
  <c r="O571" i="1"/>
  <c r="O572" i="1"/>
  <c r="O573" i="1"/>
  <c r="O574" i="1"/>
  <c r="O575" i="1"/>
  <c r="O576" i="1"/>
  <c r="O577" i="1"/>
  <c r="O578" i="1"/>
  <c r="O579" i="1"/>
  <c r="O580" i="1"/>
  <c r="O581" i="1"/>
  <c r="O582" i="1"/>
  <c r="O583" i="1"/>
  <c r="O584" i="1"/>
  <c r="O585" i="1"/>
  <c r="O586" i="1"/>
  <c r="O587" i="1"/>
  <c r="O588" i="1"/>
  <c r="O589" i="1"/>
  <c r="O590" i="1"/>
  <c r="P560" i="1"/>
  <c r="P561" i="1"/>
  <c r="P562" i="1"/>
  <c r="P564" i="1"/>
  <c r="P565" i="1"/>
  <c r="P566" i="1"/>
  <c r="P567" i="1"/>
  <c r="P568" i="1"/>
  <c r="P569" i="1"/>
  <c r="P570" i="1"/>
  <c r="P571" i="1"/>
  <c r="P572" i="1"/>
  <c r="P573" i="1"/>
  <c r="P574" i="1"/>
  <c r="P575" i="1"/>
  <c r="P576" i="1"/>
  <c r="P577" i="1"/>
  <c r="P578" i="1"/>
  <c r="P579" i="1"/>
  <c r="P580" i="1"/>
  <c r="P581" i="1"/>
  <c r="P582" i="1"/>
  <c r="P583" i="1"/>
  <c r="P584" i="1"/>
  <c r="P585" i="1"/>
  <c r="P586" i="1"/>
  <c r="P587" i="1"/>
  <c r="P588" i="1"/>
  <c r="P589" i="1"/>
  <c r="P590" i="1"/>
  <c r="Q560" i="1"/>
  <c r="C560" i="1" s="1"/>
  <c r="D560" i="1" s="1"/>
  <c r="Q561" i="1"/>
  <c r="C561" i="1" s="1"/>
  <c r="D561" i="1" s="1"/>
  <c r="Q562" i="1"/>
  <c r="E562" i="1" s="1"/>
  <c r="F562" i="1" s="1"/>
  <c r="Q564" i="1"/>
  <c r="E564" i="1" s="1"/>
  <c r="F564" i="1" s="1"/>
  <c r="Q565" i="1"/>
  <c r="H565" i="1" s="1"/>
  <c r="Q566" i="1"/>
  <c r="H566" i="1" s="1"/>
  <c r="Q567" i="1"/>
  <c r="H567" i="1" s="1"/>
  <c r="Q568" i="1"/>
  <c r="H568" i="1" s="1"/>
  <c r="Q569" i="1"/>
  <c r="E569" i="1" s="1"/>
  <c r="F569" i="1" s="1"/>
  <c r="Q570" i="1"/>
  <c r="E570" i="1" s="1"/>
  <c r="F570" i="1" s="1"/>
  <c r="Q571" i="1"/>
  <c r="H571" i="1" s="1"/>
  <c r="Q572" i="1"/>
  <c r="H572" i="1" s="1"/>
  <c r="Q573" i="1"/>
  <c r="C573" i="1" s="1"/>
  <c r="D573" i="1" s="1"/>
  <c r="Q574" i="1"/>
  <c r="C574" i="1" s="1"/>
  <c r="D574" i="1" s="1"/>
  <c r="Q575" i="1"/>
  <c r="E575" i="1" s="1"/>
  <c r="F575" i="1" s="1"/>
  <c r="Q576" i="1"/>
  <c r="E576" i="1" s="1"/>
  <c r="F576" i="1" s="1"/>
  <c r="Q577" i="1"/>
  <c r="H577" i="1" s="1"/>
  <c r="Q578" i="1"/>
  <c r="H578" i="1" s="1"/>
  <c r="Q579" i="1"/>
  <c r="H579" i="1" s="1"/>
  <c r="Q580" i="1"/>
  <c r="H580" i="1" s="1"/>
  <c r="Q581" i="1"/>
  <c r="C581" i="1" s="1"/>
  <c r="D581" i="1" s="1"/>
  <c r="Q582" i="1"/>
  <c r="C582" i="1" s="1"/>
  <c r="D582" i="1" s="1"/>
  <c r="Q583" i="1"/>
  <c r="C583" i="1" s="1"/>
  <c r="D583" i="1" s="1"/>
  <c r="Q584" i="1"/>
  <c r="H584" i="1" s="1"/>
  <c r="Q585" i="1"/>
  <c r="C585" i="1" s="1"/>
  <c r="D585" i="1" s="1"/>
  <c r="Q586" i="1"/>
  <c r="C586" i="1" s="1"/>
  <c r="D586" i="1" s="1"/>
  <c r="Q587" i="1"/>
  <c r="E587" i="1" s="1"/>
  <c r="F587" i="1" s="1"/>
  <c r="Q588" i="1"/>
  <c r="E588" i="1" s="1"/>
  <c r="F588" i="1" s="1"/>
  <c r="Q589" i="1"/>
  <c r="H589" i="1" s="1"/>
  <c r="Q590" i="1"/>
  <c r="H590" i="1" s="1"/>
  <c r="AG560" i="1"/>
  <c r="AG561" i="1"/>
  <c r="AG562" i="1"/>
  <c r="AG564" i="1"/>
  <c r="AG565" i="1"/>
  <c r="AG566" i="1"/>
  <c r="AG567" i="1"/>
  <c r="AG568" i="1"/>
  <c r="AG569" i="1"/>
  <c r="AG570" i="1"/>
  <c r="AG571" i="1"/>
  <c r="AG572" i="1"/>
  <c r="AG573" i="1"/>
  <c r="AG574" i="1"/>
  <c r="AG575" i="1"/>
  <c r="AG576" i="1"/>
  <c r="AG577" i="1"/>
  <c r="AG578" i="1"/>
  <c r="AG579" i="1"/>
  <c r="AG580" i="1"/>
  <c r="AG581" i="1"/>
  <c r="AG582" i="1"/>
  <c r="AG583" i="1"/>
  <c r="AG584" i="1"/>
  <c r="AG585" i="1"/>
  <c r="AG586" i="1"/>
  <c r="AG587" i="1"/>
  <c r="AG588" i="1"/>
  <c r="AG589" i="1"/>
  <c r="AG590" i="1"/>
  <c r="O352" i="1"/>
  <c r="P352" i="1"/>
  <c r="Q352" i="1"/>
  <c r="C352" i="1" s="1"/>
  <c r="D352" i="1" s="1"/>
  <c r="AG352" i="1"/>
  <c r="U568" i="1"/>
  <c r="Y576" i="1"/>
  <c r="AA573" i="1"/>
  <c r="AA579" i="1"/>
  <c r="Y568" i="1"/>
  <c r="Z575" i="1"/>
  <c r="U580" i="1"/>
  <c r="Y588" i="1"/>
  <c r="Z586" i="1"/>
  <c r="U566" i="1"/>
  <c r="Y580" i="1"/>
  <c r="Z587" i="1"/>
  <c r="AA586" i="1"/>
  <c r="Z580" i="1"/>
  <c r="Z584" i="1"/>
  <c r="Y577" i="1"/>
  <c r="AA562" i="1"/>
  <c r="Z564" i="1"/>
  <c r="U576" i="1"/>
  <c r="Z578" i="1"/>
  <c r="Y564" i="1"/>
  <c r="AA569" i="1"/>
  <c r="Z573" i="1"/>
  <c r="U586" i="1"/>
  <c r="Z562" i="1"/>
  <c r="Z577" i="1"/>
  <c r="Y586" i="1"/>
  <c r="AA570" i="1"/>
  <c r="Y573" i="1"/>
  <c r="U352" i="1"/>
  <c r="Y582" i="1"/>
  <c r="Z568" i="1"/>
  <c r="Z571" i="1"/>
  <c r="Z567" i="1"/>
  <c r="Y570" i="1"/>
  <c r="Y572" i="1"/>
  <c r="Y575" i="1"/>
  <c r="U572" i="1"/>
  <c r="U561" i="1"/>
  <c r="Y574" i="1"/>
  <c r="U571" i="1"/>
  <c r="Z574" i="1"/>
  <c r="U565" i="1"/>
  <c r="Z561" i="1"/>
  <c r="AA581" i="1"/>
  <c r="Z352" i="1"/>
  <c r="Z569" i="1"/>
  <c r="Z585" i="1"/>
  <c r="U562" i="1"/>
  <c r="U575" i="1"/>
  <c r="U589" i="1"/>
  <c r="U583" i="1"/>
  <c r="Y565" i="1"/>
  <c r="Z566" i="1"/>
  <c r="Z560" i="1"/>
  <c r="AA572" i="1"/>
  <c r="U577" i="1"/>
  <c r="Z582" i="1"/>
  <c r="Y560" i="1"/>
  <c r="U588" i="1"/>
  <c r="U581" i="1"/>
  <c r="Y567" i="1"/>
  <c r="Z583" i="1"/>
  <c r="U584" i="1"/>
  <c r="Y352" i="1"/>
  <c r="Y584" i="1"/>
  <c r="Y562" i="1"/>
  <c r="Y579" i="1"/>
  <c r="AA571" i="1"/>
  <c r="Y590" i="1"/>
  <c r="Z590" i="1"/>
  <c r="U564" i="1"/>
  <c r="Z589" i="1"/>
  <c r="U582" i="1"/>
  <c r="Y587" i="1"/>
  <c r="U585" i="1"/>
  <c r="U574" i="1"/>
  <c r="Y581" i="1"/>
  <c r="Z565" i="1"/>
  <c r="AA564" i="1"/>
  <c r="U573" i="1"/>
  <c r="Y589" i="1"/>
  <c r="Y585" i="1"/>
  <c r="AA583" i="1"/>
  <c r="Z588" i="1"/>
  <c r="Y571" i="1"/>
  <c r="Z572" i="1"/>
  <c r="U560" i="1"/>
  <c r="Y569" i="1"/>
  <c r="Y583" i="1"/>
  <c r="Y561" i="1"/>
  <c r="Z570" i="1"/>
  <c r="Z579" i="1"/>
  <c r="U579" i="1"/>
  <c r="Y566" i="1"/>
  <c r="Z581" i="1"/>
  <c r="U590" i="1"/>
  <c r="Y578" i="1"/>
  <c r="Z576" i="1"/>
  <c r="U587" i="1"/>
  <c r="U578" i="1"/>
  <c r="U570" i="1"/>
  <c r="U569" i="1"/>
  <c r="K572" i="1" l="1"/>
  <c r="AF586" i="1"/>
  <c r="K583" i="1"/>
  <c r="K571" i="1"/>
  <c r="K584" i="1"/>
  <c r="K582" i="1"/>
  <c r="AF581" i="1"/>
  <c r="K581" i="1"/>
  <c r="K569" i="1"/>
  <c r="K352" i="1"/>
  <c r="AF583" i="1"/>
  <c r="K570" i="1"/>
  <c r="K580" i="1"/>
  <c r="K568" i="1"/>
  <c r="AF572" i="1"/>
  <c r="K590" i="1"/>
  <c r="K585" i="1"/>
  <c r="AF562" i="1"/>
  <c r="K573" i="1"/>
  <c r="K560" i="1"/>
  <c r="AF579" i="1"/>
  <c r="K578" i="1"/>
  <c r="K566" i="1"/>
  <c r="AF571" i="1"/>
  <c r="K589" i="1"/>
  <c r="K577" i="1"/>
  <c r="K565" i="1"/>
  <c r="AF573" i="1"/>
  <c r="AF569" i="1"/>
  <c r="K587" i="1"/>
  <c r="K579" i="1"/>
  <c r="K567" i="1"/>
  <c r="AF570" i="1"/>
  <c r="K588" i="1"/>
  <c r="K576" i="1"/>
  <c r="K564" i="1"/>
  <c r="K575" i="1"/>
  <c r="K562" i="1"/>
  <c r="AF564" i="1"/>
  <c r="K586" i="1"/>
  <c r="K574" i="1"/>
  <c r="K561" i="1"/>
  <c r="H570" i="1"/>
  <c r="E584" i="1"/>
  <c r="F584" i="1" s="1"/>
  <c r="C579" i="1"/>
  <c r="D579" i="1" s="1"/>
  <c r="H569" i="1"/>
  <c r="E583" i="1"/>
  <c r="F583" i="1" s="1"/>
  <c r="C578" i="1"/>
  <c r="D578" i="1" s="1"/>
  <c r="H564" i="1"/>
  <c r="E582" i="1"/>
  <c r="F582" i="1" s="1"/>
  <c r="C577" i="1"/>
  <c r="D577" i="1" s="1"/>
  <c r="E581" i="1"/>
  <c r="F581" i="1" s="1"/>
  <c r="C576" i="1"/>
  <c r="D576" i="1" s="1"/>
  <c r="E580" i="1"/>
  <c r="F580" i="1" s="1"/>
  <c r="C572" i="1"/>
  <c r="D572" i="1" s="1"/>
  <c r="E579" i="1"/>
  <c r="F579" i="1" s="1"/>
  <c r="C590" i="1"/>
  <c r="D590" i="1" s="1"/>
  <c r="C571" i="1"/>
  <c r="D571" i="1" s="1"/>
  <c r="H588" i="1"/>
  <c r="E572" i="1"/>
  <c r="F572" i="1" s="1"/>
  <c r="C589" i="1"/>
  <c r="D589" i="1" s="1"/>
  <c r="C570" i="1"/>
  <c r="D570" i="1" s="1"/>
  <c r="H583" i="1"/>
  <c r="E571" i="1"/>
  <c r="F571" i="1" s="1"/>
  <c r="C588" i="1"/>
  <c r="D588" i="1" s="1"/>
  <c r="C569" i="1"/>
  <c r="D569" i="1" s="1"/>
  <c r="H582" i="1"/>
  <c r="C584" i="1"/>
  <c r="D584" i="1" s="1"/>
  <c r="C567" i="1"/>
  <c r="D567" i="1" s="1"/>
  <c r="H581" i="1"/>
  <c r="C566" i="1"/>
  <c r="D566" i="1" s="1"/>
  <c r="H576" i="1"/>
  <c r="E568" i="1"/>
  <c r="F568" i="1" s="1"/>
  <c r="C565" i="1"/>
  <c r="D565" i="1" s="1"/>
  <c r="E567" i="1"/>
  <c r="F567" i="1" s="1"/>
  <c r="C564" i="1"/>
  <c r="D564" i="1" s="1"/>
  <c r="E586" i="1"/>
  <c r="F586" i="1" s="1"/>
  <c r="E574" i="1"/>
  <c r="F574" i="1" s="1"/>
  <c r="E561" i="1"/>
  <c r="F561" i="1" s="1"/>
  <c r="H587" i="1"/>
  <c r="H575" i="1"/>
  <c r="H562" i="1"/>
  <c r="E585" i="1"/>
  <c r="F585" i="1" s="1"/>
  <c r="E573" i="1"/>
  <c r="F573" i="1" s="1"/>
  <c r="E560" i="1"/>
  <c r="F560" i="1" s="1"/>
  <c r="H586" i="1"/>
  <c r="H574" i="1"/>
  <c r="H561" i="1"/>
  <c r="H585" i="1"/>
  <c r="H573" i="1"/>
  <c r="H560" i="1"/>
  <c r="C580" i="1"/>
  <c r="D580" i="1" s="1"/>
  <c r="C568" i="1"/>
  <c r="D568" i="1" s="1"/>
  <c r="E590" i="1"/>
  <c r="F590" i="1" s="1"/>
  <c r="E578" i="1"/>
  <c r="F578" i="1" s="1"/>
  <c r="E566" i="1"/>
  <c r="F566" i="1" s="1"/>
  <c r="E589" i="1"/>
  <c r="F589" i="1" s="1"/>
  <c r="E577" i="1"/>
  <c r="F577" i="1" s="1"/>
  <c r="E565" i="1"/>
  <c r="F565" i="1" s="1"/>
  <c r="C587" i="1"/>
  <c r="D587" i="1" s="1"/>
  <c r="C575" i="1"/>
  <c r="D575" i="1" s="1"/>
  <c r="C562" i="1"/>
  <c r="D562" i="1" s="1"/>
  <c r="H352" i="1"/>
  <c r="E352" i="1"/>
  <c r="F352" i="1" s="1"/>
  <c r="P51" i="1" l="1"/>
  <c r="O51" i="1"/>
  <c r="O231" i="1" l="1"/>
  <c r="P231" i="1"/>
  <c r="Q231" i="1"/>
  <c r="AG231" i="1"/>
  <c r="AI634" i="1" a="1"/>
  <c r="AH579" i="1" a="1"/>
  <c r="AH629" i="1" a="1"/>
  <c r="AH750" i="1" a="1"/>
  <c r="AI317" i="1" a="1"/>
  <c r="AI302" i="1" a="1"/>
  <c r="AH704" i="1" a="1"/>
  <c r="AH323" i="1" a="1"/>
  <c r="AH745" i="1" a="1"/>
  <c r="AH581" i="1" a="1"/>
  <c r="AH302" i="1" a="1"/>
  <c r="AI569" i="1" a="1"/>
  <c r="AA231" i="1"/>
  <c r="AI581" i="1" a="1"/>
  <c r="AH751" i="1" a="1"/>
  <c r="AH321" i="1" a="1"/>
  <c r="AI307" i="1" a="1"/>
  <c r="AI669" i="1" a="1"/>
  <c r="AH572" i="1" a="1"/>
  <c r="AI323" i="1" a="1"/>
  <c r="Y231" i="1"/>
  <c r="AI748" i="1" a="1"/>
  <c r="AI573" i="1" a="1"/>
  <c r="AI579" i="1" a="1"/>
  <c r="AH307" i="1" a="1"/>
  <c r="AI753" i="1" a="1"/>
  <c r="AI586" i="1" a="1"/>
  <c r="AI571" i="1" a="1"/>
  <c r="AH753" i="1" a="1"/>
  <c r="AI751" i="1" a="1"/>
  <c r="AI570" i="1" a="1"/>
  <c r="AI564" i="1" a="1"/>
  <c r="AI583" i="1" a="1"/>
  <c r="AH583" i="1" a="1"/>
  <c r="AH701" i="1" a="1"/>
  <c r="AH98" i="1" a="1"/>
  <c r="AI752" i="1" a="1"/>
  <c r="AI704" i="1" a="1"/>
  <c r="AH564" i="1" a="1"/>
  <c r="AI701" i="1" a="1"/>
  <c r="AH634" i="1" a="1"/>
  <c r="AI682" i="1" a="1"/>
  <c r="AI321" i="1" a="1"/>
  <c r="AH682" i="1" a="1"/>
  <c r="AI754" i="1" a="1"/>
  <c r="Z231" i="1"/>
  <c r="AH586" i="1" a="1"/>
  <c r="AH306" i="1" a="1"/>
  <c r="AH752" i="1" a="1"/>
  <c r="AH754" i="1" a="1"/>
  <c r="AH748" i="1" a="1"/>
  <c r="AH569" i="1" a="1"/>
  <c r="AI703" i="1" a="1"/>
  <c r="AH703" i="1" a="1"/>
  <c r="AH573" i="1" a="1"/>
  <c r="AI629" i="1" a="1"/>
  <c r="AI98" i="1" a="1"/>
  <c r="AI306" i="1" a="1"/>
  <c r="AH562" i="1" a="1"/>
  <c r="AI572" i="1" a="1"/>
  <c r="AH669" i="1" a="1"/>
  <c r="AH317" i="1" a="1"/>
  <c r="AH570" i="1" a="1"/>
  <c r="AI562" i="1" a="1"/>
  <c r="AI705" i="1" a="1"/>
  <c r="AI745" i="1" a="1"/>
  <c r="AH705" i="1" a="1"/>
  <c r="AH571" i="1" a="1"/>
  <c r="AI750" i="1" a="1"/>
  <c r="U231" i="1"/>
  <c r="K231" i="1" l="1"/>
  <c r="AF231" i="1"/>
  <c r="AH705" i="1"/>
  <c r="AD705" i="1" s="1"/>
  <c r="AI573" i="1"/>
  <c r="AB573" i="1" s="1"/>
  <c r="AI752" i="1"/>
  <c r="AB752" i="1" s="1"/>
  <c r="AH583" i="1"/>
  <c r="AD583" i="1" s="1"/>
  <c r="AI562" i="1"/>
  <c r="AB562" i="1" s="1"/>
  <c r="AH751" i="1"/>
  <c r="AD751" i="1" s="1"/>
  <c r="AI751" i="1"/>
  <c r="AB751" i="1" s="1"/>
  <c r="AI306" i="1"/>
  <c r="AB306" i="1" s="1"/>
  <c r="AH629" i="1"/>
  <c r="AD629" i="1" s="1"/>
  <c r="AH704" i="1"/>
  <c r="AD704" i="1" s="1"/>
  <c r="AH748" i="1"/>
  <c r="AD748" i="1" s="1"/>
  <c r="AI321" i="1"/>
  <c r="AB321" i="1" s="1"/>
  <c r="AI572" i="1"/>
  <c r="AB572" i="1" s="1"/>
  <c r="AH701" i="1"/>
  <c r="AD701" i="1" s="1"/>
  <c r="AI323" i="1"/>
  <c r="AB323" i="1" s="1"/>
  <c r="AI569" i="1"/>
  <c r="AB569" i="1" s="1"/>
  <c r="AH573" i="1"/>
  <c r="AD573" i="1" s="1"/>
  <c r="AI570" i="1"/>
  <c r="AB570" i="1" s="1"/>
  <c r="AH571" i="1"/>
  <c r="AD571" i="1" s="1"/>
  <c r="AH750" i="1"/>
  <c r="AD750" i="1" s="1"/>
  <c r="AH307" i="1"/>
  <c r="AD307" i="1" s="1"/>
  <c r="AH562" i="1"/>
  <c r="AD562" i="1" s="1"/>
  <c r="AH669" i="1"/>
  <c r="AD669" i="1" s="1"/>
  <c r="AI634" i="1"/>
  <c r="AB634" i="1" s="1"/>
  <c r="AH586" i="1"/>
  <c r="AD586" i="1" s="1"/>
  <c r="AI703" i="1"/>
  <c r="AB703" i="1" s="1"/>
  <c r="AH754" i="1"/>
  <c r="AD754" i="1" s="1"/>
  <c r="AI682" i="1"/>
  <c r="AB682" i="1" s="1"/>
  <c r="AI579" i="1"/>
  <c r="AB579" i="1" s="1"/>
  <c r="AI754" i="1"/>
  <c r="AB754" i="1" s="1"/>
  <c r="AH572" i="1"/>
  <c r="AD572" i="1" s="1"/>
  <c r="AH302" i="1"/>
  <c r="AD302" i="1" s="1"/>
  <c r="AH564" i="1"/>
  <c r="AD564" i="1" s="1"/>
  <c r="AI629" i="1"/>
  <c r="AB629" i="1" s="1"/>
  <c r="AI302" i="1"/>
  <c r="AB302" i="1" s="1"/>
  <c r="AI705" i="1"/>
  <c r="AB705" i="1" s="1"/>
  <c r="AH321" i="1"/>
  <c r="AD321" i="1" s="1"/>
  <c r="AI748" i="1"/>
  <c r="AB748" i="1" s="1"/>
  <c r="AH579" i="1"/>
  <c r="AD579" i="1" s="1"/>
  <c r="AI753" i="1"/>
  <c r="AB753" i="1" s="1"/>
  <c r="AI704" i="1"/>
  <c r="AB704" i="1" s="1"/>
  <c r="AI581" i="1"/>
  <c r="AB581" i="1" s="1"/>
  <c r="AH752" i="1"/>
  <c r="AD752" i="1" s="1"/>
  <c r="AH634" i="1"/>
  <c r="AD634" i="1" s="1"/>
  <c r="AH323" i="1"/>
  <c r="AD323" i="1" s="1"/>
  <c r="AI750" i="1"/>
  <c r="AB750" i="1" s="1"/>
  <c r="AI669" i="1"/>
  <c r="AB669" i="1" s="1"/>
  <c r="AH581" i="1"/>
  <c r="AD581" i="1" s="1"/>
  <c r="AI317" i="1"/>
  <c r="AB317" i="1" s="1"/>
  <c r="AI745" i="1"/>
  <c r="AB745" i="1" s="1"/>
  <c r="AH98" i="1"/>
  <c r="AD98" i="1" s="1"/>
  <c r="AI583" i="1"/>
  <c r="AB583" i="1" s="1"/>
  <c r="AH570" i="1"/>
  <c r="AD570" i="1" s="1"/>
  <c r="AH317" i="1"/>
  <c r="AD317" i="1" s="1"/>
  <c r="AH753" i="1"/>
  <c r="AD753" i="1" s="1"/>
  <c r="AI98" i="1"/>
  <c r="AB98" i="1" s="1"/>
  <c r="AI571" i="1"/>
  <c r="AB571" i="1" s="1"/>
  <c r="AI586" i="1"/>
  <c r="AB586" i="1" s="1"/>
  <c r="AH306" i="1"/>
  <c r="AD306" i="1" s="1"/>
  <c r="AI701" i="1"/>
  <c r="AB701" i="1" s="1"/>
  <c r="AI564" i="1"/>
  <c r="AB564" i="1" s="1"/>
  <c r="AH569" i="1"/>
  <c r="AD569" i="1" s="1"/>
  <c r="AI307" i="1"/>
  <c r="AB307" i="1" s="1"/>
  <c r="AH745" i="1"/>
  <c r="AD745" i="1" s="1"/>
  <c r="AH703" i="1"/>
  <c r="AD703" i="1" s="1"/>
  <c r="AH682" i="1"/>
  <c r="AD682" i="1" s="1"/>
  <c r="E231" i="1"/>
  <c r="F231" i="1" s="1"/>
  <c r="C231" i="1"/>
  <c r="D231" i="1" s="1"/>
  <c r="H231" i="1"/>
  <c r="AC586" i="1" l="1"/>
  <c r="AE586" i="1"/>
  <c r="AC751" i="1"/>
  <c r="AE751" i="1"/>
  <c r="AE98" i="1"/>
  <c r="AC98" i="1"/>
  <c r="AE752" i="1"/>
  <c r="AC752" i="1"/>
  <c r="AE629" i="1"/>
  <c r="AC629" i="1"/>
  <c r="AC581" i="1"/>
  <c r="AE581" i="1"/>
  <c r="AC579" i="1"/>
  <c r="AE579" i="1"/>
  <c r="AC573" i="1"/>
  <c r="AE573" i="1"/>
  <c r="AC750" i="1"/>
  <c r="AE750" i="1"/>
  <c r="AE571" i="1"/>
  <c r="AC571" i="1"/>
  <c r="AC754" i="1"/>
  <c r="AE754" i="1"/>
  <c r="AC562" i="1"/>
  <c r="AE562" i="1"/>
  <c r="AC682" i="1"/>
  <c r="AE682" i="1"/>
  <c r="AC306" i="1"/>
  <c r="AE306" i="1"/>
  <c r="AC323" i="1"/>
  <c r="AE323" i="1"/>
  <c r="AE570" i="1"/>
  <c r="AC570" i="1"/>
  <c r="AC704" i="1"/>
  <c r="AE704" i="1"/>
  <c r="AE583" i="1"/>
  <c r="AC583" i="1"/>
  <c r="AC753" i="1"/>
  <c r="AE753" i="1"/>
  <c r="AC569" i="1"/>
  <c r="AE569" i="1"/>
  <c r="AC307" i="1"/>
  <c r="AE307" i="1"/>
  <c r="AC745" i="1"/>
  <c r="AE745" i="1"/>
  <c r="AC748" i="1"/>
  <c r="AE748" i="1"/>
  <c r="AE703" i="1"/>
  <c r="AC703" i="1"/>
  <c r="AE564" i="1"/>
  <c r="AC564" i="1"/>
  <c r="AC317" i="1"/>
  <c r="AE317" i="1"/>
  <c r="AE572" i="1"/>
  <c r="AC572" i="1"/>
  <c r="AC701" i="1"/>
  <c r="AE701" i="1"/>
  <c r="AC705" i="1"/>
  <c r="AE705" i="1"/>
  <c r="AC634" i="1"/>
  <c r="AE634" i="1"/>
  <c r="AC321" i="1"/>
  <c r="AE321" i="1"/>
  <c r="AE669" i="1"/>
  <c r="AC669" i="1"/>
  <c r="AE302" i="1"/>
  <c r="AC302" i="1"/>
  <c r="S24" i="8"/>
  <c r="R24" i="8" a="1"/>
  <c r="R24" i="8" l="1"/>
  <c r="AF24" i="8"/>
  <c r="AG24" i="8" s="1"/>
  <c r="AH231" i="1" a="1"/>
  <c r="AQ24" i="8" a="1"/>
  <c r="AI231" i="1" a="1"/>
  <c r="AQ24" i="8" l="1"/>
  <c r="AH231" i="1"/>
  <c r="AD231" i="1" s="1"/>
  <c r="AI231" i="1"/>
  <c r="AB231" i="1"/>
  <c r="AC231" i="1" s="1"/>
  <c r="AE231" i="1" l="1"/>
  <c r="AI24" i="8"/>
  <c r="AH24" i="8" s="1"/>
  <c r="AK24" i="8"/>
  <c r="O159" i="1"/>
  <c r="P159" i="1"/>
  <c r="Q159" i="1"/>
  <c r="AG159" i="1"/>
  <c r="Y159" i="1"/>
  <c r="Z159" i="1"/>
  <c r="U159" i="1"/>
  <c r="K159" i="1" l="1"/>
  <c r="E159" i="1"/>
  <c r="F159" i="1" s="1"/>
  <c r="C159" i="1"/>
  <c r="D159" i="1" s="1"/>
  <c r="H159" i="1"/>
  <c r="O733" i="1" l="1"/>
  <c r="P733" i="1"/>
  <c r="Q733" i="1"/>
  <c r="AG733" i="1"/>
  <c r="Y733" i="1"/>
  <c r="Z733" i="1"/>
  <c r="U733" i="1"/>
  <c r="K733" i="1" l="1"/>
  <c r="E733" i="1"/>
  <c r="F733" i="1" s="1"/>
  <c r="C733" i="1"/>
  <c r="D733" i="1" s="1"/>
  <c r="H733" i="1"/>
  <c r="O59" i="1" l="1"/>
  <c r="P59" i="1"/>
  <c r="Q59" i="1"/>
  <c r="AG59" i="1"/>
  <c r="O60" i="1"/>
  <c r="P60" i="1"/>
  <c r="Q60" i="1"/>
  <c r="AG60" i="1"/>
  <c r="O744" i="1"/>
  <c r="P744" i="1"/>
  <c r="Q744" i="1"/>
  <c r="AG744" i="1"/>
  <c r="O62" i="1"/>
  <c r="P62" i="1"/>
  <c r="Q62" i="1"/>
  <c r="AG62" i="1"/>
  <c r="Y59" i="1"/>
  <c r="U62" i="1"/>
  <c r="Z60" i="1"/>
  <c r="Y744" i="1"/>
  <c r="U59" i="1"/>
  <c r="U60" i="1"/>
  <c r="Y60" i="1"/>
  <c r="U744" i="1"/>
  <c r="Z59" i="1"/>
  <c r="Y62" i="1"/>
  <c r="Z744" i="1"/>
  <c r="Z62" i="1"/>
  <c r="K744" i="1" l="1"/>
  <c r="K60" i="1"/>
  <c r="K59" i="1"/>
  <c r="K62" i="1"/>
  <c r="E62" i="1"/>
  <c r="F62" i="1" s="1"/>
  <c r="C62" i="1"/>
  <c r="D62" i="1" s="1"/>
  <c r="E744" i="1"/>
  <c r="F744" i="1" s="1"/>
  <c r="C744" i="1"/>
  <c r="D744" i="1" s="1"/>
  <c r="E60" i="1"/>
  <c r="F60" i="1" s="1"/>
  <c r="C60" i="1"/>
  <c r="D60" i="1" s="1"/>
  <c r="E59" i="1"/>
  <c r="F59" i="1" s="1"/>
  <c r="C59" i="1"/>
  <c r="D59" i="1" s="1"/>
  <c r="H59" i="1"/>
  <c r="H60" i="1"/>
  <c r="H744" i="1"/>
  <c r="H62" i="1"/>
  <c r="O63" i="1" l="1"/>
  <c r="P63" i="1"/>
  <c r="Q63" i="1"/>
  <c r="AG63" i="1"/>
  <c r="O725" i="1"/>
  <c r="P725" i="1"/>
  <c r="Q725" i="1"/>
  <c r="AG725" i="1"/>
  <c r="O214" i="1"/>
  <c r="P214" i="1"/>
  <c r="Q214" i="1"/>
  <c r="AG214" i="1"/>
  <c r="O230" i="1"/>
  <c r="P230" i="1"/>
  <c r="Q230" i="1"/>
  <c r="AG230" i="1"/>
  <c r="O224" i="1"/>
  <c r="P224" i="1"/>
  <c r="Q224" i="1"/>
  <c r="AG224" i="1"/>
  <c r="O219" i="1"/>
  <c r="P219" i="1"/>
  <c r="Q219" i="1"/>
  <c r="AG219" i="1"/>
  <c r="O212" i="1"/>
  <c r="P212" i="1"/>
  <c r="Q212" i="1"/>
  <c r="AG212" i="1"/>
  <c r="O209" i="1"/>
  <c r="P209" i="1"/>
  <c r="Q209" i="1"/>
  <c r="AG209" i="1"/>
  <c r="O160" i="1"/>
  <c r="P160" i="1"/>
  <c r="Q160" i="1"/>
  <c r="AG160" i="1"/>
  <c r="O716" i="1"/>
  <c r="P716" i="1"/>
  <c r="Q716" i="1"/>
  <c r="AG716" i="1"/>
  <c r="O87" i="1"/>
  <c r="P87" i="1"/>
  <c r="Q87" i="1"/>
  <c r="AG87" i="1"/>
  <c r="O74" i="1"/>
  <c r="P74" i="1"/>
  <c r="Q74" i="1"/>
  <c r="AG74" i="1"/>
  <c r="O227" i="1"/>
  <c r="P227" i="1"/>
  <c r="Q227" i="1"/>
  <c r="AG227" i="1"/>
  <c r="Y716" i="1"/>
  <c r="U209" i="1"/>
  <c r="Z209" i="1"/>
  <c r="Y224" i="1"/>
  <c r="Y230" i="1"/>
  <c r="Z63" i="1"/>
  <c r="AA209" i="1"/>
  <c r="AA219" i="1"/>
  <c r="U224" i="1"/>
  <c r="AA74" i="1"/>
  <c r="U214" i="1"/>
  <c r="Y63" i="1"/>
  <c r="AA227" i="1"/>
  <c r="Z214" i="1"/>
  <c r="Z725" i="1"/>
  <c r="Z219" i="1"/>
  <c r="U212" i="1"/>
  <c r="U160" i="1"/>
  <c r="U63" i="1"/>
  <c r="Y214" i="1"/>
  <c r="U230" i="1"/>
  <c r="AA230" i="1"/>
  <c r="U725" i="1"/>
  <c r="Y212" i="1"/>
  <c r="Z230" i="1"/>
  <c r="Y725" i="1"/>
  <c r="Z716" i="1"/>
  <c r="Y219" i="1"/>
  <c r="AA716" i="1"/>
  <c r="Y160" i="1"/>
  <c r="Y209" i="1"/>
  <c r="Z224" i="1"/>
  <c r="U74" i="1"/>
  <c r="Z160" i="1"/>
  <c r="U716" i="1"/>
  <c r="Z74" i="1"/>
  <c r="Y227" i="1"/>
  <c r="Y87" i="1"/>
  <c r="AA725" i="1"/>
  <c r="U87" i="1"/>
  <c r="U227" i="1"/>
  <c r="U219" i="1"/>
  <c r="Z212" i="1"/>
  <c r="Y74" i="1"/>
  <c r="AA160" i="1"/>
  <c r="Z227" i="1"/>
  <c r="Z87" i="1"/>
  <c r="AF209" i="1" l="1"/>
  <c r="K224" i="1"/>
  <c r="K87" i="1"/>
  <c r="K209" i="1"/>
  <c r="K214" i="1"/>
  <c r="K725" i="1"/>
  <c r="K219" i="1"/>
  <c r="AF230" i="1"/>
  <c r="K63" i="1"/>
  <c r="K227" i="1"/>
  <c r="K160" i="1"/>
  <c r="K74" i="1"/>
  <c r="AF219" i="1"/>
  <c r="AF160" i="1"/>
  <c r="AF74" i="1"/>
  <c r="K230" i="1"/>
  <c r="AF725" i="1"/>
  <c r="AF716" i="1"/>
  <c r="AF227" i="1"/>
  <c r="K212" i="1"/>
  <c r="K716" i="1"/>
  <c r="C74" i="1"/>
  <c r="D74" i="1" s="1"/>
  <c r="E74" i="1"/>
  <c r="F74" i="1" s="1"/>
  <c r="E230" i="1"/>
  <c r="F230" i="1" s="1"/>
  <c r="C230" i="1"/>
  <c r="D230" i="1" s="1"/>
  <c r="E87" i="1"/>
  <c r="F87" i="1" s="1"/>
  <c r="C87" i="1"/>
  <c r="D87" i="1" s="1"/>
  <c r="E214" i="1"/>
  <c r="F214" i="1" s="1"/>
  <c r="C214" i="1"/>
  <c r="D214" i="1" s="1"/>
  <c r="E224" i="1"/>
  <c r="F224" i="1" s="1"/>
  <c r="C224" i="1"/>
  <c r="D224" i="1" s="1"/>
  <c r="E716" i="1"/>
  <c r="F716" i="1" s="1"/>
  <c r="C716" i="1"/>
  <c r="D716" i="1" s="1"/>
  <c r="E725" i="1"/>
  <c r="F725" i="1" s="1"/>
  <c r="C725" i="1"/>
  <c r="D725" i="1" s="1"/>
  <c r="E160" i="1"/>
  <c r="F160" i="1" s="1"/>
  <c r="C160" i="1"/>
  <c r="D160" i="1" s="1"/>
  <c r="E63" i="1"/>
  <c r="F63" i="1" s="1"/>
  <c r="C63" i="1"/>
  <c r="D63" i="1" s="1"/>
  <c r="E209" i="1"/>
  <c r="F209" i="1" s="1"/>
  <c r="C209" i="1"/>
  <c r="D209" i="1" s="1"/>
  <c r="E227" i="1"/>
  <c r="F227" i="1" s="1"/>
  <c r="C227" i="1"/>
  <c r="D227" i="1" s="1"/>
  <c r="E212" i="1"/>
  <c r="F212" i="1" s="1"/>
  <c r="C212" i="1"/>
  <c r="D212" i="1" s="1"/>
  <c r="E219" i="1"/>
  <c r="F219" i="1" s="1"/>
  <c r="C219" i="1"/>
  <c r="D219" i="1" s="1"/>
  <c r="H63" i="1"/>
  <c r="H725" i="1"/>
  <c r="H214" i="1"/>
  <c r="H230" i="1"/>
  <c r="H224" i="1"/>
  <c r="H219" i="1"/>
  <c r="H209" i="1"/>
  <c r="H212" i="1"/>
  <c r="H716" i="1"/>
  <c r="H160" i="1"/>
  <c r="H87" i="1"/>
  <c r="H74" i="1"/>
  <c r="H227" i="1"/>
  <c r="O245" i="1"/>
  <c r="P245" i="1"/>
  <c r="Q245" i="1"/>
  <c r="AG245" i="1"/>
  <c r="O241" i="1"/>
  <c r="P241" i="1"/>
  <c r="Q241" i="1"/>
  <c r="AG241" i="1"/>
  <c r="Z245" i="1"/>
  <c r="U245" i="1"/>
  <c r="Y241" i="1"/>
  <c r="Y245" i="1"/>
  <c r="Z241" i="1"/>
  <c r="U241" i="1"/>
  <c r="AA241" i="1"/>
  <c r="K241" i="1" l="1"/>
  <c r="AF241" i="1"/>
  <c r="K245" i="1"/>
  <c r="E245" i="1"/>
  <c r="F245" i="1" s="1"/>
  <c r="C245" i="1"/>
  <c r="D245" i="1" s="1"/>
  <c r="E241" i="1"/>
  <c r="F241" i="1" s="1"/>
  <c r="C241" i="1"/>
  <c r="D241" i="1" s="1"/>
  <c r="H245" i="1"/>
  <c r="H241" i="1"/>
  <c r="O106" i="1" l="1"/>
  <c r="P106" i="1"/>
  <c r="Q106" i="1"/>
  <c r="AG106" i="1"/>
  <c r="AI241" i="1" a="1"/>
  <c r="AH160" i="1" a="1"/>
  <c r="Y106" i="1"/>
  <c r="AH219" i="1" a="1"/>
  <c r="AH227" i="1" a="1"/>
  <c r="AA106" i="1"/>
  <c r="AI725" i="1" a="1"/>
  <c r="AI160" i="1" a="1"/>
  <c r="AH725" i="1" a="1"/>
  <c r="AI716" i="1" a="1"/>
  <c r="AH230" i="1" a="1"/>
  <c r="AH241" i="1" a="1"/>
  <c r="AI219" i="1" a="1"/>
  <c r="U106" i="1"/>
  <c r="AI209" i="1" a="1"/>
  <c r="AI227" i="1" a="1"/>
  <c r="Z106" i="1"/>
  <c r="AH74" i="1" a="1"/>
  <c r="AI74" i="1" a="1"/>
  <c r="AH716" i="1" a="1"/>
  <c r="AI230" i="1" a="1"/>
  <c r="AH209" i="1" a="1"/>
  <c r="K106" i="1" l="1"/>
  <c r="AF106" i="1"/>
  <c r="AH209" i="1"/>
  <c r="AD209" i="1" s="1"/>
  <c r="AH227" i="1"/>
  <c r="AD227" i="1" s="1"/>
  <c r="AH219" i="1"/>
  <c r="AD219" i="1" s="1"/>
  <c r="AI219" i="1"/>
  <c r="AB219" i="1" s="1"/>
  <c r="AH230" i="1"/>
  <c r="AD230" i="1" s="1"/>
  <c r="AH160" i="1"/>
  <c r="AD160" i="1" s="1"/>
  <c r="AI230" i="1"/>
  <c r="AB230" i="1" s="1"/>
  <c r="AI241" i="1"/>
  <c r="AB241" i="1" s="1"/>
  <c r="AI74" i="1"/>
  <c r="AB74" i="1" s="1"/>
  <c r="AH241" i="1"/>
  <c r="AD241" i="1" s="1"/>
  <c r="AH74" i="1"/>
  <c r="AD74" i="1" s="1"/>
  <c r="AI716" i="1"/>
  <c r="AB716" i="1" s="1"/>
  <c r="AI160" i="1"/>
  <c r="AB160" i="1" s="1"/>
  <c r="AH716" i="1"/>
  <c r="AD716" i="1" s="1"/>
  <c r="AI209" i="1"/>
  <c r="AB209" i="1" s="1"/>
  <c r="AI725" i="1"/>
  <c r="AB725" i="1" s="1"/>
  <c r="AI227" i="1"/>
  <c r="AB227" i="1" s="1"/>
  <c r="AH725" i="1"/>
  <c r="AD725" i="1" s="1"/>
  <c r="E106" i="1"/>
  <c r="F106" i="1" s="1"/>
  <c r="C106" i="1"/>
  <c r="D106" i="1" s="1"/>
  <c r="H106" i="1"/>
  <c r="AC74" i="1" l="1"/>
  <c r="AE74" i="1"/>
  <c r="AC241" i="1"/>
  <c r="AE241" i="1"/>
  <c r="AC230" i="1"/>
  <c r="AE230" i="1"/>
  <c r="AC716" i="1"/>
  <c r="AE716" i="1"/>
  <c r="AC227" i="1"/>
  <c r="AE227" i="1"/>
  <c r="AC725" i="1"/>
  <c r="AE725" i="1"/>
  <c r="AC219" i="1"/>
  <c r="AE219" i="1"/>
  <c r="AC209" i="1"/>
  <c r="AE209" i="1"/>
  <c r="AE160" i="1"/>
  <c r="AC160" i="1"/>
  <c r="AG477" i="1"/>
  <c r="Q477" i="1"/>
  <c r="P477" i="1"/>
  <c r="O477" i="1"/>
  <c r="AG478" i="1"/>
  <c r="Q478" i="1"/>
  <c r="P478" i="1"/>
  <c r="O478" i="1"/>
  <c r="AG479" i="1"/>
  <c r="Q479" i="1"/>
  <c r="P479" i="1"/>
  <c r="O479" i="1"/>
  <c r="AG480" i="1"/>
  <c r="Q480" i="1"/>
  <c r="P480" i="1"/>
  <c r="O480" i="1"/>
  <c r="AG481" i="1"/>
  <c r="Q481" i="1"/>
  <c r="P481" i="1"/>
  <c r="O481" i="1"/>
  <c r="Z478" i="1"/>
  <c r="Y481" i="1"/>
  <c r="U481" i="1"/>
  <c r="Y480" i="1"/>
  <c r="U478" i="1"/>
  <c r="U477" i="1"/>
  <c r="Z477" i="1"/>
  <c r="U480" i="1"/>
  <c r="Z481" i="1"/>
  <c r="Z480" i="1"/>
  <c r="Y477" i="1"/>
  <c r="Y478" i="1"/>
  <c r="Z479" i="1"/>
  <c r="U479" i="1"/>
  <c r="AA478" i="1"/>
  <c r="Y479" i="1"/>
  <c r="K477" i="1" l="1"/>
  <c r="K479" i="1"/>
  <c r="K478" i="1"/>
  <c r="K480" i="1"/>
  <c r="AF478" i="1"/>
  <c r="K481" i="1"/>
  <c r="E480" i="1"/>
  <c r="F480" i="1" s="1"/>
  <c r="C480" i="1"/>
  <c r="D480" i="1" s="1"/>
  <c r="C478" i="1"/>
  <c r="D478" i="1" s="1"/>
  <c r="E478" i="1"/>
  <c r="F478" i="1" s="1"/>
  <c r="E481" i="1"/>
  <c r="F481" i="1" s="1"/>
  <c r="C481" i="1"/>
  <c r="D481" i="1" s="1"/>
  <c r="E479" i="1"/>
  <c r="F479" i="1" s="1"/>
  <c r="C479" i="1"/>
  <c r="D479" i="1" s="1"/>
  <c r="E477" i="1"/>
  <c r="F477" i="1" s="1"/>
  <c r="C477" i="1"/>
  <c r="D477" i="1" s="1"/>
  <c r="H480" i="1"/>
  <c r="H479" i="1"/>
  <c r="H477" i="1"/>
  <c r="H481" i="1"/>
  <c r="H478" i="1"/>
  <c r="O186" i="1" l="1"/>
  <c r="P186" i="1"/>
  <c r="Q186" i="1"/>
  <c r="AG186" i="1"/>
  <c r="O732" i="1"/>
  <c r="P732" i="1"/>
  <c r="Q732" i="1"/>
  <c r="AG732" i="1"/>
  <c r="Y732" i="1"/>
  <c r="U732" i="1"/>
  <c r="U186" i="1"/>
  <c r="Z186" i="1"/>
  <c r="Y186" i="1"/>
  <c r="Z732" i="1"/>
  <c r="K732" i="1" l="1"/>
  <c r="K186" i="1"/>
  <c r="E186" i="1"/>
  <c r="F186" i="1" s="1"/>
  <c r="C186" i="1"/>
  <c r="D186" i="1" s="1"/>
  <c r="E732" i="1"/>
  <c r="F732" i="1" s="1"/>
  <c r="C732" i="1"/>
  <c r="D732" i="1" s="1"/>
  <c r="H186" i="1"/>
  <c r="H732" i="1"/>
  <c r="O184" i="1"/>
  <c r="O707" i="1"/>
  <c r="O712" i="1"/>
  <c r="O717" i="1"/>
  <c r="P184" i="1"/>
  <c r="P707" i="1"/>
  <c r="P712" i="1"/>
  <c r="P717" i="1"/>
  <c r="Q184" i="1"/>
  <c r="Q707" i="1"/>
  <c r="Q712" i="1"/>
  <c r="Q717" i="1"/>
  <c r="AG184" i="1"/>
  <c r="AG707" i="1"/>
  <c r="AG712" i="1"/>
  <c r="AG717" i="1"/>
  <c r="O722" i="1"/>
  <c r="O727" i="1"/>
  <c r="P722" i="1"/>
  <c r="P727" i="1"/>
  <c r="Q722" i="1"/>
  <c r="Q727" i="1"/>
  <c r="AG722" i="1"/>
  <c r="AG727" i="1"/>
  <c r="O143" i="1"/>
  <c r="P143" i="1"/>
  <c r="Q143" i="1"/>
  <c r="AG143" i="1"/>
  <c r="O183" i="1"/>
  <c r="P183" i="1"/>
  <c r="Q183" i="1"/>
  <c r="AG183" i="1"/>
  <c r="O148" i="1"/>
  <c r="P148" i="1"/>
  <c r="Q148" i="1"/>
  <c r="AG148" i="1"/>
  <c r="Z183" i="1"/>
  <c r="U712" i="1"/>
  <c r="Z143" i="1"/>
  <c r="Z707" i="1"/>
  <c r="Y727" i="1"/>
  <c r="Y183" i="1"/>
  <c r="Y148" i="1"/>
  <c r="U722" i="1"/>
  <c r="U183" i="1"/>
  <c r="U717" i="1"/>
  <c r="Y184" i="1"/>
  <c r="Z717" i="1"/>
  <c r="Y722" i="1"/>
  <c r="U148" i="1"/>
  <c r="Y712" i="1"/>
  <c r="Z722" i="1"/>
  <c r="U727" i="1"/>
  <c r="Y143" i="1"/>
  <c r="Y717" i="1"/>
  <c r="Z712" i="1"/>
  <c r="Z727" i="1"/>
  <c r="Z148" i="1"/>
  <c r="U143" i="1"/>
  <c r="U184" i="1"/>
  <c r="Y707" i="1"/>
  <c r="Z184" i="1"/>
  <c r="U707" i="1"/>
  <c r="K727" i="1" l="1"/>
  <c r="K148" i="1"/>
  <c r="K722" i="1"/>
  <c r="K143" i="1"/>
  <c r="K183" i="1"/>
  <c r="K717" i="1"/>
  <c r="K712" i="1"/>
  <c r="K707" i="1"/>
  <c r="K184" i="1"/>
  <c r="E143" i="1"/>
  <c r="F143" i="1" s="1"/>
  <c r="C143" i="1"/>
  <c r="D143" i="1" s="1"/>
  <c r="E717" i="1"/>
  <c r="F717" i="1" s="1"/>
  <c r="C717" i="1"/>
  <c r="D717" i="1" s="1"/>
  <c r="E712" i="1"/>
  <c r="F712" i="1" s="1"/>
  <c r="C712" i="1"/>
  <c r="D712" i="1" s="1"/>
  <c r="E183" i="1"/>
  <c r="F183" i="1" s="1"/>
  <c r="C183" i="1"/>
  <c r="D183" i="1" s="1"/>
  <c r="E727" i="1"/>
  <c r="F727" i="1" s="1"/>
  <c r="C727" i="1"/>
  <c r="D727" i="1" s="1"/>
  <c r="E707" i="1"/>
  <c r="F707" i="1" s="1"/>
  <c r="C707" i="1"/>
  <c r="D707" i="1" s="1"/>
  <c r="E722" i="1"/>
  <c r="F722" i="1" s="1"/>
  <c r="C722" i="1"/>
  <c r="D722" i="1" s="1"/>
  <c r="E148" i="1"/>
  <c r="F148" i="1" s="1"/>
  <c r="C148" i="1"/>
  <c r="D148" i="1" s="1"/>
  <c r="C184" i="1"/>
  <c r="D184" i="1" s="1"/>
  <c r="E184" i="1"/>
  <c r="F184" i="1" s="1"/>
  <c r="H717" i="1"/>
  <c r="H712" i="1"/>
  <c r="H707" i="1"/>
  <c r="H184" i="1"/>
  <c r="H727" i="1"/>
  <c r="H722" i="1"/>
  <c r="H143" i="1"/>
  <c r="H183" i="1"/>
  <c r="H148" i="1"/>
  <c r="S8" i="8" l="1"/>
  <c r="AF8" i="8"/>
  <c r="S7" i="8"/>
  <c r="AF7" i="8"/>
  <c r="AQ8" i="8" a="1"/>
  <c r="R8" i="8" a="1"/>
  <c r="R7" i="8" a="1"/>
  <c r="AQ7" i="8" a="1"/>
  <c r="AQ7" i="8" l="1"/>
  <c r="AQ8" i="8"/>
  <c r="R7" i="8"/>
  <c r="R8" i="8"/>
  <c r="AG8" i="8"/>
  <c r="AG7" i="8"/>
  <c r="AI8" i="8"/>
  <c r="AK8" i="8"/>
  <c r="AI7" i="8"/>
  <c r="AH8" i="8" l="1"/>
  <c r="AH7" i="8"/>
  <c r="AK7" i="8"/>
  <c r="O158" i="1" l="1"/>
  <c r="O737" i="1"/>
  <c r="O187" i="1"/>
  <c r="O679" i="1"/>
  <c r="O708" i="1"/>
  <c r="P158" i="1"/>
  <c r="P737" i="1"/>
  <c r="P187" i="1"/>
  <c r="P679" i="1"/>
  <c r="P708" i="1"/>
  <c r="Q158" i="1"/>
  <c r="Q737" i="1"/>
  <c r="Q187" i="1"/>
  <c r="Q679" i="1"/>
  <c r="Q708" i="1"/>
  <c r="AG158" i="1"/>
  <c r="AG737" i="1"/>
  <c r="AG187" i="1"/>
  <c r="AG679" i="1"/>
  <c r="AG708" i="1"/>
  <c r="Z187" i="1"/>
  <c r="AA158" i="1"/>
  <c r="AA708" i="1"/>
  <c r="Y187" i="1"/>
  <c r="AA187" i="1"/>
  <c r="Z158" i="1"/>
  <c r="U708" i="1"/>
  <c r="U679" i="1"/>
  <c r="Z679" i="1"/>
  <c r="U158" i="1"/>
  <c r="Y708" i="1"/>
  <c r="U737" i="1"/>
  <c r="U187" i="1"/>
  <c r="Z737" i="1"/>
  <c r="Y679" i="1"/>
  <c r="Y158" i="1"/>
  <c r="Y737" i="1"/>
  <c r="Z708" i="1"/>
  <c r="AA737" i="1"/>
  <c r="K679" i="1" l="1"/>
  <c r="K187" i="1"/>
  <c r="AF708" i="1"/>
  <c r="K737" i="1"/>
  <c r="AF187" i="1"/>
  <c r="K158" i="1"/>
  <c r="AF737" i="1"/>
  <c r="AF158" i="1"/>
  <c r="K708" i="1"/>
  <c r="E158" i="1"/>
  <c r="F158" i="1" s="1"/>
  <c r="C158" i="1"/>
  <c r="D158" i="1" s="1"/>
  <c r="H708" i="1"/>
  <c r="E708" i="1"/>
  <c r="F708" i="1" s="1"/>
  <c r="C708" i="1"/>
  <c r="D708" i="1" s="1"/>
  <c r="E679" i="1"/>
  <c r="F679" i="1" s="1"/>
  <c r="C679" i="1"/>
  <c r="D679" i="1" s="1"/>
  <c r="E187" i="1"/>
  <c r="F187" i="1" s="1"/>
  <c r="C187" i="1"/>
  <c r="D187" i="1" s="1"/>
  <c r="E737" i="1"/>
  <c r="F737" i="1" s="1"/>
  <c r="C737" i="1"/>
  <c r="D737" i="1" s="1"/>
  <c r="H187" i="1"/>
  <c r="H737" i="1"/>
  <c r="H158" i="1"/>
  <c r="H679" i="1"/>
  <c r="O92" i="1" l="1"/>
  <c r="P92" i="1"/>
  <c r="Q92" i="1"/>
  <c r="AG92" i="1"/>
  <c r="O93" i="1"/>
  <c r="P93" i="1"/>
  <c r="Q93" i="1"/>
  <c r="AG93" i="1"/>
  <c r="Z93" i="1"/>
  <c r="Y93" i="1"/>
  <c r="Z92" i="1"/>
  <c r="U93" i="1"/>
  <c r="Y92" i="1"/>
  <c r="U92" i="1"/>
  <c r="K93" i="1" l="1"/>
  <c r="K92" i="1"/>
  <c r="H93" i="1"/>
  <c r="C93" i="1"/>
  <c r="D93" i="1" s="1"/>
  <c r="E93" i="1"/>
  <c r="F93" i="1" s="1"/>
  <c r="E92" i="1"/>
  <c r="F92" i="1" s="1"/>
  <c r="C92" i="1"/>
  <c r="D92" i="1" s="1"/>
  <c r="H92" i="1"/>
  <c r="O7" i="1" l="1"/>
  <c r="O8" i="1"/>
  <c r="O9" i="1"/>
  <c r="O10" i="1"/>
  <c r="O11" i="1"/>
  <c r="O12" i="1"/>
  <c r="O13" i="1"/>
  <c r="O14" i="1"/>
  <c r="O15" i="1"/>
  <c r="O16" i="1"/>
  <c r="O17" i="1"/>
  <c r="O18" i="1"/>
  <c r="O19" i="1"/>
  <c r="O20" i="1"/>
  <c r="O21" i="1"/>
  <c r="O22" i="1"/>
  <c r="O23" i="1"/>
  <c r="O24" i="1"/>
  <c r="O25" i="1"/>
  <c r="O26" i="1"/>
  <c r="O27" i="1"/>
  <c r="O28" i="1"/>
  <c r="O29" i="1"/>
  <c r="O30" i="1"/>
  <c r="O31" i="1"/>
  <c r="O32" i="1"/>
  <c r="O33" i="1"/>
  <c r="O34" i="1"/>
  <c r="O35" i="1"/>
  <c r="O36" i="1"/>
  <c r="O37" i="1"/>
  <c r="O38" i="1"/>
  <c r="O40" i="1"/>
  <c r="O41" i="1"/>
  <c r="O42" i="1"/>
  <c r="O45" i="1"/>
  <c r="O46" i="1"/>
  <c r="O47" i="1"/>
  <c r="O48" i="1"/>
  <c r="O49" i="1"/>
  <c r="O50" i="1"/>
  <c r="O52" i="1"/>
  <c r="O53" i="1"/>
  <c r="O54" i="1"/>
  <c r="O55" i="1"/>
  <c r="O56" i="1"/>
  <c r="O57" i="1"/>
  <c r="O58" i="1"/>
  <c r="O64" i="1"/>
  <c r="O65" i="1"/>
  <c r="O66" i="1"/>
  <c r="O67" i="1"/>
  <c r="O68" i="1"/>
  <c r="O69" i="1"/>
  <c r="O70" i="1"/>
  <c r="O71" i="1"/>
  <c r="O72" i="1"/>
  <c r="O73" i="1"/>
  <c r="O75" i="1"/>
  <c r="O76" i="1"/>
  <c r="O77" i="1"/>
  <c r="O78" i="1"/>
  <c r="O79" i="1"/>
  <c r="O80" i="1"/>
  <c r="O81" i="1"/>
  <c r="O82" i="1"/>
  <c r="O83" i="1"/>
  <c r="O84" i="1"/>
  <c r="O85" i="1"/>
  <c r="O86" i="1"/>
  <c r="O89" i="1"/>
  <c r="O90" i="1"/>
  <c r="O91" i="1"/>
  <c r="O94" i="1"/>
  <c r="O96" i="1"/>
  <c r="O97" i="1"/>
  <c r="O99" i="1"/>
  <c r="O100" i="1"/>
  <c r="O101" i="1"/>
  <c r="O102" i="1"/>
  <c r="O104" i="1"/>
  <c r="O105" i="1"/>
  <c r="O107" i="1"/>
  <c r="O108" i="1"/>
  <c r="O109" i="1"/>
  <c r="O110" i="1"/>
  <c r="O111" i="1"/>
  <c r="O112" i="1"/>
  <c r="O113" i="1"/>
  <c r="O114" i="1"/>
  <c r="O116" i="1"/>
  <c r="O678" i="1"/>
  <c r="O706" i="1"/>
  <c r="O711" i="1"/>
  <c r="O721" i="1"/>
  <c r="O726" i="1"/>
  <c r="O142" i="1"/>
  <c r="O147" i="1"/>
  <c r="O731" i="1"/>
  <c r="O157" i="1"/>
  <c r="O736" i="1"/>
  <c r="O167" i="1"/>
  <c r="O168" i="1"/>
  <c r="O169" i="1"/>
  <c r="O171" i="1"/>
  <c r="O172" i="1"/>
  <c r="O173" i="1"/>
  <c r="O174" i="1"/>
  <c r="O175" i="1"/>
  <c r="O176" i="1"/>
  <c r="O178" i="1"/>
  <c r="O179" i="1"/>
  <c r="O180" i="1"/>
  <c r="O181" i="1"/>
  <c r="O177" i="1"/>
  <c r="O182" i="1"/>
  <c r="O713" i="1"/>
  <c r="O718" i="1"/>
  <c r="O723" i="1"/>
  <c r="O728" i="1"/>
  <c r="O144" i="1"/>
  <c r="O149" i="1"/>
  <c r="O738" i="1"/>
  <c r="O188" i="1"/>
  <c r="O189" i="1"/>
  <c r="O190" i="1"/>
  <c r="O191" i="1"/>
  <c r="O680" i="1"/>
  <c r="O709" i="1"/>
  <c r="O714" i="1"/>
  <c r="O719" i="1"/>
  <c r="O724" i="1"/>
  <c r="O729" i="1"/>
  <c r="O145" i="1"/>
  <c r="O150" i="1"/>
  <c r="O734" i="1"/>
  <c r="O739" i="1"/>
  <c r="O208" i="1"/>
  <c r="O210" i="1"/>
  <c r="O213" i="1"/>
  <c r="O215" i="1"/>
  <c r="O216" i="1"/>
  <c r="O217" i="1"/>
  <c r="O218" i="1"/>
  <c r="O220" i="1"/>
  <c r="O223" i="1"/>
  <c r="O225" i="1"/>
  <c r="O226" i="1"/>
  <c r="O228" i="1"/>
  <c r="O229" i="1"/>
  <c r="O232" i="1"/>
  <c r="O233" i="1"/>
  <c r="O710" i="1"/>
  <c r="O715" i="1"/>
  <c r="O720" i="1"/>
  <c r="O730" i="1"/>
  <c r="O146" i="1"/>
  <c r="O151" i="1"/>
  <c r="O735" i="1"/>
  <c r="O161" i="1"/>
  <c r="O743" i="1"/>
  <c r="O235" i="1"/>
  <c r="O237" i="1"/>
  <c r="O238" i="1"/>
  <c r="O240" i="1"/>
  <c r="O243" i="1"/>
  <c r="O246" i="1"/>
  <c r="O247" i="1"/>
  <c r="O248" i="1"/>
  <c r="O250" i="1"/>
  <c r="O252" i="1"/>
  <c r="O253" i="1"/>
  <c r="O254" i="1"/>
  <c r="O256" i="1"/>
  <c r="O258" i="1"/>
  <c r="O259" i="1"/>
  <c r="O261" i="1"/>
  <c r="O262" i="1"/>
  <c r="O264" i="1"/>
  <c r="O266" i="1"/>
  <c r="O268" i="1"/>
  <c r="O269" i="1"/>
  <c r="O270" i="1"/>
  <c r="O271" i="1"/>
  <c r="O272" i="1"/>
  <c r="O273" i="1"/>
  <c r="O274" i="1"/>
  <c r="O276" i="1"/>
  <c r="O277" i="1"/>
  <c r="O279" i="1"/>
  <c r="O280" i="1"/>
  <c r="O281" i="1"/>
  <c r="O282" i="1"/>
  <c r="O283" i="1"/>
  <c r="O284" i="1"/>
  <c r="O285" i="1"/>
  <c r="O286" i="1"/>
  <c r="O287" i="1"/>
  <c r="O288" i="1"/>
  <c r="O289" i="1"/>
  <c r="O290" i="1"/>
  <c r="O291" i="1"/>
  <c r="O292" i="1"/>
  <c r="O293" i="1"/>
  <c r="O294" i="1"/>
  <c r="O295" i="1"/>
  <c r="O297" i="1"/>
  <c r="O299" i="1"/>
  <c r="O301" i="1"/>
  <c r="O303" i="1"/>
  <c r="O305" i="1"/>
  <c r="O308" i="1"/>
  <c r="O310" i="1"/>
  <c r="O312" i="1"/>
  <c r="O314" i="1"/>
  <c r="O316" i="1"/>
  <c r="O318" i="1"/>
  <c r="O320" i="1"/>
  <c r="O322" i="1"/>
  <c r="O324" i="1"/>
  <c r="O325" i="1"/>
  <c r="O326" i="1"/>
  <c r="O327" i="1"/>
  <c r="O328" i="1"/>
  <c r="O329" i="1"/>
  <c r="O330" i="1"/>
  <c r="O331" i="1"/>
  <c r="O332" i="1"/>
  <c r="O333" i="1"/>
  <c r="O334" i="1"/>
  <c r="O335" i="1"/>
  <c r="O336" i="1"/>
  <c r="O337" i="1"/>
  <c r="O338" i="1"/>
  <c r="O339" i="1"/>
  <c r="O340" i="1"/>
  <c r="O341" i="1"/>
  <c r="O342" i="1"/>
  <c r="O343" i="1"/>
  <c r="O344" i="1"/>
  <c r="O345" i="1"/>
  <c r="O346" i="1"/>
  <c r="O347" i="1"/>
  <c r="O348" i="1"/>
  <c r="O349" i="1"/>
  <c r="O350" i="1"/>
  <c r="O351" i="1"/>
  <c r="O353" i="1"/>
  <c r="O354" i="1"/>
  <c r="O355" i="1"/>
  <c r="O356" i="1"/>
  <c r="O357" i="1"/>
  <c r="O358" i="1"/>
  <c r="O359" i="1"/>
  <c r="O360" i="1"/>
  <c r="O361" i="1"/>
  <c r="O362" i="1"/>
  <c r="O363" i="1"/>
  <c r="O364" i="1"/>
  <c r="O365" i="1"/>
  <c r="O366" i="1"/>
  <c r="O367" i="1"/>
  <c r="O368" i="1"/>
  <c r="O369" i="1"/>
  <c r="O370" i="1"/>
  <c r="O371" i="1"/>
  <c r="O372" i="1"/>
  <c r="O373" i="1"/>
  <c r="O374" i="1"/>
  <c r="O375" i="1"/>
  <c r="O376" i="1"/>
  <c r="O377" i="1"/>
  <c r="O378" i="1"/>
  <c r="O379" i="1"/>
  <c r="O380" i="1"/>
  <c r="O381" i="1"/>
  <c r="O382" i="1"/>
  <c r="O383" i="1"/>
  <c r="O384" i="1"/>
  <c r="O385" i="1"/>
  <c r="O386" i="1"/>
  <c r="O387" i="1"/>
  <c r="O388" i="1"/>
  <c r="O389" i="1"/>
  <c r="O390" i="1"/>
  <c r="O391" i="1"/>
  <c r="O392" i="1"/>
  <c r="O393" i="1"/>
  <c r="O394" i="1"/>
  <c r="O395" i="1"/>
  <c r="O396" i="1"/>
  <c r="O397" i="1"/>
  <c r="O398" i="1"/>
  <c r="O399" i="1"/>
  <c r="O400" i="1"/>
  <c r="O401" i="1"/>
  <c r="O402" i="1"/>
  <c r="O403" i="1"/>
  <c r="O404" i="1"/>
  <c r="O405" i="1"/>
  <c r="O406" i="1"/>
  <c r="O407" i="1"/>
  <c r="O408" i="1"/>
  <c r="O409" i="1"/>
  <c r="O410" i="1"/>
  <c r="O411" i="1"/>
  <c r="O412" i="1"/>
  <c r="O413" i="1"/>
  <c r="O414" i="1"/>
  <c r="O415" i="1"/>
  <c r="O416" i="1"/>
  <c r="O417" i="1"/>
  <c r="O418" i="1"/>
  <c r="O419" i="1"/>
  <c r="O420" i="1"/>
  <c r="O421" i="1"/>
  <c r="O422" i="1"/>
  <c r="O423" i="1"/>
  <c r="O424" i="1"/>
  <c r="O425" i="1"/>
  <c r="O426" i="1"/>
  <c r="O427" i="1"/>
  <c r="O428" i="1"/>
  <c r="O429" i="1"/>
  <c r="O430" i="1"/>
  <c r="O431" i="1"/>
  <c r="O432" i="1"/>
  <c r="O433" i="1"/>
  <c r="O434" i="1"/>
  <c r="O435" i="1"/>
  <c r="O436" i="1"/>
  <c r="O437" i="1"/>
  <c r="O438" i="1"/>
  <c r="O439" i="1"/>
  <c r="O440" i="1"/>
  <c r="O441" i="1"/>
  <c r="O442" i="1"/>
  <c r="O443" i="1"/>
  <c r="O444" i="1"/>
  <c r="O445" i="1"/>
  <c r="O446" i="1"/>
  <c r="O447" i="1"/>
  <c r="O448" i="1"/>
  <c r="O449" i="1"/>
  <c r="O450" i="1"/>
  <c r="O451" i="1"/>
  <c r="O452" i="1"/>
  <c r="O453" i="1"/>
  <c r="O454" i="1"/>
  <c r="O455" i="1"/>
  <c r="O456" i="1"/>
  <c r="O457" i="1"/>
  <c r="O458" i="1"/>
  <c r="O459" i="1"/>
  <c r="O460" i="1"/>
  <c r="O461" i="1"/>
  <c r="O462" i="1"/>
  <c r="O463" i="1"/>
  <c r="O464" i="1"/>
  <c r="O465" i="1"/>
  <c r="O466" i="1"/>
  <c r="O467" i="1"/>
  <c r="O468" i="1"/>
  <c r="O469" i="1"/>
  <c r="O470" i="1"/>
  <c r="O471" i="1"/>
  <c r="O472" i="1"/>
  <c r="O473" i="1"/>
  <c r="O474" i="1"/>
  <c r="O475" i="1"/>
  <c r="O476" i="1"/>
  <c r="O482" i="1"/>
  <c r="O483" i="1"/>
  <c r="O484" i="1"/>
  <c r="O485" i="1"/>
  <c r="O486" i="1"/>
  <c r="O487" i="1"/>
  <c r="O488" i="1"/>
  <c r="O489" i="1"/>
  <c r="O490" i="1"/>
  <c r="O491" i="1"/>
  <c r="O492" i="1"/>
  <c r="O493" i="1"/>
  <c r="O494" i="1"/>
  <c r="O495" i="1"/>
  <c r="O496" i="1"/>
  <c r="O497" i="1"/>
  <c r="O498" i="1"/>
  <c r="O499" i="1"/>
  <c r="O500" i="1"/>
  <c r="O501" i="1"/>
  <c r="O502" i="1"/>
  <c r="O503" i="1"/>
  <c r="O504" i="1"/>
  <c r="O505" i="1"/>
  <c r="O506" i="1"/>
  <c r="O507" i="1"/>
  <c r="O508" i="1"/>
  <c r="O509" i="1"/>
  <c r="O510" i="1"/>
  <c r="O511" i="1"/>
  <c r="O512" i="1"/>
  <c r="O513" i="1"/>
  <c r="O514" i="1"/>
  <c r="O515" i="1"/>
  <c r="O516" i="1"/>
  <c r="O517" i="1"/>
  <c r="O518" i="1"/>
  <c r="O519" i="1"/>
  <c r="O520" i="1"/>
  <c r="O521" i="1"/>
  <c r="O522" i="1"/>
  <c r="O523" i="1"/>
  <c r="O524" i="1"/>
  <c r="O525" i="1"/>
  <c r="O526" i="1"/>
  <c r="O527" i="1"/>
  <c r="O528" i="1"/>
  <c r="O529" i="1"/>
  <c r="O530" i="1"/>
  <c r="O531" i="1"/>
  <c r="O532" i="1"/>
  <c r="O533" i="1"/>
  <c r="O534" i="1"/>
  <c r="O535" i="1"/>
  <c r="O536" i="1"/>
  <c r="O537" i="1"/>
  <c r="O538" i="1"/>
  <c r="O539" i="1"/>
  <c r="O540" i="1"/>
  <c r="O541" i="1"/>
  <c r="O542" i="1"/>
  <c r="O543" i="1"/>
  <c r="O544" i="1"/>
  <c r="O545" i="1"/>
  <c r="O546" i="1"/>
  <c r="O547" i="1"/>
  <c r="O548" i="1"/>
  <c r="O549" i="1"/>
  <c r="O550" i="1"/>
  <c r="O551" i="1"/>
  <c r="O552" i="1"/>
  <c r="O553" i="1"/>
  <c r="O554" i="1"/>
  <c r="O555" i="1"/>
  <c r="O556" i="1"/>
  <c r="O557" i="1"/>
  <c r="O558" i="1"/>
  <c r="O684" i="1"/>
  <c r="S18" i="8"/>
  <c r="AI158" i="1" a="1"/>
  <c r="AI106" i="1" a="1"/>
  <c r="AH737" i="1" a="1"/>
  <c r="R18" i="8" a="1"/>
  <c r="AI478" i="1" a="1"/>
  <c r="AH158" i="1" a="1"/>
  <c r="AI737" i="1" a="1"/>
  <c r="AH187" i="1" a="1"/>
  <c r="AH708" i="1" a="1"/>
  <c r="AH478" i="1" a="1"/>
  <c r="AI708" i="1" a="1"/>
  <c r="AH106" i="1" a="1"/>
  <c r="AI187" i="1" a="1"/>
  <c r="R18" i="8" l="1"/>
  <c r="AH158" i="1"/>
  <c r="AD158" i="1" s="1"/>
  <c r="AI187" i="1"/>
  <c r="AB187" i="1" s="1"/>
  <c r="AI737" i="1"/>
  <c r="AB737" i="1" s="1"/>
  <c r="AI158" i="1"/>
  <c r="AB158" i="1" s="1"/>
  <c r="AH708" i="1"/>
  <c r="AD708" i="1" s="1"/>
  <c r="AH737" i="1"/>
  <c r="AD737" i="1" s="1"/>
  <c r="AI708" i="1"/>
  <c r="AB708" i="1" s="1"/>
  <c r="AH187" i="1"/>
  <c r="AD187" i="1" s="1"/>
  <c r="AI478" i="1"/>
  <c r="AB478" i="1" s="1"/>
  <c r="AH478" i="1"/>
  <c r="AD478" i="1" s="1"/>
  <c r="AI106" i="1"/>
  <c r="AB106" i="1" s="1"/>
  <c r="AH106" i="1"/>
  <c r="AD106" i="1" s="1"/>
  <c r="P48" i="1"/>
  <c r="Q48" i="1"/>
  <c r="AG48" i="1"/>
  <c r="U48" i="1"/>
  <c r="Y48" i="1"/>
  <c r="Z48" i="1"/>
  <c r="K48" i="1" l="1"/>
  <c r="AC106" i="1"/>
  <c r="AE106" i="1"/>
  <c r="AE478" i="1"/>
  <c r="AC478" i="1"/>
  <c r="AE708" i="1"/>
  <c r="AC708" i="1"/>
  <c r="AC158" i="1"/>
  <c r="AE158" i="1"/>
  <c r="AC737" i="1"/>
  <c r="AE737" i="1"/>
  <c r="AE187" i="1"/>
  <c r="AC187" i="1"/>
  <c r="E48" i="1"/>
  <c r="F48" i="1" s="1"/>
  <c r="C48" i="1"/>
  <c r="D48" i="1" s="1"/>
  <c r="H48" i="1"/>
  <c r="AG47" i="1" l="1"/>
  <c r="Q47" i="1"/>
  <c r="P47" i="1"/>
  <c r="Y47" i="1"/>
  <c r="AA47" i="1"/>
  <c r="U47" i="1"/>
  <c r="Z47" i="1"/>
  <c r="K47" i="1" l="1"/>
  <c r="AF47" i="1"/>
  <c r="E47" i="1"/>
  <c r="F47" i="1" s="1"/>
  <c r="C47" i="1"/>
  <c r="D47" i="1" s="1"/>
  <c r="H47" i="1"/>
  <c r="AG150" i="1" l="1"/>
  <c r="Q150" i="1"/>
  <c r="P150" i="1"/>
  <c r="AG714" i="1"/>
  <c r="Q714" i="1"/>
  <c r="P714" i="1"/>
  <c r="AG709" i="1"/>
  <c r="Q709" i="1"/>
  <c r="P709" i="1"/>
  <c r="AG149" i="1"/>
  <c r="Q149" i="1"/>
  <c r="P149" i="1"/>
  <c r="AG91" i="1"/>
  <c r="Q91" i="1"/>
  <c r="P91" i="1"/>
  <c r="Y709" i="1"/>
  <c r="Z150" i="1"/>
  <c r="Y150" i="1"/>
  <c r="Y149" i="1"/>
  <c r="U709" i="1"/>
  <c r="Z714" i="1"/>
  <c r="U149" i="1"/>
  <c r="U91" i="1"/>
  <c r="Z91" i="1"/>
  <c r="Z149" i="1"/>
  <c r="U150" i="1"/>
  <c r="AH47" i="1" a="1"/>
  <c r="Y91" i="1"/>
  <c r="Y714" i="1"/>
  <c r="Z709" i="1"/>
  <c r="U714" i="1"/>
  <c r="AI47" i="1" a="1"/>
  <c r="K714" i="1" l="1"/>
  <c r="K149" i="1"/>
  <c r="K91" i="1"/>
  <c r="K709" i="1"/>
  <c r="K150" i="1"/>
  <c r="AH47" i="1"/>
  <c r="AD47" i="1" s="1"/>
  <c r="AI47" i="1"/>
  <c r="AB47" i="1" s="1"/>
  <c r="E149" i="1"/>
  <c r="F149" i="1" s="1"/>
  <c r="C149" i="1"/>
  <c r="D149" i="1" s="1"/>
  <c r="C714" i="1"/>
  <c r="D714" i="1" s="1"/>
  <c r="E714" i="1"/>
  <c r="F714" i="1" s="1"/>
  <c r="H709" i="1"/>
  <c r="E709" i="1"/>
  <c r="F709" i="1" s="1"/>
  <c r="C709" i="1"/>
  <c r="D709" i="1" s="1"/>
  <c r="E91" i="1"/>
  <c r="F91" i="1" s="1"/>
  <c r="C91" i="1"/>
  <c r="D91" i="1" s="1"/>
  <c r="E150" i="1"/>
  <c r="F150" i="1" s="1"/>
  <c r="C150" i="1"/>
  <c r="D150" i="1" s="1"/>
  <c r="H150" i="1"/>
  <c r="H714" i="1"/>
  <c r="H149" i="1"/>
  <c r="H91" i="1"/>
  <c r="AE47" i="1" l="1"/>
  <c r="AC47" i="1"/>
  <c r="AG161" i="1"/>
  <c r="Q161" i="1"/>
  <c r="P161" i="1"/>
  <c r="AG96" i="1"/>
  <c r="Q96" i="1"/>
  <c r="P96" i="1"/>
  <c r="Z96" i="1"/>
  <c r="Y96" i="1"/>
  <c r="Y161" i="1"/>
  <c r="U161" i="1"/>
  <c r="U96" i="1"/>
  <c r="Z161" i="1"/>
  <c r="K96" i="1" l="1"/>
  <c r="K161" i="1"/>
  <c r="E96" i="1"/>
  <c r="F96" i="1" s="1"/>
  <c r="C96" i="1"/>
  <c r="D96" i="1" s="1"/>
  <c r="E161" i="1"/>
  <c r="F161" i="1" s="1"/>
  <c r="C161" i="1"/>
  <c r="D161" i="1" s="1"/>
  <c r="H161" i="1"/>
  <c r="H96" i="1"/>
  <c r="S19" i="8" l="1"/>
  <c r="AF18" i="8"/>
  <c r="AF19" i="8"/>
  <c r="AQ57" i="8" a="1"/>
  <c r="AQ51" i="8" a="1"/>
  <c r="AQ20" i="8" a="1"/>
  <c r="AQ35" i="8" a="1"/>
  <c r="AQ39" i="8" a="1"/>
  <c r="AQ40" i="8" a="1"/>
  <c r="AQ21" i="8" a="1"/>
  <c r="AQ12" i="8" a="1"/>
  <c r="AQ31" i="8" a="1"/>
  <c r="AQ16" i="8" a="1"/>
  <c r="AQ23" i="8" a="1"/>
  <c r="AQ65" i="8" a="1"/>
  <c r="AQ15" i="8" a="1"/>
  <c r="AQ17" i="8" a="1"/>
  <c r="AQ11" i="8" a="1"/>
  <c r="AQ59" i="8" a="1"/>
  <c r="AQ61" i="8" a="1"/>
  <c r="AQ29" i="8" a="1"/>
  <c r="AQ26" i="8" a="1"/>
  <c r="AQ48" i="8" a="1"/>
  <c r="AQ43" i="8" a="1"/>
  <c r="AQ42" i="8" a="1"/>
  <c r="AQ63" i="8" a="1"/>
  <c r="AQ52" i="8" a="1"/>
  <c r="AQ44" i="8" a="1"/>
  <c r="AQ33" i="8" a="1"/>
  <c r="AQ38" i="8" a="1"/>
  <c r="AQ50" i="8" a="1"/>
  <c r="AQ10" i="8" a="1"/>
  <c r="AQ62" i="8" a="1"/>
  <c r="AQ46" i="8" a="1"/>
  <c r="AQ18" i="8" a="1"/>
  <c r="AQ58" i="8" a="1"/>
  <c r="AQ55" i="8" a="1"/>
  <c r="AQ60" i="8" a="1"/>
  <c r="AQ34" i="8" a="1"/>
  <c r="AQ32" i="8" a="1"/>
  <c r="AQ22" i="8" a="1"/>
  <c r="AQ72" i="8" a="1"/>
  <c r="AQ74" i="8" a="1"/>
  <c r="AQ71" i="8" a="1"/>
  <c r="AQ6" i="8" a="1"/>
  <c r="AQ14" i="8" a="1"/>
  <c r="AQ47" i="8" a="1"/>
  <c r="AQ28" i="8" a="1"/>
  <c r="AQ25" i="8" a="1"/>
  <c r="AQ13" i="8" a="1"/>
  <c r="AQ36" i="8" a="1"/>
  <c r="AQ54" i="8" a="1"/>
  <c r="AQ53" i="8" a="1"/>
  <c r="AQ69" i="8" a="1"/>
  <c r="R19" i="8" a="1"/>
  <c r="AQ9" i="8" a="1"/>
  <c r="AQ73" i="8" a="1"/>
  <c r="AQ30" i="8" a="1"/>
  <c r="AQ64" i="8" a="1"/>
  <c r="AQ2" i="8" a="1"/>
  <c r="AQ45" i="8" a="1"/>
  <c r="AQ41" i="8" a="1"/>
  <c r="AQ49" i="8" a="1"/>
  <c r="AQ66" i="8" a="1"/>
  <c r="AQ27" i="8" a="1"/>
  <c r="AQ68" i="8" a="1"/>
  <c r="AQ19" i="8" a="1"/>
  <c r="AQ56" i="8" a="1"/>
  <c r="AQ37" i="8" a="1"/>
  <c r="R19" i="8" l="1"/>
  <c r="AQ37" i="8"/>
  <c r="AQ50" i="8"/>
  <c r="AQ40" i="8"/>
  <c r="AQ52" i="8"/>
  <c r="AQ64" i="8"/>
  <c r="AQ16" i="8"/>
  <c r="AQ66" i="8"/>
  <c r="AQ61" i="8"/>
  <c r="AQ18" i="8"/>
  <c r="AQ68" i="8"/>
  <c r="AQ13" i="8"/>
  <c r="AQ51" i="8"/>
  <c r="AQ17" i="8"/>
  <c r="AQ69" i="8"/>
  <c r="AQ63" i="8"/>
  <c r="AQ6" i="8"/>
  <c r="AQ71" i="8"/>
  <c r="AQ38" i="8"/>
  <c r="AQ39" i="8"/>
  <c r="AQ41" i="8"/>
  <c r="AQ30" i="8"/>
  <c r="AQ31" i="8"/>
  <c r="AQ32" i="8"/>
  <c r="AQ45" i="8"/>
  <c r="AQ46" i="8"/>
  <c r="AQ72" i="8"/>
  <c r="AQ25" i="8"/>
  <c r="AQ14" i="8"/>
  <c r="AQ15" i="8"/>
  <c r="AQ53" i="8"/>
  <c r="AQ42" i="8"/>
  <c r="AQ55" i="8"/>
  <c r="AQ56" i="8"/>
  <c r="AQ33" i="8"/>
  <c r="AQ35" i="8"/>
  <c r="AQ59" i="8"/>
  <c r="AQ73" i="8"/>
  <c r="AQ12" i="8"/>
  <c r="AQ49" i="8"/>
  <c r="AQ26" i="8"/>
  <c r="AQ62" i="8"/>
  <c r="AQ27" i="8"/>
  <c r="AQ28" i="8"/>
  <c r="AQ29" i="8"/>
  <c r="AQ65" i="8"/>
  <c r="AQ54" i="8"/>
  <c r="AQ43" i="8"/>
  <c r="AQ2" i="8"/>
  <c r="AQ19" i="8"/>
  <c r="AQ44" i="8"/>
  <c r="AQ20" i="8"/>
  <c r="AQ57" i="8"/>
  <c r="AQ9" i="8"/>
  <c r="AQ21" i="8"/>
  <c r="AQ34" i="8"/>
  <c r="AQ58" i="8"/>
  <c r="AQ10" i="8"/>
  <c r="AQ22" i="8"/>
  <c r="AQ47" i="8"/>
  <c r="AQ11" i="8"/>
  <c r="AQ23" i="8"/>
  <c r="AQ36" i="8"/>
  <c r="AQ48" i="8"/>
  <c r="AQ60" i="8"/>
  <c r="AQ74" i="8"/>
  <c r="AG18" i="8"/>
  <c r="AG19" i="8"/>
  <c r="P223" i="1" l="1"/>
  <c r="Q223" i="1"/>
  <c r="AG223" i="1"/>
  <c r="P225" i="1"/>
  <c r="Q225" i="1"/>
  <c r="AG225" i="1"/>
  <c r="P226" i="1"/>
  <c r="Q226" i="1"/>
  <c r="AG226" i="1"/>
  <c r="Z226" i="1"/>
  <c r="Y223" i="1"/>
  <c r="U225" i="1"/>
  <c r="Y226" i="1"/>
  <c r="Y225" i="1"/>
  <c r="Z225" i="1"/>
  <c r="U223" i="1"/>
  <c r="AA223" i="1"/>
  <c r="U226" i="1"/>
  <c r="Z223" i="1"/>
  <c r="AF223" i="1" l="1"/>
  <c r="K223" i="1"/>
  <c r="K225" i="1"/>
  <c r="K226" i="1"/>
  <c r="E226" i="1"/>
  <c r="F226" i="1" s="1"/>
  <c r="C226" i="1"/>
  <c r="D226" i="1" s="1"/>
  <c r="E223" i="1"/>
  <c r="F223" i="1" s="1"/>
  <c r="C223" i="1"/>
  <c r="D223" i="1" s="1"/>
  <c r="E225" i="1"/>
  <c r="F225" i="1" s="1"/>
  <c r="C225" i="1"/>
  <c r="D225" i="1" s="1"/>
  <c r="H223" i="1"/>
  <c r="H225" i="1"/>
  <c r="H226" i="1"/>
  <c r="P258" i="1" l="1"/>
  <c r="Q258" i="1"/>
  <c r="AG258" i="1"/>
  <c r="AG69" i="1"/>
  <c r="Q69" i="1"/>
  <c r="P69" i="1"/>
  <c r="AG50" i="1"/>
  <c r="Q50" i="1"/>
  <c r="P50" i="1"/>
  <c r="AG17" i="1"/>
  <c r="Q17" i="1"/>
  <c r="P17" i="1"/>
  <c r="AG41" i="1"/>
  <c r="Q41" i="1"/>
  <c r="P41" i="1"/>
  <c r="P40" i="1"/>
  <c r="Q40" i="1"/>
  <c r="AG40" i="1"/>
  <c r="P38" i="1"/>
  <c r="Q38" i="1"/>
  <c r="AG38" i="1"/>
  <c r="P36" i="1"/>
  <c r="Q36" i="1"/>
  <c r="AG36" i="1"/>
  <c r="P34" i="1"/>
  <c r="Q34" i="1"/>
  <c r="AG34" i="1"/>
  <c r="P28" i="1"/>
  <c r="Q28" i="1"/>
  <c r="AG28" i="1"/>
  <c r="P16" i="1"/>
  <c r="Q16" i="1"/>
  <c r="AG16" i="1"/>
  <c r="P24" i="1"/>
  <c r="Q24" i="1"/>
  <c r="AG24" i="1"/>
  <c r="P49" i="1"/>
  <c r="Q49" i="1"/>
  <c r="AG49" i="1"/>
  <c r="P14" i="1"/>
  <c r="Q14" i="1"/>
  <c r="AG14" i="1"/>
  <c r="P12" i="1"/>
  <c r="Q12" i="1"/>
  <c r="AG12" i="1"/>
  <c r="P10" i="1"/>
  <c r="Q10" i="1"/>
  <c r="AG10" i="1"/>
  <c r="U17" i="1"/>
  <c r="U258" i="1"/>
  <c r="U16" i="1"/>
  <c r="AA24" i="1"/>
  <c r="U36" i="1"/>
  <c r="AA50" i="1"/>
  <c r="Z14" i="1"/>
  <c r="U10" i="1"/>
  <c r="Z69" i="1"/>
  <c r="AA14" i="1"/>
  <c r="Y17" i="1"/>
  <c r="Y40" i="1"/>
  <c r="Y36" i="1"/>
  <c r="Y41" i="1"/>
  <c r="Y12" i="1"/>
  <c r="U24" i="1"/>
  <c r="U69" i="1"/>
  <c r="AA34" i="1"/>
  <c r="Y16" i="1"/>
  <c r="Y50" i="1"/>
  <c r="Z10" i="1"/>
  <c r="Z12" i="1"/>
  <c r="Y28" i="1"/>
  <c r="U14" i="1"/>
  <c r="U38" i="1"/>
  <c r="AA40" i="1"/>
  <c r="AA10" i="1"/>
  <c r="AA16" i="1"/>
  <c r="AA41" i="1"/>
  <c r="Y14" i="1"/>
  <c r="Z16" i="1"/>
  <c r="Y49" i="1"/>
  <c r="Z36" i="1"/>
  <c r="Y24" i="1"/>
  <c r="U28" i="1"/>
  <c r="Z24" i="1"/>
  <c r="Y38" i="1"/>
  <c r="AA12" i="1"/>
  <c r="AA17" i="1"/>
  <c r="Z28" i="1"/>
  <c r="U50" i="1"/>
  <c r="Z38" i="1"/>
  <c r="U41" i="1"/>
  <c r="Y69" i="1"/>
  <c r="Z34" i="1"/>
  <c r="Y258" i="1"/>
  <c r="AA36" i="1"/>
  <c r="AA38" i="1"/>
  <c r="U49" i="1"/>
  <c r="Z50" i="1"/>
  <c r="Z17" i="1"/>
  <c r="Z258" i="1"/>
  <c r="Z41" i="1"/>
  <c r="Y10" i="1"/>
  <c r="U40" i="1"/>
  <c r="U34" i="1"/>
  <c r="AA258" i="1"/>
  <c r="AA28" i="1"/>
  <c r="Y34" i="1"/>
  <c r="U12" i="1"/>
  <c r="Z49" i="1"/>
  <c r="Z40" i="1"/>
  <c r="K34" i="1" l="1"/>
  <c r="AF38" i="1"/>
  <c r="AF17" i="1"/>
  <c r="K69" i="1"/>
  <c r="K17" i="1"/>
  <c r="K14" i="1"/>
  <c r="K38" i="1"/>
  <c r="AF24" i="1"/>
  <c r="K41" i="1"/>
  <c r="AF14" i="1"/>
  <c r="K28" i="1"/>
  <c r="AF36" i="1"/>
  <c r="AF258" i="1"/>
  <c r="AF41" i="1"/>
  <c r="K50" i="1"/>
  <c r="K36" i="1"/>
  <c r="AF40" i="1"/>
  <c r="K258" i="1"/>
  <c r="K10" i="1"/>
  <c r="AF12" i="1"/>
  <c r="K49" i="1"/>
  <c r="AF16" i="1"/>
  <c r="AF50" i="1"/>
  <c r="K40" i="1"/>
  <c r="K24" i="1"/>
  <c r="AF28" i="1"/>
  <c r="K12" i="1"/>
  <c r="AF10" i="1"/>
  <c r="K16" i="1"/>
  <c r="AF34" i="1"/>
  <c r="E16" i="1"/>
  <c r="F16" i="1" s="1"/>
  <c r="C16" i="1"/>
  <c r="D16" i="1" s="1"/>
  <c r="E40" i="1"/>
  <c r="F40" i="1" s="1"/>
  <c r="C40" i="1"/>
  <c r="D40" i="1" s="1"/>
  <c r="E14" i="1"/>
  <c r="F14" i="1" s="1"/>
  <c r="C14" i="1"/>
  <c r="D14" i="1" s="1"/>
  <c r="E38" i="1"/>
  <c r="F38" i="1" s="1"/>
  <c r="C38" i="1"/>
  <c r="D38" i="1" s="1"/>
  <c r="E69" i="1"/>
  <c r="F69" i="1" s="1"/>
  <c r="C69" i="1"/>
  <c r="D69" i="1" s="1"/>
  <c r="E24" i="1"/>
  <c r="F24" i="1" s="1"/>
  <c r="C24" i="1"/>
  <c r="D24" i="1" s="1"/>
  <c r="E50" i="1"/>
  <c r="F50" i="1" s="1"/>
  <c r="C50" i="1"/>
  <c r="D50" i="1" s="1"/>
  <c r="E49" i="1"/>
  <c r="F49" i="1" s="1"/>
  <c r="C49" i="1"/>
  <c r="D49" i="1" s="1"/>
  <c r="E12" i="1"/>
  <c r="F12" i="1" s="1"/>
  <c r="C12" i="1"/>
  <c r="D12" i="1" s="1"/>
  <c r="E36" i="1"/>
  <c r="F36" i="1" s="1"/>
  <c r="C36" i="1"/>
  <c r="D36" i="1" s="1"/>
  <c r="E10" i="1"/>
  <c r="F10" i="1" s="1"/>
  <c r="C10" i="1"/>
  <c r="D10" i="1" s="1"/>
  <c r="E17" i="1"/>
  <c r="F17" i="1" s="1"/>
  <c r="C17" i="1"/>
  <c r="D17" i="1" s="1"/>
  <c r="E34" i="1"/>
  <c r="F34" i="1" s="1"/>
  <c r="C34" i="1"/>
  <c r="D34" i="1" s="1"/>
  <c r="E28" i="1"/>
  <c r="F28" i="1" s="1"/>
  <c r="C28" i="1"/>
  <c r="D28" i="1" s="1"/>
  <c r="E41" i="1"/>
  <c r="F41" i="1" s="1"/>
  <c r="C41" i="1"/>
  <c r="D41" i="1" s="1"/>
  <c r="E258" i="1"/>
  <c r="F258" i="1" s="1"/>
  <c r="C258" i="1"/>
  <c r="D258" i="1" s="1"/>
  <c r="H258" i="1"/>
  <c r="H69" i="1"/>
  <c r="H50" i="1"/>
  <c r="H17" i="1"/>
  <c r="H41" i="1"/>
  <c r="H40" i="1"/>
  <c r="H38" i="1"/>
  <c r="H36" i="1"/>
  <c r="H34" i="1"/>
  <c r="H28" i="1"/>
  <c r="H16" i="1"/>
  <c r="H24" i="1"/>
  <c r="H49" i="1"/>
  <c r="H14" i="1"/>
  <c r="H12" i="1"/>
  <c r="H10" i="1"/>
  <c r="P710" i="1" l="1"/>
  <c r="Q710" i="1"/>
  <c r="AG710" i="1"/>
  <c r="U710" i="1"/>
  <c r="Y710" i="1"/>
  <c r="Z710" i="1"/>
  <c r="K710" i="1" l="1"/>
  <c r="C710" i="1"/>
  <c r="D710" i="1" s="1"/>
  <c r="E710" i="1"/>
  <c r="F710" i="1" s="1"/>
  <c r="H710" i="1"/>
  <c r="S12" i="8"/>
  <c r="S6" i="8"/>
  <c r="R12" i="8" a="1"/>
  <c r="R6" i="8" a="1"/>
  <c r="R6" i="8" l="1"/>
  <c r="R12" i="8"/>
  <c r="AH24" i="1" a="1"/>
  <c r="AI28" i="1" a="1"/>
  <c r="AI34" i="1" a="1"/>
  <c r="AI16" i="1" a="1"/>
  <c r="AI223" i="1" a="1"/>
  <c r="AH17" i="1" a="1"/>
  <c r="AI258" i="1" a="1"/>
  <c r="AI40" i="1" a="1"/>
  <c r="AH50" i="1" a="1"/>
  <c r="AI14" i="1" a="1"/>
  <c r="AI50" i="1" a="1"/>
  <c r="AH36" i="1" a="1"/>
  <c r="AH14" i="1" a="1"/>
  <c r="AH16" i="1" a="1"/>
  <c r="AH223" i="1" a="1"/>
  <c r="AI38" i="1" a="1"/>
  <c r="AI36" i="1" a="1"/>
  <c r="AH40" i="1" a="1"/>
  <c r="AH10" i="1" a="1"/>
  <c r="AH258" i="1" a="1"/>
  <c r="AH38" i="1" a="1"/>
  <c r="AI10" i="1" a="1"/>
  <c r="AI12" i="1" a="1"/>
  <c r="AI41" i="1" a="1"/>
  <c r="AI24" i="1" a="1"/>
  <c r="AH34" i="1" a="1"/>
  <c r="AH41" i="1" a="1"/>
  <c r="AI17" i="1" a="1"/>
  <c r="AH28" i="1" a="1"/>
  <c r="AH12" i="1" a="1"/>
  <c r="AH12" i="1" l="1"/>
  <c r="AD12" i="1" s="1"/>
  <c r="AH17" i="1"/>
  <c r="AD17" i="1" s="1"/>
  <c r="AI38" i="1"/>
  <c r="AB38" i="1" s="1"/>
  <c r="AC38" i="1" s="1"/>
  <c r="AI28" i="1"/>
  <c r="AB28" i="1" s="1"/>
  <c r="AC28" i="1" s="1"/>
  <c r="AI40" i="1"/>
  <c r="AB40" i="1" s="1"/>
  <c r="AC40" i="1" s="1"/>
  <c r="AI50" i="1"/>
  <c r="AB50" i="1" s="1"/>
  <c r="AC50" i="1" s="1"/>
  <c r="AH16" i="1"/>
  <c r="AD16" i="1" s="1"/>
  <c r="AI17" i="1"/>
  <c r="AB17" i="1" s="1"/>
  <c r="AE17" i="1" s="1"/>
  <c r="AH258" i="1"/>
  <c r="AD258" i="1" s="1"/>
  <c r="AI24" i="1"/>
  <c r="AB24" i="1" s="1"/>
  <c r="AC24" i="1" s="1"/>
  <c r="AI16" i="1"/>
  <c r="AB16" i="1" s="1"/>
  <c r="AE16" i="1" s="1"/>
  <c r="AI41" i="1"/>
  <c r="AB41" i="1" s="1"/>
  <c r="AH10" i="1"/>
  <c r="AD10" i="1" s="1"/>
  <c r="AH36" i="1"/>
  <c r="AD36" i="1" s="1"/>
  <c r="AH38" i="1"/>
  <c r="AD38" i="1" s="1"/>
  <c r="AH14" i="1"/>
  <c r="AD14" i="1" s="1"/>
  <c r="AI258" i="1"/>
  <c r="AH41" i="1"/>
  <c r="AD41" i="1" s="1"/>
  <c r="AH34" i="1"/>
  <c r="AD34" i="1" s="1"/>
  <c r="AH24" i="1"/>
  <c r="AD24" i="1" s="1"/>
  <c r="AI10" i="1"/>
  <c r="AB10" i="1" s="1"/>
  <c r="AE10" i="1" s="1"/>
  <c r="AI36" i="1"/>
  <c r="AB36" i="1" s="1"/>
  <c r="AC36" i="1" s="1"/>
  <c r="AH223" i="1"/>
  <c r="AD223" i="1" s="1"/>
  <c r="AI14" i="1"/>
  <c r="AB14" i="1" s="1"/>
  <c r="AC14" i="1" s="1"/>
  <c r="AH50" i="1"/>
  <c r="AD50" i="1" s="1"/>
  <c r="AI223" i="1"/>
  <c r="AI34" i="1"/>
  <c r="AB34" i="1" s="1"/>
  <c r="AC34" i="1" s="1"/>
  <c r="AI12" i="1"/>
  <c r="AB12" i="1" s="1"/>
  <c r="AC12" i="1" s="1"/>
  <c r="AH40" i="1"/>
  <c r="AD40" i="1" s="1"/>
  <c r="AH28" i="1"/>
  <c r="AD28" i="1" s="1"/>
  <c r="AE28" i="1" s="1"/>
  <c r="AB258" i="1"/>
  <c r="AC258" i="1" s="1"/>
  <c r="AB223" i="1"/>
  <c r="AC223" i="1" s="1"/>
  <c r="AE12" i="1" l="1"/>
  <c r="AE41" i="1"/>
  <c r="AE34" i="1"/>
  <c r="AE40" i="1"/>
  <c r="AE38" i="1"/>
  <c r="AE24" i="1"/>
  <c r="AE36" i="1"/>
  <c r="AC16" i="1"/>
  <c r="AE14" i="1"/>
  <c r="AC10" i="1"/>
  <c r="AC17" i="1"/>
  <c r="AC41" i="1"/>
  <c r="AE50" i="1"/>
  <c r="AE258" i="1"/>
  <c r="AE223" i="1"/>
  <c r="S14" i="8"/>
  <c r="AF14" i="8"/>
  <c r="S16" i="8"/>
  <c r="AF16" i="8"/>
  <c r="R14" i="8" a="1"/>
  <c r="R16" i="8" a="1"/>
  <c r="R14" i="8" l="1"/>
  <c r="R16" i="8"/>
  <c r="AG14" i="8"/>
  <c r="AG16" i="8"/>
  <c r="S20" i="8"/>
  <c r="S23" i="8"/>
  <c r="AF23" i="8"/>
  <c r="AF12" i="8"/>
  <c r="R20" i="8" a="1"/>
  <c r="R23" i="8" a="1"/>
  <c r="R23" i="8" l="1"/>
  <c r="R20" i="8"/>
  <c r="AG12" i="8"/>
  <c r="AG23" i="8"/>
  <c r="P248" i="1" l="1"/>
  <c r="Q248" i="1"/>
  <c r="AG248" i="1"/>
  <c r="Y248" i="1"/>
  <c r="U248" i="1"/>
  <c r="Z248" i="1"/>
  <c r="AA248" i="1"/>
  <c r="AF248" i="1" l="1"/>
  <c r="K248" i="1"/>
  <c r="E248" i="1"/>
  <c r="F248" i="1" s="1"/>
  <c r="C248" i="1"/>
  <c r="D248" i="1" s="1"/>
  <c r="H248" i="1"/>
  <c r="AG233" i="1" l="1"/>
  <c r="Q233" i="1"/>
  <c r="P233" i="1"/>
  <c r="AG316" i="1"/>
  <c r="Q316" i="1"/>
  <c r="P316" i="1"/>
  <c r="AG301" i="1"/>
  <c r="Q301" i="1"/>
  <c r="P301" i="1"/>
  <c r="Y301" i="1"/>
  <c r="U316" i="1"/>
  <c r="Y316" i="1"/>
  <c r="Z301" i="1"/>
  <c r="Y233" i="1"/>
  <c r="Z233" i="1"/>
  <c r="U301" i="1"/>
  <c r="Z316" i="1"/>
  <c r="U233" i="1"/>
  <c r="K316" i="1" l="1"/>
  <c r="K301" i="1"/>
  <c r="K233" i="1"/>
  <c r="C316" i="1"/>
  <c r="D316" i="1" s="1"/>
  <c r="E316" i="1"/>
  <c r="F316" i="1" s="1"/>
  <c r="E301" i="1"/>
  <c r="F301" i="1" s="1"/>
  <c r="C301" i="1"/>
  <c r="D301" i="1" s="1"/>
  <c r="E233" i="1"/>
  <c r="F233" i="1" s="1"/>
  <c r="C233" i="1"/>
  <c r="D233" i="1" s="1"/>
  <c r="H233" i="1"/>
  <c r="H316" i="1"/>
  <c r="H301" i="1"/>
  <c r="AG365" i="1" l="1"/>
  <c r="Q365" i="1"/>
  <c r="P365" i="1"/>
  <c r="U365" i="1"/>
  <c r="Z514" i="1"/>
  <c r="Y365" i="1"/>
  <c r="AI248" i="1" a="1"/>
  <c r="Z365" i="1"/>
  <c r="Z515" i="1"/>
  <c r="AH248" i="1" a="1"/>
  <c r="K365" i="1" l="1"/>
  <c r="AI248" i="1"/>
  <c r="AB248" i="1" s="1"/>
  <c r="AH248" i="1"/>
  <c r="AD248" i="1" s="1"/>
  <c r="H365" i="1"/>
  <c r="E365" i="1"/>
  <c r="F365" i="1" s="1"/>
  <c r="C365" i="1"/>
  <c r="D365" i="1" s="1"/>
  <c r="AC248" i="1" l="1"/>
  <c r="AE248" i="1"/>
  <c r="AG367" i="1"/>
  <c r="Q367" i="1"/>
  <c r="P367" i="1"/>
  <c r="P486" i="1"/>
  <c r="Q486" i="1"/>
  <c r="AG486" i="1"/>
  <c r="Y367" i="1"/>
  <c r="U486" i="1"/>
  <c r="Z367" i="1"/>
  <c r="U367" i="1"/>
  <c r="Y486" i="1"/>
  <c r="Z486" i="1"/>
  <c r="K486" i="1" l="1"/>
  <c r="K367" i="1"/>
  <c r="E486" i="1"/>
  <c r="F486" i="1" s="1"/>
  <c r="C486" i="1"/>
  <c r="D486" i="1" s="1"/>
  <c r="E367" i="1"/>
  <c r="F367" i="1" s="1"/>
  <c r="C367" i="1"/>
  <c r="D367" i="1" s="1"/>
  <c r="H367" i="1"/>
  <c r="H486" i="1"/>
  <c r="P8" i="1" l="1"/>
  <c r="P9" i="1"/>
  <c r="P11" i="1"/>
  <c r="P13" i="1"/>
  <c r="P15" i="1"/>
  <c r="P18" i="1"/>
  <c r="P19" i="1"/>
  <c r="P20" i="1"/>
  <c r="P21" i="1"/>
  <c r="P22" i="1"/>
  <c r="P23" i="1"/>
  <c r="P25" i="1"/>
  <c r="P26" i="1"/>
  <c r="P27" i="1"/>
  <c r="P29" i="1"/>
  <c r="P30" i="1"/>
  <c r="P31" i="1"/>
  <c r="P32" i="1"/>
  <c r="P33" i="1"/>
  <c r="P35" i="1"/>
  <c r="P37" i="1"/>
  <c r="P42" i="1"/>
  <c r="P45" i="1"/>
  <c r="P46" i="1"/>
  <c r="P52" i="1"/>
  <c r="P53" i="1"/>
  <c r="P54" i="1"/>
  <c r="P55" i="1"/>
  <c r="P56" i="1"/>
  <c r="P57" i="1"/>
  <c r="P58" i="1"/>
  <c r="P64" i="1"/>
  <c r="P65" i="1"/>
  <c r="P66" i="1"/>
  <c r="P67" i="1"/>
  <c r="P68" i="1"/>
  <c r="P70" i="1"/>
  <c r="P71" i="1"/>
  <c r="P72" i="1"/>
  <c r="P73" i="1"/>
  <c r="P75" i="1"/>
  <c r="P76" i="1"/>
  <c r="P77" i="1"/>
  <c r="P78" i="1"/>
  <c r="P79" i="1"/>
  <c r="P80" i="1"/>
  <c r="P81" i="1"/>
  <c r="P82" i="1"/>
  <c r="P83" i="1"/>
  <c r="P84" i="1"/>
  <c r="P85" i="1"/>
  <c r="P86" i="1"/>
  <c r="P89" i="1"/>
  <c r="P90" i="1"/>
  <c r="P94" i="1"/>
  <c r="P97" i="1"/>
  <c r="P99" i="1"/>
  <c r="P100" i="1"/>
  <c r="P101" i="1"/>
  <c r="P102" i="1"/>
  <c r="P104" i="1"/>
  <c r="P105" i="1"/>
  <c r="P107" i="1"/>
  <c r="P108" i="1"/>
  <c r="P109" i="1"/>
  <c r="P110" i="1"/>
  <c r="P111" i="1"/>
  <c r="P112" i="1"/>
  <c r="P113" i="1"/>
  <c r="P114" i="1"/>
  <c r="P116" i="1"/>
  <c r="P678" i="1"/>
  <c r="P706" i="1"/>
  <c r="P711" i="1"/>
  <c r="P721" i="1"/>
  <c r="P726" i="1"/>
  <c r="P142" i="1"/>
  <c r="P147" i="1"/>
  <c r="P731" i="1"/>
  <c r="P157" i="1"/>
  <c r="P736" i="1"/>
  <c r="P167" i="1"/>
  <c r="P168" i="1"/>
  <c r="P169" i="1"/>
  <c r="P171" i="1"/>
  <c r="P172" i="1"/>
  <c r="P173" i="1"/>
  <c r="P174" i="1"/>
  <c r="P175" i="1"/>
  <c r="P176" i="1"/>
  <c r="P178" i="1"/>
  <c r="P179" i="1"/>
  <c r="P180" i="1"/>
  <c r="P181" i="1"/>
  <c r="P177" i="1"/>
  <c r="P182" i="1"/>
  <c r="P713" i="1"/>
  <c r="P718" i="1"/>
  <c r="P723" i="1"/>
  <c r="P728" i="1"/>
  <c r="P144" i="1"/>
  <c r="P738" i="1"/>
  <c r="P188" i="1"/>
  <c r="P189" i="1"/>
  <c r="P190" i="1"/>
  <c r="P191" i="1"/>
  <c r="P680" i="1"/>
  <c r="P719" i="1"/>
  <c r="P724" i="1"/>
  <c r="P729" i="1"/>
  <c r="P145" i="1"/>
  <c r="P734" i="1"/>
  <c r="P739" i="1"/>
  <c r="P208" i="1"/>
  <c r="P210" i="1"/>
  <c r="P213" i="1"/>
  <c r="P215" i="1"/>
  <c r="P216" i="1"/>
  <c r="P217" i="1"/>
  <c r="P218" i="1"/>
  <c r="P220" i="1"/>
  <c r="P228" i="1"/>
  <c r="P229" i="1"/>
  <c r="P232" i="1"/>
  <c r="P715" i="1"/>
  <c r="P720" i="1"/>
  <c r="P730" i="1"/>
  <c r="P146" i="1"/>
  <c r="P151" i="1"/>
  <c r="P735" i="1"/>
  <c r="P743" i="1"/>
  <c r="P235" i="1"/>
  <c r="P237" i="1"/>
  <c r="P238" i="1"/>
  <c r="P240" i="1"/>
  <c r="P243" i="1"/>
  <c r="P247" i="1"/>
  <c r="P250" i="1"/>
  <c r="P252" i="1"/>
  <c r="P253" i="1"/>
  <c r="P254" i="1"/>
  <c r="P256" i="1"/>
  <c r="P259" i="1"/>
  <c r="P261" i="1"/>
  <c r="P262" i="1"/>
  <c r="P264" i="1"/>
  <c r="P266" i="1"/>
  <c r="P268" i="1"/>
  <c r="P269" i="1"/>
  <c r="P270" i="1"/>
  <c r="P271" i="1"/>
  <c r="P272" i="1"/>
  <c r="P273" i="1"/>
  <c r="P274" i="1"/>
  <c r="P276" i="1"/>
  <c r="P277" i="1"/>
  <c r="P279" i="1"/>
  <c r="P280" i="1"/>
  <c r="P281" i="1"/>
  <c r="P282" i="1"/>
  <c r="P283" i="1"/>
  <c r="P284" i="1"/>
  <c r="P285" i="1"/>
  <c r="P286" i="1"/>
  <c r="P287" i="1"/>
  <c r="P288" i="1"/>
  <c r="P289" i="1"/>
  <c r="P290" i="1"/>
  <c r="P291" i="1"/>
  <c r="P292" i="1"/>
  <c r="P293" i="1"/>
  <c r="P294" i="1"/>
  <c r="P295" i="1"/>
  <c r="P297" i="1"/>
  <c r="P299" i="1"/>
  <c r="P303" i="1"/>
  <c r="P305" i="1"/>
  <c r="P308" i="1"/>
  <c r="P310" i="1"/>
  <c r="P312" i="1"/>
  <c r="P314" i="1"/>
  <c r="P318" i="1"/>
  <c r="P320" i="1"/>
  <c r="P322" i="1"/>
  <c r="P324" i="1"/>
  <c r="P325" i="1"/>
  <c r="P326" i="1"/>
  <c r="P327" i="1"/>
  <c r="P328" i="1"/>
  <c r="P329" i="1"/>
  <c r="P330" i="1"/>
  <c r="P331" i="1"/>
  <c r="P332" i="1"/>
  <c r="P333" i="1"/>
  <c r="P334" i="1"/>
  <c r="P335" i="1"/>
  <c r="P336" i="1"/>
  <c r="P337" i="1"/>
  <c r="P338" i="1"/>
  <c r="P339" i="1"/>
  <c r="P340" i="1"/>
  <c r="P341" i="1"/>
  <c r="P342" i="1"/>
  <c r="P343" i="1"/>
  <c r="P344" i="1"/>
  <c r="P345" i="1"/>
  <c r="P346" i="1"/>
  <c r="P347" i="1"/>
  <c r="P348" i="1"/>
  <c r="P349" i="1"/>
  <c r="P350" i="1"/>
  <c r="P351" i="1"/>
  <c r="P353" i="1"/>
  <c r="P354" i="1"/>
  <c r="P355" i="1"/>
  <c r="P356" i="1"/>
  <c r="P357" i="1"/>
  <c r="P358" i="1"/>
  <c r="P359" i="1"/>
  <c r="P360" i="1"/>
  <c r="P361" i="1"/>
  <c r="P362" i="1"/>
  <c r="P363" i="1"/>
  <c r="P364" i="1"/>
  <c r="P366" i="1"/>
  <c r="P368" i="1"/>
  <c r="P369" i="1"/>
  <c r="P370" i="1"/>
  <c r="P371" i="1"/>
  <c r="P372" i="1"/>
  <c r="P373" i="1"/>
  <c r="P374" i="1"/>
  <c r="P375" i="1"/>
  <c r="P376" i="1"/>
  <c r="P377" i="1"/>
  <c r="P378" i="1"/>
  <c r="P379" i="1"/>
  <c r="P380" i="1"/>
  <c r="P381" i="1"/>
  <c r="P382" i="1"/>
  <c r="P383" i="1"/>
  <c r="P384" i="1"/>
  <c r="P385" i="1"/>
  <c r="P386" i="1"/>
  <c r="P387" i="1"/>
  <c r="P388" i="1"/>
  <c r="P389" i="1"/>
  <c r="P390" i="1"/>
  <c r="P391" i="1"/>
  <c r="P392" i="1"/>
  <c r="P393" i="1"/>
  <c r="P394" i="1"/>
  <c r="P395" i="1"/>
  <c r="P396" i="1"/>
  <c r="P397" i="1"/>
  <c r="P398" i="1"/>
  <c r="P399" i="1"/>
  <c r="P400" i="1"/>
  <c r="P401" i="1"/>
  <c r="P402" i="1"/>
  <c r="P403" i="1"/>
  <c r="P404" i="1"/>
  <c r="P405" i="1"/>
  <c r="P406" i="1"/>
  <c r="P407" i="1"/>
  <c r="P408" i="1"/>
  <c r="P409" i="1"/>
  <c r="P410" i="1"/>
  <c r="P411" i="1"/>
  <c r="P412" i="1"/>
  <c r="P413" i="1"/>
  <c r="P414" i="1"/>
  <c r="P415" i="1"/>
  <c r="P416" i="1"/>
  <c r="P417" i="1"/>
  <c r="P418" i="1"/>
  <c r="P419" i="1"/>
  <c r="P420" i="1"/>
  <c r="P421" i="1"/>
  <c r="P422" i="1"/>
  <c r="P423" i="1"/>
  <c r="P424" i="1"/>
  <c r="P425" i="1"/>
  <c r="P426" i="1"/>
  <c r="P427" i="1"/>
  <c r="P428" i="1"/>
  <c r="P429" i="1"/>
  <c r="P430" i="1"/>
  <c r="P431" i="1"/>
  <c r="P432" i="1"/>
  <c r="P433" i="1"/>
  <c r="P434" i="1"/>
  <c r="P435" i="1"/>
  <c r="P436" i="1"/>
  <c r="P437" i="1"/>
  <c r="P438" i="1"/>
  <c r="P439" i="1"/>
  <c r="P440" i="1"/>
  <c r="P441" i="1"/>
  <c r="P442" i="1"/>
  <c r="P443" i="1"/>
  <c r="P444" i="1"/>
  <c r="P445" i="1"/>
  <c r="P446" i="1"/>
  <c r="P447" i="1"/>
  <c r="P448" i="1"/>
  <c r="P449" i="1"/>
  <c r="P450" i="1"/>
  <c r="P451" i="1"/>
  <c r="P452" i="1"/>
  <c r="P453" i="1"/>
  <c r="P454" i="1"/>
  <c r="P455" i="1"/>
  <c r="P456" i="1"/>
  <c r="P457" i="1"/>
  <c r="P458" i="1"/>
  <c r="P459" i="1"/>
  <c r="P460" i="1"/>
  <c r="P461" i="1"/>
  <c r="P462" i="1"/>
  <c r="P463" i="1"/>
  <c r="P464" i="1"/>
  <c r="P465" i="1"/>
  <c r="P466" i="1"/>
  <c r="P467" i="1"/>
  <c r="P468" i="1"/>
  <c r="P469" i="1"/>
  <c r="P470" i="1"/>
  <c r="P471" i="1"/>
  <c r="P472" i="1"/>
  <c r="P473" i="1"/>
  <c r="P474" i="1"/>
  <c r="P475" i="1"/>
  <c r="P476" i="1"/>
  <c r="P482" i="1"/>
  <c r="P483" i="1"/>
  <c r="P484" i="1"/>
  <c r="P485" i="1"/>
  <c r="P487" i="1"/>
  <c r="P488" i="1"/>
  <c r="P489" i="1"/>
  <c r="P490" i="1"/>
  <c r="P491" i="1"/>
  <c r="P492" i="1"/>
  <c r="P493" i="1"/>
  <c r="P494" i="1"/>
  <c r="P495" i="1"/>
  <c r="P496" i="1"/>
  <c r="P497" i="1"/>
  <c r="P498" i="1"/>
  <c r="P499" i="1"/>
  <c r="P500" i="1"/>
  <c r="P501" i="1"/>
  <c r="P502" i="1"/>
  <c r="P503" i="1"/>
  <c r="P504" i="1"/>
  <c r="P505" i="1"/>
  <c r="P506" i="1"/>
  <c r="P507" i="1"/>
  <c r="P508" i="1"/>
  <c r="P509" i="1"/>
  <c r="P510" i="1"/>
  <c r="P511" i="1"/>
  <c r="P512" i="1"/>
  <c r="P513" i="1"/>
  <c r="P514" i="1"/>
  <c r="P515" i="1"/>
  <c r="P516" i="1"/>
  <c r="P517" i="1"/>
  <c r="P518" i="1"/>
  <c r="P519" i="1"/>
  <c r="P520" i="1"/>
  <c r="P521" i="1"/>
  <c r="P522" i="1"/>
  <c r="P523" i="1"/>
  <c r="P524" i="1"/>
  <c r="P525" i="1"/>
  <c r="P526" i="1"/>
  <c r="P527" i="1"/>
  <c r="P528" i="1"/>
  <c r="P529" i="1"/>
  <c r="P530" i="1"/>
  <c r="P531" i="1"/>
  <c r="P532" i="1"/>
  <c r="P533" i="1"/>
  <c r="P534" i="1"/>
  <c r="P535" i="1"/>
  <c r="P536" i="1"/>
  <c r="P537" i="1"/>
  <c r="P538" i="1"/>
  <c r="P539" i="1"/>
  <c r="P540" i="1"/>
  <c r="P541" i="1"/>
  <c r="P542" i="1"/>
  <c r="P543" i="1"/>
  <c r="P544" i="1"/>
  <c r="P545" i="1"/>
  <c r="P546" i="1"/>
  <c r="P547" i="1"/>
  <c r="P548" i="1"/>
  <c r="P549" i="1"/>
  <c r="P550" i="1"/>
  <c r="P551" i="1"/>
  <c r="P552" i="1"/>
  <c r="P553" i="1"/>
  <c r="P554" i="1"/>
  <c r="P555" i="1"/>
  <c r="P556" i="1"/>
  <c r="P557" i="1"/>
  <c r="P558" i="1"/>
  <c r="P684" i="1"/>
  <c r="Q270" i="1"/>
  <c r="E270" i="1" l="1"/>
  <c r="F270" i="1" s="1"/>
  <c r="C270" i="1"/>
  <c r="H270" i="1"/>
  <c r="Q502" i="1" l="1"/>
  <c r="AG502" i="1"/>
  <c r="Q482" i="1"/>
  <c r="AG482" i="1"/>
  <c r="Q247" i="1"/>
  <c r="AG247" i="1"/>
  <c r="Q238" i="1"/>
  <c r="AG238" i="1"/>
  <c r="Q240" i="1"/>
  <c r="AG240" i="1"/>
  <c r="Q243" i="1"/>
  <c r="AG243" i="1"/>
  <c r="Q246" i="1"/>
  <c r="AG246" i="1"/>
  <c r="Y238" i="1"/>
  <c r="Y502" i="1"/>
  <c r="Y247" i="1"/>
  <c r="Y482" i="1"/>
  <c r="Z502" i="1"/>
  <c r="Z246" i="1"/>
  <c r="AA247" i="1"/>
  <c r="U246" i="1"/>
  <c r="Z482" i="1"/>
  <c r="U238" i="1"/>
  <c r="U502" i="1"/>
  <c r="Y246" i="1"/>
  <c r="U482" i="1"/>
  <c r="Z243" i="1"/>
  <c r="Y240" i="1"/>
  <c r="AA238" i="1"/>
  <c r="Y243" i="1"/>
  <c r="Z240" i="1"/>
  <c r="U240" i="1"/>
  <c r="Z238" i="1"/>
  <c r="Z247" i="1"/>
  <c r="U243" i="1"/>
  <c r="U247" i="1"/>
  <c r="AF238" i="1" l="1"/>
  <c r="K240" i="1"/>
  <c r="K247" i="1"/>
  <c r="K246" i="1"/>
  <c r="K482" i="1"/>
  <c r="K238" i="1"/>
  <c r="K243" i="1"/>
  <c r="AF247" i="1"/>
  <c r="K502" i="1"/>
  <c r="E238" i="1"/>
  <c r="F238" i="1" s="1"/>
  <c r="C238" i="1"/>
  <c r="D238" i="1" s="1"/>
  <c r="E246" i="1"/>
  <c r="F246" i="1" s="1"/>
  <c r="C246" i="1"/>
  <c r="D246" i="1" s="1"/>
  <c r="E240" i="1"/>
  <c r="F240" i="1" s="1"/>
  <c r="C240" i="1"/>
  <c r="D240" i="1" s="1"/>
  <c r="E243" i="1"/>
  <c r="F243" i="1" s="1"/>
  <c r="C243" i="1"/>
  <c r="D243" i="1" s="1"/>
  <c r="C247" i="1"/>
  <c r="D247" i="1" s="1"/>
  <c r="E247" i="1"/>
  <c r="F247" i="1" s="1"/>
  <c r="E502" i="1"/>
  <c r="F502" i="1" s="1"/>
  <c r="C502" i="1"/>
  <c r="D502" i="1" s="1"/>
  <c r="E482" i="1"/>
  <c r="F482" i="1" s="1"/>
  <c r="C482" i="1"/>
  <c r="D482" i="1" s="1"/>
  <c r="H502" i="1"/>
  <c r="H240" i="1"/>
  <c r="H482" i="1"/>
  <c r="H243" i="1"/>
  <c r="H247" i="1"/>
  <c r="H246" i="1"/>
  <c r="H238" i="1"/>
  <c r="AG232" i="1"/>
  <c r="Q232" i="1"/>
  <c r="Q228" i="1"/>
  <c r="AG228" i="1"/>
  <c r="Q229" i="1"/>
  <c r="AG229" i="1"/>
  <c r="U228" i="1"/>
  <c r="Z229" i="1"/>
  <c r="Z232" i="1"/>
  <c r="U232" i="1"/>
  <c r="Y232" i="1"/>
  <c r="Z228" i="1"/>
  <c r="Y228" i="1"/>
  <c r="Y229" i="1"/>
  <c r="U229" i="1"/>
  <c r="K232" i="1" l="1"/>
  <c r="K229" i="1"/>
  <c r="K228" i="1"/>
  <c r="E229" i="1"/>
  <c r="F229" i="1" s="1"/>
  <c r="C229" i="1"/>
  <c r="D229" i="1" s="1"/>
  <c r="E228" i="1"/>
  <c r="F228" i="1" s="1"/>
  <c r="C228" i="1"/>
  <c r="D228" i="1" s="1"/>
  <c r="E232" i="1"/>
  <c r="F232" i="1" s="1"/>
  <c r="C232" i="1"/>
  <c r="D232" i="1" s="1"/>
  <c r="H228" i="1"/>
  <c r="H232" i="1"/>
  <c r="H229" i="1"/>
  <c r="Q325" i="1" l="1"/>
  <c r="AG325" i="1"/>
  <c r="Q320" i="1"/>
  <c r="AG320" i="1"/>
  <c r="Q299" i="1"/>
  <c r="AG299" i="1"/>
  <c r="Y325" i="1"/>
  <c r="AA325" i="1"/>
  <c r="U325" i="1"/>
  <c r="Y299" i="1"/>
  <c r="U320" i="1"/>
  <c r="Y320" i="1"/>
  <c r="Z325" i="1"/>
  <c r="Z320" i="1"/>
  <c r="U299" i="1"/>
  <c r="Z299" i="1"/>
  <c r="K320" i="1" l="1"/>
  <c r="AF325" i="1"/>
  <c r="K325" i="1"/>
  <c r="K299" i="1"/>
  <c r="E299" i="1"/>
  <c r="F299" i="1" s="1"/>
  <c r="C299" i="1"/>
  <c r="D299" i="1" s="1"/>
  <c r="E325" i="1"/>
  <c r="F325" i="1" s="1"/>
  <c r="C325" i="1"/>
  <c r="D325" i="1" s="1"/>
  <c r="E320" i="1"/>
  <c r="F320" i="1" s="1"/>
  <c r="C320" i="1"/>
  <c r="D320" i="1" s="1"/>
  <c r="H325" i="1"/>
  <c r="H320" i="1"/>
  <c r="H299" i="1"/>
  <c r="Q261" i="1" l="1"/>
  <c r="AG261" i="1"/>
  <c r="Q31" i="1"/>
  <c r="AG31" i="1"/>
  <c r="Q29" i="1"/>
  <c r="AG29" i="1"/>
  <c r="Q25" i="1"/>
  <c r="AG25" i="1"/>
  <c r="Q21" i="1"/>
  <c r="AG21" i="1"/>
  <c r="Q19" i="1"/>
  <c r="AG19" i="1"/>
  <c r="U29" i="1"/>
  <c r="Y19" i="1"/>
  <c r="U21" i="1"/>
  <c r="AA25" i="1"/>
  <c r="AA21" i="1"/>
  <c r="U19" i="1"/>
  <c r="AA31" i="1"/>
  <c r="Y29" i="1"/>
  <c r="Y31" i="1"/>
  <c r="Z261" i="1"/>
  <c r="U25" i="1"/>
  <c r="U261" i="1"/>
  <c r="Y25" i="1"/>
  <c r="Z29" i="1"/>
  <c r="Z19" i="1"/>
  <c r="Y21" i="1"/>
  <c r="Z21" i="1"/>
  <c r="Z31" i="1"/>
  <c r="AA29" i="1"/>
  <c r="U31" i="1"/>
  <c r="Z25" i="1"/>
  <c r="Y261" i="1"/>
  <c r="AA19" i="1"/>
  <c r="AF19" i="1" l="1"/>
  <c r="AF25" i="1"/>
  <c r="AF31" i="1"/>
  <c r="K19" i="1"/>
  <c r="K25" i="1"/>
  <c r="K31" i="1"/>
  <c r="K261" i="1"/>
  <c r="AF21" i="1"/>
  <c r="AF29" i="1"/>
  <c r="K21" i="1"/>
  <c r="K29" i="1"/>
  <c r="E261" i="1"/>
  <c r="F261" i="1" s="1"/>
  <c r="C261" i="1"/>
  <c r="D261" i="1" s="1"/>
  <c r="E31" i="1"/>
  <c r="F31" i="1" s="1"/>
  <c r="C31" i="1"/>
  <c r="D31" i="1" s="1"/>
  <c r="E21" i="1"/>
  <c r="F21" i="1" s="1"/>
  <c r="C21" i="1"/>
  <c r="D21" i="1" s="1"/>
  <c r="E29" i="1"/>
  <c r="F29" i="1" s="1"/>
  <c r="C29" i="1"/>
  <c r="D29" i="1" s="1"/>
  <c r="E19" i="1"/>
  <c r="F19" i="1" s="1"/>
  <c r="C19" i="1"/>
  <c r="D19" i="1" s="1"/>
  <c r="E25" i="1"/>
  <c r="F25" i="1" s="1"/>
  <c r="C25" i="1"/>
  <c r="D25" i="1" s="1"/>
  <c r="H19" i="1"/>
  <c r="H29" i="1"/>
  <c r="H25" i="1"/>
  <c r="H261" i="1"/>
  <c r="H21" i="1"/>
  <c r="H31" i="1"/>
  <c r="Q250" i="1" l="1"/>
  <c r="AG250" i="1"/>
  <c r="Q252" i="1"/>
  <c r="AG252" i="1"/>
  <c r="Q253" i="1"/>
  <c r="AG253" i="1"/>
  <c r="Q254" i="1"/>
  <c r="AG254" i="1"/>
  <c r="Q256" i="1"/>
  <c r="AG256" i="1"/>
  <c r="Q259" i="1"/>
  <c r="AG259" i="1"/>
  <c r="Q8" i="1"/>
  <c r="AG8" i="1"/>
  <c r="Y250" i="1"/>
  <c r="AA254" i="1"/>
  <c r="Y252" i="1"/>
  <c r="Z254" i="1"/>
  <c r="AA256" i="1"/>
  <c r="Y254" i="1"/>
  <c r="Y259" i="1"/>
  <c r="Z259" i="1"/>
  <c r="Z256" i="1"/>
  <c r="AA8" i="1"/>
  <c r="Z250" i="1"/>
  <c r="U256" i="1"/>
  <c r="U254" i="1"/>
  <c r="U250" i="1"/>
  <c r="Z253" i="1"/>
  <c r="AA250" i="1"/>
  <c r="U252" i="1"/>
  <c r="Z8" i="1"/>
  <c r="U259" i="1"/>
  <c r="Y253" i="1"/>
  <c r="AA252" i="1"/>
  <c r="AA253" i="1"/>
  <c r="Y256" i="1"/>
  <c r="Y8" i="1"/>
  <c r="Z252" i="1"/>
  <c r="U8" i="1"/>
  <c r="U253" i="1"/>
  <c r="AF254" i="1" l="1"/>
  <c r="AF252" i="1"/>
  <c r="K259" i="1"/>
  <c r="K254" i="1"/>
  <c r="K252" i="1"/>
  <c r="AF250" i="1"/>
  <c r="AF253" i="1"/>
  <c r="K256" i="1"/>
  <c r="K253" i="1"/>
  <c r="K250" i="1"/>
  <c r="AF8" i="1"/>
  <c r="AF256" i="1"/>
  <c r="K8" i="1"/>
  <c r="E259" i="1"/>
  <c r="F259" i="1" s="1"/>
  <c r="C259" i="1"/>
  <c r="D259" i="1" s="1"/>
  <c r="E8" i="1"/>
  <c r="F8" i="1" s="1"/>
  <c r="C8" i="1"/>
  <c r="D8" i="1" s="1"/>
  <c r="E252" i="1"/>
  <c r="F252" i="1" s="1"/>
  <c r="C252" i="1"/>
  <c r="D252" i="1" s="1"/>
  <c r="E253" i="1"/>
  <c r="F253" i="1" s="1"/>
  <c r="C253" i="1"/>
  <c r="D253" i="1" s="1"/>
  <c r="E254" i="1"/>
  <c r="F254" i="1" s="1"/>
  <c r="C254" i="1"/>
  <c r="D254" i="1" s="1"/>
  <c r="E256" i="1"/>
  <c r="F256" i="1" s="1"/>
  <c r="C256" i="1"/>
  <c r="D256" i="1" s="1"/>
  <c r="E250" i="1"/>
  <c r="F250" i="1" s="1"/>
  <c r="C250" i="1"/>
  <c r="D250" i="1" s="1"/>
  <c r="H8" i="1"/>
  <c r="H254" i="1"/>
  <c r="H250" i="1"/>
  <c r="H256" i="1"/>
  <c r="H252" i="1"/>
  <c r="H259" i="1"/>
  <c r="H253" i="1"/>
  <c r="AG484" i="1" l="1"/>
  <c r="Q484" i="1"/>
  <c r="AG432" i="1"/>
  <c r="Q432" i="1"/>
  <c r="AG361" i="1"/>
  <c r="Q361" i="1"/>
  <c r="AG371" i="1"/>
  <c r="Q371" i="1"/>
  <c r="AG435" i="1"/>
  <c r="Q435" i="1"/>
  <c r="U484" i="1"/>
  <c r="Z361" i="1"/>
  <c r="U371" i="1"/>
  <c r="Y484" i="1"/>
  <c r="Z371" i="1"/>
  <c r="Y435" i="1"/>
  <c r="Y432" i="1"/>
  <c r="Y371" i="1"/>
  <c r="U435" i="1"/>
  <c r="U432" i="1"/>
  <c r="Z432" i="1"/>
  <c r="Z435" i="1"/>
  <c r="Z484" i="1"/>
  <c r="Y361" i="1"/>
  <c r="U361" i="1"/>
  <c r="K432" i="1" l="1"/>
  <c r="K371" i="1"/>
  <c r="K484" i="1"/>
  <c r="K435" i="1"/>
  <c r="K361" i="1"/>
  <c r="E432" i="1"/>
  <c r="F432" i="1" s="1"/>
  <c r="C432" i="1"/>
  <c r="D432" i="1" s="1"/>
  <c r="E435" i="1"/>
  <c r="F435" i="1" s="1"/>
  <c r="C435" i="1"/>
  <c r="D435" i="1" s="1"/>
  <c r="E361" i="1"/>
  <c r="F361" i="1" s="1"/>
  <c r="C361" i="1"/>
  <c r="D361" i="1" s="1"/>
  <c r="E484" i="1"/>
  <c r="F484" i="1" s="1"/>
  <c r="C484" i="1"/>
  <c r="D484" i="1" s="1"/>
  <c r="E371" i="1"/>
  <c r="F371" i="1" s="1"/>
  <c r="C371" i="1"/>
  <c r="D371" i="1" s="1"/>
  <c r="H435" i="1"/>
  <c r="H484" i="1"/>
  <c r="H432" i="1"/>
  <c r="H361" i="1"/>
  <c r="H371" i="1"/>
  <c r="AI325" i="1" a="1"/>
  <c r="AI8" i="1" a="1"/>
  <c r="AH238" i="1" a="1"/>
  <c r="AI256" i="1" a="1"/>
  <c r="AI252" i="1" a="1"/>
  <c r="AH25" i="1" a="1"/>
  <c r="AH254" i="1" a="1"/>
  <c r="AH21" i="1" a="1"/>
  <c r="AI247" i="1" a="1"/>
  <c r="AH19" i="1" a="1"/>
  <c r="AI253" i="1" a="1"/>
  <c r="AH325" i="1" a="1"/>
  <c r="AH256" i="1" a="1"/>
  <c r="AI21" i="1" a="1"/>
  <c r="AH252" i="1" a="1"/>
  <c r="AH253" i="1" a="1"/>
  <c r="AH31" i="1" a="1"/>
  <c r="AI250" i="1" a="1"/>
  <c r="AH8" i="1" a="1"/>
  <c r="AH250" i="1" a="1"/>
  <c r="AI238" i="1" a="1"/>
  <c r="AI31" i="1" a="1"/>
  <c r="AI254" i="1" a="1"/>
  <c r="AI29" i="1" a="1"/>
  <c r="AH29" i="1" a="1"/>
  <c r="AH247" i="1" a="1"/>
  <c r="AI25" i="1" a="1"/>
  <c r="AI19" i="1" a="1"/>
  <c r="AI238" i="1" l="1"/>
  <c r="AB238" i="1" s="1"/>
  <c r="AH31" i="1"/>
  <c r="AD31" i="1" s="1"/>
  <c r="AH247" i="1"/>
  <c r="AD247" i="1" s="1"/>
  <c r="AH256" i="1"/>
  <c r="AD256" i="1" s="1"/>
  <c r="AI25" i="1"/>
  <c r="AB25" i="1" s="1"/>
  <c r="AC25" i="1" s="1"/>
  <c r="AI247" i="1"/>
  <c r="AB247" i="1" s="1"/>
  <c r="AI253" i="1"/>
  <c r="AB253" i="1" s="1"/>
  <c r="AC253" i="1" s="1"/>
  <c r="AH21" i="1"/>
  <c r="AD21" i="1" s="1"/>
  <c r="AI21" i="1"/>
  <c r="AB21" i="1" s="1"/>
  <c r="AH25" i="1"/>
  <c r="AD25" i="1" s="1"/>
  <c r="AE25" i="1" s="1"/>
  <c r="AH252" i="1"/>
  <c r="AD252" i="1" s="1"/>
  <c r="AI8" i="1"/>
  <c r="AB8" i="1" s="1"/>
  <c r="AC8" i="1" s="1"/>
  <c r="AI250" i="1"/>
  <c r="AB250" i="1" s="1"/>
  <c r="AI31" i="1"/>
  <c r="AB31" i="1" s="1"/>
  <c r="AH238" i="1"/>
  <c r="AD238" i="1" s="1"/>
  <c r="AE238" i="1" s="1"/>
  <c r="AH8" i="1"/>
  <c r="AD8" i="1" s="1"/>
  <c r="AH29" i="1"/>
  <c r="AD29" i="1" s="1"/>
  <c r="AH253" i="1"/>
  <c r="AD253" i="1" s="1"/>
  <c r="AI29" i="1"/>
  <c r="AB29" i="1" s="1"/>
  <c r="AC29" i="1" s="1"/>
  <c r="AH325" i="1"/>
  <c r="AD325" i="1" s="1"/>
  <c r="AH254" i="1"/>
  <c r="AD254" i="1" s="1"/>
  <c r="AI19" i="1"/>
  <c r="AB19" i="1" s="1"/>
  <c r="AH250" i="1"/>
  <c r="AD250" i="1" s="1"/>
  <c r="AE250" i="1" s="1"/>
  <c r="AH19" i="1"/>
  <c r="AD19" i="1" s="1"/>
  <c r="AI254" i="1"/>
  <c r="AB254" i="1" s="1"/>
  <c r="AI252" i="1"/>
  <c r="AB252" i="1" s="1"/>
  <c r="AI256" i="1"/>
  <c r="AB256" i="1" s="1"/>
  <c r="AC256" i="1" s="1"/>
  <c r="AI325" i="1"/>
  <c r="AB325" i="1" s="1"/>
  <c r="AC325" i="1" s="1"/>
  <c r="AC238" i="1"/>
  <c r="AE247" i="1"/>
  <c r="AC247" i="1"/>
  <c r="AC31" i="1"/>
  <c r="AE31" i="1"/>
  <c r="AC250" i="1"/>
  <c r="AC254" i="1"/>
  <c r="AE252" i="1" l="1"/>
  <c r="AE254" i="1"/>
  <c r="AE21" i="1"/>
  <c r="AE19" i="1"/>
  <c r="AE325" i="1"/>
  <c r="AC21" i="1"/>
  <c r="AE253" i="1"/>
  <c r="AE8" i="1"/>
  <c r="AE256" i="1"/>
  <c r="AE29" i="1"/>
  <c r="AC19" i="1"/>
  <c r="Q427" i="1"/>
  <c r="AG427" i="1"/>
  <c r="U427" i="1"/>
  <c r="Y427" i="1"/>
  <c r="Z427" i="1"/>
  <c r="K427" i="1" l="1"/>
  <c r="E427" i="1"/>
  <c r="F427" i="1" s="1"/>
  <c r="C427" i="1"/>
  <c r="D427" i="1" s="1"/>
  <c r="H427" i="1"/>
  <c r="Q213" i="1" l="1"/>
  <c r="Q215" i="1"/>
  <c r="AG213" i="1"/>
  <c r="AG215" i="1"/>
  <c r="Q216" i="1"/>
  <c r="Q217" i="1"/>
  <c r="AG216" i="1"/>
  <c r="AG217" i="1"/>
  <c r="Q218" i="1"/>
  <c r="AG218" i="1"/>
  <c r="Q220" i="1"/>
  <c r="AG220" i="1"/>
  <c r="AK21" i="8"/>
  <c r="AI21" i="8"/>
  <c r="AF21" i="8"/>
  <c r="S21" i="8"/>
  <c r="Q279" i="1"/>
  <c r="AG279" i="1"/>
  <c r="AG715" i="1"/>
  <c r="Q715" i="1"/>
  <c r="U216" i="1"/>
  <c r="U215" i="1"/>
  <c r="Y218" i="1"/>
  <c r="U715" i="1"/>
  <c r="Z215" i="1"/>
  <c r="Y213" i="1"/>
  <c r="Z217" i="1"/>
  <c r="Y220" i="1"/>
  <c r="U217" i="1"/>
  <c r="Y217" i="1"/>
  <c r="Y216" i="1"/>
  <c r="U218" i="1"/>
  <c r="Z715" i="1"/>
  <c r="Z213" i="1"/>
  <c r="Y215" i="1"/>
  <c r="R21" i="8" a="1"/>
  <c r="Z279" i="1"/>
  <c r="Z218" i="1"/>
  <c r="Y279" i="1"/>
  <c r="U279" i="1"/>
  <c r="U213" i="1"/>
  <c r="U220" i="1"/>
  <c r="Z216" i="1"/>
  <c r="Y715" i="1"/>
  <c r="Z220" i="1"/>
  <c r="R21" i="8" l="1"/>
  <c r="K218" i="1"/>
  <c r="K217" i="1"/>
  <c r="K220" i="1"/>
  <c r="K216" i="1"/>
  <c r="K279" i="1"/>
  <c r="K715" i="1"/>
  <c r="K215" i="1"/>
  <c r="K213" i="1"/>
  <c r="E218" i="1"/>
  <c r="F218" i="1" s="1"/>
  <c r="C218" i="1"/>
  <c r="D218" i="1" s="1"/>
  <c r="E217" i="1"/>
  <c r="F217" i="1" s="1"/>
  <c r="C217" i="1"/>
  <c r="D217" i="1" s="1"/>
  <c r="E715" i="1"/>
  <c r="F715" i="1" s="1"/>
  <c r="C715" i="1"/>
  <c r="D715" i="1" s="1"/>
  <c r="E216" i="1"/>
  <c r="F216" i="1" s="1"/>
  <c r="C216" i="1"/>
  <c r="D216" i="1" s="1"/>
  <c r="E220" i="1"/>
  <c r="F220" i="1" s="1"/>
  <c r="C220" i="1"/>
  <c r="D220" i="1" s="1"/>
  <c r="E215" i="1"/>
  <c r="F215" i="1" s="1"/>
  <c r="C215" i="1"/>
  <c r="D215" i="1" s="1"/>
  <c r="E213" i="1"/>
  <c r="F213" i="1" s="1"/>
  <c r="C213" i="1"/>
  <c r="D213" i="1" s="1"/>
  <c r="E279" i="1"/>
  <c r="F279" i="1" s="1"/>
  <c r="C279" i="1"/>
  <c r="D279" i="1" s="1"/>
  <c r="AH21" i="8"/>
  <c r="AG21" i="8"/>
  <c r="H715" i="1"/>
  <c r="H218" i="1"/>
  <c r="H217" i="1"/>
  <c r="H216" i="1"/>
  <c r="H215" i="1"/>
  <c r="H279" i="1"/>
  <c r="H213" i="1"/>
  <c r="H220" i="1"/>
  <c r="Q237" i="1" l="1"/>
  <c r="AG237" i="1"/>
  <c r="AG210" i="1"/>
  <c r="Q210" i="1"/>
  <c r="AG719" i="1"/>
  <c r="Q719" i="1"/>
  <c r="Y237" i="1"/>
  <c r="Y210" i="1"/>
  <c r="Z237" i="1"/>
  <c r="Z719" i="1"/>
  <c r="U237" i="1"/>
  <c r="Y719" i="1"/>
  <c r="Z210" i="1"/>
  <c r="U719" i="1"/>
  <c r="K237" i="1" l="1"/>
  <c r="K719" i="1"/>
  <c r="K210" i="1"/>
  <c r="E210" i="1"/>
  <c r="F210" i="1" s="1"/>
  <c r="C210" i="1"/>
  <c r="D210" i="1" s="1"/>
  <c r="E237" i="1"/>
  <c r="F237" i="1" s="1"/>
  <c r="C237" i="1"/>
  <c r="D237" i="1" s="1"/>
  <c r="E719" i="1"/>
  <c r="F719" i="1" s="1"/>
  <c r="C719" i="1"/>
  <c r="D719" i="1" s="1"/>
  <c r="H719" i="1"/>
  <c r="H237" i="1"/>
  <c r="H210" i="1"/>
  <c r="AF6" i="8"/>
  <c r="AG6" i="8" l="1"/>
  <c r="Q743" i="1" l="1"/>
  <c r="AG743" i="1"/>
  <c r="Y743" i="1"/>
  <c r="U743" i="1"/>
  <c r="Z743" i="1"/>
  <c r="K743" i="1" l="1"/>
  <c r="E743" i="1"/>
  <c r="F743" i="1" s="1"/>
  <c r="C743" i="1"/>
  <c r="D743" i="1" s="1"/>
  <c r="H743" i="1"/>
  <c r="Q730" i="1"/>
  <c r="AG730" i="1"/>
  <c r="Q146" i="1"/>
  <c r="AG146" i="1"/>
  <c r="Q151" i="1"/>
  <c r="AG151" i="1"/>
  <c r="Q735" i="1"/>
  <c r="AG735" i="1"/>
  <c r="Q82" i="1"/>
  <c r="AG82" i="1"/>
  <c r="Q72" i="1"/>
  <c r="AG72" i="1"/>
  <c r="Q67" i="1"/>
  <c r="AG67" i="1"/>
  <c r="Q66" i="1"/>
  <c r="AG66" i="1"/>
  <c r="Z146" i="1"/>
  <c r="Z82" i="1"/>
  <c r="U82" i="1"/>
  <c r="Z735" i="1"/>
  <c r="U72" i="1"/>
  <c r="AA735" i="1"/>
  <c r="U66" i="1"/>
  <c r="Y66" i="1"/>
  <c r="Y146" i="1"/>
  <c r="Y82" i="1"/>
  <c r="AA67" i="1"/>
  <c r="Y72" i="1"/>
  <c r="Y67" i="1"/>
  <c r="U730" i="1"/>
  <c r="Z67" i="1"/>
  <c r="Y730" i="1"/>
  <c r="Z72" i="1"/>
  <c r="U146" i="1"/>
  <c r="U735" i="1"/>
  <c r="Y151" i="1"/>
  <c r="Y735" i="1"/>
  <c r="Z730" i="1"/>
  <c r="U67" i="1"/>
  <c r="Z151" i="1"/>
  <c r="Z66" i="1"/>
  <c r="U151" i="1"/>
  <c r="AA72" i="1"/>
  <c r="AF72" i="1" l="1"/>
  <c r="K730" i="1"/>
  <c r="K735" i="1"/>
  <c r="K72" i="1"/>
  <c r="K151" i="1"/>
  <c r="AF735" i="1"/>
  <c r="K146" i="1"/>
  <c r="K82" i="1"/>
  <c r="K67" i="1"/>
  <c r="K66" i="1"/>
  <c r="AF67" i="1"/>
  <c r="E82" i="1"/>
  <c r="F82" i="1" s="1"/>
  <c r="C82" i="1"/>
  <c r="D82" i="1" s="1"/>
  <c r="E67" i="1"/>
  <c r="F67" i="1" s="1"/>
  <c r="C67" i="1"/>
  <c r="D67" i="1" s="1"/>
  <c r="E72" i="1"/>
  <c r="F72" i="1" s="1"/>
  <c r="C72" i="1"/>
  <c r="D72" i="1" s="1"/>
  <c r="E151" i="1"/>
  <c r="F151" i="1" s="1"/>
  <c r="C151" i="1"/>
  <c r="D151" i="1" s="1"/>
  <c r="E730" i="1"/>
  <c r="F730" i="1" s="1"/>
  <c r="C730" i="1"/>
  <c r="D730" i="1" s="1"/>
  <c r="E735" i="1"/>
  <c r="F735" i="1" s="1"/>
  <c r="C735" i="1"/>
  <c r="D735" i="1" s="1"/>
  <c r="E146" i="1"/>
  <c r="F146" i="1" s="1"/>
  <c r="C146" i="1"/>
  <c r="D146" i="1" s="1"/>
  <c r="E66" i="1"/>
  <c r="F66" i="1" s="1"/>
  <c r="C66" i="1"/>
  <c r="D66" i="1" s="1"/>
  <c r="H735" i="1"/>
  <c r="H730" i="1"/>
  <c r="H66" i="1"/>
  <c r="H82" i="1"/>
  <c r="H146" i="1"/>
  <c r="H72" i="1"/>
  <c r="H151" i="1"/>
  <c r="H67" i="1"/>
  <c r="AH72" i="1" a="1"/>
  <c r="AH67" i="1" a="1"/>
  <c r="AH735" i="1" a="1"/>
  <c r="AH67" i="1" l="1"/>
  <c r="AD67" i="1" s="1"/>
  <c r="AH735" i="1"/>
  <c r="AD735" i="1" s="1"/>
  <c r="AH72" i="1"/>
  <c r="AD72" i="1" s="1"/>
  <c r="Q101" i="1"/>
  <c r="AG101" i="1"/>
  <c r="Q145" i="1"/>
  <c r="AG145" i="1"/>
  <c r="Q734" i="1"/>
  <c r="AG734" i="1"/>
  <c r="Q739" i="1"/>
  <c r="AG739" i="1"/>
  <c r="Q208" i="1"/>
  <c r="AG208" i="1"/>
  <c r="Q720" i="1"/>
  <c r="AG720" i="1"/>
  <c r="Y208" i="1"/>
  <c r="Z739" i="1"/>
  <c r="U101" i="1"/>
  <c r="Y739" i="1"/>
  <c r="Z208" i="1"/>
  <c r="Z145" i="1"/>
  <c r="Z734" i="1"/>
  <c r="U734" i="1"/>
  <c r="Y720" i="1"/>
  <c r="U145" i="1"/>
  <c r="Y101" i="1"/>
  <c r="U739" i="1"/>
  <c r="U720" i="1"/>
  <c r="Y145" i="1"/>
  <c r="AA208" i="1"/>
  <c r="Z720" i="1"/>
  <c r="Y734" i="1"/>
  <c r="Z101" i="1"/>
  <c r="U208" i="1"/>
  <c r="K101" i="1" l="1"/>
  <c r="K145" i="1"/>
  <c r="K739" i="1"/>
  <c r="AF208" i="1"/>
  <c r="K208" i="1"/>
  <c r="K720" i="1"/>
  <c r="K734" i="1"/>
  <c r="E208" i="1"/>
  <c r="F208" i="1" s="1"/>
  <c r="C208" i="1"/>
  <c r="D208" i="1" s="1"/>
  <c r="C720" i="1"/>
  <c r="D720" i="1" s="1"/>
  <c r="E720" i="1"/>
  <c r="F720" i="1" s="1"/>
  <c r="E734" i="1"/>
  <c r="F734" i="1" s="1"/>
  <c r="C734" i="1"/>
  <c r="D734" i="1" s="1"/>
  <c r="E101" i="1"/>
  <c r="F101" i="1" s="1"/>
  <c r="C101" i="1"/>
  <c r="D101" i="1" s="1"/>
  <c r="E739" i="1"/>
  <c r="F739" i="1" s="1"/>
  <c r="C739" i="1"/>
  <c r="D739" i="1" s="1"/>
  <c r="E145" i="1"/>
  <c r="F145" i="1" s="1"/>
  <c r="C145" i="1"/>
  <c r="D145" i="1" s="1"/>
  <c r="H208" i="1"/>
  <c r="H734" i="1"/>
  <c r="H145" i="1"/>
  <c r="H720" i="1"/>
  <c r="H101" i="1"/>
  <c r="H739" i="1"/>
  <c r="AH208" i="1" a="1"/>
  <c r="AH208" i="1" l="1"/>
  <c r="AD208" i="1" s="1"/>
  <c r="AF20" i="8"/>
  <c r="AG20" i="8" l="1"/>
  <c r="AI20" i="8" l="1"/>
  <c r="AK20" i="8"/>
  <c r="AH20" i="8" l="1"/>
  <c r="AG401" i="1"/>
  <c r="Q401" i="1"/>
  <c r="Z401" i="1"/>
  <c r="Y401" i="1"/>
  <c r="U401" i="1"/>
  <c r="K401" i="1" l="1"/>
  <c r="E401" i="1"/>
  <c r="F401" i="1" s="1"/>
  <c r="C401" i="1"/>
  <c r="D401" i="1" s="1"/>
  <c r="H401" i="1"/>
  <c r="K86" i="1" l="1"/>
  <c r="Y372" i="1"/>
  <c r="AA51" i="1"/>
  <c r="AA176" i="1"/>
  <c r="Y420" i="1"/>
  <c r="Y344" i="1"/>
  <c r="AA328" i="1"/>
  <c r="Y678" i="1"/>
  <c r="Y450" i="1"/>
  <c r="Y76" i="1"/>
  <c r="Y290" i="1"/>
  <c r="Y509" i="1"/>
  <c r="Y718" i="1"/>
  <c r="AA71" i="1"/>
  <c r="Y292" i="1"/>
  <c r="Y522" i="1"/>
  <c r="Y85" i="1"/>
  <c r="Y428" i="1"/>
  <c r="Y51" i="1"/>
  <c r="Y416" i="1"/>
  <c r="Y738" i="1"/>
  <c r="Y488" i="1"/>
  <c r="AA85" i="1"/>
  <c r="Y328" i="1"/>
  <c r="Y538" i="1"/>
  <c r="Y528" i="1"/>
  <c r="Y723" i="1"/>
  <c r="Y483" i="1"/>
  <c r="Y20" i="1"/>
  <c r="Y390" i="1"/>
  <c r="Y736" i="1"/>
  <c r="Y379" i="1"/>
  <c r="Y110" i="1"/>
  <c r="Y444" i="1"/>
  <c r="Y369" i="1"/>
  <c r="Y269" i="1"/>
  <c r="Y501" i="1"/>
  <c r="Y55" i="1"/>
  <c r="Y9" i="1"/>
  <c r="Y490" i="1"/>
  <c r="Y543" i="1"/>
  <c r="Y399" i="1"/>
  <c r="Y172" i="1"/>
  <c r="Y280" i="1"/>
  <c r="Y70" i="1"/>
  <c r="Y22" i="1"/>
  <c r="Y176" i="1"/>
  <c r="Y527" i="1"/>
  <c r="Y418" i="1"/>
  <c r="Y7" i="1"/>
  <c r="Y384" i="1"/>
  <c r="AA107" i="1"/>
  <c r="Y440" i="1"/>
  <c r="Y516" i="1"/>
  <c r="Y357" i="1"/>
  <c r="Y464" i="1"/>
  <c r="Y169" i="1"/>
  <c r="Y462" i="1"/>
  <c r="Y503" i="1"/>
  <c r="Y314" i="1"/>
  <c r="AA728" i="1"/>
  <c r="Y235" i="1"/>
  <c r="Y32" i="1"/>
  <c r="Y396" i="1"/>
  <c r="AA290" i="1"/>
  <c r="Y496" i="1"/>
  <c r="AA90" i="1"/>
  <c r="Y373" i="1"/>
  <c r="Y545" i="1"/>
  <c r="Y182" i="1"/>
  <c r="Y474" i="1"/>
  <c r="Y286" i="1"/>
  <c r="Y334" i="1"/>
  <c r="Y467" i="1"/>
  <c r="Y277" i="1"/>
  <c r="Y515" i="1"/>
  <c r="Y336" i="1"/>
  <c r="Y546" i="1"/>
  <c r="Y726" i="1"/>
  <c r="Y454" i="1"/>
  <c r="Y109" i="1"/>
  <c r="Y443" i="1"/>
  <c r="Y283" i="1"/>
  <c r="Y513" i="1"/>
  <c r="Y342" i="1"/>
  <c r="Y353" i="1"/>
  <c r="AA11" i="1"/>
  <c r="Y56" i="1"/>
  <c r="Y460" i="1"/>
  <c r="AA57" i="1"/>
  <c r="Y355" i="1"/>
  <c r="Y493" i="1"/>
  <c r="Y386" i="1"/>
  <c r="Y706" i="1"/>
  <c r="Y291" i="1"/>
  <c r="Y348" i="1"/>
  <c r="Y293" i="1"/>
  <c r="Y142" i="1"/>
  <c r="Y295" i="1"/>
  <c r="Y75" i="1"/>
  <c r="Y434" i="1"/>
  <c r="Y558" i="1"/>
  <c r="Y526" i="1"/>
  <c r="Y78" i="1"/>
  <c r="Y421" i="1"/>
  <c r="Y530" i="1"/>
  <c r="Y557" i="1"/>
  <c r="Y33" i="1"/>
  <c r="Y397" i="1"/>
  <c r="Y684" i="1"/>
  <c r="Y274" i="1"/>
  <c r="Y507" i="1"/>
  <c r="Y504" i="1"/>
  <c r="Y359" i="1"/>
  <c r="Y433" i="1"/>
  <c r="Y318" i="1"/>
  <c r="Y395" i="1"/>
  <c r="Y362" i="1"/>
  <c r="AA27" i="1"/>
  <c r="Y728" i="1"/>
  <c r="Y485" i="1"/>
  <c r="Y175" i="1"/>
  <c r="Y536" i="1"/>
  <c r="Y327" i="1"/>
  <c r="Y537" i="1"/>
  <c r="AA15" i="1"/>
  <c r="Y381" i="1"/>
  <c r="AA76" i="1"/>
  <c r="Y189" i="1"/>
  <c r="Y322" i="1"/>
  <c r="Y534" i="1"/>
  <c r="Y108" i="1"/>
  <c r="Y442" i="1"/>
  <c r="Y71" i="1"/>
  <c r="Y429" i="1"/>
  <c r="Y268" i="1"/>
  <c r="Y500" i="1"/>
  <c r="Y77" i="1"/>
  <c r="Y340" i="1"/>
  <c r="Y550" i="1"/>
  <c r="Y287" i="1"/>
  <c r="Y680" i="1"/>
  <c r="Y102" i="1"/>
  <c r="Y512" i="1"/>
  <c r="Y544" i="1"/>
  <c r="Y360" i="1"/>
  <c r="Y402" i="1"/>
  <c r="Y174" i="1"/>
  <c r="Y282" i="1"/>
  <c r="Y366" i="1"/>
  <c r="Y459" i="1"/>
  <c r="Y469" i="1"/>
  <c r="Y99" i="1"/>
  <c r="Y436" i="1"/>
  <c r="Y554" i="1"/>
  <c r="AA268" i="1"/>
  <c r="Y57" i="1"/>
  <c r="Y410" i="1"/>
  <c r="Y548" i="1"/>
  <c r="Y289" i="1"/>
  <c r="Y519" i="1"/>
  <c r="AA288" i="1"/>
  <c r="Y375" i="1"/>
  <c r="AA13" i="1"/>
  <c r="Y335" i="1"/>
  <c r="Y114" i="1"/>
  <c r="Y448" i="1"/>
  <c r="AA20" i="1"/>
  <c r="Y547" i="1"/>
  <c r="Y79" i="1"/>
  <c r="Y422" i="1"/>
  <c r="Y94" i="1"/>
  <c r="Y312" i="1"/>
  <c r="Y531" i="1"/>
  <c r="Y13" i="1"/>
  <c r="Y387" i="1"/>
  <c r="Y190" i="1"/>
  <c r="Y347" i="1"/>
  <c r="Y18" i="1"/>
  <c r="Y389" i="1"/>
  <c r="Y487" i="1"/>
  <c r="Y281" i="1"/>
  <c r="Y511" i="1"/>
  <c r="Y266" i="1"/>
  <c r="Y470" i="1"/>
  <c r="Y351" i="1"/>
  <c r="AA9" i="1"/>
  <c r="Y53" i="1"/>
  <c r="Y406" i="1"/>
  <c r="Y27" i="1"/>
  <c r="Y167" i="1"/>
  <c r="Y517" i="1"/>
  <c r="AA58" i="1"/>
  <c r="Y100" i="1"/>
  <c r="AA337" i="1"/>
  <c r="Y494" i="1"/>
  <c r="Y346" i="1"/>
  <c r="Y413" i="1"/>
  <c r="Y453" i="1"/>
  <c r="Y415" i="1"/>
  <c r="Y350" i="1"/>
  <c r="Y417" i="1"/>
  <c r="Y368" i="1"/>
  <c r="Y466" i="1"/>
  <c r="Y181" i="1"/>
  <c r="Y472" i="1"/>
  <c r="AA711" i="1"/>
  <c r="Y499" i="1"/>
  <c r="Y116" i="1"/>
  <c r="Y449" i="1"/>
  <c r="Y180" i="1"/>
  <c r="Y345" i="1"/>
  <c r="AA22" i="1"/>
  <c r="Y64" i="1"/>
  <c r="Y412" i="1"/>
  <c r="Y552" i="1"/>
  <c r="Y376" i="1"/>
  <c r="Y68" i="1"/>
  <c r="Y414" i="1"/>
  <c r="Y270" i="1"/>
  <c r="Y324" i="1"/>
  <c r="Y535" i="1"/>
  <c r="Y294" i="1"/>
  <c r="Y491" i="1"/>
  <c r="Y380" i="1"/>
  <c r="AA73" i="1"/>
  <c r="Y90" i="1"/>
  <c r="Y431" i="1"/>
  <c r="Y354" i="1"/>
  <c r="AA42" i="1"/>
  <c r="Y377" i="1"/>
  <c r="AA68" i="1"/>
  <c r="Y264" i="1"/>
  <c r="Y498" i="1"/>
  <c r="Y144" i="1"/>
  <c r="Y285" i="1"/>
  <c r="Y339" i="1"/>
  <c r="Y549" i="1"/>
  <c r="Y26" i="1"/>
  <c r="Y393" i="1"/>
  <c r="AA284" i="1"/>
  <c r="Y533" i="1"/>
  <c r="Y437" i="1"/>
  <c r="Y333" i="1"/>
  <c r="Y37" i="1"/>
  <c r="Y408" i="1"/>
  <c r="Y524" i="1"/>
  <c r="Y510" i="1"/>
  <c r="Y363" i="1"/>
  <c r="Y404" i="1"/>
  <c r="Y468" i="1"/>
  <c r="Y178" i="1"/>
  <c r="AA35" i="1"/>
  <c r="Y191" i="1"/>
  <c r="Y492" i="1"/>
  <c r="AA293" i="1"/>
  <c r="AA7" i="1"/>
  <c r="Y168" i="1"/>
  <c r="Y461" i="1"/>
  <c r="Y383" i="1"/>
  <c r="Y358" i="1"/>
  <c r="Y520" i="1"/>
  <c r="Y81" i="1"/>
  <c r="Y424" i="1"/>
  <c r="Y15" i="1"/>
  <c r="Y388" i="1"/>
  <c r="Y272" i="1"/>
  <c r="Y505" i="1"/>
  <c r="Y555" i="1"/>
  <c r="Y112" i="1"/>
  <c r="Y177" i="1"/>
  <c r="Y473" i="1"/>
  <c r="Y540" i="1"/>
  <c r="Y374" i="1"/>
  <c r="Y556" i="1"/>
  <c r="Y104" i="1"/>
  <c r="Y439" i="1"/>
  <c r="Y42" i="1"/>
  <c r="Y400" i="1"/>
  <c r="Y107" i="1"/>
  <c r="Y441" i="1"/>
  <c r="AA37" i="1"/>
  <c r="Y349" i="1"/>
  <c r="AA32" i="1"/>
  <c r="Y338" i="1"/>
  <c r="Y52" i="1"/>
  <c r="Y405" i="1"/>
  <c r="Y54" i="1"/>
  <c r="Y731" i="1"/>
  <c r="Y457" i="1"/>
  <c r="Y446" i="1"/>
  <c r="Y356" i="1"/>
  <c r="AA18" i="1"/>
  <c r="AA64" i="1"/>
  <c r="Y332" i="1"/>
  <c r="Y11" i="1"/>
  <c r="Y452" i="1"/>
  <c r="Y451" i="1"/>
  <c r="Y525" i="1"/>
  <c r="Y308" i="1"/>
  <c r="Y529" i="1"/>
  <c r="AA147" i="1"/>
  <c r="Y551" i="1"/>
  <c r="Y273" i="1"/>
  <c r="Y506" i="1"/>
  <c r="Y35" i="1"/>
  <c r="Y398" i="1"/>
  <c r="Y521" i="1"/>
  <c r="Y171" i="1"/>
  <c r="Y463" i="1"/>
  <c r="Y83" i="1"/>
  <c r="Y425" i="1"/>
  <c r="Y173" i="1"/>
  <c r="Y465" i="1"/>
  <c r="Y447" i="1"/>
  <c r="Y378" i="1"/>
  <c r="Y458" i="1"/>
  <c r="Y364" i="1"/>
  <c r="Y89" i="1"/>
  <c r="Y430" i="1"/>
  <c r="Y341" i="1"/>
  <c r="Y188" i="1"/>
  <c r="Y489" i="1"/>
  <c r="AA286" i="1"/>
  <c r="Y84" i="1"/>
  <c r="Y426" i="1"/>
  <c r="Y419" i="1"/>
  <c r="Y337" i="1"/>
  <c r="AA70" i="1"/>
  <c r="Y326" i="1"/>
  <c r="Y23" i="1"/>
  <c r="Y392" i="1"/>
  <c r="AA280" i="1"/>
  <c r="Y111" i="1"/>
  <c r="Y445" i="1"/>
  <c r="Y382" i="1"/>
  <c r="Y394" i="1"/>
  <c r="AA23" i="1"/>
  <c r="Y438" i="1"/>
  <c r="Y276" i="1"/>
  <c r="Y65" i="1"/>
  <c r="Y45" i="1"/>
  <c r="AA277" i="1"/>
  <c r="Y523" i="1"/>
  <c r="Y97" i="1"/>
  <c r="AA33" i="1"/>
  <c r="Y297" i="1"/>
  <c r="Y539" i="1"/>
  <c r="Y331" i="1"/>
  <c r="Y541" i="1"/>
  <c r="AA308" i="1"/>
  <c r="Y30" i="1"/>
  <c r="Y288" i="1"/>
  <c r="Y542" i="1"/>
  <c r="Y58" i="1"/>
  <c r="Y411" i="1"/>
  <c r="AA65" i="1"/>
  <c r="Y713" i="1"/>
  <c r="Y475" i="1"/>
  <c r="Y105" i="1"/>
  <c r="Y476" i="1"/>
  <c r="Y343" i="1"/>
  <c r="Y553" i="1"/>
  <c r="Y532" i="1"/>
  <c r="Y305" i="1"/>
  <c r="Y310" i="1"/>
  <c r="Y508" i="1"/>
  <c r="Y80" i="1"/>
  <c r="Y423" i="1"/>
  <c r="AA30" i="1"/>
  <c r="Y729" i="1"/>
  <c r="Y495" i="1"/>
  <c r="Y711" i="1"/>
  <c r="AA26" i="1"/>
  <c r="Y262" i="1"/>
  <c r="Y497" i="1"/>
  <c r="Y46" i="1"/>
  <c r="Y403" i="1"/>
  <c r="Y471" i="1"/>
  <c r="Y391" i="1"/>
  <c r="Y147" i="1"/>
  <c r="Y456" i="1"/>
  <c r="Y407" i="1"/>
  <c r="Y284" i="1"/>
  <c r="Y514" i="1"/>
  <c r="Y330" i="1"/>
  <c r="Y409" i="1"/>
  <c r="Y518" i="1"/>
  <c r="AA273" i="1"/>
  <c r="Y385" i="1"/>
  <c r="Y724" i="1"/>
  <c r="Y370" i="1"/>
  <c r="Y179" i="1"/>
  <c r="Y721" i="1"/>
  <c r="Y113" i="1"/>
  <c r="Y157" i="1"/>
  <c r="Y73" i="1"/>
  <c r="Y303" i="1"/>
  <c r="Y329" i="1"/>
  <c r="Y271" i="1"/>
  <c r="Y455" i="1"/>
  <c r="K528" i="1" l="1"/>
  <c r="K434" i="1"/>
  <c r="K330" i="1"/>
  <c r="K55" i="1"/>
  <c r="K539" i="1"/>
  <c r="K446" i="1"/>
  <c r="K382" i="1"/>
  <c r="K354" i="1"/>
  <c r="K329" i="1"/>
  <c r="K27" i="1"/>
  <c r="K550" i="1"/>
  <c r="K538" i="1"/>
  <c r="K526" i="1"/>
  <c r="K514" i="1"/>
  <c r="K501" i="1"/>
  <c r="K489" i="1"/>
  <c r="K469" i="1"/>
  <c r="K457" i="1"/>
  <c r="K445" i="1"/>
  <c r="K431" i="1"/>
  <c r="K418" i="1"/>
  <c r="K406" i="1"/>
  <c r="K393" i="1"/>
  <c r="K381" i="1"/>
  <c r="K368" i="1"/>
  <c r="K353" i="1"/>
  <c r="K340" i="1"/>
  <c r="K328" i="1"/>
  <c r="K297" i="1"/>
  <c r="K284" i="1"/>
  <c r="K269" i="1"/>
  <c r="K188" i="1"/>
  <c r="K178" i="1"/>
  <c r="K731" i="1"/>
  <c r="K111" i="1"/>
  <c r="K90" i="1"/>
  <c r="K75" i="1"/>
  <c r="K53" i="1"/>
  <c r="K26" i="1"/>
  <c r="K459" i="1"/>
  <c r="K342" i="1"/>
  <c r="K77" i="1"/>
  <c r="K527" i="1"/>
  <c r="K407" i="1"/>
  <c r="K369" i="1"/>
  <c r="K341" i="1"/>
  <c r="K303" i="1"/>
  <c r="K54" i="1"/>
  <c r="K549" i="1"/>
  <c r="K537" i="1"/>
  <c r="K525" i="1"/>
  <c r="K513" i="1"/>
  <c r="K500" i="1"/>
  <c r="K488" i="1"/>
  <c r="K468" i="1"/>
  <c r="K456" i="1"/>
  <c r="K444" i="1"/>
  <c r="K430" i="1"/>
  <c r="K417" i="1"/>
  <c r="K405" i="1"/>
  <c r="K392" i="1"/>
  <c r="K380" i="1"/>
  <c r="K366" i="1"/>
  <c r="K351" i="1"/>
  <c r="K339" i="1"/>
  <c r="K327" i="1"/>
  <c r="K295" i="1"/>
  <c r="K283" i="1"/>
  <c r="K268" i="1"/>
  <c r="K738" i="1"/>
  <c r="K176" i="1"/>
  <c r="K147" i="1"/>
  <c r="K110" i="1"/>
  <c r="K89" i="1"/>
  <c r="K73" i="1"/>
  <c r="K52" i="1"/>
  <c r="K23" i="1"/>
  <c r="K491" i="1"/>
  <c r="K97" i="1"/>
  <c r="K470" i="1"/>
  <c r="K285" i="1"/>
  <c r="K536" i="1"/>
  <c r="K455" i="1"/>
  <c r="K443" i="1"/>
  <c r="K429" i="1"/>
  <c r="K416" i="1"/>
  <c r="K404" i="1"/>
  <c r="K391" i="1"/>
  <c r="K379" i="1"/>
  <c r="K364" i="1"/>
  <c r="K350" i="1"/>
  <c r="K338" i="1"/>
  <c r="K326" i="1"/>
  <c r="K294" i="1"/>
  <c r="K282" i="1"/>
  <c r="K266" i="1"/>
  <c r="K144" i="1"/>
  <c r="K175" i="1"/>
  <c r="K142" i="1"/>
  <c r="K109" i="1"/>
  <c r="K71" i="1"/>
  <c r="K51" i="1"/>
  <c r="K22" i="1"/>
  <c r="K471" i="1"/>
  <c r="K736" i="1"/>
  <c r="K458" i="1"/>
  <c r="K157" i="1"/>
  <c r="K535" i="1"/>
  <c r="K523" i="1"/>
  <c r="K511" i="1"/>
  <c r="K498" i="1"/>
  <c r="K485" i="1"/>
  <c r="K466" i="1"/>
  <c r="K454" i="1"/>
  <c r="K442" i="1"/>
  <c r="K428" i="1"/>
  <c r="K415" i="1"/>
  <c r="K403" i="1"/>
  <c r="K390" i="1"/>
  <c r="K378" i="1"/>
  <c r="K363" i="1"/>
  <c r="K349" i="1"/>
  <c r="K337" i="1"/>
  <c r="K324" i="1"/>
  <c r="K293" i="1"/>
  <c r="K281" i="1"/>
  <c r="K264" i="1"/>
  <c r="K728" i="1"/>
  <c r="K174" i="1"/>
  <c r="K726" i="1"/>
  <c r="K108" i="1"/>
  <c r="K85" i="1"/>
  <c r="K70" i="1"/>
  <c r="K46" i="1"/>
  <c r="K20" i="1"/>
  <c r="K447" i="1"/>
  <c r="K113" i="1"/>
  <c r="K419" i="1"/>
  <c r="K270" i="1"/>
  <c r="K487" i="1"/>
  <c r="K558" i="1"/>
  <c r="K546" i="1"/>
  <c r="K534" i="1"/>
  <c r="K522" i="1"/>
  <c r="K510" i="1"/>
  <c r="K497" i="1"/>
  <c r="K483" i="1"/>
  <c r="K465" i="1"/>
  <c r="K453" i="1"/>
  <c r="K441" i="1"/>
  <c r="K426" i="1"/>
  <c r="K414" i="1"/>
  <c r="K402" i="1"/>
  <c r="K389" i="1"/>
  <c r="K377" i="1"/>
  <c r="K362" i="1"/>
  <c r="K348" i="1"/>
  <c r="K336" i="1"/>
  <c r="K322" i="1"/>
  <c r="K292" i="1"/>
  <c r="K280" i="1"/>
  <c r="K262" i="1"/>
  <c r="K723" i="1"/>
  <c r="K173" i="1"/>
  <c r="K721" i="1"/>
  <c r="K107" i="1"/>
  <c r="K84" i="1"/>
  <c r="K68" i="1"/>
  <c r="K45" i="1"/>
  <c r="K18" i="1"/>
  <c r="K395" i="1"/>
  <c r="K271" i="1"/>
  <c r="K515" i="1"/>
  <c r="K189" i="1"/>
  <c r="K524" i="1"/>
  <c r="K476" i="1"/>
  <c r="K425" i="1"/>
  <c r="K413" i="1"/>
  <c r="K400" i="1"/>
  <c r="K388" i="1"/>
  <c r="K376" i="1"/>
  <c r="K360" i="1"/>
  <c r="K347" i="1"/>
  <c r="K335" i="1"/>
  <c r="K318" i="1"/>
  <c r="K291" i="1"/>
  <c r="K277" i="1"/>
  <c r="K235" i="1"/>
  <c r="K718" i="1"/>
  <c r="K172" i="1"/>
  <c r="K711" i="1"/>
  <c r="K105" i="1"/>
  <c r="K83" i="1"/>
  <c r="K65" i="1"/>
  <c r="K42" i="1"/>
  <c r="K15" i="1"/>
  <c r="K552" i="1"/>
  <c r="K408" i="1"/>
  <c r="K190" i="1"/>
  <c r="K433" i="1"/>
  <c r="K179" i="1"/>
  <c r="K467" i="1"/>
  <c r="K509" i="1"/>
  <c r="K544" i="1"/>
  <c r="K495" i="1"/>
  <c r="K475" i="1"/>
  <c r="K463" i="1"/>
  <c r="K451" i="1"/>
  <c r="K439" i="1"/>
  <c r="K424" i="1"/>
  <c r="K412" i="1"/>
  <c r="K399" i="1"/>
  <c r="K387" i="1"/>
  <c r="K375" i="1"/>
  <c r="K359" i="1"/>
  <c r="K346" i="1"/>
  <c r="K334" i="1"/>
  <c r="K314" i="1"/>
  <c r="K290" i="1"/>
  <c r="K276" i="1"/>
  <c r="K729" i="1"/>
  <c r="K713" i="1"/>
  <c r="K171" i="1"/>
  <c r="K706" i="1"/>
  <c r="K104" i="1"/>
  <c r="K81" i="1"/>
  <c r="K64" i="1"/>
  <c r="K37" i="1"/>
  <c r="K13" i="1"/>
  <c r="K504" i="1"/>
  <c r="K370" i="1"/>
  <c r="K286" i="1"/>
  <c r="K503" i="1"/>
  <c r="K76" i="1"/>
  <c r="K512" i="1"/>
  <c r="K521" i="1"/>
  <c r="K452" i="1"/>
  <c r="K556" i="1"/>
  <c r="K520" i="1"/>
  <c r="K543" i="1"/>
  <c r="K531" i="1"/>
  <c r="K519" i="1"/>
  <c r="K507" i="1"/>
  <c r="K494" i="1"/>
  <c r="K474" i="1"/>
  <c r="K462" i="1"/>
  <c r="K450" i="1"/>
  <c r="K438" i="1"/>
  <c r="K423" i="1"/>
  <c r="K411" i="1"/>
  <c r="K398" i="1"/>
  <c r="K386" i="1"/>
  <c r="K374" i="1"/>
  <c r="K358" i="1"/>
  <c r="K345" i="1"/>
  <c r="K333" i="1"/>
  <c r="K312" i="1"/>
  <c r="K289" i="1"/>
  <c r="K274" i="1"/>
  <c r="K724" i="1"/>
  <c r="K182" i="1"/>
  <c r="K169" i="1"/>
  <c r="K678" i="1"/>
  <c r="K102" i="1"/>
  <c r="K80" i="1"/>
  <c r="K58" i="1"/>
  <c r="K35" i="1"/>
  <c r="K11" i="1"/>
  <c r="K540" i="1"/>
  <c r="K383" i="1"/>
  <c r="K180" i="1"/>
  <c r="K490" i="1"/>
  <c r="K94" i="1"/>
  <c r="K548" i="1"/>
  <c r="K684" i="1"/>
  <c r="K545" i="1"/>
  <c r="K464" i="1"/>
  <c r="K508" i="1"/>
  <c r="K542" i="1"/>
  <c r="K506" i="1"/>
  <c r="K493" i="1"/>
  <c r="K473" i="1"/>
  <c r="K461" i="1"/>
  <c r="K449" i="1"/>
  <c r="K437" i="1"/>
  <c r="K422" i="1"/>
  <c r="K410" i="1"/>
  <c r="K397" i="1"/>
  <c r="K385" i="1"/>
  <c r="K373" i="1"/>
  <c r="K357" i="1"/>
  <c r="K344" i="1"/>
  <c r="K332" i="1"/>
  <c r="K310" i="1"/>
  <c r="K288" i="1"/>
  <c r="K273" i="1"/>
  <c r="K680" i="1"/>
  <c r="K177" i="1"/>
  <c r="K168" i="1"/>
  <c r="K116" i="1"/>
  <c r="K100" i="1"/>
  <c r="K79" i="1"/>
  <c r="K57" i="1"/>
  <c r="K33" i="1"/>
  <c r="K9" i="1"/>
  <c r="K516" i="1"/>
  <c r="K420" i="1"/>
  <c r="K355" i="1"/>
  <c r="K305" i="1"/>
  <c r="K30" i="1"/>
  <c r="K551" i="1"/>
  <c r="K394" i="1"/>
  <c r="K112" i="1"/>
  <c r="K499" i="1"/>
  <c r="K547" i="1"/>
  <c r="K557" i="1"/>
  <c r="K533" i="1"/>
  <c r="K496" i="1"/>
  <c r="K440" i="1"/>
  <c r="K532" i="1"/>
  <c r="K555" i="1"/>
  <c r="K554" i="1"/>
  <c r="K530" i="1"/>
  <c r="K518" i="1"/>
  <c r="K553" i="1"/>
  <c r="K541" i="1"/>
  <c r="K529" i="1"/>
  <c r="K517" i="1"/>
  <c r="K505" i="1"/>
  <c r="K492" i="1"/>
  <c r="K472" i="1"/>
  <c r="K460" i="1"/>
  <c r="K448" i="1"/>
  <c r="K436" i="1"/>
  <c r="K421" i="1"/>
  <c r="K409" i="1"/>
  <c r="K396" i="1"/>
  <c r="K384" i="1"/>
  <c r="K372" i="1"/>
  <c r="K356" i="1"/>
  <c r="K343" i="1"/>
  <c r="K331" i="1"/>
  <c r="K308" i="1"/>
  <c r="K287" i="1"/>
  <c r="K272" i="1"/>
  <c r="K191" i="1"/>
  <c r="K181" i="1"/>
  <c r="K167" i="1"/>
  <c r="K114" i="1"/>
  <c r="K99" i="1"/>
  <c r="K78" i="1"/>
  <c r="K56" i="1"/>
  <c r="K32" i="1"/>
  <c r="K7" i="1"/>
  <c r="Q345" i="1"/>
  <c r="AG345" i="1"/>
  <c r="Q328" i="1"/>
  <c r="AF328" i="1"/>
  <c r="AG328" i="1"/>
  <c r="Q329" i="1"/>
  <c r="AG329" i="1"/>
  <c r="Q330" i="1"/>
  <c r="AG330" i="1"/>
  <c r="Q331" i="1"/>
  <c r="AG331" i="1"/>
  <c r="Q332" i="1"/>
  <c r="AG332" i="1"/>
  <c r="Q333" i="1"/>
  <c r="AG333" i="1"/>
  <c r="Q334" i="1"/>
  <c r="AG334" i="1"/>
  <c r="Q335" i="1"/>
  <c r="AG335" i="1"/>
  <c r="Q336" i="1"/>
  <c r="AG336" i="1"/>
  <c r="Q337" i="1"/>
  <c r="AF337" i="1"/>
  <c r="AG337" i="1"/>
  <c r="Q338" i="1"/>
  <c r="AG338" i="1"/>
  <c r="Q339" i="1"/>
  <c r="AG339" i="1"/>
  <c r="Q340" i="1"/>
  <c r="AG340" i="1"/>
  <c r="Q341" i="1"/>
  <c r="AG341" i="1"/>
  <c r="Q342" i="1"/>
  <c r="AG342" i="1"/>
  <c r="Q343" i="1"/>
  <c r="AG343" i="1"/>
  <c r="Q344" i="1"/>
  <c r="AG344" i="1"/>
  <c r="Q346" i="1"/>
  <c r="AG346" i="1"/>
  <c r="Q291" i="1"/>
  <c r="AG291" i="1"/>
  <c r="Q292" i="1"/>
  <c r="AG292" i="1"/>
  <c r="Q293" i="1"/>
  <c r="AF293" i="1"/>
  <c r="AG293" i="1"/>
  <c r="Q277" i="1"/>
  <c r="AF277" i="1"/>
  <c r="AG277" i="1"/>
  <c r="Q280" i="1"/>
  <c r="AF280" i="1"/>
  <c r="AG280" i="1"/>
  <c r="Q281" i="1"/>
  <c r="AG281" i="1"/>
  <c r="U341" i="1"/>
  <c r="U335" i="1"/>
  <c r="Z333" i="1"/>
  <c r="Z334" i="1"/>
  <c r="U330" i="1"/>
  <c r="U343" i="1"/>
  <c r="Z281" i="1"/>
  <c r="Z342" i="1"/>
  <c r="AH337" i="1" a="1"/>
  <c r="AH328" i="1" a="1"/>
  <c r="Z346" i="1"/>
  <c r="Z292" i="1"/>
  <c r="U337" i="1"/>
  <c r="U280" i="1"/>
  <c r="Z335" i="1"/>
  <c r="U346" i="1"/>
  <c r="Z332" i="1"/>
  <c r="U342" i="1"/>
  <c r="U277" i="1"/>
  <c r="U292" i="1"/>
  <c r="U336" i="1"/>
  <c r="Z329" i="1"/>
  <c r="U291" i="1"/>
  <c r="Z291" i="1"/>
  <c r="Z345" i="1"/>
  <c r="Z340" i="1"/>
  <c r="Z337" i="1"/>
  <c r="U340" i="1"/>
  <c r="U345" i="1"/>
  <c r="U293" i="1"/>
  <c r="Z331" i="1"/>
  <c r="Z328" i="1"/>
  <c r="U344" i="1"/>
  <c r="U338" i="1"/>
  <c r="Z336" i="1"/>
  <c r="U328" i="1"/>
  <c r="Z277" i="1"/>
  <c r="U329" i="1"/>
  <c r="Z293" i="1"/>
  <c r="Z343" i="1"/>
  <c r="AH277" i="1" a="1"/>
  <c r="U333" i="1"/>
  <c r="AH280" i="1" a="1"/>
  <c r="U332" i="1"/>
  <c r="U281" i="1"/>
  <c r="Z280" i="1"/>
  <c r="Z338" i="1"/>
  <c r="U339" i="1"/>
  <c r="U331" i="1"/>
  <c r="Z341" i="1"/>
  <c r="Z344" i="1"/>
  <c r="U334" i="1"/>
  <c r="Z330" i="1"/>
  <c r="Z339" i="1"/>
  <c r="AH293" i="1" a="1"/>
  <c r="AH280" i="1" l="1"/>
  <c r="AD280" i="1" s="1"/>
  <c r="AH293" i="1"/>
  <c r="AD293" i="1" s="1"/>
  <c r="AH277" i="1"/>
  <c r="AD277" i="1" s="1"/>
  <c r="AH337" i="1"/>
  <c r="AD337" i="1" s="1"/>
  <c r="AH328" i="1"/>
  <c r="AD328" i="1" s="1"/>
  <c r="E346" i="1"/>
  <c r="F346" i="1" s="1"/>
  <c r="C346" i="1"/>
  <c r="D346" i="1" s="1"/>
  <c r="E340" i="1"/>
  <c r="F340" i="1" s="1"/>
  <c r="C340" i="1"/>
  <c r="D340" i="1" s="1"/>
  <c r="E335" i="1"/>
  <c r="F335" i="1" s="1"/>
  <c r="C335" i="1"/>
  <c r="D335" i="1" s="1"/>
  <c r="E333" i="1"/>
  <c r="F333" i="1" s="1"/>
  <c r="C333" i="1"/>
  <c r="D333" i="1" s="1"/>
  <c r="E331" i="1"/>
  <c r="F331" i="1" s="1"/>
  <c r="C331" i="1"/>
  <c r="D331" i="1" s="1"/>
  <c r="E329" i="1"/>
  <c r="F329" i="1" s="1"/>
  <c r="C329" i="1"/>
  <c r="D329" i="1" s="1"/>
  <c r="E343" i="1"/>
  <c r="F343" i="1" s="1"/>
  <c r="C343" i="1"/>
  <c r="D343" i="1" s="1"/>
  <c r="E338" i="1"/>
  <c r="F338" i="1" s="1"/>
  <c r="C338" i="1"/>
  <c r="D338" i="1" s="1"/>
  <c r="E345" i="1"/>
  <c r="F345" i="1" s="1"/>
  <c r="C345" i="1"/>
  <c r="D345" i="1" s="1"/>
  <c r="E291" i="1"/>
  <c r="F291" i="1" s="1"/>
  <c r="C291" i="1"/>
  <c r="D291" i="1" s="1"/>
  <c r="E281" i="1"/>
  <c r="F281" i="1" s="1"/>
  <c r="C281" i="1"/>
  <c r="D281" i="1" s="1"/>
  <c r="E341" i="1"/>
  <c r="F341" i="1" s="1"/>
  <c r="C341" i="1"/>
  <c r="D341" i="1" s="1"/>
  <c r="C336" i="1"/>
  <c r="D336" i="1" s="1"/>
  <c r="E336" i="1"/>
  <c r="F336" i="1" s="1"/>
  <c r="E334" i="1"/>
  <c r="F334" i="1" s="1"/>
  <c r="C334" i="1"/>
  <c r="D334" i="1" s="1"/>
  <c r="E332" i="1"/>
  <c r="F332" i="1" s="1"/>
  <c r="C332" i="1"/>
  <c r="D332" i="1" s="1"/>
  <c r="E330" i="1"/>
  <c r="F330" i="1" s="1"/>
  <c r="C330" i="1"/>
  <c r="D330" i="1" s="1"/>
  <c r="E280" i="1"/>
  <c r="F280" i="1" s="1"/>
  <c r="C280" i="1"/>
  <c r="D280" i="1" s="1"/>
  <c r="E293" i="1"/>
  <c r="F293" i="1" s="1"/>
  <c r="C293" i="1"/>
  <c r="D293" i="1" s="1"/>
  <c r="E339" i="1"/>
  <c r="F339" i="1" s="1"/>
  <c r="C339" i="1"/>
  <c r="D339" i="1" s="1"/>
  <c r="E328" i="1"/>
  <c r="F328" i="1" s="1"/>
  <c r="C328" i="1"/>
  <c r="D328" i="1" s="1"/>
  <c r="E277" i="1"/>
  <c r="F277" i="1" s="1"/>
  <c r="C277" i="1"/>
  <c r="D277" i="1" s="1"/>
  <c r="E344" i="1"/>
  <c r="F344" i="1" s="1"/>
  <c r="C344" i="1"/>
  <c r="D344" i="1" s="1"/>
  <c r="E292" i="1"/>
  <c r="F292" i="1" s="1"/>
  <c r="C292" i="1"/>
  <c r="D292" i="1" s="1"/>
  <c r="E342" i="1"/>
  <c r="F342" i="1" s="1"/>
  <c r="C342" i="1"/>
  <c r="D342" i="1" s="1"/>
  <c r="E337" i="1"/>
  <c r="F337" i="1" s="1"/>
  <c r="C337" i="1"/>
  <c r="D337" i="1" s="1"/>
  <c r="H337" i="1"/>
  <c r="H328" i="1"/>
  <c r="H342" i="1"/>
  <c r="H280" i="1"/>
  <c r="H281" i="1"/>
  <c r="H335" i="1"/>
  <c r="H277" i="1"/>
  <c r="H340" i="1"/>
  <c r="H293" i="1"/>
  <c r="H292" i="1"/>
  <c r="H346" i="1"/>
  <c r="H333" i="1"/>
  <c r="H338" i="1"/>
  <c r="H331" i="1"/>
  <c r="H329" i="1"/>
  <c r="H343" i="1"/>
  <c r="H336" i="1"/>
  <c r="H345" i="1"/>
  <c r="H341" i="1"/>
  <c r="H334" i="1"/>
  <c r="H291" i="1"/>
  <c r="H339" i="1"/>
  <c r="H344" i="1"/>
  <c r="H332" i="1"/>
  <c r="H330" i="1"/>
  <c r="Q235" i="1" l="1"/>
  <c r="AG235" i="1"/>
  <c r="U235" i="1"/>
  <c r="Z235" i="1"/>
  <c r="E235" i="1" l="1"/>
  <c r="F235" i="1" s="1"/>
  <c r="C235" i="1"/>
  <c r="D235" i="1" s="1"/>
  <c r="H235" i="1"/>
  <c r="Q273" i="1" l="1"/>
  <c r="AF273" i="1"/>
  <c r="AG273" i="1"/>
  <c r="AH273" i="1" a="1"/>
  <c r="U273" i="1"/>
  <c r="Z273" i="1"/>
  <c r="AH273" i="1" l="1"/>
  <c r="AD273" i="1" s="1"/>
  <c r="E273" i="1"/>
  <c r="F273" i="1" s="1"/>
  <c r="C273" i="1"/>
  <c r="D273" i="1" s="1"/>
  <c r="H273" i="1"/>
  <c r="Q729" i="1"/>
  <c r="AG729" i="1"/>
  <c r="U729" i="1"/>
  <c r="Z729" i="1"/>
  <c r="E729" i="1" l="1"/>
  <c r="F729" i="1" s="1"/>
  <c r="C729" i="1"/>
  <c r="D729" i="1" s="1"/>
  <c r="H729" i="1"/>
  <c r="Q85" i="1"/>
  <c r="AF85" i="1"/>
  <c r="AG85" i="1"/>
  <c r="Z85" i="1"/>
  <c r="U85" i="1"/>
  <c r="E85" i="1" l="1"/>
  <c r="F85" i="1" s="1"/>
  <c r="C85" i="1"/>
  <c r="H85" i="1"/>
  <c r="AH85" i="1" a="1"/>
  <c r="AH85" i="1" l="1"/>
  <c r="AD85" i="1" s="1"/>
  <c r="D85" i="1"/>
  <c r="AG11" i="1"/>
  <c r="AG13" i="1"/>
  <c r="AG15" i="1"/>
  <c r="AG18" i="1"/>
  <c r="AG20" i="1"/>
  <c r="AG22" i="1"/>
  <c r="AG23" i="1"/>
  <c r="AG26" i="1"/>
  <c r="AG27" i="1"/>
  <c r="AG30" i="1"/>
  <c r="AG32" i="1"/>
  <c r="AG33" i="1"/>
  <c r="AG35" i="1"/>
  <c r="AG37" i="1"/>
  <c r="AG42" i="1"/>
  <c r="AG45" i="1"/>
  <c r="AG46" i="1"/>
  <c r="AG51" i="1"/>
  <c r="AG52" i="1"/>
  <c r="AG53" i="1"/>
  <c r="AG54" i="1"/>
  <c r="AG55" i="1"/>
  <c r="AG56" i="1"/>
  <c r="AG57" i="1"/>
  <c r="AG58" i="1"/>
  <c r="AG64" i="1"/>
  <c r="AG65" i="1"/>
  <c r="AG68" i="1"/>
  <c r="AG70" i="1"/>
  <c r="AG71" i="1"/>
  <c r="AG73" i="1"/>
  <c r="AG75" i="1"/>
  <c r="AG76" i="1"/>
  <c r="AG77" i="1"/>
  <c r="AG78" i="1"/>
  <c r="AG79" i="1"/>
  <c r="AG80" i="1"/>
  <c r="AG81" i="1"/>
  <c r="AG83" i="1"/>
  <c r="AG84" i="1"/>
  <c r="AG86" i="1"/>
  <c r="AG89" i="1"/>
  <c r="AG90" i="1"/>
  <c r="AG94" i="1"/>
  <c r="AG97" i="1"/>
  <c r="AG99" i="1"/>
  <c r="AG100" i="1"/>
  <c r="AG102" i="1"/>
  <c r="AG104" i="1"/>
  <c r="AG105" i="1"/>
  <c r="AG107" i="1"/>
  <c r="AG108" i="1"/>
  <c r="AG109" i="1"/>
  <c r="AG110" i="1"/>
  <c r="AG111" i="1"/>
  <c r="AG112" i="1"/>
  <c r="AG113" i="1"/>
  <c r="AG114" i="1"/>
  <c r="AG116" i="1"/>
  <c r="AG678" i="1"/>
  <c r="AG706" i="1"/>
  <c r="AG711" i="1"/>
  <c r="AG721" i="1"/>
  <c r="AG726" i="1"/>
  <c r="AG142" i="1"/>
  <c r="AG147" i="1"/>
  <c r="AG731" i="1"/>
  <c r="AG157" i="1"/>
  <c r="AG736" i="1"/>
  <c r="AG167" i="1"/>
  <c r="AG168" i="1"/>
  <c r="AG169" i="1"/>
  <c r="AG171" i="1"/>
  <c r="AG172" i="1"/>
  <c r="AG173" i="1"/>
  <c r="AG174" i="1"/>
  <c r="AG175" i="1"/>
  <c r="AG176" i="1"/>
  <c r="AG178" i="1"/>
  <c r="AG179" i="1"/>
  <c r="AG180" i="1"/>
  <c r="AG181" i="1"/>
  <c r="AG177" i="1"/>
  <c r="AG182" i="1"/>
  <c r="AG713" i="1"/>
  <c r="AG718" i="1"/>
  <c r="AG723" i="1"/>
  <c r="AG728" i="1"/>
  <c r="AG144" i="1"/>
  <c r="AG738" i="1"/>
  <c r="AG188" i="1"/>
  <c r="AG189" i="1"/>
  <c r="AG190" i="1"/>
  <c r="AG191" i="1"/>
  <c r="AG680" i="1"/>
  <c r="AG724" i="1"/>
  <c r="AG262" i="1"/>
  <c r="AG264" i="1"/>
  <c r="AG266" i="1"/>
  <c r="AG268" i="1"/>
  <c r="AG269" i="1"/>
  <c r="AG270" i="1"/>
  <c r="AG271" i="1"/>
  <c r="AG272" i="1"/>
  <c r="AG274" i="1"/>
  <c r="AG276" i="1"/>
  <c r="AG282" i="1"/>
  <c r="AG283" i="1"/>
  <c r="AG284" i="1"/>
  <c r="AG285" i="1"/>
  <c r="AG286" i="1"/>
  <c r="AG287" i="1"/>
  <c r="AG288" i="1"/>
  <c r="AG289" i="1"/>
  <c r="AG290" i="1"/>
  <c r="AG294" i="1"/>
  <c r="AG295" i="1"/>
  <c r="AG297" i="1"/>
  <c r="AG303" i="1"/>
  <c r="AG305" i="1"/>
  <c r="AG308" i="1"/>
  <c r="AG310" i="1"/>
  <c r="AG312" i="1"/>
  <c r="AG314" i="1"/>
  <c r="AG318" i="1"/>
  <c r="AG322" i="1"/>
  <c r="AG324" i="1"/>
  <c r="AG326" i="1"/>
  <c r="AG327" i="1"/>
  <c r="AG347" i="1"/>
  <c r="AG348" i="1"/>
  <c r="AG349" i="1"/>
  <c r="AG350" i="1"/>
  <c r="AG351" i="1"/>
  <c r="AG353" i="1"/>
  <c r="AG354" i="1"/>
  <c r="AG355" i="1"/>
  <c r="AG356" i="1"/>
  <c r="AG357" i="1"/>
  <c r="AG358" i="1"/>
  <c r="AG359" i="1"/>
  <c r="AG360" i="1"/>
  <c r="AG362" i="1"/>
  <c r="AG363" i="1"/>
  <c r="AG364" i="1"/>
  <c r="AG366" i="1"/>
  <c r="AG368" i="1"/>
  <c r="AG369" i="1"/>
  <c r="AG370"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8" i="1"/>
  <c r="AG429" i="1"/>
  <c r="AG430" i="1"/>
  <c r="AG431" i="1"/>
  <c r="AG433" i="1"/>
  <c r="AG434"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83" i="1"/>
  <c r="AG485" i="1"/>
  <c r="AG487" i="1"/>
  <c r="AG488" i="1"/>
  <c r="AG489" i="1"/>
  <c r="AG490" i="1"/>
  <c r="AG491" i="1"/>
  <c r="AG492" i="1"/>
  <c r="AG493" i="1"/>
  <c r="AG494" i="1"/>
  <c r="AG495" i="1"/>
  <c r="AG496" i="1"/>
  <c r="AG497" i="1"/>
  <c r="AG498" i="1"/>
  <c r="AG499" i="1"/>
  <c r="AG500" i="1"/>
  <c r="AG501" i="1"/>
  <c r="AG503" i="1"/>
  <c r="AG504" i="1"/>
  <c r="AG505" i="1"/>
  <c r="AG506" i="1"/>
  <c r="AG507" i="1"/>
  <c r="AG508" i="1"/>
  <c r="AG509" i="1"/>
  <c r="AG510" i="1"/>
  <c r="AG511" i="1"/>
  <c r="AG512" i="1"/>
  <c r="AG513" i="1"/>
  <c r="AG514" i="1"/>
  <c r="AG515" i="1"/>
  <c r="AG516" i="1"/>
  <c r="AG517" i="1"/>
  <c r="AG518" i="1"/>
  <c r="AG519" i="1"/>
  <c r="AG520" i="1"/>
  <c r="AG521" i="1"/>
  <c r="AG522" i="1"/>
  <c r="AG523" i="1"/>
  <c r="AG524" i="1"/>
  <c r="AG525" i="1"/>
  <c r="AG526" i="1"/>
  <c r="AG527" i="1"/>
  <c r="AG528" i="1"/>
  <c r="AG529" i="1"/>
  <c r="AG530" i="1"/>
  <c r="AG531" i="1"/>
  <c r="AG532" i="1"/>
  <c r="AG533" i="1"/>
  <c r="AG534" i="1"/>
  <c r="AG535" i="1"/>
  <c r="AG536" i="1"/>
  <c r="AG537" i="1"/>
  <c r="AG538" i="1"/>
  <c r="AG539" i="1"/>
  <c r="AG540" i="1"/>
  <c r="AG541" i="1"/>
  <c r="AG542" i="1"/>
  <c r="AG543" i="1"/>
  <c r="AG544" i="1"/>
  <c r="AG545" i="1"/>
  <c r="AG546" i="1"/>
  <c r="AG547" i="1"/>
  <c r="AG548" i="1"/>
  <c r="AG549" i="1"/>
  <c r="AG550" i="1"/>
  <c r="AG551" i="1"/>
  <c r="AG552" i="1"/>
  <c r="AG553" i="1"/>
  <c r="AG554" i="1"/>
  <c r="AG555" i="1"/>
  <c r="AG556" i="1"/>
  <c r="AG557" i="1"/>
  <c r="AG558" i="1"/>
  <c r="AG684" i="1"/>
  <c r="U420" i="1"/>
  <c r="S17" i="8" l="1"/>
  <c r="AF17" i="8"/>
  <c r="R17" i="8" a="1"/>
  <c r="R17" i="8" l="1"/>
  <c r="AG17" i="8"/>
  <c r="F8" i="44"/>
  <c r="F9" i="44"/>
  <c r="F10" i="44"/>
  <c r="F11" i="44"/>
  <c r="AK9" i="8"/>
  <c r="AK10" i="8"/>
  <c r="AK15" i="8"/>
  <c r="AK25" i="8"/>
  <c r="AK26" i="8"/>
  <c r="AK27" i="8"/>
  <c r="AK28" i="8"/>
  <c r="AK29" i="8"/>
  <c r="AK30" i="8"/>
  <c r="AK31" i="8"/>
  <c r="AK32" i="8"/>
  <c r="AK33" i="8"/>
  <c r="AK34" i="8"/>
  <c r="AK35" i="8"/>
  <c r="AK36" i="8"/>
  <c r="AK37" i="8"/>
  <c r="AK38" i="8"/>
  <c r="AK39" i="8"/>
  <c r="AK40" i="8"/>
  <c r="AK41" i="8"/>
  <c r="AK42" i="8"/>
  <c r="AK43" i="8"/>
  <c r="AK44" i="8"/>
  <c r="AK45" i="8"/>
  <c r="AK46" i="8"/>
  <c r="AK47" i="8"/>
  <c r="AK48" i="8"/>
  <c r="AK50" i="8"/>
  <c r="AK52" i="8"/>
  <c r="AK54" i="8"/>
  <c r="AK55" i="8"/>
  <c r="AK57" i="8"/>
  <c r="AK58" i="8"/>
  <c r="AK59" i="8"/>
  <c r="AK60" i="8"/>
  <c r="AK61" i="8"/>
  <c r="AK62" i="8"/>
  <c r="AK63" i="8"/>
  <c r="AK64" i="8"/>
  <c r="AK65" i="8"/>
  <c r="AK66" i="8"/>
  <c r="AK68" i="8"/>
  <c r="AK69" i="8"/>
  <c r="AK71" i="8"/>
  <c r="AK72" i="8"/>
  <c r="AK73" i="8"/>
  <c r="AK74" i="8"/>
  <c r="AK22" i="8"/>
  <c r="AF9" i="8"/>
  <c r="AI9" i="8"/>
  <c r="AF10" i="8"/>
  <c r="AI10" i="8"/>
  <c r="AF11" i="8"/>
  <c r="AF13" i="8"/>
  <c r="AF15" i="8"/>
  <c r="AI15" i="8"/>
  <c r="AF25" i="8"/>
  <c r="AI25" i="8"/>
  <c r="AF26" i="8"/>
  <c r="AI26" i="8"/>
  <c r="AF27" i="8"/>
  <c r="AI27" i="8"/>
  <c r="AI28" i="8"/>
  <c r="AF29" i="8"/>
  <c r="AI29" i="8"/>
  <c r="AH29" i="8" s="1"/>
  <c r="AF30" i="8"/>
  <c r="AI30" i="8"/>
  <c r="AF31" i="8"/>
  <c r="AI31" i="8"/>
  <c r="AF32" i="8"/>
  <c r="AI32" i="8"/>
  <c r="AF33" i="8"/>
  <c r="AI33" i="8"/>
  <c r="AF34" i="8"/>
  <c r="AI34" i="8"/>
  <c r="AF35" i="8"/>
  <c r="AI35" i="8"/>
  <c r="AF36" i="8"/>
  <c r="AI36" i="8"/>
  <c r="AF37" i="8"/>
  <c r="AI37" i="8"/>
  <c r="AF38" i="8"/>
  <c r="AI38" i="8"/>
  <c r="AF39" i="8"/>
  <c r="AI39" i="8"/>
  <c r="AF40" i="8"/>
  <c r="AI40" i="8"/>
  <c r="AF41" i="8"/>
  <c r="AI41" i="8"/>
  <c r="AF42" i="8"/>
  <c r="AI42" i="8"/>
  <c r="AF43" i="8"/>
  <c r="AI43" i="8"/>
  <c r="AF44" i="8"/>
  <c r="AI44" i="8"/>
  <c r="AF45" i="8"/>
  <c r="AI45" i="8"/>
  <c r="AF46" i="8"/>
  <c r="AI46" i="8"/>
  <c r="AF47" i="8"/>
  <c r="AI47" i="8"/>
  <c r="AF48" i="8"/>
  <c r="AI48" i="8"/>
  <c r="AF49" i="8"/>
  <c r="AF50" i="8"/>
  <c r="AI50" i="8"/>
  <c r="AF51" i="8"/>
  <c r="AF52" i="8"/>
  <c r="AI52" i="8"/>
  <c r="AF53" i="8"/>
  <c r="AF54" i="8"/>
  <c r="AI54" i="8"/>
  <c r="AF55" i="8"/>
  <c r="AI55" i="8"/>
  <c r="AF56" i="8"/>
  <c r="AF57" i="8"/>
  <c r="AI57" i="8"/>
  <c r="AF58" i="8"/>
  <c r="AI58" i="8"/>
  <c r="AF59" i="8"/>
  <c r="AI59" i="8"/>
  <c r="AF60" i="8"/>
  <c r="AI60" i="8"/>
  <c r="AF61" i="8"/>
  <c r="AI61" i="8"/>
  <c r="AF62" i="8"/>
  <c r="AI62" i="8"/>
  <c r="AF63" i="8"/>
  <c r="AI63" i="8"/>
  <c r="AF64" i="8"/>
  <c r="AI64" i="8"/>
  <c r="AF65" i="8"/>
  <c r="AI65" i="8"/>
  <c r="AF66" i="8"/>
  <c r="AI66" i="8"/>
  <c r="AF68" i="8"/>
  <c r="AI68" i="8"/>
  <c r="AF69" i="8"/>
  <c r="AI69" i="8"/>
  <c r="AF71" i="8"/>
  <c r="AI71" i="8"/>
  <c r="AF72" i="8"/>
  <c r="AI72" i="8"/>
  <c r="AF73" i="8"/>
  <c r="AI73" i="8"/>
  <c r="AF74" i="8"/>
  <c r="AI74" i="8"/>
  <c r="AF22" i="8"/>
  <c r="AI22" i="8"/>
  <c r="S22" i="8"/>
  <c r="S11" i="8"/>
  <c r="S13" i="8"/>
  <c r="S9" i="8"/>
  <c r="S10" i="8"/>
  <c r="S15" i="8"/>
  <c r="S25" i="8"/>
  <c r="S26" i="8"/>
  <c r="S27" i="8"/>
  <c r="S28" i="8"/>
  <c r="S29" i="8"/>
  <c r="S30" i="8"/>
  <c r="S31" i="8"/>
  <c r="S32" i="8"/>
  <c r="S33" i="8"/>
  <c r="S34" i="8"/>
  <c r="S35" i="8"/>
  <c r="S36" i="8"/>
  <c r="S37" i="8"/>
  <c r="S38" i="8"/>
  <c r="S39" i="8"/>
  <c r="S40" i="8"/>
  <c r="S41" i="8"/>
  <c r="S42" i="8"/>
  <c r="S43" i="8"/>
  <c r="S44" i="8"/>
  <c r="S45" i="8"/>
  <c r="S46" i="8"/>
  <c r="S47" i="8"/>
  <c r="S48" i="8"/>
  <c r="S49" i="8"/>
  <c r="S50" i="8"/>
  <c r="S51" i="8"/>
  <c r="S52" i="8"/>
  <c r="S53" i="8"/>
  <c r="S54" i="8"/>
  <c r="S55" i="8"/>
  <c r="S56" i="8"/>
  <c r="S57" i="8"/>
  <c r="S58" i="8"/>
  <c r="S59" i="8"/>
  <c r="S60" i="8"/>
  <c r="S61" i="8"/>
  <c r="S62" i="8"/>
  <c r="S63" i="8"/>
  <c r="S64" i="8"/>
  <c r="S65" i="8"/>
  <c r="S66" i="8"/>
  <c r="S68" i="8"/>
  <c r="S69" i="8"/>
  <c r="S71" i="8"/>
  <c r="S72" i="8"/>
  <c r="S73" i="8"/>
  <c r="S74" i="8"/>
  <c r="R66" i="8" a="1"/>
  <c r="R73" i="8" a="1"/>
  <c r="R56" i="8" a="1"/>
  <c r="R71" i="8" a="1"/>
  <c r="R40" i="8" a="1"/>
  <c r="R30" i="8" a="1"/>
  <c r="R34" i="8" a="1"/>
  <c r="R64" i="8" a="1"/>
  <c r="R53" i="8" a="1"/>
  <c r="R50" i="8" a="1"/>
  <c r="R47" i="8" a="1"/>
  <c r="R32" i="8" a="1"/>
  <c r="R38" i="8" a="1"/>
  <c r="R25" i="8" a="1"/>
  <c r="R65" i="8" a="1"/>
  <c r="R44" i="8" a="1"/>
  <c r="R9" i="8" a="1"/>
  <c r="R63" i="8" a="1"/>
  <c r="R57" i="8" a="1"/>
  <c r="R61" i="8" a="1"/>
  <c r="R58" i="8" a="1"/>
  <c r="R15" i="8" a="1"/>
  <c r="R11" i="8" a="1"/>
  <c r="R29" i="8" a="1"/>
  <c r="R26" i="8" a="1"/>
  <c r="R10" i="8" a="1"/>
  <c r="R55" i="8" a="1"/>
  <c r="R68" i="8" a="1"/>
  <c r="R51" i="8" a="1"/>
  <c r="R36" i="8" a="1"/>
  <c r="R45" i="8" a="1"/>
  <c r="R27" i="8" a="1"/>
  <c r="R13" i="8" a="1"/>
  <c r="R49" i="8" a="1"/>
  <c r="R72" i="8" a="1"/>
  <c r="R31" i="8" a="1"/>
  <c r="R35" i="8" a="1"/>
  <c r="R37" i="8" a="1"/>
  <c r="R62" i="8" a="1"/>
  <c r="R60" i="8" a="1"/>
  <c r="R74" i="8" a="1"/>
  <c r="R41" i="8" a="1"/>
  <c r="R48" i="8" a="1"/>
  <c r="R22" i="8" a="1"/>
  <c r="R42" i="8" a="1"/>
  <c r="R39" i="8" a="1"/>
  <c r="R52" i="8" a="1"/>
  <c r="R46" i="8" a="1"/>
  <c r="R59" i="8" a="1"/>
  <c r="R28" i="8" a="1"/>
  <c r="R69" i="8" a="1"/>
  <c r="R54" i="8" a="1"/>
  <c r="R43" i="8" a="1"/>
  <c r="R33" i="8" a="1"/>
  <c r="R31" i="8" l="1"/>
  <c r="R43" i="8"/>
  <c r="R55" i="8"/>
  <c r="R68" i="8"/>
  <c r="R32" i="8"/>
  <c r="R44" i="8"/>
  <c r="R56" i="8"/>
  <c r="R69" i="8"/>
  <c r="R33" i="8"/>
  <c r="R45" i="8"/>
  <c r="R57" i="8"/>
  <c r="R71" i="8"/>
  <c r="R9" i="8"/>
  <c r="R34" i="8"/>
  <c r="R46" i="8"/>
  <c r="R58" i="8"/>
  <c r="R72" i="8"/>
  <c r="R42" i="8"/>
  <c r="R10" i="8"/>
  <c r="R35" i="8"/>
  <c r="R47" i="8"/>
  <c r="R59" i="8"/>
  <c r="R73" i="8"/>
  <c r="R22" i="8"/>
  <c r="R15" i="8"/>
  <c r="R36" i="8"/>
  <c r="R48" i="8"/>
  <c r="R60" i="8"/>
  <c r="R74" i="8"/>
  <c r="R30" i="8"/>
  <c r="R25" i="8"/>
  <c r="R37" i="8"/>
  <c r="R49" i="8"/>
  <c r="R61" i="8"/>
  <c r="R26" i="8"/>
  <c r="R38" i="8"/>
  <c r="R50" i="8"/>
  <c r="R62" i="8"/>
  <c r="R66" i="8"/>
  <c r="R27" i="8"/>
  <c r="R39" i="8"/>
  <c r="R51" i="8"/>
  <c r="R63" i="8"/>
  <c r="R11" i="8"/>
  <c r="R28" i="8"/>
  <c r="R40" i="8"/>
  <c r="R52" i="8"/>
  <c r="R64" i="8"/>
  <c r="R13" i="8"/>
  <c r="R54" i="8"/>
  <c r="R29" i="8"/>
  <c r="R41" i="8"/>
  <c r="R53" i="8"/>
  <c r="R65" i="8"/>
  <c r="AH32" i="8"/>
  <c r="AG51" i="8"/>
  <c r="AH38" i="8"/>
  <c r="AH73" i="8"/>
  <c r="AH48" i="8"/>
  <c r="AH30" i="8"/>
  <c r="AH42" i="8"/>
  <c r="AH69" i="8"/>
  <c r="AH62" i="8"/>
  <c r="AH15" i="8"/>
  <c r="AH44" i="8"/>
  <c r="AG56" i="8"/>
  <c r="AH58" i="8"/>
  <c r="AH26" i="8"/>
  <c r="AH66" i="8"/>
  <c r="AH36" i="8"/>
  <c r="AG69" i="8"/>
  <c r="AG58" i="8"/>
  <c r="AH50" i="8"/>
  <c r="AG44" i="8"/>
  <c r="AG38" i="8"/>
  <c r="AG32" i="8"/>
  <c r="AG26" i="8"/>
  <c r="AH74" i="8"/>
  <c r="AH68" i="8"/>
  <c r="AH63" i="8"/>
  <c r="AH57" i="8"/>
  <c r="AG50" i="8"/>
  <c r="AH43" i="8"/>
  <c r="AH37" i="8"/>
  <c r="AH31" i="8"/>
  <c r="AH25" i="8"/>
  <c r="AG74" i="8"/>
  <c r="AG68" i="8"/>
  <c r="AG63" i="8"/>
  <c r="AG57" i="8"/>
  <c r="AG49" i="8"/>
  <c r="AG43" i="8"/>
  <c r="AG37" i="8"/>
  <c r="AG31" i="8"/>
  <c r="AG25" i="8"/>
  <c r="AG73" i="8"/>
  <c r="AG62" i="8"/>
  <c r="AH55" i="8"/>
  <c r="AG42" i="8"/>
  <c r="AG13" i="8"/>
  <c r="AG65" i="8"/>
  <c r="AG47" i="8"/>
  <c r="AG35" i="8"/>
  <c r="AG29" i="8"/>
  <c r="AH71" i="8"/>
  <c r="AH64" i="8"/>
  <c r="AH60" i="8"/>
  <c r="AG54" i="8"/>
  <c r="AH46" i="8"/>
  <c r="AH40" i="8"/>
  <c r="AH34" i="8"/>
  <c r="AH28" i="8"/>
  <c r="AH10" i="8"/>
  <c r="AG15" i="8"/>
  <c r="AG55" i="8"/>
  <c r="AG71" i="8"/>
  <c r="AG64" i="8"/>
  <c r="AG60" i="8"/>
  <c r="AG53" i="8"/>
  <c r="AG46" i="8"/>
  <c r="AG40" i="8"/>
  <c r="AG34" i="8"/>
  <c r="AG28" i="8"/>
  <c r="AG10" i="8"/>
  <c r="AG36" i="8"/>
  <c r="AH72" i="8"/>
  <c r="AH41" i="8"/>
  <c r="AH22" i="8"/>
  <c r="AH59" i="8"/>
  <c r="AH52" i="8"/>
  <c r="AH45" i="8"/>
  <c r="AH39" i="8"/>
  <c r="AH33" i="8"/>
  <c r="AH27" i="8"/>
  <c r="AH9" i="8"/>
  <c r="AG66" i="8"/>
  <c r="AG48" i="8"/>
  <c r="AG30" i="8"/>
  <c r="AH65" i="8"/>
  <c r="AH61" i="8"/>
  <c r="AH47" i="8"/>
  <c r="AH35" i="8"/>
  <c r="AG72" i="8"/>
  <c r="AG61" i="8"/>
  <c r="AH54" i="8"/>
  <c r="AG41" i="8"/>
  <c r="AG11" i="8"/>
  <c r="AG22" i="8"/>
  <c r="AG59" i="8"/>
  <c r="AG52" i="8"/>
  <c r="AG45" i="8"/>
  <c r="AG39" i="8"/>
  <c r="AG33" i="8"/>
  <c r="AG27" i="8"/>
  <c r="AG9" i="8"/>
  <c r="T312" i="8" a="1"/>
  <c r="T176" i="8" a="1"/>
  <c r="T65" i="8" a="1"/>
  <c r="T316" i="8" a="1"/>
  <c r="T289" i="8" a="1"/>
  <c r="T136" i="8" a="1"/>
  <c r="T5" i="8" a="1"/>
  <c r="T161" i="8" a="1"/>
  <c r="T151" i="8" a="1"/>
  <c r="T237" i="8" a="1"/>
  <c r="T11" i="8" a="1"/>
  <c r="T283" i="8" a="1"/>
  <c r="T124" i="8" a="1"/>
  <c r="T351" i="8" a="1"/>
  <c r="T101" i="8" a="1"/>
  <c r="T388" i="8" a="1"/>
  <c r="T82" i="8" a="1"/>
  <c r="T389" i="8" a="1"/>
  <c r="T78" i="8" a="1"/>
  <c r="T71" i="8" a="1"/>
  <c r="T279" i="8" a="1"/>
  <c r="T108" i="8" a="1"/>
  <c r="T263" i="8" a="1"/>
  <c r="T214" i="8" a="1"/>
  <c r="T35" i="8" a="1"/>
  <c r="T42" i="8" a="1"/>
  <c r="T282" i="8" a="1"/>
  <c r="T145" i="8" a="1"/>
  <c r="T75" i="8" a="1"/>
  <c r="T300" i="8" a="1"/>
  <c r="T72" i="8" a="1"/>
  <c r="T13" i="8" a="1"/>
  <c r="T102" i="8" a="1"/>
  <c r="T233" i="8" a="1"/>
  <c r="T83" i="8" a="1"/>
  <c r="T81" i="8" a="1"/>
  <c r="T251" i="8" a="1"/>
  <c r="T115" i="8" a="1"/>
  <c r="T156" i="8" a="1"/>
  <c r="AI337" i="1" a="1"/>
  <c r="T274" i="8" a="1"/>
  <c r="T92" i="8" a="1"/>
  <c r="T30" i="8" a="1"/>
  <c r="T96" i="8" a="1"/>
  <c r="T198" i="8" a="1"/>
  <c r="T33" i="8" a="1"/>
  <c r="T306" i="8" a="1"/>
  <c r="T135" i="8" a="1"/>
  <c r="T356" i="8" a="1"/>
  <c r="T157" i="8" a="1"/>
  <c r="T206" i="8" a="1"/>
  <c r="T186" i="8" a="1"/>
  <c r="T54" i="8" a="1"/>
  <c r="T321" i="8" a="1"/>
  <c r="T168" i="8" a="1"/>
  <c r="T304" i="8" a="1"/>
  <c r="T215" i="8" a="1"/>
  <c r="T291" i="8" a="1"/>
  <c r="T211" i="8" a="1"/>
  <c r="T288" i="8" a="1"/>
  <c r="T170" i="8" a="1"/>
  <c r="T56" i="8" a="1"/>
  <c r="T366" i="8" a="1"/>
  <c r="T133" i="8" a="1"/>
  <c r="T376" i="8" a="1"/>
  <c r="T232" i="8" a="1"/>
  <c r="T16" i="8" a="1"/>
  <c r="T318" i="8" a="1"/>
  <c r="T238" i="8" a="1"/>
  <c r="T95" i="8" a="1"/>
  <c r="T222" i="8" a="1"/>
  <c r="T320" i="8" a="1"/>
  <c r="T325" i="8" a="1"/>
  <c r="T149" i="8" a="1"/>
  <c r="T341" i="8" a="1"/>
  <c r="T301" i="8" a="1"/>
  <c r="T244" i="8" a="1"/>
  <c r="T342" i="8" a="1"/>
  <c r="T143" i="8" a="1"/>
  <c r="T48" i="8" a="1"/>
  <c r="T242" i="8" a="1"/>
  <c r="T262" i="8" a="1"/>
  <c r="T20" i="8" a="1"/>
  <c r="T67" i="8" a="1"/>
  <c r="T216" i="8" a="1"/>
  <c r="T64" i="8" a="1"/>
  <c r="T142" i="8" a="1"/>
  <c r="T199" i="8" a="1"/>
  <c r="T259" i="8" a="1"/>
  <c r="T332" i="8" a="1"/>
  <c r="T167" i="8" a="1"/>
  <c r="T346" i="8" a="1"/>
  <c r="T345" i="8" a="1"/>
  <c r="T344" i="8" a="1"/>
  <c r="T43" i="8" a="1"/>
  <c r="T338" i="8" a="1"/>
  <c r="T257" i="8" a="1"/>
  <c r="AI67" i="1" a="1"/>
  <c r="T334" i="8" a="1"/>
  <c r="T221" i="8" a="1"/>
  <c r="T97" i="8" a="1"/>
  <c r="T297" i="8" a="1"/>
  <c r="T140" i="8" a="1"/>
  <c r="T27" i="8" a="1"/>
  <c r="T234" i="8" a="1"/>
  <c r="T252" i="8" a="1"/>
  <c r="T40" i="8" a="1"/>
  <c r="T303" i="8" a="1"/>
  <c r="T183" i="8" a="1"/>
  <c r="T378" i="8" a="1"/>
  <c r="T205" i="8" a="1"/>
  <c r="T393" i="8" a="1"/>
  <c r="T236" i="8" a="1"/>
  <c r="T44" i="8" a="1"/>
  <c r="T286" i="8" a="1"/>
  <c r="T123" i="8" a="1"/>
  <c r="T285" i="8" a="1"/>
  <c r="T200" i="8" a="1"/>
  <c r="T295" i="8" a="1"/>
  <c r="T196" i="8" a="1"/>
  <c r="T103" i="8" a="1"/>
  <c r="T219" i="8" a="1"/>
  <c r="T38" i="8" a="1"/>
  <c r="T371" i="8" a="1"/>
  <c r="T181" i="8" a="1"/>
  <c r="T74" i="8" a="1"/>
  <c r="T125" i="8" a="1"/>
  <c r="T220" i="8" a="1"/>
  <c r="T76" i="8" a="1"/>
  <c r="T395" i="8" a="1"/>
  <c r="T314" i="8" a="1"/>
  <c r="T386" i="8" a="1"/>
  <c r="T372" i="8" a="1"/>
  <c r="AI273" i="1" a="1"/>
  <c r="T21" i="8" a="1"/>
  <c r="T390" i="8" a="1"/>
  <c r="T264" i="8" a="1"/>
  <c r="T119" i="8" a="1"/>
  <c r="T114" i="8" a="1"/>
  <c r="T358" i="8" a="1"/>
  <c r="T258" i="8" a="1"/>
  <c r="T202" i="8" a="1"/>
  <c r="T57" i="8" a="1"/>
  <c r="T37" i="8" a="1"/>
  <c r="T217" i="8" a="1"/>
  <c r="T165" i="8" a="1"/>
  <c r="T100" i="8" a="1"/>
  <c r="T230" i="8" a="1"/>
  <c r="T23" i="8" a="1"/>
  <c r="T335" i="8" a="1"/>
  <c r="T179" i="8" a="1"/>
  <c r="T364" i="8" a="1"/>
  <c r="T153" i="8" a="1"/>
  <c r="T61" i="8" a="1"/>
  <c r="T249" i="8" a="1"/>
  <c r="T349" i="8" a="1"/>
  <c r="T281" i="8" a="1"/>
  <c r="T116" i="8" a="1"/>
  <c r="T268" i="8" a="1"/>
  <c r="T112" i="8" a="1"/>
  <c r="T355" i="8" a="1"/>
  <c r="T137" i="8" a="1"/>
  <c r="T394" i="8" a="1"/>
  <c r="T331" i="8" a="1"/>
  <c r="T155" i="8" a="1"/>
  <c r="T129" i="8" a="1"/>
  <c r="T120" i="8" a="1"/>
  <c r="T265" i="8" a="1"/>
  <c r="T89" i="8" a="1"/>
  <c r="T107" i="8" a="1"/>
  <c r="T51" i="8" a="1"/>
  <c r="T8" i="8" a="1"/>
  <c r="T337" i="8" a="1"/>
  <c r="T208" i="8" a="1"/>
  <c r="T66" i="8" a="1"/>
  <c r="T326" i="8" a="1"/>
  <c r="T192" i="8" a="1"/>
  <c r="T152" i="8" a="1"/>
  <c r="T261" i="8" a="1"/>
  <c r="T14" i="8" a="1"/>
  <c r="T62" i="8" a="1"/>
  <c r="T59" i="8" a="1"/>
  <c r="T150" i="8" a="1"/>
  <c r="T32" i="8" a="1"/>
  <c r="T290" i="8" a="1"/>
  <c r="T87" i="8" a="1"/>
  <c r="T357" i="8" a="1"/>
  <c r="T109" i="8" a="1"/>
  <c r="T195" i="8" a="1"/>
  <c r="T138" i="8" a="1"/>
  <c r="T197" i="8" a="1"/>
  <c r="T359" i="8" a="1"/>
  <c r="T122" i="8" a="1"/>
  <c r="T85" i="8" a="1"/>
  <c r="T106" i="8" a="1"/>
  <c r="T392" i="8" a="1"/>
  <c r="T240" i="8" a="1"/>
  <c r="T360" i="8" a="1"/>
  <c r="T293" i="8" a="1"/>
  <c r="T260" i="8" a="1"/>
  <c r="T41" i="8" a="1"/>
  <c r="AI735" i="1" a="1"/>
  <c r="T383" i="8" a="1"/>
  <c r="T213" i="8" a="1"/>
  <c r="T275" i="8" a="1"/>
  <c r="T270" i="8" a="1"/>
  <c r="T84" i="8" a="1"/>
  <c r="T292" i="8" a="1"/>
  <c r="T229" i="8" a="1"/>
  <c r="T375" i="8" a="1"/>
  <c r="T201" i="8" a="1"/>
  <c r="T58" i="8" a="1"/>
  <c r="T255" i="8" a="1"/>
  <c r="T9" i="8" a="1"/>
  <c r="T309" i="8" a="1"/>
  <c r="T164" i="8" a="1"/>
  <c r="T305" i="8" a="1"/>
  <c r="T160" i="8" a="1"/>
  <c r="T367" i="8" a="1"/>
  <c r="T185" i="8" a="1"/>
  <c r="T31" i="8" a="1"/>
  <c r="T324" i="8" a="1"/>
  <c r="T203" i="8" a="1"/>
  <c r="T210" i="8" a="1"/>
  <c r="AA226" i="1"/>
  <c r="T177" i="8" a="1"/>
  <c r="T299" i="8" a="1"/>
  <c r="T243" i="8" a="1"/>
  <c r="T118" i="8" a="1"/>
  <c r="T322" i="8" a="1"/>
  <c r="T223" i="8" a="1"/>
  <c r="T381" i="8" a="1"/>
  <c r="T329" i="8" a="1"/>
  <c r="T253" i="8" a="1"/>
  <c r="T171" i="8" a="1"/>
  <c r="T396" i="8" a="1"/>
  <c r="T382" i="8" a="1"/>
  <c r="T328" i="8" a="1"/>
  <c r="T373" i="8" a="1"/>
  <c r="T169" i="8" a="1"/>
  <c r="T46" i="8" a="1"/>
  <c r="T184" i="8" a="1"/>
  <c r="T315" i="8" a="1"/>
  <c r="T187" i="8" a="1"/>
  <c r="T99" i="8" a="1"/>
  <c r="T146" i="8" a="1"/>
  <c r="T7" i="8" a="1"/>
  <c r="T266" i="8" a="1"/>
  <c r="T80" i="8" a="1"/>
  <c r="T327" i="8" a="1"/>
  <c r="T175" i="8" a="1"/>
  <c r="T385" i="8" a="1"/>
  <c r="T86" i="8" a="1"/>
  <c r="T110" i="8" a="1"/>
  <c r="T228" i="8" a="1"/>
  <c r="T180" i="8" a="1"/>
  <c r="T224" i="8" a="1"/>
  <c r="T60" i="8" a="1"/>
  <c r="T343" i="8" a="1"/>
  <c r="T159" i="8" a="1"/>
  <c r="T24" i="8" a="1"/>
  <c r="T271" i="8" a="1"/>
  <c r="T3" i="8" a="1"/>
  <c r="T105" i="8" a="1"/>
  <c r="T363" i="8" a="1"/>
  <c r="T163" i="8" a="1"/>
  <c r="T52" i="8" a="1"/>
  <c r="T311" i="8" a="1"/>
  <c r="T36" i="8" a="1"/>
  <c r="T296" i="8" a="1"/>
  <c r="T212" i="8" a="1"/>
  <c r="AI72" i="1" a="1"/>
  <c r="T347" i="8" a="1"/>
  <c r="T93" i="8" a="1"/>
  <c r="T10" i="8" a="1"/>
  <c r="T380" i="8" a="1"/>
  <c r="T154" i="8" a="1"/>
  <c r="T34" i="8" a="1"/>
  <c r="T28" i="8" a="1"/>
  <c r="T365" i="8" a="1"/>
  <c r="T117" i="8" a="1"/>
  <c r="T12" i="8" a="1"/>
  <c r="T241" i="8" a="1"/>
  <c r="T39" i="8" a="1"/>
  <c r="T302" i="8" a="1"/>
  <c r="T131" i="8" a="1"/>
  <c r="T353" i="8" a="1"/>
  <c r="T127" i="8" a="1"/>
  <c r="T147" i="8" a="1"/>
  <c r="T174" i="8" a="1"/>
  <c r="T19" i="8" a="1"/>
  <c r="T47" i="8" a="1"/>
  <c r="AI280" i="1" a="1"/>
  <c r="T246" i="8" a="1"/>
  <c r="T132" i="8" a="1"/>
  <c r="T317" i="8" a="1"/>
  <c r="T182" i="8" a="1"/>
  <c r="T350" i="8" a="1"/>
  <c r="T235" i="8" a="1"/>
  <c r="T188" i="8" a="1"/>
  <c r="T377" i="8" a="1"/>
  <c r="T218" i="8" a="1"/>
  <c r="T50" i="8" a="1"/>
  <c r="T162" i="8" a="1"/>
  <c r="T308" i="8" a="1"/>
  <c r="T172" i="8" a="1"/>
  <c r="T158" i="8" a="1"/>
  <c r="T194" i="8" a="1"/>
  <c r="T15" i="8" a="1"/>
  <c r="T280" i="8" a="1"/>
  <c r="T128" i="8" a="1"/>
  <c r="T340" i="8" a="1"/>
  <c r="T225" i="8" a="1"/>
  <c r="T348" i="8" a="1"/>
  <c r="T134" i="8" a="1"/>
  <c r="T276" i="8" a="1"/>
  <c r="T245" i="8" a="1"/>
  <c r="T370" i="8" a="1"/>
  <c r="T256" i="8" a="1"/>
  <c r="AI208" i="1" a="1"/>
  <c r="T352" i="8" a="1"/>
  <c r="T207" i="8" a="1"/>
  <c r="T227" i="8" a="1"/>
  <c r="T277" i="8" a="1"/>
  <c r="T104" i="8" a="1"/>
  <c r="T254" i="8" a="1"/>
  <c r="T362" i="8" a="1"/>
  <c r="T307" i="8" a="1"/>
  <c r="T141" i="8" a="1"/>
  <c r="T111" i="8" a="1"/>
  <c r="T6" i="8" a="1"/>
  <c r="T226" i="8" a="1"/>
  <c r="T310" i="8" a="1"/>
  <c r="T284" i="8" a="1"/>
  <c r="T94" i="8" a="1"/>
  <c r="T79" i="8" a="1"/>
  <c r="T397" i="8" a="1"/>
  <c r="T247" i="8" a="1"/>
  <c r="T248" i="8" a="1"/>
  <c r="T231" i="8" a="1"/>
  <c r="T319" i="8" a="1"/>
  <c r="T191" i="8" a="1"/>
  <c r="T26" i="8" a="1"/>
  <c r="T333" i="8" a="1"/>
  <c r="T278" i="8" a="1"/>
  <c r="T88" i="8" a="1"/>
  <c r="T361" i="8" a="1"/>
  <c r="T113" i="8" a="1"/>
  <c r="T287" i="8" a="1"/>
  <c r="T190" i="8" a="1"/>
  <c r="T294" i="8" a="1"/>
  <c r="T272" i="8" a="1"/>
  <c r="T77" i="8" a="1"/>
  <c r="T313" i="8" a="1"/>
  <c r="T204" i="8" a="1"/>
  <c r="T368" i="8" a="1"/>
  <c r="T193" i="8" a="1"/>
  <c r="T374" i="8" a="1"/>
  <c r="T189" i="8" a="1"/>
  <c r="T25" i="8" a="1"/>
  <c r="T269" i="8" a="1"/>
  <c r="T4" i="8" a="1"/>
  <c r="T173" i="8" a="1"/>
  <c r="T166" i="8" a="1"/>
  <c r="T49" i="8" a="1"/>
  <c r="T369" i="8" a="1"/>
  <c r="T178" i="8" a="1"/>
  <c r="T267" i="8" a="1"/>
  <c r="T45" i="8" a="1"/>
  <c r="T250" i="8" a="1"/>
  <c r="T339" i="8" a="1"/>
  <c r="T209" i="8" a="1"/>
  <c r="T53" i="8" a="1"/>
  <c r="T323" i="8" a="1"/>
  <c r="T130" i="8" a="1"/>
  <c r="T63" i="8" a="1"/>
  <c r="T379" i="8" a="1"/>
  <c r="T354" i="8" a="1"/>
  <c r="T121" i="8" a="1"/>
  <c r="T69" i="8" a="1"/>
  <c r="T148" i="8" a="1"/>
  <c r="T330" i="8" a="1"/>
  <c r="T139" i="8" a="1"/>
  <c r="T391" i="8" a="1"/>
  <c r="T98" i="8" a="1"/>
  <c r="T73" i="8" a="1"/>
  <c r="T239" i="8" a="1"/>
  <c r="T17" i="8" a="1"/>
  <c r="T298" i="8" a="1"/>
  <c r="T68" i="8" a="1"/>
  <c r="T273" i="8" a="1"/>
  <c r="T55" i="8" a="1"/>
  <c r="AI277" i="1" a="1"/>
  <c r="T144" i="8" a="1"/>
  <c r="AI85" i="1" a="1"/>
  <c r="T91" i="8" a="1"/>
  <c r="T387" i="8" a="1"/>
  <c r="T90" i="8" a="1"/>
  <c r="T70" i="8" a="1"/>
  <c r="T126" i="8" a="1"/>
  <c r="AI328" i="1" a="1"/>
  <c r="T29" i="8" a="1"/>
  <c r="T18" i="8" a="1"/>
  <c r="AI293" i="1" a="1"/>
  <c r="T22" i="8" a="1"/>
  <c r="T336" i="8" a="1"/>
  <c r="T42" i="8" l="1"/>
  <c r="AI293" i="1"/>
  <c r="AB293" i="1" s="1"/>
  <c r="T144" i="8"/>
  <c r="T125" i="8"/>
  <c r="T254" i="8"/>
  <c r="V254" i="8" s="1"/>
  <c r="T380" i="8"/>
  <c r="AL380" i="8" s="1"/>
  <c r="T72" i="8"/>
  <c r="V72" i="8" s="1"/>
  <c r="T129" i="8"/>
  <c r="V129" i="8" s="1"/>
  <c r="T210" i="8"/>
  <c r="AL210" i="8" s="1"/>
  <c r="T258" i="8"/>
  <c r="AL258" i="8" s="1"/>
  <c r="T311" i="8"/>
  <c r="AL311" i="8" s="1"/>
  <c r="T376" i="8"/>
  <c r="T74" i="8"/>
  <c r="T29" i="8"/>
  <c r="T47" i="8"/>
  <c r="T49" i="8"/>
  <c r="T35" i="8"/>
  <c r="AI337" i="1"/>
  <c r="AB337" i="1" s="1"/>
  <c r="AC337" i="1" s="1"/>
  <c r="T6" i="8"/>
  <c r="AL6" i="8" s="1"/>
  <c r="T3" i="8"/>
  <c r="V3" i="8" s="1"/>
  <c r="T104" i="8"/>
  <c r="V104" i="8" s="1"/>
  <c r="T152" i="8"/>
  <c r="AL152" i="8" s="1"/>
  <c r="T107" i="8"/>
  <c r="V107" i="8" s="1"/>
  <c r="T155" i="8"/>
  <c r="T203" i="8"/>
  <c r="T188" i="8"/>
  <c r="T85" i="8"/>
  <c r="T133" i="8"/>
  <c r="T181" i="8"/>
  <c r="V181" i="8" s="1"/>
  <c r="T231" i="8"/>
  <c r="AL231" i="8" s="1"/>
  <c r="T118" i="8"/>
  <c r="V118" i="8" s="1"/>
  <c r="T166" i="8"/>
  <c r="AL166" i="8" s="1"/>
  <c r="T214" i="8"/>
  <c r="V214" i="8" s="1"/>
  <c r="T244" i="8"/>
  <c r="AL244" i="8" s="1"/>
  <c r="T238" i="8"/>
  <c r="V238" i="8" s="1"/>
  <c r="T271" i="8"/>
  <c r="T277" i="8"/>
  <c r="T293" i="8"/>
  <c r="T314" i="8"/>
  <c r="T331" i="8"/>
  <c r="T324" i="8"/>
  <c r="V324" i="8" s="1"/>
  <c r="T328" i="8"/>
  <c r="V328" i="8" s="1"/>
  <c r="T345" i="8"/>
  <c r="AL345" i="8" s="1"/>
  <c r="T366" i="8"/>
  <c r="V366" i="8" s="1"/>
  <c r="T371" i="8"/>
  <c r="AL371" i="8" s="1"/>
  <c r="T379" i="8"/>
  <c r="AL379" i="8" s="1"/>
  <c r="T45" i="8"/>
  <c r="V45" i="8" s="1"/>
  <c r="T173" i="8"/>
  <c r="AL173" i="8" s="1"/>
  <c r="T263" i="8"/>
  <c r="T358" i="8"/>
  <c r="AI277" i="1"/>
  <c r="AB277" i="1" s="1"/>
  <c r="T24" i="8"/>
  <c r="AL24" i="8" s="1"/>
  <c r="T227" i="8"/>
  <c r="V227" i="8" s="1"/>
  <c r="T221" i="8"/>
  <c r="V221" i="8" s="1"/>
  <c r="T300" i="8"/>
  <c r="V300" i="8" s="1"/>
  <c r="T394" i="8"/>
  <c r="AL394" i="8" s="1"/>
  <c r="T31" i="8"/>
  <c r="V31" i="8" s="1"/>
  <c r="T10" i="8"/>
  <c r="V10" i="8" s="1"/>
  <c r="T52" i="8"/>
  <c r="T56" i="8"/>
  <c r="V56" i="8" s="1"/>
  <c r="T38" i="8"/>
  <c r="AI328" i="1"/>
  <c r="AB328" i="1" s="1"/>
  <c r="T19" i="8"/>
  <c r="T4" i="8"/>
  <c r="T108" i="8"/>
  <c r="V108" i="8" s="1"/>
  <c r="T156" i="8"/>
  <c r="AL156" i="8" s="1"/>
  <c r="T111" i="8"/>
  <c r="AL111" i="8" s="1"/>
  <c r="T159" i="8"/>
  <c r="V159" i="8" s="1"/>
  <c r="T207" i="8"/>
  <c r="V207" i="8" s="1"/>
  <c r="T192" i="8"/>
  <c r="V192" i="8" s="1"/>
  <c r="T89" i="8"/>
  <c r="T137" i="8"/>
  <c r="V137" i="8" s="1"/>
  <c r="T185" i="8"/>
  <c r="T235" i="8"/>
  <c r="T122" i="8"/>
  <c r="T170" i="8"/>
  <c r="AL170" i="8" s="1"/>
  <c r="T219" i="8"/>
  <c r="AL219" i="8" s="1"/>
  <c r="T248" i="8"/>
  <c r="AL248" i="8" s="1"/>
  <c r="T243" i="8"/>
  <c r="V243" i="8" s="1"/>
  <c r="T269" i="8"/>
  <c r="V269" i="8" s="1"/>
  <c r="T279" i="8"/>
  <c r="V279" i="8" s="1"/>
  <c r="T301" i="8"/>
  <c r="V301" i="8" s="1"/>
  <c r="T318" i="8"/>
  <c r="T343" i="8"/>
  <c r="AL343" i="8" s="1"/>
  <c r="T352" i="8"/>
  <c r="T336" i="8"/>
  <c r="T346" i="8"/>
  <c r="T355" i="8"/>
  <c r="V355" i="8" s="1"/>
  <c r="T367" i="8"/>
  <c r="V367" i="8" s="1"/>
  <c r="T382" i="8"/>
  <c r="V382" i="8" s="1"/>
  <c r="T395" i="8"/>
  <c r="V395" i="8" s="1"/>
  <c r="T288" i="8"/>
  <c r="AL288" i="8" s="1"/>
  <c r="T103" i="8"/>
  <c r="AL103" i="8" s="1"/>
  <c r="T114" i="8"/>
  <c r="AL114" i="8" s="1"/>
  <c r="T267" i="8"/>
  <c r="T25" i="8"/>
  <c r="V25" i="8" s="1"/>
  <c r="T71" i="8"/>
  <c r="T63" i="8"/>
  <c r="T55" i="8"/>
  <c r="T60" i="8"/>
  <c r="V60" i="8" s="1"/>
  <c r="AI208" i="1"/>
  <c r="AB208" i="1" s="1"/>
  <c r="AE208" i="1" s="1"/>
  <c r="T18" i="8"/>
  <c r="AL18" i="8" s="1"/>
  <c r="T75" i="8"/>
  <c r="V75" i="8" s="1"/>
  <c r="T112" i="8"/>
  <c r="AL112" i="8" s="1"/>
  <c r="T160" i="8"/>
  <c r="T115" i="8"/>
  <c r="V115" i="8" s="1"/>
  <c r="T163" i="8"/>
  <c r="T211" i="8"/>
  <c r="V211" i="8" s="1"/>
  <c r="T196" i="8"/>
  <c r="T93" i="8"/>
  <c r="T141" i="8"/>
  <c r="T189" i="8"/>
  <c r="T78" i="8"/>
  <c r="V78" i="8" s="1"/>
  <c r="T126" i="8"/>
  <c r="V126" i="8" s="1"/>
  <c r="T174" i="8"/>
  <c r="V174" i="8" s="1"/>
  <c r="T224" i="8"/>
  <c r="AL224" i="8" s="1"/>
  <c r="T256" i="8"/>
  <c r="AL256" i="8" s="1"/>
  <c r="T247" i="8"/>
  <c r="AL247" i="8" s="1"/>
  <c r="T265" i="8"/>
  <c r="T268" i="8"/>
  <c r="V268" i="8" s="1"/>
  <c r="T305" i="8"/>
  <c r="T326" i="8"/>
  <c r="T299" i="8"/>
  <c r="T291" i="8"/>
  <c r="AL291" i="8" s="1"/>
  <c r="T295" i="8"/>
  <c r="AL295" i="8" s="1"/>
  <c r="T350" i="8"/>
  <c r="AL350" i="8" s="1"/>
  <c r="T359" i="8"/>
  <c r="V359" i="8" s="1"/>
  <c r="T374" i="8"/>
  <c r="V374" i="8" s="1"/>
  <c r="T389" i="8"/>
  <c r="AL389" i="8" s="1"/>
  <c r="T396" i="8"/>
  <c r="AL396" i="8" s="1"/>
  <c r="T16" i="8"/>
  <c r="T180" i="8"/>
  <c r="V180" i="8" s="1"/>
  <c r="T370" i="8"/>
  <c r="V370" i="8" s="1"/>
  <c r="T341" i="8"/>
  <c r="T76" i="8"/>
  <c r="T116" i="8"/>
  <c r="T164" i="8"/>
  <c r="V164" i="8" s="1"/>
  <c r="T119" i="8"/>
  <c r="V119" i="8" s="1"/>
  <c r="T167" i="8"/>
  <c r="AL167" i="8" s="1"/>
  <c r="T215" i="8"/>
  <c r="V215" i="8" s="1"/>
  <c r="T200" i="8"/>
  <c r="V200" i="8" s="1"/>
  <c r="T97" i="8"/>
  <c r="V97" i="8" s="1"/>
  <c r="T145" i="8"/>
  <c r="T193" i="8"/>
  <c r="AL193" i="8" s="1"/>
  <c r="T82" i="8"/>
  <c r="T130" i="8"/>
  <c r="T178" i="8"/>
  <c r="T228" i="8"/>
  <c r="T245" i="8"/>
  <c r="V245" i="8" s="1"/>
  <c r="T251" i="8"/>
  <c r="AL251" i="8" s="1"/>
  <c r="T273" i="8"/>
  <c r="V273" i="8" s="1"/>
  <c r="T281" i="8"/>
  <c r="AL281" i="8" s="1"/>
  <c r="T309" i="8"/>
  <c r="V309" i="8" s="1"/>
  <c r="T334" i="8"/>
  <c r="T307" i="8"/>
  <c r="T304" i="8"/>
  <c r="V304" i="8" s="1"/>
  <c r="T285" i="8"/>
  <c r="T347" i="8"/>
  <c r="T363" i="8"/>
  <c r="T368" i="8"/>
  <c r="AL368" i="8" s="1"/>
  <c r="T388" i="8"/>
  <c r="AL388" i="8" s="1"/>
  <c r="T397" i="8"/>
  <c r="AL397" i="8" s="1"/>
  <c r="T147" i="8"/>
  <c r="AL147" i="8" s="1"/>
  <c r="T110" i="8"/>
  <c r="V110" i="8" s="1"/>
  <c r="T276" i="8"/>
  <c r="AL276" i="8" s="1"/>
  <c r="T66" i="8"/>
  <c r="V66" i="8" s="1"/>
  <c r="T177" i="8"/>
  <c r="V177" i="8" s="1"/>
  <c r="T349" i="8"/>
  <c r="AL349" i="8" s="1"/>
  <c r="T9" i="8"/>
  <c r="T70" i="8"/>
  <c r="T120" i="8"/>
  <c r="T168" i="8"/>
  <c r="T123" i="8"/>
  <c r="V123" i="8" s="1"/>
  <c r="T171" i="8"/>
  <c r="V171" i="8" s="1"/>
  <c r="T220" i="8"/>
  <c r="V220" i="8" s="1"/>
  <c r="T204" i="8"/>
  <c r="AL204" i="8" s="1"/>
  <c r="T101" i="8"/>
  <c r="V101" i="8" s="1"/>
  <c r="T149" i="8"/>
  <c r="V149" i="8" s="1"/>
  <c r="T197" i="8"/>
  <c r="V197" i="8" s="1"/>
  <c r="T86" i="8"/>
  <c r="AL86" i="8" s="1"/>
  <c r="T134" i="8"/>
  <c r="T182" i="8"/>
  <c r="T232" i="8"/>
  <c r="T249" i="8"/>
  <c r="AL249" i="8" s="1"/>
  <c r="T255" i="8"/>
  <c r="AL255" i="8" s="1"/>
  <c r="T264" i="8"/>
  <c r="V264" i="8" s="1"/>
  <c r="T282" i="8"/>
  <c r="V282" i="8" s="1"/>
  <c r="T321" i="8"/>
  <c r="V321" i="8" s="1"/>
  <c r="T286" i="8"/>
  <c r="V286" i="8" s="1"/>
  <c r="T323" i="8"/>
  <c r="V323" i="8" s="1"/>
  <c r="T332" i="8"/>
  <c r="T313" i="8"/>
  <c r="V313" i="8" s="1"/>
  <c r="T351" i="8"/>
  <c r="AL351" i="8" s="1"/>
  <c r="T360" i="8"/>
  <c r="T369" i="8"/>
  <c r="V369" i="8" s="1"/>
  <c r="T385" i="8"/>
  <c r="AL385" i="8" s="1"/>
  <c r="T348" i="8"/>
  <c r="V348" i="8" s="1"/>
  <c r="T81" i="8"/>
  <c r="AL81" i="8" s="1"/>
  <c r="T362" i="8"/>
  <c r="V362" i="8" s="1"/>
  <c r="T61" i="8"/>
  <c r="V61" i="8" s="1"/>
  <c r="T58" i="8"/>
  <c r="AI72" i="1"/>
  <c r="AB72" i="1" s="1"/>
  <c r="AC72" i="1" s="1"/>
  <c r="T68" i="8"/>
  <c r="T54" i="8"/>
  <c r="V54" i="8" s="1"/>
  <c r="T44" i="8"/>
  <c r="AI67" i="1"/>
  <c r="AB67" i="1" s="1"/>
  <c r="AF226" i="1"/>
  <c r="T77" i="8"/>
  <c r="AL77" i="8" s="1"/>
  <c r="T124" i="8"/>
  <c r="V124" i="8" s="1"/>
  <c r="T79" i="8"/>
  <c r="V79" i="8" s="1"/>
  <c r="T127" i="8"/>
  <c r="V127" i="8" s="1"/>
  <c r="T175" i="8"/>
  <c r="V175" i="8" s="1"/>
  <c r="T225" i="8"/>
  <c r="V225" i="8" s="1"/>
  <c r="T208" i="8"/>
  <c r="AL208" i="8" s="1"/>
  <c r="T105" i="8"/>
  <c r="T153" i="8"/>
  <c r="AL153" i="8" s="1"/>
  <c r="T201" i="8"/>
  <c r="T90" i="8"/>
  <c r="T138" i="8"/>
  <c r="T186" i="8"/>
  <c r="T236" i="8"/>
  <c r="V236" i="8" s="1"/>
  <c r="T253" i="8"/>
  <c r="V253" i="8" s="1"/>
  <c r="T259" i="8"/>
  <c r="V259" i="8" s="1"/>
  <c r="T272" i="8"/>
  <c r="V272" i="8" s="1"/>
  <c r="T283" i="8"/>
  <c r="AL283" i="8" s="1"/>
  <c r="T325" i="8"/>
  <c r="AL325" i="8" s="1"/>
  <c r="T298" i="8"/>
  <c r="T327" i="8"/>
  <c r="V327" i="8" s="1"/>
  <c r="T340" i="8"/>
  <c r="T317" i="8"/>
  <c r="T353" i="8"/>
  <c r="AL353" i="8" s="1"/>
  <c r="T364" i="8"/>
  <c r="V364" i="8" s="1"/>
  <c r="T375" i="8"/>
  <c r="V375" i="8" s="1"/>
  <c r="T390" i="8"/>
  <c r="V390" i="8" s="1"/>
  <c r="T195" i="8"/>
  <c r="V195" i="8" s="1"/>
  <c r="T206" i="8"/>
  <c r="AL206" i="8" s="1"/>
  <c r="T393" i="8"/>
  <c r="V393" i="8" s="1"/>
  <c r="T53" i="8"/>
  <c r="V53" i="8" s="1"/>
  <c r="T199" i="8"/>
  <c r="T294" i="8"/>
  <c r="AL294" i="8" s="1"/>
  <c r="T11" i="8"/>
  <c r="T22" i="8"/>
  <c r="T17" i="8"/>
  <c r="T80" i="8"/>
  <c r="T128" i="8"/>
  <c r="AL128" i="8" s="1"/>
  <c r="T83" i="8"/>
  <c r="V83" i="8" s="1"/>
  <c r="T131" i="8"/>
  <c r="V131" i="8" s="1"/>
  <c r="T179" i="8"/>
  <c r="AL179" i="8" s="1"/>
  <c r="T229" i="8"/>
  <c r="V229" i="8" s="1"/>
  <c r="T212" i="8"/>
  <c r="V212" i="8" s="1"/>
  <c r="T109" i="8"/>
  <c r="T157" i="8"/>
  <c r="V157" i="8" s="1"/>
  <c r="T205" i="8"/>
  <c r="T94" i="8"/>
  <c r="T142" i="8"/>
  <c r="T190" i="8"/>
  <c r="AL190" i="8" s="1"/>
  <c r="T237" i="8"/>
  <c r="AL237" i="8" s="1"/>
  <c r="T257" i="8"/>
  <c r="AL257" i="8" s="1"/>
  <c r="T239" i="8"/>
  <c r="V239" i="8" s="1"/>
  <c r="T266" i="8"/>
  <c r="V266" i="8" s="1"/>
  <c r="T280" i="8"/>
  <c r="V280" i="8" s="1"/>
  <c r="T337" i="8"/>
  <c r="V337" i="8" s="1"/>
  <c r="T302" i="8"/>
  <c r="T335" i="8"/>
  <c r="V335" i="8" s="1"/>
  <c r="T292" i="8"/>
  <c r="T329" i="8"/>
  <c r="T357" i="8"/>
  <c r="V357" i="8" s="1"/>
  <c r="T356" i="8"/>
  <c r="AL356" i="8" s="1"/>
  <c r="T378" i="8"/>
  <c r="AL378" i="8" s="1"/>
  <c r="T387" i="8"/>
  <c r="AL387" i="8" s="1"/>
  <c r="T64" i="8"/>
  <c r="V64" i="8" s="1"/>
  <c r="T287" i="8"/>
  <c r="AL287" i="8" s="1"/>
  <c r="T151" i="8"/>
  <c r="AL151" i="8" s="1"/>
  <c r="T320" i="8"/>
  <c r="V320" i="8" s="1"/>
  <c r="T73" i="8"/>
  <c r="T7" i="8"/>
  <c r="AL7" i="8" s="1"/>
  <c r="T15" i="8"/>
  <c r="T21" i="8"/>
  <c r="T39" i="8"/>
  <c r="T23" i="8"/>
  <c r="AL23" i="8" s="1"/>
  <c r="T84" i="8"/>
  <c r="V84" i="8" s="1"/>
  <c r="T132" i="8"/>
  <c r="V132" i="8" s="1"/>
  <c r="T87" i="8"/>
  <c r="V87" i="8" s="1"/>
  <c r="T135" i="8"/>
  <c r="AL135" i="8" s="1"/>
  <c r="T183" i="8"/>
  <c r="V183" i="8" s="1"/>
  <c r="T233" i="8"/>
  <c r="AL233" i="8" s="1"/>
  <c r="T216" i="8"/>
  <c r="AL216" i="8" s="1"/>
  <c r="T113" i="8"/>
  <c r="V113" i="8" s="1"/>
  <c r="T161" i="8"/>
  <c r="T209" i="8"/>
  <c r="T98" i="8"/>
  <c r="T146" i="8"/>
  <c r="AL146" i="8" s="1"/>
  <c r="T194" i="8"/>
  <c r="V194" i="8" s="1"/>
  <c r="T240" i="8"/>
  <c r="AL240" i="8" s="1"/>
  <c r="T241" i="8"/>
  <c r="V241" i="8" s="1"/>
  <c r="T230" i="8"/>
  <c r="V230" i="8" s="1"/>
  <c r="T270" i="8"/>
  <c r="V270" i="8" s="1"/>
  <c r="T284" i="8"/>
  <c r="V284" i="8" s="1"/>
  <c r="T290" i="8"/>
  <c r="T306" i="8"/>
  <c r="AL306" i="8" s="1"/>
  <c r="T303" i="8"/>
  <c r="T296" i="8"/>
  <c r="T67" i="8"/>
  <c r="V67" i="8" s="1"/>
  <c r="T361" i="8"/>
  <c r="V361" i="8" s="1"/>
  <c r="T5" i="8"/>
  <c r="V5" i="8" s="1"/>
  <c r="T381" i="8"/>
  <c r="V381" i="8" s="1"/>
  <c r="T391" i="8"/>
  <c r="AL391" i="8" s="1"/>
  <c r="T99" i="8"/>
  <c r="AL99" i="8" s="1"/>
  <c r="T158" i="8"/>
  <c r="AL158" i="8" s="1"/>
  <c r="T338" i="8"/>
  <c r="T12" i="8"/>
  <c r="T100" i="8"/>
  <c r="V100" i="8" s="1"/>
  <c r="T275" i="8"/>
  <c r="T8" i="8"/>
  <c r="T32" i="8"/>
  <c r="T33" i="8"/>
  <c r="T40" i="8"/>
  <c r="V40" i="8" s="1"/>
  <c r="AI273" i="1"/>
  <c r="AB273" i="1" s="1"/>
  <c r="AE273" i="1" s="1"/>
  <c r="T20" i="8"/>
  <c r="V20" i="8" s="1"/>
  <c r="T88" i="8"/>
  <c r="AL88" i="8" s="1"/>
  <c r="T136" i="8"/>
  <c r="AL136" i="8" s="1"/>
  <c r="T91" i="8"/>
  <c r="V91" i="8" s="1"/>
  <c r="T139" i="8"/>
  <c r="T187" i="8"/>
  <c r="AL187" i="8" s="1"/>
  <c r="T172" i="8"/>
  <c r="T222" i="8"/>
  <c r="T117" i="8"/>
  <c r="T165" i="8"/>
  <c r="AL165" i="8" s="1"/>
  <c r="T213" i="8"/>
  <c r="AL213" i="8" s="1"/>
  <c r="T102" i="8"/>
  <c r="AL102" i="8" s="1"/>
  <c r="T150" i="8"/>
  <c r="AL150" i="8" s="1"/>
  <c r="T198" i="8"/>
  <c r="AL198" i="8" s="1"/>
  <c r="T252" i="8"/>
  <c r="AL252" i="8" s="1"/>
  <c r="T246" i="8"/>
  <c r="V246" i="8" s="1"/>
  <c r="T262" i="8"/>
  <c r="T278" i="8"/>
  <c r="AL278" i="8" s="1"/>
  <c r="T289" i="8"/>
  <c r="T310" i="8"/>
  <c r="T330" i="8"/>
  <c r="T315" i="8"/>
  <c r="V315" i="8" s="1"/>
  <c r="T308" i="8"/>
  <c r="V308" i="8" s="1"/>
  <c r="T339" i="8"/>
  <c r="AL339" i="8" s="1"/>
  <c r="T365" i="8"/>
  <c r="AL365" i="8" s="1"/>
  <c r="T217" i="8"/>
  <c r="V217" i="8" s="1"/>
  <c r="T383" i="8"/>
  <c r="V383" i="8" s="1"/>
  <c r="T392" i="8"/>
  <c r="AL392" i="8" s="1"/>
  <c r="T59" i="8"/>
  <c r="T96" i="8"/>
  <c r="V96" i="8" s="1"/>
  <c r="T234" i="8"/>
  <c r="T223" i="8"/>
  <c r="T242" i="8"/>
  <c r="T333" i="8"/>
  <c r="AL333" i="8" s="1"/>
  <c r="T316" i="8"/>
  <c r="V316" i="8" s="1"/>
  <c r="T36" i="8"/>
  <c r="V36" i="8" s="1"/>
  <c r="T148" i="8"/>
  <c r="AL148" i="8" s="1"/>
  <c r="T184" i="8"/>
  <c r="AL184" i="8" s="1"/>
  <c r="T162" i="8"/>
  <c r="AL162" i="8" s="1"/>
  <c r="T372" i="8"/>
  <c r="AL372" i="8" s="1"/>
  <c r="T28" i="8"/>
  <c r="T37" i="8"/>
  <c r="V37" i="8" s="1"/>
  <c r="AI735" i="1"/>
  <c r="AB735" i="1" s="1"/>
  <c r="T43" i="8"/>
  <c r="T62" i="8"/>
  <c r="T30" i="8"/>
  <c r="T27" i="8"/>
  <c r="V27" i="8" s="1"/>
  <c r="T51" i="8"/>
  <c r="V51" i="8" s="1"/>
  <c r="T48" i="8"/>
  <c r="V48" i="8" s="1"/>
  <c r="T26" i="8"/>
  <c r="V26" i="8" s="1"/>
  <c r="T65" i="8"/>
  <c r="V65" i="8" s="1"/>
  <c r="AI85" i="1"/>
  <c r="AB85" i="1" s="1"/>
  <c r="AC85" i="1" s="1"/>
  <c r="T69" i="8"/>
  <c r="T46" i="8"/>
  <c r="V46" i="8" s="1"/>
  <c r="T50" i="8"/>
  <c r="T13" i="8"/>
  <c r="T34" i="8"/>
  <c r="T57" i="8"/>
  <c r="V57" i="8" s="1"/>
  <c r="T41" i="8"/>
  <c r="V41" i="8" s="1"/>
  <c r="AI280" i="1"/>
  <c r="AB280" i="1" s="1"/>
  <c r="AC280" i="1" s="1"/>
  <c r="T14" i="8"/>
  <c r="AL14" i="8" s="1"/>
  <c r="T92" i="8"/>
  <c r="AL92" i="8" s="1"/>
  <c r="T140" i="8"/>
  <c r="AL140" i="8" s="1"/>
  <c r="T95" i="8"/>
  <c r="V95" i="8" s="1"/>
  <c r="T143" i="8"/>
  <c r="T191" i="8"/>
  <c r="AL191" i="8" s="1"/>
  <c r="T176" i="8"/>
  <c r="T226" i="8"/>
  <c r="T121" i="8"/>
  <c r="T169" i="8"/>
  <c r="V169" i="8" s="1"/>
  <c r="T218" i="8"/>
  <c r="AL218" i="8" s="1"/>
  <c r="T106" i="8"/>
  <c r="V106" i="8" s="1"/>
  <c r="T154" i="8"/>
  <c r="AL154" i="8" s="1"/>
  <c r="T202" i="8"/>
  <c r="AL202" i="8" s="1"/>
  <c r="T260" i="8"/>
  <c r="AL260" i="8" s="1"/>
  <c r="T250" i="8"/>
  <c r="T261" i="8"/>
  <c r="T274" i="8"/>
  <c r="AL274" i="8" s="1"/>
  <c r="T297" i="8"/>
  <c r="V297" i="8" s="1"/>
  <c r="T322" i="8"/>
  <c r="AL322" i="8" s="1"/>
  <c r="T342" i="8"/>
  <c r="AL342" i="8" s="1"/>
  <c r="T319" i="8"/>
  <c r="AL319" i="8" s="1"/>
  <c r="T312" i="8"/>
  <c r="AL312" i="8" s="1"/>
  <c r="T344" i="8"/>
  <c r="AL344" i="8" s="1"/>
  <c r="T354" i="8"/>
  <c r="AL354" i="8" s="1"/>
  <c r="T373" i="8"/>
  <c r="AL373" i="8" s="1"/>
  <c r="T377" i="8"/>
  <c r="V377" i="8" s="1"/>
  <c r="T386" i="8"/>
  <c r="AL386" i="8" s="1"/>
  <c r="AL369" i="8"/>
  <c r="AM369" i="8" s="1"/>
  <c r="AL370" i="8"/>
  <c r="V358" i="8"/>
  <c r="AL358" i="8"/>
  <c r="AL355" i="8"/>
  <c r="V360" i="8"/>
  <c r="AL360" i="8"/>
  <c r="AL364" i="8"/>
  <c r="V363" i="8"/>
  <c r="AL363" i="8"/>
  <c r="V346" i="8"/>
  <c r="AL346" i="8"/>
  <c r="AL347" i="8"/>
  <c r="V347" i="8"/>
  <c r="V351" i="8"/>
  <c r="V322" i="8"/>
  <c r="V341" i="8"/>
  <c r="AL341" i="8"/>
  <c r="V293" i="8"/>
  <c r="AL293" i="8"/>
  <c r="V314" i="8"/>
  <c r="AL314" i="8"/>
  <c r="V331" i="8"/>
  <c r="AL331" i="8"/>
  <c r="AL305" i="8"/>
  <c r="V305" i="8"/>
  <c r="V326" i="8"/>
  <c r="AL326" i="8"/>
  <c r="V299" i="8"/>
  <c r="AL299" i="8"/>
  <c r="V352" i="8"/>
  <c r="AL352" i="8"/>
  <c r="AL336" i="8"/>
  <c r="V336" i="8"/>
  <c r="AL285" i="8"/>
  <c r="V285" i="8"/>
  <c r="V283" i="8"/>
  <c r="V340" i="8"/>
  <c r="AL340" i="8"/>
  <c r="V317" i="8"/>
  <c r="AL317" i="8"/>
  <c r="V303" i="8"/>
  <c r="AL303" i="8"/>
  <c r="V292" i="8"/>
  <c r="AL292" i="8"/>
  <c r="V329" i="8"/>
  <c r="AL329" i="8"/>
  <c r="V289" i="8"/>
  <c r="AL289" i="8"/>
  <c r="AL310" i="8"/>
  <c r="V310" i="8"/>
  <c r="V330" i="8"/>
  <c r="AL330" i="8"/>
  <c r="AL296" i="8"/>
  <c r="V296" i="8"/>
  <c r="AL280" i="8"/>
  <c r="AL275" i="8"/>
  <c r="V275" i="8"/>
  <c r="V277" i="8"/>
  <c r="AL277" i="8"/>
  <c r="V263" i="8"/>
  <c r="V260" i="8"/>
  <c r="V242" i="8"/>
  <c r="AL242" i="8"/>
  <c r="V249" i="8"/>
  <c r="V252" i="8"/>
  <c r="V209" i="8"/>
  <c r="AL209" i="8"/>
  <c r="AL98" i="8"/>
  <c r="V98" i="8"/>
  <c r="V176" i="8"/>
  <c r="AL176" i="8"/>
  <c r="AL226" i="8"/>
  <c r="V226" i="8"/>
  <c r="AL117" i="8"/>
  <c r="V117" i="8"/>
  <c r="AL121" i="8"/>
  <c r="V121" i="8"/>
  <c r="V151" i="8"/>
  <c r="AL234" i="8"/>
  <c r="V234" i="8"/>
  <c r="AL125" i="8"/>
  <c r="V125" i="8"/>
  <c r="AL223" i="8"/>
  <c r="V223" i="8"/>
  <c r="AL144" i="8"/>
  <c r="V144" i="8"/>
  <c r="AL183" i="8"/>
  <c r="AL172" i="8"/>
  <c r="V172" i="8"/>
  <c r="AL222" i="8"/>
  <c r="V222" i="8"/>
  <c r="AL113" i="8"/>
  <c r="V161" i="8"/>
  <c r="AL161" i="8"/>
  <c r="V203" i="8"/>
  <c r="AL203" i="8"/>
  <c r="V188" i="8"/>
  <c r="AL188" i="8"/>
  <c r="V162" i="8"/>
  <c r="AL85" i="8"/>
  <c r="V85" i="8"/>
  <c r="AL133" i="8"/>
  <c r="V133" i="8"/>
  <c r="AL181" i="8"/>
  <c r="AL160" i="8"/>
  <c r="V160" i="8"/>
  <c r="AL211" i="8"/>
  <c r="V196" i="8"/>
  <c r="AL196" i="8"/>
  <c r="AL185" i="8"/>
  <c r="V185" i="8"/>
  <c r="V235" i="8"/>
  <c r="AL235" i="8"/>
  <c r="V122" i="8"/>
  <c r="AL122" i="8"/>
  <c r="V170" i="8"/>
  <c r="V116" i="8"/>
  <c r="AL116" i="8"/>
  <c r="AL93" i="8"/>
  <c r="V93" i="8"/>
  <c r="AL141" i="8"/>
  <c r="V141" i="8"/>
  <c r="V189" i="8"/>
  <c r="AL189" i="8"/>
  <c r="V120" i="8"/>
  <c r="AL120" i="8"/>
  <c r="AL168" i="8"/>
  <c r="V168" i="8"/>
  <c r="V82" i="8"/>
  <c r="AL82" i="8"/>
  <c r="V130" i="8"/>
  <c r="AL130" i="8"/>
  <c r="AL178" i="8"/>
  <c r="V178" i="8"/>
  <c r="AL228" i="8"/>
  <c r="V228" i="8"/>
  <c r="AL225" i="8"/>
  <c r="V134" i="8"/>
  <c r="AL134" i="8"/>
  <c r="AL182" i="8"/>
  <c r="V182" i="8"/>
  <c r="V232" i="8"/>
  <c r="AL232" i="8"/>
  <c r="AL80" i="8"/>
  <c r="V80" i="8"/>
  <c r="AL201" i="8"/>
  <c r="V201" i="8"/>
  <c r="V90" i="8"/>
  <c r="AL90" i="8"/>
  <c r="V138" i="8"/>
  <c r="AL138" i="8"/>
  <c r="AL186" i="8"/>
  <c r="V186" i="8"/>
  <c r="AL205" i="8"/>
  <c r="V205" i="8"/>
  <c r="V94" i="8"/>
  <c r="AL94" i="8"/>
  <c r="V142" i="8"/>
  <c r="AL142" i="8"/>
  <c r="V190" i="8"/>
  <c r="V76" i="8"/>
  <c r="AL76" i="8"/>
  <c r="AL70" i="8"/>
  <c r="V70" i="8"/>
  <c r="V77" i="8"/>
  <c r="V4" i="8"/>
  <c r="AL4" i="8"/>
  <c r="V24" i="8"/>
  <c r="V8" i="8"/>
  <c r="AL8" i="8"/>
  <c r="V19" i="8"/>
  <c r="AL19" i="8"/>
  <c r="V23" i="8"/>
  <c r="V22" i="8"/>
  <c r="AL21" i="8"/>
  <c r="V21" i="8"/>
  <c r="AC735" i="1"/>
  <c r="AE735" i="1"/>
  <c r="AC67" i="1"/>
  <c r="AE67" i="1"/>
  <c r="V42" i="8"/>
  <c r="V63" i="8"/>
  <c r="V49" i="8"/>
  <c r="V9" i="8"/>
  <c r="V39" i="8"/>
  <c r="V62" i="8"/>
  <c r="V38" i="8"/>
  <c r="V13" i="8"/>
  <c r="V30" i="8"/>
  <c r="V44" i="8"/>
  <c r="AL15" i="8"/>
  <c r="AE328" i="1"/>
  <c r="AC328" i="1"/>
  <c r="AE337" i="1"/>
  <c r="AC277" i="1"/>
  <c r="AE277" i="1"/>
  <c r="AC293" i="1"/>
  <c r="AE293" i="1"/>
  <c r="V17" i="8"/>
  <c r="AL17" i="8"/>
  <c r="AL22" i="8"/>
  <c r="V50" i="8"/>
  <c r="AL13" i="8"/>
  <c r="V58" i="8"/>
  <c r="V29" i="8"/>
  <c r="V71" i="8"/>
  <c r="V15" i="8"/>
  <c r="V55" i="8"/>
  <c r="V34" i="8"/>
  <c r="V33" i="8"/>
  <c r="V32" i="8"/>
  <c r="V74" i="8"/>
  <c r="V35" i="8"/>
  <c r="V43" i="8"/>
  <c r="V11" i="8"/>
  <c r="AL11" i="8"/>
  <c r="V47" i="8"/>
  <c r="AA121" i="1"/>
  <c r="AA505" i="1"/>
  <c r="AA636" i="1"/>
  <c r="AA448" i="1"/>
  <c r="AA551" i="1"/>
  <c r="AI696" i="1" a="1"/>
  <c r="AA756" i="1"/>
  <c r="U291" i="8" a="1"/>
  <c r="U362" i="8" a="1"/>
  <c r="U34" i="8" a="1"/>
  <c r="AA89" i="1"/>
  <c r="AH591" i="1" a="1"/>
  <c r="AA471" i="1"/>
  <c r="AA489" i="1"/>
  <c r="U336" i="8" a="1"/>
  <c r="U72" i="8" a="1"/>
  <c r="U261" i="8" a="1"/>
  <c r="U240" i="8" a="1"/>
  <c r="AA645" i="1"/>
  <c r="AA672" i="1"/>
  <c r="U345" i="8" a="1"/>
  <c r="AA529" i="1"/>
  <c r="AA627" i="1"/>
  <c r="AA295" i="1"/>
  <c r="AA79" i="1"/>
  <c r="AA730" i="1"/>
  <c r="U185" i="8" a="1"/>
  <c r="AA652" i="1"/>
  <c r="U346" i="8" a="1"/>
  <c r="U273" i="8" a="1"/>
  <c r="AA239" i="1"/>
  <c r="U366" i="8" a="1"/>
  <c r="AA656" i="1"/>
  <c r="U389" i="8" a="1"/>
  <c r="U288" i="8" a="1"/>
  <c r="AA661" i="1"/>
  <c r="U390" i="8" a="1"/>
  <c r="AA663" i="1"/>
  <c r="AA604" i="1"/>
  <c r="AI668" i="1" a="1"/>
  <c r="U259" i="8" a="1"/>
  <c r="U381" i="8" a="1"/>
  <c r="AA211" i="1"/>
  <c r="AA690" i="1"/>
  <c r="AH585" i="1" a="1"/>
  <c r="U249" i="8" a="1"/>
  <c r="AA749" i="1"/>
  <c r="AH667" i="1" a="1"/>
  <c r="U386" i="8" a="1"/>
  <c r="U332" i="8" a="1"/>
  <c r="AA666" i="1"/>
  <c r="AA677" i="1"/>
  <c r="AI618" i="1" a="1"/>
  <c r="U177" i="8" a="1"/>
  <c r="AA129" i="1"/>
  <c r="AA460" i="1"/>
  <c r="AA718" i="1"/>
  <c r="U357" i="8" a="1"/>
  <c r="U208" i="8" a="1"/>
  <c r="AA366" i="1"/>
  <c r="AH612" i="1" a="1"/>
  <c r="AA558" i="1"/>
  <c r="AA181" i="1"/>
  <c r="U76" i="8" a="1"/>
  <c r="AA389" i="1"/>
  <c r="AA433" i="1"/>
  <c r="AA455" i="1"/>
  <c r="U62" i="8" a="1"/>
  <c r="AI566" i="1" a="1"/>
  <c r="U47" i="8" a="1"/>
  <c r="U206" i="8" a="1"/>
  <c r="AI595" i="1" a="1"/>
  <c r="AI582" i="1" a="1"/>
  <c r="AA530" i="1"/>
  <c r="U81" i="8" a="1"/>
  <c r="AA168" i="1"/>
  <c r="U63" i="8" a="1"/>
  <c r="AA415" i="1"/>
  <c r="AI596" i="1" a="1"/>
  <c r="AA535" i="1"/>
  <c r="U175" i="8" a="1"/>
  <c r="AH596" i="1" a="1"/>
  <c r="U292" i="8" a="1"/>
  <c r="AA300" i="1"/>
  <c r="U233" i="8" a="1"/>
  <c r="AH645" i="1" a="1"/>
  <c r="AA270" i="1"/>
  <c r="AA439" i="1"/>
  <c r="AA425" i="1"/>
  <c r="AA172" i="1"/>
  <c r="U31" i="8" a="1"/>
  <c r="AA608" i="1"/>
  <c r="U282" i="8" a="1"/>
  <c r="U148" i="8" a="1"/>
  <c r="U391" i="8" a="1"/>
  <c r="U280" i="8" a="1"/>
  <c r="AA696" i="1"/>
  <c r="U365" i="8" a="1"/>
  <c r="AH214" i="1" a="1"/>
  <c r="AA575" i="1"/>
  <c r="U350" i="8" a="1"/>
  <c r="AA589" i="1"/>
  <c r="AA192" i="1"/>
  <c r="AI646" i="1" a="1"/>
  <c r="AA702" i="1"/>
  <c r="U342" i="8" a="1"/>
  <c r="AA605" i="1"/>
  <c r="AA54" i="1"/>
  <c r="AI674" i="1" a="1"/>
  <c r="AA341" i="1"/>
  <c r="U283" i="8" a="1"/>
  <c r="AA616" i="1"/>
  <c r="AA676" i="1"/>
  <c r="U92" i="8" a="1"/>
  <c r="AH764" i="1" a="1"/>
  <c r="U284" i="8" a="1"/>
  <c r="U199" i="8" a="1"/>
  <c r="U205" i="8" a="1"/>
  <c r="AA83" i="1"/>
  <c r="AA538" i="1"/>
  <c r="AA244" i="1"/>
  <c r="U133" i="8" a="1"/>
  <c r="AH604" i="1" a="1"/>
  <c r="AA418" i="1"/>
  <c r="AA717" i="1"/>
  <c r="AA436" i="1"/>
  <c r="U147" i="8" a="1"/>
  <c r="AA628" i="1"/>
  <c r="U29" i="8" a="1"/>
  <c r="AA48" i="1"/>
  <c r="U105" i="8" a="1"/>
  <c r="AA294" i="1"/>
  <c r="AA148" i="1"/>
  <c r="U385" i="8" a="1"/>
  <c r="AA640" i="1"/>
  <c r="AA534" i="1"/>
  <c r="AH602" i="1" a="1"/>
  <c r="AH567" i="1" a="1"/>
  <c r="AA547" i="1"/>
  <c r="AA110" i="1"/>
  <c r="AA438" i="1"/>
  <c r="AI608" i="1" a="1"/>
  <c r="AA724" i="1"/>
  <c r="U155" i="8" a="1"/>
  <c r="AH608" i="1" a="1"/>
  <c r="AA541" i="1"/>
  <c r="U211" i="8" a="1"/>
  <c r="U149" i="8" a="1"/>
  <c r="U97" i="8" a="1"/>
  <c r="U24" i="8" a="1"/>
  <c r="AA511" i="1"/>
  <c r="AI226" i="1" a="1"/>
  <c r="AI339" i="1" a="1"/>
  <c r="AA435" i="1"/>
  <c r="AA532" i="1"/>
  <c r="U71" i="8" a="1"/>
  <c r="AI613" i="1" a="1"/>
  <c r="AA93" i="1"/>
  <c r="AA348" i="1"/>
  <c r="AA598" i="1"/>
  <c r="AA507" i="1"/>
  <c r="AH652" i="1" a="1"/>
  <c r="U141" i="8" a="1"/>
  <c r="AA521" i="1"/>
  <c r="U314" i="8" a="1"/>
  <c r="AA599" i="1"/>
  <c r="U180" i="8" a="1"/>
  <c r="U290" i="8" a="1"/>
  <c r="AA699" i="1"/>
  <c r="U306" i="8" a="1"/>
  <c r="U349" i="8" a="1"/>
  <c r="AA618" i="1"/>
  <c r="AA179" i="1"/>
  <c r="AA385" i="1"/>
  <c r="AA314" i="1"/>
  <c r="AA180" i="1"/>
  <c r="AA361" i="1"/>
  <c r="AH296" i="1" a="1"/>
  <c r="AA376" i="1"/>
  <c r="AA340" i="1"/>
  <c r="U213" i="8" a="1"/>
  <c r="U304" i="8" a="1"/>
  <c r="AH696" i="1" a="1"/>
  <c r="U172" i="8" a="1"/>
  <c r="AA660" i="1"/>
  <c r="AA664" i="1"/>
  <c r="AI589" i="1" a="1"/>
  <c r="AH239" i="1" a="1"/>
  <c r="AA352" i="1"/>
  <c r="AA214" i="1"/>
  <c r="U246" i="8" a="1"/>
  <c r="U325" i="8" a="1"/>
  <c r="AA477" i="1"/>
  <c r="AA520" i="1"/>
  <c r="U210" i="8" a="1"/>
  <c r="U215" i="8" a="1"/>
  <c r="AA542" i="1"/>
  <c r="AH595" i="1" a="1"/>
  <c r="AA370" i="1"/>
  <c r="AA485" i="1"/>
  <c r="AA546" i="1"/>
  <c r="AA729" i="1"/>
  <c r="AH170" i="1" a="1"/>
  <c r="AA269" i="1"/>
  <c r="AH582" i="1" a="1"/>
  <c r="U183" i="8" a="1"/>
  <c r="AA423" i="1"/>
  <c r="U204" i="8" a="1"/>
  <c r="AA298" i="1"/>
  <c r="AA130" i="1"/>
  <c r="AH39" i="1" a="1"/>
  <c r="U51" i="8" a="1"/>
  <c r="AA424" i="1"/>
  <c r="AA379" i="1"/>
  <c r="U219" i="8" a="1"/>
  <c r="AA153" i="1"/>
  <c r="AH593" i="1" a="1"/>
  <c r="AA213" i="1"/>
  <c r="AA202" i="1"/>
  <c r="AI239" i="1" a="1"/>
  <c r="U269" i="8" a="1"/>
  <c r="AI352" i="1" a="1"/>
  <c r="AA139" i="1"/>
  <c r="AI313" i="1" a="1"/>
  <c r="AA81" i="1"/>
  <c r="AA393" i="1"/>
  <c r="AA738" i="1"/>
  <c r="U54" i="8" a="1"/>
  <c r="AA207" i="1"/>
  <c r="U100" i="8" a="1"/>
  <c r="AA381" i="1"/>
  <c r="AH697" i="1" a="1"/>
  <c r="AA587" i="1"/>
  <c r="AA601" i="1"/>
  <c r="U265" i="8" a="1"/>
  <c r="U341" i="8" a="1"/>
  <c r="AI601" i="1" a="1"/>
  <c r="AA39" i="1"/>
  <c r="AA667" i="1"/>
  <c r="AA442" i="1"/>
  <c r="U310" i="8" a="1"/>
  <c r="AI633" i="1" a="1"/>
  <c r="AA536" i="1"/>
  <c r="U166" i="8" a="1"/>
  <c r="U197" i="8" a="1"/>
  <c r="AA303" i="1"/>
  <c r="AI43" i="1" a="1"/>
  <c r="U56" i="8" a="1"/>
  <c r="U179" i="8" a="1"/>
  <c r="AI692" i="1" a="1"/>
  <c r="AA446" i="1"/>
  <c r="U309" i="8" a="1"/>
  <c r="AA555" i="1"/>
  <c r="AH311" i="1" a="1"/>
  <c r="AA399" i="1"/>
  <c r="AA476" i="1"/>
  <c r="AH691" i="1" a="1"/>
  <c r="AA150" i="1"/>
  <c r="AA709" i="1"/>
  <c r="AA510" i="1"/>
  <c r="U75" i="8" a="1"/>
  <c r="AA463" i="1"/>
  <c r="AA410" i="1"/>
  <c r="U130" i="8" a="1"/>
  <c r="AA496" i="1"/>
  <c r="AA75" i="1"/>
  <c r="AA492" i="1"/>
  <c r="AI702" i="1" a="1"/>
  <c r="U243" i="8" a="1"/>
  <c r="AA644" i="1"/>
  <c r="U232" i="8" a="1"/>
  <c r="AA101" i="1"/>
  <c r="AA466" i="1"/>
  <c r="U170" i="8" a="1"/>
  <c r="AA331" i="1"/>
  <c r="AI87" i="1" a="1"/>
  <c r="AA397" i="1"/>
  <c r="AA585" i="1"/>
  <c r="U146" i="8" a="1"/>
  <c r="U321" i="8" a="1"/>
  <c r="AA197" i="1"/>
  <c r="AA339" i="1"/>
  <c r="AA383" i="1"/>
  <c r="AI670" i="1" a="1"/>
  <c r="U338" i="8" a="1"/>
  <c r="AH665" i="1" a="1"/>
  <c r="U368" i="8" a="1"/>
  <c r="AA639" i="1"/>
  <c r="U255" i="8" a="1"/>
  <c r="AA624" i="1"/>
  <c r="U10" i="8" a="1"/>
  <c r="U236" i="8" a="1"/>
  <c r="AA590" i="1"/>
  <c r="U308" i="8" a="1"/>
  <c r="AA537" i="1"/>
  <c r="U64" i="8" a="1"/>
  <c r="AA622" i="1"/>
  <c r="U181" i="8" a="1"/>
  <c r="AI311" i="1" a="1"/>
  <c r="U163" i="8" a="1"/>
  <c r="AH103" i="1" a="1"/>
  <c r="AA722" i="1"/>
  <c r="AA374" i="1"/>
  <c r="AA480" i="1"/>
  <c r="AA417" i="1"/>
  <c r="AA97" i="1"/>
  <c r="U49" i="8" a="1"/>
  <c r="AA279" i="1"/>
  <c r="AA726" i="1"/>
  <c r="AA731" i="1"/>
  <c r="AI296" i="1" a="1"/>
  <c r="U324" i="8" a="1"/>
  <c r="AA651" i="1"/>
  <c r="AA318" i="1"/>
  <c r="AA100" i="1"/>
  <c r="AA174" i="1"/>
  <c r="AA403" i="1"/>
  <c r="AI587" i="1" a="1"/>
  <c r="AA289" i="1"/>
  <c r="AA304" i="1"/>
  <c r="AA683" i="1"/>
  <c r="U218" i="8" a="1"/>
  <c r="AA206" i="1"/>
  <c r="U298" i="8" a="1"/>
  <c r="AA611" i="1"/>
  <c r="U360" i="8" a="1"/>
  <c r="AA343" i="1"/>
  <c r="AA613" i="1"/>
  <c r="U348" i="8" a="1"/>
  <c r="AA565" i="1"/>
  <c r="AI756" i="1" a="1"/>
  <c r="AA345" i="1"/>
  <c r="AA764" i="1"/>
  <c r="AI224" i="1" a="1"/>
  <c r="AA336" i="1"/>
  <c r="U371" i="8" a="1"/>
  <c r="U289" i="8" a="1"/>
  <c r="AA674" i="1"/>
  <c r="AA409" i="1"/>
  <c r="U67" i="8" a="1"/>
  <c r="U257" i="8" a="1"/>
  <c r="AA234" i="1"/>
  <c r="AA427" i="1"/>
  <c r="U202" i="8" a="1"/>
  <c r="AH226" i="1" a="1"/>
  <c r="AA142" i="1"/>
  <c r="U159" i="8" a="1"/>
  <c r="U145" i="8" a="1"/>
  <c r="AA498" i="1"/>
  <c r="AA124" i="1"/>
  <c r="U3" i="8" a="1"/>
  <c r="AA178" i="1"/>
  <c r="AA245" i="1"/>
  <c r="U21" i="8" a="1"/>
  <c r="U363" i="8" a="1"/>
  <c r="U30" i="8" a="1"/>
  <c r="AH644" i="1" a="1"/>
  <c r="U157" i="8" a="1"/>
  <c r="AA237" i="1"/>
  <c r="U124" i="8" a="1"/>
  <c r="U168" i="8" a="1"/>
  <c r="AI592" i="1" a="1"/>
  <c r="AI605" i="1" a="1"/>
  <c r="AI691" i="1" a="1"/>
  <c r="AA594" i="1"/>
  <c r="U253" i="8" a="1"/>
  <c r="U352" i="8" a="1"/>
  <c r="AI259" i="1" a="1"/>
  <c r="AA668" i="1"/>
  <c r="AA193" i="1"/>
  <c r="U271" i="8" a="1"/>
  <c r="AI665" i="1" a="1"/>
  <c r="U272" i="8" a="1"/>
  <c r="U296" i="8" a="1"/>
  <c r="AI639" i="1" a="1"/>
  <c r="AA430" i="1"/>
  <c r="U375" i="8" a="1"/>
  <c r="AH614" i="1" a="1"/>
  <c r="AI336" i="1" a="1"/>
  <c r="AA491" i="1"/>
  <c r="AA125" i="1"/>
  <c r="AA391" i="1"/>
  <c r="U101" i="8" a="1"/>
  <c r="AA382" i="1"/>
  <c r="AA375" i="1"/>
  <c r="AA543" i="1"/>
  <c r="AA539" i="1"/>
  <c r="U12" i="8" a="1"/>
  <c r="AI568" i="1" a="1"/>
  <c r="AA122" i="1"/>
  <c r="AA606" i="1"/>
  <c r="AH681" i="1" a="1"/>
  <c r="AI585" i="1" a="1"/>
  <c r="U241" i="8" a="1"/>
  <c r="U14" i="8" a="1"/>
  <c r="U395" i="8" a="1"/>
  <c r="AI697" i="1" a="1"/>
  <c r="AA617" i="1"/>
  <c r="U343" i="8" a="1"/>
  <c r="U169" i="8" a="1"/>
  <c r="AH613" i="1" a="1"/>
  <c r="AA274" i="1"/>
  <c r="AA626" i="1"/>
  <c r="AA232" i="1"/>
  <c r="AA414" i="1"/>
  <c r="U167" i="8" a="1"/>
  <c r="AA544" i="1"/>
  <c r="AA338" i="1"/>
  <c r="U281" i="8" a="1"/>
  <c r="AA706" i="1"/>
  <c r="U120" i="8" a="1"/>
  <c r="AA199" i="1"/>
  <c r="AI61" i="1" a="1"/>
  <c r="AA347" i="1"/>
  <c r="AH575" i="1" a="1"/>
  <c r="AA228" i="1"/>
  <c r="AA161" i="1"/>
  <c r="AA49" i="1"/>
  <c r="AI630" i="1" a="1"/>
  <c r="AA357" i="1"/>
  <c r="AH565" i="1" a="1"/>
  <c r="U57" i="8" a="1"/>
  <c r="AA493" i="1"/>
  <c r="AA486" i="1"/>
  <c r="U300" i="8" a="1"/>
  <c r="AA727" i="1"/>
  <c r="AI598" i="1" a="1"/>
  <c r="AH588" i="1" a="1"/>
  <c r="AI642" i="1" a="1"/>
  <c r="AA353" i="1"/>
  <c r="AI667" i="1" a="1"/>
  <c r="AA404" i="1"/>
  <c r="AA109" i="1"/>
  <c r="AA319" i="1"/>
  <c r="AA387" i="1"/>
  <c r="U195" i="8" a="1"/>
  <c r="AA131" i="1"/>
  <c r="AA441" i="1"/>
  <c r="AA432" i="1"/>
  <c r="AH594" i="1" a="1"/>
  <c r="U129" i="8" a="1"/>
  <c r="AA540" i="1"/>
  <c r="AA198" i="1"/>
  <c r="AA576" i="1"/>
  <c r="AI214" i="1" a="1"/>
  <c r="AH690" i="1" a="1"/>
  <c r="AA77" i="1"/>
  <c r="AH668" i="1" a="1"/>
  <c r="AA700" i="1"/>
  <c r="AA203" i="1"/>
  <c r="AA43" i="1"/>
  <c r="AH670" i="1" a="1"/>
  <c r="U303" i="8" a="1"/>
  <c r="AA411" i="1"/>
  <c r="U373" i="8" a="1"/>
  <c r="AA363" i="1"/>
  <c r="AA335" i="1"/>
  <c r="AA364" i="1"/>
  <c r="U235" i="8" a="1"/>
  <c r="U212" i="8" a="1"/>
  <c r="AA99" i="1"/>
  <c r="AA60" i="1"/>
  <c r="AA429" i="1"/>
  <c r="U142" i="8" a="1"/>
  <c r="U274" i="8" a="1"/>
  <c r="U13" i="8" a="1"/>
  <c r="AI638" i="1" a="1"/>
  <c r="AA169" i="1"/>
  <c r="AH610" i="1" a="1"/>
  <c r="AA481" i="1"/>
  <c r="U50" i="8" a="1"/>
  <c r="U247" i="8" a="1"/>
  <c r="AA82" i="1"/>
  <c r="AA526" i="1"/>
  <c r="AA322" i="1"/>
  <c r="AA567" i="1"/>
  <c r="U256" i="8" a="1"/>
  <c r="AI685" i="1" a="1"/>
  <c r="U367" i="8" a="1"/>
  <c r="U104" i="8" a="1"/>
  <c r="U245" i="8" a="1"/>
  <c r="U337" i="8" a="1"/>
  <c r="U260" i="8" a="1"/>
  <c r="U305" i="8" a="1"/>
  <c r="U319" i="8" a="1"/>
  <c r="U358" i="8" a="1"/>
  <c r="AA344" i="1"/>
  <c r="U191" i="8" a="1"/>
  <c r="AA155" i="1"/>
  <c r="AA685" i="1"/>
  <c r="U158" i="8" a="1"/>
  <c r="U89" i="8" a="1"/>
  <c r="AI666" i="1" a="1"/>
  <c r="AA114" i="1"/>
  <c r="AA721" i="1"/>
  <c r="AI615" i="1" a="1"/>
  <c r="U122" i="8" a="1"/>
  <c r="AI610" i="1" a="1"/>
  <c r="U94" i="8" a="1"/>
  <c r="AA452" i="1"/>
  <c r="AA66" i="1"/>
  <c r="U70" i="8" a="1"/>
  <c r="U132" i="8" a="1"/>
  <c r="U111" i="8" a="1"/>
  <c r="AA451" i="1"/>
  <c r="AA653" i="1"/>
  <c r="AA504" i="1"/>
  <c r="AI645" i="1" a="1"/>
  <c r="AA186" i="1"/>
  <c r="AA380" i="1"/>
  <c r="U36" i="8" a="1"/>
  <c r="AI103" i="1" a="1"/>
  <c r="AI577" i="1" a="1"/>
  <c r="AH61" i="1" a="1"/>
  <c r="U356" i="8" a="1"/>
  <c r="U135" i="8" a="1"/>
  <c r="AA623" i="1"/>
  <c r="AA301" i="1"/>
  <c r="AA657" i="1"/>
  <c r="AH756" i="1" a="1"/>
  <c r="AA673" i="1"/>
  <c r="AA327" i="1"/>
  <c r="U237" i="8" a="1"/>
  <c r="AA351" i="1"/>
  <c r="U228" i="8" a="1"/>
  <c r="AA458" i="1"/>
  <c r="AA621" i="1"/>
  <c r="AA658" i="1"/>
  <c r="AA283" i="1"/>
  <c r="U4" i="8" a="1"/>
  <c r="U344" i="8" a="1"/>
  <c r="AA46" i="1"/>
  <c r="U287" i="8" a="1"/>
  <c r="AA305" i="1"/>
  <c r="U41" i="8" a="1"/>
  <c r="AA365" i="1"/>
  <c r="AH603" i="1" a="1"/>
  <c r="U152" i="8" a="1"/>
  <c r="AA631" i="1"/>
  <c r="U312" i="8" a="1"/>
  <c r="U244" i="8" a="1"/>
  <c r="AA596" i="1"/>
  <c r="U339" i="8" a="1"/>
  <c r="U95" i="8" a="1"/>
  <c r="AA196" i="1"/>
  <c r="AA574" i="1"/>
  <c r="U88" i="8" a="1"/>
  <c r="AA260" i="1"/>
  <c r="AA165" i="1"/>
  <c r="U396" i="8" a="1"/>
  <c r="U327" i="8" a="1"/>
  <c r="U106" i="8" a="1"/>
  <c r="U361" i="8" a="1"/>
  <c r="AA164" i="1"/>
  <c r="AA201" i="1"/>
  <c r="U316" i="8" a="1"/>
  <c r="U154" i="8" a="1"/>
  <c r="AI575" i="1" a="1"/>
  <c r="AA166" i="1"/>
  <c r="U217" i="8" a="1"/>
  <c r="AI341" i="1" a="1"/>
  <c r="AA568" i="1"/>
  <c r="U293" i="8" a="1"/>
  <c r="U252" i="8" a="1"/>
  <c r="U126" i="8" a="1"/>
  <c r="AH43" i="1" a="1"/>
  <c r="AA523" i="1"/>
  <c r="AA593" i="1"/>
  <c r="U173" i="8" a="1"/>
  <c r="AI652" i="1" a="1"/>
  <c r="U227" i="8" a="1"/>
  <c r="AA123" i="1"/>
  <c r="AA354" i="1"/>
  <c r="AA346" i="1"/>
  <c r="AI612" i="1" a="1"/>
  <c r="AA359" i="1"/>
  <c r="U59" i="8" a="1"/>
  <c r="AA465" i="1"/>
  <c r="AA509" i="1"/>
  <c r="AA134" i="1"/>
  <c r="AA189" i="1"/>
  <c r="AA400" i="1"/>
  <c r="AI602" i="1" a="1"/>
  <c r="AA137" i="1"/>
  <c r="AA678" i="1"/>
  <c r="AA368" i="1"/>
  <c r="AA324" i="1"/>
  <c r="U313" i="8" a="1"/>
  <c r="U138" i="8" a="1"/>
  <c r="AA333" i="1"/>
  <c r="U320" i="8" a="1"/>
  <c r="AA44" i="1"/>
  <c r="AA334" i="1"/>
  <c r="U110" i="8" a="1"/>
  <c r="U85" i="8" a="1"/>
  <c r="U162" i="8" a="1"/>
  <c r="AA619" i="1"/>
  <c r="AA497" i="1"/>
  <c r="U201" i="8" a="1"/>
  <c r="U25" i="8" a="1"/>
  <c r="AA479" i="1"/>
  <c r="U68" i="8" a="1"/>
  <c r="AI763" i="1" a="1"/>
  <c r="AA662" i="1"/>
  <c r="AA603" i="1"/>
  <c r="U370" i="8" a="1"/>
  <c r="U270" i="8" a="1"/>
  <c r="AA615" i="1"/>
  <c r="AH685" i="1" a="1"/>
  <c r="AH577" i="1" a="1"/>
  <c r="AA614" i="1"/>
  <c r="U331" i="8" a="1"/>
  <c r="AA681" i="1"/>
  <c r="AI281" i="1" a="1"/>
  <c r="U221" i="8" a="1"/>
  <c r="AA204" i="1"/>
  <c r="U268" i="8" a="1"/>
  <c r="AA281" i="1"/>
  <c r="AI689" i="1" a="1"/>
  <c r="AA162" i="1"/>
  <c r="U379" i="8" a="1"/>
  <c r="U278" i="8" a="1"/>
  <c r="U394" i="8" a="1"/>
  <c r="U326" i="8" a="1"/>
  <c r="U144" i="8" a="1"/>
  <c r="U364" i="8" a="1"/>
  <c r="AA315" i="1"/>
  <c r="AA392" i="1"/>
  <c r="AH599" i="1" a="1"/>
  <c r="AA292" i="1"/>
  <c r="AA500" i="1"/>
  <c r="AI170" i="1" a="1"/>
  <c r="U174" i="8" a="1"/>
  <c r="AH618" i="1" a="1"/>
  <c r="AH633" i="1" a="1"/>
  <c r="AA215" i="1"/>
  <c r="AA488" i="1"/>
  <c r="U127" i="8" a="1"/>
  <c r="AA143" i="1"/>
  <c r="AA144" i="1"/>
  <c r="AA723" i="1"/>
  <c r="U22" i="8" a="1"/>
  <c r="AA647" i="1"/>
  <c r="AA86" i="1"/>
  <c r="AH638" i="1" a="1"/>
  <c r="AI611" i="1" a="1"/>
  <c r="U45" i="8" a="1"/>
  <c r="U18" i="8" a="1"/>
  <c r="U84" i="8" a="1"/>
  <c r="U28" i="8" a="1"/>
  <c r="AA426" i="1"/>
  <c r="AA407" i="1"/>
  <c r="AA135" i="1"/>
  <c r="AA396" i="1"/>
  <c r="U200" i="8" a="1"/>
  <c r="AA133" i="1"/>
  <c r="U46" i="8" a="1"/>
  <c r="AH352" i="1" a="1"/>
  <c r="U98" i="8" a="1"/>
  <c r="U77" i="8" a="1"/>
  <c r="AA714" i="1"/>
  <c r="AA191" i="1"/>
  <c r="AA680" i="1"/>
  <c r="AA171" i="1"/>
  <c r="AA472" i="1"/>
  <c r="AA454" i="1"/>
  <c r="U17" i="8" a="1"/>
  <c r="AA210" i="1"/>
  <c r="AA518" i="1"/>
  <c r="AA112" i="1"/>
  <c r="AA549" i="1"/>
  <c r="U160" i="8" a="1"/>
  <c r="AA342" i="1"/>
  <c r="AA310" i="1"/>
  <c r="U65" i="8" a="1"/>
  <c r="AI69" i="1" a="1"/>
  <c r="AI681" i="1" a="1"/>
  <c r="AA592" i="1"/>
  <c r="AH63" i="1" a="1"/>
  <c r="U250" i="8" a="1"/>
  <c r="AA577" i="1"/>
  <c r="AA103" i="1"/>
  <c r="U323" i="8" a="1"/>
  <c r="U216" i="8" a="1"/>
  <c r="AA149" i="1"/>
  <c r="U164" i="8" a="1"/>
  <c r="U78" i="8" a="1"/>
  <c r="AH568" i="1" a="1"/>
  <c r="AA299" i="1"/>
  <c r="AA132" i="1"/>
  <c r="U5" i="8" a="1"/>
  <c r="AA630" i="1"/>
  <c r="AI63" i="1" a="1"/>
  <c r="U333" i="8" a="1"/>
  <c r="AA588" i="1"/>
  <c r="AA55" i="1"/>
  <c r="U251" i="8" a="1"/>
  <c r="AH674" i="1" a="1"/>
  <c r="U347" i="8" a="1"/>
  <c r="U374" i="8" a="1"/>
  <c r="U387" i="8" a="1"/>
  <c r="AA675" i="1"/>
  <c r="U266" i="8" a="1"/>
  <c r="AA309" i="1"/>
  <c r="AA297" i="1"/>
  <c r="AA377" i="1"/>
  <c r="AI607" i="1" a="1"/>
  <c r="AA519" i="1"/>
  <c r="U20" i="8" a="1"/>
  <c r="AA285" i="1"/>
  <c r="AH648" i="1" a="1"/>
  <c r="U198" i="8" a="1"/>
  <c r="AH630" i="1" a="1"/>
  <c r="AA390" i="1"/>
  <c r="AA506" i="1"/>
  <c r="AI591" i="1" a="1"/>
  <c r="U193" i="8" a="1"/>
  <c r="AA516" i="1"/>
  <c r="AA420" i="1"/>
  <c r="AA291" i="1"/>
  <c r="AA531" i="1"/>
  <c r="AA190" i="1"/>
  <c r="AA715" i="1"/>
  <c r="AA159" i="1"/>
  <c r="AI603" i="1" a="1"/>
  <c r="AH313" i="1" a="1"/>
  <c r="U99" i="8" a="1"/>
  <c r="AA360" i="1"/>
  <c r="AA272" i="1"/>
  <c r="U392" i="8" a="1"/>
  <c r="U209" i="8" a="1"/>
  <c r="U220" i="8" a="1"/>
  <c r="AH607" i="1" a="1"/>
  <c r="AA548" i="1"/>
  <c r="AI304" i="1" a="1"/>
  <c r="AA625" i="1"/>
  <c r="AA217" i="1"/>
  <c r="AA522" i="1"/>
  <c r="U39" i="8" a="1"/>
  <c r="AI567" i="1" a="1"/>
  <c r="AA597" i="1"/>
  <c r="AA643" i="1"/>
  <c r="U334" i="8" a="1"/>
  <c r="U376" i="8" a="1"/>
  <c r="AA595" i="1"/>
  <c r="U194" i="8" a="1"/>
  <c r="AI576" i="1" a="1"/>
  <c r="AH224" i="1" a="1"/>
  <c r="AH95" i="1" a="1"/>
  <c r="U383" i="8" a="1"/>
  <c r="AA69" i="1"/>
  <c r="AA560" i="1"/>
  <c r="AA136" i="1"/>
  <c r="U48" i="8" a="1"/>
  <c r="U90" i="8" a="1"/>
  <c r="AA138" i="1"/>
  <c r="U15" i="8" a="1"/>
  <c r="AA457" i="1"/>
  <c r="U40" i="8" a="1"/>
  <c r="AA127" i="1"/>
  <c r="U108" i="8" a="1"/>
  <c r="AH611" i="1" a="1"/>
  <c r="U207" i="8" a="1"/>
  <c r="AA262" i="1"/>
  <c r="AA92" i="1"/>
  <c r="U80" i="8" a="1"/>
  <c r="U140" i="8" a="1"/>
  <c r="AA502" i="1"/>
  <c r="AA450" i="1"/>
  <c r="U66" i="8" a="1"/>
  <c r="U16" i="8" a="1"/>
  <c r="AA512" i="1"/>
  <c r="AA428" i="1"/>
  <c r="AA118" i="1"/>
  <c r="U33" i="8" a="1"/>
  <c r="AA416" i="1"/>
  <c r="AA550" i="1"/>
  <c r="U318" i="8" a="1"/>
  <c r="AA584" i="1"/>
  <c r="AH692" i="1" a="1"/>
  <c r="U123" i="8" a="1"/>
  <c r="AA495" i="1"/>
  <c r="U242" i="8" a="1"/>
  <c r="AI561" i="1" a="1"/>
  <c r="AH592" i="1" a="1"/>
  <c r="U42" i="8" a="1"/>
  <c r="AA732" i="1"/>
  <c r="U330" i="8" a="1"/>
  <c r="U380" i="8" a="1"/>
  <c r="AA61" i="1"/>
  <c r="U264" i="8" a="1"/>
  <c r="AI690" i="1" a="1"/>
  <c r="AA45" i="1"/>
  <c r="AA56" i="1"/>
  <c r="AA259" i="1"/>
  <c r="AH576" i="1" a="1"/>
  <c r="AA484" i="1"/>
  <c r="U294" i="8" a="1"/>
  <c r="U369" i="8" a="1"/>
  <c r="AA434" i="1"/>
  <c r="AA243" i="1"/>
  <c r="AA275" i="1"/>
  <c r="AA688" i="1"/>
  <c r="U19" i="8" a="1"/>
  <c r="U189" i="8" a="1"/>
  <c r="U61" i="8" a="1"/>
  <c r="AA556" i="1"/>
  <c r="AA225" i="1"/>
  <c r="AH616" i="1" a="1"/>
  <c r="AA62" i="1"/>
  <c r="AA78" i="1"/>
  <c r="U114" i="8" a="1"/>
  <c r="AA545" i="1"/>
  <c r="AA128" i="1"/>
  <c r="U119" i="8" a="1"/>
  <c r="U128" i="8" a="1"/>
  <c r="AA373" i="1"/>
  <c r="U7" i="8" a="1"/>
  <c r="AA246" i="1"/>
  <c r="U26" i="8" a="1"/>
  <c r="AA94" i="1"/>
  <c r="AA173" i="1"/>
  <c r="U60" i="8" a="1"/>
  <c r="AA91" i="1"/>
  <c r="U225" i="8" a="1"/>
  <c r="AA503" i="1"/>
  <c r="AH615" i="1" a="1"/>
  <c r="U196" i="8" a="1"/>
  <c r="AA408" i="1"/>
  <c r="AA102" i="1"/>
  <c r="U286" i="8" a="1"/>
  <c r="U131" i="8" a="1"/>
  <c r="AA63" i="1"/>
  <c r="AI614" i="1" a="1"/>
  <c r="AA59" i="1"/>
  <c r="U113" i="8" a="1"/>
  <c r="AA557" i="1"/>
  <c r="AA419" i="1"/>
  <c r="AH605" i="1" a="1"/>
  <c r="U86" i="8" a="1"/>
  <c r="AA320" i="1"/>
  <c r="AA553" i="1"/>
  <c r="U161" i="8" a="1"/>
  <c r="AA412" i="1"/>
  <c r="AH566" i="1" a="1"/>
  <c r="U112" i="8" a="1"/>
  <c r="AI594" i="1" a="1"/>
  <c r="U79" i="8" a="1"/>
  <c r="AA632" i="1"/>
  <c r="AH666" i="1" a="1"/>
  <c r="AA686" i="1"/>
  <c r="AA222" i="1"/>
  <c r="U238" i="8" a="1"/>
  <c r="U276" i="8" a="1"/>
  <c r="U239" i="8" a="1"/>
  <c r="AA311" i="1"/>
  <c r="U143" i="8" a="1"/>
  <c r="AI764" i="1" a="1"/>
  <c r="AA649" i="1"/>
  <c r="AA395" i="1"/>
  <c r="AA182" i="1"/>
  <c r="AA371" i="1"/>
  <c r="AA312" i="1"/>
  <c r="AA104" i="1"/>
  <c r="U58" i="8" a="1"/>
  <c r="AA356" i="1"/>
  <c r="AI644" i="1" a="1"/>
  <c r="AA151" i="1"/>
  <c r="AI565" i="1" a="1"/>
  <c r="AA316" i="1"/>
  <c r="AI597" i="1" a="1"/>
  <c r="AA713" i="1"/>
  <c r="U52" i="8" a="1"/>
  <c r="AA449" i="1"/>
  <c r="AA490" i="1"/>
  <c r="AA96" i="1"/>
  <c r="U328" i="8" a="1"/>
  <c r="AA349" i="1"/>
  <c r="U139" i="8" a="1"/>
  <c r="AA126" i="1"/>
  <c r="AA483" i="1"/>
  <c r="U301" i="8" a="1"/>
  <c r="U315" i="8" a="1"/>
  <c r="AA95" i="1"/>
  <c r="AI95" i="1" a="1"/>
  <c r="AA665" i="1"/>
  <c r="U109" i="8" a="1"/>
  <c r="AI593" i="1" a="1"/>
  <c r="AA431" i="1"/>
  <c r="AI648" i="1" a="1"/>
  <c r="AA517" i="1"/>
  <c r="AA372" i="1"/>
  <c r="U53" i="8" a="1"/>
  <c r="AA638" i="1"/>
  <c r="AH636" i="1" a="1"/>
  <c r="AA145" i="1"/>
  <c r="AA445" i="1"/>
  <c r="AA635" i="1"/>
  <c r="AA261" i="1"/>
  <c r="AA212" i="1"/>
  <c r="U382" i="8" a="1"/>
  <c r="AA235" i="1"/>
  <c r="U73" i="8" a="1"/>
  <c r="AA52" i="1"/>
  <c r="AA527" i="1"/>
  <c r="AA422" i="1"/>
  <c r="AA533" i="1"/>
  <c r="AA401" i="1"/>
  <c r="U203" i="8" a="1"/>
  <c r="U116" i="8" a="1"/>
  <c r="AA367" i="1"/>
  <c r="AA689" i="1"/>
  <c r="U378" i="8" a="1"/>
  <c r="AH601" i="1" a="1"/>
  <c r="AI344" i="1" a="1"/>
  <c r="AA388" i="1"/>
  <c r="AA350" i="1"/>
  <c r="U188" i="8" a="1"/>
  <c r="AA552" i="1"/>
  <c r="AA487" i="1"/>
  <c r="AA470" i="1"/>
  <c r="AA177" i="1"/>
  <c r="AA655" i="1"/>
  <c r="AA240" i="1"/>
  <c r="AH87" i="1" a="1"/>
  <c r="AA736" i="1"/>
  <c r="AA233" i="1"/>
  <c r="AA733" i="1"/>
  <c r="U329" i="8" a="1"/>
  <c r="U351" i="8" a="1"/>
  <c r="AA402" i="1"/>
  <c r="AA141" i="1"/>
  <c r="AA116" i="1"/>
  <c r="AI649" i="1" a="1"/>
  <c r="U91" i="8" a="1"/>
  <c r="AA276" i="1"/>
  <c r="U397" i="8" a="1"/>
  <c r="AA175" i="1"/>
  <c r="AA654" i="1"/>
  <c r="AH646" i="1" a="1"/>
  <c r="U117" i="8" a="1"/>
  <c r="U11" i="8" a="1"/>
  <c r="AI616" i="1" a="1"/>
  <c r="AA80" i="1"/>
  <c r="AA146" i="1"/>
  <c r="AI675" i="1" a="1"/>
  <c r="AH635" i="1" a="1"/>
  <c r="AA384" i="1"/>
  <c r="AA369" i="1"/>
  <c r="U353" i="8" a="1"/>
  <c r="U297" i="8" a="1"/>
  <c r="AI609" i="1" a="1"/>
  <c r="U182" i="8" a="1"/>
  <c r="AA475" i="1"/>
  <c r="U74" i="8" a="1"/>
  <c r="AH598" i="1" a="1"/>
  <c r="AA398" i="1"/>
  <c r="AA282" i="1"/>
  <c r="AA447" i="1"/>
  <c r="AI606" i="1" a="1"/>
  <c r="AH606" i="1" a="1"/>
  <c r="U222" i="8" a="1"/>
  <c r="AA554" i="1"/>
  <c r="U103" i="8" a="1"/>
  <c r="U55" i="8" a="1"/>
  <c r="AA464" i="1"/>
  <c r="U176" i="8" a="1"/>
  <c r="U136" i="8" a="1"/>
  <c r="U277" i="8" a="1"/>
  <c r="U178" i="8" a="1"/>
  <c r="AA453" i="1"/>
  <c r="U153" i="8" a="1"/>
  <c r="U184" i="8" a="1"/>
  <c r="AA205" i="1"/>
  <c r="AA440" i="1"/>
  <c r="AA671" i="1"/>
  <c r="AA220" i="1"/>
  <c r="AA154" i="1"/>
  <c r="AA105" i="1"/>
  <c r="AA524" i="1"/>
  <c r="U187" i="8" a="1"/>
  <c r="U156" i="8" a="1"/>
  <c r="AA362" i="1"/>
  <c r="AA743" i="1"/>
  <c r="AA152" i="1"/>
  <c r="U44" i="8" a="1"/>
  <c r="AA720" i="1"/>
  <c r="AA332" i="1"/>
  <c r="AH649" i="1" a="1"/>
  <c r="U335" i="8" a="1"/>
  <c r="U267" i="8" a="1"/>
  <c r="AA200" i="1"/>
  <c r="U302" i="8" a="1"/>
  <c r="AA413" i="1"/>
  <c r="U354" i="8" a="1"/>
  <c r="AA421" i="1"/>
  <c r="U8" i="8" a="1"/>
  <c r="AA474" i="1"/>
  <c r="U137" i="8" a="1"/>
  <c r="AI39" i="1" a="1"/>
  <c r="U37" i="8" a="1"/>
  <c r="AA528" i="1"/>
  <c r="AA650" i="1"/>
  <c r="U165" i="8" a="1"/>
  <c r="AA467" i="1"/>
  <c r="AA287" i="1"/>
  <c r="AA641" i="1"/>
  <c r="U102" i="8" a="1"/>
  <c r="U285" i="8" a="1"/>
  <c r="U121" i="8" a="1"/>
  <c r="AA687" i="1"/>
  <c r="AI631" i="1" a="1"/>
  <c r="AA459" i="1"/>
  <c r="AA514" i="1"/>
  <c r="AA712" i="1"/>
  <c r="U87" i="8" a="1"/>
  <c r="AA739" i="1"/>
  <c r="AA216" i="1"/>
  <c r="U9" i="8" a="1"/>
  <c r="AA355" i="1"/>
  <c r="AH675" i="1" a="1"/>
  <c r="AH763" i="1" a="1"/>
  <c r="AA692" i="1"/>
  <c r="U263" i="8" a="1"/>
  <c r="AA170" i="1"/>
  <c r="AA163" i="1"/>
  <c r="AA482" i="1"/>
  <c r="U359" i="8" a="1"/>
  <c r="AH702" i="1" a="1"/>
  <c r="AA763" i="1"/>
  <c r="U125" i="8" a="1"/>
  <c r="AH578" i="1" a="1"/>
  <c r="AI632" i="1" a="1"/>
  <c r="U377" i="8" a="1"/>
  <c r="U279" i="8" a="1"/>
  <c r="U23" i="8" a="1"/>
  <c r="U224" i="8" a="1"/>
  <c r="AA501" i="1"/>
  <c r="AA461" i="1"/>
  <c r="AA229" i="1"/>
  <c r="AH631" i="1" a="1"/>
  <c r="AA707" i="1"/>
  <c r="AA84" i="1"/>
  <c r="U214" i="8" a="1"/>
  <c r="AA167" i="1"/>
  <c r="AH609" i="1" a="1"/>
  <c r="U82" i="8" a="1"/>
  <c r="U229" i="8" a="1"/>
  <c r="AA157" i="1"/>
  <c r="AA710" i="1"/>
  <c r="U311" i="8" a="1"/>
  <c r="AA313" i="1"/>
  <c r="U226" i="8" a="1"/>
  <c r="U340" i="8" a="1"/>
  <c r="U372" i="8" a="1"/>
  <c r="U393" i="8" a="1"/>
  <c r="U234" i="8" a="1"/>
  <c r="AH689" i="1" a="1"/>
  <c r="AA221" i="1"/>
  <c r="U151" i="8" a="1"/>
  <c r="AA600" i="1"/>
  <c r="AH639" i="1" a="1"/>
  <c r="U295" i="8" a="1"/>
  <c r="AA405" i="1"/>
  <c r="U35" i="8" a="1"/>
  <c r="AI636" i="1" a="1"/>
  <c r="AA326" i="1"/>
  <c r="AH304" i="1" a="1"/>
  <c r="U171" i="8" a="1"/>
  <c r="U38" i="8" a="1"/>
  <c r="AA386" i="1"/>
  <c r="AA744" i="1"/>
  <c r="AA462" i="1"/>
  <c r="AI578" i="1" a="1"/>
  <c r="AH69" i="1" a="1"/>
  <c r="AA734" i="1"/>
  <c r="U231" i="8" a="1"/>
  <c r="AA120" i="1"/>
  <c r="AA637" i="1"/>
  <c r="AH632" i="1" a="1"/>
  <c r="AA119" i="1"/>
  <c r="AI599" i="1" a="1"/>
  <c r="AA358" i="1"/>
  <c r="AA443" i="1"/>
  <c r="AA697" i="1"/>
  <c r="U322" i="8" a="1"/>
  <c r="U258" i="8" a="1"/>
  <c r="AH587" i="1" a="1"/>
  <c r="AH561" i="1" a="1"/>
  <c r="AA87" i="1"/>
  <c r="AA296" i="1"/>
  <c r="AH589" i="1" a="1"/>
  <c r="U248" i="8" a="1"/>
  <c r="AA444" i="1"/>
  <c r="U150" i="8" a="1"/>
  <c r="U32" i="8" a="1"/>
  <c r="AA266" i="1"/>
  <c r="U299" i="8" a="1"/>
  <c r="U43" i="8" a="1"/>
  <c r="AA508" i="1"/>
  <c r="AA271" i="1"/>
  <c r="AA525" i="1"/>
  <c r="AA719" i="1"/>
  <c r="AA691" i="1"/>
  <c r="AH259" i="1" a="1"/>
  <c r="U307" i="8" a="1"/>
  <c r="U262" i="8" a="1"/>
  <c r="U118" i="8" a="1"/>
  <c r="U107" i="8" a="1"/>
  <c r="AA111" i="1"/>
  <c r="AA684" i="1"/>
  <c r="U96" i="8" a="1"/>
  <c r="AA437" i="1"/>
  <c r="AA184" i="1"/>
  <c r="U275" i="8" a="1"/>
  <c r="AA117" i="1"/>
  <c r="AA659" i="1"/>
  <c r="AA468" i="1"/>
  <c r="AI588" i="1" a="1"/>
  <c r="U317" i="8" a="1"/>
  <c r="AA406" i="1"/>
  <c r="U115" i="8" a="1"/>
  <c r="AA513" i="1"/>
  <c r="AA559" i="1"/>
  <c r="AA499" i="1"/>
  <c r="AA469" i="1"/>
  <c r="U190" i="8" a="1"/>
  <c r="U223" i="8" a="1"/>
  <c r="U388" i="8" a="1"/>
  <c r="U134" i="8" a="1"/>
  <c r="AA580" i="1"/>
  <c r="AA607" i="1"/>
  <c r="U355" i="8" a="1"/>
  <c r="AA394" i="1"/>
  <c r="U83" i="8" a="1"/>
  <c r="U186" i="8" a="1"/>
  <c r="AA188" i="1"/>
  <c r="U254" i="8" a="1"/>
  <c r="AI604" i="1" a="1"/>
  <c r="U69" i="8" a="1"/>
  <c r="U93" i="8" a="1"/>
  <c r="AA156" i="1"/>
  <c r="U192" i="8" a="1"/>
  <c r="AA494" i="1"/>
  <c r="AA218" i="1"/>
  <c r="AH597" i="1" a="1"/>
  <c r="AA330" i="1"/>
  <c r="AA610" i="1"/>
  <c r="AA582" i="1"/>
  <c r="AA612" i="1"/>
  <c r="AI635" i="1" a="1"/>
  <c r="AA473" i="1"/>
  <c r="AA679" i="1"/>
  <c r="AA140" i="1"/>
  <c r="AA183" i="1"/>
  <c r="AA620" i="1"/>
  <c r="U6" i="8" a="1"/>
  <c r="U27" i="8" a="1"/>
  <c r="AA264" i="1"/>
  <c r="AA113" i="1"/>
  <c r="AI340" i="1" a="1"/>
  <c r="AH642" i="1" a="1"/>
  <c r="U230" i="8" a="1"/>
  <c r="AA515" i="1"/>
  <c r="AA456" i="1"/>
  <c r="AA329" i="1"/>
  <c r="AA378" i="1"/>
  <c r="V306" i="8" l="1"/>
  <c r="AL297" i="8"/>
  <c r="AL100" i="8"/>
  <c r="AL304" i="8"/>
  <c r="AN304" i="8" s="1"/>
  <c r="AL270" i="8"/>
  <c r="V152" i="8"/>
  <c r="V187" i="8"/>
  <c r="V158" i="8"/>
  <c r="V103" i="8"/>
  <c r="V7" i="8"/>
  <c r="V191" i="8"/>
  <c r="V256" i="8"/>
  <c r="AL268" i="8"/>
  <c r="AM268" i="8" s="1"/>
  <c r="V278" i="8"/>
  <c r="AL335" i="8"/>
  <c r="AL286" i="8"/>
  <c r="AN286" i="8" s="1"/>
  <c r="V294" i="8"/>
  <c r="V274" i="8"/>
  <c r="AL309" i="8"/>
  <c r="V343" i="8"/>
  <c r="V153" i="8"/>
  <c r="V86" i="8"/>
  <c r="V276" i="8"/>
  <c r="AL137" i="8"/>
  <c r="AM137" i="8" s="1"/>
  <c r="V140" i="8"/>
  <c r="AL383" i="8"/>
  <c r="AM383" i="8" s="1"/>
  <c r="AL313" i="8"/>
  <c r="AL96" i="8"/>
  <c r="AM96" i="8" s="1"/>
  <c r="V136" i="8"/>
  <c r="AL229" i="8"/>
  <c r="AL101" i="8"/>
  <c r="V193" i="8"/>
  <c r="AL200" i="8"/>
  <c r="AM200" i="8" s="1"/>
  <c r="AL207" i="8"/>
  <c r="AM207" i="8" s="1"/>
  <c r="AL157" i="8"/>
  <c r="AM157" i="8" s="1"/>
  <c r="V173" i="8"/>
  <c r="AL180" i="8"/>
  <c r="AN180" i="8" s="1"/>
  <c r="V258" i="8"/>
  <c r="AL279" i="8"/>
  <c r="AL327" i="8"/>
  <c r="AM327" i="8" s="1"/>
  <c r="V146" i="8"/>
  <c r="V244" i="8"/>
  <c r="V165" i="8"/>
  <c r="AL78" i="8"/>
  <c r="AN78" i="8" s="1"/>
  <c r="V385" i="8"/>
  <c r="AL254" i="8"/>
  <c r="AM254" i="8" s="1"/>
  <c r="V291" i="8"/>
  <c r="V368" i="8"/>
  <c r="AL315" i="8"/>
  <c r="AN315" i="8" s="1"/>
  <c r="AL236" i="8"/>
  <c r="AN236" i="8" s="1"/>
  <c r="AL169" i="8"/>
  <c r="AN169" i="8" s="1"/>
  <c r="AL324" i="8"/>
  <c r="AM324" i="8" s="1"/>
  <c r="V319" i="8"/>
  <c r="AC208" i="1"/>
  <c r="V349" i="8"/>
  <c r="AE72" i="1"/>
  <c r="AL164" i="8"/>
  <c r="AL227" i="8"/>
  <c r="AL245" i="8"/>
  <c r="AN245" i="8" s="1"/>
  <c r="AL238" i="8"/>
  <c r="AN238" i="8" s="1"/>
  <c r="V342" i="8"/>
  <c r="V6" i="8"/>
  <c r="V231" i="8"/>
  <c r="AL124" i="8"/>
  <c r="AN124" i="8" s="1"/>
  <c r="AL123" i="8"/>
  <c r="AM123" i="8" s="1"/>
  <c r="V380" i="8"/>
  <c r="AL395" i="8"/>
  <c r="AN395" i="8" s="1"/>
  <c r="AL67" i="8"/>
  <c r="AM67" i="8" s="1"/>
  <c r="AL361" i="8"/>
  <c r="AL377" i="8"/>
  <c r="AM377" i="8" s="1"/>
  <c r="V213" i="8"/>
  <c r="V333" i="8"/>
  <c r="V353" i="8"/>
  <c r="V345" i="8"/>
  <c r="V128" i="8"/>
  <c r="V156" i="8"/>
  <c r="V378" i="8"/>
  <c r="AL375" i="8"/>
  <c r="AM375" i="8" s="1"/>
  <c r="V18" i="8"/>
  <c r="AL118" i="8"/>
  <c r="AN118" i="8" s="1"/>
  <c r="AL108" i="8"/>
  <c r="AN108" i="8" s="1"/>
  <c r="V237" i="8"/>
  <c r="V295" i="8"/>
  <c r="V111" i="8"/>
  <c r="V350" i="8"/>
  <c r="AL5" i="8"/>
  <c r="AM5" i="8" s="1"/>
  <c r="AL149" i="8"/>
  <c r="AN149" i="8" s="1"/>
  <c r="V312" i="8"/>
  <c r="V339" i="8"/>
  <c r="AL367" i="8"/>
  <c r="AM367" i="8" s="1"/>
  <c r="AL390" i="8"/>
  <c r="AM390" i="8" s="1"/>
  <c r="AL264" i="8"/>
  <c r="AN264" i="8" s="1"/>
  <c r="AL84" i="8"/>
  <c r="AN84" i="8" s="1"/>
  <c r="V251" i="8"/>
  <c r="V356" i="8"/>
  <c r="V379" i="8"/>
  <c r="V388" i="8"/>
  <c r="AL253" i="8"/>
  <c r="AN253" i="8" s="1"/>
  <c r="V389" i="8"/>
  <c r="V219" i="8"/>
  <c r="AL3" i="8"/>
  <c r="AN3" i="8" s="1"/>
  <c r="V208" i="8"/>
  <c r="V102" i="8"/>
  <c r="V365" i="8"/>
  <c r="AL393" i="8"/>
  <c r="AM393" i="8" s="1"/>
  <c r="AC273" i="1"/>
  <c r="AL79" i="8"/>
  <c r="AN79" i="8" s="1"/>
  <c r="V233" i="8"/>
  <c r="V240" i="8"/>
  <c r="V248" i="8"/>
  <c r="AL110" i="8"/>
  <c r="AN110" i="8" s="1"/>
  <c r="V255" i="8"/>
  <c r="AL308" i="8"/>
  <c r="AM308" i="8" s="1"/>
  <c r="AL348" i="8"/>
  <c r="AM348" i="8" s="1"/>
  <c r="V184" i="8"/>
  <c r="AL97" i="8"/>
  <c r="AN97" i="8" s="1"/>
  <c r="AL194" i="8"/>
  <c r="AN194" i="8" s="1"/>
  <c r="AL328" i="8"/>
  <c r="AN328" i="8" s="1"/>
  <c r="AL316" i="8"/>
  <c r="AM316" i="8" s="1"/>
  <c r="V371" i="8"/>
  <c r="AE280" i="1"/>
  <c r="AL83" i="8"/>
  <c r="AM83" i="8" s="1"/>
  <c r="AL171" i="8"/>
  <c r="AN171" i="8" s="1"/>
  <c r="AL132" i="8"/>
  <c r="AM132" i="8" s="1"/>
  <c r="V218" i="8"/>
  <c r="V257" i="8"/>
  <c r="AL357" i="8"/>
  <c r="AM357" i="8" s="1"/>
  <c r="AL381" i="8"/>
  <c r="AM381" i="8" s="1"/>
  <c r="AL359" i="8"/>
  <c r="AM359" i="8" s="1"/>
  <c r="AL269" i="8"/>
  <c r="AM269" i="8" s="1"/>
  <c r="AL75" i="8"/>
  <c r="AN75" i="8" s="1"/>
  <c r="AL212" i="8"/>
  <c r="AM212" i="8" s="1"/>
  <c r="AL195" i="8"/>
  <c r="AN195" i="8" s="1"/>
  <c r="AL106" i="8"/>
  <c r="AN106" i="8" s="1"/>
  <c r="V150" i="8"/>
  <c r="V288" i="8"/>
  <c r="AL366" i="8"/>
  <c r="AN366" i="8" s="1"/>
  <c r="AL382" i="8"/>
  <c r="AM382" i="8" s="1"/>
  <c r="V14" i="8"/>
  <c r="AL20" i="8"/>
  <c r="AN20" i="8" s="1"/>
  <c r="V147" i="8"/>
  <c r="AL239" i="8"/>
  <c r="AN239" i="8" s="1"/>
  <c r="AL282" i="8"/>
  <c r="AM282" i="8" s="1"/>
  <c r="AL320" i="8"/>
  <c r="AM320" i="8" s="1"/>
  <c r="V311" i="8"/>
  <c r="AL300" i="8"/>
  <c r="AN300" i="8" s="1"/>
  <c r="V198" i="8"/>
  <c r="V224" i="8"/>
  <c r="AL104" i="8"/>
  <c r="AM104" i="8" s="1"/>
  <c r="AL131" i="8"/>
  <c r="AM131" i="8" s="1"/>
  <c r="AL126" i="8"/>
  <c r="AM126" i="8" s="1"/>
  <c r="AL119" i="8"/>
  <c r="AM119" i="8" s="1"/>
  <c r="V112" i="8"/>
  <c r="AL129" i="8"/>
  <c r="AM129" i="8" s="1"/>
  <c r="AL266" i="8"/>
  <c r="AM266" i="8" s="1"/>
  <c r="V344" i="8"/>
  <c r="V391" i="8"/>
  <c r="AL214" i="8"/>
  <c r="AM214" i="8" s="1"/>
  <c r="V81" i="8"/>
  <c r="AL259" i="8"/>
  <c r="AN259" i="8" s="1"/>
  <c r="AL221" i="8"/>
  <c r="AN221" i="8" s="1"/>
  <c r="AL272" i="8"/>
  <c r="AM272" i="8" s="1"/>
  <c r="V387" i="8"/>
  <c r="V397" i="8"/>
  <c r="V204" i="8"/>
  <c r="V325" i="8"/>
  <c r="V179" i="8"/>
  <c r="AL220" i="8"/>
  <c r="AM220" i="8" s="1"/>
  <c r="AL174" i="8"/>
  <c r="AN174" i="8" s="1"/>
  <c r="V166" i="8"/>
  <c r="AL192" i="8"/>
  <c r="AM192" i="8" s="1"/>
  <c r="V210" i="8"/>
  <c r="V99" i="8"/>
  <c r="V135" i="8"/>
  <c r="V148" i="8"/>
  <c r="AL243" i="8"/>
  <c r="AM243" i="8" s="1"/>
  <c r="V394" i="8"/>
  <c r="V92" i="8"/>
  <c r="AL241" i="8"/>
  <c r="AN241" i="8" s="1"/>
  <c r="AL323" i="8"/>
  <c r="AN323" i="8" s="1"/>
  <c r="V281" i="8"/>
  <c r="V354" i="8"/>
  <c r="AL362" i="8"/>
  <c r="AM362" i="8" s="1"/>
  <c r="V373" i="8"/>
  <c r="AL175" i="8"/>
  <c r="AN175" i="8" s="1"/>
  <c r="AL215" i="8"/>
  <c r="AM215" i="8" s="1"/>
  <c r="AL91" i="8"/>
  <c r="AN91" i="8" s="1"/>
  <c r="AL87" i="8"/>
  <c r="AN87" i="8" s="1"/>
  <c r="V88" i="8"/>
  <c r="V202" i="8"/>
  <c r="AL230" i="8"/>
  <c r="AN230" i="8" s="1"/>
  <c r="AL273" i="8"/>
  <c r="AN273" i="8" s="1"/>
  <c r="AL374" i="8"/>
  <c r="AN374" i="8" s="1"/>
  <c r="AL127" i="8"/>
  <c r="AN127" i="8" s="1"/>
  <c r="V167" i="8"/>
  <c r="AL115" i="8"/>
  <c r="AM115" i="8" s="1"/>
  <c r="AL159" i="8"/>
  <c r="AN159" i="8" s="1"/>
  <c r="V114" i="8"/>
  <c r="AL107" i="8"/>
  <c r="AN107" i="8" s="1"/>
  <c r="V206" i="8"/>
  <c r="V154" i="8"/>
  <c r="AL321" i="8"/>
  <c r="AN321" i="8" s="1"/>
  <c r="V287" i="8"/>
  <c r="AL284" i="8"/>
  <c r="AN284" i="8" s="1"/>
  <c r="AL217" i="8"/>
  <c r="AM217" i="8" s="1"/>
  <c r="U65" i="8"/>
  <c r="U44" i="8"/>
  <c r="AF213" i="1"/>
  <c r="AF96" i="1"/>
  <c r="AF732" i="1"/>
  <c r="AH594" i="1"/>
  <c r="AD594" i="1" s="1"/>
  <c r="AF117" i="1"/>
  <c r="AF658" i="1"/>
  <c r="U153" i="8"/>
  <c r="U225" i="8"/>
  <c r="U141" i="8"/>
  <c r="U203" i="8"/>
  <c r="AF338" i="1"/>
  <c r="U39" i="8"/>
  <c r="U36" i="8"/>
  <c r="U6" i="8"/>
  <c r="AF342" i="1"/>
  <c r="AH593" i="1"/>
  <c r="AD593" i="1" s="1"/>
  <c r="AF132" i="1"/>
  <c r="AH87" i="1"/>
  <c r="AD87" i="1" s="1"/>
  <c r="AH652" i="1"/>
  <c r="AD652" i="1" s="1"/>
  <c r="U185" i="8"/>
  <c r="AF91" i="1"/>
  <c r="AF486" i="1"/>
  <c r="AF152" i="1"/>
  <c r="AF122" i="1"/>
  <c r="AI87" i="1"/>
  <c r="AB87" i="1" s="1"/>
  <c r="AC87" i="1" s="1"/>
  <c r="AF651" i="1"/>
  <c r="U160" i="8"/>
  <c r="U99" i="8"/>
  <c r="U54" i="8"/>
  <c r="U69" i="8"/>
  <c r="AF153" i="1"/>
  <c r="AF216" i="1"/>
  <c r="AF184" i="1"/>
  <c r="AF218" i="1"/>
  <c r="U60" i="8"/>
  <c r="U53" i="8"/>
  <c r="U261" i="8"/>
  <c r="U324" i="8"/>
  <c r="AF598" i="1"/>
  <c r="U33" i="8"/>
  <c r="AH313" i="1"/>
  <c r="AD313" i="1" s="1"/>
  <c r="AF623" i="1"/>
  <c r="AI599" i="1"/>
  <c r="AB599" i="1" s="1"/>
  <c r="AC599" i="1" s="1"/>
  <c r="U190" i="8"/>
  <c r="U130" i="8"/>
  <c r="U219" i="8"/>
  <c r="U55" i="8"/>
  <c r="AF739" i="1"/>
  <c r="AH635" i="1"/>
  <c r="AD635" i="1" s="1"/>
  <c r="AF401" i="1"/>
  <c r="AF743" i="1"/>
  <c r="AF145" i="1"/>
  <c r="AF186" i="1"/>
  <c r="AI296" i="1"/>
  <c r="AB296" i="1" s="1"/>
  <c r="AC296" i="1" s="1"/>
  <c r="AF118" i="1"/>
  <c r="AI603" i="1"/>
  <c r="AB603" i="1" s="1"/>
  <c r="AC603" i="1" s="1"/>
  <c r="AI568" i="1"/>
  <c r="AB568" i="1" s="1"/>
  <c r="AF240" i="1"/>
  <c r="AF93" i="1"/>
  <c r="AF730" i="1"/>
  <c r="AF621" i="1"/>
  <c r="AI598" i="1"/>
  <c r="AB598" i="1" s="1"/>
  <c r="AC598" i="1" s="1"/>
  <c r="AF210" i="1"/>
  <c r="AF159" i="1"/>
  <c r="AF299" i="1"/>
  <c r="AF620" i="1"/>
  <c r="AI613" i="1"/>
  <c r="AB613" i="1" s="1"/>
  <c r="AC613" i="1" s="1"/>
  <c r="AI587" i="1"/>
  <c r="AB587" i="1" s="1"/>
  <c r="AC587" i="1" s="1"/>
  <c r="AI645" i="1"/>
  <c r="AB645" i="1" s="1"/>
  <c r="AC645" i="1" s="1"/>
  <c r="AF432" i="1"/>
  <c r="U152" i="8"/>
  <c r="U91" i="8"/>
  <c r="U103" i="8"/>
  <c r="U42" i="8"/>
  <c r="U26" i="8"/>
  <c r="U37" i="8"/>
  <c r="U17" i="8"/>
  <c r="U71" i="8"/>
  <c r="AF715" i="1"/>
  <c r="AH296" i="1"/>
  <c r="AD296" i="1" s="1"/>
  <c r="AF119" i="1"/>
  <c r="AI604" i="1"/>
  <c r="AB604" i="1" s="1"/>
  <c r="AC604" i="1" s="1"/>
  <c r="U75" i="8"/>
  <c r="U51" i="8"/>
  <c r="U12" i="8"/>
  <c r="U27" i="8"/>
  <c r="U43" i="8"/>
  <c r="AF331" i="1"/>
  <c r="AF246" i="1"/>
  <c r="U68" i="8"/>
  <c r="AF279" i="1"/>
  <c r="U16" i="8"/>
  <c r="U52" i="8"/>
  <c r="U31" i="8"/>
  <c r="AF435" i="1"/>
  <c r="AI605" i="1"/>
  <c r="AB605" i="1" s="1"/>
  <c r="AC605" i="1" s="1"/>
  <c r="AH39" i="1"/>
  <c r="AD39" i="1" s="1"/>
  <c r="U4" i="8"/>
  <c r="AH632" i="1"/>
  <c r="AD632" i="1" s="1"/>
  <c r="AF479" i="1"/>
  <c r="U87" i="8"/>
  <c r="AI675" i="1"/>
  <c r="AB675" i="1" s="1"/>
  <c r="AC675" i="1" s="1"/>
  <c r="AF710" i="1"/>
  <c r="U7" i="8"/>
  <c r="AI39" i="1"/>
  <c r="AB39" i="1" s="1"/>
  <c r="AC39" i="1" s="1"/>
  <c r="AI339" i="1"/>
  <c r="AB339" i="1" s="1"/>
  <c r="AC339" i="1" s="1"/>
  <c r="U79" i="8"/>
  <c r="U167" i="8"/>
  <c r="U196" i="8"/>
  <c r="AF653" i="1"/>
  <c r="U25" i="8"/>
  <c r="U49" i="8"/>
  <c r="U66" i="8"/>
  <c r="AF329" i="1"/>
  <c r="AF709" i="1"/>
  <c r="AI226" i="1"/>
  <c r="AB226" i="1" s="1"/>
  <c r="AC226" i="1" s="1"/>
  <c r="AI592" i="1"/>
  <c r="AB592" i="1" s="1"/>
  <c r="AF130" i="1"/>
  <c r="AH649" i="1"/>
  <c r="AD649" i="1" s="1"/>
  <c r="AF637" i="1"/>
  <c r="U201" i="8"/>
  <c r="AF655" i="1"/>
  <c r="U57" i="8"/>
  <c r="AF291" i="1"/>
  <c r="AF217" i="1"/>
  <c r="AF714" i="1"/>
  <c r="AF82" i="1"/>
  <c r="AF183" i="1"/>
  <c r="AF150" i="1"/>
  <c r="U24" i="8"/>
  <c r="AI594" i="1"/>
  <c r="AB594" i="1" s="1"/>
  <c r="AC594" i="1" s="1"/>
  <c r="AF298" i="1"/>
  <c r="AH592" i="1"/>
  <c r="AD592" i="1" s="1"/>
  <c r="AF120" i="1"/>
  <c r="AF619" i="1"/>
  <c r="AF131" i="1"/>
  <c r="AH603" i="1"/>
  <c r="AD603" i="1" s="1"/>
  <c r="AI597" i="1"/>
  <c r="AB597" i="1" s="1"/>
  <c r="AC597" i="1" s="1"/>
  <c r="AH645" i="1"/>
  <c r="AD645" i="1" s="1"/>
  <c r="AI649" i="1"/>
  <c r="AB649" i="1" s="1"/>
  <c r="AC649" i="1" s="1"/>
  <c r="AH568" i="1"/>
  <c r="AD568" i="1" s="1"/>
  <c r="U77" i="8"/>
  <c r="U229" i="8"/>
  <c r="U128" i="8"/>
  <c r="U97" i="8"/>
  <c r="U168" i="8"/>
  <c r="U93" i="8"/>
  <c r="U111" i="8"/>
  <c r="U162" i="8"/>
  <c r="AF502" i="1"/>
  <c r="U222" i="8"/>
  <c r="U233" i="8"/>
  <c r="U98" i="8"/>
  <c r="U247" i="8"/>
  <c r="U254" i="8"/>
  <c r="AH691" i="1"/>
  <c r="AD691" i="1" s="1"/>
  <c r="U149" i="8"/>
  <c r="U124" i="8"/>
  <c r="U204" i="8"/>
  <c r="U170" i="8"/>
  <c r="U231" i="8"/>
  <c r="U85" i="8"/>
  <c r="U195" i="8"/>
  <c r="U96" i="8"/>
  <c r="AF300" i="1"/>
  <c r="U299" i="8"/>
  <c r="AF361" i="1"/>
  <c r="AH352" i="1"/>
  <c r="AD352" i="1" s="1"/>
  <c r="U82" i="8"/>
  <c r="U119" i="8"/>
  <c r="U137" i="8"/>
  <c r="U211" i="8"/>
  <c r="U112" i="8"/>
  <c r="U156" i="8"/>
  <c r="U129" i="8"/>
  <c r="U132" i="8"/>
  <c r="U110" i="8"/>
  <c r="AF480" i="1"/>
  <c r="U140" i="8"/>
  <c r="AF316" i="1"/>
  <c r="U292" i="8"/>
  <c r="U46" i="8"/>
  <c r="U50" i="8"/>
  <c r="AF237" i="1"/>
  <c r="AF330" i="1"/>
  <c r="AF734" i="1"/>
  <c r="AF334" i="1"/>
  <c r="AF712" i="1"/>
  <c r="AF146" i="1"/>
  <c r="AH606" i="1"/>
  <c r="AD606" i="1" s="1"/>
  <c r="AH596" i="1"/>
  <c r="AD596" i="1" s="1"/>
  <c r="AH591" i="1"/>
  <c r="AD591" i="1" s="1"/>
  <c r="AH615" i="1"/>
  <c r="AD615" i="1" s="1"/>
  <c r="AF133" i="1"/>
  <c r="AH609" i="1"/>
  <c r="AD609" i="1" s="1"/>
  <c r="AF128" i="1"/>
  <c r="AH565" i="1"/>
  <c r="AD565" i="1" s="1"/>
  <c r="AH608" i="1"/>
  <c r="AD608" i="1" s="1"/>
  <c r="AH566" i="1"/>
  <c r="AD566" i="1" s="1"/>
  <c r="AI648" i="1"/>
  <c r="AB648" i="1" s="1"/>
  <c r="AC648" i="1" s="1"/>
  <c r="AH561" i="1"/>
  <c r="AD561" i="1" s="1"/>
  <c r="U70" i="8"/>
  <c r="AF44" i="1"/>
  <c r="U80" i="8"/>
  <c r="U175" i="8"/>
  <c r="U193" i="8"/>
  <c r="U120" i="8"/>
  <c r="U200" i="8"/>
  <c r="AF481" i="1"/>
  <c r="U192" i="8"/>
  <c r="U155" i="8"/>
  <c r="U157" i="8"/>
  <c r="U183" i="8"/>
  <c r="AF367" i="1"/>
  <c r="AH69" i="1"/>
  <c r="AD69" i="1" s="1"/>
  <c r="U320" i="8"/>
  <c r="AI565" i="1"/>
  <c r="AB565" i="1" s="1"/>
  <c r="AF232" i="1"/>
  <c r="U14" i="8"/>
  <c r="AF233" i="1"/>
  <c r="AF333" i="1"/>
  <c r="AF722" i="1"/>
  <c r="AF92" i="1"/>
  <c r="AI606" i="1"/>
  <c r="AB606" i="1" s="1"/>
  <c r="AC606" i="1" s="1"/>
  <c r="AI596" i="1"/>
  <c r="AB596" i="1" s="1"/>
  <c r="AC596" i="1" s="1"/>
  <c r="AI591" i="1"/>
  <c r="AB591" i="1" s="1"/>
  <c r="AC591" i="1" s="1"/>
  <c r="AF625" i="1"/>
  <c r="AF135" i="1"/>
  <c r="AH610" i="1"/>
  <c r="AD610" i="1" s="1"/>
  <c r="AF140" i="1"/>
  <c r="AH311" i="1"/>
  <c r="AD311" i="1" s="1"/>
  <c r="AI608" i="1"/>
  <c r="AB608" i="1" s="1"/>
  <c r="AC608" i="1" s="1"/>
  <c r="AH644" i="1"/>
  <c r="AD644" i="1" s="1"/>
  <c r="AH582" i="1"/>
  <c r="AD582" i="1" s="1"/>
  <c r="AI561" i="1"/>
  <c r="AB561" i="1" s="1"/>
  <c r="AC561" i="1" s="1"/>
  <c r="AF66" i="1"/>
  <c r="U138" i="8"/>
  <c r="AF365" i="1"/>
  <c r="U101" i="8"/>
  <c r="U228" i="8"/>
  <c r="U78" i="8"/>
  <c r="U214" i="8"/>
  <c r="U114" i="8"/>
  <c r="U161" i="8"/>
  <c r="U187" i="8"/>
  <c r="U223" i="8"/>
  <c r="AI578" i="1"/>
  <c r="AB578" i="1" s="1"/>
  <c r="AC578" i="1" s="1"/>
  <c r="U313" i="8"/>
  <c r="AH103" i="1"/>
  <c r="AD103" i="1" s="1"/>
  <c r="AF151" i="1"/>
  <c r="U63" i="8"/>
  <c r="U30" i="8"/>
  <c r="U28" i="8"/>
  <c r="AF719" i="1"/>
  <c r="U94" i="8"/>
  <c r="U163" i="8"/>
  <c r="U207" i="8"/>
  <c r="U81" i="8"/>
  <c r="U135" i="8"/>
  <c r="U84" i="8"/>
  <c r="AI638" i="1"/>
  <c r="AB638" i="1" s="1"/>
  <c r="AC638" i="1" s="1"/>
  <c r="AF559" i="1"/>
  <c r="U309" i="8"/>
  <c r="AH567" i="1"/>
  <c r="AD567" i="1" s="1"/>
  <c r="U363" i="8"/>
  <c r="AH170" i="1"/>
  <c r="AD170" i="1" s="1"/>
  <c r="U134" i="8"/>
  <c r="AF332" i="1"/>
  <c r="U18" i="8"/>
  <c r="AF707" i="1"/>
  <c r="AF62" i="1"/>
  <c r="AH602" i="1"/>
  <c r="AD602" i="1" s="1"/>
  <c r="AF320" i="1"/>
  <c r="AF626" i="1"/>
  <c r="AF126" i="1"/>
  <c r="AI610" i="1"/>
  <c r="AB610" i="1" s="1"/>
  <c r="AC610" i="1" s="1"/>
  <c r="AF137" i="1"/>
  <c r="AI311" i="1"/>
  <c r="AB311" i="1" s="1"/>
  <c r="AC311" i="1" s="1"/>
  <c r="AH611" i="1"/>
  <c r="AD611" i="1" s="1"/>
  <c r="AI644" i="1"/>
  <c r="AB644" i="1" s="1"/>
  <c r="AC644" i="1" s="1"/>
  <c r="AI582" i="1"/>
  <c r="AB582" i="1" s="1"/>
  <c r="AC582" i="1" s="1"/>
  <c r="AH630" i="1"/>
  <c r="AD630" i="1" s="1"/>
  <c r="U9" i="8"/>
  <c r="U45" i="8"/>
  <c r="U13" i="8"/>
  <c r="U21" i="8"/>
  <c r="AF729" i="1"/>
  <c r="AF727" i="1"/>
  <c r="AF744" i="1"/>
  <c r="AI602" i="1"/>
  <c r="AB602" i="1" s="1"/>
  <c r="AC602" i="1" s="1"/>
  <c r="AF319" i="1"/>
  <c r="AF627" i="1"/>
  <c r="AF125" i="1"/>
  <c r="AI595" i="1"/>
  <c r="AB595" i="1" s="1"/>
  <c r="AC595" i="1" s="1"/>
  <c r="AF141" i="1"/>
  <c r="AI304" i="1"/>
  <c r="AB304" i="1" s="1"/>
  <c r="AC304" i="1" s="1"/>
  <c r="AI611" i="1"/>
  <c r="AB611" i="1" s="1"/>
  <c r="AC611" i="1" s="1"/>
  <c r="AH631" i="1"/>
  <c r="AD631" i="1" s="1"/>
  <c r="AH616" i="1"/>
  <c r="AD616" i="1" s="1"/>
  <c r="AI630" i="1"/>
  <c r="AB630" i="1" s="1"/>
  <c r="AC630" i="1" s="1"/>
  <c r="AF640" i="1"/>
  <c r="U86" i="8"/>
  <c r="AF524" i="1"/>
  <c r="U164" i="8"/>
  <c r="U122" i="8"/>
  <c r="U181" i="8"/>
  <c r="U108" i="8"/>
  <c r="U206" i="8"/>
  <c r="U198" i="8"/>
  <c r="U242" i="8"/>
  <c r="AH638" i="1"/>
  <c r="AD638" i="1" s="1"/>
  <c r="U274" i="8"/>
  <c r="AF679" i="1"/>
  <c r="AI692" i="1"/>
  <c r="AB692" i="1" s="1"/>
  <c r="AC692" i="1" s="1"/>
  <c r="U385" i="8"/>
  <c r="AF245" i="1"/>
  <c r="U41" i="8"/>
  <c r="U47" i="8"/>
  <c r="AF101" i="1"/>
  <c r="AF229" i="1"/>
  <c r="AF225" i="1"/>
  <c r="U8" i="8"/>
  <c r="AF148" i="1"/>
  <c r="AH605" i="1"/>
  <c r="AD605" i="1" s="1"/>
  <c r="AI593" i="1"/>
  <c r="AB593" i="1" s="1"/>
  <c r="AC593" i="1" s="1"/>
  <c r="AI313" i="1"/>
  <c r="AB313" i="1" s="1"/>
  <c r="AC313" i="1" s="1"/>
  <c r="AI615" i="1"/>
  <c r="AB615" i="1" s="1"/>
  <c r="AC615" i="1" s="1"/>
  <c r="AF134" i="1"/>
  <c r="AF622" i="1"/>
  <c r="AF127" i="1"/>
  <c r="AH598" i="1"/>
  <c r="AD598" i="1" s="1"/>
  <c r="AI566" i="1"/>
  <c r="AB566" i="1" s="1"/>
  <c r="AC566" i="1" s="1"/>
  <c r="AH648" i="1"/>
  <c r="AD648" i="1" s="1"/>
  <c r="AF659" i="1"/>
  <c r="AF647" i="1"/>
  <c r="U142" i="8"/>
  <c r="U186" i="8"/>
  <c r="U179" i="8"/>
  <c r="U38" i="8"/>
  <c r="U62" i="8"/>
  <c r="U32" i="8"/>
  <c r="U72" i="8"/>
  <c r="U22" i="8"/>
  <c r="AF49" i="1"/>
  <c r="U105" i="8"/>
  <c r="U64" i="8"/>
  <c r="U40" i="8"/>
  <c r="U58" i="8"/>
  <c r="U56" i="8"/>
  <c r="AF48" i="1"/>
  <c r="U3" i="8"/>
  <c r="U178" i="8"/>
  <c r="U171" i="8"/>
  <c r="U59" i="8"/>
  <c r="U74" i="8"/>
  <c r="U34" i="8"/>
  <c r="U61" i="8"/>
  <c r="U73" i="8"/>
  <c r="U29" i="8"/>
  <c r="U20" i="8"/>
  <c r="AF149" i="1"/>
  <c r="AF143" i="1"/>
  <c r="AF60" i="1"/>
  <c r="AF156" i="1"/>
  <c r="AI43" i="1"/>
  <c r="AB43" i="1" s="1"/>
  <c r="AC43" i="1" s="1"/>
  <c r="AF628" i="1"/>
  <c r="AF124" i="1"/>
  <c r="AH595" i="1"/>
  <c r="AD595" i="1" s="1"/>
  <c r="AF139" i="1"/>
  <c r="AH304" i="1"/>
  <c r="AD304" i="1" s="1"/>
  <c r="AI612" i="1"/>
  <c r="AB612" i="1" s="1"/>
  <c r="AC612" i="1" s="1"/>
  <c r="AI631" i="1"/>
  <c r="AB631" i="1" s="1"/>
  <c r="AC631" i="1" s="1"/>
  <c r="AI616" i="1"/>
  <c r="AB616" i="1" s="1"/>
  <c r="AI336" i="1"/>
  <c r="AB336" i="1" s="1"/>
  <c r="AC336" i="1" s="1"/>
  <c r="U76" i="8"/>
  <c r="U237" i="8"/>
  <c r="U232" i="8"/>
  <c r="U127" i="8"/>
  <c r="U224" i="8"/>
  <c r="U189" i="8"/>
  <c r="U147" i="8"/>
  <c r="U113" i="8"/>
  <c r="U109" i="8"/>
  <c r="AI666" i="1"/>
  <c r="AB666" i="1" s="1"/>
  <c r="AC666" i="1" s="1"/>
  <c r="AF346" i="1"/>
  <c r="U308" i="8"/>
  <c r="U15" i="8"/>
  <c r="AF215" i="1"/>
  <c r="U23" i="8"/>
  <c r="U19" i="8"/>
  <c r="AF161" i="1"/>
  <c r="AF717" i="1"/>
  <c r="AF59" i="1"/>
  <c r="AF154" i="1"/>
  <c r="AH587" i="1"/>
  <c r="AD587" i="1" s="1"/>
  <c r="AF121" i="1"/>
  <c r="AF123" i="1"/>
  <c r="AF590" i="1"/>
  <c r="AF138" i="1"/>
  <c r="AH614" i="1"/>
  <c r="AD614" i="1" s="1"/>
  <c r="AH612" i="1"/>
  <c r="AD612" i="1" s="1"/>
  <c r="AI607" i="1"/>
  <c r="AB607" i="1" s="1"/>
  <c r="AC607" i="1" s="1"/>
  <c r="AH636" i="1"/>
  <c r="AD636" i="1" s="1"/>
  <c r="AH633" i="1"/>
  <c r="AD633" i="1" s="1"/>
  <c r="U212" i="8"/>
  <c r="U83" i="8"/>
  <c r="U197" i="8"/>
  <c r="U145" i="8"/>
  <c r="U215" i="8"/>
  <c r="U116" i="8"/>
  <c r="U89" i="8"/>
  <c r="U227" i="8"/>
  <c r="U188" i="8"/>
  <c r="U107" i="8"/>
  <c r="AF371" i="1"/>
  <c r="U150" i="8"/>
  <c r="U241" i="8"/>
  <c r="AH618" i="1"/>
  <c r="AD618" i="1" s="1"/>
  <c r="U279" i="8"/>
  <c r="AF688" i="1"/>
  <c r="U354" i="8"/>
  <c r="AH604" i="1"/>
  <c r="AD604" i="1" s="1"/>
  <c r="AI614" i="1"/>
  <c r="AB614" i="1" s="1"/>
  <c r="AH613" i="1"/>
  <c r="AD613" i="1" s="1"/>
  <c r="AH607" i="1"/>
  <c r="AD607" i="1" s="1"/>
  <c r="AI636" i="1"/>
  <c r="AB636" i="1" s="1"/>
  <c r="AC636" i="1" s="1"/>
  <c r="AI652" i="1"/>
  <c r="AB652" i="1" s="1"/>
  <c r="AE652" i="1" s="1"/>
  <c r="U236" i="8"/>
  <c r="U90" i="8"/>
  <c r="U182" i="8"/>
  <c r="U208" i="8"/>
  <c r="U123" i="8"/>
  <c r="U174" i="8"/>
  <c r="U235" i="8"/>
  <c r="U115" i="8"/>
  <c r="U166" i="8"/>
  <c r="U133" i="8"/>
  <c r="U159" i="8"/>
  <c r="U210" i="8"/>
  <c r="U216" i="8"/>
  <c r="U158" i="8"/>
  <c r="U173" i="8"/>
  <c r="AF687" i="1"/>
  <c r="U345" i="8"/>
  <c r="U375" i="8"/>
  <c r="U357" i="8"/>
  <c r="U362" i="8"/>
  <c r="AI352" i="1"/>
  <c r="AB352" i="1" s="1"/>
  <c r="AI170" i="1"/>
  <c r="AB170" i="1" s="1"/>
  <c r="AC170" i="1" s="1"/>
  <c r="U377" i="8"/>
  <c r="AF275" i="1"/>
  <c r="AF235" i="1"/>
  <c r="AF244" i="1"/>
  <c r="AF63" i="1"/>
  <c r="AF665" i="1"/>
  <c r="AF644" i="1"/>
  <c r="AF685" i="1"/>
  <c r="AF593" i="1"/>
  <c r="U10" i="8"/>
  <c r="U48" i="8"/>
  <c r="U35" i="8"/>
  <c r="U11" i="8"/>
  <c r="AF720" i="1"/>
  <c r="AF292" i="1"/>
  <c r="AF335" i="1"/>
  <c r="AF243" i="1"/>
  <c r="AF228" i="1"/>
  <c r="AH226" i="1"/>
  <c r="AD226" i="1" s="1"/>
  <c r="AF220" i="1"/>
  <c r="AF733" i="1"/>
  <c r="AF155" i="1"/>
  <c r="AH43" i="1"/>
  <c r="AD43" i="1" s="1"/>
  <c r="AF624" i="1"/>
  <c r="AF136" i="1"/>
  <c r="AI609" i="1"/>
  <c r="AB609" i="1" s="1"/>
  <c r="AC609" i="1" s="1"/>
  <c r="AF129" i="1"/>
  <c r="AF309" i="1"/>
  <c r="AH597" i="1"/>
  <c r="AD597" i="1" s="1"/>
  <c r="AH599" i="1"/>
  <c r="AD599" i="1" s="1"/>
  <c r="AI632" i="1"/>
  <c r="AB632" i="1" s="1"/>
  <c r="AC632" i="1" s="1"/>
  <c r="AI635" i="1"/>
  <c r="AB635" i="1" s="1"/>
  <c r="AC635" i="1" s="1"/>
  <c r="AI633" i="1"/>
  <c r="AB633" i="1" s="1"/>
  <c r="U205" i="8"/>
  <c r="U131" i="8"/>
  <c r="AF477" i="1"/>
  <c r="U220" i="8"/>
  <c r="U126" i="8"/>
  <c r="U118" i="8"/>
  <c r="U177" i="8"/>
  <c r="U139" i="8"/>
  <c r="U199" i="8"/>
  <c r="U202" i="8"/>
  <c r="U169" i="8"/>
  <c r="U165" i="8"/>
  <c r="U191" i="8"/>
  <c r="U252" i="8"/>
  <c r="U255" i="8"/>
  <c r="AF560" i="1"/>
  <c r="AI639" i="1"/>
  <c r="AB639" i="1" s="1"/>
  <c r="AI618" i="1"/>
  <c r="AB618" i="1" s="1"/>
  <c r="AC618" i="1" s="1"/>
  <c r="U266" i="8"/>
  <c r="U269" i="8"/>
  <c r="AF315" i="1"/>
  <c r="AH578" i="1"/>
  <c r="AD578" i="1" s="1"/>
  <c r="U310" i="8"/>
  <c r="U284" i="8"/>
  <c r="AF427" i="1"/>
  <c r="U325" i="8"/>
  <c r="U323" i="8"/>
  <c r="U295" i="8"/>
  <c r="U293" i="8"/>
  <c r="U287" i="8"/>
  <c r="U297" i="8"/>
  <c r="AF677" i="1"/>
  <c r="U351" i="8"/>
  <c r="AH692" i="1"/>
  <c r="AD692" i="1" s="1"/>
  <c r="U364" i="8"/>
  <c r="U373" i="8"/>
  <c r="U369" i="8"/>
  <c r="U382" i="8"/>
  <c r="AH764" i="1"/>
  <c r="AD764" i="1" s="1"/>
  <c r="AF234" i="1"/>
  <c r="AF671" i="1"/>
  <c r="U397" i="8"/>
  <c r="AF344" i="1"/>
  <c r="AF568" i="1"/>
  <c r="AF639" i="1"/>
  <c r="AF69" i="1"/>
  <c r="AF649" i="1"/>
  <c r="AF666" i="1"/>
  <c r="AF675" i="1"/>
  <c r="AF618" i="1"/>
  <c r="U144" i="8"/>
  <c r="U125" i="8"/>
  <c r="U92" i="8"/>
  <c r="U257" i="8"/>
  <c r="U246" i="8"/>
  <c r="U243" i="8"/>
  <c r="AH639" i="1"/>
  <c r="AD639" i="1" s="1"/>
  <c r="AI341" i="1"/>
  <c r="AB341" i="1" s="1"/>
  <c r="AC341" i="1" s="1"/>
  <c r="AI667" i="1"/>
  <c r="AB667" i="1" s="1"/>
  <c r="AC667" i="1" s="1"/>
  <c r="AF672" i="1"/>
  <c r="U296" i="8"/>
  <c r="U332" i="8"/>
  <c r="U291" i="8"/>
  <c r="U281" i="8"/>
  <c r="U326" i="8"/>
  <c r="U294" i="8"/>
  <c r="AH575" i="1"/>
  <c r="AD575" i="1" s="1"/>
  <c r="AF676" i="1"/>
  <c r="U67" i="8"/>
  <c r="AI95" i="1"/>
  <c r="AB95" i="1" s="1"/>
  <c r="AC95" i="1" s="1"/>
  <c r="U356" i="8"/>
  <c r="U358" i="8"/>
  <c r="U217" i="8"/>
  <c r="U368" i="8"/>
  <c r="U383" i="8"/>
  <c r="AI764" i="1"/>
  <c r="AB764" i="1" s="1"/>
  <c r="U386" i="8"/>
  <c r="U387" i="8"/>
  <c r="U388" i="8"/>
  <c r="U394" i="8"/>
  <c r="AF763" i="1"/>
  <c r="U230" i="8"/>
  <c r="AF667" i="1"/>
  <c r="AF616" i="1"/>
  <c r="AF214" i="1"/>
  <c r="U209" i="8"/>
  <c r="AF600" i="1"/>
  <c r="AF166" i="1"/>
  <c r="AI344" i="1"/>
  <c r="AB344" i="1" s="1"/>
  <c r="AC344" i="1" s="1"/>
  <c r="U262" i="8"/>
  <c r="U272" i="8"/>
  <c r="AH667" i="1"/>
  <c r="AD667" i="1" s="1"/>
  <c r="AF673" i="1"/>
  <c r="U277" i="8"/>
  <c r="U278" i="8"/>
  <c r="U303" i="8"/>
  <c r="AF484" i="1"/>
  <c r="U302" i="8"/>
  <c r="U283" i="8"/>
  <c r="U286" i="8"/>
  <c r="U343" i="8"/>
  <c r="U300" i="8"/>
  <c r="U319" i="8"/>
  <c r="AI575" i="1"/>
  <c r="AB575" i="1" s="1"/>
  <c r="AH665" i="1"/>
  <c r="AD665" i="1" s="1"/>
  <c r="AH95" i="1"/>
  <c r="AD95" i="1" s="1"/>
  <c r="U353" i="8"/>
  <c r="AF749" i="1"/>
  <c r="U374" i="8"/>
  <c r="AI239" i="1"/>
  <c r="AB239" i="1" s="1"/>
  <c r="AC239" i="1" s="1"/>
  <c r="U379" i="8"/>
  <c r="AH702" i="1"/>
  <c r="AD702" i="1" s="1"/>
  <c r="AF612" i="1"/>
  <c r="AF39" i="1"/>
  <c r="AF341" i="1"/>
  <c r="AF674" i="1"/>
  <c r="AF352" i="1"/>
  <c r="AF103" i="1"/>
  <c r="U151" i="8"/>
  <c r="U154" i="8"/>
  <c r="U121" i="8"/>
  <c r="U117" i="8"/>
  <c r="U143" i="8"/>
  <c r="U249" i="8"/>
  <c r="U248" i="8"/>
  <c r="AF584" i="1"/>
  <c r="AF162" i="1"/>
  <c r="AH670" i="1"/>
  <c r="AD670" i="1" s="1"/>
  <c r="AH576" i="1"/>
  <c r="AD576" i="1" s="1"/>
  <c r="AF212" i="1"/>
  <c r="AI674" i="1"/>
  <c r="AB674" i="1" s="1"/>
  <c r="AC674" i="1" s="1"/>
  <c r="U289" i="8"/>
  <c r="U336" i="8"/>
  <c r="U305" i="8"/>
  <c r="U316" i="8"/>
  <c r="U338" i="8"/>
  <c r="AH224" i="1"/>
  <c r="AD224" i="1" s="1"/>
  <c r="AI665" i="1"/>
  <c r="AB665" i="1" s="1"/>
  <c r="AC665" i="1" s="1"/>
  <c r="AH585" i="1"/>
  <c r="AD585" i="1" s="1"/>
  <c r="U347" i="8"/>
  <c r="U349" i="8"/>
  <c r="AI689" i="1"/>
  <c r="AB689" i="1" s="1"/>
  <c r="AC689" i="1" s="1"/>
  <c r="U359" i="8"/>
  <c r="U355" i="8"/>
  <c r="AI601" i="1"/>
  <c r="AB601" i="1" s="1"/>
  <c r="AC601" i="1" s="1"/>
  <c r="U371" i="8"/>
  <c r="AH239" i="1"/>
  <c r="AD239" i="1" s="1"/>
  <c r="AI702" i="1"/>
  <c r="AB702" i="1" s="1"/>
  <c r="AC702" i="1" s="1"/>
  <c r="AF221" i="1"/>
  <c r="AF201" i="1"/>
  <c r="AF645" i="1"/>
  <c r="AF311" i="1"/>
  <c r="AF690" i="1"/>
  <c r="AF756" i="1"/>
  <c r="AF638" i="1"/>
  <c r="AF281" i="1"/>
  <c r="AF43" i="1"/>
  <c r="AF259" i="1"/>
  <c r="AF605" i="1"/>
  <c r="AF336" i="1"/>
  <c r="AF617" i="1"/>
  <c r="U258" i="8"/>
  <c r="U260" i="8"/>
  <c r="AF164" i="1"/>
  <c r="AI670" i="1"/>
  <c r="AB670" i="1" s="1"/>
  <c r="AC670" i="1" s="1"/>
  <c r="AI576" i="1"/>
  <c r="AB576" i="1" s="1"/>
  <c r="AC576" i="1" s="1"/>
  <c r="U271" i="8"/>
  <c r="AF211" i="1"/>
  <c r="AH674" i="1"/>
  <c r="AD674" i="1" s="1"/>
  <c r="U275" i="8"/>
  <c r="U268" i="8"/>
  <c r="AF482" i="1"/>
  <c r="U317" i="8"/>
  <c r="U341" i="8"/>
  <c r="U342" i="8"/>
  <c r="AI224" i="1"/>
  <c r="AB224" i="1" s="1"/>
  <c r="AC224" i="1" s="1"/>
  <c r="AI589" i="1"/>
  <c r="AB589" i="1" s="1"/>
  <c r="AC589" i="1" s="1"/>
  <c r="AI585" i="1"/>
  <c r="AB585" i="1" s="1"/>
  <c r="AC585" i="1" s="1"/>
  <c r="AH689" i="1"/>
  <c r="AD689" i="1" s="1"/>
  <c r="U361" i="8"/>
  <c r="AH601" i="1"/>
  <c r="AD601" i="1" s="1"/>
  <c r="AF193" i="1"/>
  <c r="U381" i="8"/>
  <c r="AH756" i="1"/>
  <c r="AD756" i="1" s="1"/>
  <c r="U392" i="8"/>
  <c r="AF204" i="1"/>
  <c r="AF203" i="1"/>
  <c r="AF200" i="1"/>
  <c r="AF702" i="1"/>
  <c r="AF764" i="1"/>
  <c r="AF95" i="1"/>
  <c r="AF577" i="1"/>
  <c r="U234" i="8"/>
  <c r="U106" i="8"/>
  <c r="U194" i="8"/>
  <c r="U239" i="8"/>
  <c r="U259" i="8"/>
  <c r="U251" i="8"/>
  <c r="AF650" i="1"/>
  <c r="U221" i="8"/>
  <c r="AF163" i="1"/>
  <c r="AH642" i="1"/>
  <c r="AD642" i="1" s="1"/>
  <c r="U265" i="8"/>
  <c r="AI646" i="1"/>
  <c r="AB646" i="1" s="1"/>
  <c r="AC646" i="1" s="1"/>
  <c r="AF345" i="1"/>
  <c r="AF664" i="1"/>
  <c r="U306" i="8"/>
  <c r="U337" i="8"/>
  <c r="U327" i="8"/>
  <c r="U285" i="8"/>
  <c r="U307" i="8"/>
  <c r="AI668" i="1"/>
  <c r="AB668" i="1" s="1"/>
  <c r="AC668" i="1" s="1"/>
  <c r="AH589" i="1"/>
  <c r="AD589" i="1" s="1"/>
  <c r="AH61" i="1"/>
  <c r="AD61" i="1" s="1"/>
  <c r="AI281" i="1"/>
  <c r="AB281" i="1" s="1"/>
  <c r="AC281" i="1" s="1"/>
  <c r="AF700" i="1"/>
  <c r="AF261" i="1"/>
  <c r="AF192" i="1"/>
  <c r="AI756" i="1"/>
  <c r="AB756" i="1" s="1"/>
  <c r="AC756" i="1" s="1"/>
  <c r="AF205" i="1"/>
  <c r="AF202" i="1"/>
  <c r="U393" i="8"/>
  <c r="U396" i="8"/>
  <c r="AF339" i="1"/>
  <c r="AF595" i="1"/>
  <c r="AF668" i="1"/>
  <c r="AF604" i="1"/>
  <c r="AF681" i="1"/>
  <c r="AF170" i="1"/>
  <c r="AF582" i="1"/>
  <c r="AF601" i="1"/>
  <c r="AF589" i="1"/>
  <c r="AF565" i="1"/>
  <c r="AF660" i="1"/>
  <c r="U250" i="8"/>
  <c r="U245" i="8"/>
  <c r="AF165" i="1"/>
  <c r="AI642" i="1"/>
  <c r="AB642" i="1" s="1"/>
  <c r="AC642" i="1" s="1"/>
  <c r="AH646" i="1"/>
  <c r="AD646" i="1" s="1"/>
  <c r="U276" i="8"/>
  <c r="AF663" i="1"/>
  <c r="U329" i="8"/>
  <c r="U318" i="8"/>
  <c r="U331" i="8"/>
  <c r="AH668" i="1"/>
  <c r="AD668" i="1" s="1"/>
  <c r="AI690" i="1"/>
  <c r="AB690" i="1" s="1"/>
  <c r="AC690" i="1" s="1"/>
  <c r="AI61" i="1"/>
  <c r="AB61" i="1" s="1"/>
  <c r="AC61" i="1" s="1"/>
  <c r="U350" i="8"/>
  <c r="U348" i="8"/>
  <c r="AI697" i="1"/>
  <c r="AB697" i="1" s="1"/>
  <c r="AC697" i="1" s="1"/>
  <c r="AF699" i="1"/>
  <c r="U372" i="8"/>
  <c r="AF260" i="1"/>
  <c r="AF197" i="1"/>
  <c r="U376" i="8"/>
  <c r="AI259" i="1"/>
  <c r="AB259" i="1" s="1"/>
  <c r="AC259" i="1" s="1"/>
  <c r="U390" i="8"/>
  <c r="AF588" i="1"/>
  <c r="AF636" i="1"/>
  <c r="AF614" i="1"/>
  <c r="AF607" i="1"/>
  <c r="AF587" i="1"/>
  <c r="AF575" i="1"/>
  <c r="AF613" i="1"/>
  <c r="U172" i="8"/>
  <c r="U136" i="8"/>
  <c r="U104" i="8"/>
  <c r="U88" i="8"/>
  <c r="U102" i="8"/>
  <c r="U240" i="8"/>
  <c r="U238" i="8"/>
  <c r="AF661" i="1"/>
  <c r="AF657" i="1"/>
  <c r="AH63" i="1"/>
  <c r="AD63" i="1" s="1"/>
  <c r="AH577" i="1"/>
  <c r="AD577" i="1" s="1"/>
  <c r="U263" i="8"/>
  <c r="U264" i="8"/>
  <c r="U267" i="8"/>
  <c r="AH214" i="1"/>
  <c r="AD214" i="1" s="1"/>
  <c r="AF343" i="1"/>
  <c r="U315" i="8"/>
  <c r="U290" i="8"/>
  <c r="U340" i="8"/>
  <c r="AF574" i="1"/>
  <c r="U321" i="8"/>
  <c r="U334" i="8"/>
  <c r="U352" i="8"/>
  <c r="U288" i="8"/>
  <c r="U333" i="8"/>
  <c r="U322" i="8"/>
  <c r="AH685" i="1"/>
  <c r="AD685" i="1" s="1"/>
  <c r="AH690" i="1"/>
  <c r="AD690" i="1" s="1"/>
  <c r="AI588" i="1"/>
  <c r="AB588" i="1" s="1"/>
  <c r="AH697" i="1"/>
  <c r="AD697" i="1" s="1"/>
  <c r="U365" i="8"/>
  <c r="U360" i="8"/>
  <c r="AH696" i="1"/>
  <c r="AD696" i="1" s="1"/>
  <c r="AH681" i="1"/>
  <c r="AD681" i="1" s="1"/>
  <c r="U367" i="8"/>
  <c r="AF196" i="1"/>
  <c r="U378" i="8"/>
  <c r="AH259" i="1"/>
  <c r="AD259" i="1" s="1"/>
  <c r="AF222" i="1"/>
  <c r="U389" i="8"/>
  <c r="AF296" i="1"/>
  <c r="AF592" i="1"/>
  <c r="AF615" i="1"/>
  <c r="AF692" i="1"/>
  <c r="AF61" i="1"/>
  <c r="AF635" i="1"/>
  <c r="AF696" i="1"/>
  <c r="AF611" i="1"/>
  <c r="U184" i="8"/>
  <c r="U180" i="8"/>
  <c r="U226" i="8"/>
  <c r="U95" i="8"/>
  <c r="U146" i="8"/>
  <c r="AF643" i="1"/>
  <c r="U253" i="8"/>
  <c r="AF656" i="1"/>
  <c r="AI63" i="1"/>
  <c r="AB63" i="1" s="1"/>
  <c r="AC63" i="1" s="1"/>
  <c r="AI577" i="1"/>
  <c r="AB577" i="1" s="1"/>
  <c r="AC577" i="1" s="1"/>
  <c r="U270" i="8"/>
  <c r="AI214" i="1"/>
  <c r="AB214" i="1" s="1"/>
  <c r="AC214" i="1" s="1"/>
  <c r="AI340" i="1"/>
  <c r="AB340" i="1" s="1"/>
  <c r="U280" i="8"/>
  <c r="U298" i="8"/>
  <c r="U304" i="8"/>
  <c r="U328" i="8"/>
  <c r="AI685" i="1"/>
  <c r="AB685" i="1" s="1"/>
  <c r="AC685" i="1" s="1"/>
  <c r="U339" i="8"/>
  <c r="AH588" i="1"/>
  <c r="AD588" i="1" s="1"/>
  <c r="U344" i="8"/>
  <c r="AF686" i="1"/>
  <c r="U366" i="8"/>
  <c r="AI696" i="1"/>
  <c r="AB696" i="1" s="1"/>
  <c r="AC696" i="1" s="1"/>
  <c r="AI681" i="1"/>
  <c r="AB681" i="1" s="1"/>
  <c r="AC681" i="1" s="1"/>
  <c r="U370" i="8"/>
  <c r="AH763" i="1"/>
  <c r="AD763" i="1" s="1"/>
  <c r="U380" i="8"/>
  <c r="AF199" i="1"/>
  <c r="U391" i="8"/>
  <c r="AF206" i="1"/>
  <c r="U395" i="8"/>
  <c r="AF599" i="1"/>
  <c r="AF313" i="1"/>
  <c r="AF596" i="1"/>
  <c r="AF585" i="1"/>
  <c r="AF597" i="1"/>
  <c r="AF594" i="1"/>
  <c r="AF239" i="1"/>
  <c r="AF630" i="1"/>
  <c r="AF697" i="1"/>
  <c r="AF603" i="1"/>
  <c r="AF576" i="1"/>
  <c r="AF610" i="1"/>
  <c r="U100" i="8"/>
  <c r="U148" i="8"/>
  <c r="U218" i="8"/>
  <c r="U213" i="8"/>
  <c r="U176" i="8"/>
  <c r="U256" i="8"/>
  <c r="U244" i="8"/>
  <c r="AF641" i="1"/>
  <c r="AF654" i="1"/>
  <c r="AH666" i="1"/>
  <c r="AD666" i="1" s="1"/>
  <c r="U273" i="8"/>
  <c r="AF301" i="1"/>
  <c r="AI69" i="1"/>
  <c r="AB69" i="1" s="1"/>
  <c r="AC69" i="1" s="1"/>
  <c r="AF662" i="1"/>
  <c r="AH675" i="1"/>
  <c r="AD675" i="1" s="1"/>
  <c r="U330" i="8"/>
  <c r="U335" i="8"/>
  <c r="U282" i="8"/>
  <c r="AF683" i="1"/>
  <c r="U301" i="8"/>
  <c r="U314" i="8"/>
  <c r="U311" i="8"/>
  <c r="U312" i="8"/>
  <c r="AI567" i="1"/>
  <c r="AB567" i="1" s="1"/>
  <c r="AC567" i="1" s="1"/>
  <c r="AI691" i="1"/>
  <c r="AB691" i="1" s="1"/>
  <c r="AC691" i="1" s="1"/>
  <c r="U346" i="8"/>
  <c r="U5" i="8"/>
  <c r="AI103" i="1"/>
  <c r="AB103" i="1" s="1"/>
  <c r="AC103" i="1" s="1"/>
  <c r="AI763" i="1"/>
  <c r="AB763" i="1" s="1"/>
  <c r="AC763" i="1" s="1"/>
  <c r="AF198" i="1"/>
  <c r="AF580" i="1"/>
  <c r="AF207" i="1"/>
  <c r="AF608" i="1"/>
  <c r="AF304" i="1"/>
  <c r="AF340" i="1"/>
  <c r="AF606" i="1"/>
  <c r="AF567" i="1"/>
  <c r="AF631" i="1"/>
  <c r="AF689" i="1"/>
  <c r="AF691" i="1"/>
  <c r="AF632" i="1"/>
  <c r="AF652" i="1"/>
  <c r="AF87" i="1"/>
  <c r="V298" i="8"/>
  <c r="AL298" i="8"/>
  <c r="AN298" i="8" s="1"/>
  <c r="V271" i="8"/>
  <c r="AL271" i="8"/>
  <c r="AM271" i="8" s="1"/>
  <c r="V216" i="8"/>
  <c r="AL261" i="8"/>
  <c r="AM261" i="8" s="1"/>
  <c r="AL143" i="8"/>
  <c r="AM143" i="8" s="1"/>
  <c r="V143" i="8"/>
  <c r="V69" i="8"/>
  <c r="V28" i="8"/>
  <c r="V59" i="8"/>
  <c r="V262" i="8"/>
  <c r="AL262" i="8"/>
  <c r="AN262" i="8" s="1"/>
  <c r="AL139" i="8"/>
  <c r="AN139" i="8" s="1"/>
  <c r="V139" i="8"/>
  <c r="V12" i="8"/>
  <c r="V290" i="8"/>
  <c r="AL290" i="8"/>
  <c r="AN290" i="8" s="1"/>
  <c r="V73" i="8"/>
  <c r="V302" i="8"/>
  <c r="AL302" i="8"/>
  <c r="AM302" i="8" s="1"/>
  <c r="V109" i="8"/>
  <c r="AL109" i="8"/>
  <c r="AM109" i="8" s="1"/>
  <c r="AL199" i="8"/>
  <c r="AN199" i="8" s="1"/>
  <c r="V199" i="8"/>
  <c r="V68" i="8"/>
  <c r="V155" i="8"/>
  <c r="AL155" i="8"/>
  <c r="AN155" i="8" s="1"/>
  <c r="AL197" i="8"/>
  <c r="AM197" i="8" s="1"/>
  <c r="AL177" i="8"/>
  <c r="AM177" i="8" s="1"/>
  <c r="V261" i="8"/>
  <c r="AL12" i="8"/>
  <c r="AN12" i="8" s="1"/>
  <c r="V307" i="8"/>
  <c r="AL307" i="8"/>
  <c r="AM307" i="8" s="1"/>
  <c r="AL145" i="8"/>
  <c r="AN145" i="8" s="1"/>
  <c r="V145" i="8"/>
  <c r="V16" i="8"/>
  <c r="AL16" i="8"/>
  <c r="AM16" i="8" s="1"/>
  <c r="AL265" i="8"/>
  <c r="AM265" i="8" s="1"/>
  <c r="V265" i="8"/>
  <c r="AL163" i="8"/>
  <c r="AM163" i="8" s="1"/>
  <c r="V163" i="8"/>
  <c r="V267" i="8"/>
  <c r="AL267" i="8"/>
  <c r="AM267" i="8" s="1"/>
  <c r="V318" i="8"/>
  <c r="AL318" i="8"/>
  <c r="AN318" i="8" s="1"/>
  <c r="V89" i="8"/>
  <c r="AL89" i="8"/>
  <c r="AM89" i="8" s="1"/>
  <c r="V52" i="8"/>
  <c r="V376" i="8"/>
  <c r="AL376" i="8"/>
  <c r="AN376" i="8" s="1"/>
  <c r="V332" i="8"/>
  <c r="AL332" i="8"/>
  <c r="AM332" i="8" s="1"/>
  <c r="AL105" i="8"/>
  <c r="AM105" i="8" s="1"/>
  <c r="V105" i="8"/>
  <c r="V247" i="8"/>
  <c r="V386" i="8"/>
  <c r="AL246" i="8"/>
  <c r="AM246" i="8" s="1"/>
  <c r="AL337" i="8"/>
  <c r="AM337" i="8" s="1"/>
  <c r="V338" i="8"/>
  <c r="AL338" i="8"/>
  <c r="AN338" i="8" s="1"/>
  <c r="V372" i="8"/>
  <c r="V392" i="8"/>
  <c r="V396" i="8"/>
  <c r="AL95" i="8"/>
  <c r="AM95" i="8" s="1"/>
  <c r="AL250" i="8"/>
  <c r="AM250" i="8" s="1"/>
  <c r="AL301" i="8"/>
  <c r="AM301" i="8" s="1"/>
  <c r="V250" i="8"/>
  <c r="V334" i="8"/>
  <c r="AL334" i="8"/>
  <c r="AM334" i="8" s="1"/>
  <c r="AM397" i="8"/>
  <c r="AN397" i="8"/>
  <c r="AM396" i="8"/>
  <c r="AN396" i="8"/>
  <c r="AM394" i="8"/>
  <c r="AN394" i="8"/>
  <c r="AM391" i="8"/>
  <c r="AN391" i="8"/>
  <c r="AN385" i="8"/>
  <c r="AM385" i="8"/>
  <c r="AM386" i="8"/>
  <c r="AN386" i="8"/>
  <c r="AM387" i="8"/>
  <c r="AN387" i="8"/>
  <c r="AM388" i="8"/>
  <c r="AN388" i="8"/>
  <c r="AM392" i="8"/>
  <c r="AN392" i="8"/>
  <c r="AM389" i="8"/>
  <c r="AN389" i="8"/>
  <c r="AN379" i="8"/>
  <c r="AM379" i="8"/>
  <c r="AM378" i="8"/>
  <c r="AN378" i="8"/>
  <c r="AN380" i="8"/>
  <c r="AM380" i="8"/>
  <c r="AN369" i="8"/>
  <c r="AN370" i="8"/>
  <c r="AM370" i="8"/>
  <c r="AM368" i="8"/>
  <c r="AN368" i="8"/>
  <c r="AM372" i="8"/>
  <c r="AN372" i="8"/>
  <c r="AM373" i="8"/>
  <c r="AN373" i="8"/>
  <c r="AM371" i="8"/>
  <c r="AN371" i="8"/>
  <c r="AN354" i="8"/>
  <c r="AM354" i="8"/>
  <c r="AN365" i="8"/>
  <c r="AM365" i="8"/>
  <c r="AM360" i="8"/>
  <c r="AN360" i="8"/>
  <c r="AM355" i="8"/>
  <c r="AN355" i="8"/>
  <c r="AN356" i="8"/>
  <c r="AM356" i="8"/>
  <c r="AN363" i="8"/>
  <c r="AM363" i="8"/>
  <c r="AN364" i="8"/>
  <c r="AM364" i="8"/>
  <c r="AM361" i="8"/>
  <c r="AN361" i="8"/>
  <c r="AN358" i="8"/>
  <c r="AM358" i="8"/>
  <c r="AM353" i="8"/>
  <c r="AN353" i="8"/>
  <c r="AM351" i="8"/>
  <c r="AN351" i="8"/>
  <c r="AN347" i="8"/>
  <c r="AM347" i="8"/>
  <c r="AN350" i="8"/>
  <c r="AM350" i="8"/>
  <c r="AN346" i="8"/>
  <c r="AM346" i="8"/>
  <c r="AN345" i="8"/>
  <c r="AM345" i="8"/>
  <c r="AM349" i="8"/>
  <c r="AN349" i="8"/>
  <c r="AM344" i="8"/>
  <c r="AN344" i="8"/>
  <c r="AN296" i="8"/>
  <c r="AM296" i="8"/>
  <c r="AM317" i="8"/>
  <c r="AN317" i="8"/>
  <c r="AM291" i="8"/>
  <c r="AN291" i="8"/>
  <c r="AM343" i="8"/>
  <c r="AN343" i="8"/>
  <c r="AM294" i="8"/>
  <c r="AN294" i="8"/>
  <c r="AM306" i="8"/>
  <c r="AN306" i="8"/>
  <c r="AM286" i="8"/>
  <c r="AN287" i="8"/>
  <c r="AM287" i="8"/>
  <c r="AM315" i="8"/>
  <c r="AN329" i="8"/>
  <c r="AM329" i="8"/>
  <c r="AM336" i="8"/>
  <c r="AN336" i="8"/>
  <c r="AN305" i="8"/>
  <c r="AM305" i="8"/>
  <c r="AN331" i="8"/>
  <c r="AM331" i="8"/>
  <c r="AM341" i="8"/>
  <c r="AN341" i="8"/>
  <c r="AM342" i="8"/>
  <c r="AN342" i="8"/>
  <c r="AM340" i="8"/>
  <c r="AN340" i="8"/>
  <c r="AM285" i="8"/>
  <c r="AN285" i="8"/>
  <c r="AM352" i="8"/>
  <c r="AN352" i="8"/>
  <c r="AM288" i="8"/>
  <c r="AN288" i="8"/>
  <c r="AN312" i="8"/>
  <c r="AM312" i="8"/>
  <c r="AM330" i="8"/>
  <c r="AN330" i="8"/>
  <c r="AM314" i="8"/>
  <c r="AN314" i="8"/>
  <c r="AM333" i="8"/>
  <c r="AN333" i="8"/>
  <c r="AM322" i="8"/>
  <c r="AN322" i="8"/>
  <c r="AN292" i="8"/>
  <c r="AM292" i="8"/>
  <c r="AN299" i="8"/>
  <c r="AM299" i="8"/>
  <c r="AM325" i="8"/>
  <c r="AN325" i="8"/>
  <c r="AN309" i="8"/>
  <c r="AM309" i="8"/>
  <c r="AM335" i="8"/>
  <c r="AN335" i="8"/>
  <c r="AN313" i="8"/>
  <c r="AM313" i="8"/>
  <c r="AN295" i="8"/>
  <c r="AM295" i="8"/>
  <c r="AN293" i="8"/>
  <c r="AM293" i="8"/>
  <c r="AN311" i="8"/>
  <c r="AM311" i="8"/>
  <c r="AM339" i="8"/>
  <c r="AN339" i="8"/>
  <c r="AM303" i="8"/>
  <c r="AN303" i="8"/>
  <c r="AM326" i="8"/>
  <c r="AN326" i="8"/>
  <c r="AM297" i="8"/>
  <c r="AN297" i="8"/>
  <c r="AN310" i="8"/>
  <c r="AM310" i="8"/>
  <c r="AN283" i="8"/>
  <c r="AM283" i="8"/>
  <c r="AN289" i="8"/>
  <c r="AM289" i="8"/>
  <c r="AM319" i="8"/>
  <c r="AN319" i="8"/>
  <c r="AN281" i="8"/>
  <c r="AM281" i="8"/>
  <c r="AN277" i="8"/>
  <c r="AM277" i="8"/>
  <c r="AN274" i="8"/>
  <c r="AM274" i="8"/>
  <c r="AN276" i="8"/>
  <c r="AM276" i="8"/>
  <c r="AN275" i="8"/>
  <c r="AM275" i="8"/>
  <c r="AN279" i="8"/>
  <c r="AM279" i="8"/>
  <c r="AN280" i="8"/>
  <c r="AM280" i="8"/>
  <c r="AM278" i="8"/>
  <c r="AN278" i="8"/>
  <c r="AN266" i="8"/>
  <c r="AM270" i="8"/>
  <c r="AN270" i="8"/>
  <c r="AN252" i="8"/>
  <c r="AM252" i="8"/>
  <c r="AN255" i="8"/>
  <c r="AM255" i="8"/>
  <c r="AN256" i="8"/>
  <c r="AM256" i="8"/>
  <c r="AM247" i="8"/>
  <c r="AN247" i="8"/>
  <c r="AM244" i="8"/>
  <c r="AN244" i="8"/>
  <c r="AM242" i="8"/>
  <c r="AN242" i="8"/>
  <c r="AN249" i="8"/>
  <c r="AM249" i="8"/>
  <c r="AN257" i="8"/>
  <c r="AM257" i="8"/>
  <c r="AN254" i="8"/>
  <c r="AM248" i="8"/>
  <c r="AN248" i="8"/>
  <c r="AN251" i="8"/>
  <c r="AM251" i="8"/>
  <c r="AM240" i="8"/>
  <c r="AN240" i="8"/>
  <c r="AN258" i="8"/>
  <c r="AM258" i="8"/>
  <c r="AM260" i="8"/>
  <c r="AN260" i="8"/>
  <c r="AM186" i="8"/>
  <c r="AN186" i="8"/>
  <c r="AM182" i="8"/>
  <c r="AN182" i="8"/>
  <c r="AM224" i="8"/>
  <c r="AN224" i="8"/>
  <c r="AN181" i="8"/>
  <c r="AM181" i="8"/>
  <c r="AM156" i="8"/>
  <c r="AN156" i="8"/>
  <c r="AM172" i="8"/>
  <c r="AN172" i="8"/>
  <c r="AN88" i="8"/>
  <c r="AM88" i="8"/>
  <c r="AN234" i="8"/>
  <c r="AM234" i="8"/>
  <c r="AM237" i="8"/>
  <c r="AN237" i="8"/>
  <c r="AM179" i="8"/>
  <c r="AN179" i="8"/>
  <c r="AM100" i="8"/>
  <c r="AN100" i="8"/>
  <c r="AM167" i="8"/>
  <c r="AN167" i="8"/>
  <c r="AM90" i="8"/>
  <c r="AN90" i="8"/>
  <c r="AN198" i="8"/>
  <c r="AM198" i="8"/>
  <c r="AN232" i="8"/>
  <c r="AM232" i="8"/>
  <c r="AM225" i="8"/>
  <c r="AN225" i="8"/>
  <c r="AN116" i="8"/>
  <c r="AM116" i="8"/>
  <c r="AN207" i="8"/>
  <c r="AN161" i="8"/>
  <c r="AM161" i="8"/>
  <c r="AM117" i="8"/>
  <c r="AN117" i="8"/>
  <c r="AM94" i="8"/>
  <c r="AN94" i="8"/>
  <c r="AN138" i="8"/>
  <c r="AM138" i="8"/>
  <c r="AN153" i="8"/>
  <c r="AM153" i="8"/>
  <c r="AM128" i="8"/>
  <c r="AN128" i="8"/>
  <c r="AN134" i="8"/>
  <c r="AM134" i="8"/>
  <c r="AN82" i="8"/>
  <c r="AM82" i="8"/>
  <c r="AM235" i="8"/>
  <c r="AN235" i="8"/>
  <c r="AN166" i="8"/>
  <c r="AM166" i="8"/>
  <c r="AM114" i="8"/>
  <c r="AN114" i="8"/>
  <c r="AN136" i="8"/>
  <c r="AM136" i="8"/>
  <c r="AN223" i="8"/>
  <c r="AM223" i="8"/>
  <c r="AM148" i="8"/>
  <c r="AN148" i="8"/>
  <c r="AM218" i="8"/>
  <c r="AN218" i="8"/>
  <c r="AM102" i="8"/>
  <c r="AN102" i="8"/>
  <c r="AM141" i="8"/>
  <c r="AN141" i="8"/>
  <c r="AN196" i="8"/>
  <c r="AM196" i="8"/>
  <c r="AN227" i="8"/>
  <c r="AM227" i="8"/>
  <c r="AN233" i="8"/>
  <c r="AM233" i="8"/>
  <c r="AM184" i="8"/>
  <c r="AN184" i="8"/>
  <c r="AN226" i="8"/>
  <c r="AM226" i="8"/>
  <c r="AN219" i="8"/>
  <c r="AM219" i="8"/>
  <c r="AM147" i="8"/>
  <c r="AN147" i="8"/>
  <c r="AN173" i="8"/>
  <c r="AM173" i="8"/>
  <c r="AN168" i="8"/>
  <c r="AM168" i="8"/>
  <c r="AM160" i="8"/>
  <c r="AN160" i="8"/>
  <c r="AN193" i="8"/>
  <c r="AM193" i="8"/>
  <c r="AM231" i="8"/>
  <c r="AN231" i="8"/>
  <c r="AM111" i="8"/>
  <c r="AN111" i="8"/>
  <c r="AN113" i="8"/>
  <c r="AM113" i="8"/>
  <c r="AN158" i="8"/>
  <c r="AM158" i="8"/>
  <c r="AM213" i="8"/>
  <c r="AN213" i="8"/>
  <c r="AM86" i="8"/>
  <c r="AN86" i="8"/>
  <c r="AN120" i="8"/>
  <c r="AM120" i="8"/>
  <c r="AM151" i="8"/>
  <c r="AN151" i="8"/>
  <c r="AM154" i="8"/>
  <c r="AN154" i="8"/>
  <c r="AM140" i="8"/>
  <c r="AN140" i="8"/>
  <c r="AN98" i="8"/>
  <c r="AM98" i="8"/>
  <c r="AN81" i="8"/>
  <c r="AM81" i="8"/>
  <c r="AM206" i="8"/>
  <c r="AN206" i="8"/>
  <c r="AM204" i="8"/>
  <c r="AN204" i="8"/>
  <c r="AM80" i="8"/>
  <c r="AN80" i="8"/>
  <c r="AM183" i="8"/>
  <c r="AN183" i="8"/>
  <c r="AN205" i="8"/>
  <c r="AM205" i="8"/>
  <c r="AM93" i="8"/>
  <c r="AN93" i="8"/>
  <c r="AN185" i="8"/>
  <c r="AM185" i="8"/>
  <c r="AN85" i="8"/>
  <c r="AM85" i="8"/>
  <c r="AM210" i="8"/>
  <c r="AN210" i="8"/>
  <c r="AN99" i="8"/>
  <c r="AM99" i="8"/>
  <c r="AN208" i="8"/>
  <c r="AM208" i="8"/>
  <c r="AN178" i="8"/>
  <c r="AM178" i="8"/>
  <c r="AN200" i="8"/>
  <c r="AN170" i="8"/>
  <c r="AM170" i="8"/>
  <c r="AM112" i="8"/>
  <c r="AN112" i="8"/>
  <c r="AM162" i="8"/>
  <c r="AN162" i="8"/>
  <c r="AN203" i="8"/>
  <c r="AM203" i="8"/>
  <c r="AM152" i="8"/>
  <c r="AN152" i="8"/>
  <c r="AN222" i="8"/>
  <c r="AM222" i="8"/>
  <c r="AM135" i="8"/>
  <c r="AN135" i="8"/>
  <c r="AM144" i="8"/>
  <c r="AN144" i="8"/>
  <c r="AN125" i="8"/>
  <c r="AM125" i="8"/>
  <c r="AN209" i="8"/>
  <c r="AM209" i="8"/>
  <c r="AN228" i="8"/>
  <c r="AM228" i="8"/>
  <c r="AN133" i="8"/>
  <c r="AM133" i="8"/>
  <c r="AM211" i="8"/>
  <c r="AN211" i="8"/>
  <c r="AN142" i="8"/>
  <c r="AM142" i="8"/>
  <c r="AM229" i="8"/>
  <c r="AN229" i="8"/>
  <c r="AN164" i="8"/>
  <c r="AM164" i="8"/>
  <c r="AN216" i="8"/>
  <c r="AM216" i="8"/>
  <c r="AN121" i="8"/>
  <c r="AM121" i="8"/>
  <c r="AM165" i="8"/>
  <c r="AN165" i="8"/>
  <c r="AM191" i="8"/>
  <c r="AN191" i="8"/>
  <c r="AM187" i="8"/>
  <c r="AN187" i="8"/>
  <c r="AM202" i="8"/>
  <c r="AN202" i="8"/>
  <c r="AN146" i="8"/>
  <c r="AM146" i="8"/>
  <c r="AN190" i="8"/>
  <c r="AM190" i="8"/>
  <c r="AN101" i="8"/>
  <c r="AM101" i="8"/>
  <c r="AM188" i="8"/>
  <c r="AN188" i="8"/>
  <c r="AN176" i="8"/>
  <c r="AM176" i="8"/>
  <c r="AM201" i="8"/>
  <c r="AN201" i="8"/>
  <c r="AN130" i="8"/>
  <c r="AM130" i="8"/>
  <c r="AM189" i="8"/>
  <c r="AN189" i="8"/>
  <c r="AM122" i="8"/>
  <c r="AN122" i="8"/>
  <c r="AM103" i="8"/>
  <c r="AN103" i="8"/>
  <c r="AM150" i="8"/>
  <c r="AN150" i="8"/>
  <c r="AM92" i="8"/>
  <c r="AN92" i="8"/>
  <c r="AM70" i="8"/>
  <c r="AN70" i="8"/>
  <c r="AM76" i="8"/>
  <c r="AN76" i="8"/>
  <c r="AM77" i="8"/>
  <c r="AN77" i="8"/>
  <c r="AM4" i="8"/>
  <c r="AN4" i="8"/>
  <c r="AM24" i="8"/>
  <c r="AN24" i="8"/>
  <c r="AM15" i="8"/>
  <c r="AM8" i="8"/>
  <c r="AN8" i="8"/>
  <c r="AM7" i="8"/>
  <c r="AN7" i="8"/>
  <c r="AM18" i="8"/>
  <c r="AN18" i="8"/>
  <c r="AN19" i="8"/>
  <c r="AM19" i="8"/>
  <c r="AE85" i="1"/>
  <c r="AM6" i="8"/>
  <c r="AN6" i="8"/>
  <c r="AM14" i="8"/>
  <c r="AN14" i="8"/>
  <c r="AN23" i="8"/>
  <c r="AM23" i="8"/>
  <c r="AN21" i="8"/>
  <c r="AM21" i="8"/>
  <c r="AN15" i="8"/>
  <c r="AM13" i="8"/>
  <c r="AN13" i="8"/>
  <c r="AM17" i="8"/>
  <c r="AN17" i="8"/>
  <c r="AM11" i="8"/>
  <c r="AN11" i="8"/>
  <c r="AM22" i="8"/>
  <c r="AN22" i="8"/>
  <c r="Q97" i="1"/>
  <c r="Q99" i="1"/>
  <c r="Q100" i="1"/>
  <c r="Q102" i="1"/>
  <c r="Q104" i="1"/>
  <c r="AL27" i="8"/>
  <c r="AL28" i="8"/>
  <c r="AL38" i="8"/>
  <c r="AL40" i="8"/>
  <c r="AL34" i="8"/>
  <c r="AL41" i="8"/>
  <c r="AL45" i="8"/>
  <c r="AL57" i="8"/>
  <c r="AL9" i="8"/>
  <c r="AL10" i="8"/>
  <c r="AL58" i="8"/>
  <c r="AL30" i="8"/>
  <c r="AL29" i="8"/>
  <c r="AL35" i="8"/>
  <c r="AL54" i="8"/>
  <c r="AL60" i="8"/>
  <c r="AL59" i="8"/>
  <c r="AL63" i="8"/>
  <c r="AL47" i="8"/>
  <c r="AL65" i="8"/>
  <c r="AL72" i="8"/>
  <c r="AL68" i="8"/>
  <c r="AL71" i="8"/>
  <c r="AL73" i="8"/>
  <c r="AL64" i="8"/>
  <c r="AL69" i="8"/>
  <c r="AL66" i="8"/>
  <c r="AL74" i="8"/>
  <c r="AL50" i="8"/>
  <c r="AL52" i="8"/>
  <c r="AL48" i="8"/>
  <c r="AL55" i="8"/>
  <c r="AL51" i="8"/>
  <c r="AL56" i="8"/>
  <c r="AL53" i="8"/>
  <c r="AL49" i="8"/>
  <c r="AL25" i="8"/>
  <c r="AL46" i="8"/>
  <c r="AL36" i="8"/>
  <c r="AH200" i="1" a="1"/>
  <c r="AH299" i="1" a="1"/>
  <c r="AI671" i="1" a="1"/>
  <c r="AH118" i="1" a="1"/>
  <c r="Z97" i="1"/>
  <c r="AI361" i="1" a="1"/>
  <c r="AH707" i="1" a="1"/>
  <c r="AI222" i="1" a="1"/>
  <c r="AI125" i="1" a="1"/>
  <c r="AI202" i="1" a="1"/>
  <c r="AI49" i="1" a="1"/>
  <c r="AH480" i="1" a="1"/>
  <c r="AI186" i="1" a="1"/>
  <c r="AH620" i="1" a="1"/>
  <c r="AI619" i="1" a="1"/>
  <c r="AH712" i="1" a="1"/>
  <c r="AI92" i="1" a="1"/>
  <c r="AI155" i="1" a="1"/>
  <c r="AH154" i="1" a="1"/>
  <c r="AI154" i="1" a="1"/>
  <c r="AI559" i="1" a="1"/>
  <c r="AI211" i="1" a="1"/>
  <c r="AH130" i="1" a="1"/>
  <c r="AH663" i="1" a="1"/>
  <c r="AI331" i="1" a="1"/>
  <c r="AI584" i="1" a="1"/>
  <c r="AI717" i="1" a="1"/>
  <c r="AI162" i="1" a="1"/>
  <c r="AH184" i="1" a="1"/>
  <c r="AH361" i="1" a="1"/>
  <c r="AI722" i="1" a="1"/>
  <c r="AI153" i="1" a="1"/>
  <c r="AH643" i="1" a="1"/>
  <c r="AH213" i="1" a="1"/>
  <c r="AI343" i="1" a="1"/>
  <c r="AH156" i="1" a="1"/>
  <c r="AH559" i="1" a="1"/>
  <c r="AH234" i="1" a="1"/>
  <c r="AH128" i="1" a="1"/>
  <c r="AI243" i="1" a="1"/>
  <c r="AH155" i="1" a="1"/>
  <c r="AI136" i="1" a="1"/>
  <c r="AH161" i="1" a="1"/>
  <c r="AH196" i="1" a="1"/>
  <c r="AH673" i="1" a="1"/>
  <c r="AI301" i="1" a="1"/>
  <c r="AI744" i="1" a="1"/>
  <c r="AI732" i="1" a="1"/>
  <c r="AH481" i="1" a="1"/>
  <c r="AI700" i="1" a="1"/>
  <c r="AH123" i="1" a="1"/>
  <c r="AH279" i="1" a="1"/>
  <c r="AH734" i="1" a="1"/>
  <c r="AI210" i="1" a="1"/>
  <c r="AH647" i="1" a="1"/>
  <c r="AI119" i="1" a="1"/>
  <c r="AH237" i="1" a="1"/>
  <c r="AI126" i="1" a="1"/>
  <c r="AH720" i="1" a="1"/>
  <c r="AI197" i="1" a="1"/>
  <c r="AI59" i="1" a="1"/>
  <c r="AH281" i="1" a="1"/>
  <c r="AI128" i="1" a="1"/>
  <c r="AH739" i="1" a="1"/>
  <c r="AH127" i="1" a="1"/>
  <c r="AH656" i="1" a="1"/>
  <c r="AH220" i="1" a="1"/>
  <c r="AH367" i="1" a="1"/>
  <c r="AH243" i="1" a="1"/>
  <c r="AA578" i="1"/>
  <c r="AI193" i="1" a="1"/>
  <c r="AH732" i="1" a="1"/>
  <c r="AA642" i="1"/>
  <c r="AH624" i="1" a="1"/>
  <c r="AI200" i="1" a="1"/>
  <c r="AH134" i="1" a="1"/>
  <c r="AH401" i="1" a="1"/>
  <c r="AI427" i="1" a="1"/>
  <c r="AI146" i="1" a="1"/>
  <c r="AI235" i="1" a="1"/>
  <c r="AI621" i="1" a="1"/>
  <c r="AI207" i="1" a="1"/>
  <c r="AI132" i="1" a="1"/>
  <c r="AH650" i="1" a="1"/>
  <c r="AH727" i="1" a="1"/>
  <c r="AH138" i="1" a="1"/>
  <c r="AI232" i="1" a="1"/>
  <c r="AI659" i="1" a="1"/>
  <c r="AA602" i="1"/>
  <c r="AI590" i="1" a="1"/>
  <c r="AH688" i="1" a="1"/>
  <c r="AI620" i="1" a="1"/>
  <c r="AH201" i="1" a="1"/>
  <c r="AH301" i="1" a="1"/>
  <c r="AA609" i="1"/>
  <c r="AH44" i="1" a="1"/>
  <c r="AH145" i="1" a="1"/>
  <c r="AH199" i="1" a="1"/>
  <c r="AH658" i="1" a="1"/>
  <c r="AH329" i="1" a="1"/>
  <c r="AH714" i="1" a="1"/>
  <c r="AH261" i="1" a="1"/>
  <c r="AH124" i="1" a="1"/>
  <c r="AI165" i="1" a="1"/>
  <c r="AH654" i="1" a="1"/>
  <c r="AI192" i="1" a="1"/>
  <c r="AH210" i="1" a="1"/>
  <c r="AH700" i="1" a="1"/>
  <c r="AH159" i="1" a="1"/>
  <c r="AH165" i="1" a="1"/>
  <c r="AH335" i="1" a="1"/>
  <c r="AH292" i="1" a="1"/>
  <c r="AH246" i="1" a="1"/>
  <c r="AH435" i="1" a="1"/>
  <c r="U97" i="1"/>
  <c r="AI707" i="1" a="1"/>
  <c r="AI329" i="1" a="1"/>
  <c r="AH133" i="1" a="1"/>
  <c r="AI727" i="1" a="1"/>
  <c r="AH331" i="1" a="1"/>
  <c r="AI679" i="1" a="1"/>
  <c r="AI299" i="1" a="1"/>
  <c r="U100" i="1"/>
  <c r="AH121" i="1" a="1"/>
  <c r="AH730" i="1" a="1"/>
  <c r="AH484" i="1" a="1"/>
  <c r="AI651" i="1" a="1"/>
  <c r="AH729" i="1" a="1"/>
  <c r="AI401" i="1" a="1"/>
  <c r="AH215" i="1" a="1"/>
  <c r="AI298" i="1" a="1"/>
  <c r="AH749" i="1" a="1"/>
  <c r="AI729" i="1" a="1"/>
  <c r="AH661" i="1" a="1"/>
  <c r="AI432" i="1" a="1"/>
  <c r="AH344" i="1" a="1"/>
  <c r="AI291" i="1" a="1"/>
  <c r="AI203" i="1" a="1"/>
  <c r="AI743" i="1" a="1"/>
  <c r="AA648" i="1"/>
  <c r="AI653" i="1" a="1"/>
  <c r="AI479" i="1" a="1"/>
  <c r="AI623" i="1" a="1"/>
  <c r="AI655" i="1" a="1"/>
  <c r="AI662" i="1" a="1"/>
  <c r="AI712" i="1" a="1"/>
  <c r="AH371" i="1" a="1"/>
  <c r="AI316" i="1" a="1"/>
  <c r="AI151" i="1" a="1"/>
  <c r="AH621" i="1" a="1"/>
  <c r="AH744" i="1" a="1"/>
  <c r="AH245" i="1" a="1"/>
  <c r="AH330" i="1" a="1"/>
  <c r="AH334" i="1" a="1"/>
  <c r="AH162" i="1" a="1"/>
  <c r="AI141" i="1" a="1"/>
  <c r="AI739" i="1" a="1"/>
  <c r="AH150" i="1" a="1"/>
  <c r="AI196" i="1" a="1"/>
  <c r="AI292" i="1" a="1"/>
  <c r="AI486" i="1" a="1"/>
  <c r="AH486" i="1" a="1"/>
  <c r="AH122" i="1" a="1"/>
  <c r="AI143" i="1" a="1"/>
  <c r="AI123" i="1" a="1"/>
  <c r="AH625" i="1" a="1"/>
  <c r="AH339" i="1" a="1"/>
  <c r="AI159" i="1" a="1"/>
  <c r="AH204" i="1" a="1"/>
  <c r="AI150" i="1" a="1"/>
  <c r="AI335" i="1" a="1"/>
  <c r="AH91" i="1" a="1"/>
  <c r="AI688" i="1" a="1"/>
  <c r="AH136" i="1" a="1"/>
  <c r="AI720" i="1" a="1"/>
  <c r="AI627" i="1" a="1"/>
  <c r="AI217" i="1" a="1"/>
  <c r="AH163" i="1" a="1"/>
  <c r="AI218" i="1" a="1"/>
  <c r="AH651" i="1" a="1"/>
  <c r="AI206" i="1" a="1"/>
  <c r="AI622" i="1" a="1"/>
  <c r="AI647" i="1" a="1"/>
  <c r="AI275" i="1" a="1"/>
  <c r="AH662" i="1" a="1"/>
  <c r="AH197" i="1" a="1"/>
  <c r="U102" i="1"/>
  <c r="AH93" i="1" a="1"/>
  <c r="AH623" i="1" a="1"/>
  <c r="AI346" i="1" a="1"/>
  <c r="AI641" i="1" a="1"/>
  <c r="AH479" i="1" a="1"/>
  <c r="AH617" i="1" a="1"/>
  <c r="AI371" i="1" a="1"/>
  <c r="AI220" i="1" a="1"/>
  <c r="AI140" i="1" a="1"/>
  <c r="AH202" i="1" a="1"/>
  <c r="AI163" i="1" a="1"/>
  <c r="AI637" i="1" a="1"/>
  <c r="AI127" i="1" a="1"/>
  <c r="AH240" i="1" a="1"/>
  <c r="AI237" i="1" a="1"/>
  <c r="AH709" i="1" a="1"/>
  <c r="AI661" i="1" a="1"/>
  <c r="AH60" i="1" a="1"/>
  <c r="AA566" i="1"/>
  <c r="AH193" i="1" a="1"/>
  <c r="AI657" i="1" a="1"/>
  <c r="AH584" i="1" a="1"/>
  <c r="AI330" i="1" a="1"/>
  <c r="AH343" i="1" a="1"/>
  <c r="AH340" i="1" a="1"/>
  <c r="AI145" i="1" a="1"/>
  <c r="AH228" i="1" a="1"/>
  <c r="AI686" i="1" a="1"/>
  <c r="AH722" i="1" a="1"/>
  <c r="AH427" i="1" a="1"/>
  <c r="AH146" i="1" a="1"/>
  <c r="AI624" i="1" a="1"/>
  <c r="AH338" i="1" a="1"/>
  <c r="AI332" i="1" a="1"/>
  <c r="AH683" i="1" a="1"/>
  <c r="AI320" i="1" a="1"/>
  <c r="AH574" i="1" a="1"/>
  <c r="AI245" i="1" a="1"/>
  <c r="AH139" i="1" a="1"/>
  <c r="AI233" i="1" a="1"/>
  <c r="AH319" i="1" a="1"/>
  <c r="AH143" i="1" a="1"/>
  <c r="AH149" i="1" a="1"/>
  <c r="Z102" i="1"/>
  <c r="AH218" i="1" a="1"/>
  <c r="AH206" i="1" a="1"/>
  <c r="AH717" i="1" a="1"/>
  <c r="AH365" i="1" a="1"/>
  <c r="AH733" i="1" a="1"/>
  <c r="AI148" i="1" a="1"/>
  <c r="AA646" i="1"/>
  <c r="AH719" i="1" a="1"/>
  <c r="AH92" i="1" a="1"/>
  <c r="AH49" i="1" a="1"/>
  <c r="AH640" i="1" a="1"/>
  <c r="AI240" i="1" a="1"/>
  <c r="AI660" i="1" a="1"/>
  <c r="AH332" i="1" a="1"/>
  <c r="AI149" i="1" a="1"/>
  <c r="AH126" i="1" a="1"/>
  <c r="U104" i="1"/>
  <c r="AI643" i="1" a="1"/>
  <c r="AH183" i="1" a="1"/>
  <c r="AH221" i="1" a="1"/>
  <c r="AI683" i="1" a="1"/>
  <c r="AI117" i="1" a="1"/>
  <c r="Z99" i="1"/>
  <c r="AH186" i="1" a="1"/>
  <c r="AI715" i="1" a="1"/>
  <c r="AI502" i="1" a="1"/>
  <c r="AI484" i="1" a="1"/>
  <c r="AH229" i="1" a="1"/>
  <c r="AH600" i="1" a="1"/>
  <c r="AH715" i="1" a="1"/>
  <c r="AI244" i="1" a="1"/>
  <c r="AI82" i="1" a="1"/>
  <c r="AH212" i="1" a="1"/>
  <c r="AH216" i="1" a="1"/>
  <c r="AI664" i="1" a="1"/>
  <c r="AI560" i="1" a="1"/>
  <c r="AI676" i="1" a="1"/>
  <c r="AH275" i="1" a="1"/>
  <c r="AI60" i="1" a="1"/>
  <c r="AI260" i="1" a="1"/>
  <c r="AH298" i="1" a="1"/>
  <c r="AH207" i="1" a="1"/>
  <c r="AH316" i="1" a="1"/>
  <c r="AH333" i="1" a="1"/>
  <c r="AI749" i="1" a="1"/>
  <c r="AH117" i="1" a="1"/>
  <c r="AI699" i="1" a="1"/>
  <c r="AH342" i="1" a="1"/>
  <c r="AH637" i="1" a="1"/>
  <c r="AH225" i="1" a="1"/>
  <c r="AH135" i="1" a="1"/>
  <c r="U99" i="1"/>
  <c r="AI121" i="1" a="1"/>
  <c r="AI342" i="1" a="1"/>
  <c r="AH653" i="1" a="1"/>
  <c r="AH260" i="1" a="1"/>
  <c r="AI730" i="1" a="1"/>
  <c r="AH686" i="1" a="1"/>
  <c r="AH59" i="1" a="1"/>
  <c r="AH699" i="1" a="1"/>
  <c r="AH164" i="1" a="1"/>
  <c r="AI709" i="1" a="1"/>
  <c r="AH482" i="1" a="1"/>
  <c r="AI628" i="1" a="1"/>
  <c r="AH676" i="1" a="1"/>
  <c r="AH524" i="1" a="1"/>
  <c r="AI309" i="1" a="1"/>
  <c r="AI714" i="1" a="1"/>
  <c r="AI120" i="1" a="1"/>
  <c r="AH131" i="1" a="1"/>
  <c r="AH152" i="1" a="1"/>
  <c r="AI234" i="1" a="1"/>
  <c r="AI201" i="1" a="1"/>
  <c r="AH664" i="1" a="1"/>
  <c r="AI319" i="1" a="1"/>
  <c r="AH119" i="1" a="1"/>
  <c r="AI600" i="1" a="1"/>
  <c r="AI199" i="1" a="1"/>
  <c r="AI131" i="1" a="1"/>
  <c r="AI279" i="1" a="1"/>
  <c r="AI574" i="1" a="1"/>
  <c r="AI122" i="1" a="1"/>
  <c r="AI221" i="1" a="1"/>
  <c r="AH166" i="1" a="1"/>
  <c r="AH244" i="1" a="1"/>
  <c r="AH82" i="1" a="1"/>
  <c r="AH66" i="1" a="1"/>
  <c r="AH619" i="1" a="1"/>
  <c r="AH657" i="1" a="1"/>
  <c r="AI626" i="1" a="1"/>
  <c r="AI654" i="1" a="1"/>
  <c r="AI719" i="1" a="1"/>
  <c r="AH120" i="1" a="1"/>
  <c r="AI687" i="1" a="1"/>
  <c r="AI212" i="1" a="1"/>
  <c r="AI345" i="1" a="1"/>
  <c r="AH622" i="1" a="1"/>
  <c r="AI213" i="1" a="1"/>
  <c r="AH309" i="1" a="1"/>
  <c r="AI156" i="1" a="1"/>
  <c r="AI130" i="1" a="1"/>
  <c r="AH687" i="1" a="1"/>
  <c r="AI228" i="1" a="1"/>
  <c r="AH590" i="1" a="1"/>
  <c r="AH671" i="1" a="1"/>
  <c r="Z104" i="1"/>
  <c r="AI133" i="1" a="1"/>
  <c r="AI477" i="1" a="1"/>
  <c r="AH101" i="1" a="1"/>
  <c r="AA591" i="1"/>
  <c r="AI135" i="1" a="1"/>
  <c r="AH580" i="1" a="1"/>
  <c r="AH432" i="1" a="1"/>
  <c r="AH137" i="1" a="1"/>
  <c r="AI246" i="1" a="1"/>
  <c r="AI480" i="1" a="1"/>
  <c r="AI663" i="1" a="1"/>
  <c r="AI93" i="1" a="1"/>
  <c r="AI300" i="1" a="1"/>
  <c r="AI215" i="1" a="1"/>
  <c r="AA670" i="1"/>
  <c r="AH477" i="1" a="1"/>
  <c r="AI315" i="1" a="1"/>
  <c r="AI225" i="1" a="1"/>
  <c r="AH345" i="1" a="1"/>
  <c r="AH232" i="1" a="1"/>
  <c r="AH148" i="1" a="1"/>
  <c r="AH96" i="1" a="1"/>
  <c r="AH560" i="1" a="1"/>
  <c r="AH151" i="1" a="1"/>
  <c r="Z100" i="1"/>
  <c r="AA224" i="1"/>
  <c r="AH502" i="1" a="1"/>
  <c r="AH655" i="1" a="1"/>
  <c r="AI334" i="1" a="1"/>
  <c r="AH129" i="1" a="1"/>
  <c r="AI338" i="1" a="1"/>
  <c r="AI482" i="1" a="1"/>
  <c r="AI101" i="1" a="1"/>
  <c r="AA561" i="1"/>
  <c r="AI672" i="1" a="1"/>
  <c r="AI166" i="1" a="1"/>
  <c r="AI205" i="1" a="1"/>
  <c r="AH132" i="1" a="1"/>
  <c r="AI129" i="1" a="1"/>
  <c r="AH222" i="1" a="1"/>
  <c r="AI139" i="1" a="1"/>
  <c r="AH659" i="1" a="1"/>
  <c r="AH62" i="1" a="1"/>
  <c r="AH233" i="1" a="1"/>
  <c r="AI656" i="1" a="1"/>
  <c r="AI138" i="1" a="1"/>
  <c r="AI677" i="1" a="1"/>
  <c r="AI580" i="1" a="1"/>
  <c r="AI161" i="1" a="1"/>
  <c r="AI48" i="1" a="1"/>
  <c r="AI184" i="1" a="1"/>
  <c r="AH291" i="1" a="1"/>
  <c r="AI62" i="1" a="1"/>
  <c r="AI204" i="1" a="1"/>
  <c r="AH217" i="1" a="1"/>
  <c r="AI625" i="1" a="1"/>
  <c r="AH203" i="1" a="1"/>
  <c r="AH660" i="1" a="1"/>
  <c r="AH48" i="1" a="1"/>
  <c r="AI710" i="1" a="1"/>
  <c r="AI164" i="1" a="1"/>
  <c r="AH710" i="1" a="1"/>
  <c r="AH125" i="1" a="1"/>
  <c r="AI733" i="1" a="1"/>
  <c r="AH679" i="1" a="1"/>
  <c r="AH641" i="1" a="1"/>
  <c r="AH336" i="1" a="1"/>
  <c r="AH677" i="1" a="1"/>
  <c r="AH300" i="1" a="1"/>
  <c r="AI365" i="1" a="1"/>
  <c r="AI261" i="1" a="1"/>
  <c r="AH140" i="1" a="1"/>
  <c r="AH626" i="1" a="1"/>
  <c r="AI137" i="1" a="1"/>
  <c r="AI152" i="1" a="1"/>
  <c r="AI44" i="1" a="1"/>
  <c r="AH141" i="1" a="1"/>
  <c r="AH235" i="1" a="1"/>
  <c r="AI96" i="1" a="1"/>
  <c r="AH211" i="1" a="1"/>
  <c r="AI650" i="1" a="1"/>
  <c r="AH346" i="1" a="1"/>
  <c r="AI66" i="1" a="1"/>
  <c r="AI673" i="1" a="1"/>
  <c r="AH205" i="1" a="1"/>
  <c r="AH153" i="1" a="1"/>
  <c r="AH627" i="1" a="1"/>
  <c r="AI183" i="1" a="1"/>
  <c r="AH198" i="1" a="1"/>
  <c r="AI124" i="1" a="1"/>
  <c r="AI216" i="1" a="1"/>
  <c r="AI617" i="1" a="1"/>
  <c r="AI481" i="1" a="1"/>
  <c r="AI658" i="1" a="1"/>
  <c r="AI229" i="1" a="1"/>
  <c r="AI134" i="1" a="1"/>
  <c r="AI333" i="1" a="1"/>
  <c r="AH628" i="1" a="1"/>
  <c r="AI734" i="1" a="1"/>
  <c r="AI435" i="1" a="1"/>
  <c r="AI640" i="1" a="1"/>
  <c r="AI118" i="1" a="1"/>
  <c r="AI198" i="1" a="1"/>
  <c r="AH320" i="1" a="1"/>
  <c r="AH743" i="1" a="1"/>
  <c r="AI367" i="1" a="1"/>
  <c r="AI91" i="1" a="1"/>
  <c r="AA633" i="1"/>
  <c r="AH315" i="1" a="1"/>
  <c r="AH192" i="1" a="1"/>
  <c r="AH341" i="1" a="1"/>
  <c r="AH672" i="1" a="1"/>
  <c r="AM78" i="8" l="1"/>
  <c r="AN327" i="8"/>
  <c r="AN96" i="8"/>
  <c r="AN137" i="8"/>
  <c r="AM304" i="8"/>
  <c r="AM180" i="8"/>
  <c r="AM194" i="8"/>
  <c r="AN383" i="8"/>
  <c r="AM245" i="8"/>
  <c r="AN157" i="8"/>
  <c r="AN268" i="8"/>
  <c r="AN390" i="8"/>
  <c r="AN324" i="8"/>
  <c r="AM169" i="8"/>
  <c r="AM236" i="8"/>
  <c r="AE69" i="1"/>
  <c r="AN132" i="8"/>
  <c r="AM300" i="8"/>
  <c r="AM171" i="8"/>
  <c r="AE589" i="1"/>
  <c r="AN212" i="8"/>
  <c r="AM124" i="8"/>
  <c r="AM238" i="8"/>
  <c r="AN320" i="8"/>
  <c r="AN123" i="8"/>
  <c r="AN214" i="8"/>
  <c r="AM118" i="8"/>
  <c r="AN67" i="8"/>
  <c r="AM110" i="8"/>
  <c r="AM149" i="8"/>
  <c r="AE95" i="1"/>
  <c r="AM395" i="8"/>
  <c r="AM264" i="8"/>
  <c r="AN192" i="8"/>
  <c r="AN105" i="8"/>
  <c r="AE605" i="1"/>
  <c r="AM106" i="8"/>
  <c r="AM323" i="8"/>
  <c r="AN220" i="8"/>
  <c r="AN377" i="8"/>
  <c r="AM155" i="8"/>
  <c r="AM253" i="8"/>
  <c r="AE689" i="1"/>
  <c r="AE616" i="1"/>
  <c r="AE610" i="1"/>
  <c r="AN5" i="8"/>
  <c r="AM75" i="8"/>
  <c r="AN83" i="8"/>
  <c r="AN95" i="8"/>
  <c r="AN375" i="8"/>
  <c r="AN308" i="8"/>
  <c r="AE685" i="1"/>
  <c r="AN197" i="8"/>
  <c r="AE594" i="1"/>
  <c r="AM3" i="8"/>
  <c r="AM127" i="8"/>
  <c r="AM259" i="8"/>
  <c r="AC616" i="1"/>
  <c r="AN367" i="8"/>
  <c r="AE587" i="1"/>
  <c r="AM298" i="8"/>
  <c r="AE691" i="1"/>
  <c r="AE612" i="1"/>
  <c r="AN348" i="8"/>
  <c r="AE697" i="1"/>
  <c r="AE577" i="1"/>
  <c r="AE666" i="1"/>
  <c r="AN362" i="8"/>
  <c r="AE630" i="1"/>
  <c r="AM273" i="8"/>
  <c r="AE642" i="1"/>
  <c r="AM284" i="8"/>
  <c r="AE614" i="1"/>
  <c r="AE611" i="1"/>
  <c r="AE633" i="1"/>
  <c r="AE39" i="1"/>
  <c r="AM376" i="8"/>
  <c r="AM108" i="8"/>
  <c r="AM195" i="8"/>
  <c r="AE576" i="1"/>
  <c r="AE665" i="1"/>
  <c r="AE638" i="1"/>
  <c r="AN265" i="8"/>
  <c r="AN129" i="8"/>
  <c r="AM79" i="8"/>
  <c r="AM174" i="8"/>
  <c r="AE696" i="1"/>
  <c r="AN269" i="8"/>
  <c r="AN282" i="8"/>
  <c r="AM84" i="8"/>
  <c r="AM239" i="8"/>
  <c r="AE681" i="1"/>
  <c r="AN316" i="8"/>
  <c r="AM374" i="8"/>
  <c r="AM145" i="8"/>
  <c r="AN393" i="8"/>
  <c r="AM107" i="8"/>
  <c r="AN131" i="8"/>
  <c r="AN332" i="8"/>
  <c r="AM328" i="8"/>
  <c r="AN104" i="8"/>
  <c r="AE674" i="1"/>
  <c r="AE595" i="1"/>
  <c r="AM199" i="8"/>
  <c r="AN307" i="8"/>
  <c r="AN359" i="8"/>
  <c r="AE603" i="1"/>
  <c r="AE649" i="1"/>
  <c r="AN119" i="8"/>
  <c r="AM230" i="8"/>
  <c r="AM241" i="8"/>
  <c r="AN272" i="8"/>
  <c r="AE63" i="1"/>
  <c r="AE226" i="1"/>
  <c r="AN89" i="8"/>
  <c r="AM87" i="8"/>
  <c r="AN215" i="8"/>
  <c r="AE170" i="1"/>
  <c r="AE763" i="1"/>
  <c r="AN381" i="8"/>
  <c r="AM20" i="8"/>
  <c r="AN126" i="8"/>
  <c r="AM91" i="8"/>
  <c r="AN357" i="8"/>
  <c r="AM97" i="8"/>
  <c r="AN337" i="8"/>
  <c r="AE670" i="1"/>
  <c r="AE575" i="1"/>
  <c r="AE618" i="1"/>
  <c r="AE304" i="1"/>
  <c r="AE606" i="1"/>
  <c r="AE565" i="1"/>
  <c r="AE615" i="1"/>
  <c r="AE43" i="1"/>
  <c r="AC614" i="1"/>
  <c r="AM139" i="8"/>
  <c r="AE601" i="1"/>
  <c r="AE259" i="1"/>
  <c r="AE648" i="1"/>
  <c r="AN109" i="8"/>
  <c r="AN243" i="8"/>
  <c r="AN16" i="8"/>
  <c r="AE639" i="1"/>
  <c r="AE613" i="1"/>
  <c r="AE313" i="1"/>
  <c r="AE87" i="1"/>
  <c r="AN261" i="8"/>
  <c r="AE214" i="1"/>
  <c r="AM221" i="8"/>
  <c r="AE692" i="1"/>
  <c r="AE352" i="1"/>
  <c r="AE593" i="1"/>
  <c r="AM12" i="8"/>
  <c r="AN267" i="8"/>
  <c r="AN382" i="8"/>
  <c r="AC565" i="1"/>
  <c r="AE635" i="1"/>
  <c r="AE103" i="1"/>
  <c r="AE311" i="1"/>
  <c r="AE667" i="1"/>
  <c r="AE631" i="1"/>
  <c r="AE585" i="1"/>
  <c r="AE592" i="1"/>
  <c r="AN115" i="8"/>
  <c r="AN143" i="8"/>
  <c r="AE646" i="1"/>
  <c r="AM290" i="8"/>
  <c r="AM366" i="8"/>
  <c r="AE588" i="1"/>
  <c r="AE598" i="1"/>
  <c r="AE566" i="1"/>
  <c r="AM159" i="8"/>
  <c r="AE602" i="1"/>
  <c r="AE632" i="1"/>
  <c r="AC633" i="1"/>
  <c r="AM175" i="8"/>
  <c r="AN302" i="8"/>
  <c r="AE690" i="1"/>
  <c r="AE756" i="1"/>
  <c r="AE764" i="1"/>
  <c r="AE607" i="1"/>
  <c r="AE582" i="1"/>
  <c r="AE675" i="1"/>
  <c r="AE599" i="1"/>
  <c r="AM262" i="8"/>
  <c r="AM338" i="8"/>
  <c r="AM318" i="8"/>
  <c r="AE296" i="1"/>
  <c r="AC639" i="1"/>
  <c r="AC764" i="1"/>
  <c r="AE644" i="1"/>
  <c r="AC652" i="1"/>
  <c r="AE702" i="1"/>
  <c r="AN271" i="8"/>
  <c r="AE608" i="1"/>
  <c r="AM321" i="8"/>
  <c r="AC588" i="1"/>
  <c r="AC352" i="1"/>
  <c r="AE636" i="1"/>
  <c r="AN246" i="8"/>
  <c r="AE239" i="1"/>
  <c r="AE609" i="1"/>
  <c r="AE567" i="1"/>
  <c r="AN217" i="8"/>
  <c r="AE597" i="1"/>
  <c r="AE578" i="1"/>
  <c r="AN334" i="8"/>
  <c r="AE561" i="1"/>
  <c r="AE568" i="1"/>
  <c r="AI330" i="1"/>
  <c r="AB330" i="1" s="1"/>
  <c r="AC330" i="1" s="1"/>
  <c r="AH49" i="1"/>
  <c r="AD49" i="1" s="1"/>
  <c r="AH159" i="1"/>
  <c r="AD159" i="1" s="1"/>
  <c r="AI626" i="1"/>
  <c r="AB626" i="1" s="1"/>
  <c r="AC626" i="1" s="1"/>
  <c r="AI365" i="1"/>
  <c r="AB365" i="1" s="1"/>
  <c r="AH617" i="1"/>
  <c r="AD617" i="1" s="1"/>
  <c r="AI166" i="1"/>
  <c r="AB166" i="1" s="1"/>
  <c r="AI211" i="1"/>
  <c r="AB211" i="1" s="1"/>
  <c r="AC211" i="1" s="1"/>
  <c r="AI221" i="1"/>
  <c r="AB221" i="1" s="1"/>
  <c r="AC221" i="1" s="1"/>
  <c r="AF224" i="1"/>
  <c r="AH279" i="1"/>
  <c r="AD279" i="1" s="1"/>
  <c r="AH210" i="1"/>
  <c r="AD210" i="1" s="1"/>
  <c r="AH329" i="1"/>
  <c r="AD329" i="1" s="1"/>
  <c r="AH330" i="1"/>
  <c r="AD330" i="1" s="1"/>
  <c r="AI145" i="1"/>
  <c r="AB145" i="1" s="1"/>
  <c r="AC145" i="1" s="1"/>
  <c r="AI228" i="1"/>
  <c r="AB228" i="1" s="1"/>
  <c r="AC228" i="1" s="1"/>
  <c r="AH96" i="1"/>
  <c r="AD96" i="1" s="1"/>
  <c r="AI717" i="1"/>
  <c r="AB717" i="1" s="1"/>
  <c r="AI148" i="1"/>
  <c r="AB148" i="1" s="1"/>
  <c r="AC148" i="1" s="1"/>
  <c r="AH151" i="1"/>
  <c r="AD151" i="1" s="1"/>
  <c r="AI159" i="1"/>
  <c r="AB159" i="1" s="1"/>
  <c r="AC159" i="1" s="1"/>
  <c r="AI152" i="1"/>
  <c r="AB152" i="1" s="1"/>
  <c r="AC152" i="1" s="1"/>
  <c r="AH626" i="1"/>
  <c r="AD626" i="1" s="1"/>
  <c r="AH121" i="1"/>
  <c r="AD121" i="1" s="1"/>
  <c r="AI122" i="1"/>
  <c r="AB122" i="1" s="1"/>
  <c r="AC122" i="1" s="1"/>
  <c r="AI623" i="1"/>
  <c r="AB623" i="1" s="1"/>
  <c r="AC623" i="1" s="1"/>
  <c r="AH130" i="1"/>
  <c r="AD130" i="1" s="1"/>
  <c r="AH140" i="1"/>
  <c r="AD140" i="1" s="1"/>
  <c r="AH658" i="1"/>
  <c r="AD658" i="1" s="1"/>
  <c r="AI647" i="1"/>
  <c r="AB647" i="1" s="1"/>
  <c r="AH479" i="1"/>
  <c r="AD479" i="1" s="1"/>
  <c r="AH365" i="1"/>
  <c r="AD365" i="1" s="1"/>
  <c r="AH584" i="1"/>
  <c r="AD584" i="1" s="1"/>
  <c r="AH653" i="1"/>
  <c r="AD653" i="1" s="1"/>
  <c r="AI654" i="1"/>
  <c r="AB654" i="1" s="1"/>
  <c r="AC654" i="1" s="1"/>
  <c r="AH657" i="1"/>
  <c r="AD657" i="1" s="1"/>
  <c r="AH300" i="1"/>
  <c r="AD300" i="1" s="1"/>
  <c r="AI212" i="1"/>
  <c r="AB212" i="1" s="1"/>
  <c r="AC212" i="1" s="1"/>
  <c r="AI673" i="1"/>
  <c r="AB673" i="1" s="1"/>
  <c r="AC673" i="1" s="1"/>
  <c r="AI559" i="1"/>
  <c r="AB559" i="1" s="1"/>
  <c r="AI574" i="1"/>
  <c r="AB574" i="1" s="1"/>
  <c r="AC574" i="1" s="1"/>
  <c r="AI676" i="1"/>
  <c r="AB676" i="1" s="1"/>
  <c r="AH700" i="1"/>
  <c r="AD700" i="1" s="1"/>
  <c r="AI192" i="1"/>
  <c r="AB192" i="1" s="1"/>
  <c r="AC192" i="1" s="1"/>
  <c r="AH199" i="1"/>
  <c r="AD199" i="1" s="1"/>
  <c r="AI205" i="1"/>
  <c r="AB205" i="1" s="1"/>
  <c r="AI580" i="1"/>
  <c r="AB580" i="1" s="1"/>
  <c r="AC580" i="1" s="1"/>
  <c r="AI206" i="1"/>
  <c r="AB206" i="1" s="1"/>
  <c r="AF633" i="1"/>
  <c r="AH292" i="1"/>
  <c r="AD292" i="1" s="1"/>
  <c r="AH730" i="1"/>
  <c r="AD730" i="1" s="1"/>
  <c r="AH340" i="1"/>
  <c r="AD340" i="1" s="1"/>
  <c r="AE340" i="1" s="1"/>
  <c r="AH339" i="1"/>
  <c r="AD339" i="1" s="1"/>
  <c r="AE339" i="1" s="1"/>
  <c r="AH732" i="1"/>
  <c r="AD732" i="1" s="1"/>
  <c r="AH341" i="1"/>
  <c r="AD341" i="1" s="1"/>
  <c r="AE341" i="1" s="1"/>
  <c r="AI279" i="1"/>
  <c r="AB279" i="1" s="1"/>
  <c r="AC279" i="1" s="1"/>
  <c r="AI210" i="1"/>
  <c r="AB210" i="1" s="1"/>
  <c r="AC210" i="1" s="1"/>
  <c r="AH216" i="1"/>
  <c r="AD216" i="1" s="1"/>
  <c r="AI335" i="1"/>
  <c r="AB335" i="1" s="1"/>
  <c r="AC335" i="1" s="1"/>
  <c r="AH145" i="1"/>
  <c r="AD145" i="1" s="1"/>
  <c r="AH228" i="1"/>
  <c r="AD228" i="1" s="1"/>
  <c r="AH91" i="1"/>
  <c r="AD91" i="1" s="1"/>
  <c r="AH717" i="1"/>
  <c r="AD717" i="1" s="1"/>
  <c r="AH148" i="1"/>
  <c r="AD148" i="1" s="1"/>
  <c r="AH92" i="1"/>
  <c r="AD92" i="1" s="1"/>
  <c r="AH733" i="1"/>
  <c r="AD733" i="1" s="1"/>
  <c r="AI154" i="1"/>
  <c r="AB154" i="1" s="1"/>
  <c r="AC154" i="1" s="1"/>
  <c r="AH625" i="1"/>
  <c r="AD625" i="1" s="1"/>
  <c r="AH136" i="1"/>
  <c r="AD136" i="1" s="1"/>
  <c r="AH123" i="1"/>
  <c r="AD123" i="1" s="1"/>
  <c r="AH619" i="1"/>
  <c r="AD619" i="1" s="1"/>
  <c r="AI131" i="1"/>
  <c r="AB131" i="1" s="1"/>
  <c r="AC131" i="1" s="1"/>
  <c r="AI658" i="1"/>
  <c r="AB658" i="1" s="1"/>
  <c r="AI481" i="1"/>
  <c r="AB481" i="1" s="1"/>
  <c r="AC481" i="1" s="1"/>
  <c r="AI66" i="1"/>
  <c r="AB66" i="1" s="1"/>
  <c r="AC66" i="1" s="1"/>
  <c r="AH44" i="1"/>
  <c r="AD44" i="1" s="1"/>
  <c r="AI584" i="1"/>
  <c r="AB584" i="1" s="1"/>
  <c r="AC584" i="1" s="1"/>
  <c r="AI653" i="1"/>
  <c r="AB653" i="1" s="1"/>
  <c r="AC653" i="1" s="1"/>
  <c r="AH654" i="1"/>
  <c r="AD654" i="1" s="1"/>
  <c r="AI657" i="1"/>
  <c r="AB657" i="1" s="1"/>
  <c r="AC657" i="1" s="1"/>
  <c r="AI300" i="1"/>
  <c r="AB300" i="1" s="1"/>
  <c r="AC300" i="1" s="1"/>
  <c r="AH212" i="1"/>
  <c r="AD212" i="1" s="1"/>
  <c r="AI672" i="1"/>
  <c r="AB672" i="1" s="1"/>
  <c r="AH677" i="1"/>
  <c r="AD677" i="1" s="1"/>
  <c r="AI687" i="1"/>
  <c r="AB687" i="1" s="1"/>
  <c r="AC687" i="1" s="1"/>
  <c r="AI700" i="1"/>
  <c r="AB700" i="1" s="1"/>
  <c r="AC700" i="1" s="1"/>
  <c r="AH192" i="1"/>
  <c r="AD192" i="1" s="1"/>
  <c r="AI199" i="1"/>
  <c r="AB199" i="1" s="1"/>
  <c r="AC199" i="1" s="1"/>
  <c r="AH205" i="1"/>
  <c r="AD205" i="1" s="1"/>
  <c r="AH580" i="1"/>
  <c r="AD580" i="1" s="1"/>
  <c r="AH206" i="1"/>
  <c r="AD206" i="1" s="1"/>
  <c r="AF609" i="1"/>
  <c r="AI161" i="1"/>
  <c r="AB161" i="1" s="1"/>
  <c r="AC161" i="1" s="1"/>
  <c r="AF648" i="1"/>
  <c r="AI150" i="1"/>
  <c r="AB150" i="1" s="1"/>
  <c r="AC150" i="1" s="1"/>
  <c r="AI91" i="1"/>
  <c r="AB91" i="1" s="1"/>
  <c r="AC91" i="1" s="1"/>
  <c r="AH335" i="1"/>
  <c r="AD335" i="1" s="1"/>
  <c r="AI82" i="1"/>
  <c r="AB82" i="1" s="1"/>
  <c r="AC82" i="1" s="1"/>
  <c r="AH154" i="1"/>
  <c r="AD154" i="1" s="1"/>
  <c r="AI123" i="1"/>
  <c r="AB123" i="1" s="1"/>
  <c r="AC123" i="1" s="1"/>
  <c r="AI651" i="1"/>
  <c r="AB651" i="1" s="1"/>
  <c r="AC651" i="1" s="1"/>
  <c r="AH481" i="1"/>
  <c r="AD481" i="1" s="1"/>
  <c r="AH66" i="1"/>
  <c r="AD66" i="1" s="1"/>
  <c r="AI600" i="1"/>
  <c r="AB600" i="1" s="1"/>
  <c r="AC600" i="1" s="1"/>
  <c r="AI560" i="1"/>
  <c r="AB560" i="1" s="1"/>
  <c r="AC560" i="1" s="1"/>
  <c r="AI641" i="1"/>
  <c r="AB641" i="1" s="1"/>
  <c r="AC641" i="1" s="1"/>
  <c r="AI165" i="1"/>
  <c r="AB165" i="1" s="1"/>
  <c r="AH301" i="1"/>
  <c r="AD301" i="1" s="1"/>
  <c r="AH672" i="1"/>
  <c r="AD672" i="1" s="1"/>
  <c r="AI677" i="1"/>
  <c r="AB677" i="1" s="1"/>
  <c r="AC677" i="1" s="1"/>
  <c r="AH687" i="1"/>
  <c r="AD687" i="1" s="1"/>
  <c r="AH193" i="1"/>
  <c r="AD193" i="1" s="1"/>
  <c r="AH203" i="1"/>
  <c r="AD203" i="1" s="1"/>
  <c r="AI244" i="1"/>
  <c r="AB244" i="1" s="1"/>
  <c r="AC244" i="1" s="1"/>
  <c r="AH343" i="1"/>
  <c r="AD343" i="1" s="1"/>
  <c r="AH336" i="1"/>
  <c r="AD336" i="1" s="1"/>
  <c r="AE336" i="1" s="1"/>
  <c r="AH719" i="1"/>
  <c r="AD719" i="1" s="1"/>
  <c r="AI732" i="1"/>
  <c r="AB732" i="1" s="1"/>
  <c r="AC732" i="1" s="1"/>
  <c r="AI299" i="1"/>
  <c r="AB299" i="1" s="1"/>
  <c r="AC299" i="1" s="1"/>
  <c r="AH119" i="1"/>
  <c r="AD119" i="1" s="1"/>
  <c r="AI137" i="1"/>
  <c r="AB137" i="1" s="1"/>
  <c r="AC137" i="1" s="1"/>
  <c r="AI617" i="1"/>
  <c r="AB617" i="1" s="1"/>
  <c r="AC617" i="1" s="1"/>
  <c r="AI261" i="1"/>
  <c r="AB261" i="1" s="1"/>
  <c r="AC261" i="1" s="1"/>
  <c r="AH201" i="1"/>
  <c r="AD201" i="1" s="1"/>
  <c r="AI331" i="1"/>
  <c r="AB331" i="1" s="1"/>
  <c r="AI743" i="1"/>
  <c r="AB743" i="1" s="1"/>
  <c r="AC743" i="1" s="1"/>
  <c r="AH218" i="1"/>
  <c r="AD218" i="1" s="1"/>
  <c r="AH232" i="1"/>
  <c r="AD232" i="1" s="1"/>
  <c r="AH734" i="1"/>
  <c r="AD734" i="1" s="1"/>
  <c r="AH715" i="1"/>
  <c r="AD715" i="1" s="1"/>
  <c r="AH82" i="1"/>
  <c r="AD82" i="1" s="1"/>
  <c r="AI143" i="1"/>
  <c r="AB143" i="1" s="1"/>
  <c r="AI342" i="1"/>
  <c r="AB342" i="1" s="1"/>
  <c r="AI744" i="1"/>
  <c r="AB744" i="1" s="1"/>
  <c r="AC744" i="1" s="1"/>
  <c r="AI155" i="1"/>
  <c r="AB155" i="1" s="1"/>
  <c r="AC155" i="1" s="1"/>
  <c r="AI319" i="1"/>
  <c r="AB319" i="1" s="1"/>
  <c r="AC319" i="1" s="1"/>
  <c r="AH120" i="1"/>
  <c r="AD120" i="1" s="1"/>
  <c r="AI135" i="1"/>
  <c r="AB135" i="1" s="1"/>
  <c r="AC135" i="1" s="1"/>
  <c r="AH124" i="1"/>
  <c r="AD124" i="1" s="1"/>
  <c r="AI620" i="1"/>
  <c r="AB620" i="1" s="1"/>
  <c r="AC620" i="1" s="1"/>
  <c r="AH590" i="1"/>
  <c r="AD590" i="1" s="1"/>
  <c r="AI138" i="1"/>
  <c r="AB138" i="1" s="1"/>
  <c r="AH651" i="1"/>
  <c r="AD651" i="1" s="1"/>
  <c r="AI367" i="1"/>
  <c r="AB367" i="1" s="1"/>
  <c r="AC367" i="1" s="1"/>
  <c r="AH432" i="1"/>
  <c r="AD432" i="1" s="1"/>
  <c r="AH600" i="1"/>
  <c r="AD600" i="1" s="1"/>
  <c r="AH560" i="1"/>
  <c r="AD560" i="1" s="1"/>
  <c r="AH641" i="1"/>
  <c r="AD641" i="1" s="1"/>
  <c r="AH165" i="1"/>
  <c r="AD165" i="1" s="1"/>
  <c r="AI301" i="1"/>
  <c r="AB301" i="1" s="1"/>
  <c r="AC301" i="1" s="1"/>
  <c r="AI345" i="1"/>
  <c r="AB345" i="1" s="1"/>
  <c r="AC345" i="1" s="1"/>
  <c r="AH664" i="1"/>
  <c r="AD664" i="1" s="1"/>
  <c r="AH484" i="1"/>
  <c r="AD484" i="1" s="1"/>
  <c r="AI346" i="1"/>
  <c r="AB346" i="1" s="1"/>
  <c r="AI679" i="1"/>
  <c r="AB679" i="1" s="1"/>
  <c r="AC679" i="1" s="1"/>
  <c r="AH688" i="1"/>
  <c r="AD688" i="1" s="1"/>
  <c r="AI193" i="1"/>
  <c r="AB193" i="1" s="1"/>
  <c r="AC193" i="1" s="1"/>
  <c r="AI203" i="1"/>
  <c r="AB203" i="1" s="1"/>
  <c r="AH244" i="1"/>
  <c r="AD244" i="1" s="1"/>
  <c r="AF566" i="1"/>
  <c r="AF646" i="1"/>
  <c r="AH229" i="1"/>
  <c r="AD229" i="1" s="1"/>
  <c r="AH122" i="1"/>
  <c r="AD122" i="1" s="1"/>
  <c r="AI479" i="1"/>
  <c r="AB479" i="1" s="1"/>
  <c r="AC479" i="1" s="1"/>
  <c r="AH673" i="1"/>
  <c r="AD673" i="1" s="1"/>
  <c r="AH261" i="1"/>
  <c r="AD261" i="1" s="1"/>
  <c r="AI201" i="1"/>
  <c r="AB201" i="1" s="1"/>
  <c r="AC201" i="1" s="1"/>
  <c r="AI216" i="1"/>
  <c r="AB216" i="1" s="1"/>
  <c r="AC216" i="1" s="1"/>
  <c r="AI92" i="1"/>
  <c r="AB92" i="1" s="1"/>
  <c r="AI590" i="1"/>
  <c r="AB590" i="1" s="1"/>
  <c r="AC590" i="1" s="1"/>
  <c r="AI637" i="1"/>
  <c r="AB637" i="1" s="1"/>
  <c r="AC637" i="1" s="1"/>
  <c r="AI656" i="1"/>
  <c r="AB656" i="1" s="1"/>
  <c r="AC656" i="1" s="1"/>
  <c r="AH315" i="1"/>
  <c r="AD315" i="1" s="1"/>
  <c r="AH345" i="1"/>
  <c r="AD345" i="1" s="1"/>
  <c r="AH663" i="1"/>
  <c r="AD663" i="1" s="1"/>
  <c r="AI484" i="1"/>
  <c r="AB484" i="1" s="1"/>
  <c r="AC484" i="1" s="1"/>
  <c r="AH346" i="1"/>
  <c r="AD346" i="1" s="1"/>
  <c r="AH679" i="1"/>
  <c r="AD679" i="1" s="1"/>
  <c r="AI688" i="1"/>
  <c r="AB688" i="1" s="1"/>
  <c r="AH196" i="1"/>
  <c r="AD196" i="1" s="1"/>
  <c r="AH204" i="1"/>
  <c r="AD204" i="1" s="1"/>
  <c r="AI234" i="1"/>
  <c r="AB234" i="1" s="1"/>
  <c r="AC234" i="1" s="1"/>
  <c r="AH245" i="1"/>
  <c r="AD245" i="1" s="1"/>
  <c r="AF591" i="1"/>
  <c r="AF561" i="1"/>
  <c r="AF602" i="1"/>
  <c r="AI664" i="1"/>
  <c r="AB664" i="1" s="1"/>
  <c r="AC664" i="1" s="1"/>
  <c r="AI291" i="1"/>
  <c r="AB291" i="1" s="1"/>
  <c r="AC291" i="1" s="1"/>
  <c r="AH149" i="1"/>
  <c r="AD149" i="1" s="1"/>
  <c r="AH60" i="1"/>
  <c r="AD60" i="1" s="1"/>
  <c r="AI622" i="1"/>
  <c r="AB622" i="1" s="1"/>
  <c r="AI502" i="1"/>
  <c r="AB502" i="1" s="1"/>
  <c r="AC502" i="1" s="1"/>
  <c r="AH166" i="1"/>
  <c r="AD166" i="1" s="1"/>
  <c r="AH486" i="1"/>
  <c r="AD486" i="1" s="1"/>
  <c r="AI719" i="1"/>
  <c r="AB719" i="1" s="1"/>
  <c r="AC719" i="1" s="1"/>
  <c r="AH161" i="1"/>
  <c r="AD161" i="1" s="1"/>
  <c r="AH712" i="1"/>
  <c r="AD712" i="1" s="1"/>
  <c r="AH152" i="1"/>
  <c r="AD152" i="1" s="1"/>
  <c r="AI121" i="1"/>
  <c r="AB121" i="1" s="1"/>
  <c r="AH623" i="1"/>
  <c r="AD623" i="1" s="1"/>
  <c r="AI130" i="1"/>
  <c r="AB130" i="1" s="1"/>
  <c r="AC130" i="1" s="1"/>
  <c r="AI659" i="1"/>
  <c r="AB659" i="1" s="1"/>
  <c r="AF578" i="1"/>
  <c r="AH344" i="1"/>
  <c r="AD344" i="1" s="1"/>
  <c r="AE344" i="1" s="1"/>
  <c r="AH331" i="1"/>
  <c r="AD331" i="1" s="1"/>
  <c r="AH743" i="1"/>
  <c r="AD743" i="1" s="1"/>
  <c r="AI734" i="1"/>
  <c r="AB734" i="1" s="1"/>
  <c r="AC734" i="1" s="1"/>
  <c r="AI715" i="1"/>
  <c r="AB715" i="1" s="1"/>
  <c r="AC715" i="1" s="1"/>
  <c r="AH143" i="1"/>
  <c r="AD143" i="1" s="1"/>
  <c r="AI733" i="1"/>
  <c r="AB733" i="1" s="1"/>
  <c r="AE733" i="1" s="1"/>
  <c r="AI625" i="1"/>
  <c r="AB625" i="1" s="1"/>
  <c r="AC625" i="1" s="1"/>
  <c r="AI136" i="1"/>
  <c r="AB136" i="1" s="1"/>
  <c r="AC136" i="1" s="1"/>
  <c r="AI619" i="1"/>
  <c r="AB619" i="1" s="1"/>
  <c r="AC619" i="1" s="1"/>
  <c r="AH131" i="1"/>
  <c r="AD131" i="1" s="1"/>
  <c r="AH101" i="1"/>
  <c r="AD101" i="1" s="1"/>
  <c r="AI218" i="1"/>
  <c r="AB218" i="1" s="1"/>
  <c r="AC218" i="1" s="1"/>
  <c r="AI232" i="1"/>
  <c r="AB232" i="1" s="1"/>
  <c r="AH243" i="1"/>
  <c r="AD243" i="1" s="1"/>
  <c r="AH233" i="1"/>
  <c r="AD233" i="1" s="1"/>
  <c r="AH714" i="1"/>
  <c r="AD714" i="1" s="1"/>
  <c r="AI225" i="1"/>
  <c r="AB225" i="1" s="1"/>
  <c r="AC225" i="1" s="1"/>
  <c r="AI93" i="1"/>
  <c r="AB93" i="1" s="1"/>
  <c r="AC93" i="1" s="1"/>
  <c r="AH186" i="1"/>
  <c r="AD186" i="1" s="1"/>
  <c r="AI727" i="1"/>
  <c r="AB727" i="1" s="1"/>
  <c r="AC727" i="1" s="1"/>
  <c r="AI486" i="1"/>
  <c r="AB486" i="1" s="1"/>
  <c r="AC486" i="1" s="1"/>
  <c r="AH744" i="1"/>
  <c r="AD744" i="1" s="1"/>
  <c r="AH155" i="1"/>
  <c r="AD155" i="1" s="1"/>
  <c r="AH319" i="1"/>
  <c r="AD319" i="1" s="1"/>
  <c r="AI120" i="1"/>
  <c r="AB120" i="1" s="1"/>
  <c r="AC120" i="1" s="1"/>
  <c r="AH135" i="1"/>
  <c r="AD135" i="1" s="1"/>
  <c r="AI124" i="1"/>
  <c r="AB124" i="1" s="1"/>
  <c r="AH620" i="1"/>
  <c r="AD620" i="1" s="1"/>
  <c r="AH138" i="1"/>
  <c r="AD138" i="1" s="1"/>
  <c r="AH367" i="1"/>
  <c r="AD367" i="1" s="1"/>
  <c r="AI432" i="1"/>
  <c r="AB432" i="1" s="1"/>
  <c r="AI650" i="1"/>
  <c r="AB650" i="1" s="1"/>
  <c r="AC650" i="1" s="1"/>
  <c r="AI661" i="1"/>
  <c r="AB661" i="1" s="1"/>
  <c r="AC661" i="1" s="1"/>
  <c r="AI163" i="1"/>
  <c r="AB163" i="1" s="1"/>
  <c r="AC163" i="1" s="1"/>
  <c r="AI101" i="1"/>
  <c r="AB101" i="1" s="1"/>
  <c r="AC101" i="1" s="1"/>
  <c r="AI292" i="1"/>
  <c r="AB292" i="1" s="1"/>
  <c r="AH217" i="1"/>
  <c r="AD217" i="1" s="1"/>
  <c r="AI243" i="1"/>
  <c r="AB243" i="1" s="1"/>
  <c r="AC243" i="1" s="1"/>
  <c r="AI233" i="1"/>
  <c r="AB233" i="1" s="1"/>
  <c r="AC233" i="1" s="1"/>
  <c r="AI714" i="1"/>
  <c r="AB714" i="1" s="1"/>
  <c r="AH225" i="1"/>
  <c r="AD225" i="1" s="1"/>
  <c r="AH93" i="1"/>
  <c r="AD93" i="1" s="1"/>
  <c r="AI186" i="1"/>
  <c r="AB186" i="1" s="1"/>
  <c r="AC186" i="1" s="1"/>
  <c r="AH727" i="1"/>
  <c r="AD727" i="1" s="1"/>
  <c r="AH220" i="1"/>
  <c r="AD220" i="1" s="1"/>
  <c r="AH62" i="1"/>
  <c r="AD62" i="1" s="1"/>
  <c r="AI156" i="1"/>
  <c r="AB156" i="1" s="1"/>
  <c r="AC156" i="1" s="1"/>
  <c r="AH320" i="1"/>
  <c r="AD320" i="1" s="1"/>
  <c r="AH628" i="1"/>
  <c r="AD628" i="1" s="1"/>
  <c r="AI117" i="1"/>
  <c r="AB117" i="1" s="1"/>
  <c r="AC117" i="1" s="1"/>
  <c r="AH133" i="1"/>
  <c r="AD133" i="1" s="1"/>
  <c r="AH125" i="1"/>
  <c r="AD125" i="1" s="1"/>
  <c r="AH621" i="1"/>
  <c r="AD621" i="1" s="1"/>
  <c r="AH128" i="1"/>
  <c r="AD128" i="1" s="1"/>
  <c r="AH139" i="1"/>
  <c r="AD139" i="1" s="1"/>
  <c r="AI309" i="1"/>
  <c r="AB309" i="1" s="1"/>
  <c r="AC309" i="1" s="1"/>
  <c r="AH637" i="1"/>
  <c r="AD637" i="1" s="1"/>
  <c r="AI477" i="1"/>
  <c r="AB477" i="1" s="1"/>
  <c r="AH480" i="1"/>
  <c r="AD480" i="1" s="1"/>
  <c r="AH650" i="1"/>
  <c r="AD650" i="1" s="1"/>
  <c r="AH656" i="1"/>
  <c r="AD656" i="1" s="1"/>
  <c r="AH661" i="1"/>
  <c r="AD661" i="1" s="1"/>
  <c r="AH163" i="1"/>
  <c r="AD163" i="1" s="1"/>
  <c r="AI315" i="1"/>
  <c r="AB315" i="1" s="1"/>
  <c r="AI663" i="1"/>
  <c r="AB663" i="1" s="1"/>
  <c r="AC663" i="1" s="1"/>
  <c r="AI683" i="1"/>
  <c r="AB683" i="1" s="1"/>
  <c r="AI482" i="1"/>
  <c r="AB482" i="1" s="1"/>
  <c r="AC482" i="1" s="1"/>
  <c r="AI196" i="1"/>
  <c r="AB196" i="1" s="1"/>
  <c r="AI204" i="1"/>
  <c r="AB204" i="1" s="1"/>
  <c r="AC204" i="1" s="1"/>
  <c r="AH234" i="1"/>
  <c r="AD234" i="1" s="1"/>
  <c r="AI245" i="1"/>
  <c r="AB245" i="1" s="1"/>
  <c r="AH524" i="1"/>
  <c r="AD524" i="1" s="1"/>
  <c r="AH342" i="1"/>
  <c r="AD342" i="1" s="1"/>
  <c r="AI49" i="1"/>
  <c r="AB49" i="1" s="1"/>
  <c r="AC49" i="1" s="1"/>
  <c r="AI132" i="1"/>
  <c r="AB132" i="1" s="1"/>
  <c r="AC132" i="1" s="1"/>
  <c r="AH127" i="1"/>
  <c r="AD127" i="1" s="1"/>
  <c r="AH659" i="1"/>
  <c r="AD659" i="1" s="1"/>
  <c r="AH211" i="1"/>
  <c r="AD211" i="1" s="1"/>
  <c r="AI198" i="1"/>
  <c r="AB198" i="1" s="1"/>
  <c r="AH202" i="1"/>
  <c r="AD202" i="1" s="1"/>
  <c r="AH221" i="1"/>
  <c r="AD221" i="1" s="1"/>
  <c r="AI329" i="1"/>
  <c r="AB329" i="1" s="1"/>
  <c r="AC329" i="1" s="1"/>
  <c r="AH710" i="1"/>
  <c r="AD710" i="1" s="1"/>
  <c r="AI151" i="1"/>
  <c r="AB151" i="1" s="1"/>
  <c r="AC151" i="1" s="1"/>
  <c r="AH559" i="1"/>
  <c r="AD559" i="1" s="1"/>
  <c r="AH574" i="1"/>
  <c r="AD574" i="1" s="1"/>
  <c r="AH676" i="1"/>
  <c r="AD676" i="1" s="1"/>
  <c r="AI699" i="1"/>
  <c r="AB699" i="1" s="1"/>
  <c r="AH198" i="1"/>
  <c r="AD198" i="1" s="1"/>
  <c r="AI202" i="1"/>
  <c r="AB202" i="1" s="1"/>
  <c r="AC202" i="1" s="1"/>
  <c r="AI207" i="1"/>
  <c r="AB207" i="1" s="1"/>
  <c r="AC207" i="1" s="1"/>
  <c r="AH739" i="1"/>
  <c r="AD739" i="1" s="1"/>
  <c r="AI729" i="1"/>
  <c r="AB729" i="1" s="1"/>
  <c r="AI217" i="1"/>
  <c r="AB217" i="1" s="1"/>
  <c r="AC217" i="1" s="1"/>
  <c r="AH709" i="1"/>
  <c r="AD709" i="1" s="1"/>
  <c r="AI333" i="1"/>
  <c r="AB333" i="1" s="1"/>
  <c r="AH183" i="1"/>
  <c r="AD183" i="1" s="1"/>
  <c r="AI707" i="1"/>
  <c r="AB707" i="1" s="1"/>
  <c r="AC707" i="1" s="1"/>
  <c r="AH150" i="1"/>
  <c r="AD150" i="1" s="1"/>
  <c r="AI62" i="1"/>
  <c r="AB62" i="1" s="1"/>
  <c r="AC62" i="1" s="1"/>
  <c r="AH156" i="1"/>
  <c r="AD156" i="1" s="1"/>
  <c r="AI320" i="1"/>
  <c r="AB320" i="1" s="1"/>
  <c r="AC320" i="1" s="1"/>
  <c r="AI628" i="1"/>
  <c r="AB628" i="1" s="1"/>
  <c r="AC628" i="1" s="1"/>
  <c r="AH117" i="1"/>
  <c r="AD117" i="1" s="1"/>
  <c r="AI133" i="1"/>
  <c r="AB133" i="1" s="1"/>
  <c r="AI125" i="1"/>
  <c r="AB125" i="1" s="1"/>
  <c r="AC125" i="1" s="1"/>
  <c r="AI621" i="1"/>
  <c r="AB621" i="1" s="1"/>
  <c r="AI128" i="1"/>
  <c r="AB128" i="1" s="1"/>
  <c r="AC128" i="1" s="1"/>
  <c r="AI139" i="1"/>
  <c r="AB139" i="1" s="1"/>
  <c r="AC139" i="1" s="1"/>
  <c r="AH309" i="1"/>
  <c r="AD309" i="1" s="1"/>
  <c r="AH477" i="1"/>
  <c r="AD477" i="1" s="1"/>
  <c r="AI480" i="1"/>
  <c r="AB480" i="1" s="1"/>
  <c r="AI643" i="1"/>
  <c r="AB643" i="1" s="1"/>
  <c r="AC643" i="1" s="1"/>
  <c r="AI338" i="1"/>
  <c r="AB338" i="1" s="1"/>
  <c r="AC338" i="1" s="1"/>
  <c r="AI164" i="1"/>
  <c r="AB164" i="1" s="1"/>
  <c r="AC164" i="1" s="1"/>
  <c r="AI316" i="1"/>
  <c r="AB316" i="1" s="1"/>
  <c r="AC316" i="1" s="1"/>
  <c r="AI343" i="1"/>
  <c r="AB343" i="1" s="1"/>
  <c r="AH683" i="1"/>
  <c r="AD683" i="1" s="1"/>
  <c r="AH482" i="1"/>
  <c r="AD482" i="1" s="1"/>
  <c r="AI749" i="1"/>
  <c r="AB749" i="1" s="1"/>
  <c r="AC749" i="1" s="1"/>
  <c r="AH197" i="1"/>
  <c r="AD197" i="1" s="1"/>
  <c r="AI222" i="1"/>
  <c r="AB222" i="1" s="1"/>
  <c r="AC222" i="1" s="1"/>
  <c r="AI235" i="1"/>
  <c r="AB235" i="1" s="1"/>
  <c r="AC235" i="1" s="1"/>
  <c r="AH281" i="1"/>
  <c r="AD281" i="1" s="1"/>
  <c r="AE281" i="1" s="1"/>
  <c r="AH749" i="1"/>
  <c r="AD749" i="1" s="1"/>
  <c r="AI96" i="1"/>
  <c r="AB96" i="1" s="1"/>
  <c r="AC96" i="1" s="1"/>
  <c r="AI237" i="1"/>
  <c r="AB237" i="1" s="1"/>
  <c r="AI140" i="1"/>
  <c r="AB140" i="1" s="1"/>
  <c r="AI739" i="1"/>
  <c r="AB739" i="1" s="1"/>
  <c r="AH291" i="1"/>
  <c r="AD291" i="1" s="1"/>
  <c r="AH213" i="1"/>
  <c r="AD213" i="1" s="1"/>
  <c r="AI332" i="1"/>
  <c r="AB332" i="1" s="1"/>
  <c r="AC332" i="1" s="1"/>
  <c r="AI709" i="1"/>
  <c r="AB709" i="1" s="1"/>
  <c r="AC709" i="1" s="1"/>
  <c r="AH333" i="1"/>
  <c r="AD333" i="1" s="1"/>
  <c r="AI183" i="1"/>
  <c r="AB183" i="1" s="1"/>
  <c r="AC183" i="1" s="1"/>
  <c r="AH707" i="1"/>
  <c r="AD707" i="1" s="1"/>
  <c r="AI146" i="1"/>
  <c r="AB146" i="1" s="1"/>
  <c r="AC146" i="1" s="1"/>
  <c r="AI59" i="1"/>
  <c r="AB59" i="1" s="1"/>
  <c r="AC59" i="1" s="1"/>
  <c r="AI298" i="1"/>
  <c r="AB298" i="1" s="1"/>
  <c r="AI627" i="1"/>
  <c r="AB627" i="1" s="1"/>
  <c r="AI118" i="1"/>
  <c r="AB118" i="1" s="1"/>
  <c r="AC118" i="1" s="1"/>
  <c r="AI134" i="1"/>
  <c r="AB134" i="1" s="1"/>
  <c r="AH126" i="1"/>
  <c r="AD126" i="1" s="1"/>
  <c r="AH129" i="1"/>
  <c r="AD129" i="1" s="1"/>
  <c r="AI141" i="1"/>
  <c r="AB141" i="1" s="1"/>
  <c r="AC141" i="1" s="1"/>
  <c r="AH371" i="1"/>
  <c r="AD371" i="1" s="1"/>
  <c r="AH643" i="1"/>
  <c r="AD643" i="1" s="1"/>
  <c r="AH338" i="1"/>
  <c r="AD338" i="1" s="1"/>
  <c r="AH164" i="1"/>
  <c r="AD164" i="1" s="1"/>
  <c r="AH316" i="1"/>
  <c r="AD316" i="1" s="1"/>
  <c r="AH662" i="1"/>
  <c r="AD662" i="1" s="1"/>
  <c r="AI361" i="1"/>
  <c r="AB361" i="1" s="1"/>
  <c r="AI427" i="1"/>
  <c r="AB427" i="1" s="1"/>
  <c r="AC427" i="1" s="1"/>
  <c r="AI197" i="1"/>
  <c r="AB197" i="1" s="1"/>
  <c r="AH222" i="1"/>
  <c r="AD222" i="1" s="1"/>
  <c r="AH235" i="1"/>
  <c r="AD235" i="1" s="1"/>
  <c r="AF670" i="1"/>
  <c r="AI220" i="1"/>
  <c r="AB220" i="1" s="1"/>
  <c r="AC220" i="1" s="1"/>
  <c r="AI149" i="1"/>
  <c r="AB149" i="1" s="1"/>
  <c r="AC149" i="1" s="1"/>
  <c r="AH435" i="1"/>
  <c r="AD435" i="1" s="1"/>
  <c r="AI710" i="1"/>
  <c r="AB710" i="1" s="1"/>
  <c r="AC710" i="1" s="1"/>
  <c r="AI712" i="1"/>
  <c r="AB712" i="1" s="1"/>
  <c r="AC712" i="1" s="1"/>
  <c r="AI153" i="1"/>
  <c r="AB153" i="1" s="1"/>
  <c r="AC153" i="1" s="1"/>
  <c r="AI624" i="1"/>
  <c r="AB624" i="1" s="1"/>
  <c r="AC624" i="1" s="1"/>
  <c r="AH699" i="1"/>
  <c r="AD699" i="1" s="1"/>
  <c r="AH207" i="1"/>
  <c r="AD207" i="1" s="1"/>
  <c r="AH401" i="1"/>
  <c r="AD401" i="1" s="1"/>
  <c r="AH720" i="1"/>
  <c r="AD720" i="1" s="1"/>
  <c r="AH215" i="1"/>
  <c r="AD215" i="1" s="1"/>
  <c r="AI213" i="1"/>
  <c r="AB213" i="1" s="1"/>
  <c r="AC213" i="1" s="1"/>
  <c r="AH240" i="1"/>
  <c r="AD240" i="1" s="1"/>
  <c r="AI246" i="1"/>
  <c r="AB246" i="1" s="1"/>
  <c r="AC246" i="1" s="1"/>
  <c r="AH332" i="1"/>
  <c r="AD332" i="1" s="1"/>
  <c r="AI334" i="1"/>
  <c r="AB334" i="1" s="1"/>
  <c r="AC334" i="1" s="1"/>
  <c r="AH48" i="1"/>
  <c r="AD48" i="1" s="1"/>
  <c r="AI184" i="1"/>
  <c r="AB184" i="1" s="1"/>
  <c r="AC184" i="1" s="1"/>
  <c r="AI722" i="1"/>
  <c r="AB722" i="1" s="1"/>
  <c r="AC722" i="1" s="1"/>
  <c r="AH146" i="1"/>
  <c r="AD146" i="1" s="1"/>
  <c r="AH59" i="1"/>
  <c r="AD59" i="1" s="1"/>
  <c r="AH298" i="1"/>
  <c r="AD298" i="1" s="1"/>
  <c r="AH627" i="1"/>
  <c r="AD627" i="1" s="1"/>
  <c r="AH118" i="1"/>
  <c r="AD118" i="1" s="1"/>
  <c r="AH134" i="1"/>
  <c r="AD134" i="1" s="1"/>
  <c r="AI126" i="1"/>
  <c r="AB126" i="1" s="1"/>
  <c r="AC126" i="1" s="1"/>
  <c r="AI129" i="1"/>
  <c r="AB129" i="1" s="1"/>
  <c r="AC129" i="1" s="1"/>
  <c r="AH141" i="1"/>
  <c r="AD141" i="1" s="1"/>
  <c r="AI640" i="1"/>
  <c r="AB640" i="1" s="1"/>
  <c r="AC640" i="1" s="1"/>
  <c r="AI371" i="1"/>
  <c r="AB371" i="1" s="1"/>
  <c r="AC371" i="1" s="1"/>
  <c r="AI660" i="1"/>
  <c r="AB660" i="1" s="1"/>
  <c r="AC660" i="1" s="1"/>
  <c r="AH655" i="1"/>
  <c r="AD655" i="1" s="1"/>
  <c r="AH162" i="1"/>
  <c r="AD162" i="1" s="1"/>
  <c r="AI662" i="1"/>
  <c r="AB662" i="1" s="1"/>
  <c r="AH361" i="1"/>
  <c r="AD361" i="1" s="1"/>
  <c r="AH427" i="1"/>
  <c r="AD427" i="1" s="1"/>
  <c r="AH686" i="1"/>
  <c r="AD686" i="1" s="1"/>
  <c r="AI260" i="1"/>
  <c r="AB260" i="1" s="1"/>
  <c r="AI275" i="1"/>
  <c r="AB275" i="1" s="1"/>
  <c r="AC275" i="1" s="1"/>
  <c r="AI671" i="1"/>
  <c r="AB671" i="1" s="1"/>
  <c r="AC671" i="1" s="1"/>
  <c r="AI200" i="1"/>
  <c r="AB200" i="1" s="1"/>
  <c r="AC200" i="1" s="1"/>
  <c r="AH237" i="1"/>
  <c r="AD237" i="1" s="1"/>
  <c r="AI401" i="1"/>
  <c r="AB401" i="1" s="1"/>
  <c r="AI720" i="1"/>
  <c r="AB720" i="1" s="1"/>
  <c r="AC720" i="1" s="1"/>
  <c r="AI215" i="1"/>
  <c r="AB215" i="1" s="1"/>
  <c r="AC215" i="1" s="1"/>
  <c r="AI229" i="1"/>
  <c r="AB229" i="1" s="1"/>
  <c r="AC229" i="1" s="1"/>
  <c r="AI240" i="1"/>
  <c r="AB240" i="1" s="1"/>
  <c r="AC240" i="1" s="1"/>
  <c r="AH246" i="1"/>
  <c r="AD246" i="1" s="1"/>
  <c r="AH334" i="1"/>
  <c r="AD334" i="1" s="1"/>
  <c r="AI48" i="1"/>
  <c r="AB48" i="1" s="1"/>
  <c r="AH184" i="1"/>
  <c r="AD184" i="1" s="1"/>
  <c r="AH722" i="1"/>
  <c r="AD722" i="1" s="1"/>
  <c r="AI730" i="1"/>
  <c r="AB730" i="1" s="1"/>
  <c r="AI60" i="1"/>
  <c r="AB60" i="1" s="1"/>
  <c r="AC60" i="1" s="1"/>
  <c r="AH153" i="1"/>
  <c r="AD153" i="1" s="1"/>
  <c r="AH299" i="1"/>
  <c r="AD299" i="1" s="1"/>
  <c r="AH624" i="1"/>
  <c r="AD624" i="1" s="1"/>
  <c r="AI119" i="1"/>
  <c r="AB119" i="1" s="1"/>
  <c r="AC119" i="1" s="1"/>
  <c r="AH132" i="1"/>
  <c r="AD132" i="1" s="1"/>
  <c r="AH622" i="1"/>
  <c r="AD622" i="1" s="1"/>
  <c r="AI127" i="1"/>
  <c r="AB127" i="1" s="1"/>
  <c r="AC127" i="1" s="1"/>
  <c r="AH137" i="1"/>
  <c r="AD137" i="1" s="1"/>
  <c r="AH640" i="1"/>
  <c r="AD640" i="1" s="1"/>
  <c r="AH502" i="1"/>
  <c r="AD502" i="1" s="1"/>
  <c r="AH660" i="1"/>
  <c r="AD660" i="1" s="1"/>
  <c r="AI655" i="1"/>
  <c r="AB655" i="1" s="1"/>
  <c r="AI162" i="1"/>
  <c r="AB162" i="1" s="1"/>
  <c r="AC162" i="1" s="1"/>
  <c r="AI686" i="1"/>
  <c r="AB686" i="1" s="1"/>
  <c r="AC686" i="1" s="1"/>
  <c r="AH260" i="1"/>
  <c r="AD260" i="1" s="1"/>
  <c r="AH275" i="1"/>
  <c r="AD275" i="1" s="1"/>
  <c r="AH671" i="1"/>
  <c r="AD671" i="1" s="1"/>
  <c r="AH200" i="1"/>
  <c r="AD200" i="1" s="1"/>
  <c r="AF642" i="1"/>
  <c r="AH647" i="1"/>
  <c r="AD647" i="1" s="1"/>
  <c r="AH729" i="1"/>
  <c r="AD729" i="1" s="1"/>
  <c r="AI44" i="1"/>
  <c r="AB44" i="1" s="1"/>
  <c r="AC44" i="1" s="1"/>
  <c r="AI435" i="1"/>
  <c r="AB435" i="1" s="1"/>
  <c r="AC435" i="1" s="1"/>
  <c r="AE591" i="1"/>
  <c r="AC592" i="1"/>
  <c r="AE604" i="1"/>
  <c r="AN177" i="8"/>
  <c r="AC575" i="1"/>
  <c r="AN250" i="8"/>
  <c r="AN163" i="8"/>
  <c r="AE224" i="1"/>
  <c r="AE596" i="1"/>
  <c r="AN301" i="8"/>
  <c r="AE668" i="1"/>
  <c r="AE645" i="1"/>
  <c r="AE61" i="1"/>
  <c r="AC568" i="1"/>
  <c r="AC197" i="1"/>
  <c r="AC340" i="1"/>
  <c r="E97" i="1"/>
  <c r="F97" i="1" s="1"/>
  <c r="C97" i="1"/>
  <c r="D97" i="1" s="1"/>
  <c r="E104" i="1"/>
  <c r="F104" i="1" s="1"/>
  <c r="C104" i="1"/>
  <c r="D104" i="1" s="1"/>
  <c r="E99" i="1"/>
  <c r="F99" i="1" s="1"/>
  <c r="C99" i="1"/>
  <c r="D99" i="1" s="1"/>
  <c r="E102" i="1"/>
  <c r="F102" i="1" s="1"/>
  <c r="C102" i="1"/>
  <c r="D102" i="1" s="1"/>
  <c r="E100" i="1"/>
  <c r="F100" i="1" s="1"/>
  <c r="C100" i="1"/>
  <c r="D100" i="1" s="1"/>
  <c r="H102" i="1"/>
  <c r="H104" i="1"/>
  <c r="H97" i="1"/>
  <c r="H100" i="1"/>
  <c r="H99" i="1"/>
  <c r="AM71" i="8"/>
  <c r="AN71" i="8"/>
  <c r="AM55" i="8"/>
  <c r="AN55" i="8"/>
  <c r="AM29" i="8"/>
  <c r="AN29" i="8"/>
  <c r="AM53" i="8"/>
  <c r="AN53" i="8"/>
  <c r="AM50" i="8"/>
  <c r="AN50" i="8"/>
  <c r="AM74" i="8"/>
  <c r="AN74" i="8"/>
  <c r="AM28" i="8"/>
  <c r="AN28" i="8"/>
  <c r="AM56" i="8"/>
  <c r="AN56" i="8"/>
  <c r="AM66" i="8"/>
  <c r="AN66" i="8"/>
  <c r="AM68" i="8"/>
  <c r="AN68" i="8"/>
  <c r="AM47" i="8"/>
  <c r="AN47" i="8"/>
  <c r="AM27" i="8"/>
  <c r="AN27" i="8"/>
  <c r="AM59" i="8"/>
  <c r="AN59" i="8"/>
  <c r="AM41" i="8"/>
  <c r="AN41" i="8"/>
  <c r="AM51" i="8"/>
  <c r="AN51" i="8"/>
  <c r="AM25" i="8"/>
  <c r="AN25" i="8"/>
  <c r="AM72" i="8"/>
  <c r="AN72" i="8"/>
  <c r="AM35" i="8"/>
  <c r="AN35" i="8"/>
  <c r="AM36" i="8"/>
  <c r="AN36" i="8"/>
  <c r="AM64" i="8"/>
  <c r="AN64" i="8"/>
  <c r="AM57" i="8"/>
  <c r="AN57" i="8"/>
  <c r="AM46" i="8"/>
  <c r="AN46" i="8"/>
  <c r="AM73" i="8"/>
  <c r="AN73" i="8"/>
  <c r="AM63" i="8"/>
  <c r="AN63" i="8"/>
  <c r="AM9" i="8"/>
  <c r="AN9" i="8"/>
  <c r="AM45" i="8"/>
  <c r="AN45" i="8"/>
  <c r="AM10" i="8"/>
  <c r="AN10" i="8"/>
  <c r="AM48" i="8"/>
  <c r="AN48" i="8"/>
  <c r="AM30" i="8"/>
  <c r="AN30" i="8"/>
  <c r="AM40" i="8"/>
  <c r="AN40" i="8"/>
  <c r="AM60" i="8"/>
  <c r="AN60" i="8"/>
  <c r="AM58" i="8"/>
  <c r="AN58" i="8"/>
  <c r="AM54" i="8"/>
  <c r="AN54" i="8"/>
  <c r="AM69" i="8"/>
  <c r="AN69" i="8"/>
  <c r="AM34" i="8"/>
  <c r="AN34" i="8"/>
  <c r="AM49" i="8"/>
  <c r="AN49" i="8"/>
  <c r="AM52" i="8"/>
  <c r="AN52" i="8"/>
  <c r="AM65" i="8"/>
  <c r="AN65" i="8"/>
  <c r="AM38" i="8"/>
  <c r="AN38" i="8"/>
  <c r="AL33" i="8"/>
  <c r="AL42" i="8"/>
  <c r="AL31" i="8"/>
  <c r="AL44" i="8"/>
  <c r="AL39" i="8"/>
  <c r="AL43" i="8"/>
  <c r="AL32" i="8"/>
  <c r="AL37" i="8"/>
  <c r="AL26" i="8"/>
  <c r="AL61" i="8"/>
  <c r="AL62" i="8"/>
  <c r="AE215" i="1" l="1"/>
  <c r="AE707" i="1"/>
  <c r="AE727" i="1"/>
  <c r="AE232" i="1"/>
  <c r="AE620" i="1"/>
  <c r="AE625" i="1"/>
  <c r="AE48" i="1"/>
  <c r="AE124" i="1"/>
  <c r="AE641" i="1"/>
  <c r="AE213" i="1"/>
  <c r="AE559" i="1"/>
  <c r="AE480" i="1"/>
  <c r="AE193" i="1"/>
  <c r="AE150" i="1"/>
  <c r="AE192" i="1"/>
  <c r="AE130" i="1"/>
  <c r="AE137" i="1"/>
  <c r="AE260" i="1"/>
  <c r="AE331" i="1"/>
  <c r="AE365" i="1"/>
  <c r="AE315" i="1"/>
  <c r="AE203" i="1"/>
  <c r="AC124" i="1"/>
  <c r="AE204" i="1"/>
  <c r="AE621" i="1"/>
  <c r="AE710" i="1"/>
  <c r="AE245" i="1"/>
  <c r="AE651" i="1"/>
  <c r="AE165" i="1"/>
  <c r="AE659" i="1"/>
  <c r="AE138" i="1"/>
  <c r="AE205" i="1"/>
  <c r="AE92" i="1"/>
  <c r="AE342" i="1"/>
  <c r="AE643" i="1"/>
  <c r="AE584" i="1"/>
  <c r="AE574" i="1"/>
  <c r="AC365" i="1"/>
  <c r="AE225" i="1"/>
  <c r="AC733" i="1"/>
  <c r="AE658" i="1"/>
  <c r="AC203" i="1"/>
  <c r="AE146" i="1"/>
  <c r="AE729" i="1"/>
  <c r="AC92" i="1"/>
  <c r="AE714" i="1"/>
  <c r="AE709" i="1"/>
  <c r="AE82" i="1"/>
  <c r="AE401" i="1"/>
  <c r="AE627" i="1"/>
  <c r="AE600" i="1"/>
  <c r="AC232" i="1"/>
  <c r="AE49" i="1"/>
  <c r="AE120" i="1"/>
  <c r="AE730" i="1"/>
  <c r="AE298" i="1"/>
  <c r="AE237" i="1"/>
  <c r="AE198" i="1"/>
  <c r="AE139" i="1"/>
  <c r="AE432" i="1"/>
  <c r="AE121" i="1"/>
  <c r="AE663" i="1"/>
  <c r="AE122" i="1"/>
  <c r="AE479" i="1"/>
  <c r="AE166" i="1"/>
  <c r="AC245" i="1"/>
  <c r="AE299" i="1"/>
  <c r="AC658" i="1"/>
  <c r="AE141" i="1"/>
  <c r="AE688" i="1"/>
  <c r="AE672" i="1"/>
  <c r="AE197" i="1"/>
  <c r="AC688" i="1"/>
  <c r="AE361" i="1"/>
  <c r="AE196" i="1"/>
  <c r="AE712" i="1"/>
  <c r="AE132" i="1"/>
  <c r="AC260" i="1"/>
  <c r="AE240" i="1"/>
  <c r="AE183" i="1"/>
  <c r="AE687" i="1"/>
  <c r="AE332" i="1"/>
  <c r="AE330" i="1"/>
  <c r="AE127" i="1"/>
  <c r="AE66" i="1"/>
  <c r="AE700" i="1"/>
  <c r="AE246" i="1"/>
  <c r="AE243" i="1"/>
  <c r="AE316" i="1"/>
  <c r="AE59" i="1"/>
  <c r="AE211" i="1"/>
  <c r="AE683" i="1"/>
  <c r="AE481" i="1"/>
  <c r="AE676" i="1"/>
  <c r="AE717" i="1"/>
  <c r="AE617" i="1"/>
  <c r="AE624" i="1"/>
  <c r="AC621" i="1"/>
  <c r="AC166" i="1"/>
  <c r="AC361" i="1"/>
  <c r="AC559" i="1"/>
  <c r="AE647" i="1"/>
  <c r="AC480" i="1"/>
  <c r="AC48" i="1"/>
  <c r="AE149" i="1"/>
  <c r="AC138" i="1"/>
  <c r="AE275" i="1"/>
  <c r="AE235" i="1"/>
  <c r="AE129" i="1"/>
  <c r="AE333" i="1"/>
  <c r="AE650" i="1"/>
  <c r="AE292" i="1"/>
  <c r="AE319" i="1"/>
  <c r="AE143" i="1"/>
  <c r="AE145" i="1"/>
  <c r="AC714" i="1"/>
  <c r="AC627" i="1"/>
  <c r="AE309" i="1"/>
  <c r="AC315" i="1"/>
  <c r="AE222" i="1"/>
  <c r="AE155" i="1"/>
  <c r="AE184" i="1"/>
  <c r="AE686" i="1"/>
  <c r="AE134" i="1"/>
  <c r="AE291" i="1"/>
  <c r="AE234" i="1"/>
  <c r="AE477" i="1"/>
  <c r="AE62" i="1"/>
  <c r="AE744" i="1"/>
  <c r="AE60" i="1"/>
  <c r="AE261" i="1"/>
  <c r="AE346" i="1"/>
  <c r="AE715" i="1"/>
  <c r="AE212" i="1"/>
  <c r="AE123" i="1"/>
  <c r="AE228" i="1"/>
  <c r="AC196" i="1"/>
  <c r="AE739" i="1"/>
  <c r="AE133" i="1"/>
  <c r="AE637" i="1"/>
  <c r="AE220" i="1"/>
  <c r="AE673" i="1"/>
  <c r="AE484" i="1"/>
  <c r="AE590" i="1"/>
  <c r="AE734" i="1"/>
  <c r="AE136" i="1"/>
  <c r="AE199" i="1"/>
  <c r="AE140" i="1"/>
  <c r="AE117" i="1"/>
  <c r="AE623" i="1"/>
  <c r="AE664" i="1"/>
  <c r="AC477" i="1"/>
  <c r="AC346" i="1"/>
  <c r="AE732" i="1"/>
  <c r="AC730" i="1"/>
  <c r="AE655" i="1"/>
  <c r="AC401" i="1"/>
  <c r="AE159" i="1"/>
  <c r="AC134" i="1"/>
  <c r="AC205" i="1"/>
  <c r="AE722" i="1"/>
  <c r="AE186" i="1"/>
  <c r="AE154" i="1"/>
  <c r="AC133" i="1"/>
  <c r="AC140" i="1"/>
  <c r="AC659" i="1"/>
  <c r="AE653" i="1"/>
  <c r="AE163" i="1"/>
  <c r="AE221" i="1"/>
  <c r="AE671" i="1"/>
  <c r="AE699" i="1"/>
  <c r="AE329" i="1"/>
  <c r="AE93" i="1"/>
  <c r="AE148" i="1"/>
  <c r="AE152" i="1"/>
  <c r="AC121" i="1"/>
  <c r="AE135" i="1"/>
  <c r="AC655" i="1"/>
  <c r="AE162" i="1"/>
  <c r="AE345" i="1"/>
  <c r="AE427" i="1"/>
  <c r="AC676" i="1"/>
  <c r="AE118" i="1"/>
  <c r="AE164" i="1"/>
  <c r="AE207" i="1"/>
  <c r="AE217" i="1"/>
  <c r="AC717" i="1"/>
  <c r="AE661" i="1"/>
  <c r="AE560" i="1"/>
  <c r="AC683" i="1"/>
  <c r="AE244" i="1"/>
  <c r="AE125" i="1"/>
  <c r="AE300" i="1"/>
  <c r="AE662" i="1"/>
  <c r="AE320" i="1"/>
  <c r="AE301" i="1"/>
  <c r="AE677" i="1"/>
  <c r="AE206" i="1"/>
  <c r="AE657" i="1"/>
  <c r="AE153" i="1"/>
  <c r="AE161" i="1"/>
  <c r="AE660" i="1"/>
  <c r="AE622" i="1"/>
  <c r="AE619" i="1"/>
  <c r="AE626" i="1"/>
  <c r="AE229" i="1"/>
  <c r="AE334" i="1"/>
  <c r="AE131" i="1"/>
  <c r="AE502" i="1"/>
  <c r="AC198" i="1"/>
  <c r="AC206" i="1"/>
  <c r="AE91" i="1"/>
  <c r="AE156" i="1"/>
  <c r="AC298" i="1"/>
  <c r="AE628" i="1"/>
  <c r="AE126" i="1"/>
  <c r="AE640" i="1"/>
  <c r="AE338" i="1"/>
  <c r="AC165" i="1"/>
  <c r="AE482" i="1"/>
  <c r="AC333" i="1"/>
  <c r="AE96" i="1"/>
  <c r="AE580" i="1"/>
  <c r="AE367" i="1"/>
  <c r="AE654" i="1"/>
  <c r="AC672" i="1"/>
  <c r="AE218" i="1"/>
  <c r="AE435" i="1"/>
  <c r="AE679" i="1"/>
  <c r="AE216" i="1"/>
  <c r="AE201" i="1"/>
  <c r="AE151" i="1"/>
  <c r="AE119" i="1"/>
  <c r="AC622" i="1"/>
  <c r="AE128" i="1"/>
  <c r="AE656" i="1"/>
  <c r="AC662" i="1"/>
  <c r="AE44" i="1"/>
  <c r="AC699" i="1"/>
  <c r="AE335" i="1"/>
  <c r="AC143" i="1"/>
  <c r="AE343" i="1"/>
  <c r="AE202" i="1"/>
  <c r="AE200" i="1"/>
  <c r="AE749" i="1"/>
  <c r="AE743" i="1"/>
  <c r="AE101" i="1"/>
  <c r="AE279" i="1"/>
  <c r="AE719" i="1"/>
  <c r="AE720" i="1"/>
  <c r="AE371" i="1"/>
  <c r="AC237" i="1"/>
  <c r="AC292" i="1"/>
  <c r="AE210" i="1"/>
  <c r="AC432" i="1"/>
  <c r="AC343" i="1"/>
  <c r="AC729" i="1"/>
  <c r="AC342" i="1"/>
  <c r="AE233" i="1"/>
  <c r="AC739" i="1"/>
  <c r="AC331" i="1"/>
  <c r="AC647" i="1"/>
  <c r="AE486" i="1"/>
  <c r="AM37" i="8"/>
  <c r="AN37" i="8"/>
  <c r="AM43" i="8"/>
  <c r="AN43" i="8"/>
  <c r="AM62" i="8"/>
  <c r="AN62" i="8"/>
  <c r="AM39" i="8"/>
  <c r="AN39" i="8"/>
  <c r="AM61" i="8"/>
  <c r="AN61" i="8"/>
  <c r="AM44" i="8"/>
  <c r="AN44" i="8"/>
  <c r="AM26" i="8"/>
  <c r="AN26" i="8"/>
  <c r="AM32" i="8"/>
  <c r="AN32" i="8"/>
  <c r="AM31" i="8"/>
  <c r="AN31" i="8"/>
  <c r="AM42" i="8"/>
  <c r="AN42" i="8"/>
  <c r="AM33" i="8"/>
  <c r="AN33" i="8"/>
  <c r="S2" i="8"/>
  <c r="R2" i="8" a="1"/>
  <c r="T2" i="8" a="1"/>
  <c r="R2" i="8" l="1"/>
  <c r="T2" i="8"/>
  <c r="AF99" i="1"/>
  <c r="AF97" i="1"/>
  <c r="AF102" i="1"/>
  <c r="AF100" i="1"/>
  <c r="AF104" i="1"/>
  <c r="V2" i="8"/>
  <c r="AL2" i="8"/>
  <c r="AA53" i="1"/>
  <c r="AH99" i="1" a="1"/>
  <c r="AH97" i="1" a="1"/>
  <c r="AA108" i="1"/>
  <c r="U2" i="8" a="1"/>
  <c r="AH102" i="1" a="1"/>
  <c r="U2" i="8" l="1"/>
  <c r="AH102" i="1"/>
  <c r="AD102" i="1" s="1"/>
  <c r="AH97" i="1"/>
  <c r="AD97" i="1" s="1"/>
  <c r="AH99" i="1"/>
  <c r="AD99" i="1" s="1"/>
  <c r="AN2" i="8"/>
  <c r="AH104" i="1" a="1"/>
  <c r="AI104" i="1" a="1"/>
  <c r="AI97" i="1" a="1"/>
  <c r="AI100" i="1" a="1"/>
  <c r="AI102" i="1" a="1"/>
  <c r="AI99" i="1" a="1"/>
  <c r="AH100" i="1" a="1"/>
  <c r="AI100" i="1" l="1"/>
  <c r="AB100" i="1" s="1"/>
  <c r="AI99" i="1"/>
  <c r="AI97" i="1"/>
  <c r="AI102" i="1"/>
  <c r="AB102" i="1" s="1"/>
  <c r="AC102" i="1" s="1"/>
  <c r="AH100" i="1"/>
  <c r="AD100" i="1" s="1"/>
  <c r="AH104" i="1"/>
  <c r="AD104" i="1" s="1"/>
  <c r="AI104" i="1"/>
  <c r="AB104" i="1" s="1"/>
  <c r="AC104" i="1" s="1"/>
  <c r="AB97" i="1"/>
  <c r="AC97" i="1" s="1"/>
  <c r="AB99" i="1"/>
  <c r="AE99" i="1" s="1"/>
  <c r="AE104" i="1" l="1"/>
  <c r="AE100" i="1"/>
  <c r="AC99" i="1"/>
  <c r="AC100" i="1"/>
  <c r="AE102" i="1"/>
  <c r="AE97" i="1"/>
  <c r="Q105" i="1"/>
  <c r="U105" i="1"/>
  <c r="Z105" i="1"/>
  <c r="E105" i="1" l="1"/>
  <c r="F105" i="1" s="1"/>
  <c r="C105" i="1"/>
  <c r="D105" i="1" s="1"/>
  <c r="H105" i="1"/>
  <c r="Q283" i="1" l="1"/>
  <c r="Z283" i="1"/>
  <c r="U283" i="1"/>
  <c r="E283" i="1" l="1"/>
  <c r="F283" i="1" s="1"/>
  <c r="C283" i="1"/>
  <c r="D283" i="1" s="1"/>
  <c r="H283" i="1"/>
  <c r="Q109" i="1" l="1"/>
  <c r="Q110" i="1"/>
  <c r="Q111" i="1"/>
  <c r="Q112" i="1"/>
  <c r="Q113" i="1"/>
  <c r="Q114" i="1"/>
  <c r="Q116" i="1"/>
  <c r="Q678" i="1"/>
  <c r="Q706" i="1"/>
  <c r="U110" i="1"/>
  <c r="U113" i="1"/>
  <c r="U706" i="1"/>
  <c r="Z110" i="1"/>
  <c r="U114" i="1"/>
  <c r="U112" i="1"/>
  <c r="Z112" i="1"/>
  <c r="Z113" i="1"/>
  <c r="U678" i="1"/>
  <c r="Z706" i="1"/>
  <c r="U116" i="1"/>
  <c r="Z111" i="1"/>
  <c r="U111" i="1"/>
  <c r="Z678" i="1"/>
  <c r="Z109" i="1"/>
  <c r="Z114" i="1"/>
  <c r="U109" i="1"/>
  <c r="Z116" i="1"/>
  <c r="C109" i="1" l="1"/>
  <c r="D109" i="1" s="1"/>
  <c r="E109" i="1"/>
  <c r="F109" i="1" s="1"/>
  <c r="E678" i="1"/>
  <c r="F678" i="1" s="1"/>
  <c r="C678" i="1"/>
  <c r="D678" i="1" s="1"/>
  <c r="E114" i="1"/>
  <c r="F114" i="1" s="1"/>
  <c r="C114" i="1"/>
  <c r="D114" i="1" s="1"/>
  <c r="E111" i="1"/>
  <c r="F111" i="1" s="1"/>
  <c r="C111" i="1"/>
  <c r="D111" i="1" s="1"/>
  <c r="E706" i="1"/>
  <c r="F706" i="1" s="1"/>
  <c r="C706" i="1"/>
  <c r="D706" i="1" s="1"/>
  <c r="E113" i="1"/>
  <c r="F113" i="1" s="1"/>
  <c r="C113" i="1"/>
  <c r="D113" i="1" s="1"/>
  <c r="E110" i="1"/>
  <c r="F110" i="1" s="1"/>
  <c r="C110" i="1"/>
  <c r="D110" i="1" s="1"/>
  <c r="E116" i="1"/>
  <c r="F116" i="1" s="1"/>
  <c r="C116" i="1"/>
  <c r="D116" i="1" s="1"/>
  <c r="E112" i="1"/>
  <c r="F112" i="1" s="1"/>
  <c r="C112" i="1"/>
  <c r="D112" i="1" s="1"/>
  <c r="H111" i="1"/>
  <c r="H109" i="1"/>
  <c r="H113" i="1"/>
  <c r="H116" i="1"/>
  <c r="H110" i="1"/>
  <c r="H706" i="1"/>
  <c r="H112" i="1"/>
  <c r="H678" i="1"/>
  <c r="H114" i="1"/>
  <c r="Q147" i="1"/>
  <c r="AF147" i="1"/>
  <c r="Q284" i="1"/>
  <c r="AF284" i="1"/>
  <c r="Z284" i="1"/>
  <c r="U284" i="1"/>
  <c r="Z147" i="1"/>
  <c r="U147" i="1"/>
  <c r="E284" i="1" l="1"/>
  <c r="F284" i="1" s="1"/>
  <c r="C284" i="1"/>
  <c r="D284" i="1" s="1"/>
  <c r="E147" i="1"/>
  <c r="F147" i="1" s="1"/>
  <c r="C147" i="1"/>
  <c r="D147" i="1" s="1"/>
  <c r="H284" i="1"/>
  <c r="H147" i="1"/>
  <c r="Q189" i="1"/>
  <c r="Q190" i="1"/>
  <c r="Q191" i="1"/>
  <c r="Q680" i="1"/>
  <c r="U191" i="1"/>
  <c r="Z189" i="1"/>
  <c r="AI147" i="1" a="1"/>
  <c r="Z190" i="1"/>
  <c r="AH284" i="1" a="1"/>
  <c r="Z191" i="1"/>
  <c r="AH147" i="1" a="1"/>
  <c r="U190" i="1"/>
  <c r="Z680" i="1"/>
  <c r="AI284" i="1" a="1"/>
  <c r="U189" i="1"/>
  <c r="AH147" i="1" l="1"/>
  <c r="AD147" i="1" s="1"/>
  <c r="AI147" i="1"/>
  <c r="AB147" i="1" s="1"/>
  <c r="AH284" i="1"/>
  <c r="AD284" i="1" s="1"/>
  <c r="AI284" i="1"/>
  <c r="AB284" i="1" s="1"/>
  <c r="E190" i="1"/>
  <c r="F190" i="1" s="1"/>
  <c r="C190" i="1"/>
  <c r="D190" i="1" s="1"/>
  <c r="E191" i="1"/>
  <c r="F191" i="1" s="1"/>
  <c r="C191" i="1"/>
  <c r="D191" i="1" s="1"/>
  <c r="E680" i="1"/>
  <c r="F680" i="1" s="1"/>
  <c r="C680" i="1"/>
  <c r="D680" i="1" s="1"/>
  <c r="E189" i="1"/>
  <c r="F189" i="1" s="1"/>
  <c r="C189" i="1"/>
  <c r="D189" i="1" s="1"/>
  <c r="H680" i="1"/>
  <c r="H190" i="1"/>
  <c r="H189" i="1"/>
  <c r="H191" i="1"/>
  <c r="Q175" i="1" l="1"/>
  <c r="U175" i="1"/>
  <c r="Z175" i="1"/>
  <c r="E175" i="1" l="1"/>
  <c r="F175" i="1" s="1"/>
  <c r="C175" i="1"/>
  <c r="D175" i="1" s="1"/>
  <c r="H175" i="1"/>
  <c r="Q428" i="1" l="1"/>
  <c r="Q429" i="1"/>
  <c r="Q430" i="1"/>
  <c r="Q431" i="1"/>
  <c r="U428" i="1"/>
  <c r="Z428" i="1"/>
  <c r="Z431" i="1"/>
  <c r="Z429" i="1"/>
  <c r="U430" i="1"/>
  <c r="Z430" i="1"/>
  <c r="U429" i="1"/>
  <c r="U431" i="1"/>
  <c r="E429" i="1" l="1"/>
  <c r="F429" i="1" s="1"/>
  <c r="C429" i="1"/>
  <c r="D429" i="1" s="1"/>
  <c r="E431" i="1"/>
  <c r="F431" i="1" s="1"/>
  <c r="C431" i="1"/>
  <c r="D431" i="1" s="1"/>
  <c r="E428" i="1"/>
  <c r="F428" i="1" s="1"/>
  <c r="C428" i="1"/>
  <c r="D428" i="1" s="1"/>
  <c r="E430" i="1"/>
  <c r="F430" i="1" s="1"/>
  <c r="C430" i="1"/>
  <c r="D430" i="1" s="1"/>
  <c r="H430" i="1"/>
  <c r="H428" i="1"/>
  <c r="H429" i="1"/>
  <c r="H431" i="1"/>
  <c r="AF2" i="8" l="1"/>
  <c r="AG2" i="8" l="1"/>
  <c r="AI2" i="8"/>
  <c r="AH2" i="8" l="1"/>
  <c r="AK2" i="8"/>
  <c r="P7" i="1" l="1"/>
  <c r="Q269" i="1" l="1"/>
  <c r="Z269" i="1"/>
  <c r="U269" i="1"/>
  <c r="C269" i="1" l="1"/>
  <c r="D269" i="1" s="1"/>
  <c r="E269" i="1"/>
  <c r="F269" i="1" s="1"/>
  <c r="H269" i="1"/>
  <c r="Q423" i="1"/>
  <c r="AF423" i="1"/>
  <c r="Q424" i="1"/>
  <c r="Q425" i="1"/>
  <c r="Q426" i="1"/>
  <c r="Q433" i="1"/>
  <c r="Z426" i="1"/>
  <c r="Z425" i="1"/>
  <c r="Z424" i="1"/>
  <c r="Z423" i="1"/>
  <c r="Z433" i="1"/>
  <c r="U433" i="1"/>
  <c r="U425" i="1"/>
  <c r="U423" i="1"/>
  <c r="U426" i="1"/>
  <c r="U424" i="1"/>
  <c r="E424" i="1" l="1"/>
  <c r="F424" i="1" s="1"/>
  <c r="C424" i="1"/>
  <c r="D424" i="1" s="1"/>
  <c r="E426" i="1"/>
  <c r="F426" i="1" s="1"/>
  <c r="C426" i="1"/>
  <c r="D426" i="1" s="1"/>
  <c r="E423" i="1"/>
  <c r="F423" i="1" s="1"/>
  <c r="C423" i="1"/>
  <c r="D423" i="1" s="1"/>
  <c r="E425" i="1"/>
  <c r="F425" i="1" s="1"/>
  <c r="C425" i="1"/>
  <c r="D425" i="1" s="1"/>
  <c r="E433" i="1"/>
  <c r="F433" i="1" s="1"/>
  <c r="C433" i="1"/>
  <c r="D433" i="1" s="1"/>
  <c r="H424" i="1"/>
  <c r="H426" i="1"/>
  <c r="H423" i="1"/>
  <c r="H425" i="1"/>
  <c r="H433" i="1"/>
  <c r="AI423" i="1" a="1"/>
  <c r="AH423" i="1" a="1"/>
  <c r="AI423" i="1" l="1"/>
  <c r="AB423" i="1" s="1"/>
  <c r="AH423" i="1"/>
  <c r="AD423" i="1" s="1"/>
  <c r="Q86" i="1"/>
  <c r="AF86" i="1"/>
  <c r="Q79" i="1"/>
  <c r="AF79" i="1"/>
  <c r="Q78" i="1"/>
  <c r="Q77" i="1"/>
  <c r="AF77" i="1"/>
  <c r="Z78" i="1"/>
  <c r="U86" i="1"/>
  <c r="Z86" i="1"/>
  <c r="U79" i="1"/>
  <c r="Z79" i="1"/>
  <c r="U78" i="1"/>
  <c r="Z77" i="1"/>
  <c r="U77" i="1"/>
  <c r="E79" i="1" l="1"/>
  <c r="F79" i="1" s="1"/>
  <c r="C79" i="1"/>
  <c r="D79" i="1" s="1"/>
  <c r="E77" i="1"/>
  <c r="F77" i="1" s="1"/>
  <c r="C77" i="1"/>
  <c r="D77" i="1" s="1"/>
  <c r="E86" i="1"/>
  <c r="F86" i="1" s="1"/>
  <c r="C86" i="1"/>
  <c r="E78" i="1"/>
  <c r="F78" i="1" s="1"/>
  <c r="C78" i="1"/>
  <c r="D78" i="1" s="1"/>
  <c r="H78" i="1"/>
  <c r="H86" i="1"/>
  <c r="H79" i="1"/>
  <c r="H77" i="1"/>
  <c r="Q434" i="1"/>
  <c r="AF434" i="1"/>
  <c r="AH79" i="1" a="1"/>
  <c r="U434" i="1"/>
  <c r="AI77" i="1" a="1"/>
  <c r="AH77" i="1" a="1"/>
  <c r="Z434" i="1"/>
  <c r="AI86" i="1" a="1"/>
  <c r="AI79" i="1" a="1"/>
  <c r="AH86" i="1" a="1"/>
  <c r="AH77" i="1" l="1"/>
  <c r="AD77" i="1" s="1"/>
  <c r="AI77" i="1"/>
  <c r="AB77" i="1" s="1"/>
  <c r="AH79" i="1"/>
  <c r="AD79" i="1" s="1"/>
  <c r="AI79" i="1"/>
  <c r="AB79" i="1" s="1"/>
  <c r="AH86" i="1"/>
  <c r="AD86" i="1" s="1"/>
  <c r="AI86" i="1"/>
  <c r="AB86" i="1" s="1"/>
  <c r="E434" i="1"/>
  <c r="F434" i="1" s="1"/>
  <c r="C434" i="1"/>
  <c r="D434" i="1" s="1"/>
  <c r="D86" i="1"/>
  <c r="H434" i="1"/>
  <c r="Q723" i="1"/>
  <c r="Q728" i="1"/>
  <c r="Q144" i="1"/>
  <c r="Q738" i="1"/>
  <c r="Q188" i="1"/>
  <c r="Q724" i="1"/>
  <c r="AF724" i="1"/>
  <c r="U723" i="1"/>
  <c r="U724" i="1"/>
  <c r="AI434" i="1" a="1"/>
  <c r="Z144" i="1"/>
  <c r="Z724" i="1"/>
  <c r="Z738" i="1"/>
  <c r="U738" i="1"/>
  <c r="Z728" i="1"/>
  <c r="U188" i="1"/>
  <c r="Z188" i="1"/>
  <c r="U144" i="1"/>
  <c r="U728" i="1"/>
  <c r="AH434" i="1" a="1"/>
  <c r="Z723" i="1"/>
  <c r="AH434" i="1" l="1"/>
  <c r="AD434" i="1" s="1"/>
  <c r="AI434" i="1"/>
  <c r="AB434" i="1" s="1"/>
  <c r="E724" i="1"/>
  <c r="F724" i="1" s="1"/>
  <c r="C724" i="1"/>
  <c r="D724" i="1" s="1"/>
  <c r="E723" i="1"/>
  <c r="F723" i="1" s="1"/>
  <c r="C723" i="1"/>
  <c r="D723" i="1" s="1"/>
  <c r="E144" i="1"/>
  <c r="F144" i="1" s="1"/>
  <c r="C144" i="1"/>
  <c r="D144" i="1" s="1"/>
  <c r="E188" i="1"/>
  <c r="F188" i="1" s="1"/>
  <c r="C188" i="1"/>
  <c r="D188" i="1" s="1"/>
  <c r="E728" i="1"/>
  <c r="F728" i="1" s="1"/>
  <c r="C728" i="1"/>
  <c r="D728" i="1" s="1"/>
  <c r="E738" i="1"/>
  <c r="F738" i="1" s="1"/>
  <c r="C738" i="1"/>
  <c r="D738" i="1" s="1"/>
  <c r="H188" i="1"/>
  <c r="H728" i="1"/>
  <c r="H738" i="1"/>
  <c r="H723" i="1"/>
  <c r="H724" i="1"/>
  <c r="H144" i="1"/>
  <c r="Q272" i="1"/>
  <c r="U272" i="1"/>
  <c r="Z272" i="1"/>
  <c r="AI724" i="1" a="1"/>
  <c r="AH724" i="1" a="1"/>
  <c r="AH724" i="1" l="1"/>
  <c r="AD724" i="1" s="1"/>
  <c r="AI724" i="1"/>
  <c r="AB724" i="1" s="1"/>
  <c r="E272" i="1"/>
  <c r="F272" i="1" s="1"/>
  <c r="C272" i="1"/>
  <c r="D272" i="1" s="1"/>
  <c r="H272" i="1"/>
  <c r="Q276" i="1" l="1"/>
  <c r="AF276" i="1"/>
  <c r="Z276" i="1"/>
  <c r="U276" i="1"/>
  <c r="E276" i="1" l="1"/>
  <c r="F276" i="1" s="1"/>
  <c r="C276" i="1"/>
  <c r="D276" i="1" s="1"/>
  <c r="H276" i="1"/>
  <c r="Q524" i="1"/>
  <c r="Q713" i="1"/>
  <c r="Q718" i="1"/>
  <c r="AH276" i="1" a="1"/>
  <c r="Z713" i="1"/>
  <c r="Z718" i="1"/>
  <c r="U718" i="1"/>
  <c r="AI276" i="1" a="1"/>
  <c r="Z524" i="1"/>
  <c r="U713" i="1"/>
  <c r="U524" i="1"/>
  <c r="AH276" i="1" l="1"/>
  <c r="AD276" i="1" s="1"/>
  <c r="AI276" i="1"/>
  <c r="AB276" i="1" s="1"/>
  <c r="E524" i="1"/>
  <c r="F524" i="1" s="1"/>
  <c r="C524" i="1"/>
  <c r="D524" i="1" s="1"/>
  <c r="E713" i="1"/>
  <c r="F713" i="1" s="1"/>
  <c r="C713" i="1"/>
  <c r="D713" i="1" s="1"/>
  <c r="C718" i="1"/>
  <c r="D718" i="1" s="1"/>
  <c r="E718" i="1"/>
  <c r="F718" i="1" s="1"/>
  <c r="H718" i="1"/>
  <c r="H713" i="1"/>
  <c r="H524" i="1"/>
  <c r="Q177" i="1"/>
  <c r="Q182" i="1"/>
  <c r="U182" i="1"/>
  <c r="Z182" i="1"/>
  <c r="Z177" i="1"/>
  <c r="U177" i="1"/>
  <c r="AI524" i="1" a="1"/>
  <c r="AI524" i="1" l="1"/>
  <c r="AB524" i="1" s="1"/>
  <c r="E177" i="1"/>
  <c r="F177" i="1" s="1"/>
  <c r="C177" i="1"/>
  <c r="D177" i="1" s="1"/>
  <c r="C182" i="1"/>
  <c r="D182" i="1" s="1"/>
  <c r="E182" i="1"/>
  <c r="F182" i="1" s="1"/>
  <c r="H182" i="1"/>
  <c r="H177" i="1"/>
  <c r="AC524" i="1"/>
  <c r="Q290" i="1" l="1"/>
  <c r="AF290" i="1"/>
  <c r="Q274" i="1"/>
  <c r="Z290" i="1"/>
  <c r="U274" i="1"/>
  <c r="Z274" i="1"/>
  <c r="U290" i="1"/>
  <c r="E290" i="1" l="1"/>
  <c r="F290" i="1" s="1"/>
  <c r="C290" i="1"/>
  <c r="D290" i="1" s="1"/>
  <c r="E274" i="1"/>
  <c r="F274" i="1" s="1"/>
  <c r="C274" i="1"/>
  <c r="D274" i="1" s="1"/>
  <c r="H274" i="1"/>
  <c r="H290" i="1"/>
  <c r="AH290" i="1" a="1"/>
  <c r="AI290" i="1" a="1"/>
  <c r="AH290" i="1" l="1"/>
  <c r="AD290" i="1" s="1"/>
  <c r="AI290" i="1"/>
  <c r="AB290" i="1" s="1"/>
  <c r="Q181" i="1"/>
  <c r="Z181" i="1"/>
  <c r="U181" i="1"/>
  <c r="E181" i="1" l="1"/>
  <c r="F181" i="1" s="1"/>
  <c r="C181" i="1"/>
  <c r="D181" i="1" s="1"/>
  <c r="H181" i="1"/>
  <c r="Q172" i="1" l="1"/>
  <c r="Q173" i="1"/>
  <c r="Q174" i="1"/>
  <c r="Q176" i="1"/>
  <c r="Q178" i="1"/>
  <c r="Q179" i="1"/>
  <c r="Q180" i="1"/>
  <c r="U172" i="1"/>
  <c r="Z172" i="1"/>
  <c r="U178" i="1"/>
  <c r="U173" i="1"/>
  <c r="Z173" i="1"/>
  <c r="U174" i="1"/>
  <c r="U180" i="1"/>
  <c r="U179" i="1"/>
  <c r="Z174" i="1"/>
  <c r="Z178" i="1"/>
  <c r="Z176" i="1"/>
  <c r="U176" i="1"/>
  <c r="Z179" i="1"/>
  <c r="Z180" i="1"/>
  <c r="E174" i="1" l="1"/>
  <c r="F174" i="1" s="1"/>
  <c r="C174" i="1"/>
  <c r="D174" i="1" s="1"/>
  <c r="E173" i="1"/>
  <c r="F173" i="1" s="1"/>
  <c r="C173" i="1"/>
  <c r="D173" i="1" s="1"/>
  <c r="E172" i="1"/>
  <c r="F172" i="1" s="1"/>
  <c r="C172" i="1"/>
  <c r="D172" i="1" s="1"/>
  <c r="E178" i="1"/>
  <c r="F178" i="1" s="1"/>
  <c r="C178" i="1"/>
  <c r="D178" i="1" s="1"/>
  <c r="E180" i="1"/>
  <c r="F180" i="1" s="1"/>
  <c r="C180" i="1"/>
  <c r="D180" i="1" s="1"/>
  <c r="E176" i="1"/>
  <c r="F176" i="1" s="1"/>
  <c r="C176" i="1"/>
  <c r="D176" i="1" s="1"/>
  <c r="E179" i="1"/>
  <c r="F179" i="1" s="1"/>
  <c r="C179" i="1"/>
  <c r="D179" i="1" s="1"/>
  <c r="H173" i="1"/>
  <c r="H172" i="1"/>
  <c r="H179" i="1"/>
  <c r="H176" i="1"/>
  <c r="H174" i="1"/>
  <c r="H178" i="1"/>
  <c r="H180" i="1"/>
  <c r="Q268" i="1" l="1"/>
  <c r="AF268" i="1"/>
  <c r="U415" i="1"/>
  <c r="U171" i="1"/>
  <c r="U452" i="1"/>
  <c r="U167" i="1"/>
  <c r="U400" i="1"/>
  <c r="U393" i="1"/>
  <c r="U359" i="1"/>
  <c r="U473" i="1"/>
  <c r="U530" i="1"/>
  <c r="U94" i="1"/>
  <c r="U396" i="1"/>
  <c r="U458" i="1"/>
  <c r="U469" i="1"/>
  <c r="U157" i="1"/>
  <c r="U487" i="1"/>
  <c r="U498" i="1"/>
  <c r="U506" i="1"/>
  <c r="U422" i="1"/>
  <c r="U382" i="1"/>
  <c r="U56" i="1"/>
  <c r="U521" i="1"/>
  <c r="U360" i="1"/>
  <c r="U493" i="1"/>
  <c r="U409" i="1"/>
  <c r="U369" i="1"/>
  <c r="U485" i="1"/>
  <c r="U349" i="1"/>
  <c r="U353" i="1"/>
  <c r="U377" i="1"/>
  <c r="U557" i="1"/>
  <c r="U295" i="1"/>
  <c r="U519" i="1"/>
  <c r="U18" i="1"/>
  <c r="U398" i="1"/>
  <c r="U460" i="1"/>
  <c r="U553" i="1"/>
  <c r="U287" i="1"/>
  <c r="U383" i="1"/>
  <c r="U394" i="1"/>
  <c r="U513" i="1"/>
  <c r="U405" i="1"/>
  <c r="U523" i="1"/>
  <c r="U541" i="1"/>
  <c r="U445" i="1"/>
  <c r="U308" i="1"/>
  <c r="U404" i="1"/>
  <c r="U544" i="1"/>
  <c r="U436" i="1"/>
  <c r="U286" i="1"/>
  <c r="U380" i="1"/>
  <c r="U453" i="1"/>
  <c r="U71" i="1"/>
  <c r="U476" i="1"/>
  <c r="U45" i="1"/>
  <c r="U439" i="1"/>
  <c r="U64" i="1"/>
  <c r="U387" i="1"/>
  <c r="U386" i="1"/>
  <c r="U491" i="1"/>
  <c r="U500" i="1"/>
  <c r="U268" i="1"/>
  <c r="U9" i="1"/>
  <c r="U89" i="1"/>
  <c r="U529" i="1"/>
  <c r="U736" i="1"/>
  <c r="U30" i="1"/>
  <c r="U509" i="1"/>
  <c r="U463" i="1"/>
  <c r="U412" i="1"/>
  <c r="U357" i="1"/>
  <c r="U527" i="1"/>
  <c r="U731" i="1"/>
  <c r="U501" i="1"/>
  <c r="U262" i="1"/>
  <c r="U489" i="1"/>
  <c r="U46" i="1"/>
  <c r="U388" i="1"/>
  <c r="U517" i="1"/>
  <c r="U384" i="1"/>
  <c r="U379" i="1"/>
  <c r="U442" i="1"/>
  <c r="U551" i="1"/>
  <c r="U711" i="1"/>
  <c r="U549" i="1"/>
  <c r="U534" i="1"/>
  <c r="U495" i="1"/>
  <c r="U449" i="1"/>
  <c r="U378" i="1"/>
  <c r="U494" i="1"/>
  <c r="U32" i="1"/>
  <c r="U363" i="1"/>
  <c r="U355" i="1"/>
  <c r="U389" i="1"/>
  <c r="U55" i="1"/>
  <c r="U347" i="1"/>
  <c r="U532" i="1"/>
  <c r="U108" i="1"/>
  <c r="U411" i="1"/>
  <c r="U472" i="1"/>
  <c r="U350" i="1"/>
  <c r="U322" i="1"/>
  <c r="U395" i="1"/>
  <c r="U407" i="1"/>
  <c r="U526" i="1"/>
  <c r="U417" i="1"/>
  <c r="U536" i="1"/>
  <c r="U554" i="1"/>
  <c r="U540" i="1"/>
  <c r="U550" i="1"/>
  <c r="U511" i="1"/>
  <c r="U402" i="1"/>
  <c r="U13" i="1"/>
  <c r="U11" i="1"/>
  <c r="U528" i="1"/>
  <c r="U538" i="1"/>
  <c r="U522" i="1"/>
  <c r="U76" i="1"/>
  <c r="U546" i="1"/>
  <c r="U266" i="1"/>
  <c r="U508" i="1"/>
  <c r="U52" i="1"/>
  <c r="U462" i="1"/>
  <c r="U142" i="1"/>
  <c r="U326" i="1"/>
  <c r="U397" i="1"/>
  <c r="U504" i="1"/>
  <c r="U552" i="1"/>
  <c r="U391" i="1"/>
  <c r="U314" i="1"/>
  <c r="U456" i="1"/>
  <c r="U351" i="1"/>
  <c r="U454" i="1"/>
  <c r="U372" i="1"/>
  <c r="U35" i="1"/>
  <c r="U416" i="1"/>
  <c r="U75" i="1"/>
  <c r="U375" i="1"/>
  <c r="U169" i="1"/>
  <c r="U419" i="1"/>
  <c r="U548" i="1"/>
  <c r="U390" i="1"/>
  <c r="U68" i="1"/>
  <c r="U414" i="1"/>
  <c r="U368" i="1"/>
  <c r="U376" i="1"/>
  <c r="U556" i="1"/>
  <c r="U294" i="1"/>
  <c r="U70" i="1"/>
  <c r="U90" i="1"/>
  <c r="U270" i="1"/>
  <c r="U65" i="1"/>
  <c r="U413" i="1"/>
  <c r="U437" i="1"/>
  <c r="U356" i="1"/>
  <c r="U488" i="1"/>
  <c r="U53" i="1"/>
  <c r="U26" i="1"/>
  <c r="U531" i="1"/>
  <c r="U459" i="1"/>
  <c r="U84" i="1"/>
  <c r="Z268" i="1"/>
  <c r="U392" i="1"/>
  <c r="U533" i="1"/>
  <c r="U271" i="1"/>
  <c r="U440" i="1"/>
  <c r="U305" i="1"/>
  <c r="U461" i="1"/>
  <c r="U446" i="1"/>
  <c r="U467" i="1"/>
  <c r="U455" i="1"/>
  <c r="U542" i="1"/>
  <c r="U510" i="1"/>
  <c r="U721" i="1"/>
  <c r="U450" i="1"/>
  <c r="U285" i="1"/>
  <c r="U492" i="1"/>
  <c r="U535" i="1"/>
  <c r="U726" i="1"/>
  <c r="U558" i="1"/>
  <c r="U297" i="1"/>
  <c r="U520" i="1"/>
  <c r="U73" i="1"/>
  <c r="U474" i="1"/>
  <c r="U406" i="1"/>
  <c r="U358" i="1"/>
  <c r="U410" i="1"/>
  <c r="U516" i="1"/>
  <c r="U80" i="1"/>
  <c r="U33" i="1"/>
  <c r="U354" i="1"/>
  <c r="U468" i="1"/>
  <c r="U366" i="1"/>
  <c r="U466" i="1"/>
  <c r="U448" i="1"/>
  <c r="U421" i="1"/>
  <c r="U512" i="1"/>
  <c r="U547" i="1"/>
  <c r="U42" i="1"/>
  <c r="U438" i="1"/>
  <c r="U373" i="1"/>
  <c r="U408" i="1"/>
  <c r="U499" i="1"/>
  <c r="U465" i="1"/>
  <c r="U23" i="1"/>
  <c r="U496" i="1"/>
  <c r="U289" i="1"/>
  <c r="U451" i="1"/>
  <c r="U168" i="1"/>
  <c r="U399" i="1"/>
  <c r="U518" i="1"/>
  <c r="U364" i="1"/>
  <c r="U324" i="1"/>
  <c r="U447" i="1"/>
  <c r="U503" i="1"/>
  <c r="U514" i="1"/>
  <c r="U58" i="1"/>
  <c r="U525" i="1"/>
  <c r="U81" i="1"/>
  <c r="U555" i="1"/>
  <c r="U490" i="1"/>
  <c r="U381" i="1"/>
  <c r="U497" i="1"/>
  <c r="U475" i="1"/>
  <c r="U543" i="1"/>
  <c r="U471" i="1"/>
  <c r="U418" i="1"/>
  <c r="U684" i="1"/>
  <c r="U303" i="1"/>
  <c r="U83" i="1"/>
  <c r="U362" i="1"/>
  <c r="U545" i="1"/>
  <c r="U264" i="1"/>
  <c r="U507" i="1"/>
  <c r="U15" i="1"/>
  <c r="U505" i="1"/>
  <c r="U370" i="1"/>
  <c r="U441" i="1"/>
  <c r="U464" i="1"/>
  <c r="U107" i="1"/>
  <c r="U374" i="1"/>
  <c r="U470" i="1"/>
  <c r="U443" i="1"/>
  <c r="U483" i="1"/>
  <c r="U20" i="1"/>
  <c r="U312" i="1"/>
  <c r="U515" i="1"/>
  <c r="U537" i="1"/>
  <c r="U282" i="1"/>
  <c r="U22" i="1"/>
  <c r="U57" i="1"/>
  <c r="U403" i="1"/>
  <c r="U37" i="1"/>
  <c r="U327" i="1"/>
  <c r="U318" i="1"/>
  <c r="U457" i="1"/>
  <c r="U385" i="1"/>
  <c r="U27" i="1"/>
  <c r="U444" i="1"/>
  <c r="U54" i="1"/>
  <c r="U51" i="1"/>
  <c r="U288" i="1"/>
  <c r="U348" i="1"/>
  <c r="U539" i="1"/>
  <c r="E268" i="1" l="1"/>
  <c r="F268" i="1" s="1"/>
  <c r="C268" i="1"/>
  <c r="D268" i="1" s="1"/>
  <c r="H268" i="1"/>
  <c r="Q107" i="1"/>
  <c r="AF107" i="1"/>
  <c r="AI268" i="1" a="1"/>
  <c r="AH268" i="1" a="1"/>
  <c r="Z107" i="1"/>
  <c r="AH268" i="1" l="1"/>
  <c r="AD268" i="1" s="1"/>
  <c r="AI268" i="1"/>
  <c r="AB268" i="1" s="1"/>
  <c r="E107" i="1"/>
  <c r="F107" i="1" s="1"/>
  <c r="C107" i="1"/>
  <c r="D107" i="1" s="1"/>
  <c r="H107" i="1"/>
  <c r="Q58" i="1"/>
  <c r="AF58" i="1"/>
  <c r="Q64" i="1"/>
  <c r="AF64" i="1"/>
  <c r="Q65" i="1"/>
  <c r="AF65" i="1"/>
  <c r="Z65" i="1"/>
  <c r="AH107" i="1" a="1"/>
  <c r="Z58" i="1"/>
  <c r="AI107" i="1" a="1"/>
  <c r="Z64" i="1"/>
  <c r="AI107" i="1" l="1"/>
  <c r="AB107" i="1" s="1"/>
  <c r="AH107" i="1"/>
  <c r="AD107" i="1" s="1"/>
  <c r="E65" i="1"/>
  <c r="F65" i="1" s="1"/>
  <c r="C65" i="1"/>
  <c r="D65" i="1" s="1"/>
  <c r="E64" i="1"/>
  <c r="F64" i="1" s="1"/>
  <c r="C64" i="1"/>
  <c r="D64" i="1" s="1"/>
  <c r="E58" i="1"/>
  <c r="F58" i="1" s="1"/>
  <c r="C58" i="1"/>
  <c r="D58" i="1" s="1"/>
  <c r="H58" i="1"/>
  <c r="H65" i="1"/>
  <c r="H64" i="1"/>
  <c r="Q76" i="1"/>
  <c r="AF76" i="1"/>
  <c r="Q711" i="1"/>
  <c r="AF711" i="1"/>
  <c r="Q75" i="1"/>
  <c r="AF75" i="1"/>
  <c r="AH58" i="1" a="1"/>
  <c r="Z75" i="1"/>
  <c r="AI64" i="1" a="1"/>
  <c r="AH65" i="1" a="1"/>
  <c r="Z76" i="1"/>
  <c r="AH64" i="1" a="1"/>
  <c r="AI58" i="1" a="1"/>
  <c r="AI65" i="1" a="1"/>
  <c r="Z711" i="1"/>
  <c r="AI64" i="1" l="1"/>
  <c r="AB64" i="1" s="1"/>
  <c r="AH58" i="1"/>
  <c r="AD58" i="1" s="1"/>
  <c r="AI58" i="1"/>
  <c r="AB58" i="1" s="1"/>
  <c r="AH65" i="1"/>
  <c r="AD65" i="1" s="1"/>
  <c r="AI65" i="1"/>
  <c r="AB65" i="1" s="1"/>
  <c r="AH64" i="1"/>
  <c r="AD64" i="1" s="1"/>
  <c r="C76" i="1"/>
  <c r="D76" i="1" s="1"/>
  <c r="E76" i="1"/>
  <c r="F76" i="1" s="1"/>
  <c r="E711" i="1"/>
  <c r="F711" i="1" s="1"/>
  <c r="C711" i="1"/>
  <c r="D711" i="1" s="1"/>
  <c r="C75" i="1"/>
  <c r="D75" i="1" s="1"/>
  <c r="E75" i="1"/>
  <c r="F75" i="1" s="1"/>
  <c r="H711" i="1"/>
  <c r="H76" i="1"/>
  <c r="H75" i="1"/>
  <c r="Q68" i="1"/>
  <c r="AF68" i="1"/>
  <c r="Q70" i="1"/>
  <c r="AF70" i="1"/>
  <c r="Q71" i="1"/>
  <c r="AF71" i="1"/>
  <c r="Q73" i="1"/>
  <c r="AF73" i="1"/>
  <c r="AH75" i="1" a="1"/>
  <c r="AI76" i="1" a="1"/>
  <c r="AH76" i="1" a="1"/>
  <c r="AH711" i="1" a="1"/>
  <c r="Z70" i="1"/>
  <c r="Z68" i="1"/>
  <c r="Z73" i="1"/>
  <c r="Z71" i="1"/>
  <c r="AI711" i="1" a="1"/>
  <c r="AI75" i="1" a="1"/>
  <c r="AI76" i="1" l="1"/>
  <c r="AB76" i="1" s="1"/>
  <c r="AH76" i="1"/>
  <c r="AD76" i="1" s="1"/>
  <c r="AI75" i="1"/>
  <c r="AB75" i="1" s="1"/>
  <c r="AC75" i="1" s="1"/>
  <c r="AH75" i="1"/>
  <c r="AD75" i="1" s="1"/>
  <c r="AH711" i="1"/>
  <c r="AD711" i="1" s="1"/>
  <c r="AI711" i="1"/>
  <c r="AB711" i="1" s="1"/>
  <c r="E70" i="1"/>
  <c r="F70" i="1" s="1"/>
  <c r="C70" i="1"/>
  <c r="D70" i="1" s="1"/>
  <c r="E73" i="1"/>
  <c r="F73" i="1" s="1"/>
  <c r="C73" i="1"/>
  <c r="D73" i="1" s="1"/>
  <c r="E68" i="1"/>
  <c r="F68" i="1" s="1"/>
  <c r="C68" i="1"/>
  <c r="D68" i="1" s="1"/>
  <c r="E71" i="1"/>
  <c r="F71" i="1" s="1"/>
  <c r="C71" i="1"/>
  <c r="D71" i="1" s="1"/>
  <c r="H70" i="1"/>
  <c r="H73" i="1"/>
  <c r="H68" i="1"/>
  <c r="H71" i="1"/>
  <c r="Q318" i="1"/>
  <c r="Z318" i="1"/>
  <c r="AI71" i="1" a="1"/>
  <c r="AI68" i="1" a="1"/>
  <c r="AH68" i="1" a="1"/>
  <c r="AH73" i="1" a="1"/>
  <c r="AI73" i="1" a="1"/>
  <c r="AH71" i="1" a="1"/>
  <c r="AI70" i="1" a="1"/>
  <c r="AH70" i="1" a="1"/>
  <c r="AI70" i="1" l="1"/>
  <c r="AB70" i="1" s="1"/>
  <c r="AH71" i="1"/>
  <c r="AD71" i="1" s="1"/>
  <c r="AI71" i="1"/>
  <c r="AB71" i="1" s="1"/>
  <c r="AI73" i="1"/>
  <c r="AB73" i="1" s="1"/>
  <c r="AH70" i="1"/>
  <c r="AD70" i="1" s="1"/>
  <c r="AH68" i="1"/>
  <c r="AD68" i="1" s="1"/>
  <c r="AI68" i="1"/>
  <c r="AB68" i="1" s="1"/>
  <c r="AH73" i="1"/>
  <c r="AD73" i="1" s="1"/>
  <c r="E318" i="1"/>
  <c r="F318" i="1" s="1"/>
  <c r="C318" i="1"/>
  <c r="D318" i="1" s="1"/>
  <c r="H318" i="1"/>
  <c r="Q363" i="1"/>
  <c r="AF363" i="1"/>
  <c r="Q357" i="1"/>
  <c r="AF357" i="1"/>
  <c r="Q353" i="1"/>
  <c r="AF353" i="1"/>
  <c r="Q349" i="1"/>
  <c r="AF349" i="1"/>
  <c r="Z349" i="1"/>
  <c r="Z357" i="1"/>
  <c r="Z363" i="1"/>
  <c r="Z353" i="1"/>
  <c r="E363" i="1" l="1"/>
  <c r="F363" i="1" s="1"/>
  <c r="C363" i="1"/>
  <c r="D363" i="1" s="1"/>
  <c r="E349" i="1"/>
  <c r="F349" i="1" s="1"/>
  <c r="C349" i="1"/>
  <c r="D349" i="1" s="1"/>
  <c r="E357" i="1"/>
  <c r="F357" i="1" s="1"/>
  <c r="C357" i="1"/>
  <c r="D357" i="1" s="1"/>
  <c r="E353" i="1"/>
  <c r="F353" i="1" s="1"/>
  <c r="C353" i="1"/>
  <c r="D353" i="1" s="1"/>
  <c r="H353" i="1"/>
  <c r="H349" i="1"/>
  <c r="H363" i="1"/>
  <c r="H357" i="1"/>
  <c r="AI363" i="1" a="1"/>
  <c r="AH349" i="1" a="1"/>
  <c r="AI357" i="1" a="1"/>
  <c r="AI353" i="1" a="1"/>
  <c r="AH357" i="1" a="1"/>
  <c r="AH353" i="1" a="1"/>
  <c r="AH363" i="1" a="1"/>
  <c r="AI349" i="1" a="1"/>
  <c r="AH349" i="1" l="1"/>
  <c r="AD349" i="1" s="1"/>
  <c r="AI349" i="1"/>
  <c r="AB349" i="1" s="1"/>
  <c r="AH357" i="1"/>
  <c r="AD357" i="1" s="1"/>
  <c r="AI357" i="1"/>
  <c r="AB357" i="1" s="1"/>
  <c r="AH353" i="1"/>
  <c r="AD353" i="1" s="1"/>
  <c r="AI353" i="1"/>
  <c r="AB353" i="1" s="1"/>
  <c r="AH363" i="1"/>
  <c r="AD363" i="1" s="1"/>
  <c r="AI363" i="1"/>
  <c r="AB363" i="1" s="1"/>
  <c r="Q288" i="1"/>
  <c r="AF288" i="1"/>
  <c r="Q286" i="1"/>
  <c r="AF286" i="1"/>
  <c r="Z286" i="1"/>
  <c r="Z288" i="1"/>
  <c r="E286" i="1" l="1"/>
  <c r="F286" i="1" s="1"/>
  <c r="C286" i="1"/>
  <c r="D286" i="1" s="1"/>
  <c r="E288" i="1"/>
  <c r="F288" i="1" s="1"/>
  <c r="C288" i="1"/>
  <c r="D288" i="1" s="1"/>
  <c r="H288" i="1"/>
  <c r="H286" i="1"/>
  <c r="I5" i="1"/>
  <c r="AI286" i="1" a="1"/>
  <c r="AH286" i="1" a="1"/>
  <c r="AH288" i="1" a="1"/>
  <c r="AI288" i="1" a="1"/>
  <c r="AI288" i="1" l="1"/>
  <c r="AB288" i="1" s="1"/>
  <c r="AH288" i="1"/>
  <c r="AD288" i="1" s="1"/>
  <c r="AH286" i="1"/>
  <c r="AD286" i="1" s="1"/>
  <c r="AI286" i="1"/>
  <c r="AB286" i="1" s="1"/>
  <c r="Q721" i="1"/>
  <c r="Q726" i="1"/>
  <c r="Q142" i="1"/>
  <c r="Q731" i="1"/>
  <c r="Q157" i="1"/>
  <c r="Q736" i="1"/>
  <c r="Q167" i="1"/>
  <c r="Q168" i="1"/>
  <c r="Q169" i="1"/>
  <c r="Q171" i="1"/>
  <c r="Z171" i="1"/>
  <c r="Z169" i="1"/>
  <c r="Z726" i="1"/>
  <c r="Z168" i="1"/>
  <c r="Z142" i="1"/>
  <c r="Z157" i="1"/>
  <c r="Z736" i="1"/>
  <c r="Z167" i="1"/>
  <c r="Z721" i="1"/>
  <c r="Z731" i="1"/>
  <c r="E731" i="1" l="1"/>
  <c r="F731" i="1" s="1"/>
  <c r="C731" i="1"/>
  <c r="D731" i="1" s="1"/>
  <c r="E142" i="1"/>
  <c r="F142" i="1" s="1"/>
  <c r="C142" i="1"/>
  <c r="D142" i="1" s="1"/>
  <c r="E171" i="1"/>
  <c r="F171" i="1" s="1"/>
  <c r="C171" i="1"/>
  <c r="D171" i="1" s="1"/>
  <c r="E167" i="1"/>
  <c r="F167" i="1" s="1"/>
  <c r="C167" i="1"/>
  <c r="D167" i="1" s="1"/>
  <c r="E736" i="1"/>
  <c r="F736" i="1" s="1"/>
  <c r="C736" i="1"/>
  <c r="D736" i="1" s="1"/>
  <c r="E157" i="1"/>
  <c r="F157" i="1" s="1"/>
  <c r="C157" i="1"/>
  <c r="D157" i="1" s="1"/>
  <c r="E721" i="1"/>
  <c r="F721" i="1" s="1"/>
  <c r="C721" i="1"/>
  <c r="D721" i="1" s="1"/>
  <c r="E168" i="1"/>
  <c r="F168" i="1" s="1"/>
  <c r="C168" i="1"/>
  <c r="D168" i="1" s="1"/>
  <c r="E726" i="1"/>
  <c r="F726" i="1" s="1"/>
  <c r="C726" i="1"/>
  <c r="D726" i="1" s="1"/>
  <c r="E169" i="1"/>
  <c r="F169" i="1" s="1"/>
  <c r="C169" i="1"/>
  <c r="D169" i="1" s="1"/>
  <c r="H736" i="1"/>
  <c r="H168" i="1"/>
  <c r="H157" i="1"/>
  <c r="H726" i="1"/>
  <c r="H169" i="1"/>
  <c r="H167" i="1"/>
  <c r="H731" i="1"/>
  <c r="H721" i="1"/>
  <c r="H142" i="1"/>
  <c r="H171" i="1"/>
  <c r="Q444" i="1"/>
  <c r="AF444" i="1"/>
  <c r="Z444" i="1"/>
  <c r="E444" i="1" l="1"/>
  <c r="F444" i="1" s="1"/>
  <c r="C444" i="1"/>
  <c r="D444" i="1" s="1"/>
  <c r="H444" i="1"/>
  <c r="AH444" i="1" a="1"/>
  <c r="AI444" i="1" a="1"/>
  <c r="AH444" i="1" l="1"/>
  <c r="AD444" i="1" s="1"/>
  <c r="AI444" i="1"/>
  <c r="AB444" i="1" s="1"/>
  <c r="Q510" i="1"/>
  <c r="Z510" i="1"/>
  <c r="C510" i="1" l="1"/>
  <c r="D510" i="1" s="1"/>
  <c r="E510" i="1"/>
  <c r="F510" i="1" s="1"/>
  <c r="H510" i="1"/>
  <c r="Q542" i="1"/>
  <c r="Z542" i="1"/>
  <c r="C542" i="1" l="1"/>
  <c r="D542" i="1" s="1"/>
  <c r="E542" i="1"/>
  <c r="F542" i="1" s="1"/>
  <c r="H542" i="1"/>
  <c r="Q383" i="1" l="1"/>
  <c r="AF383" i="1"/>
  <c r="Q384" i="1"/>
  <c r="AF384" i="1"/>
  <c r="Q385" i="1"/>
  <c r="AF385" i="1"/>
  <c r="Z384" i="1"/>
  <c r="Z383" i="1"/>
  <c r="Z385" i="1"/>
  <c r="E385" i="1" l="1"/>
  <c r="F385" i="1" s="1"/>
  <c r="C385" i="1"/>
  <c r="D385" i="1" s="1"/>
  <c r="C384" i="1"/>
  <c r="D384" i="1" s="1"/>
  <c r="E384" i="1"/>
  <c r="F384" i="1" s="1"/>
  <c r="E383" i="1"/>
  <c r="F383" i="1" s="1"/>
  <c r="C383" i="1"/>
  <c r="D383" i="1" s="1"/>
  <c r="H385" i="1"/>
  <c r="H384" i="1"/>
  <c r="H383" i="1"/>
  <c r="Q467" i="1"/>
  <c r="AH384" i="1" a="1"/>
  <c r="AH385" i="1" a="1"/>
  <c r="AI383" i="1" a="1"/>
  <c r="Z467" i="1"/>
  <c r="AH383" i="1" a="1"/>
  <c r="AI385" i="1" a="1"/>
  <c r="AI384" i="1" a="1"/>
  <c r="AI383" i="1" l="1"/>
  <c r="AB383" i="1" s="1"/>
  <c r="AH384" i="1"/>
  <c r="AD384" i="1" s="1"/>
  <c r="AI384" i="1"/>
  <c r="AB384" i="1" s="1"/>
  <c r="AH385" i="1"/>
  <c r="AD385" i="1" s="1"/>
  <c r="AI385" i="1"/>
  <c r="AB385" i="1" s="1"/>
  <c r="AH383" i="1"/>
  <c r="AD383" i="1" s="1"/>
  <c r="E467" i="1"/>
  <c r="F467" i="1" s="1"/>
  <c r="C467" i="1"/>
  <c r="D467" i="1" s="1"/>
  <c r="H467" i="1"/>
  <c r="Q487" i="1"/>
  <c r="Q499" i="1"/>
  <c r="Z499" i="1"/>
  <c r="Z487" i="1"/>
  <c r="E487" i="1" l="1"/>
  <c r="F487" i="1" s="1"/>
  <c r="C487" i="1"/>
  <c r="D487" i="1" s="1"/>
  <c r="E499" i="1"/>
  <c r="F499" i="1" s="1"/>
  <c r="C499" i="1"/>
  <c r="D499" i="1" s="1"/>
  <c r="H487" i="1"/>
  <c r="H499" i="1"/>
  <c r="Q459" i="1" l="1"/>
  <c r="Z459" i="1"/>
  <c r="E459" i="1" l="1"/>
  <c r="F459" i="1" s="1"/>
  <c r="C459" i="1"/>
  <c r="D459" i="1" s="1"/>
  <c r="H459" i="1"/>
  <c r="Q289" i="1" l="1"/>
  <c r="Q294" i="1"/>
  <c r="Q295" i="1"/>
  <c r="Q297" i="1"/>
  <c r="Q287" i="1"/>
  <c r="Z289" i="1"/>
  <c r="Z294" i="1"/>
  <c r="Z287" i="1"/>
  <c r="Z295" i="1"/>
  <c r="Z297" i="1"/>
  <c r="E295" i="1" l="1"/>
  <c r="F295" i="1" s="1"/>
  <c r="C295" i="1"/>
  <c r="D295" i="1" s="1"/>
  <c r="E297" i="1"/>
  <c r="F297" i="1" s="1"/>
  <c r="C297" i="1"/>
  <c r="D297" i="1" s="1"/>
  <c r="E294" i="1"/>
  <c r="F294" i="1" s="1"/>
  <c r="C294" i="1"/>
  <c r="D294" i="1" s="1"/>
  <c r="E287" i="1"/>
  <c r="F287" i="1" s="1"/>
  <c r="C287" i="1"/>
  <c r="D287" i="1" s="1"/>
  <c r="E289" i="1"/>
  <c r="F289" i="1" s="1"/>
  <c r="C289" i="1"/>
  <c r="D289" i="1" s="1"/>
  <c r="H294" i="1"/>
  <c r="H287" i="1"/>
  <c r="H297" i="1"/>
  <c r="H289" i="1"/>
  <c r="H295" i="1"/>
  <c r="Q305" i="1" l="1"/>
  <c r="Q308" i="1"/>
  <c r="AF308" i="1"/>
  <c r="Q310" i="1"/>
  <c r="Q312" i="1"/>
  <c r="Z308" i="1"/>
  <c r="Z312" i="1"/>
  <c r="Z305" i="1"/>
  <c r="Z310" i="1"/>
  <c r="C312" i="1" l="1"/>
  <c r="D312" i="1" s="1"/>
  <c r="E312" i="1"/>
  <c r="F312" i="1" s="1"/>
  <c r="E310" i="1"/>
  <c r="F310" i="1" s="1"/>
  <c r="C310" i="1"/>
  <c r="D310" i="1" s="1"/>
  <c r="E308" i="1"/>
  <c r="F308" i="1" s="1"/>
  <c r="C308" i="1"/>
  <c r="D308" i="1" s="1"/>
  <c r="E305" i="1"/>
  <c r="F305" i="1" s="1"/>
  <c r="C305" i="1"/>
  <c r="D305" i="1" s="1"/>
  <c r="H312" i="1"/>
  <c r="H308" i="1"/>
  <c r="H310" i="1"/>
  <c r="H305" i="1"/>
  <c r="AI308" i="1" a="1"/>
  <c r="AH308" i="1" a="1"/>
  <c r="AH308" i="1" l="1"/>
  <c r="AD308" i="1" s="1"/>
  <c r="AI308" i="1"/>
  <c r="AB308" i="1" s="1"/>
  <c r="Q314" i="1"/>
  <c r="Q322" i="1"/>
  <c r="Q324" i="1"/>
  <c r="Q326" i="1"/>
  <c r="Q327" i="1"/>
  <c r="AF327" i="1"/>
  <c r="Q347" i="1"/>
  <c r="AF347" i="1"/>
  <c r="Q443" i="1"/>
  <c r="Z326" i="1"/>
  <c r="Z443" i="1"/>
  <c r="Z347" i="1"/>
  <c r="Z327" i="1"/>
  <c r="Z324" i="1"/>
  <c r="Z322" i="1"/>
  <c r="Z314" i="1"/>
  <c r="E443" i="1" l="1"/>
  <c r="F443" i="1" s="1"/>
  <c r="C443" i="1"/>
  <c r="D443" i="1" s="1"/>
  <c r="E327" i="1"/>
  <c r="F327" i="1" s="1"/>
  <c r="C327" i="1"/>
  <c r="D327" i="1" s="1"/>
  <c r="E326" i="1"/>
  <c r="F326" i="1" s="1"/>
  <c r="C326" i="1"/>
  <c r="D326" i="1" s="1"/>
  <c r="E314" i="1"/>
  <c r="F314" i="1" s="1"/>
  <c r="C314" i="1"/>
  <c r="D314" i="1" s="1"/>
  <c r="E347" i="1"/>
  <c r="F347" i="1" s="1"/>
  <c r="C347" i="1"/>
  <c r="D347" i="1" s="1"/>
  <c r="E324" i="1"/>
  <c r="F324" i="1" s="1"/>
  <c r="C324" i="1"/>
  <c r="D324" i="1" s="1"/>
  <c r="E322" i="1"/>
  <c r="F322" i="1" s="1"/>
  <c r="C322" i="1"/>
  <c r="D322" i="1" s="1"/>
  <c r="H327" i="1"/>
  <c r="H322" i="1"/>
  <c r="H326" i="1"/>
  <c r="H314" i="1"/>
  <c r="H347" i="1"/>
  <c r="H324" i="1"/>
  <c r="H443" i="1"/>
  <c r="Q422" i="1"/>
  <c r="AF422" i="1"/>
  <c r="AH327" i="1" a="1"/>
  <c r="Z422" i="1"/>
  <c r="AH347" i="1" a="1"/>
  <c r="AI327" i="1" a="1"/>
  <c r="AI347" i="1" a="1"/>
  <c r="AI347" i="1" l="1"/>
  <c r="AB347" i="1" s="1"/>
  <c r="AI327" i="1"/>
  <c r="AB327" i="1" s="1"/>
  <c r="AH347" i="1"/>
  <c r="AD347" i="1" s="1"/>
  <c r="AH327" i="1"/>
  <c r="AD327" i="1" s="1"/>
  <c r="E422" i="1"/>
  <c r="F422" i="1" s="1"/>
  <c r="C422" i="1"/>
  <c r="D422" i="1" s="1"/>
  <c r="H422" i="1"/>
  <c r="AF270" i="1"/>
  <c r="Q271" i="1"/>
  <c r="AF271" i="1"/>
  <c r="Q282" i="1"/>
  <c r="Q285" i="1"/>
  <c r="Q303" i="1"/>
  <c r="Q386" i="1"/>
  <c r="AF386" i="1"/>
  <c r="AH422" i="1" a="1"/>
  <c r="Z386" i="1"/>
  <c r="Z270" i="1"/>
  <c r="Z303" i="1"/>
  <c r="Z271" i="1"/>
  <c r="Z282" i="1"/>
  <c r="AI422" i="1" a="1"/>
  <c r="Z285" i="1"/>
  <c r="AH422" i="1" l="1"/>
  <c r="AD422" i="1" s="1"/>
  <c r="AI422" i="1"/>
  <c r="AB422" i="1" s="1"/>
  <c r="E271" i="1"/>
  <c r="F271" i="1" s="1"/>
  <c r="C271" i="1"/>
  <c r="D271" i="1" s="1"/>
  <c r="E386" i="1"/>
  <c r="F386" i="1" s="1"/>
  <c r="C386" i="1"/>
  <c r="D386" i="1" s="1"/>
  <c r="E285" i="1"/>
  <c r="F285" i="1" s="1"/>
  <c r="C285" i="1"/>
  <c r="D285" i="1" s="1"/>
  <c r="E282" i="1"/>
  <c r="F282" i="1" s="1"/>
  <c r="C282" i="1"/>
  <c r="D282" i="1" s="1"/>
  <c r="E303" i="1"/>
  <c r="F303" i="1" s="1"/>
  <c r="C303" i="1"/>
  <c r="D303" i="1" s="1"/>
  <c r="H285" i="1"/>
  <c r="H386" i="1"/>
  <c r="H282" i="1"/>
  <c r="H303" i="1"/>
  <c r="H271" i="1"/>
  <c r="D270" i="1"/>
  <c r="AH270" i="1" a="1"/>
  <c r="AH271" i="1" a="1"/>
  <c r="AI271" i="1" a="1"/>
  <c r="AI386" i="1" a="1"/>
  <c r="AH386" i="1" a="1"/>
  <c r="AI270" i="1" a="1"/>
  <c r="AH270" i="1" l="1"/>
  <c r="AD270" i="1" s="1"/>
  <c r="AI270" i="1"/>
  <c r="AB270" i="1" s="1"/>
  <c r="AH271" i="1"/>
  <c r="AD271" i="1" s="1"/>
  <c r="AI271" i="1"/>
  <c r="AB271" i="1" s="1"/>
  <c r="AH386" i="1"/>
  <c r="AD386" i="1" s="1"/>
  <c r="AI386" i="1"/>
  <c r="AB386" i="1" s="1"/>
  <c r="Q454" i="1"/>
  <c r="Z454" i="1"/>
  <c r="E454" i="1" l="1"/>
  <c r="F454" i="1" s="1"/>
  <c r="C454" i="1"/>
  <c r="D454" i="1" s="1"/>
  <c r="H454" i="1"/>
  <c r="Q436" i="1" l="1"/>
  <c r="Q437" i="1"/>
  <c r="Q438" i="1"/>
  <c r="Q439" i="1"/>
  <c r="Q440" i="1"/>
  <c r="Q441" i="1"/>
  <c r="Q442" i="1"/>
  <c r="AF366" i="1"/>
  <c r="Q366" i="1"/>
  <c r="Q446" i="1"/>
  <c r="Q447" i="1"/>
  <c r="Q448" i="1"/>
  <c r="Q449" i="1"/>
  <c r="Q450" i="1"/>
  <c r="Q451" i="1"/>
  <c r="Q452" i="1"/>
  <c r="Q453" i="1"/>
  <c r="Q455" i="1"/>
  <c r="Q456" i="1"/>
  <c r="Q457" i="1"/>
  <c r="Q458" i="1"/>
  <c r="Q460" i="1"/>
  <c r="Z460" i="1"/>
  <c r="Z449" i="1"/>
  <c r="Z439" i="1"/>
  <c r="Z436" i="1"/>
  <c r="Z442" i="1"/>
  <c r="Z437" i="1"/>
  <c r="Z453" i="1"/>
  <c r="Z448" i="1"/>
  <c r="Z455" i="1"/>
  <c r="Z452" i="1"/>
  <c r="Z441" i="1"/>
  <c r="Z366" i="1"/>
  <c r="Z447" i="1"/>
  <c r="Z446" i="1"/>
  <c r="Z450" i="1"/>
  <c r="Z456" i="1"/>
  <c r="Z457" i="1"/>
  <c r="Z440" i="1"/>
  <c r="Z438" i="1"/>
  <c r="Z451" i="1"/>
  <c r="Z458" i="1"/>
  <c r="E450" i="1" l="1"/>
  <c r="F450" i="1" s="1"/>
  <c r="C450" i="1"/>
  <c r="D450" i="1" s="1"/>
  <c r="C446" i="1"/>
  <c r="D446" i="1" s="1"/>
  <c r="E446" i="1"/>
  <c r="F446" i="1" s="1"/>
  <c r="E455" i="1"/>
  <c r="F455" i="1" s="1"/>
  <c r="C455" i="1"/>
  <c r="D455" i="1" s="1"/>
  <c r="E437" i="1"/>
  <c r="F437" i="1" s="1"/>
  <c r="C437" i="1"/>
  <c r="D437" i="1" s="1"/>
  <c r="E436" i="1"/>
  <c r="F436" i="1" s="1"/>
  <c r="C436" i="1"/>
  <c r="D436" i="1" s="1"/>
  <c r="C448" i="1"/>
  <c r="D448" i="1" s="1"/>
  <c r="E448" i="1"/>
  <c r="F448" i="1" s="1"/>
  <c r="E366" i="1"/>
  <c r="F366" i="1" s="1"/>
  <c r="C366" i="1"/>
  <c r="D366" i="1" s="1"/>
  <c r="E441" i="1"/>
  <c r="F441" i="1" s="1"/>
  <c r="C441" i="1"/>
  <c r="D441" i="1" s="1"/>
  <c r="E440" i="1"/>
  <c r="F440" i="1" s="1"/>
  <c r="C440" i="1"/>
  <c r="D440" i="1" s="1"/>
  <c r="E439" i="1"/>
  <c r="F439" i="1" s="1"/>
  <c r="C439" i="1"/>
  <c r="D439" i="1" s="1"/>
  <c r="E458" i="1"/>
  <c r="F458" i="1" s="1"/>
  <c r="C458" i="1"/>
  <c r="D458" i="1" s="1"/>
  <c r="E449" i="1"/>
  <c r="F449" i="1" s="1"/>
  <c r="C449" i="1"/>
  <c r="D449" i="1" s="1"/>
  <c r="E457" i="1"/>
  <c r="F457" i="1" s="1"/>
  <c r="C457" i="1"/>
  <c r="D457" i="1" s="1"/>
  <c r="E456" i="1"/>
  <c r="F456" i="1" s="1"/>
  <c r="C456" i="1"/>
  <c r="D456" i="1" s="1"/>
  <c r="E451" i="1"/>
  <c r="F451" i="1" s="1"/>
  <c r="C451" i="1"/>
  <c r="D451" i="1" s="1"/>
  <c r="E447" i="1"/>
  <c r="F447" i="1" s="1"/>
  <c r="C447" i="1"/>
  <c r="D447" i="1" s="1"/>
  <c r="E460" i="1"/>
  <c r="F460" i="1" s="1"/>
  <c r="C460" i="1"/>
  <c r="D460" i="1" s="1"/>
  <c r="E453" i="1"/>
  <c r="F453" i="1" s="1"/>
  <c r="C453" i="1"/>
  <c r="D453" i="1" s="1"/>
  <c r="E452" i="1"/>
  <c r="F452" i="1" s="1"/>
  <c r="C452" i="1"/>
  <c r="D452" i="1" s="1"/>
  <c r="E442" i="1"/>
  <c r="F442" i="1" s="1"/>
  <c r="C442" i="1"/>
  <c r="D442" i="1" s="1"/>
  <c r="E438" i="1"/>
  <c r="F438" i="1" s="1"/>
  <c r="C438" i="1"/>
  <c r="D438" i="1" s="1"/>
  <c r="H458" i="1"/>
  <c r="H451" i="1"/>
  <c r="H448" i="1"/>
  <c r="H455" i="1"/>
  <c r="H441" i="1"/>
  <c r="H438" i="1"/>
  <c r="H366" i="1"/>
  <c r="H450" i="1"/>
  <c r="H437" i="1"/>
  <c r="H447" i="1"/>
  <c r="H453" i="1"/>
  <c r="H440" i="1"/>
  <c r="H457" i="1"/>
  <c r="H460" i="1"/>
  <c r="H456" i="1"/>
  <c r="H452" i="1"/>
  <c r="H449" i="1"/>
  <c r="H446" i="1"/>
  <c r="H442" i="1"/>
  <c r="H439" i="1"/>
  <c r="H436" i="1"/>
  <c r="AH366" i="1" a="1"/>
  <c r="AI366" i="1" a="1"/>
  <c r="AI366" i="1" l="1"/>
  <c r="AB366" i="1" s="1"/>
  <c r="AH366" i="1"/>
  <c r="AD366" i="1" s="1"/>
  <c r="Q511" i="1"/>
  <c r="Q505" i="1"/>
  <c r="Z511" i="1"/>
  <c r="Z505" i="1"/>
  <c r="E505" i="1" l="1"/>
  <c r="F505" i="1" s="1"/>
  <c r="C505" i="1"/>
  <c r="D505" i="1" s="1"/>
  <c r="E511" i="1"/>
  <c r="F511" i="1" s="1"/>
  <c r="C511" i="1"/>
  <c r="D511" i="1" s="1"/>
  <c r="H505" i="1"/>
  <c r="H511" i="1"/>
  <c r="Q508" i="1"/>
  <c r="Z508" i="1"/>
  <c r="E508" i="1" l="1"/>
  <c r="F508" i="1" s="1"/>
  <c r="C508" i="1"/>
  <c r="D508" i="1" s="1"/>
  <c r="H508" i="1"/>
  <c r="Q475" i="1"/>
  <c r="Q485" i="1"/>
  <c r="Q476" i="1"/>
  <c r="AF368" i="1"/>
  <c r="Q368" i="1"/>
  <c r="Z476" i="1"/>
  <c r="Z368" i="1"/>
  <c r="Z485" i="1"/>
  <c r="Z475" i="1"/>
  <c r="E475" i="1" l="1"/>
  <c r="F475" i="1" s="1"/>
  <c r="C475" i="1"/>
  <c r="D475" i="1" s="1"/>
  <c r="E368" i="1"/>
  <c r="F368" i="1" s="1"/>
  <c r="C368" i="1"/>
  <c r="D368" i="1" s="1"/>
  <c r="E476" i="1"/>
  <c r="F476" i="1" s="1"/>
  <c r="C476" i="1"/>
  <c r="D476" i="1" s="1"/>
  <c r="E485" i="1"/>
  <c r="F485" i="1" s="1"/>
  <c r="C485" i="1"/>
  <c r="D485" i="1" s="1"/>
  <c r="H475" i="1"/>
  <c r="H485" i="1"/>
  <c r="H368" i="1"/>
  <c r="H476" i="1"/>
  <c r="Q394" i="1"/>
  <c r="AH368" i="1" a="1"/>
  <c r="AI368" i="1" a="1"/>
  <c r="Z394" i="1"/>
  <c r="AI368" i="1" l="1"/>
  <c r="AB368" i="1" s="1"/>
  <c r="AH368" i="1"/>
  <c r="AD368" i="1" s="1"/>
  <c r="E394" i="1"/>
  <c r="F394" i="1" s="1"/>
  <c r="C394" i="1"/>
  <c r="D394" i="1" s="1"/>
  <c r="H394" i="1"/>
  <c r="Q395" i="1"/>
  <c r="AF395" i="1"/>
  <c r="Z395" i="1"/>
  <c r="E395" i="1" l="1"/>
  <c r="F395" i="1" s="1"/>
  <c r="C395" i="1"/>
  <c r="D395" i="1" s="1"/>
  <c r="H395" i="1"/>
  <c r="AH395" i="1" a="1"/>
  <c r="AI395" i="1" a="1"/>
  <c r="AH395" i="1" l="1"/>
  <c r="AD395" i="1" s="1"/>
  <c r="AI395" i="1"/>
  <c r="AB395" i="1" s="1"/>
  <c r="AG9" i="1"/>
  <c r="Q549" i="1" l="1"/>
  <c r="Q419" i="1"/>
  <c r="AF419" i="1"/>
  <c r="A17" i="16"/>
  <c r="Z549" i="1"/>
  <c r="Z419" i="1"/>
  <c r="E419" i="1" l="1"/>
  <c r="F419" i="1" s="1"/>
  <c r="C419" i="1"/>
  <c r="D419" i="1" s="1"/>
  <c r="E549" i="1"/>
  <c r="F549" i="1" s="1"/>
  <c r="C549" i="1"/>
  <c r="D549" i="1" s="1"/>
  <c r="H419" i="1"/>
  <c r="H549" i="1"/>
  <c r="B23" i="16"/>
  <c r="AI419" i="1" a="1"/>
  <c r="AH419" i="1" a="1"/>
  <c r="AH419" i="1" l="1"/>
  <c r="AD419" i="1" s="1"/>
  <c r="AI419" i="1"/>
  <c r="AB419" i="1" s="1"/>
  <c r="Q42" i="1"/>
  <c r="AF42" i="1"/>
  <c r="Z42" i="1"/>
  <c r="E42" i="1" l="1"/>
  <c r="F42" i="1" s="1"/>
  <c r="C42" i="1"/>
  <c r="D42" i="1" s="1"/>
  <c r="H42" i="1"/>
  <c r="AF402" i="1"/>
  <c r="Q402" i="1"/>
  <c r="AF404" i="1"/>
  <c r="Q404" i="1"/>
  <c r="Q538" i="1"/>
  <c r="Q543" i="1"/>
  <c r="Q515" i="1"/>
  <c r="Q514" i="1"/>
  <c r="Q513" i="1"/>
  <c r="Q512" i="1"/>
  <c r="Q507" i="1"/>
  <c r="Z538" i="1"/>
  <c r="Z507" i="1"/>
  <c r="Z513" i="1"/>
  <c r="Z512" i="1"/>
  <c r="Z404" i="1"/>
  <c r="Z402" i="1"/>
  <c r="Z543" i="1"/>
  <c r="AH42" i="1" a="1"/>
  <c r="AI42" i="1" a="1"/>
  <c r="AH42" i="1" l="1"/>
  <c r="AD42" i="1" s="1"/>
  <c r="AI42" i="1"/>
  <c r="AB42" i="1" s="1"/>
  <c r="E514" i="1"/>
  <c r="F514" i="1" s="1"/>
  <c r="C514" i="1"/>
  <c r="D514" i="1" s="1"/>
  <c r="E507" i="1"/>
  <c r="F507" i="1" s="1"/>
  <c r="C507" i="1"/>
  <c r="D507" i="1" s="1"/>
  <c r="E404" i="1"/>
  <c r="F404" i="1" s="1"/>
  <c r="C404" i="1"/>
  <c r="D404" i="1" s="1"/>
  <c r="E538" i="1"/>
  <c r="F538" i="1" s="1"/>
  <c r="C538" i="1"/>
  <c r="D538" i="1" s="1"/>
  <c r="E543" i="1"/>
  <c r="F543" i="1" s="1"/>
  <c r="C543" i="1"/>
  <c r="D543" i="1" s="1"/>
  <c r="E515" i="1"/>
  <c r="F515" i="1" s="1"/>
  <c r="C515" i="1"/>
  <c r="D515" i="1" s="1"/>
  <c r="C512" i="1"/>
  <c r="D512" i="1" s="1"/>
  <c r="E512" i="1"/>
  <c r="F512" i="1" s="1"/>
  <c r="E513" i="1"/>
  <c r="F513" i="1" s="1"/>
  <c r="C513" i="1"/>
  <c r="D513" i="1" s="1"/>
  <c r="E402" i="1"/>
  <c r="F402" i="1" s="1"/>
  <c r="C402" i="1"/>
  <c r="D402" i="1" s="1"/>
  <c r="H515" i="1"/>
  <c r="H402" i="1"/>
  <c r="H513" i="1"/>
  <c r="H512" i="1"/>
  <c r="H543" i="1"/>
  <c r="H404" i="1"/>
  <c r="H538" i="1"/>
  <c r="H507" i="1"/>
  <c r="H514" i="1"/>
  <c r="Q541" i="1"/>
  <c r="Q466" i="1"/>
  <c r="Q520" i="1"/>
  <c r="Q474" i="1"/>
  <c r="Q483" i="1"/>
  <c r="Q488" i="1"/>
  <c r="AF389" i="1"/>
  <c r="Q389" i="1"/>
  <c r="AH402" i="1" a="1"/>
  <c r="AI402" i="1" a="1"/>
  <c r="Z520" i="1"/>
  <c r="Z541" i="1"/>
  <c r="Z488" i="1"/>
  <c r="Z466" i="1"/>
  <c r="Z483" i="1"/>
  <c r="Z474" i="1"/>
  <c r="Z389" i="1"/>
  <c r="AH404" i="1" a="1"/>
  <c r="AI404" i="1" a="1"/>
  <c r="AH404" i="1" l="1"/>
  <c r="AD404" i="1" s="1"/>
  <c r="AI402" i="1"/>
  <c r="AB402" i="1" s="1"/>
  <c r="AI404" i="1"/>
  <c r="AB404" i="1" s="1"/>
  <c r="AH402" i="1"/>
  <c r="AD402" i="1" s="1"/>
  <c r="E389" i="1"/>
  <c r="F389" i="1" s="1"/>
  <c r="C389" i="1"/>
  <c r="D389" i="1" s="1"/>
  <c r="E520" i="1"/>
  <c r="F520" i="1" s="1"/>
  <c r="C520" i="1"/>
  <c r="D520" i="1" s="1"/>
  <c r="E474" i="1"/>
  <c r="F474" i="1" s="1"/>
  <c r="C474" i="1"/>
  <c r="D474" i="1" s="1"/>
  <c r="E541" i="1"/>
  <c r="F541" i="1" s="1"/>
  <c r="C541" i="1"/>
  <c r="D541" i="1" s="1"/>
  <c r="E488" i="1"/>
  <c r="F488" i="1" s="1"/>
  <c r="C488" i="1"/>
  <c r="D488" i="1" s="1"/>
  <c r="E466" i="1"/>
  <c r="F466" i="1" s="1"/>
  <c r="C466" i="1"/>
  <c r="D466" i="1" s="1"/>
  <c r="E483" i="1"/>
  <c r="F483" i="1" s="1"/>
  <c r="C483" i="1"/>
  <c r="D483" i="1" s="1"/>
  <c r="H488" i="1"/>
  <c r="H541" i="1"/>
  <c r="H466" i="1"/>
  <c r="H483" i="1"/>
  <c r="H389" i="1"/>
  <c r="H474" i="1"/>
  <c r="H520" i="1"/>
  <c r="AH389" i="1" a="1"/>
  <c r="AI389" i="1" a="1"/>
  <c r="AH389" i="1" l="1"/>
  <c r="AD389" i="1" s="1"/>
  <c r="AI389" i="1"/>
  <c r="AB389" i="1" s="1"/>
  <c r="AF178" i="1"/>
  <c r="AF738" i="1"/>
  <c r="AF109" i="1"/>
  <c r="AF326" i="1"/>
  <c r="AF113" i="1"/>
  <c r="AF114" i="1"/>
  <c r="AF485" i="1"/>
  <c r="AF305" i="1"/>
  <c r="AF283" i="1"/>
  <c r="AF433" i="1"/>
  <c r="AF274" i="1"/>
  <c r="AF188" i="1"/>
  <c r="AF424" i="1"/>
  <c r="AF272" i="1"/>
  <c r="AF728" i="1"/>
  <c r="AF678" i="1"/>
  <c r="AF179" i="1"/>
  <c r="AF116" i="1"/>
  <c r="AF111" i="1"/>
  <c r="AF177" i="1"/>
  <c r="AF723" i="1"/>
  <c r="AF175" i="1"/>
  <c r="AF112" i="1"/>
  <c r="AF269" i="1"/>
  <c r="AF706" i="1"/>
  <c r="AF426" i="1"/>
  <c r="AF110" i="1"/>
  <c r="AF425" i="1"/>
  <c r="AF431" i="1"/>
  <c r="AF105" i="1"/>
  <c r="AF189" i="1"/>
  <c r="AF430" i="1"/>
  <c r="AF428" i="1"/>
  <c r="AF429" i="1"/>
  <c r="AF437" i="1"/>
  <c r="AF680" i="1"/>
  <c r="AF190" i="1"/>
  <c r="AF191" i="1"/>
  <c r="AF144" i="1"/>
  <c r="AF282" i="1"/>
  <c r="AF436" i="1"/>
  <c r="AF78" i="1"/>
  <c r="AF713" i="1"/>
  <c r="AF718" i="1"/>
  <c r="AF182" i="1"/>
  <c r="AF467" i="1"/>
  <c r="AF483" i="1"/>
  <c r="AF457" i="1"/>
  <c r="AF520" i="1"/>
  <c r="AF549" i="1"/>
  <c r="AF507" i="1"/>
  <c r="AF510" i="1"/>
  <c r="AF324" i="1"/>
  <c r="AF454" i="1"/>
  <c r="AF475" i="1"/>
  <c r="AF455" i="1"/>
  <c r="AF459" i="1"/>
  <c r="AF180" i="1"/>
  <c r="AF174" i="1"/>
  <c r="AF474" i="1"/>
  <c r="AF514" i="1"/>
  <c r="AF487" i="1"/>
  <c r="AF173" i="1"/>
  <c r="AF176" i="1"/>
  <c r="AF476" i="1"/>
  <c r="AF181" i="1"/>
  <c r="AF499" i="1"/>
  <c r="AF172" i="1"/>
  <c r="AF303" i="1"/>
  <c r="AF488" i="1"/>
  <c r="AF456" i="1"/>
  <c r="AF542" i="1"/>
  <c r="AF458" i="1"/>
  <c r="AF460" i="1"/>
  <c r="AF508" i="1"/>
  <c r="AF318" i="1"/>
  <c r="AF736" i="1"/>
  <c r="AF157" i="1"/>
  <c r="AF142" i="1"/>
  <c r="AF169" i="1"/>
  <c r="AF171" i="1"/>
  <c r="AF731" i="1"/>
  <c r="AF322" i="1"/>
  <c r="AF167" i="1"/>
  <c r="AF721" i="1"/>
  <c r="AF168" i="1"/>
  <c r="AF726" i="1"/>
  <c r="AF285" i="1"/>
  <c r="AF310" i="1"/>
  <c r="AF312" i="1"/>
  <c r="AF294" i="1"/>
  <c r="AF287" i="1"/>
  <c r="AF289" i="1"/>
  <c r="AF295" i="1"/>
  <c r="AF297" i="1"/>
  <c r="AF443" i="1"/>
  <c r="AF511" i="1"/>
  <c r="AF512" i="1"/>
  <c r="AF505" i="1"/>
  <c r="AF394" i="1"/>
  <c r="AF314" i="1"/>
  <c r="AF449" i="1"/>
  <c r="AF448" i="1"/>
  <c r="AF452" i="1"/>
  <c r="AF453" i="1"/>
  <c r="AF450" i="1"/>
  <c r="AF447" i="1"/>
  <c r="AF451" i="1"/>
  <c r="AF440" i="1"/>
  <c r="AF439" i="1"/>
  <c r="AF438" i="1"/>
  <c r="AF446" i="1"/>
  <c r="AF442" i="1"/>
  <c r="AF441" i="1"/>
  <c r="AF513" i="1"/>
  <c r="AF515" i="1"/>
  <c r="AF538" i="1"/>
  <c r="AF543" i="1"/>
  <c r="AF541" i="1"/>
  <c r="Q521" i="1" l="1"/>
  <c r="AF521" i="1"/>
  <c r="AI312" i="1" a="1"/>
  <c r="AH114" i="1" a="1"/>
  <c r="AI513" i="1" a="1"/>
  <c r="AH452" i="1" a="1"/>
  <c r="AI105" i="1" a="1"/>
  <c r="AI177" i="1" a="1"/>
  <c r="AH488" i="1" a="1"/>
  <c r="AH541" i="1" a="1"/>
  <c r="AH448" i="1" a="1"/>
  <c r="AI297" i="1" a="1"/>
  <c r="AI439" i="1" a="1"/>
  <c r="AH475" i="1" a="1"/>
  <c r="AI430" i="1" a="1"/>
  <c r="AH514" i="1" a="1"/>
  <c r="AI731" i="1" a="1"/>
  <c r="AI508" i="1" a="1"/>
  <c r="AI453" i="1" a="1"/>
  <c r="AI487" i="1" a="1"/>
  <c r="AH436" i="1" a="1"/>
  <c r="AH424" i="1" a="1"/>
  <c r="AI322" i="1" a="1"/>
  <c r="AI326" i="1" a="1"/>
  <c r="AI285" i="1" a="1"/>
  <c r="AI475" i="1" a="1"/>
  <c r="AH429" i="1" a="1"/>
  <c r="AH513" i="1" a="1"/>
  <c r="AI295" i="1" a="1"/>
  <c r="AI324" i="1" a="1"/>
  <c r="AI425" i="1" a="1"/>
  <c r="AI181" i="1" a="1"/>
  <c r="AH172" i="1" a="1"/>
  <c r="AH442" i="1" a="1"/>
  <c r="AI542" i="1" a="1"/>
  <c r="AH485" i="1" a="1"/>
  <c r="AI182" i="1" a="1"/>
  <c r="AH447" i="1" a="1"/>
  <c r="AI282" i="1" a="1"/>
  <c r="AH706" i="1" a="1"/>
  <c r="AH713" i="1" a="1"/>
  <c r="AH505" i="1" a="1"/>
  <c r="AH450" i="1" a="1"/>
  <c r="AI520" i="1" a="1"/>
  <c r="AI721" i="1" a="1"/>
  <c r="AH736" i="1" a="1"/>
  <c r="AH474" i="1" a="1"/>
  <c r="AI116" i="1" a="1"/>
  <c r="AH459" i="1" a="1"/>
  <c r="AI188" i="1" a="1"/>
  <c r="AI713" i="1" a="1"/>
  <c r="AH542" i="1" a="1"/>
  <c r="AI488" i="1" a="1"/>
  <c r="AH78" i="1" a="1"/>
  <c r="AH508" i="1" a="1"/>
  <c r="AH180" i="1" a="1"/>
  <c r="AH460" i="1" a="1"/>
  <c r="AH305" i="1" a="1"/>
  <c r="AI172" i="1" a="1"/>
  <c r="AH272" i="1" a="1"/>
  <c r="AI289" i="1" a="1"/>
  <c r="AI176" i="1" a="1"/>
  <c r="AH142" i="1" a="1"/>
  <c r="AI454" i="1" a="1"/>
  <c r="AI167" i="1" a="1"/>
  <c r="AI429" i="1" a="1"/>
  <c r="AH310" i="1" a="1"/>
  <c r="AH169" i="1" a="1"/>
  <c r="AI174" i="1" a="1"/>
  <c r="AI449" i="1" a="1"/>
  <c r="AH430" i="1" a="1"/>
  <c r="AH680" i="1" a="1"/>
  <c r="AH483" i="1" a="1"/>
  <c r="AH726" i="1" a="1"/>
  <c r="AI510" i="1" a="1"/>
  <c r="AH105" i="1" a="1"/>
  <c r="AI168" i="1" a="1"/>
  <c r="AI442" i="1" a="1"/>
  <c r="AI169" i="1" a="1"/>
  <c r="AI431" i="1" a="1"/>
  <c r="AH433" i="1" a="1"/>
  <c r="AH721" i="1" a="1"/>
  <c r="AI718" i="1" a="1"/>
  <c r="AH723" i="1" a="1"/>
  <c r="AH283" i="1" a="1"/>
  <c r="AH543" i="1" a="1"/>
  <c r="AI272" i="1" a="1"/>
  <c r="AI114" i="1" a="1"/>
  <c r="AI483" i="1" a="1"/>
  <c r="AH110" i="1" a="1"/>
  <c r="AI511" i="1" a="1"/>
  <c r="AI305" i="1" a="1"/>
  <c r="AI541" i="1" a="1"/>
  <c r="AH188" i="1" a="1"/>
  <c r="AI269" i="1" a="1"/>
  <c r="AI314" i="1" a="1"/>
  <c r="AH314" i="1" a="1"/>
  <c r="AI426" i="1" a="1"/>
  <c r="AI460" i="1" a="1"/>
  <c r="AH322" i="1" a="1"/>
  <c r="AH453" i="1" a="1"/>
  <c r="Z521" i="1"/>
  <c r="AI538" i="1" a="1"/>
  <c r="AH718" i="1" a="1"/>
  <c r="AH510" i="1" a="1"/>
  <c r="AI499" i="1" a="1"/>
  <c r="AI485" i="1" a="1"/>
  <c r="AH287" i="1" a="1"/>
  <c r="AH467" i="1" a="1"/>
  <c r="AH454" i="1" a="1"/>
  <c r="AH451" i="1" a="1"/>
  <c r="AI112" i="1" a="1"/>
  <c r="AH428" i="1" a="1"/>
  <c r="AI726" i="1" a="1"/>
  <c r="AH174" i="1" a="1"/>
  <c r="AH507" i="1" a="1"/>
  <c r="AH171" i="1" a="1"/>
  <c r="AI457" i="1" a="1"/>
  <c r="AH178" i="1" a="1"/>
  <c r="AH499" i="1" a="1"/>
  <c r="AI678" i="1" a="1"/>
  <c r="AH457" i="1" a="1"/>
  <c r="AI113" i="1" a="1"/>
  <c r="AH446" i="1" a="1"/>
  <c r="AH112" i="1" a="1"/>
  <c r="AH179" i="1" a="1"/>
  <c r="AH282" i="1" a="1"/>
  <c r="AH177" i="1" a="1"/>
  <c r="AH324" i="1" a="1"/>
  <c r="AH441" i="1" a="1"/>
  <c r="AI109" i="1" a="1"/>
  <c r="AH318" i="1" a="1"/>
  <c r="AI451" i="1" a="1"/>
  <c r="AI458" i="1" a="1"/>
  <c r="AH455" i="1" a="1"/>
  <c r="AH476" i="1" a="1"/>
  <c r="AI433" i="1" a="1"/>
  <c r="AH303" i="1" a="1"/>
  <c r="AI728" i="1" a="1"/>
  <c r="AI448" i="1" a="1"/>
  <c r="AI173" i="1" a="1"/>
  <c r="AH458" i="1" a="1"/>
  <c r="AI440" i="1" a="1"/>
  <c r="AH425" i="1" a="1"/>
  <c r="AH515" i="1" a="1"/>
  <c r="AI514" i="1" a="1"/>
  <c r="AH738" i="1" a="1"/>
  <c r="AI474" i="1" a="1"/>
  <c r="AI175" i="1" a="1"/>
  <c r="AI447" i="1" a="1"/>
  <c r="AH109" i="1" a="1"/>
  <c r="AH294" i="1" a="1"/>
  <c r="AI171" i="1" a="1"/>
  <c r="AI441" i="1" a="1"/>
  <c r="AH426" i="1" a="1"/>
  <c r="AI144" i="1" a="1"/>
  <c r="AH439" i="1" a="1"/>
  <c r="AH511" i="1" a="1"/>
  <c r="AH116" i="1" a="1"/>
  <c r="AH456" i="1" a="1"/>
  <c r="AI428" i="1" a="1"/>
  <c r="AI157" i="1" a="1"/>
  <c r="AH728" i="1" a="1"/>
  <c r="AI505" i="1" a="1"/>
  <c r="AI706" i="1" a="1"/>
  <c r="AI274" i="1" a="1"/>
  <c r="AI110" i="1" a="1"/>
  <c r="AI178" i="1" a="1"/>
  <c r="AH438" i="1" a="1"/>
  <c r="AI446" i="1" a="1"/>
  <c r="AI443" i="1" a="1"/>
  <c r="AH431" i="1" a="1"/>
  <c r="AI452" i="1" a="1"/>
  <c r="AH520" i="1" a="1"/>
  <c r="AH394" i="1" a="1"/>
  <c r="AI142" i="1" a="1"/>
  <c r="AI189" i="1" a="1"/>
  <c r="AH189" i="1" a="1"/>
  <c r="AI512" i="1" a="1"/>
  <c r="AI437" i="1" a="1"/>
  <c r="AI507" i="1" a="1"/>
  <c r="AI424" i="1" a="1"/>
  <c r="AI287" i="1" a="1"/>
  <c r="AI78" i="1" a="1"/>
  <c r="AH678" i="1" a="1"/>
  <c r="AI456" i="1" a="1"/>
  <c r="AI180" i="1" a="1"/>
  <c r="AI549" i="1" a="1"/>
  <c r="AI179" i="1" a="1"/>
  <c r="AH295" i="1" a="1"/>
  <c r="AH191" i="1" a="1"/>
  <c r="AH289" i="1" a="1"/>
  <c r="AI310" i="1" a="1"/>
  <c r="AH312" i="1" a="1"/>
  <c r="AH443" i="1" a="1"/>
  <c r="AH549" i="1" a="1"/>
  <c r="AI438" i="1" a="1"/>
  <c r="AI111" i="1" a="1"/>
  <c r="AH437" i="1" a="1"/>
  <c r="AH113" i="1" a="1"/>
  <c r="AI283" i="1" a="1"/>
  <c r="AH157" i="1" a="1"/>
  <c r="AI394" i="1" a="1"/>
  <c r="AI450" i="1" a="1"/>
  <c r="AI459" i="1" a="1"/>
  <c r="AH190" i="1" a="1"/>
  <c r="AH326" i="1" a="1"/>
  <c r="AH731" i="1" a="1"/>
  <c r="AH440" i="1" a="1"/>
  <c r="AH175" i="1" a="1"/>
  <c r="AI436" i="1" a="1"/>
  <c r="AI303" i="1" a="1"/>
  <c r="AH487" i="1" a="1"/>
  <c r="AH168" i="1" a="1"/>
  <c r="AH167" i="1" a="1"/>
  <c r="AH285" i="1" a="1"/>
  <c r="AH182" i="1" a="1"/>
  <c r="AH111" i="1" a="1"/>
  <c r="AI723" i="1" a="1"/>
  <c r="AI515" i="1" a="1"/>
  <c r="AH512" i="1" a="1"/>
  <c r="AI680" i="1" a="1"/>
  <c r="AH274" i="1" a="1"/>
  <c r="AH449" i="1" a="1"/>
  <c r="AI191" i="1" a="1"/>
  <c r="AI318" i="1" a="1"/>
  <c r="AI543" i="1" a="1"/>
  <c r="AI736" i="1" a="1"/>
  <c r="AH173" i="1" a="1"/>
  <c r="AH297" i="1" a="1"/>
  <c r="AH181" i="1" a="1"/>
  <c r="AI467" i="1" a="1"/>
  <c r="AH269" i="1" a="1"/>
  <c r="AH144" i="1" a="1"/>
  <c r="AI190" i="1" a="1"/>
  <c r="AH176" i="1" a="1"/>
  <c r="AI476" i="1" a="1"/>
  <c r="AI738" i="1" a="1"/>
  <c r="AI455" i="1" a="1"/>
  <c r="AI294" i="1" a="1"/>
  <c r="AH538" i="1" a="1"/>
  <c r="AI176" i="1" l="1"/>
  <c r="AB176" i="1" s="1"/>
  <c r="AH678" i="1"/>
  <c r="AD678" i="1" s="1"/>
  <c r="AH511" i="1"/>
  <c r="AD511" i="1" s="1"/>
  <c r="AI731" i="1"/>
  <c r="AB731" i="1" s="1"/>
  <c r="AI181" i="1"/>
  <c r="AB181" i="1" s="1"/>
  <c r="AH167" i="1"/>
  <c r="AD167" i="1" s="1"/>
  <c r="AH326" i="1"/>
  <c r="AD326" i="1" s="1"/>
  <c r="AI318" i="1"/>
  <c r="AB318" i="1" s="1"/>
  <c r="AH538" i="1"/>
  <c r="AD538" i="1" s="1"/>
  <c r="AH467" i="1"/>
  <c r="AD467" i="1" s="1"/>
  <c r="AI109" i="1"/>
  <c r="AB109" i="1" s="1"/>
  <c r="AI189" i="1"/>
  <c r="AB189" i="1" s="1"/>
  <c r="AI171" i="1"/>
  <c r="AB171" i="1" s="1"/>
  <c r="AI728" i="1"/>
  <c r="AB728" i="1" s="1"/>
  <c r="AH736" i="1"/>
  <c r="AD736" i="1" s="1"/>
  <c r="AH453" i="1"/>
  <c r="AD453" i="1" s="1"/>
  <c r="AI167" i="1"/>
  <c r="AB167" i="1" s="1"/>
  <c r="AI326" i="1"/>
  <c r="AB326" i="1" s="1"/>
  <c r="AH721" i="1"/>
  <c r="AD721" i="1" s="1"/>
  <c r="AH514" i="1"/>
  <c r="AD514" i="1" s="1"/>
  <c r="AH289" i="1"/>
  <c r="AD289" i="1" s="1"/>
  <c r="AH78" i="1"/>
  <c r="AD78" i="1" s="1"/>
  <c r="AH190" i="1"/>
  <c r="AD190" i="1" s="1"/>
  <c r="AH430" i="1"/>
  <c r="AD430" i="1" s="1"/>
  <c r="AH425" i="1"/>
  <c r="AD425" i="1" s="1"/>
  <c r="AI736" i="1"/>
  <c r="AB736" i="1" s="1"/>
  <c r="AH441" i="1"/>
  <c r="AD441" i="1" s="1"/>
  <c r="AI142" i="1"/>
  <c r="AB142" i="1" s="1"/>
  <c r="AH507" i="1"/>
  <c r="AD507" i="1" s="1"/>
  <c r="AH283" i="1"/>
  <c r="AD283" i="1" s="1"/>
  <c r="AI721" i="1"/>
  <c r="AB721" i="1" s="1"/>
  <c r="AH322" i="1"/>
  <c r="AD322" i="1" s="1"/>
  <c r="AI289" i="1"/>
  <c r="AB289" i="1" s="1"/>
  <c r="AI78" i="1"/>
  <c r="AB78" i="1" s="1"/>
  <c r="AI190" i="1"/>
  <c r="AB190" i="1" s="1"/>
  <c r="AI430" i="1"/>
  <c r="AB430" i="1" s="1"/>
  <c r="AI425" i="1"/>
  <c r="AB425" i="1" s="1"/>
  <c r="AH168" i="1"/>
  <c r="AD168" i="1" s="1"/>
  <c r="AI459" i="1"/>
  <c r="AB459" i="1" s="1"/>
  <c r="AI474" i="1"/>
  <c r="AB474" i="1" s="1"/>
  <c r="AI157" i="1"/>
  <c r="AB157" i="1" s="1"/>
  <c r="AH287" i="1"/>
  <c r="AD287" i="1" s="1"/>
  <c r="AH324" i="1"/>
  <c r="AD324" i="1" s="1"/>
  <c r="AH394" i="1"/>
  <c r="AD394" i="1" s="1"/>
  <c r="AI168" i="1"/>
  <c r="AB168" i="1" s="1"/>
  <c r="AH303" i="1"/>
  <c r="AD303" i="1" s="1"/>
  <c r="AI520" i="1"/>
  <c r="AB520" i="1" s="1"/>
  <c r="AI460" i="1"/>
  <c r="AB460" i="1" s="1"/>
  <c r="AH512" i="1"/>
  <c r="AD512" i="1" s="1"/>
  <c r="AI322" i="1"/>
  <c r="AB322" i="1" s="1"/>
  <c r="AH439" i="1"/>
  <c r="AD439" i="1" s="1"/>
  <c r="AH475" i="1"/>
  <c r="AD475" i="1" s="1"/>
  <c r="AH191" i="1"/>
  <c r="AD191" i="1" s="1"/>
  <c r="AI488" i="1"/>
  <c r="AB488" i="1" s="1"/>
  <c r="AI450" i="1"/>
  <c r="AB450" i="1" s="1"/>
  <c r="AI449" i="1"/>
  <c r="AB449" i="1" s="1"/>
  <c r="AI454" i="1"/>
  <c r="AB454" i="1" s="1"/>
  <c r="AH726" i="1"/>
  <c r="AD726" i="1" s="1"/>
  <c r="AH177" i="1"/>
  <c r="AD177" i="1" s="1"/>
  <c r="AH520" i="1"/>
  <c r="AD520" i="1" s="1"/>
  <c r="AH174" i="1"/>
  <c r="AD174" i="1" s="1"/>
  <c r="AI738" i="1"/>
  <c r="AB738" i="1" s="1"/>
  <c r="AH450" i="1"/>
  <c r="AD450" i="1" s="1"/>
  <c r="AI426" i="1"/>
  <c r="AB426" i="1" s="1"/>
  <c r="AH272" i="1"/>
  <c r="AD272" i="1" s="1"/>
  <c r="AI287" i="1"/>
  <c r="AB287" i="1" s="1"/>
  <c r="AH433" i="1"/>
  <c r="AD433" i="1" s="1"/>
  <c r="AI439" i="1"/>
  <c r="AB439" i="1" s="1"/>
  <c r="AI324" i="1"/>
  <c r="AB324" i="1" s="1"/>
  <c r="AH487" i="1"/>
  <c r="AD487" i="1" s="1"/>
  <c r="AI394" i="1"/>
  <c r="AB394" i="1" s="1"/>
  <c r="AI191" i="1"/>
  <c r="AB191" i="1" s="1"/>
  <c r="AH297" i="1"/>
  <c r="AD297" i="1" s="1"/>
  <c r="AI485" i="1"/>
  <c r="AB485" i="1" s="1"/>
  <c r="AH282" i="1"/>
  <c r="AD282" i="1" s="1"/>
  <c r="AI452" i="1"/>
  <c r="AB452" i="1" s="1"/>
  <c r="AI272" i="1"/>
  <c r="AB272" i="1" s="1"/>
  <c r="AI433" i="1"/>
  <c r="AB433" i="1" s="1"/>
  <c r="AH505" i="1"/>
  <c r="AD505" i="1" s="1"/>
  <c r="AH314" i="1"/>
  <c r="AD314" i="1" s="1"/>
  <c r="AH295" i="1"/>
  <c r="AD295" i="1" s="1"/>
  <c r="AH424" i="1"/>
  <c r="AD424" i="1" s="1"/>
  <c r="AH144" i="1"/>
  <c r="AD144" i="1" s="1"/>
  <c r="AI297" i="1"/>
  <c r="AB297" i="1" s="1"/>
  <c r="AI515" i="1"/>
  <c r="AB515" i="1" s="1"/>
  <c r="AH542" i="1"/>
  <c r="AD542" i="1" s="1"/>
  <c r="AH157" i="1"/>
  <c r="AD157" i="1" s="1"/>
  <c r="AH738" i="1"/>
  <c r="AD738" i="1" s="1"/>
  <c r="AI726" i="1"/>
  <c r="AB726" i="1" s="1"/>
  <c r="AI447" i="1"/>
  <c r="AB447" i="1" s="1"/>
  <c r="AH179" i="1"/>
  <c r="AD179" i="1" s="1"/>
  <c r="AH431" i="1"/>
  <c r="AD431" i="1" s="1"/>
  <c r="AI440" i="1"/>
  <c r="AB440" i="1" s="1"/>
  <c r="AH723" i="1"/>
  <c r="AD723" i="1" s="1"/>
  <c r="AH713" i="1"/>
  <c r="AD713" i="1" s="1"/>
  <c r="AI314" i="1"/>
  <c r="AB314" i="1" s="1"/>
  <c r="AI295" i="1"/>
  <c r="AB295" i="1" s="1"/>
  <c r="AI424" i="1"/>
  <c r="AB424" i="1" s="1"/>
  <c r="AI144" i="1"/>
  <c r="AB144" i="1" s="1"/>
  <c r="AH448" i="1"/>
  <c r="AD448" i="1" s="1"/>
  <c r="AI172" i="1"/>
  <c r="AB172" i="1" s="1"/>
  <c r="AI303" i="1"/>
  <c r="AB303" i="1" s="1"/>
  <c r="AI283" i="1"/>
  <c r="AB283" i="1" s="1"/>
  <c r="AI174" i="1"/>
  <c r="AB174" i="1" s="1"/>
  <c r="AH294" i="1"/>
  <c r="AD294" i="1" s="1"/>
  <c r="AI499" i="1"/>
  <c r="AB499" i="1" s="1"/>
  <c r="AH112" i="1"/>
  <c r="AD112" i="1" s="1"/>
  <c r="AI443" i="1"/>
  <c r="AB443" i="1" s="1"/>
  <c r="AI294" i="1"/>
  <c r="AB294" i="1" s="1"/>
  <c r="AH476" i="1"/>
  <c r="AD476" i="1" s="1"/>
  <c r="AH706" i="1"/>
  <c r="AD706" i="1" s="1"/>
  <c r="AI269" i="1"/>
  <c r="AB269" i="1" s="1"/>
  <c r="AI179" i="1"/>
  <c r="AB179" i="1" s="1"/>
  <c r="AH436" i="1"/>
  <c r="AD436" i="1" s="1"/>
  <c r="AI431" i="1"/>
  <c r="AB431" i="1" s="1"/>
  <c r="AH541" i="1"/>
  <c r="AD541" i="1" s="1"/>
  <c r="AI723" i="1"/>
  <c r="AB723" i="1" s="1"/>
  <c r="AI713" i="1"/>
  <c r="AB713" i="1" s="1"/>
  <c r="AH113" i="1"/>
  <c r="AD113" i="1" s="1"/>
  <c r="AH449" i="1"/>
  <c r="AD449" i="1" s="1"/>
  <c r="AH428" i="1"/>
  <c r="AD428" i="1" s="1"/>
  <c r="AH483" i="1"/>
  <c r="AD483" i="1" s="1"/>
  <c r="AH446" i="1"/>
  <c r="AD446" i="1" s="1"/>
  <c r="AI446" i="1"/>
  <c r="AB446" i="1" s="1"/>
  <c r="AH142" i="1"/>
  <c r="AD142" i="1" s="1"/>
  <c r="AI476" i="1"/>
  <c r="AB476" i="1" s="1"/>
  <c r="AI282" i="1"/>
  <c r="AB282" i="1" s="1"/>
  <c r="AH188" i="1"/>
  <c r="AD188" i="1" s="1"/>
  <c r="AH513" i="1"/>
  <c r="AD513" i="1" s="1"/>
  <c r="AI507" i="1"/>
  <c r="AB507" i="1" s="1"/>
  <c r="AH269" i="1"/>
  <c r="AD269" i="1" s="1"/>
  <c r="AH488" i="1"/>
  <c r="AD488" i="1" s="1"/>
  <c r="AH305" i="1"/>
  <c r="AD305" i="1" s="1"/>
  <c r="AI436" i="1"/>
  <c r="AB436" i="1" s="1"/>
  <c r="AH437" i="1"/>
  <c r="AD437" i="1" s="1"/>
  <c r="AH169" i="1"/>
  <c r="AD169" i="1" s="1"/>
  <c r="AH105" i="1"/>
  <c r="AD105" i="1" s="1"/>
  <c r="AH510" i="1"/>
  <c r="AD510" i="1" s="1"/>
  <c r="AI113" i="1"/>
  <c r="AB113" i="1" s="1"/>
  <c r="AH438" i="1"/>
  <c r="AD438" i="1" s="1"/>
  <c r="AI428" i="1"/>
  <c r="AB428" i="1" s="1"/>
  <c r="AH455" i="1"/>
  <c r="AD455" i="1" s="1"/>
  <c r="AH447" i="1"/>
  <c r="AD447" i="1" s="1"/>
  <c r="AI541" i="1"/>
  <c r="AB541" i="1" s="1"/>
  <c r="AI549" i="1"/>
  <c r="AB549" i="1" s="1"/>
  <c r="AI487" i="1"/>
  <c r="AB487" i="1" s="1"/>
  <c r="AH426" i="1"/>
  <c r="AD426" i="1" s="1"/>
  <c r="AI177" i="1"/>
  <c r="AB177" i="1" s="1"/>
  <c r="AH111" i="1"/>
  <c r="AD111" i="1" s="1"/>
  <c r="AI188" i="1"/>
  <c r="AB188" i="1" s="1"/>
  <c r="AI111" i="1"/>
  <c r="AB111" i="1" s="1"/>
  <c r="AI514" i="1"/>
  <c r="AB514" i="1" s="1"/>
  <c r="AI112" i="1"/>
  <c r="AB112" i="1" s="1"/>
  <c r="AI543" i="1"/>
  <c r="AB543" i="1" s="1"/>
  <c r="AH457" i="1"/>
  <c r="AD457" i="1" s="1"/>
  <c r="AI178" i="1"/>
  <c r="AB178" i="1" s="1"/>
  <c r="AH458" i="1"/>
  <c r="AD458" i="1" s="1"/>
  <c r="AH116" i="1"/>
  <c r="AD116" i="1" s="1"/>
  <c r="AI182" i="1"/>
  <c r="AB182" i="1" s="1"/>
  <c r="AI305" i="1"/>
  <c r="AB305" i="1" s="1"/>
  <c r="AH429" i="1"/>
  <c r="AD429" i="1" s="1"/>
  <c r="AI437" i="1"/>
  <c r="AB437" i="1" s="1"/>
  <c r="AI169" i="1"/>
  <c r="AB169" i="1" s="1"/>
  <c r="AI105" i="1"/>
  <c r="AB105" i="1" s="1"/>
  <c r="AH460" i="1"/>
  <c r="AD460" i="1" s="1"/>
  <c r="AH175" i="1"/>
  <c r="AD175" i="1" s="1"/>
  <c r="AI438" i="1"/>
  <c r="AB438" i="1" s="1"/>
  <c r="AH274" i="1"/>
  <c r="AD274" i="1" s="1"/>
  <c r="AH173" i="1"/>
  <c r="AD173" i="1" s="1"/>
  <c r="AH718" i="1"/>
  <c r="AD718" i="1" s="1"/>
  <c r="AI678" i="1"/>
  <c r="AB678" i="1" s="1"/>
  <c r="AI110" i="1"/>
  <c r="AB110" i="1" s="1"/>
  <c r="AH543" i="1"/>
  <c r="AD543" i="1" s="1"/>
  <c r="AI458" i="1"/>
  <c r="AB458" i="1" s="1"/>
  <c r="AH485" i="1"/>
  <c r="AD485" i="1" s="1"/>
  <c r="AI511" i="1"/>
  <c r="AB511" i="1" s="1"/>
  <c r="AI180" i="1"/>
  <c r="AB180" i="1" s="1"/>
  <c r="AI453" i="1"/>
  <c r="AB453" i="1" s="1"/>
  <c r="AI467" i="1"/>
  <c r="AB467" i="1" s="1"/>
  <c r="AH452" i="1"/>
  <c r="AD452" i="1" s="1"/>
  <c r="AH182" i="1"/>
  <c r="AD182" i="1" s="1"/>
  <c r="AH459" i="1"/>
  <c r="AD459" i="1" s="1"/>
  <c r="AH549" i="1"/>
  <c r="AD549" i="1" s="1"/>
  <c r="AH310" i="1"/>
  <c r="AD310" i="1" s="1"/>
  <c r="AH451" i="1"/>
  <c r="AD451" i="1" s="1"/>
  <c r="AI175" i="1"/>
  <c r="AB175" i="1" s="1"/>
  <c r="AH499" i="1"/>
  <c r="AD499" i="1" s="1"/>
  <c r="AI274" i="1"/>
  <c r="AB274" i="1" s="1"/>
  <c r="AI173" i="1"/>
  <c r="AB173" i="1" s="1"/>
  <c r="AI718" i="1"/>
  <c r="AB718" i="1" s="1"/>
  <c r="AI542" i="1"/>
  <c r="AB542" i="1" s="1"/>
  <c r="AH110" i="1"/>
  <c r="AD110" i="1" s="1"/>
  <c r="AI475" i="1"/>
  <c r="AB475" i="1" s="1"/>
  <c r="AI512" i="1"/>
  <c r="AB512" i="1" s="1"/>
  <c r="AI441" i="1"/>
  <c r="AB441" i="1" s="1"/>
  <c r="AI513" i="1"/>
  <c r="AB513" i="1" s="1"/>
  <c r="AH180" i="1"/>
  <c r="AD180" i="1" s="1"/>
  <c r="AH440" i="1"/>
  <c r="AD440" i="1" s="1"/>
  <c r="AH443" i="1"/>
  <c r="AD443" i="1" s="1"/>
  <c r="AH515" i="1"/>
  <c r="AD515" i="1" s="1"/>
  <c r="AI510" i="1"/>
  <c r="AB510" i="1" s="1"/>
  <c r="AI538" i="1"/>
  <c r="AB538" i="1" s="1"/>
  <c r="AH178" i="1"/>
  <c r="AD178" i="1" s="1"/>
  <c r="AI706" i="1"/>
  <c r="AB706" i="1" s="1"/>
  <c r="AI455" i="1"/>
  <c r="AB455" i="1" s="1"/>
  <c r="AI451" i="1"/>
  <c r="AB451" i="1" s="1"/>
  <c r="AH442" i="1"/>
  <c r="AD442" i="1" s="1"/>
  <c r="AI483" i="1"/>
  <c r="AB483" i="1" s="1"/>
  <c r="AI456" i="1"/>
  <c r="AB456" i="1" s="1"/>
  <c r="AI508" i="1"/>
  <c r="AB508" i="1" s="1"/>
  <c r="AI442" i="1"/>
  <c r="AB442" i="1" s="1"/>
  <c r="AH114" i="1"/>
  <c r="AD114" i="1" s="1"/>
  <c r="AH285" i="1"/>
  <c r="AD285" i="1" s="1"/>
  <c r="AI116" i="1"/>
  <c r="AB116" i="1" s="1"/>
  <c r="AH312" i="1"/>
  <c r="AD312" i="1" s="1"/>
  <c r="AI429" i="1"/>
  <c r="AB429" i="1" s="1"/>
  <c r="AH454" i="1"/>
  <c r="AD454" i="1" s="1"/>
  <c r="AH680" i="1"/>
  <c r="AD680" i="1" s="1"/>
  <c r="AI457" i="1"/>
  <c r="AB457" i="1" s="1"/>
  <c r="AI505" i="1"/>
  <c r="AB505" i="1" s="1"/>
  <c r="AI448" i="1"/>
  <c r="AB448" i="1" s="1"/>
  <c r="AH176" i="1"/>
  <c r="AD176" i="1" s="1"/>
  <c r="AH172" i="1"/>
  <c r="AD172" i="1" s="1"/>
  <c r="AI114" i="1"/>
  <c r="AB114" i="1" s="1"/>
  <c r="AI285" i="1"/>
  <c r="AB285" i="1" s="1"/>
  <c r="AH731" i="1"/>
  <c r="AD731" i="1" s="1"/>
  <c r="AH181" i="1"/>
  <c r="AD181" i="1" s="1"/>
  <c r="AI312" i="1"/>
  <c r="AB312" i="1" s="1"/>
  <c r="AH508" i="1"/>
  <c r="AD508" i="1" s="1"/>
  <c r="AH318" i="1"/>
  <c r="AD318" i="1" s="1"/>
  <c r="AI310" i="1"/>
  <c r="AB310" i="1" s="1"/>
  <c r="AI680" i="1"/>
  <c r="AB680" i="1" s="1"/>
  <c r="AH109" i="1"/>
  <c r="AD109" i="1" s="1"/>
  <c r="AH189" i="1"/>
  <c r="AD189" i="1" s="1"/>
  <c r="AH171" i="1"/>
  <c r="AD171" i="1" s="1"/>
  <c r="AH728" i="1"/>
  <c r="AD728" i="1" s="1"/>
  <c r="AH456" i="1"/>
  <c r="AD456" i="1" s="1"/>
  <c r="AH474" i="1"/>
  <c r="AD474" i="1" s="1"/>
  <c r="E521" i="1"/>
  <c r="F521" i="1" s="1"/>
  <c r="C521" i="1"/>
  <c r="D521" i="1" s="1"/>
  <c r="H521" i="1"/>
  <c r="AH521" i="1" a="1"/>
  <c r="AI521" i="1" a="1"/>
  <c r="AI521" i="1" l="1"/>
  <c r="AB521" i="1" s="1"/>
  <c r="AH521" i="1"/>
  <c r="AD521" i="1" s="1"/>
  <c r="Q468" i="1"/>
  <c r="AF468" i="1"/>
  <c r="Z468" i="1"/>
  <c r="E468" i="1" l="1"/>
  <c r="F468" i="1" s="1"/>
  <c r="C468" i="1"/>
  <c r="D468" i="1" s="1"/>
  <c r="H468" i="1"/>
  <c r="Q516" i="1"/>
  <c r="AF516" i="1"/>
  <c r="AI468" i="1" a="1"/>
  <c r="Z516" i="1"/>
  <c r="AH468" i="1" a="1"/>
  <c r="AI468" i="1" l="1"/>
  <c r="AB468" i="1" s="1"/>
  <c r="AH468" i="1"/>
  <c r="AD468" i="1" s="1"/>
  <c r="E516" i="1"/>
  <c r="F516" i="1" s="1"/>
  <c r="C516" i="1"/>
  <c r="D516" i="1" s="1"/>
  <c r="H516" i="1"/>
  <c r="AF466" i="1"/>
  <c r="AI516" i="1" a="1"/>
  <c r="AH516" i="1" a="1"/>
  <c r="AI516" i="1" l="1"/>
  <c r="AB516" i="1" s="1"/>
  <c r="AH516" i="1"/>
  <c r="AD516" i="1" s="1"/>
  <c r="AC272" i="1"/>
  <c r="AC268" i="1"/>
  <c r="AI466" i="1" a="1"/>
  <c r="AH466" i="1" a="1"/>
  <c r="AH466" i="1" l="1"/>
  <c r="AD466" i="1" s="1"/>
  <c r="AI466" i="1"/>
  <c r="AB466" i="1" s="1"/>
  <c r="AC105" i="1"/>
  <c r="AE105" i="1"/>
  <c r="AC283" i="1"/>
  <c r="AE283" i="1"/>
  <c r="AE147" i="1"/>
  <c r="AC147" i="1"/>
  <c r="AE284" i="1"/>
  <c r="AC284" i="1"/>
  <c r="AC111" i="1"/>
  <c r="AE111" i="1"/>
  <c r="AE116" i="1"/>
  <c r="AC116" i="1"/>
  <c r="AE110" i="1"/>
  <c r="AC110" i="1"/>
  <c r="AE114" i="1"/>
  <c r="AC114" i="1"/>
  <c r="AC113" i="1"/>
  <c r="AE113" i="1"/>
  <c r="AE706" i="1"/>
  <c r="AC706" i="1"/>
  <c r="AC112" i="1"/>
  <c r="AE112" i="1"/>
  <c r="AC109" i="1"/>
  <c r="AE109" i="1"/>
  <c r="AC678" i="1"/>
  <c r="AE678" i="1"/>
  <c r="AE680" i="1"/>
  <c r="AC680" i="1"/>
  <c r="AE190" i="1"/>
  <c r="AC190" i="1"/>
  <c r="AE191" i="1"/>
  <c r="AC191" i="1"/>
  <c r="AE189" i="1"/>
  <c r="AC189" i="1"/>
  <c r="AC175" i="1"/>
  <c r="AE175" i="1"/>
  <c r="AC429" i="1"/>
  <c r="AE429" i="1"/>
  <c r="AC431" i="1"/>
  <c r="AE431" i="1"/>
  <c r="AC430" i="1"/>
  <c r="AE430" i="1"/>
  <c r="AC428" i="1"/>
  <c r="AE428" i="1"/>
  <c r="AC433" i="1"/>
  <c r="AE433" i="1"/>
  <c r="AC269" i="1"/>
  <c r="AE269" i="1"/>
  <c r="AC423" i="1"/>
  <c r="AE423" i="1"/>
  <c r="AC425" i="1"/>
  <c r="AE425" i="1"/>
  <c r="AE424" i="1"/>
  <c r="AC424" i="1"/>
  <c r="AE426" i="1"/>
  <c r="AC426" i="1"/>
  <c r="AC434" i="1"/>
  <c r="AE434" i="1"/>
  <c r="AC79" i="1"/>
  <c r="AE79" i="1"/>
  <c r="AC728" i="1"/>
  <c r="AE728" i="1"/>
  <c r="AE78" i="1"/>
  <c r="AC78" i="1"/>
  <c r="AE144" i="1"/>
  <c r="AC144" i="1"/>
  <c r="AE738" i="1"/>
  <c r="AC738" i="1"/>
  <c r="AE77" i="1"/>
  <c r="AC77" i="1"/>
  <c r="AC188" i="1"/>
  <c r="AE188" i="1"/>
  <c r="AC723" i="1"/>
  <c r="AE723" i="1"/>
  <c r="AC724" i="1"/>
  <c r="AE724" i="1"/>
  <c r="AE86" i="1"/>
  <c r="AC86" i="1"/>
  <c r="AE272" i="1"/>
  <c r="AC276" i="1"/>
  <c r="AE276" i="1"/>
  <c r="AC718" i="1"/>
  <c r="AE718" i="1"/>
  <c r="AC713" i="1"/>
  <c r="AE713" i="1"/>
  <c r="AC290" i="1"/>
  <c r="AE290" i="1"/>
  <c r="AC182" i="1"/>
  <c r="AE182" i="1"/>
  <c r="AE177" i="1"/>
  <c r="AC177" i="1"/>
  <c r="AE274" i="1"/>
  <c r="AC274" i="1"/>
  <c r="AC181" i="1"/>
  <c r="AE181" i="1"/>
  <c r="AE172" i="1"/>
  <c r="AC172" i="1"/>
  <c r="AE173" i="1"/>
  <c r="AC173" i="1"/>
  <c r="AE174" i="1"/>
  <c r="AC174" i="1"/>
  <c r="AC176" i="1"/>
  <c r="AE176" i="1"/>
  <c r="AE178" i="1"/>
  <c r="AC178" i="1"/>
  <c r="AC179" i="1"/>
  <c r="AE179" i="1"/>
  <c r="AE180" i="1"/>
  <c r="AC180" i="1"/>
  <c r="AE268" i="1"/>
  <c r="AC58" i="1"/>
  <c r="AE58" i="1"/>
  <c r="AE64" i="1"/>
  <c r="AC64" i="1"/>
  <c r="AC65" i="1"/>
  <c r="AE65" i="1"/>
  <c r="AC107" i="1"/>
  <c r="AE107" i="1"/>
  <c r="AE68" i="1"/>
  <c r="AC68" i="1"/>
  <c r="AC70" i="1"/>
  <c r="AE70" i="1"/>
  <c r="AC71" i="1"/>
  <c r="AE71" i="1"/>
  <c r="AE73" i="1"/>
  <c r="AC73" i="1"/>
  <c r="AE76" i="1"/>
  <c r="AC76" i="1"/>
  <c r="AE75" i="1"/>
  <c r="AC711" i="1"/>
  <c r="AE711" i="1"/>
  <c r="AE318" i="1"/>
  <c r="AC318" i="1"/>
  <c r="AE357" i="1"/>
  <c r="AC357" i="1"/>
  <c r="AE353" i="1"/>
  <c r="AC353" i="1"/>
  <c r="AC349" i="1"/>
  <c r="AE349" i="1"/>
  <c r="AC363" i="1"/>
  <c r="AE363" i="1"/>
  <c r="AE288" i="1"/>
  <c r="AC288" i="1"/>
  <c r="AE286" i="1"/>
  <c r="AC286" i="1"/>
  <c r="AE444" i="1"/>
  <c r="AC444" i="1"/>
  <c r="AE142" i="1"/>
  <c r="AC142" i="1"/>
  <c r="AC167" i="1"/>
  <c r="AE167" i="1"/>
  <c r="AE169" i="1"/>
  <c r="AC169" i="1"/>
  <c r="AE736" i="1"/>
  <c r="AC736" i="1"/>
  <c r="AE731" i="1"/>
  <c r="AC731" i="1"/>
  <c r="AE168" i="1"/>
  <c r="AC168" i="1"/>
  <c r="AE721" i="1"/>
  <c r="AC721" i="1"/>
  <c r="AE171" i="1"/>
  <c r="AC171" i="1"/>
  <c r="AE726" i="1"/>
  <c r="AC726" i="1"/>
  <c r="AE157" i="1"/>
  <c r="AC157" i="1"/>
  <c r="AC513" i="1"/>
  <c r="AC541" i="1"/>
  <c r="AC452" i="1"/>
  <c r="AC448" i="1"/>
  <c r="AC511" i="1"/>
  <c r="AC457" i="1"/>
  <c r="AC475" i="1"/>
  <c r="AC368" i="1"/>
  <c r="AC510" i="1"/>
  <c r="AC383" i="1"/>
  <c r="AE383" i="1"/>
  <c r="AE384" i="1"/>
  <c r="AC384" i="1"/>
  <c r="AC385" i="1"/>
  <c r="AE385" i="1"/>
  <c r="AC294" i="1"/>
  <c r="AE294" i="1"/>
  <c r="AC295" i="1"/>
  <c r="AE295" i="1"/>
  <c r="AC297" i="1"/>
  <c r="AE297" i="1"/>
  <c r="AC287" i="1"/>
  <c r="AE287" i="1"/>
  <c r="AE289" i="1"/>
  <c r="AC289" i="1"/>
  <c r="AC312" i="1"/>
  <c r="AE312" i="1"/>
  <c r="AE305" i="1"/>
  <c r="AC305" i="1"/>
  <c r="AC308" i="1"/>
  <c r="AE308" i="1"/>
  <c r="AE310" i="1"/>
  <c r="AC310" i="1"/>
  <c r="AE314" i="1"/>
  <c r="AC314" i="1"/>
  <c r="AC443" i="1"/>
  <c r="AE443" i="1"/>
  <c r="AC322" i="1"/>
  <c r="AE322" i="1"/>
  <c r="AC326" i="1"/>
  <c r="AE326" i="1"/>
  <c r="AC324" i="1"/>
  <c r="AE324" i="1"/>
  <c r="AE327" i="1"/>
  <c r="AC327" i="1"/>
  <c r="AE347" i="1"/>
  <c r="AC347" i="1"/>
  <c r="AE303" i="1"/>
  <c r="AC303" i="1"/>
  <c r="AC386" i="1"/>
  <c r="AE386" i="1"/>
  <c r="AC270" i="1"/>
  <c r="AE270" i="1"/>
  <c r="AE422" i="1"/>
  <c r="AC422" i="1"/>
  <c r="AE271" i="1"/>
  <c r="AC271" i="1"/>
  <c r="AC282" i="1"/>
  <c r="AE282" i="1"/>
  <c r="AE285" i="1"/>
  <c r="AC285" i="1"/>
  <c r="AC438" i="1"/>
  <c r="AE438" i="1"/>
  <c r="AE437" i="1"/>
  <c r="AC437" i="1"/>
  <c r="AC436" i="1"/>
  <c r="AE436" i="1"/>
  <c r="AC442" i="1"/>
  <c r="AE442" i="1"/>
  <c r="AE441" i="1"/>
  <c r="AC441" i="1"/>
  <c r="AC440" i="1"/>
  <c r="AE440" i="1"/>
  <c r="AC439" i="1"/>
  <c r="AE439" i="1"/>
  <c r="AE394" i="1"/>
  <c r="AC394" i="1"/>
  <c r="AC395" i="1"/>
  <c r="AE395" i="1"/>
  <c r="AC419" i="1"/>
  <c r="AE419" i="1"/>
  <c r="AC42" i="1"/>
  <c r="AE42" i="1"/>
  <c r="AC402" i="1"/>
  <c r="AE402" i="1"/>
  <c r="AC404" i="1"/>
  <c r="AE404" i="1"/>
  <c r="AE389" i="1"/>
  <c r="AC389" i="1"/>
  <c r="AE524" i="1" l="1"/>
  <c r="AC516" i="1"/>
  <c r="AE516" i="1"/>
  <c r="AC521" i="1"/>
  <c r="AE521" i="1"/>
  <c r="AE520" i="1"/>
  <c r="AC520" i="1"/>
  <c r="AE448" i="1"/>
  <c r="AE541" i="1"/>
  <c r="AE513" i="1"/>
  <c r="AE511" i="1"/>
  <c r="AC446" i="1"/>
  <c r="AE446" i="1"/>
  <c r="AE451" i="1"/>
  <c r="AC451" i="1"/>
  <c r="AC449" i="1"/>
  <c r="AE449" i="1"/>
  <c r="AE447" i="1"/>
  <c r="AC447" i="1"/>
  <c r="AC505" i="1"/>
  <c r="AE505" i="1"/>
  <c r="AE460" i="1"/>
  <c r="AC460" i="1"/>
  <c r="AC458" i="1"/>
  <c r="AE458" i="1"/>
  <c r="AE538" i="1"/>
  <c r="AC538" i="1"/>
  <c r="AC453" i="1"/>
  <c r="AE453" i="1"/>
  <c r="AE450" i="1"/>
  <c r="AC450" i="1"/>
  <c r="AC508" i="1"/>
  <c r="AE508" i="1"/>
  <c r="AE456" i="1"/>
  <c r="AC456" i="1"/>
  <c r="AC515" i="1"/>
  <c r="AE515" i="1"/>
  <c r="AE542" i="1"/>
  <c r="AC542" i="1"/>
  <c r="AC514" i="1"/>
  <c r="AE514" i="1"/>
  <c r="AC512" i="1"/>
  <c r="AE512" i="1"/>
  <c r="AE543" i="1"/>
  <c r="AC543" i="1"/>
  <c r="AE452" i="1"/>
  <c r="AE368" i="1"/>
  <c r="AC549" i="1"/>
  <c r="AE549" i="1"/>
  <c r="AC507" i="1"/>
  <c r="AE507" i="1"/>
  <c r="AE475" i="1"/>
  <c r="AE457" i="1"/>
  <c r="AE499" i="1"/>
  <c r="AE510" i="1"/>
  <c r="AE455" i="1"/>
  <c r="AC455" i="1"/>
  <c r="AE454" i="1"/>
  <c r="AC454" i="1"/>
  <c r="AE459" i="1"/>
  <c r="AC459" i="1"/>
  <c r="AC499" i="1"/>
  <c r="AC366" i="1"/>
  <c r="AE366" i="1"/>
  <c r="AE467" i="1"/>
  <c r="AC467" i="1"/>
  <c r="AE487" i="1"/>
  <c r="AC487" i="1"/>
  <c r="AE476" i="1"/>
  <c r="AC476" i="1"/>
  <c r="AC485" i="1"/>
  <c r="AE485" i="1"/>
  <c r="AC466" i="1"/>
  <c r="AE466" i="1"/>
  <c r="AC483" i="1"/>
  <c r="AE483" i="1"/>
  <c r="AC488" i="1"/>
  <c r="AE488" i="1"/>
  <c r="AE474" i="1"/>
  <c r="AC474" i="1"/>
  <c r="AC468" i="1"/>
  <c r="AE468" i="1"/>
  <c r="Q548" i="1" l="1"/>
  <c r="AF548" i="1"/>
  <c r="Q550" i="1"/>
  <c r="AF550" i="1"/>
  <c r="Q500" i="1"/>
  <c r="AF500" i="1"/>
  <c r="Z550" i="1"/>
  <c r="Z548" i="1"/>
  <c r="Z500" i="1"/>
  <c r="E500" i="1" l="1"/>
  <c r="F500" i="1" s="1"/>
  <c r="C500" i="1"/>
  <c r="D500" i="1" s="1"/>
  <c r="E550" i="1"/>
  <c r="F550" i="1" s="1"/>
  <c r="C550" i="1"/>
  <c r="D550" i="1" s="1"/>
  <c r="E548" i="1"/>
  <c r="F548" i="1" s="1"/>
  <c r="C548" i="1"/>
  <c r="D548" i="1" s="1"/>
  <c r="H550" i="1"/>
  <c r="H500" i="1"/>
  <c r="H548" i="1"/>
  <c r="Q506" i="1"/>
  <c r="AF506" i="1"/>
  <c r="Q496" i="1"/>
  <c r="AF496" i="1"/>
  <c r="Q497" i="1"/>
  <c r="AF497" i="1"/>
  <c r="AH548" i="1" a="1"/>
  <c r="Z496" i="1"/>
  <c r="Z497" i="1"/>
  <c r="AI550" i="1" a="1"/>
  <c r="Z506" i="1"/>
  <c r="AI500" i="1" a="1"/>
  <c r="AH500" i="1" a="1"/>
  <c r="AI548" i="1" a="1"/>
  <c r="AH550" i="1" a="1"/>
  <c r="AH550" i="1" l="1"/>
  <c r="AD550" i="1" s="1"/>
  <c r="AH548" i="1"/>
  <c r="AD548" i="1" s="1"/>
  <c r="AI500" i="1"/>
  <c r="AB500" i="1" s="1"/>
  <c r="AI548" i="1"/>
  <c r="AB548" i="1" s="1"/>
  <c r="AH500" i="1"/>
  <c r="AD500" i="1" s="1"/>
  <c r="AI550" i="1"/>
  <c r="AB550" i="1" s="1"/>
  <c r="E506" i="1"/>
  <c r="F506" i="1" s="1"/>
  <c r="C506" i="1"/>
  <c r="D506" i="1" s="1"/>
  <c r="E497" i="1"/>
  <c r="F497" i="1" s="1"/>
  <c r="C497" i="1"/>
  <c r="D497" i="1" s="1"/>
  <c r="E496" i="1"/>
  <c r="F496" i="1" s="1"/>
  <c r="C496" i="1"/>
  <c r="D496" i="1" s="1"/>
  <c r="H506" i="1"/>
  <c r="H497" i="1"/>
  <c r="H496" i="1"/>
  <c r="L5" i="1"/>
  <c r="K5" i="1" s="1"/>
  <c r="AH496" i="1" a="1"/>
  <c r="AH497" i="1" a="1"/>
  <c r="AI496" i="1" a="1"/>
  <c r="AI497" i="1" a="1"/>
  <c r="AI506" i="1" a="1"/>
  <c r="AH506" i="1" a="1"/>
  <c r="AI506" i="1" l="1"/>
  <c r="AB506" i="1" s="1"/>
  <c r="AI497" i="1"/>
  <c r="AB497" i="1" s="1"/>
  <c r="AH506" i="1"/>
  <c r="AD506" i="1" s="1"/>
  <c r="AI496" i="1"/>
  <c r="AB496" i="1" s="1"/>
  <c r="AH497" i="1"/>
  <c r="AD497" i="1" s="1"/>
  <c r="AH496" i="1"/>
  <c r="AD496" i="1" s="1"/>
  <c r="AI19" i="8"/>
  <c r="AK19" i="8"/>
  <c r="AK18" i="8"/>
  <c r="AI18" i="8"/>
  <c r="AI16" i="8"/>
  <c r="AK16" i="8"/>
  <c r="AI14" i="8"/>
  <c r="AK14" i="8"/>
  <c r="AK23" i="8"/>
  <c r="AI23" i="8"/>
  <c r="AK12" i="8"/>
  <c r="AI12" i="8"/>
  <c r="AK6" i="8"/>
  <c r="AI6" i="8"/>
  <c r="AK17" i="8"/>
  <c r="AI17" i="8"/>
  <c r="AI51" i="8"/>
  <c r="AK51" i="8"/>
  <c r="AK56" i="8"/>
  <c r="AI56" i="8"/>
  <c r="AK49" i="8"/>
  <c r="AI49" i="8"/>
  <c r="AK11" i="8"/>
  <c r="AI11" i="8"/>
  <c r="AK53" i="8"/>
  <c r="AI53" i="8"/>
  <c r="AK13" i="8"/>
  <c r="AI13" i="8"/>
  <c r="AH16" i="8" l="1"/>
  <c r="AH53" i="8"/>
  <c r="AH18" i="8"/>
  <c r="AH11" i="8"/>
  <c r="AH13" i="8"/>
  <c r="AH19" i="8"/>
  <c r="AH49" i="8"/>
  <c r="AH12" i="8"/>
  <c r="AH17" i="8"/>
  <c r="AH6" i="8"/>
  <c r="AH56" i="8"/>
  <c r="AH23" i="8"/>
  <c r="AH51" i="8"/>
  <c r="AH14" i="8"/>
  <c r="AF544" i="1" l="1"/>
  <c r="Q544" i="1"/>
  <c r="AF545" i="1"/>
  <c r="Q545" i="1"/>
  <c r="AF472" i="1"/>
  <c r="Q472" i="1"/>
  <c r="AF490" i="1"/>
  <c r="Q490" i="1"/>
  <c r="AF539" i="1"/>
  <c r="Q539" i="1"/>
  <c r="AF540" i="1"/>
  <c r="Q540" i="1"/>
  <c r="Z540" i="1"/>
  <c r="Z539" i="1"/>
  <c r="Z545" i="1"/>
  <c r="Z490" i="1"/>
  <c r="Z472" i="1"/>
  <c r="Z544" i="1"/>
  <c r="E490" i="1" l="1"/>
  <c r="F490" i="1" s="1"/>
  <c r="C490" i="1"/>
  <c r="D490" i="1" s="1"/>
  <c r="E544" i="1"/>
  <c r="F544" i="1" s="1"/>
  <c r="C544" i="1"/>
  <c r="D544" i="1" s="1"/>
  <c r="E472" i="1"/>
  <c r="F472" i="1" s="1"/>
  <c r="C472" i="1"/>
  <c r="D472" i="1" s="1"/>
  <c r="E539" i="1"/>
  <c r="F539" i="1" s="1"/>
  <c r="C539" i="1"/>
  <c r="D539" i="1" s="1"/>
  <c r="E540" i="1"/>
  <c r="F540" i="1" s="1"/>
  <c r="C540" i="1"/>
  <c r="D540" i="1" s="1"/>
  <c r="E545" i="1"/>
  <c r="F545" i="1" s="1"/>
  <c r="C545" i="1"/>
  <c r="D545" i="1" s="1"/>
  <c r="H544" i="1"/>
  <c r="H490" i="1"/>
  <c r="H472" i="1"/>
  <c r="H540" i="1"/>
  <c r="H539" i="1"/>
  <c r="H545" i="1"/>
  <c r="AH544" i="1" a="1"/>
  <c r="AI544" i="1" a="1"/>
  <c r="AH545" i="1" a="1"/>
  <c r="AI545" i="1" a="1"/>
  <c r="AH490" i="1" a="1"/>
  <c r="AI490" i="1" a="1"/>
  <c r="AI540" i="1" a="1"/>
  <c r="AH539" i="1" a="1"/>
  <c r="AI539" i="1" a="1"/>
  <c r="AI472" i="1" a="1"/>
  <c r="AH472" i="1" a="1"/>
  <c r="AH540" i="1" a="1"/>
  <c r="AH545" i="1" l="1"/>
  <c r="AD545" i="1" s="1"/>
  <c r="AH539" i="1"/>
  <c r="AD539" i="1" s="1"/>
  <c r="AH472" i="1"/>
  <c r="AD472" i="1" s="1"/>
  <c r="AH544" i="1"/>
  <c r="AD544" i="1" s="1"/>
  <c r="AH540" i="1"/>
  <c r="AD540" i="1" s="1"/>
  <c r="AH490" i="1"/>
  <c r="AD490" i="1" s="1"/>
  <c r="AI540" i="1"/>
  <c r="AB540" i="1" s="1"/>
  <c r="AI490" i="1"/>
  <c r="AB490" i="1" s="1"/>
  <c r="AI539" i="1"/>
  <c r="AB539" i="1" s="1"/>
  <c r="AI544" i="1"/>
  <c r="AB544" i="1" s="1"/>
  <c r="AI545" i="1"/>
  <c r="AB545" i="1" s="1"/>
  <c r="AI472" i="1"/>
  <c r="AB472" i="1" s="1"/>
  <c r="Q531" i="1"/>
  <c r="AF531" i="1"/>
  <c r="Q532" i="1"/>
  <c r="AF532" i="1"/>
  <c r="Q533" i="1"/>
  <c r="AF533" i="1"/>
  <c r="Q534" i="1"/>
  <c r="AF534" i="1"/>
  <c r="Q535" i="1"/>
  <c r="AF535" i="1"/>
  <c r="Q529" i="1"/>
  <c r="AF529" i="1"/>
  <c r="Z531" i="1"/>
  <c r="Z532" i="1"/>
  <c r="Z535" i="1"/>
  <c r="Z533" i="1"/>
  <c r="Z529" i="1"/>
  <c r="Z534" i="1"/>
  <c r="E532" i="1" l="1"/>
  <c r="F532" i="1" s="1"/>
  <c r="C532" i="1"/>
  <c r="D532" i="1" s="1"/>
  <c r="E535" i="1"/>
  <c r="F535" i="1" s="1"/>
  <c r="C535" i="1"/>
  <c r="D535" i="1" s="1"/>
  <c r="E534" i="1"/>
  <c r="F534" i="1" s="1"/>
  <c r="C534" i="1"/>
  <c r="D534" i="1" s="1"/>
  <c r="E531" i="1"/>
  <c r="F531" i="1" s="1"/>
  <c r="C531" i="1"/>
  <c r="D531" i="1" s="1"/>
  <c r="E529" i="1"/>
  <c r="F529" i="1" s="1"/>
  <c r="C529" i="1"/>
  <c r="D529" i="1" s="1"/>
  <c r="E533" i="1"/>
  <c r="F533" i="1" s="1"/>
  <c r="C533" i="1"/>
  <c r="D533" i="1" s="1"/>
  <c r="H531" i="1"/>
  <c r="H532" i="1"/>
  <c r="H534" i="1"/>
  <c r="H533" i="1"/>
  <c r="H529" i="1"/>
  <c r="H535" i="1"/>
  <c r="AH529" i="1" a="1"/>
  <c r="AH532" i="1" a="1"/>
  <c r="AI533" i="1" a="1"/>
  <c r="AI529" i="1" a="1"/>
  <c r="AH534" i="1" a="1"/>
  <c r="AI532" i="1" a="1"/>
  <c r="AI535" i="1" a="1"/>
  <c r="AI534" i="1" a="1"/>
  <c r="AH535" i="1" a="1"/>
  <c r="AI531" i="1" a="1"/>
  <c r="AH531" i="1" a="1"/>
  <c r="AH533" i="1" a="1"/>
  <c r="AI531" i="1" l="1"/>
  <c r="AB531" i="1" s="1"/>
  <c r="AH535" i="1"/>
  <c r="AD535" i="1" s="1"/>
  <c r="AH531" i="1"/>
  <c r="AD531" i="1" s="1"/>
  <c r="AH529" i="1"/>
  <c r="AD529" i="1" s="1"/>
  <c r="AH533" i="1"/>
  <c r="AD533" i="1" s="1"/>
  <c r="AH534" i="1"/>
  <c r="AD534" i="1" s="1"/>
  <c r="AI534" i="1"/>
  <c r="AB534" i="1" s="1"/>
  <c r="AI532" i="1"/>
  <c r="AB532" i="1" s="1"/>
  <c r="AI535" i="1"/>
  <c r="AB535" i="1" s="1"/>
  <c r="AH532" i="1"/>
  <c r="AD532" i="1" s="1"/>
  <c r="AI529" i="1"/>
  <c r="AB529" i="1" s="1"/>
  <c r="AI533" i="1"/>
  <c r="AB533" i="1" s="1"/>
  <c r="Q465" i="1"/>
  <c r="AF465" i="1"/>
  <c r="Z465" i="1"/>
  <c r="E465" i="1" l="1"/>
  <c r="F465" i="1" s="1"/>
  <c r="C465" i="1"/>
  <c r="D465" i="1" s="1"/>
  <c r="H465" i="1"/>
  <c r="AH465" i="1" a="1"/>
  <c r="AI465" i="1" a="1"/>
  <c r="AI465" i="1" l="1"/>
  <c r="AB465" i="1" s="1"/>
  <c r="AH465" i="1"/>
  <c r="AD465" i="1" s="1"/>
  <c r="AF530" i="1"/>
  <c r="Q530" i="1"/>
  <c r="Z530" i="1"/>
  <c r="E530" i="1" l="1"/>
  <c r="F530" i="1" s="1"/>
  <c r="C530" i="1"/>
  <c r="D530" i="1" s="1"/>
  <c r="H530" i="1"/>
  <c r="AH530" i="1" a="1"/>
  <c r="AI530" i="1" a="1"/>
  <c r="AI530" i="1" l="1"/>
  <c r="AB530" i="1" s="1"/>
  <c r="AH530" i="1"/>
  <c r="AD530" i="1" s="1"/>
  <c r="AE544" i="1"/>
  <c r="AC544" i="1"/>
  <c r="AC545" i="1"/>
  <c r="AE545" i="1"/>
  <c r="AE539" i="1"/>
  <c r="AC539" i="1"/>
  <c r="AC540" i="1"/>
  <c r="AE540" i="1"/>
  <c r="AE529" i="1"/>
  <c r="AC529" i="1"/>
  <c r="AE532" i="1"/>
  <c r="AC532" i="1"/>
  <c r="AC533" i="1"/>
  <c r="AE533" i="1"/>
  <c r="AC534" i="1"/>
  <c r="AE534" i="1"/>
  <c r="AC535" i="1"/>
  <c r="AE535" i="1"/>
  <c r="AC531" i="1"/>
  <c r="AE531" i="1"/>
  <c r="Q470" i="1" l="1"/>
  <c r="AF470" i="1"/>
  <c r="Q471" i="1"/>
  <c r="AF471" i="1"/>
  <c r="Z471" i="1"/>
  <c r="Z470" i="1"/>
  <c r="E470" i="1" l="1"/>
  <c r="F470" i="1" s="1"/>
  <c r="C470" i="1"/>
  <c r="D470" i="1" s="1"/>
  <c r="E471" i="1"/>
  <c r="F471" i="1" s="1"/>
  <c r="C471" i="1"/>
  <c r="D471" i="1" s="1"/>
  <c r="H471" i="1"/>
  <c r="H470" i="1"/>
  <c r="Z84" i="1"/>
  <c r="Z51" i="1"/>
  <c r="Z421" i="1"/>
  <c r="Z53" i="1"/>
  <c r="Z503" i="1"/>
  <c r="Z369" i="1"/>
  <c r="Z509" i="1"/>
  <c r="Z80" i="1"/>
  <c r="Z354" i="1"/>
  <c r="Z46" i="1"/>
  <c r="Z374" i="1"/>
  <c r="Z557" i="1"/>
  <c r="Z396" i="1"/>
  <c r="Z464" i="1"/>
  <c r="Z398" i="1"/>
  <c r="Z348" i="1"/>
  <c r="Z445" i="1"/>
  <c r="Z406" i="1"/>
  <c r="Z420" i="1"/>
  <c r="Z37" i="1"/>
  <c r="Z501" i="1"/>
  <c r="Z489" i="1"/>
  <c r="Z381" i="1"/>
  <c r="AI470" i="1" a="1"/>
  <c r="Z81" i="1"/>
  <c r="Z262" i="1"/>
  <c r="Z373" i="1"/>
  <c r="Z556" i="1"/>
  <c r="Z393" i="1"/>
  <c r="Z362" i="1"/>
  <c r="Z56" i="1"/>
  <c r="Z32" i="1"/>
  <c r="Z415" i="1"/>
  <c r="Z382" i="1"/>
  <c r="Z18" i="1"/>
  <c r="Z351" i="1"/>
  <c r="Z377" i="1"/>
  <c r="Z379" i="1"/>
  <c r="Z417" i="1"/>
  <c r="Z555" i="1"/>
  <c r="Z409" i="1"/>
  <c r="AH470" i="1" a="1"/>
  <c r="Z414" i="1"/>
  <c r="Z94" i="1"/>
  <c r="Z526" i="1"/>
  <c r="Z30" i="1"/>
  <c r="Z400" i="1"/>
  <c r="Z45" i="1"/>
  <c r="Z408" i="1"/>
  <c r="Z463" i="1"/>
  <c r="Z469" i="1"/>
  <c r="Z372" i="1"/>
  <c r="Z390" i="1"/>
  <c r="Z358" i="1"/>
  <c r="Z410" i="1"/>
  <c r="Z27" i="1"/>
  <c r="Z7" i="1"/>
  <c r="Z350" i="1"/>
  <c r="Z518" i="1"/>
  <c r="Z90" i="1"/>
  <c r="Z52" i="1"/>
  <c r="Z495" i="1"/>
  <c r="Z108" i="1"/>
  <c r="Z536" i="1"/>
  <c r="Z364" i="1"/>
  <c r="Z546" i="1"/>
  <c r="Z264" i="1"/>
  <c r="Z492" i="1"/>
  <c r="Z554" i="1"/>
  <c r="Z20" i="1"/>
  <c r="Z461" i="1"/>
  <c r="Z26" i="1"/>
  <c r="Z378" i="1"/>
  <c r="Z552" i="1"/>
  <c r="Z473" i="1"/>
  <c r="Z387" i="1"/>
  <c r="Z418" i="1"/>
  <c r="Z494" i="1"/>
  <c r="Z375" i="1"/>
  <c r="Z528" i="1"/>
  <c r="Z416" i="1"/>
  <c r="Z551" i="1"/>
  <c r="Z380" i="1"/>
  <c r="Z553" i="1"/>
  <c r="Z527" i="1"/>
  <c r="Z412" i="1"/>
  <c r="Z547" i="1"/>
  <c r="Z523" i="1"/>
  <c r="Z360" i="1"/>
  <c r="Z266" i="1"/>
  <c r="Z83" i="1"/>
  <c r="Z519" i="1"/>
  <c r="Z376" i="1"/>
  <c r="Z684" i="1"/>
  <c r="Z370" i="1"/>
  <c r="Z356" i="1"/>
  <c r="Z23" i="1"/>
  <c r="Z537" i="1"/>
  <c r="Z405" i="1"/>
  <c r="Z493" i="1"/>
  <c r="Z525" i="1"/>
  <c r="Z392" i="1"/>
  <c r="Z558" i="1"/>
  <c r="Z13" i="1"/>
  <c r="Z35" i="1"/>
  <c r="Z399" i="1"/>
  <c r="Z491" i="1"/>
  <c r="Z388" i="1"/>
  <c r="Z407" i="1"/>
  <c r="Z22" i="1"/>
  <c r="Z462" i="1"/>
  <c r="Z55" i="1"/>
  <c r="Z57" i="1"/>
  <c r="Z403" i="1"/>
  <c r="Z11" i="1"/>
  <c r="Z15" i="1"/>
  <c r="Z89" i="1"/>
  <c r="Z391" i="1"/>
  <c r="Z359" i="1"/>
  <c r="Z411" i="1"/>
  <c r="Z504" i="1"/>
  <c r="Z413" i="1"/>
  <c r="Z9" i="1"/>
  <c r="Z522" i="1"/>
  <c r="Z355" i="1"/>
  <c r="Z54" i="1"/>
  <c r="Z498" i="1"/>
  <c r="AH471" i="1" a="1"/>
  <c r="Z397" i="1"/>
  <c r="AI471" i="1" a="1"/>
  <c r="Z517" i="1"/>
  <c r="Z33" i="1"/>
  <c r="AI470" i="1" l="1"/>
  <c r="AB470" i="1" s="1"/>
  <c r="AI471" i="1"/>
  <c r="AB471" i="1" s="1"/>
  <c r="AH470" i="1"/>
  <c r="AD470" i="1" s="1"/>
  <c r="AH471" i="1"/>
  <c r="AD471" i="1" s="1"/>
  <c r="Q525" i="1"/>
  <c r="E525" i="1" l="1"/>
  <c r="F525" i="1" s="1"/>
  <c r="C525" i="1"/>
  <c r="D525" i="1" s="1"/>
  <c r="H525" i="1"/>
  <c r="AF525" i="1"/>
  <c r="Q380" i="1" l="1"/>
  <c r="Q528" i="1"/>
  <c r="AH525" i="1" a="1"/>
  <c r="AI525" i="1" a="1"/>
  <c r="AI525" i="1" l="1"/>
  <c r="AB525" i="1" s="1"/>
  <c r="AH525" i="1"/>
  <c r="AD525" i="1" s="1"/>
  <c r="C528" i="1"/>
  <c r="D528" i="1" s="1"/>
  <c r="E528" i="1"/>
  <c r="F528" i="1" s="1"/>
  <c r="E380" i="1"/>
  <c r="F380" i="1" s="1"/>
  <c r="C380" i="1"/>
  <c r="D380" i="1" s="1"/>
  <c r="H528" i="1"/>
  <c r="H380" i="1"/>
  <c r="AF528" i="1"/>
  <c r="AF469" i="1" l="1"/>
  <c r="Q469" i="1"/>
  <c r="AH528" i="1" a="1"/>
  <c r="AI528" i="1" a="1"/>
  <c r="AI528" i="1" l="1"/>
  <c r="AB528" i="1" s="1"/>
  <c r="AH528" i="1"/>
  <c r="AD528" i="1" s="1"/>
  <c r="E469" i="1"/>
  <c r="F469" i="1" s="1"/>
  <c r="C469" i="1"/>
  <c r="D469" i="1" s="1"/>
  <c r="H469" i="1"/>
  <c r="Q527" i="1"/>
  <c r="Q526" i="1"/>
  <c r="AH469" i="1" a="1"/>
  <c r="AI469" i="1" a="1"/>
  <c r="AH469" i="1" l="1"/>
  <c r="AD469" i="1" s="1"/>
  <c r="AI469" i="1"/>
  <c r="AB469" i="1" s="1"/>
  <c r="E527" i="1"/>
  <c r="F527" i="1" s="1"/>
  <c r="C527" i="1"/>
  <c r="D527" i="1" s="1"/>
  <c r="E526" i="1"/>
  <c r="F526" i="1" s="1"/>
  <c r="C526" i="1"/>
  <c r="D526" i="1" s="1"/>
  <c r="H526" i="1"/>
  <c r="H527" i="1"/>
  <c r="AF527" i="1"/>
  <c r="AF526" i="1"/>
  <c r="Q503" i="1" l="1"/>
  <c r="AF501" i="1"/>
  <c r="AF504" i="1"/>
  <c r="Q504" i="1"/>
  <c r="Q501" i="1"/>
  <c r="AH526" i="1" a="1"/>
  <c r="AI526" i="1" a="1"/>
  <c r="AH527" i="1" a="1"/>
  <c r="AI527" i="1" a="1"/>
  <c r="AI526" i="1" l="1"/>
  <c r="AB526" i="1" s="1"/>
  <c r="AH526" i="1"/>
  <c r="AD526" i="1" s="1"/>
  <c r="AI527" i="1"/>
  <c r="AB527" i="1" s="1"/>
  <c r="AH527" i="1"/>
  <c r="AD527" i="1" s="1"/>
  <c r="E501" i="1"/>
  <c r="F501" i="1" s="1"/>
  <c r="C501" i="1"/>
  <c r="D501" i="1" s="1"/>
  <c r="E504" i="1"/>
  <c r="F504" i="1" s="1"/>
  <c r="C504" i="1"/>
  <c r="D504" i="1" s="1"/>
  <c r="E503" i="1"/>
  <c r="F503" i="1" s="1"/>
  <c r="C503" i="1"/>
  <c r="D503" i="1" s="1"/>
  <c r="H503" i="1"/>
  <c r="H504" i="1"/>
  <c r="H501" i="1"/>
  <c r="AF503" i="1"/>
  <c r="AH504" i="1" a="1"/>
  <c r="AH501" i="1" a="1"/>
  <c r="AI504" i="1" a="1"/>
  <c r="AI501" i="1" a="1"/>
  <c r="AI501" i="1" l="1"/>
  <c r="AB501" i="1" s="1"/>
  <c r="AI504" i="1"/>
  <c r="AB504" i="1" s="1"/>
  <c r="AH501" i="1"/>
  <c r="AD501" i="1" s="1"/>
  <c r="AH504" i="1"/>
  <c r="AD504" i="1" s="1"/>
  <c r="AI503" i="1" a="1"/>
  <c r="AH503" i="1" a="1"/>
  <c r="AH503" i="1" l="1"/>
  <c r="AD503" i="1" s="1"/>
  <c r="AI503" i="1"/>
  <c r="AB503" i="1" s="1"/>
  <c r="Q557" i="1"/>
  <c r="Q556" i="1"/>
  <c r="Q555" i="1"/>
  <c r="Q554" i="1"/>
  <c r="Q553" i="1"/>
  <c r="Q552" i="1"/>
  <c r="E553" i="1" l="1"/>
  <c r="F553" i="1" s="1"/>
  <c r="C553" i="1"/>
  <c r="D553" i="1" s="1"/>
  <c r="E552" i="1"/>
  <c r="F552" i="1" s="1"/>
  <c r="C552" i="1"/>
  <c r="D552" i="1" s="1"/>
  <c r="E555" i="1"/>
  <c r="F555" i="1" s="1"/>
  <c r="C555" i="1"/>
  <c r="D555" i="1" s="1"/>
  <c r="E554" i="1"/>
  <c r="F554" i="1" s="1"/>
  <c r="C554" i="1"/>
  <c r="D554" i="1" s="1"/>
  <c r="E557" i="1"/>
  <c r="F557" i="1" s="1"/>
  <c r="C557" i="1"/>
  <c r="D557" i="1" s="1"/>
  <c r="E684" i="1"/>
  <c r="F684" i="1" s="1"/>
  <c r="C684" i="1"/>
  <c r="D684" i="1" s="1"/>
  <c r="E556" i="1"/>
  <c r="F556" i="1" s="1"/>
  <c r="C556" i="1"/>
  <c r="D556" i="1" s="1"/>
  <c r="H554" i="1"/>
  <c r="H555" i="1"/>
  <c r="H684" i="1"/>
  <c r="H556" i="1"/>
  <c r="H557" i="1"/>
  <c r="H552" i="1"/>
  <c r="H553" i="1"/>
  <c r="AF554" i="1"/>
  <c r="AF557" i="1"/>
  <c r="AF684" i="1"/>
  <c r="AF552" i="1"/>
  <c r="AF555" i="1"/>
  <c r="AF553" i="1"/>
  <c r="AF556" i="1"/>
  <c r="Q393" i="1" l="1"/>
  <c r="AI684" i="1" a="1"/>
  <c r="AH552" i="1" a="1"/>
  <c r="AH554" i="1" a="1"/>
  <c r="AI557" i="1" a="1"/>
  <c r="AI554" i="1" a="1"/>
  <c r="AH553" i="1" a="1"/>
  <c r="AI556" i="1" a="1"/>
  <c r="AH555" i="1" a="1"/>
  <c r="AH557" i="1" a="1"/>
  <c r="AI553" i="1" a="1"/>
  <c r="AI552" i="1" a="1"/>
  <c r="AH556" i="1" a="1"/>
  <c r="AH684" i="1" a="1"/>
  <c r="AI555" i="1" a="1"/>
  <c r="AI556" i="1" l="1"/>
  <c r="AB556" i="1" s="1"/>
  <c r="AH552" i="1"/>
  <c r="AD552" i="1" s="1"/>
  <c r="AI557" i="1"/>
  <c r="AB557" i="1" s="1"/>
  <c r="AI552" i="1"/>
  <c r="AB552" i="1" s="1"/>
  <c r="AI684" i="1"/>
  <c r="AB684" i="1" s="1"/>
  <c r="AI555" i="1"/>
  <c r="AB555" i="1" s="1"/>
  <c r="AH684" i="1"/>
  <c r="AD684" i="1" s="1"/>
  <c r="AH555" i="1"/>
  <c r="AD555" i="1" s="1"/>
  <c r="AH556" i="1"/>
  <c r="AD556" i="1" s="1"/>
  <c r="AH557" i="1"/>
  <c r="AD557" i="1" s="1"/>
  <c r="AI554" i="1"/>
  <c r="AB554" i="1" s="1"/>
  <c r="AH554" i="1"/>
  <c r="AD554" i="1" s="1"/>
  <c r="AI553" i="1"/>
  <c r="AB553" i="1" s="1"/>
  <c r="AH553" i="1"/>
  <c r="AD553" i="1" s="1"/>
  <c r="E393" i="1"/>
  <c r="F393" i="1" s="1"/>
  <c r="C393" i="1"/>
  <c r="D393" i="1" s="1"/>
  <c r="H393" i="1"/>
  <c r="Q377" i="1"/>
  <c r="Q379" i="1"/>
  <c r="Q378" i="1"/>
  <c r="Q409" i="1"/>
  <c r="Q410" i="1"/>
  <c r="E379" i="1" l="1"/>
  <c r="F379" i="1" s="1"/>
  <c r="C379" i="1"/>
  <c r="D379" i="1" s="1"/>
  <c r="E378" i="1"/>
  <c r="F378" i="1" s="1"/>
  <c r="C378" i="1"/>
  <c r="D378" i="1" s="1"/>
  <c r="E410" i="1"/>
  <c r="F410" i="1" s="1"/>
  <c r="C410" i="1"/>
  <c r="D410" i="1" s="1"/>
  <c r="E377" i="1"/>
  <c r="F377" i="1" s="1"/>
  <c r="C377" i="1"/>
  <c r="D377" i="1" s="1"/>
  <c r="E409" i="1"/>
  <c r="F409" i="1" s="1"/>
  <c r="C409" i="1"/>
  <c r="D409" i="1" s="1"/>
  <c r="H378" i="1"/>
  <c r="H379" i="1"/>
  <c r="H410" i="1"/>
  <c r="H377" i="1"/>
  <c r="H409" i="1"/>
  <c r="AF377" i="1"/>
  <c r="AF410" i="1"/>
  <c r="AF409" i="1"/>
  <c r="AF378" i="1"/>
  <c r="AF379" i="1"/>
  <c r="AF9" i="1" l="1"/>
  <c r="Q9" i="1"/>
  <c r="AH410" i="1" a="1"/>
  <c r="AI379" i="1" a="1"/>
  <c r="AH378" i="1" a="1"/>
  <c r="AI377" i="1" a="1"/>
  <c r="AH377" i="1" a="1"/>
  <c r="AI410" i="1" a="1"/>
  <c r="AI378" i="1" a="1"/>
  <c r="AH379" i="1" a="1"/>
  <c r="AI409" i="1" a="1"/>
  <c r="AH409" i="1" a="1"/>
  <c r="AI379" i="1" l="1"/>
  <c r="AB379" i="1" s="1"/>
  <c r="AI378" i="1"/>
  <c r="AB378" i="1" s="1"/>
  <c r="AI410" i="1"/>
  <c r="AB410" i="1" s="1"/>
  <c r="AH379" i="1"/>
  <c r="AD379" i="1" s="1"/>
  <c r="AH377" i="1"/>
  <c r="AD377" i="1" s="1"/>
  <c r="AH378" i="1"/>
  <c r="AD378" i="1" s="1"/>
  <c r="AH410" i="1"/>
  <c r="AD410" i="1" s="1"/>
  <c r="AH409" i="1"/>
  <c r="AD409" i="1" s="1"/>
  <c r="AI409" i="1"/>
  <c r="AB409" i="1" s="1"/>
  <c r="AI377" i="1"/>
  <c r="AB377" i="1" s="1"/>
  <c r="E9" i="1"/>
  <c r="F9" i="1" s="1"/>
  <c r="C9" i="1"/>
  <c r="D9" i="1" s="1"/>
  <c r="H9" i="1"/>
  <c r="AI9" i="1" a="1"/>
  <c r="AH9" i="1" a="1"/>
  <c r="AH9" i="1" l="1"/>
  <c r="AD9" i="1" s="1"/>
  <c r="AI9" i="1"/>
  <c r="AB9" i="1" s="1"/>
  <c r="Q463" i="1"/>
  <c r="AF55" i="1"/>
  <c r="AF56" i="1"/>
  <c r="AF57" i="1"/>
  <c r="AF80" i="1"/>
  <c r="AF81" i="1"/>
  <c r="AF84" i="1"/>
  <c r="AF89" i="1"/>
  <c r="AF52" i="1"/>
  <c r="AF53" i="1"/>
  <c r="AF90" i="1"/>
  <c r="AF94" i="1"/>
  <c r="E463" i="1" l="1"/>
  <c r="F463" i="1" s="1"/>
  <c r="C463" i="1"/>
  <c r="D463" i="1" s="1"/>
  <c r="H463" i="1"/>
  <c r="AC530" i="1"/>
  <c r="AC504" i="1"/>
  <c r="AF463" i="1"/>
  <c r="AH55" i="1" a="1"/>
  <c r="AI84" i="1" a="1"/>
  <c r="AI52" i="1" a="1"/>
  <c r="AH52" i="1" a="1"/>
  <c r="AH90" i="1" a="1"/>
  <c r="AH53" i="1" a="1"/>
  <c r="AH94" i="1" a="1"/>
  <c r="AH81" i="1" a="1"/>
  <c r="AI57" i="1" a="1"/>
  <c r="AI56" i="1" a="1"/>
  <c r="AI55" i="1" a="1"/>
  <c r="AI80" i="1" a="1"/>
  <c r="AI81" i="1" a="1"/>
  <c r="AH84" i="1" a="1"/>
  <c r="AI90" i="1" a="1"/>
  <c r="AI53" i="1" a="1"/>
  <c r="AH56" i="1" a="1"/>
  <c r="AI94" i="1" a="1"/>
  <c r="AH89" i="1" a="1"/>
  <c r="AH57" i="1" a="1"/>
  <c r="AI89" i="1" a="1"/>
  <c r="AH80" i="1" a="1"/>
  <c r="AH52" i="1" l="1"/>
  <c r="AD52" i="1" s="1"/>
  <c r="AH53" i="1"/>
  <c r="AD53" i="1" s="1"/>
  <c r="AI80" i="1"/>
  <c r="AB80" i="1" s="1"/>
  <c r="AH90" i="1"/>
  <c r="AD90" i="1" s="1"/>
  <c r="AI89" i="1"/>
  <c r="AB89" i="1" s="1"/>
  <c r="AI90" i="1"/>
  <c r="AB90" i="1" s="1"/>
  <c r="AH89" i="1"/>
  <c r="AD89" i="1" s="1"/>
  <c r="AH80" i="1"/>
  <c r="AD80" i="1" s="1"/>
  <c r="AI53" i="1"/>
  <c r="AB53" i="1" s="1"/>
  <c r="AH94" i="1"/>
  <c r="AD94" i="1" s="1"/>
  <c r="AI94" i="1"/>
  <c r="AB94" i="1" s="1"/>
  <c r="AH56" i="1"/>
  <c r="AD56" i="1" s="1"/>
  <c r="AH81" i="1"/>
  <c r="AD81" i="1" s="1"/>
  <c r="AI84" i="1"/>
  <c r="AB84" i="1" s="1"/>
  <c r="AI56" i="1"/>
  <c r="AB56" i="1" s="1"/>
  <c r="AI81" i="1"/>
  <c r="AB81" i="1" s="1"/>
  <c r="AI52" i="1"/>
  <c r="AB52" i="1" s="1"/>
  <c r="AH57" i="1"/>
  <c r="AD57" i="1" s="1"/>
  <c r="AH55" i="1"/>
  <c r="AD55" i="1" s="1"/>
  <c r="AI57" i="1"/>
  <c r="AB57" i="1" s="1"/>
  <c r="AI55" i="1"/>
  <c r="AB55" i="1" s="1"/>
  <c r="AH84" i="1"/>
  <c r="AD84" i="1" s="1"/>
  <c r="AE525" i="1"/>
  <c r="AE530" i="1"/>
  <c r="AE377" i="1"/>
  <c r="AE528" i="1"/>
  <c r="AE527" i="1"/>
  <c r="AE557" i="1"/>
  <c r="AE503" i="1"/>
  <c r="AE554" i="1"/>
  <c r="AE501" i="1"/>
  <c r="AE684" i="1"/>
  <c r="AE504" i="1"/>
  <c r="AE409" i="1"/>
  <c r="AE378" i="1"/>
  <c r="AE553" i="1"/>
  <c r="AE552" i="1"/>
  <c r="AE556" i="1"/>
  <c r="AE555" i="1"/>
  <c r="AE526" i="1"/>
  <c r="AE410" i="1"/>
  <c r="AE379" i="1"/>
  <c r="AC525" i="1"/>
  <c r="AC528" i="1"/>
  <c r="AC527" i="1"/>
  <c r="AC526" i="1"/>
  <c r="AC503" i="1"/>
  <c r="AC501" i="1"/>
  <c r="AC554" i="1"/>
  <c r="AC555" i="1"/>
  <c r="AC556" i="1"/>
  <c r="AC557" i="1"/>
  <c r="AC684" i="1"/>
  <c r="AC553" i="1"/>
  <c r="AC552" i="1"/>
  <c r="AC379" i="1"/>
  <c r="AC409" i="1"/>
  <c r="AC410" i="1"/>
  <c r="AC377" i="1"/>
  <c r="AC378" i="1"/>
  <c r="AH463" i="1" a="1"/>
  <c r="AI463" i="1" a="1"/>
  <c r="AI463" i="1" l="1"/>
  <c r="AB463" i="1" s="1"/>
  <c r="AH463" i="1"/>
  <c r="AD463" i="1" s="1"/>
  <c r="AC463" i="1"/>
  <c r="AE463" i="1" l="1"/>
  <c r="Q81" i="1" l="1"/>
  <c r="Q80" i="1"/>
  <c r="Q57" i="1"/>
  <c r="Q56" i="1"/>
  <c r="Q55" i="1"/>
  <c r="E56" i="1" l="1"/>
  <c r="F56" i="1" s="1"/>
  <c r="C56" i="1"/>
  <c r="D56" i="1" s="1"/>
  <c r="E81" i="1"/>
  <c r="F81" i="1" s="1"/>
  <c r="C81" i="1"/>
  <c r="D81" i="1" s="1"/>
  <c r="E57" i="1"/>
  <c r="F57" i="1" s="1"/>
  <c r="C57" i="1"/>
  <c r="D57" i="1" s="1"/>
  <c r="E80" i="1"/>
  <c r="F80" i="1" s="1"/>
  <c r="C80" i="1"/>
  <c r="D80" i="1" s="1"/>
  <c r="E55" i="1"/>
  <c r="F55" i="1" s="1"/>
  <c r="C55" i="1"/>
  <c r="D55" i="1" s="1"/>
  <c r="H55" i="1"/>
  <c r="H56" i="1"/>
  <c r="H57" i="1"/>
  <c r="H80" i="1"/>
  <c r="H81" i="1"/>
  <c r="Q94" i="1"/>
  <c r="Q90" i="1"/>
  <c r="Q53" i="1"/>
  <c r="Q52" i="1"/>
  <c r="Q89" i="1"/>
  <c r="Q84" i="1"/>
  <c r="E89" i="1" l="1"/>
  <c r="F89" i="1" s="1"/>
  <c r="C89" i="1"/>
  <c r="D89" i="1" s="1"/>
  <c r="E84" i="1"/>
  <c r="F84" i="1" s="1"/>
  <c r="C84" i="1"/>
  <c r="D84" i="1" s="1"/>
  <c r="E52" i="1"/>
  <c r="F52" i="1" s="1"/>
  <c r="C52" i="1"/>
  <c r="D52" i="1" s="1"/>
  <c r="E53" i="1"/>
  <c r="F53" i="1" s="1"/>
  <c r="C53" i="1"/>
  <c r="D53" i="1" s="1"/>
  <c r="E90" i="1"/>
  <c r="F90" i="1" s="1"/>
  <c r="C90" i="1"/>
  <c r="D90" i="1" s="1"/>
  <c r="E94" i="1"/>
  <c r="F94" i="1" s="1"/>
  <c r="C94" i="1"/>
  <c r="D94" i="1" s="1"/>
  <c r="H84" i="1"/>
  <c r="H94" i="1"/>
  <c r="H52" i="1"/>
  <c r="H89" i="1"/>
  <c r="H53" i="1"/>
  <c r="H90" i="1"/>
  <c r="AC56" i="1"/>
  <c r="AC81" i="1"/>
  <c r="AC57" i="1"/>
  <c r="AF54" i="1"/>
  <c r="Q54" i="1"/>
  <c r="E54" i="1" l="1"/>
  <c r="F54" i="1" s="1"/>
  <c r="C54" i="1"/>
  <c r="D54" i="1" s="1"/>
  <c r="H54" i="1"/>
  <c r="AE81" i="1"/>
  <c r="AE56" i="1"/>
  <c r="AE57" i="1"/>
  <c r="AE80" i="1"/>
  <c r="AC80" i="1"/>
  <c r="AE55" i="1"/>
  <c r="AC55" i="1"/>
  <c r="AI54" i="1" a="1"/>
  <c r="AH54" i="1" a="1"/>
  <c r="AI54" i="1" l="1"/>
  <c r="AB54" i="1" s="1"/>
  <c r="AC54" i="1" s="1"/>
  <c r="AH54" i="1"/>
  <c r="AD54" i="1" s="1"/>
  <c r="AE53" i="1"/>
  <c r="AC53" i="1"/>
  <c r="AE94" i="1"/>
  <c r="AC94" i="1"/>
  <c r="AE84" i="1"/>
  <c r="AC84" i="1"/>
  <c r="AE89" i="1"/>
  <c r="AC89" i="1"/>
  <c r="AE52" i="1"/>
  <c r="AC52" i="1"/>
  <c r="AE90" i="1"/>
  <c r="AC90" i="1"/>
  <c r="AE54" i="1" l="1"/>
  <c r="Q519" i="1"/>
  <c r="E519" i="1" l="1"/>
  <c r="F519" i="1" s="1"/>
  <c r="C519" i="1"/>
  <c r="D519" i="1" s="1"/>
  <c r="H519" i="1"/>
  <c r="AF519" i="1"/>
  <c r="Q374" i="1" l="1"/>
  <c r="Q373" i="1"/>
  <c r="Q376" i="1"/>
  <c r="Q375" i="1"/>
  <c r="AH519" i="1" a="1"/>
  <c r="AI519" i="1" a="1"/>
  <c r="AI519" i="1" l="1"/>
  <c r="AB519" i="1" s="1"/>
  <c r="AH519" i="1"/>
  <c r="AD519" i="1" s="1"/>
  <c r="E373" i="1"/>
  <c r="F373" i="1" s="1"/>
  <c r="C373" i="1"/>
  <c r="D373" i="1" s="1"/>
  <c r="E375" i="1"/>
  <c r="F375" i="1" s="1"/>
  <c r="C375" i="1"/>
  <c r="D375" i="1" s="1"/>
  <c r="E376" i="1"/>
  <c r="F376" i="1" s="1"/>
  <c r="C376" i="1"/>
  <c r="D376" i="1" s="1"/>
  <c r="E374" i="1"/>
  <c r="F374" i="1" s="1"/>
  <c r="C374" i="1"/>
  <c r="D374" i="1" s="1"/>
  <c r="H376" i="1"/>
  <c r="H373" i="1"/>
  <c r="H374" i="1"/>
  <c r="H375" i="1"/>
  <c r="AF373" i="1"/>
  <c r="AF375" i="1"/>
  <c r="AF374" i="1"/>
  <c r="AF376" i="1"/>
  <c r="Q416" i="1" l="1"/>
  <c r="Q415" i="1"/>
  <c r="Q464" i="1"/>
  <c r="Q473" i="1"/>
  <c r="Q489" i="1"/>
  <c r="Q491" i="1"/>
  <c r="Q492" i="1"/>
  <c r="Q493" i="1"/>
  <c r="Q494" i="1"/>
  <c r="Q495" i="1"/>
  <c r="Q498" i="1"/>
  <c r="Q509" i="1"/>
  <c r="Q517" i="1"/>
  <c r="AH373" i="1" a="1"/>
  <c r="AI375" i="1" a="1"/>
  <c r="AI374" i="1" a="1"/>
  <c r="AH375" i="1" a="1"/>
  <c r="AH376" i="1" a="1"/>
  <c r="AH374" i="1" a="1"/>
  <c r="AI373" i="1" a="1"/>
  <c r="AI376" i="1" a="1"/>
  <c r="AH374" i="1" l="1"/>
  <c r="AD374" i="1" s="1"/>
  <c r="AH376" i="1"/>
  <c r="AD376" i="1" s="1"/>
  <c r="AH373" i="1"/>
  <c r="AD373" i="1" s="1"/>
  <c r="AI373" i="1"/>
  <c r="AB373" i="1" s="1"/>
  <c r="AC373" i="1" s="1"/>
  <c r="AH375" i="1"/>
  <c r="AD375" i="1" s="1"/>
  <c r="AI375" i="1"/>
  <c r="AB375" i="1" s="1"/>
  <c r="AC375" i="1" s="1"/>
  <c r="AI374" i="1"/>
  <c r="AB374" i="1" s="1"/>
  <c r="AE374" i="1" s="1"/>
  <c r="AI376" i="1"/>
  <c r="AB376" i="1" s="1"/>
  <c r="AC376" i="1" s="1"/>
  <c r="E495" i="1"/>
  <c r="F495" i="1" s="1"/>
  <c r="C495" i="1"/>
  <c r="D495" i="1" s="1"/>
  <c r="E494" i="1"/>
  <c r="F494" i="1" s="1"/>
  <c r="C494" i="1"/>
  <c r="D494" i="1" s="1"/>
  <c r="E415" i="1"/>
  <c r="F415" i="1" s="1"/>
  <c r="C415" i="1"/>
  <c r="D415" i="1" s="1"/>
  <c r="E493" i="1"/>
  <c r="F493" i="1" s="1"/>
  <c r="C493" i="1"/>
  <c r="D493" i="1" s="1"/>
  <c r="E416" i="1"/>
  <c r="F416" i="1" s="1"/>
  <c r="C416" i="1"/>
  <c r="D416" i="1" s="1"/>
  <c r="E489" i="1"/>
  <c r="F489" i="1" s="1"/>
  <c r="C489" i="1"/>
  <c r="D489" i="1" s="1"/>
  <c r="E509" i="1"/>
  <c r="F509" i="1" s="1"/>
  <c r="C509" i="1"/>
  <c r="D509" i="1" s="1"/>
  <c r="E473" i="1"/>
  <c r="F473" i="1" s="1"/>
  <c r="C473" i="1"/>
  <c r="D473" i="1" s="1"/>
  <c r="E492" i="1"/>
  <c r="F492" i="1" s="1"/>
  <c r="C492" i="1"/>
  <c r="D492" i="1" s="1"/>
  <c r="E491" i="1"/>
  <c r="F491" i="1" s="1"/>
  <c r="C491" i="1"/>
  <c r="D491" i="1" s="1"/>
  <c r="E517" i="1"/>
  <c r="F517" i="1" s="1"/>
  <c r="C517" i="1"/>
  <c r="D517" i="1" s="1"/>
  <c r="E498" i="1"/>
  <c r="F498" i="1" s="1"/>
  <c r="C498" i="1"/>
  <c r="D498" i="1" s="1"/>
  <c r="C464" i="1"/>
  <c r="D464" i="1" s="1"/>
  <c r="E464" i="1"/>
  <c r="F464" i="1" s="1"/>
  <c r="H495" i="1"/>
  <c r="H517" i="1"/>
  <c r="H494" i="1"/>
  <c r="H415" i="1"/>
  <c r="H473" i="1"/>
  <c r="H464" i="1"/>
  <c r="H492" i="1"/>
  <c r="H493" i="1"/>
  <c r="H491" i="1"/>
  <c r="H416" i="1"/>
  <c r="H509" i="1"/>
  <c r="H498" i="1"/>
  <c r="H489" i="1"/>
  <c r="AF498" i="1"/>
  <c r="AF493" i="1"/>
  <c r="AF416" i="1"/>
  <c r="AF517" i="1"/>
  <c r="AF489" i="1"/>
  <c r="AF495" i="1"/>
  <c r="AF464" i="1"/>
  <c r="AF492" i="1"/>
  <c r="AF509" i="1"/>
  <c r="AF473" i="1"/>
  <c r="AF494" i="1"/>
  <c r="AF415" i="1"/>
  <c r="AF491" i="1"/>
  <c r="Q369" i="1"/>
  <c r="AE376" i="1" l="1"/>
  <c r="AC374" i="1"/>
  <c r="AE375" i="1"/>
  <c r="E369" i="1"/>
  <c r="F369" i="1" s="1"/>
  <c r="C369" i="1"/>
  <c r="D369" i="1" s="1"/>
  <c r="H369" i="1"/>
  <c r="AE373" i="1"/>
  <c r="AF369" i="1"/>
  <c r="Q523" i="1"/>
  <c r="Q547" i="1"/>
  <c r="Q546" i="1"/>
  <c r="Q558" i="1"/>
  <c r="AF558" i="1"/>
  <c r="Q551" i="1"/>
  <c r="AI415" i="1" a="1"/>
  <c r="AI495" i="1" a="1"/>
  <c r="AH494" i="1" a="1"/>
  <c r="AH493" i="1" a="1"/>
  <c r="AH495" i="1" a="1"/>
  <c r="AH489" i="1" a="1"/>
  <c r="AH473" i="1" a="1"/>
  <c r="AH464" i="1" a="1"/>
  <c r="AI509" i="1" a="1"/>
  <c r="AI416" i="1" a="1"/>
  <c r="AH415" i="1" a="1"/>
  <c r="AI517" i="1" a="1"/>
  <c r="AI493" i="1" a="1"/>
  <c r="AH491" i="1" a="1"/>
  <c r="AI492" i="1" a="1"/>
  <c r="AH517" i="1" a="1"/>
  <c r="AI464" i="1" a="1"/>
  <c r="AH498" i="1" a="1"/>
  <c r="AI494" i="1" a="1"/>
  <c r="AH492" i="1" a="1"/>
  <c r="AI491" i="1" a="1"/>
  <c r="AI489" i="1" a="1"/>
  <c r="AH416" i="1" a="1"/>
  <c r="AI498" i="1" a="1"/>
  <c r="AH509" i="1" a="1"/>
  <c r="AI473" i="1" a="1"/>
  <c r="AI473" i="1" l="1"/>
  <c r="AB473" i="1" s="1"/>
  <c r="AH495" i="1"/>
  <c r="AD495" i="1" s="1"/>
  <c r="AI495" i="1"/>
  <c r="AB495" i="1" s="1"/>
  <c r="AI492" i="1"/>
  <c r="AB492" i="1" s="1"/>
  <c r="AI493" i="1"/>
  <c r="AB493" i="1" s="1"/>
  <c r="AH498" i="1"/>
  <c r="AD498" i="1" s="1"/>
  <c r="AI416" i="1"/>
  <c r="AB416" i="1" s="1"/>
  <c r="AI491" i="1"/>
  <c r="AB491" i="1" s="1"/>
  <c r="AH489" i="1"/>
  <c r="AD489" i="1" s="1"/>
  <c r="AI498" i="1"/>
  <c r="AB498" i="1" s="1"/>
  <c r="AC498" i="1" s="1"/>
  <c r="AH494" i="1"/>
  <c r="AD494" i="1" s="1"/>
  <c r="AH464" i="1"/>
  <c r="AD464" i="1" s="1"/>
  <c r="AH473" i="1"/>
  <c r="AD473" i="1" s="1"/>
  <c r="AH415" i="1"/>
  <c r="AD415" i="1" s="1"/>
  <c r="AH517" i="1"/>
  <c r="AD517" i="1" s="1"/>
  <c r="AI415" i="1"/>
  <c r="AB415" i="1" s="1"/>
  <c r="AI494" i="1"/>
  <c r="AB494" i="1" s="1"/>
  <c r="AH493" i="1"/>
  <c r="AD493" i="1" s="1"/>
  <c r="AI489" i="1"/>
  <c r="AB489" i="1" s="1"/>
  <c r="AH491" i="1"/>
  <c r="AD491" i="1" s="1"/>
  <c r="AH509" i="1"/>
  <c r="AD509" i="1" s="1"/>
  <c r="AI464" i="1"/>
  <c r="AB464" i="1" s="1"/>
  <c r="AI509" i="1"/>
  <c r="AB509" i="1" s="1"/>
  <c r="AC509" i="1" s="1"/>
  <c r="AH492" i="1"/>
  <c r="AD492" i="1" s="1"/>
  <c r="AI517" i="1"/>
  <c r="AB517" i="1" s="1"/>
  <c r="AC517" i="1" s="1"/>
  <c r="AH416" i="1"/>
  <c r="AD416" i="1" s="1"/>
  <c r="E547" i="1"/>
  <c r="F547" i="1" s="1"/>
  <c r="C547" i="1"/>
  <c r="D547" i="1" s="1"/>
  <c r="E523" i="1"/>
  <c r="F523" i="1" s="1"/>
  <c r="C523" i="1"/>
  <c r="D523" i="1" s="1"/>
  <c r="E546" i="1"/>
  <c r="F546" i="1" s="1"/>
  <c r="C546" i="1"/>
  <c r="D546" i="1" s="1"/>
  <c r="E551" i="1"/>
  <c r="F551" i="1" s="1"/>
  <c r="C551" i="1"/>
  <c r="D551" i="1" s="1"/>
  <c r="E558" i="1"/>
  <c r="F558" i="1" s="1"/>
  <c r="C558" i="1"/>
  <c r="D558" i="1" s="1"/>
  <c r="H551" i="1"/>
  <c r="H523" i="1"/>
  <c r="H547" i="1"/>
  <c r="H558" i="1"/>
  <c r="H546" i="1"/>
  <c r="AF523" i="1"/>
  <c r="AF546" i="1"/>
  <c r="AC415" i="1"/>
  <c r="AF551" i="1"/>
  <c r="AF547" i="1"/>
  <c r="AH369" i="1" a="1"/>
  <c r="AI558" i="1" a="1"/>
  <c r="AH558" i="1" a="1"/>
  <c r="AI369" i="1" a="1"/>
  <c r="AE416" i="1" l="1"/>
  <c r="AE415" i="1"/>
  <c r="AH558" i="1"/>
  <c r="AD558" i="1" s="1"/>
  <c r="AH369" i="1"/>
  <c r="AD369" i="1" s="1"/>
  <c r="AI558" i="1"/>
  <c r="AB558" i="1" s="1"/>
  <c r="AI369" i="1"/>
  <c r="AB369" i="1" s="1"/>
  <c r="AC369" i="1" s="1"/>
  <c r="AC416" i="1"/>
  <c r="AC558" i="1"/>
  <c r="AE498" i="1"/>
  <c r="AE509" i="1"/>
  <c r="AE517" i="1"/>
  <c r="AH551" i="1" a="1"/>
  <c r="AI523" i="1" a="1"/>
  <c r="AH546" i="1" a="1"/>
  <c r="AI546" i="1" a="1"/>
  <c r="AH547" i="1" a="1"/>
  <c r="AI547" i="1" a="1"/>
  <c r="AH523" i="1" a="1"/>
  <c r="AI551" i="1" a="1"/>
  <c r="AI523" i="1" l="1"/>
  <c r="AB523" i="1" s="1"/>
  <c r="AC523" i="1" s="1"/>
  <c r="AI546" i="1"/>
  <c r="AB546" i="1" s="1"/>
  <c r="AH551" i="1"/>
  <c r="AD551" i="1" s="1"/>
  <c r="AH546" i="1"/>
  <c r="AD546" i="1" s="1"/>
  <c r="AH547" i="1"/>
  <c r="AD547" i="1" s="1"/>
  <c r="AH523" i="1"/>
  <c r="AD523" i="1" s="1"/>
  <c r="AI551" i="1"/>
  <c r="AB551" i="1" s="1"/>
  <c r="AC551" i="1" s="1"/>
  <c r="AI547" i="1"/>
  <c r="AB547" i="1" s="1"/>
  <c r="AC547" i="1" s="1"/>
  <c r="AC546" i="1"/>
  <c r="AE558" i="1"/>
  <c r="AE369" i="1"/>
  <c r="AE551" i="1" l="1"/>
  <c r="AE547" i="1"/>
  <c r="AE546" i="1"/>
  <c r="AE523" i="1"/>
  <c r="B25" i="16"/>
  <c r="Q390" i="1"/>
  <c r="Q359" i="1"/>
  <c r="Q364" i="1"/>
  <c r="Q360" i="1"/>
  <c r="Q399" i="1"/>
  <c r="E390" i="1" l="1"/>
  <c r="F390" i="1" s="1"/>
  <c r="C390" i="1"/>
  <c r="D390" i="1" s="1"/>
  <c r="E360" i="1"/>
  <c r="F360" i="1" s="1"/>
  <c r="C360" i="1"/>
  <c r="D360" i="1" s="1"/>
  <c r="E359" i="1"/>
  <c r="F359" i="1" s="1"/>
  <c r="C359" i="1"/>
  <c r="D359" i="1" s="1"/>
  <c r="E399" i="1"/>
  <c r="F399" i="1" s="1"/>
  <c r="C399" i="1"/>
  <c r="D399" i="1" s="1"/>
  <c r="E364" i="1"/>
  <c r="F364" i="1" s="1"/>
  <c r="C364" i="1"/>
  <c r="D364" i="1" s="1"/>
  <c r="H390" i="1"/>
  <c r="H360" i="1"/>
  <c r="H359" i="1"/>
  <c r="H364" i="1"/>
  <c r="H399" i="1"/>
  <c r="AE519" i="1"/>
  <c r="AE9" i="1"/>
  <c r="AF399" i="1"/>
  <c r="AF360" i="1"/>
  <c r="AF364" i="1"/>
  <c r="AF359" i="1"/>
  <c r="AF390" i="1"/>
  <c r="Q22" i="1"/>
  <c r="E22" i="1" l="1"/>
  <c r="F22" i="1" s="1"/>
  <c r="C22" i="1"/>
  <c r="D22" i="1" s="1"/>
  <c r="H22" i="1"/>
  <c r="AE548" i="1"/>
  <c r="AC548" i="1"/>
  <c r="AE500" i="1"/>
  <c r="AC500" i="1"/>
  <c r="AE550" i="1"/>
  <c r="AC550" i="1"/>
  <c r="AE497" i="1"/>
  <c r="AC497" i="1"/>
  <c r="AC506" i="1"/>
  <c r="AE506" i="1"/>
  <c r="AE496" i="1"/>
  <c r="AC496" i="1"/>
  <c r="AC519" i="1"/>
  <c r="AC9" i="1"/>
  <c r="AF22" i="1"/>
  <c r="AH359" i="1" a="1"/>
  <c r="AI360" i="1" a="1"/>
  <c r="AH364" i="1" a="1"/>
  <c r="AH399" i="1" a="1"/>
  <c r="AH390" i="1" a="1"/>
  <c r="AI390" i="1" a="1"/>
  <c r="AI359" i="1" a="1"/>
  <c r="AI399" i="1" a="1"/>
  <c r="AI364" i="1" a="1"/>
  <c r="AH360" i="1" a="1"/>
  <c r="AI360" i="1" l="1"/>
  <c r="AH360" i="1"/>
  <c r="AD360" i="1" s="1"/>
  <c r="AH390" i="1"/>
  <c r="AD390" i="1" s="1"/>
  <c r="AI390" i="1"/>
  <c r="AB390" i="1" s="1"/>
  <c r="AI359" i="1"/>
  <c r="AB359" i="1" s="1"/>
  <c r="AH364" i="1"/>
  <c r="AD364" i="1" s="1"/>
  <c r="AI364" i="1"/>
  <c r="AH399" i="1"/>
  <c r="AD399" i="1" s="1"/>
  <c r="AI399" i="1"/>
  <c r="AB399" i="1" s="1"/>
  <c r="AH359" i="1"/>
  <c r="AD359" i="1" s="1"/>
  <c r="AB360" i="1"/>
  <c r="AC360" i="1" s="1"/>
  <c r="AB364" i="1"/>
  <c r="AC364" i="1" s="1"/>
  <c r="AI22" i="1" a="1"/>
  <c r="AH22" i="1" a="1"/>
  <c r="AE390" i="1" l="1"/>
  <c r="AE399" i="1"/>
  <c r="AE359" i="1"/>
  <c r="AC359" i="1"/>
  <c r="AC390" i="1"/>
  <c r="AH22" i="1"/>
  <c r="AD22" i="1" s="1"/>
  <c r="AI22" i="1"/>
  <c r="AB22" i="1" s="1"/>
  <c r="AC22" i="1" s="1"/>
  <c r="AC399" i="1"/>
  <c r="AE364" i="1"/>
  <c r="AE360" i="1"/>
  <c r="AE22" i="1" l="1"/>
  <c r="Q391" i="1" l="1"/>
  <c r="Q397" i="1"/>
  <c r="E397" i="1" l="1"/>
  <c r="F397" i="1" s="1"/>
  <c r="C397" i="1"/>
  <c r="D397" i="1" s="1"/>
  <c r="E391" i="1"/>
  <c r="F391" i="1" s="1"/>
  <c r="C391" i="1"/>
  <c r="D391" i="1" s="1"/>
  <c r="H391" i="1"/>
  <c r="H397" i="1"/>
  <c r="AF391" i="1"/>
  <c r="AF397" i="1"/>
  <c r="AF30" i="1" l="1"/>
  <c r="AF370" i="1"/>
  <c r="AF537" i="1"/>
  <c r="AH397" i="1" a="1"/>
  <c r="AI391" i="1" a="1"/>
  <c r="AH391" i="1" a="1"/>
  <c r="AI397" i="1" a="1"/>
  <c r="AH397" i="1" l="1"/>
  <c r="AD397" i="1" s="1"/>
  <c r="AI397" i="1"/>
  <c r="AB397" i="1" s="1"/>
  <c r="AE397" i="1" s="1"/>
  <c r="AH391" i="1"/>
  <c r="AD391" i="1" s="1"/>
  <c r="AI391" i="1"/>
  <c r="AB391" i="1" s="1"/>
  <c r="AC391" i="1" s="1"/>
  <c r="AF358" i="1"/>
  <c r="AF405" i="1"/>
  <c r="AF20" i="1"/>
  <c r="AF420" i="1"/>
  <c r="AF355" i="1"/>
  <c r="AF108" i="1"/>
  <c r="AF407" i="1"/>
  <c r="AF403" i="1"/>
  <c r="AF362" i="1"/>
  <c r="AF18" i="1"/>
  <c r="AF354" i="1"/>
  <c r="AF46" i="1"/>
  <c r="AF406" i="1"/>
  <c r="AF264" i="1"/>
  <c r="AF15" i="1"/>
  <c r="AF418" i="1"/>
  <c r="AF45" i="1"/>
  <c r="AF413" i="1"/>
  <c r="AF522" i="1"/>
  <c r="AF396" i="1"/>
  <c r="AF398" i="1"/>
  <c r="AF518" i="1"/>
  <c r="AF13" i="1"/>
  <c r="AF351" i="1"/>
  <c r="AF35" i="1"/>
  <c r="AF51" i="1"/>
  <c r="AF445" i="1"/>
  <c r="AF412" i="1"/>
  <c r="AF381" i="1"/>
  <c r="AF393" i="1"/>
  <c r="AF400" i="1"/>
  <c r="AF27" i="1"/>
  <c r="AF350" i="1"/>
  <c r="AF33" i="1"/>
  <c r="AF83" i="1"/>
  <c r="AF536" i="1"/>
  <c r="AF411" i="1"/>
  <c r="AF37" i="1"/>
  <c r="AF417" i="1"/>
  <c r="AF32" i="1"/>
  <c r="AF380" i="1"/>
  <c r="AF382" i="1"/>
  <c r="AF387" i="1"/>
  <c r="AF11" i="1"/>
  <c r="AF462" i="1"/>
  <c r="AF26" i="1"/>
  <c r="AF356" i="1"/>
  <c r="AF348" i="1"/>
  <c r="AF414" i="1"/>
  <c r="AF388" i="1"/>
  <c r="AF421" i="1"/>
  <c r="AF7" i="1"/>
  <c r="AF461" i="1"/>
  <c r="AC397" i="1"/>
  <c r="AF23" i="1"/>
  <c r="AF262" i="1"/>
  <c r="AF372" i="1"/>
  <c r="AF408" i="1"/>
  <c r="AF392" i="1"/>
  <c r="AF266" i="1"/>
  <c r="Q372" i="1"/>
  <c r="Q445" i="1"/>
  <c r="Q348" i="1"/>
  <c r="Q51" i="1"/>
  <c r="AI370" i="1" a="1"/>
  <c r="AI537" i="1" a="1"/>
  <c r="AH537" i="1" a="1"/>
  <c r="AI30" i="1" a="1"/>
  <c r="AH370" i="1" a="1"/>
  <c r="AH30" i="1" a="1"/>
  <c r="AE391" i="1" l="1"/>
  <c r="AI537" i="1"/>
  <c r="AB537" i="1" s="1"/>
  <c r="AH537" i="1"/>
  <c r="AD537" i="1" s="1"/>
  <c r="AH30" i="1"/>
  <c r="AD30" i="1" s="1"/>
  <c r="AI30" i="1"/>
  <c r="AB30" i="1" s="1"/>
  <c r="AH370" i="1"/>
  <c r="AD370" i="1" s="1"/>
  <c r="AI370" i="1"/>
  <c r="AB370" i="1" s="1"/>
  <c r="E348" i="1"/>
  <c r="F348" i="1" s="1"/>
  <c r="C348" i="1"/>
  <c r="D348" i="1" s="1"/>
  <c r="E445" i="1"/>
  <c r="F445" i="1" s="1"/>
  <c r="C445" i="1"/>
  <c r="D445" i="1" s="1"/>
  <c r="E51" i="1"/>
  <c r="F51" i="1" s="1"/>
  <c r="C51" i="1"/>
  <c r="D51" i="1" s="1"/>
  <c r="E372" i="1"/>
  <c r="F372" i="1" s="1"/>
  <c r="C372" i="1"/>
  <c r="D372" i="1" s="1"/>
  <c r="H51" i="1"/>
  <c r="H348" i="1"/>
  <c r="H445" i="1"/>
  <c r="H372" i="1"/>
  <c r="Q536" i="1" l="1"/>
  <c r="E536" i="1" l="1"/>
  <c r="F536" i="1" s="1"/>
  <c r="C536" i="1"/>
  <c r="D536" i="1" s="1"/>
  <c r="H536" i="1"/>
  <c r="U864" i="41" a="1"/>
  <c r="U3134" i="41" a="1"/>
  <c r="U39" i="41" a="1"/>
  <c r="U984" i="41" a="1"/>
  <c r="U2666" i="41" a="1"/>
  <c r="U157" i="41" a="1"/>
  <c r="U1248" i="41" a="1"/>
  <c r="U2631" i="41" a="1"/>
  <c r="U779" i="41" a="1"/>
  <c r="U2173" i="41" a="1"/>
  <c r="U2703" i="41" a="1"/>
  <c r="U899" i="41" a="1"/>
  <c r="U2388" i="41" a="1"/>
  <c r="U1865" i="41" a="1"/>
  <c r="U1163" i="41" a="1"/>
  <c r="U2557" i="41" a="1"/>
  <c r="U982" i="41" a="1"/>
  <c r="U1919" i="41" a="1"/>
  <c r="U873" i="41" a="1"/>
  <c r="U1102" i="41" a="1"/>
  <c r="U2734" i="41" a="1"/>
  <c r="U935" i="41" a="1"/>
  <c r="U1366" i="41" a="1"/>
  <c r="U2704" i="41" a="1"/>
  <c r="U1005" i="41" a="1"/>
  <c r="U2373" i="41" a="1"/>
  <c r="U2824" i="41" a="1"/>
  <c r="U1125" i="41" a="1"/>
  <c r="U2732" i="41" a="1"/>
  <c r="U2513" i="41" a="1"/>
  <c r="U1389" i="41" a="1"/>
  <c r="U2843" i="41" a="1"/>
  <c r="U872" i="41" a="1"/>
  <c r="U1875" i="41" a="1"/>
  <c r="U2963" i="41" a="1"/>
  <c r="U992" i="41" a="1"/>
  <c r="U1419" i="41" a="1"/>
  <c r="U2844" i="41" a="1"/>
  <c r="U1256" i="41" a="1"/>
  <c r="U1277" i="41" a="1"/>
  <c r="U846" i="41" a="1"/>
  <c r="U1885" i="41" a="1"/>
  <c r="U2118" i="41" a="1"/>
  <c r="U966" i="41" a="1"/>
  <c r="U1417" i="41" a="1"/>
  <c r="U2382" i="41" a="1"/>
  <c r="U1230" i="41" a="1"/>
  <c r="U1133" i="41" a="1"/>
  <c r="U702" i="41" a="1"/>
  <c r="U1729" i="41" a="1"/>
  <c r="U1253" i="41" a="1"/>
  <c r="U822" i="41" a="1"/>
  <c r="U1273" i="41" a="1"/>
  <c r="U2238" i="41" a="1"/>
  <c r="U1086" i="41" a="1"/>
  <c r="U3123" i="41" a="1"/>
  <c r="U269" i="41" a="1"/>
  <c r="U1428" i="41" a="1"/>
  <c r="U760" i="41" a="1"/>
  <c r="U102" i="41" a="1"/>
  <c r="U972" i="41" a="1"/>
  <c r="U1024" i="41" a="1"/>
  <c r="U79" i="41" a="1"/>
  <c r="U2239" i="41" a="1"/>
  <c r="U1495" i="41" a="1"/>
  <c r="U723" i="41" a="1"/>
  <c r="U2359" i="41" a="1"/>
  <c r="U1615" i="41" a="1"/>
  <c r="U2066" i="41" a="1"/>
  <c r="U2623" i="41" a="1"/>
  <c r="U1879" i="41" a="1"/>
  <c r="U2574" i="41" a="1"/>
  <c r="U1422" i="41" a="1"/>
  <c r="U638" i="41" a="1"/>
  <c r="U2694" i="41" a="1"/>
  <c r="U1542" i="41" a="1"/>
  <c r="U2005" i="41" a="1"/>
  <c r="U2958" i="41" a="1"/>
  <c r="U1806" i="41" a="1"/>
  <c r="U1360" i="41" a="1"/>
  <c r="U176" i="41" a="1"/>
  <c r="U577" i="41" a="1"/>
  <c r="U1480" i="41" a="1"/>
  <c r="U296" i="41" a="1"/>
  <c r="U1692" i="41" a="1"/>
  <c r="U365" i="41" a="1"/>
  <c r="U273" i="41" a="1"/>
  <c r="U2846" i="41" a="1"/>
  <c r="U50" i="41" a="1"/>
  <c r="U276" i="41" a="1"/>
  <c r="U2966" i="41" a="1"/>
  <c r="U26" i="41" a="1"/>
  <c r="U1607" i="41" a="1"/>
  <c r="U2355" i="41" a="1"/>
  <c r="U147" i="41" a="1"/>
  <c r="U2568" i="41" a="1"/>
  <c r="U508" i="41" a="1"/>
  <c r="U191" i="41" a="1"/>
  <c r="U2688" i="41" a="1"/>
  <c r="U313" i="41" a="1"/>
  <c r="U1810" i="41" a="1"/>
  <c r="U2281" i="41" a="1"/>
  <c r="U2436" i="41" a="1"/>
  <c r="U2241" i="41" a="1"/>
  <c r="U2260" i="41" a="1"/>
  <c r="U561" i="41" a="1"/>
  <c r="U2361" i="41" a="1"/>
  <c r="U1804" i="41" a="1"/>
  <c r="U1844" i="41" a="1"/>
  <c r="U2625" i="41" a="1"/>
  <c r="U2644" i="41" a="1"/>
  <c r="U2912" i="41" a="1"/>
  <c r="U2116" i="41" a="1"/>
  <c r="U417" i="41" a="1"/>
  <c r="U2217" i="41" a="1"/>
  <c r="U3151" i="41" a="1"/>
  <c r="U1700" i="41" a="1"/>
  <c r="U2481" i="41" a="1"/>
  <c r="U2500" i="41" a="1"/>
  <c r="U1599" i="41" a="1"/>
  <c r="U2803" i="41" a="1"/>
  <c r="U2059" i="41" a="1"/>
  <c r="U1719" i="41" a="1"/>
  <c r="U2347" i="41" a="1"/>
  <c r="U1603" i="41" a="1"/>
  <c r="U1983" i="41" a="1"/>
  <c r="U3092" i="41" a="1"/>
  <c r="U2363" i="41" a="1"/>
  <c r="U2036" i="41" a="1"/>
  <c r="U1114" i="41" a="1"/>
  <c r="U2483" i="41" a="1"/>
  <c r="U286" i="41" a="1"/>
  <c r="U658" i="41" a="1"/>
  <c r="U2747" i="41" a="1"/>
  <c r="U1223" i="41" a="1"/>
  <c r="U2817" i="41" a="1"/>
  <c r="U2836" i="41" a="1"/>
  <c r="U1137" i="41" a="1"/>
  <c r="U2937" i="41" a="1"/>
  <c r="U2380" i="41" a="1"/>
  <c r="U681" i="41" a="1"/>
  <c r="U2146" i="41" a="1"/>
  <c r="U2537" i="41" a="1"/>
  <c r="U352" i="41" a="1"/>
  <c r="U2975" i="41" a="1"/>
  <c r="U1004" i="41" a="1"/>
  <c r="U472" i="41" a="1"/>
  <c r="U3067" i="41" a="1"/>
  <c r="U548" i="41" a="1"/>
  <c r="U2144" i="41" a="1"/>
  <c r="U2976" i="41" a="1"/>
  <c r="U447" i="41" a="1"/>
  <c r="U2129" i="41" a="1"/>
  <c r="U907" i="41" a="1"/>
  <c r="U567" i="41" a="1"/>
  <c r="U1673" i="41" a="1"/>
  <c r="U451" i="41" a="1"/>
  <c r="U831" i="41" a="1"/>
  <c r="U3114" i="41" a="1"/>
  <c r="U362" i="41" a="1"/>
  <c r="U1265" i="41" a="1"/>
  <c r="U834" i="41" a="1"/>
  <c r="U482" i="41" a="1"/>
  <c r="U809" i="41" a="1"/>
  <c r="U378" i="41" a="1"/>
  <c r="U746" i="41" a="1"/>
  <c r="U2370" i="41" a="1"/>
  <c r="U144" i="41" a="1"/>
  <c r="U2402" i="41" a="1"/>
  <c r="U170" i="41" a="1"/>
  <c r="U264" i="41" a="1"/>
  <c r="U2869" i="41" a="1"/>
  <c r="U121" i="41" a="1"/>
  <c r="U528" i="41" a="1"/>
  <c r="U2786" i="41" a="1"/>
  <c r="U1787" i="41" a="1"/>
  <c r="U2258" i="41" a="1"/>
  <c r="U25" i="41" a="1"/>
  <c r="U120" i="41" a="1"/>
  <c r="U2725" i="41" a="1"/>
  <c r="U173" i="41" a="1"/>
  <c r="U384" i="41" a="1"/>
  <c r="U2642" i="41" a="1"/>
  <c r="U1990" i="41" a="1"/>
  <c r="U1980" i="41" a="1"/>
  <c r="U1035" i="41" a="1"/>
  <c r="U35" i="41" a="1"/>
  <c r="U2471" i="41" a="1"/>
  <c r="U2350" i="41" a="1"/>
  <c r="U299" i="41" a="1"/>
  <c r="U3088" i="41" a="1"/>
  <c r="U2961" i="41" a="1"/>
  <c r="U2741" i="41" a="1"/>
  <c r="U1281" i="41" a="1"/>
  <c r="U3081" i="41" a="1"/>
  <c r="U2524" i="41" a="1"/>
  <c r="U825" i="41" a="1"/>
  <c r="U2290" i="41" a="1"/>
  <c r="U2501" i="41" a="1"/>
  <c r="U496" i="41" a="1"/>
  <c r="U3119" i="41" a="1"/>
  <c r="U1148" i="41" a="1"/>
  <c r="U616" i="41" a="1"/>
  <c r="U3116" i="41" a="1"/>
  <c r="U692" i="41" a="1"/>
  <c r="U2288" i="41" a="1"/>
  <c r="U3120" i="41" a="1"/>
  <c r="U591" i="41" a="1"/>
  <c r="U2273" i="41" a="1"/>
  <c r="U1051" i="41" a="1"/>
  <c r="U711" i="41" a="1"/>
  <c r="U1817" i="41" a="1"/>
  <c r="U595" i="41" a="1"/>
  <c r="U975" i="41" a="1"/>
  <c r="U2179" i="41" a="1"/>
  <c r="U506" i="41" a="1"/>
  <c r="U2130" i="41" a="1"/>
  <c r="U978" i="41" a="1"/>
  <c r="U626" i="41" a="1"/>
  <c r="U953" i="41" a="1"/>
  <c r="U522" i="41" a="1"/>
  <c r="U890" i="41" a="1"/>
  <c r="U2514" i="41" a="1"/>
  <c r="U445" i="41" a="1"/>
  <c r="U916" i="41" a="1"/>
  <c r="U258" i="41" a="1"/>
  <c r="U565" i="41" a="1"/>
  <c r="U2943" i="41" a="1"/>
  <c r="U89" i="41" a="1"/>
  <c r="U829" i="41" a="1"/>
  <c r="U1300" i="41" a="1"/>
  <c r="U203" i="41" a="1"/>
  <c r="U2268" i="41" a="1"/>
  <c r="U2829" i="41" a="1"/>
  <c r="U323" i="41" a="1"/>
  <c r="U2759" i="41" a="1"/>
  <c r="U2629" i="41" a="1"/>
  <c r="U587" i="41" a="1"/>
  <c r="U2652" i="41" a="1"/>
  <c r="U59" i="41" a="1"/>
  <c r="U2124" i="41" a="1"/>
  <c r="U652" i="41" a="1"/>
  <c r="U179" i="41" a="1"/>
  <c r="U2615" i="41" a="1"/>
  <c r="U2663" i="41" a="1"/>
  <c r="U443" i="41" a="1"/>
  <c r="U3137" i="41" a="1"/>
  <c r="U2157" i="41" a="1"/>
  <c r="U2470" i="41" a="1"/>
  <c r="U281" i="41" a="1"/>
  <c r="U382" i="41" a="1"/>
  <c r="U3069" i="41" a="1"/>
  <c r="U499" i="41" a="1"/>
  <c r="U646" i="41" a="1"/>
  <c r="U1984" i="41" a="1"/>
  <c r="U2024" i="41" a="1"/>
  <c r="U2468" i="41" a="1"/>
  <c r="U2104" i="41" a="1"/>
  <c r="U405" i="41" a="1"/>
  <c r="U604" i="41" a="1"/>
  <c r="U2368" i="41" a="1"/>
  <c r="U669" i="41" a="1"/>
  <c r="U2671" i="41" a="1"/>
  <c r="U1927" i="41" a="1"/>
  <c r="U1155" i="41" a="1"/>
  <c r="U2791" i="41" a="1"/>
  <c r="U2047" i="41" a="1"/>
  <c r="U699" i="41" a="1"/>
  <c r="U3055" i="41" a="1"/>
  <c r="U536" i="41" a="1"/>
  <c r="U1309" i="41" a="1"/>
  <c r="U1693" i="41" a="1"/>
  <c r="U1218" i="41" a="1"/>
  <c r="U1442" i="41" a="1"/>
  <c r="U2202" i="41" a="1"/>
  <c r="U1050" i="41" a="1"/>
  <c r="U1945" i="41" a="1"/>
  <c r="U3015" i="41" a="1"/>
  <c r="U1639" i="41" a="1"/>
  <c r="U2023" i="41" a="1"/>
  <c r="U211" i="41" a="1"/>
  <c r="U1381" i="41" a="1"/>
  <c r="U988" i="41" a="1"/>
  <c r="U43" i="41" a="1"/>
  <c r="U1632" i="41" a="1"/>
  <c r="U2941" i="41" a="1"/>
  <c r="U996" i="41" a="1"/>
  <c r="U2998" i="41" a="1"/>
  <c r="U359" i="41" a="1"/>
  <c r="U1486" i="41" a="1"/>
  <c r="U2830" i="41" a="1"/>
  <c r="U3136" i="41" a="1"/>
  <c r="U2061" i="41" a="1"/>
  <c r="U2372" i="41" a="1"/>
  <c r="U1554" i="41" a="1"/>
  <c r="U2996" i="41" a="1"/>
  <c r="U3089" i="41" a="1"/>
  <c r="U1509" i="41" a="1"/>
  <c r="U2828" i="41" a="1"/>
  <c r="U1888" i="41" a="1"/>
  <c r="U1928" i="41" a="1"/>
  <c r="U1059" i="41" a="1"/>
  <c r="U2637" i="41" a="1"/>
  <c r="U2074" i="41" a="1"/>
  <c r="U2401" i="41" a="1"/>
  <c r="U1909" i="41" a="1"/>
  <c r="U1906" i="41" a="1"/>
  <c r="U2699" i="41" a="1"/>
  <c r="U2717" i="41" a="1"/>
  <c r="U2949" i="41" a="1"/>
  <c r="U2220" i="41" a="1"/>
  <c r="U2004" i="41" a="1"/>
  <c r="U707" i="41" a="1"/>
  <c r="U1908" i="41" a="1"/>
  <c r="U2002" i="41" a="1"/>
  <c r="U1462" i="41" a="1"/>
  <c r="U2853" i="41" a="1"/>
  <c r="U256" i="41" a="1"/>
  <c r="U1380" i="41" a="1"/>
  <c r="U1288" i="41" a="1"/>
  <c r="U104" i="41" a="1"/>
  <c r="U1212" i="41" a="1"/>
  <c r="U2451" i="41" a="1"/>
  <c r="U2730" i="41" a="1"/>
  <c r="U2192" i="41" a="1"/>
  <c r="U2576" i="41" a="1"/>
  <c r="U1938" i="41" a="1"/>
  <c r="U375" i="41" a="1"/>
  <c r="U2922" i="41" a="1"/>
  <c r="U1770" i="41" a="1"/>
  <c r="U842" i="41" a="1"/>
  <c r="U1252" i="41" a="1"/>
  <c r="U2297" i="41" a="1"/>
  <c r="U2276" i="41" a="1"/>
  <c r="U2488" i="41" a="1"/>
  <c r="U789" i="41" a="1"/>
  <c r="U2108" i="41" a="1"/>
  <c r="U2796" i="41" a="1"/>
  <c r="U1208" i="41" a="1"/>
  <c r="U2138" i="41" a="1"/>
  <c r="U533" i="41" a="1"/>
  <c r="U963" i="41" a="1"/>
  <c r="U3080" i="41" a="1"/>
  <c r="U656" i="41" a="1"/>
  <c r="U795" i="41" a="1"/>
  <c r="U1186" i="41" a="1"/>
  <c r="U2034" i="41" a="1"/>
  <c r="U962" i="41" a="1"/>
  <c r="AH362" i="1" a="1"/>
  <c r="AH518" i="1" a="1"/>
  <c r="U2827" i="41" a="1"/>
  <c r="U820" i="41" a="1"/>
  <c r="U1528" i="41" a="1"/>
  <c r="U57" i="41" a="1"/>
  <c r="U1184" i="41" a="1"/>
  <c r="U613" i="41" a="1"/>
  <c r="AH83" i="1" a="1"/>
  <c r="U395" i="41" a="1"/>
  <c r="U712" i="41" a="1"/>
  <c r="U2804" i="41" a="1"/>
  <c r="U3014" i="41" a="1"/>
  <c r="AH406" i="1" a="1"/>
  <c r="U734" i="41" a="1"/>
  <c r="U80" i="41" a="1"/>
  <c r="U2309" i="41" a="1"/>
  <c r="U1878" i="41" a="1"/>
  <c r="U2245" i="41" a="1"/>
  <c r="U1484" i="41" a="1"/>
  <c r="U2055" i="41" a="1"/>
  <c r="U2551" i="41" a="1"/>
  <c r="U2764" i="41" a="1"/>
  <c r="U1905" i="41" a="1"/>
  <c r="U2265" i="41" a="1"/>
  <c r="AI23" i="1" a="1"/>
  <c r="U695" i="41" a="1"/>
  <c r="U3129" i="41" a="1"/>
  <c r="U111" i="41" a="1"/>
  <c r="U68" i="41" a="1"/>
  <c r="U1752" i="41" a="1"/>
  <c r="AH382" i="1" a="1"/>
  <c r="AI388" i="1" a="1"/>
  <c r="U189" i="41" a="1"/>
  <c r="U3049" i="41" a="1"/>
  <c r="U2107" i="41" a="1"/>
  <c r="U1343" i="41" a="1"/>
  <c r="U2246" i="41" a="1"/>
  <c r="U2858" i="41" a="1"/>
  <c r="U887" i="41" a="1"/>
  <c r="U2510" i="41" a="1"/>
  <c r="U98" i="41" a="1"/>
  <c r="U2795" i="41" a="1"/>
  <c r="U1079" i="41" a="1"/>
  <c r="U1546" i="41" a="1"/>
  <c r="U1968" i="41" a="1"/>
  <c r="U1172" i="41" a="1"/>
  <c r="U1090" i="41" a="1"/>
  <c r="U2232" i="41" a="1"/>
  <c r="U806" i="41" a="1"/>
  <c r="U1627" i="41" a="1"/>
  <c r="U2613" i="41" a="1"/>
  <c r="U3016" i="41" a="1"/>
  <c r="U1941" i="41" a="1"/>
  <c r="U2445" i="41" a="1"/>
  <c r="U2320" i="41" a="1"/>
  <c r="U621" i="41" a="1"/>
  <c r="U1491" i="41" a="1"/>
  <c r="U2969" i="41" a="1"/>
  <c r="U2115" i="41" a="1"/>
  <c r="U1768" i="41" a="1"/>
  <c r="U1808" i="41" a="1"/>
  <c r="U1947" i="41" a="1"/>
  <c r="U3007" i="41" a="1"/>
  <c r="U488" i="41" a="1"/>
  <c r="U1406" i="41" a="1"/>
  <c r="U1974" i="41" a="1"/>
  <c r="U385" i="41" a="1"/>
  <c r="U485" i="41" a="1"/>
  <c r="U58" i="41" a="1"/>
  <c r="U1788" i="41" a="1"/>
  <c r="U3027" i="41" a="1"/>
  <c r="U40" i="41" a="1"/>
  <c r="U1247" i="41" a="1"/>
  <c r="U2951" i="41" a="1"/>
  <c r="U84" i="41" a="1"/>
  <c r="U2475" i="41" a="1"/>
  <c r="U122" i="41" a="1"/>
  <c r="U1703" i="41" a="1"/>
  <c r="U2953" i="41" a="1"/>
  <c r="U1740" i="41" a="1"/>
  <c r="U1211" i="41" a="1"/>
  <c r="U1595" i="41" a="1"/>
  <c r="U642" i="41" a="1"/>
  <c r="U866" i="41" a="1"/>
  <c r="U905" i="41" a="1"/>
  <c r="U474" i="41" a="1"/>
  <c r="U1357" i="41" a="1"/>
  <c r="U2439" i="41" a="1"/>
  <c r="U1187" i="41" a="1"/>
  <c r="U1681" i="41" a="1"/>
  <c r="U2502" i="41" a="1"/>
  <c r="U1350" i="41" a="1"/>
  <c r="U1513" i="41" a="1"/>
  <c r="U461" i="41" a="1"/>
  <c r="U34" i="41" a="1"/>
  <c r="U3006" i="41" a="1"/>
  <c r="U1661" i="41" a="1"/>
  <c r="U2011" i="41" a="1"/>
  <c r="U2247" i="41" a="1"/>
  <c r="U2587" i="41" a="1"/>
  <c r="U1843" i="41" a="1"/>
  <c r="U927" i="41" a="1"/>
  <c r="U2466" i="41" a="1"/>
  <c r="U1258" i="41" a="1"/>
  <c r="U2278" i="41" a="1"/>
  <c r="U2010" i="41" a="1"/>
  <c r="U766" i="41" a="1"/>
  <c r="U2110" i="41" a="1"/>
  <c r="U2753" i="41" a="1"/>
  <c r="U1341" i="41" a="1"/>
  <c r="U2211" i="41" a="1"/>
  <c r="U1324" i="41" a="1"/>
  <c r="U1151" i="41" a="1"/>
  <c r="U2630" i="41" a="1"/>
  <c r="U1228" i="41" a="1"/>
  <c r="U983" i="41" a="1"/>
  <c r="U2233" i="41" a="1"/>
  <c r="U452" i="41" a="1"/>
  <c r="U730" i="41" a="1"/>
  <c r="U411" i="41" a="1"/>
  <c r="U1354" i="41" a="1"/>
  <c r="U2352" i="41" a="1"/>
  <c r="U1449" i="41" a="1"/>
  <c r="U2954" i="41" a="1"/>
  <c r="U554" i="41" a="1"/>
  <c r="U2609" i="41" a="1"/>
  <c r="U1461" i="41" a="1"/>
  <c r="AI396" i="1" a="1"/>
  <c r="AI108" i="1" a="1"/>
  <c r="U1276" i="41" a="1"/>
  <c r="U465" i="41" a="1"/>
  <c r="U520" i="41" a="1"/>
  <c r="AI46" i="1" a="1"/>
  <c r="AH408" i="1" a="1"/>
  <c r="U74" i="41" a="1"/>
  <c r="AH411" i="1" a="1"/>
  <c r="U1807" i="41" a="1"/>
  <c r="U710" i="41" a="1"/>
  <c r="U1675" i="41" a="1"/>
  <c r="U615" i="41" a="1"/>
  <c r="U1306" i="41" a="1"/>
  <c r="U357" i="41" a="1"/>
  <c r="U815" i="41" a="1"/>
  <c r="U1955" i="41" a="1"/>
  <c r="U1736" i="41" a="1"/>
  <c r="U1120" i="41" a="1"/>
  <c r="U2559" i="41" a="1"/>
  <c r="U371" i="41" a="1"/>
  <c r="U2465" i="41" a="1"/>
  <c r="U2464" i="41" a="1"/>
  <c r="U230" i="41" a="1"/>
  <c r="U168" i="41" a="1"/>
  <c r="AH462" i="1" a="1"/>
  <c r="U2715" i="41" a="1"/>
  <c r="U2303" i="41" a="1"/>
  <c r="U1064" i="41" a="1"/>
  <c r="U1846" i="41" a="1"/>
  <c r="U2783" i="41" a="1"/>
  <c r="U1382" i="41" a="1"/>
  <c r="U1966" i="41" a="1"/>
  <c r="U2327" i="41" a="1"/>
  <c r="U2780" i="41" a="1"/>
  <c r="U3036" i="41" a="1"/>
  <c r="U1448" i="41" a="1"/>
  <c r="U484" i="41" a="1"/>
  <c r="U3073" i="41" a="1"/>
  <c r="U1568" i="41" a="1"/>
  <c r="U1995" i="41" a="1"/>
  <c r="U1792" i="41" a="1"/>
  <c r="U1832" i="41" a="1"/>
  <c r="U2095" i="41" a="1"/>
  <c r="U1351" i="41" a="1"/>
  <c r="U579" i="41" a="1"/>
  <c r="U2215" i="41" a="1"/>
  <c r="U1471" i="41" a="1"/>
  <c r="U1922" i="41" a="1"/>
  <c r="U2479" i="41" a="1"/>
  <c r="U1735" i="41" a="1"/>
  <c r="U2430" i="41" a="1"/>
  <c r="U1278" i="41" a="1"/>
  <c r="U494" i="41" a="1"/>
  <c r="U2550" i="41" a="1"/>
  <c r="U1398" i="41" a="1"/>
  <c r="U1861" i="41" a="1"/>
  <c r="U2814" i="41" a="1"/>
  <c r="U1662" i="41" a="1"/>
  <c r="U1216" i="41" a="1"/>
  <c r="U32" i="41" a="1"/>
  <c r="U433" i="41" a="1"/>
  <c r="U1336" i="41" a="1"/>
  <c r="U152" i="41" a="1"/>
  <c r="U1548" i="41" a="1"/>
  <c r="U1600" i="41" a="1"/>
  <c r="U129" i="41" a="1"/>
  <c r="U2702" i="41" a="1"/>
  <c r="U193" i="41" a="1"/>
  <c r="U132" i="41" a="1"/>
  <c r="U2822" i="41" a="1"/>
  <c r="U169" i="41" a="1"/>
  <c r="U1463" i="41" a="1"/>
  <c r="U3098" i="41" a="1"/>
  <c r="U146" i="41" a="1"/>
  <c r="U2914" i="41" a="1"/>
  <c r="U63" i="41" a="1"/>
  <c r="U394" i="41" a="1"/>
  <c r="U3034" i="41" a="1"/>
  <c r="U2585" i="41" a="1"/>
  <c r="U1833" i="41" a="1"/>
  <c r="U2027" i="41" a="1"/>
  <c r="U931" i="41" a="1"/>
  <c r="U2770" i="41" a="1"/>
  <c r="U3029" i="41" a="1"/>
  <c r="U2145" i="41" a="1"/>
  <c r="U2890" i="41" a="1"/>
  <c r="U2861" i="41" a="1"/>
  <c r="U1689" i="41" a="1"/>
  <c r="U1883" i="41" a="1"/>
  <c r="U1002" i="41" a="1"/>
  <c r="U2768" i="41" a="1"/>
  <c r="U1972" i="41" a="1"/>
  <c r="U2012" i="41" a="1"/>
  <c r="U2888" i="41" a="1"/>
  <c r="U3144" i="41" a="1"/>
  <c r="U1556" i="41" a="1"/>
  <c r="U2337" i="41" a="1"/>
  <c r="U2356" i="41" a="1"/>
  <c r="U2473" i="41" a="1"/>
  <c r="U2570" i="41" a="1"/>
  <c r="U767" i="41" a="1"/>
  <c r="U2593" i="41" a="1"/>
  <c r="U2348" i="41" a="1"/>
  <c r="U311" i="41" a="1"/>
  <c r="U2857" i="41" a="1"/>
  <c r="U1577" i="41" a="1"/>
  <c r="U2219" i="41" a="1"/>
  <c r="U740" i="41" a="1"/>
  <c r="U970" i="41" a="1"/>
  <c r="U2339" i="41" a="1"/>
  <c r="U282" i="41" a="1"/>
  <c r="U514" i="41" a="1"/>
  <c r="U2603" i="41" a="1"/>
  <c r="U1714" i="41" a="1"/>
  <c r="U2673" i="41" a="1"/>
  <c r="U2692" i="41" a="1"/>
  <c r="U993" i="41" a="1"/>
  <c r="U2793" i="41" a="1"/>
  <c r="U2236" i="41" a="1"/>
  <c r="U537" i="41" a="1"/>
  <c r="U3057" i="41" a="1"/>
  <c r="U3113" i="41" a="1"/>
  <c r="U2175" i="41" a="1"/>
  <c r="U2831" i="41" a="1"/>
  <c r="U860" i="41" a="1"/>
  <c r="U328" i="41" a="1"/>
  <c r="U2923" i="41" a="1"/>
  <c r="U404" i="41" a="1"/>
  <c r="U592" i="41" a="1"/>
  <c r="U2832" i="41" a="1"/>
  <c r="U2102" i="41" a="1"/>
  <c r="U1985" i="41" a="1"/>
  <c r="U763" i="41" a="1"/>
  <c r="U423" i="41" a="1"/>
  <c r="U1529" i="41" a="1"/>
  <c r="U307" i="41" a="1"/>
  <c r="U687" i="41" a="1"/>
  <c r="U2369" i="41" a="1"/>
  <c r="U301" i="41" a="1"/>
  <c r="U772" i="41" a="1"/>
  <c r="U114" i="41" a="1"/>
  <c r="U421" i="41" a="1"/>
  <c r="U2799" i="41" a="1"/>
  <c r="U244" i="41" a="1"/>
  <c r="U685" i="41" a="1"/>
  <c r="U1156" i="41" a="1"/>
  <c r="U1728" i="41" a="1"/>
  <c r="U3111" i="41" a="1"/>
  <c r="U257" i="41" a="1"/>
  <c r="U1848" i="41" a="1"/>
  <c r="U2655" i="41" a="1"/>
  <c r="U100" i="41" a="1"/>
  <c r="U541" i="41" a="1"/>
  <c r="U1012" i="41" a="1"/>
  <c r="U1643" i="41" a="1"/>
  <c r="U3037" i="41" a="1"/>
  <c r="U3065" i="41" a="1"/>
  <c r="U1763" i="41" a="1"/>
  <c r="U2581" i="41" a="1"/>
  <c r="U242" i="41" a="1"/>
  <c r="U240" i="41" a="1"/>
  <c r="U2498" i="41" a="1"/>
  <c r="U938" i="41" a="1"/>
  <c r="U2562" i="41" a="1"/>
  <c r="U1410" i="41" a="1"/>
  <c r="U1058" i="41" a="1"/>
  <c r="U2106" i="41" a="1"/>
  <c r="U954" i="41" a="1"/>
  <c r="U1322" i="41" a="1"/>
  <c r="U2946" i="41" a="1"/>
  <c r="U877" i="41" a="1"/>
  <c r="U1348" i="41" a="1"/>
  <c r="U164" i="41" a="1"/>
  <c r="U997" i="41" a="1"/>
  <c r="U892" i="41" a="1"/>
  <c r="U234" i="41" a="1"/>
  <c r="U1261" i="41" a="1"/>
  <c r="U353" i="41" a="1"/>
  <c r="U576" i="41" a="1"/>
  <c r="U2834" i="41" a="1"/>
  <c r="U38" i="41" a="1"/>
  <c r="U696" i="41" a="1"/>
  <c r="U2378" i="41" a="1"/>
  <c r="U3" i="41" a="1"/>
  <c r="U960" i="41" a="1"/>
  <c r="U2343" i="41" a="1"/>
  <c r="U491" i="41" a="1"/>
  <c r="U2556" i="41" a="1"/>
  <c r="U2292" i="41" a="1"/>
  <c r="U611" i="41" a="1"/>
  <c r="U2100" i="41" a="1"/>
  <c r="U1516" i="41" a="1"/>
  <c r="U875" i="41" a="1"/>
  <c r="U2269" i="41" a="1"/>
  <c r="U694" i="41" a="1"/>
  <c r="U2902" i="41" a="1"/>
  <c r="U1075" i="41" a="1"/>
  <c r="U814" i="41" a="1"/>
  <c r="U2446" i="41" a="1"/>
  <c r="U1737" i="41" a="1"/>
  <c r="U1078" i="41" a="1"/>
  <c r="U3152" i="41" a="1"/>
  <c r="U728" i="41" a="1"/>
  <c r="U1731" i="41" a="1"/>
  <c r="U2819" i="41" a="1"/>
  <c r="U848" i="41" a="1"/>
  <c r="U1275" i="41" a="1"/>
  <c r="U3083" i="41" a="1"/>
  <c r="U1112" i="41" a="1"/>
  <c r="U3103" i="41" a="1"/>
  <c r="U584" i="41" a="1"/>
  <c r="U1587" i="41" a="1"/>
  <c r="U3128" i="41" a="1"/>
  <c r="U704" i="41" a="1"/>
  <c r="U1131" i="41" a="1"/>
  <c r="U2939" i="41" a="1"/>
  <c r="U968" i="41" a="1"/>
  <c r="U1709" i="41" a="1"/>
  <c r="U487" i="41" a="1"/>
  <c r="U1502" i="41" a="1"/>
  <c r="U1829" i="41" a="1"/>
  <c r="U607" i="41" a="1"/>
  <c r="U1046" i="41" a="1"/>
  <c r="U2093" i="41" a="1"/>
  <c r="U871" i="41" a="1"/>
  <c r="U845" i="41" a="1"/>
  <c r="U1021" i="41" a="1"/>
  <c r="U1492" i="41" a="1"/>
  <c r="U21" i="41" a="1"/>
  <c r="U1141" i="41" a="1"/>
  <c r="U1036" i="41" a="1"/>
  <c r="U91" i="41" a="1"/>
  <c r="U1405" i="41" a="1"/>
  <c r="U497" i="41" a="1"/>
  <c r="U720" i="41" a="1"/>
  <c r="U2978" i="41" a="1"/>
  <c r="U182" i="41" a="1"/>
  <c r="U840" i="41" a="1"/>
  <c r="U2522" i="41" a="1"/>
  <c r="U13" i="41" a="1"/>
  <c r="U1104" i="41" a="1"/>
  <c r="U2487" i="41" a="1"/>
  <c r="U635" i="41" a="1"/>
  <c r="U2700" i="41" a="1"/>
  <c r="U2917" i="41" a="1"/>
  <c r="U755" i="41" a="1"/>
  <c r="U2244" i="41" a="1"/>
  <c r="U1289" i="41" a="1"/>
  <c r="U1019" i="41" a="1"/>
  <c r="U2413" i="41" a="1"/>
  <c r="U838" i="41" a="1"/>
  <c r="U3046" i="41" a="1"/>
  <c r="U884" i="41" a="1"/>
  <c r="U958" i="41" a="1"/>
  <c r="U2590" i="41" a="1"/>
  <c r="U1282" i="41" a="1"/>
  <c r="U1222" i="41" a="1"/>
  <c r="U2560" i="41" a="1"/>
  <c r="U861" i="41" a="1"/>
  <c r="U2229" i="41" a="1"/>
  <c r="U2680" i="41" a="1"/>
  <c r="U981" i="41" a="1"/>
  <c r="U2588" i="41" a="1"/>
  <c r="U2944" i="41" a="1"/>
  <c r="U1245" i="41" a="1"/>
  <c r="U1997" i="41" a="1"/>
  <c r="U775" i="41" a="1"/>
  <c r="U1802" i="41" a="1"/>
  <c r="U2117" i="41" a="1"/>
  <c r="U895" i="41" a="1"/>
  <c r="U1334" i="41" a="1"/>
  <c r="U2381" i="41" a="1"/>
  <c r="U1159" i="41" a="1"/>
  <c r="U1853" i="41" a="1"/>
  <c r="U631" i="41" a="1"/>
  <c r="U1658" i="41" a="1"/>
  <c r="U1973" i="41" a="1"/>
  <c r="U751" i="41" a="1"/>
  <c r="U1190" i="41" a="1"/>
  <c r="U2237" i="41" a="1"/>
  <c r="U1015" i="41" a="1"/>
  <c r="U989" i="41" a="1"/>
  <c r="U558" i="41" a="1"/>
  <c r="U1585" i="41" a="1"/>
  <c r="U1109" i="41" a="1"/>
  <c r="U678" i="41" a="1"/>
  <c r="U1129" i="41" a="1"/>
  <c r="U2094" i="41" a="1"/>
  <c r="U942" i="41" a="1"/>
  <c r="U2979" i="41" a="1"/>
  <c r="U125" i="41" a="1"/>
  <c r="U1284" i="41" a="1"/>
  <c r="U3099" i="41" a="1"/>
  <c r="U245" i="41" a="1"/>
  <c r="U828" i="41" a="1"/>
  <c r="U880" i="41" a="1"/>
  <c r="U222" i="41" a="1"/>
  <c r="U2905" i="41" a="1"/>
  <c r="U1433" i="41" a="1"/>
  <c r="U1199" i="41" a="1"/>
  <c r="U3025" i="41" a="1"/>
  <c r="U2197" i="41" a="1"/>
  <c r="U743" i="41" a="1"/>
  <c r="U2366" i="41" a="1"/>
  <c r="U2633" i="41" a="1"/>
  <c r="U1153" i="41" a="1"/>
  <c r="U2015" i="41" a="1"/>
  <c r="U1452" i="41" a="1"/>
  <c r="U1774" i="41" a="1"/>
  <c r="U1847" i="41" a="1"/>
  <c r="U137" i="41" a="1"/>
  <c r="U454" i="41" a="1"/>
  <c r="U2660" i="41" a="1"/>
  <c r="U1483" i="41" a="1"/>
  <c r="U2469" i="41" a="1"/>
  <c r="U2573" i="41" a="1"/>
  <c r="U1797" i="41" a="1"/>
  <c r="U2301" i="41" a="1"/>
  <c r="U2176" i="41" a="1"/>
  <c r="U477" i="41" a="1"/>
  <c r="U1347" i="41" a="1"/>
  <c r="U1272" i="41" a="1"/>
  <c r="U302" i="41" a="1"/>
  <c r="U2934" i="41" a="1"/>
  <c r="U1782" i="41" a="1"/>
  <c r="U1957" i="41" a="1"/>
  <c r="U893" i="41" a="1"/>
  <c r="U462" i="41" a="1"/>
  <c r="U1188" i="41" a="1"/>
  <c r="U1830" i="41" a="1"/>
  <c r="U1812" i="41" a="1"/>
  <c r="U341" i="41" a="1"/>
  <c r="U249" i="41" a="1"/>
  <c r="U1644" i="41" a="1"/>
  <c r="U2883" i="41" a="1"/>
  <c r="U241" i="41" a="1"/>
  <c r="U2194" i="41" a="1"/>
  <c r="U2578" i="41" a="1"/>
  <c r="U571" i="41" a="1"/>
  <c r="U807" i="41" a="1"/>
  <c r="U1625" i="41" a="1"/>
  <c r="U403" i="41" a="1"/>
  <c r="U1274" i="41" a="1"/>
  <c r="U305" i="41" a="1"/>
  <c r="U2170" i="41" a="1"/>
  <c r="U1610" i="41" a="1"/>
  <c r="U3102" i="41" a="1"/>
  <c r="U1279" i="41" a="1"/>
  <c r="U1430" i="41" a="1"/>
  <c r="U2910" i="41" a="1"/>
  <c r="U1758" i="41" a="1"/>
  <c r="U913" i="41" a="1"/>
  <c r="U158" i="41" a="1"/>
  <c r="U1964" i="41" a="1"/>
  <c r="U2601" i="41" a="1"/>
  <c r="U1756" i="41" a="1"/>
  <c r="U1796" i="41" a="1"/>
  <c r="U2096" i="41" a="1"/>
  <c r="U3066" i="41" a="1"/>
  <c r="U628" i="41" a="1"/>
  <c r="U2735" i="41" a="1"/>
  <c r="U2253" i="41" a="1"/>
  <c r="U419" i="41" a="1"/>
  <c r="U2567" i="41" a="1"/>
  <c r="U729" i="41" a="1"/>
  <c r="U1174" i="41" a="1"/>
  <c r="U2565" i="41" a="1"/>
  <c r="U2519" i="41" a="1"/>
  <c r="U1092" i="41" a="1"/>
  <c r="U1000" i="41" a="1"/>
  <c r="U55" i="41" a="1"/>
  <c r="U924" i="41" a="1"/>
  <c r="U3038" i="41" a="1"/>
  <c r="U2271" i="41" a="1"/>
  <c r="U383" i="41" a="1"/>
  <c r="U1180" i="41" a="1"/>
  <c r="U1007" i="41" a="1"/>
  <c r="U2486" i="41" a="1"/>
  <c r="U3002" i="41" a="1"/>
  <c r="U1580" i="41" a="1"/>
  <c r="U1979" i="41" a="1"/>
  <c r="U745" i="41" a="1"/>
  <c r="U1294" i="41" a="1"/>
  <c r="AI372" i="1" a="1"/>
  <c r="U1760" i="41" a="1"/>
  <c r="U2375" i="41" a="1"/>
  <c r="U874" i="41" a="1"/>
  <c r="U2841" i="41" a="1"/>
  <c r="AI408" i="1" a="1"/>
  <c r="U1305" i="41" a="1"/>
  <c r="U1158" i="41" a="1"/>
  <c r="AH380" i="1" a="1"/>
  <c r="U1191" i="41" a="1"/>
  <c r="U3050" i="41" a="1"/>
  <c r="U1916" i="41" a="1"/>
  <c r="U376" i="41" a="1"/>
  <c r="U1363" i="41" a="1"/>
  <c r="U1598" i="41" a="1"/>
  <c r="U1764" i="41" a="1"/>
  <c r="U2736" i="41" a="1"/>
  <c r="U437" i="41" a="1"/>
  <c r="U2608" i="41" a="1"/>
  <c r="U87" i="41" a="1"/>
  <c r="U312" i="41" a="1"/>
  <c r="U207" i="41" a="1"/>
  <c r="U92" i="41" a="1"/>
  <c r="U212" i="41" a="1"/>
  <c r="U325" i="41" a="1"/>
  <c r="AI382" i="1" a="1"/>
  <c r="U2114" i="41" a="1"/>
  <c r="U1970" i="41" a="1"/>
  <c r="U480" i="41" a="1"/>
  <c r="U2296" i="41" a="1"/>
  <c r="U597" i="41" a="1"/>
  <c r="AI411" i="1" a="1"/>
  <c r="AH400" i="1" a="1"/>
  <c r="U2785" i="41" a="1"/>
  <c r="U1455" i="41" a="1"/>
  <c r="U2659" i="41" a="1"/>
  <c r="U1915" i="41" a="1"/>
  <c r="U1575" i="41" a="1"/>
  <c r="U2203" i="41" a="1"/>
  <c r="U1459" i="41" a="1"/>
  <c r="U1839" i="41" a="1"/>
  <c r="U3043" i="41" a="1"/>
  <c r="U1370" i="41" a="1"/>
  <c r="U2994" i="41" a="1"/>
  <c r="U1842" i="41" a="1"/>
  <c r="U1490" i="41" a="1"/>
  <c r="U2538" i="41" a="1"/>
  <c r="U1386" i="41" a="1"/>
  <c r="U1766" i="41" a="1"/>
  <c r="U1649" i="41" a="1"/>
  <c r="U1903" i="41" a="1"/>
  <c r="U673" i="41" a="1"/>
  <c r="U773" i="41" a="1"/>
  <c r="U342" i="41" a="1"/>
  <c r="U505" i="41" a="1"/>
  <c r="U832" i="41" a="1"/>
  <c r="U174" i="41" a="1"/>
  <c r="U1535" i="41" a="1"/>
  <c r="U2668" i="41" a="1"/>
  <c r="U372" i="41" a="1"/>
  <c r="U2763" i="41" a="1"/>
  <c r="U64" i="41" a="1"/>
  <c r="U204" i="41" a="1"/>
  <c r="U2318" i="41" a="1"/>
  <c r="U1826" i="41" a="1"/>
  <c r="U1738" i="41" a="1"/>
  <c r="U1242" i="41" a="1"/>
  <c r="U801" i="41" a="1"/>
  <c r="U2122" i="41" a="1"/>
  <c r="U2332" i="41" a="1"/>
  <c r="U633" i="41" a="1"/>
  <c r="U2672" i="41" a="1"/>
  <c r="U2563" i="41" a="1"/>
  <c r="U3097" i="41" a="1"/>
  <c r="U1936" i="41" a="1"/>
  <c r="U668" i="41" a="1"/>
  <c r="U2120" i="41" a="1"/>
  <c r="U3019" i="41" a="1"/>
  <c r="U500" i="41" a="1"/>
  <c r="U1359" i="41" a="1"/>
  <c r="U2898" i="41" a="1"/>
  <c r="U1055" i="41" a="1"/>
  <c r="U2710" i="41" a="1"/>
  <c r="U1161" i="41" a="1"/>
  <c r="U1198" i="41" a="1"/>
  <c r="U2542" i="41" a="1"/>
  <c r="U3005" i="41" a="1"/>
  <c r="U1773" i="41" a="1"/>
  <c r="U2084" i="41" a="1"/>
  <c r="U455" i="41" a="1"/>
  <c r="U2097" i="41" a="1"/>
  <c r="U2147" i="41" a="1"/>
  <c r="U3004" i="41" a="1"/>
  <c r="U1929" i="41" a="1"/>
  <c r="U2098" i="41" a="1"/>
  <c r="U2928" i="41" a="1"/>
  <c r="U2850" i="41" a="1"/>
  <c r="U1505" i="41" a="1"/>
  <c r="U266" i="41" a="1"/>
  <c r="U504" i="41" a="1"/>
  <c r="U2821" i="41" a="1"/>
  <c r="U940" i="41" a="1"/>
  <c r="U971" i="41" a="1"/>
  <c r="U2111" i="41" a="1"/>
  <c r="U1534" i="41" a="1"/>
  <c r="U1393" i="41" a="1"/>
  <c r="U2214" i="41" a="1"/>
  <c r="U1062" i="41" a="1"/>
  <c r="U1225" i="41" a="1"/>
  <c r="U1552" i="41" a="1"/>
  <c r="U81" i="41" a="1"/>
  <c r="U557" i="41" a="1"/>
  <c r="U941" i="41" a="1"/>
  <c r="U1723" i="41" a="1"/>
  <c r="U1959" i="41" a="1"/>
  <c r="U2299" i="41" a="1"/>
  <c r="U1555" i="41" a="1"/>
  <c r="U639" i="41" a="1"/>
  <c r="U2178" i="41" a="1"/>
  <c r="U1023" i="41" a="1"/>
  <c r="U1407" i="41" a="1"/>
  <c r="U1650" i="41" a="1"/>
  <c r="U1886" i="41" a="1"/>
  <c r="U2634" i="41" a="1"/>
  <c r="U2904" i="41" a="1"/>
  <c r="U964" i="41" a="1"/>
  <c r="U293" i="41" a="1"/>
  <c r="U201" i="41" a="1"/>
  <c r="AH266" i="1" a="1"/>
  <c r="U1189" i="41" a="1"/>
  <c r="U1434" i="41" a="1"/>
  <c r="U172" i="41" a="1"/>
  <c r="U744" i="41" a="1"/>
  <c r="AI20" i="1" a="1"/>
  <c r="AH387" i="1" a="1"/>
  <c r="AI262" i="1" a="1"/>
  <c r="AI351" i="1" a="1"/>
  <c r="U1226" i="41" a="1"/>
  <c r="U2046" i="41" a="1"/>
  <c r="U1145" i="41" a="1"/>
  <c r="U1006" i="41" a="1"/>
  <c r="U1025" i="41" a="1"/>
  <c r="U1353" i="41" a="1"/>
  <c r="U1602" i="41" a="1"/>
  <c r="U456" i="41" a="1"/>
  <c r="U961" i="41" a="1"/>
  <c r="U175" i="41" a="1"/>
  <c r="U2165" i="41" a="1"/>
  <c r="AH522" i="1" a="1"/>
  <c r="U2775" i="41" a="1"/>
  <c r="U765" i="41" a="1"/>
  <c r="U3070" i="41" a="1"/>
  <c r="U752" i="41" a="1"/>
  <c r="AI522" i="1" a="1"/>
  <c r="AI18" i="1" a="1"/>
  <c r="U2208" i="41" a="1"/>
  <c r="U1994" i="41" a="1"/>
  <c r="U343" i="41" a="1"/>
  <c r="U1358" i="41" a="1"/>
  <c r="U1685" i="41" a="1"/>
  <c r="U463" i="41" a="1"/>
  <c r="U902" i="41" a="1"/>
  <c r="U1949" i="41" a="1"/>
  <c r="U2403" i="41" a="1"/>
  <c r="U195" i="41" a="1"/>
  <c r="U708" i="41" a="1"/>
  <c r="U2523" i="41" a="1"/>
  <c r="U315" i="41" a="1"/>
  <c r="U252" i="41" a="1"/>
  <c r="U2787" i="41" a="1"/>
  <c r="U232" i="41" a="1"/>
  <c r="U2329" i="41" a="1"/>
  <c r="U2580" i="41" a="1"/>
  <c r="U623" i="41" a="1"/>
  <c r="U2449" i="41" a="1"/>
  <c r="U1323" i="41" a="1"/>
  <c r="U167" i="41" a="1"/>
  <c r="U2713" i="41" a="1"/>
  <c r="U1001" i="41" a="1"/>
  <c r="U2075" i="41" a="1"/>
  <c r="U787" i="41" a="1"/>
  <c r="U826" i="41" a="1"/>
  <c r="U2195" i="41" a="1"/>
  <c r="U62" i="41" a="1"/>
  <c r="U370" i="41" a="1"/>
  <c r="U2459" i="41" a="1"/>
  <c r="U1881" i="41" a="1"/>
  <c r="U2529" i="41" a="1"/>
  <c r="U2548" i="41" a="1"/>
  <c r="U849" i="41" a="1"/>
  <c r="U2649" i="41" a="1"/>
  <c r="U2092" i="41" a="1"/>
  <c r="U393" i="41" a="1"/>
  <c r="U2913" i="41" a="1"/>
  <c r="U2932" i="41" a="1"/>
  <c r="U2031" i="41" a="1"/>
  <c r="U3140" i="41" a="1"/>
  <c r="U716" i="41" a="1"/>
  <c r="U2151" i="41" a="1"/>
  <c r="U2779" i="41" a="1"/>
  <c r="U2035" i="41" a="1"/>
  <c r="U448" i="41" a="1"/>
  <c r="U3071" i="41" a="1"/>
  <c r="U2041" i="41" a="1"/>
  <c r="U1121" i="41" a="1"/>
  <c r="U690" i="41" a="1"/>
  <c r="U338" i="41" a="1"/>
  <c r="U665" i="41" a="1"/>
  <c r="U238" i="41" a="1"/>
  <c r="U602" i="41" a="1"/>
  <c r="U2226" i="41" a="1"/>
  <c r="U1897" i="41" a="1"/>
  <c r="U977" i="41" a="1"/>
  <c r="U546" i="41" a="1"/>
  <c r="U2017" i="41" a="1"/>
  <c r="U521" i="41" a="1"/>
  <c r="U94" i="41" a="1"/>
  <c r="U458" i="41" a="1"/>
  <c r="U2082" i="41" a="1"/>
  <c r="U1584" i="41" a="1"/>
  <c r="U2967" i="41" a="1"/>
  <c r="U113" i="41" a="1"/>
  <c r="U1704" i="41" a="1"/>
  <c r="U2511" i="41" a="1"/>
  <c r="U303" i="41" a="1"/>
  <c r="U397" i="41" a="1"/>
  <c r="U868" i="41" a="1"/>
  <c r="U879" i="41" a="1"/>
  <c r="U2083" i="41" a="1"/>
  <c r="U1339" i="41" a="1"/>
  <c r="U999" i="41" a="1"/>
  <c r="U2105" i="41" a="1"/>
  <c r="U883" i="41" a="1"/>
  <c r="U1263" i="41" a="1"/>
  <c r="U2467" i="41" a="1"/>
  <c r="U794" i="41" a="1"/>
  <c r="U2418" i="41" a="1"/>
  <c r="U1266" i="41" a="1"/>
  <c r="U914" i="41" a="1"/>
  <c r="U1241" i="41" a="1"/>
  <c r="U810" i="41" a="1"/>
  <c r="U1178" i="41" a="1"/>
  <c r="U2802" i="41" a="1"/>
  <c r="U733" i="41" a="1"/>
  <c r="U1204" i="41" a="1"/>
  <c r="U20" i="41" a="1"/>
  <c r="U853" i="41" a="1"/>
  <c r="U748" i="41" a="1"/>
  <c r="U90" i="41" a="1"/>
  <c r="U1117" i="41" a="1"/>
  <c r="U1588" i="41" a="1"/>
  <c r="U432" i="41" a="1"/>
  <c r="U2690" i="41" a="1"/>
  <c r="U181" i="41" a="1"/>
  <c r="U552" i="41" a="1"/>
  <c r="U2234" i="41" a="1"/>
  <c r="U2" i="41" a="1"/>
  <c r="U816" i="41" a="1"/>
  <c r="U3086" i="41" a="1"/>
  <c r="U347" i="41" a="1"/>
  <c r="U2412" i="41" a="1"/>
  <c r="U1943" i="41" a="1"/>
  <c r="U467" i="41" a="1"/>
  <c r="U1956" i="41" a="1"/>
  <c r="U2415" i="41" a="1"/>
  <c r="U731" i="41" a="1"/>
  <c r="U2416" i="41" a="1"/>
  <c r="U717" i="41" a="1"/>
  <c r="U2900" i="41" a="1"/>
  <c r="U2536" i="41" a="1"/>
  <c r="U837" i="41" a="1"/>
  <c r="U2444" i="41" a="1"/>
  <c r="U2800" i="41" a="1"/>
  <c r="U1101" i="41" a="1"/>
  <c r="U2272" i="41" a="1"/>
  <c r="U573" i="41" a="1"/>
  <c r="U2756" i="41" a="1"/>
  <c r="U2392" i="41" a="1"/>
  <c r="U693" i="41" a="1"/>
  <c r="U2300" i="41" a="1"/>
  <c r="U2656" i="41" a="1"/>
  <c r="U957" i="41" a="1"/>
  <c r="U2959" i="41" a="1"/>
  <c r="U440" i="41" a="1"/>
  <c r="U1443" i="41" a="1"/>
  <c r="U3079" i="41" a="1"/>
  <c r="U560" i="41" a="1"/>
  <c r="U987" i="41" a="1"/>
  <c r="U3142" i="41" a="1"/>
  <c r="U824" i="41" a="1"/>
  <c r="U1565" i="41" a="1"/>
  <c r="U1270" i="41" a="1"/>
  <c r="U2207" i="41" a="1"/>
  <c r="U71" i="41" a="1"/>
  <c r="U1390" i="41" a="1"/>
  <c r="U3022" i="41" a="1"/>
  <c r="U601" i="41" a="1"/>
  <c r="U1654" i="41" a="1"/>
  <c r="U2849" i="41" a="1"/>
  <c r="U1293" i="41" a="1"/>
  <c r="U2661" i="41" a="1"/>
  <c r="U2789" i="41" a="1"/>
  <c r="U1413" i="41" a="1"/>
  <c r="U2205" i="41" a="1"/>
  <c r="U2729" i="41" a="1"/>
  <c r="U1677" i="41" a="1"/>
  <c r="U3131" i="41" a="1"/>
  <c r="U1160" i="41" a="1"/>
  <c r="U2163" i="41" a="1"/>
  <c r="U2868" i="41" a="1"/>
  <c r="U1280" i="41" a="1"/>
  <c r="U1707" i="41" a="1"/>
  <c r="U3132" i="41" a="1"/>
  <c r="U1544" i="41" a="1"/>
  <c r="U2285" i="41" a="1"/>
  <c r="U1063" i="41" a="1"/>
  <c r="U2090" i="41" a="1"/>
  <c r="U2405" i="41" a="1"/>
  <c r="U1183" i="41" a="1"/>
  <c r="U1634" i="41" a="1"/>
  <c r="U2191" i="41" a="1"/>
  <c r="U1447" i="41" a="1"/>
  <c r="U2142" i="41" a="1"/>
  <c r="U990" i="41" a="1"/>
  <c r="U2029" i="41" a="1"/>
  <c r="U2262" i="41" a="1"/>
  <c r="U1110" i="41" a="1"/>
  <c r="U1561" i="41" a="1"/>
  <c r="U2526" i="41" a="1"/>
  <c r="U1374" i="41" a="1"/>
  <c r="U2558" i="41" a="1"/>
  <c r="U49" i="41" a="1"/>
  <c r="U1775" i="41" a="1"/>
  <c r="U2678" i="41" a="1"/>
  <c r="U2284" i="41" a="1"/>
  <c r="U1319" i="41" a="1"/>
  <c r="U2942" i="41" a="1"/>
  <c r="U145" i="41" a="1"/>
  <c r="U2414" i="41" a="1"/>
  <c r="U2572" i="41" a="1"/>
  <c r="U1631" i="41" a="1"/>
  <c r="U2534" i="41" a="1"/>
  <c r="U2874" i="41" a="1"/>
  <c r="U1175" i="41" a="1"/>
  <c r="U2798" i="41" a="1"/>
  <c r="U7" i="41" a="1"/>
  <c r="U2136" i="41" a="1"/>
  <c r="U889" i="41" a="1"/>
  <c r="U1834" i="41" a="1"/>
  <c r="U2256" i="41" a="1"/>
  <c r="U994" i="41" a="1"/>
  <c r="U1378" i="41" a="1"/>
  <c r="U2520" i="41" a="1"/>
  <c r="U364" i="41" a="1"/>
  <c r="U3053" i="41" a="1"/>
  <c r="U1437" i="41" a="1"/>
  <c r="U2805" i="41" a="1"/>
  <c r="U2813" i="41" a="1"/>
  <c r="U1557" i="41" a="1"/>
  <c r="U2349" i="41" a="1"/>
  <c r="U2453" i="41" a="1"/>
  <c r="U1821" i="41" a="1"/>
  <c r="U2892" i="41" a="1"/>
  <c r="U1304" i="41" a="1"/>
  <c r="U340" i="41" a="1"/>
  <c r="U3012" i="41" a="1"/>
  <c r="U1424" i="41" a="1"/>
  <c r="U1851" i="41" a="1"/>
  <c r="U3139" i="41" a="1"/>
  <c r="U1688" i="41" a="1"/>
  <c r="U2429" i="41" a="1"/>
  <c r="U1207" i="41" a="1"/>
  <c r="U435" i="41" a="1"/>
  <c r="U3150" i="41" a="1"/>
  <c r="U1327" i="41" a="1"/>
  <c r="U1778" i="41" a="1"/>
  <c r="U2335" i="41" a="1"/>
  <c r="U1591" i="41" a="1"/>
  <c r="U2286" i="41" a="1"/>
  <c r="U1134" i="41" a="1"/>
  <c r="U350" i="41" a="1"/>
  <c r="U2406" i="41" a="1"/>
  <c r="U1254" i="41" a="1"/>
  <c r="U1705" i="41" a="1"/>
  <c r="U2670" i="41" a="1"/>
  <c r="U1518" i="41" a="1"/>
  <c r="U1072" i="41" a="1"/>
  <c r="U127" i="41" a="1"/>
  <c r="U289" i="41" a="1"/>
  <c r="U1192" i="41" a="1"/>
  <c r="U8" i="41" a="1"/>
  <c r="U1404" i="41" a="1"/>
  <c r="U1456" i="41" a="1"/>
  <c r="U272" i="41" a="1"/>
  <c r="U2424" i="41" a="1"/>
  <c r="U459" i="41" a="1"/>
  <c r="U47" i="41" a="1"/>
  <c r="U2544" i="41" a="1"/>
  <c r="U300" i="41" a="1"/>
  <c r="U1666" i="41" a="1"/>
  <c r="U2137" i="41" a="1"/>
  <c r="U1799" i="41" a="1"/>
  <c r="U2280" i="41" a="1"/>
  <c r="U662" i="41" a="1"/>
  <c r="U1978" i="41" a="1"/>
  <c r="U2400" i="41" a="1"/>
  <c r="U503" i="41" a="1"/>
  <c r="U1522" i="41" a="1"/>
  <c r="U2664" i="41" a="1"/>
  <c r="U2685" i="41" a="1"/>
  <c r="U2626" i="41" a="1"/>
  <c r="U3076" i="41" a="1"/>
  <c r="U2001" i="41" a="1"/>
  <c r="U2746" i="41" a="1"/>
  <c r="U2693" i="41" a="1"/>
  <c r="U1545" i="41" a="1"/>
  <c r="U3010" i="41" a="1"/>
  <c r="U188" i="41" a="1"/>
  <c r="U2624" i="41" a="1"/>
  <c r="U1828" i="41" a="1"/>
  <c r="U1868" i="41" a="1"/>
  <c r="U2744" i="41" a="1"/>
  <c r="U3000" i="41" a="1"/>
  <c r="U1412" i="41" a="1"/>
  <c r="U3020" i="41" a="1"/>
  <c r="U2212" i="41" a="1"/>
  <c r="U1311" i="41" a="1"/>
  <c r="U2515" i="41" a="1"/>
  <c r="U1771" i="41" a="1"/>
  <c r="U1431" i="41" a="1"/>
  <c r="U3138" i="41" a="1"/>
  <c r="U1315" i="41" a="1"/>
  <c r="U1695" i="41" a="1"/>
  <c r="U2899" i="41" a="1"/>
  <c r="U1429" i="41" a="1"/>
  <c r="U590" i="41" a="1"/>
  <c r="U1493" i="41" a="1"/>
  <c r="U271" i="41" a="1"/>
  <c r="U422" i="41" a="1"/>
  <c r="U1181" i="41" a="1"/>
  <c r="U750" i="41" a="1"/>
  <c r="U1476" i="41" a="1"/>
  <c r="U1759" i="41" a="1"/>
  <c r="U529" i="41" a="1"/>
  <c r="U629" i="41" a="1"/>
  <c r="U202" i="41" a="1"/>
  <c r="U361" i="41" a="1"/>
  <c r="U688" i="41" a="1"/>
  <c r="U30" i="41" a="1"/>
  <c r="U1391" i="41" a="1"/>
  <c r="U540" i="41" a="1"/>
  <c r="U634" i="41" a="1"/>
  <c r="U2579" i="41" a="1"/>
  <c r="U138" i="41" a="1"/>
  <c r="U466" i="41" a="1"/>
  <c r="U2530" i="41" a="1"/>
  <c r="U1732" i="41" a="1"/>
  <c r="U1772" i="41" a="1"/>
  <c r="U1098" i="41" a="1"/>
  <c r="U657" i="41" a="1"/>
  <c r="U3033" i="41" a="1"/>
  <c r="U2188" i="41" a="1"/>
  <c r="U489" i="41" a="1"/>
  <c r="U2528" i="41" a="1"/>
  <c r="U2419" i="41" a="1"/>
  <c r="U3093" i="41" a="1"/>
  <c r="U2364" i="41" a="1"/>
  <c r="U3061" i="41" a="1"/>
  <c r="U851" i="41" a="1"/>
  <c r="U2052" i="41" a="1"/>
  <c r="U1655" i="41" a="1"/>
  <c r="U1606" i="41" a="1"/>
  <c r="U2997" i="41" a="1"/>
  <c r="U2493" i="41" a="1"/>
  <c r="U1930" i="41" a="1"/>
  <c r="U2257" i="41" a="1"/>
  <c r="U457" i="41" a="1"/>
  <c r="U1762" i="41" a="1"/>
  <c r="U2555" i="41" a="1"/>
  <c r="U2645" i="41" a="1"/>
  <c r="U136" i="41" a="1"/>
  <c r="U221" i="41" a="1"/>
  <c r="U65" i="41" a="1"/>
  <c r="U661" i="41" a="1"/>
  <c r="U2751" i="41" a="1"/>
  <c r="U196" i="41" a="1"/>
  <c r="U912" i="41" a="1"/>
  <c r="U2221" i="41" a="1"/>
  <c r="U2312" i="41" a="1"/>
  <c r="U1310" i="41" a="1"/>
  <c r="U2213" i="41" a="1"/>
  <c r="U991" i="41" a="1"/>
  <c r="U1142" i="41" a="1"/>
  <c r="U2622" i="41" a="1"/>
  <c r="U1470" i="41" a="1"/>
  <c r="U625" i="41" a="1"/>
  <c r="U3109" i="41" a="1"/>
  <c r="U1676" i="41" a="1"/>
  <c r="U2313" i="41" a="1"/>
  <c r="U3096" i="41" a="1"/>
  <c r="U1508" i="41" a="1"/>
  <c r="U400" i="41" a="1"/>
  <c r="U2177" i="41" a="1"/>
  <c r="U413" i="41" a="1"/>
  <c r="U797" i="41" a="1"/>
  <c r="U1579" i="41" a="1"/>
  <c r="U1815" i="41" a="1"/>
  <c r="U2155" i="41" a="1"/>
  <c r="U1377" i="41" a="1"/>
  <c r="U2452" i="41" a="1"/>
  <c r="U2742" i="41" a="1"/>
  <c r="U1590" i="41" a="1"/>
  <c r="AH350" i="1" a="1"/>
  <c r="U3121" i="41" a="1"/>
  <c r="U1338" i="41" a="1"/>
  <c r="U166" i="41" a="1"/>
  <c r="U901" i="41" a="1"/>
  <c r="AI387" i="1" a="1"/>
  <c r="AH420" i="1" a="1"/>
  <c r="AH536" i="1" a="1"/>
  <c r="AH417" i="1" a="1"/>
  <c r="U2216" i="41" a="1"/>
  <c r="U333" i="41" a="1"/>
  <c r="U28" i="41" a="1"/>
  <c r="U659" i="41" a="1"/>
  <c r="U1066" i="41" a="1"/>
  <c r="U566" i="41" a="1"/>
  <c r="U1531" i="41" a="1"/>
  <c r="U530" i="41" a="1"/>
  <c r="U2919" i="41" a="1"/>
  <c r="U909" i="41" a="1"/>
  <c r="U2867" i="41" a="1"/>
  <c r="U2638" i="41" a="1"/>
  <c r="U980" i="41" a="1"/>
  <c r="U349" i="41" a="1"/>
  <c r="U2440" i="41" a="1"/>
  <c r="U741" i="41" a="1"/>
  <c r="AH392" i="1" a="1"/>
  <c r="AH37" i="1" a="1"/>
  <c r="U2200" i="41" a="1"/>
  <c r="U2460" i="41" a="1"/>
  <c r="U808" i="41" a="1"/>
  <c r="U150" i="41" a="1"/>
  <c r="U1765" i="41" a="1"/>
  <c r="AI45" i="1" a="1"/>
  <c r="AH33" i="1" a="1"/>
  <c r="U1499" i="41" a="1"/>
  <c r="U2893" i="41" a="1"/>
  <c r="U3048" i="41" a="1"/>
  <c r="U1619" i="41" a="1"/>
  <c r="U2437" i="41" a="1"/>
  <c r="U3149" i="41" a="1"/>
  <c r="U96" i="41" a="1"/>
  <c r="U2354" i="41" a="1"/>
  <c r="U1702" i="41" a="1"/>
  <c r="U2639" i="41" a="1"/>
  <c r="U1465" i="41" a="1"/>
  <c r="U1822" i="41" a="1"/>
  <c r="U2183" i="41" a="1"/>
  <c r="U1611" i="41" a="1"/>
  <c r="U2086" i="41" a="1"/>
  <c r="U2076" i="41" a="1"/>
  <c r="U1171" i="41" a="1"/>
  <c r="U1089" i="41" a="1"/>
  <c r="U2410" i="41" a="1"/>
  <c r="U2620" i="41" a="1"/>
  <c r="U921" i="41" a="1"/>
  <c r="U2960" i="41" a="1"/>
  <c r="U2851" i="41" a="1"/>
  <c r="U3041" i="41" a="1"/>
  <c r="U3040" i="41" a="1"/>
  <c r="U956" i="41" a="1"/>
  <c r="U2408" i="41" a="1"/>
  <c r="U3106" i="41" a="1"/>
  <c r="U788" i="41" a="1"/>
  <c r="U1647" i="41" a="1"/>
  <c r="U1457" i="41" a="1"/>
  <c r="U1854" i="41" a="1"/>
  <c r="U439" i="41" a="1"/>
  <c r="U67" i="41" a="1"/>
  <c r="U1237" i="41" a="1"/>
  <c r="U844" i="41" a="1"/>
  <c r="U186" i="41" a="1"/>
  <c r="U1488" i="41" a="1"/>
  <c r="U2797" i="41" a="1"/>
  <c r="U3024" i="41" a="1"/>
  <c r="U1780" i="41" a="1"/>
  <c r="U9" i="41" a="1"/>
  <c r="U936" i="41" a="1"/>
  <c r="U2330" i="41" a="1"/>
  <c r="U97" i="41" a="1"/>
  <c r="U1403" i="41" a="1"/>
  <c r="U2543" i="41" a="1"/>
  <c r="U1331" i="41" a="1"/>
  <c r="U1837" i="41" a="1"/>
  <c r="U2646" i="41" a="1"/>
  <c r="U1494" i="41" a="1"/>
  <c r="U1657" i="41" a="1"/>
  <c r="U605" i="41" a="1"/>
  <c r="U178" i="41" a="1"/>
  <c r="U1067" i="41" a="1"/>
  <c r="U1451" i="41" a="1"/>
  <c r="U498" i="41" a="1"/>
  <c r="U722" i="41" a="1"/>
  <c r="U761" i="41" a="1"/>
  <c r="U330" i="41" a="1"/>
  <c r="U1213" i="41" a="1"/>
  <c r="U2295" i="41" a="1"/>
  <c r="U1397" i="41" a="1"/>
  <c r="U1395" i="41" a="1"/>
  <c r="U3059" i="41" a="1"/>
  <c r="U1088" i="41" a="1"/>
  <c r="U1227" i="41" a="1"/>
  <c r="U2287" i="41" a="1"/>
  <c r="U1543" i="41" a="1"/>
  <c r="U686" i="41" a="1"/>
  <c r="U802" i="41" a="1"/>
  <c r="U1809" i="41" a="1"/>
  <c r="U1859" i="41" a="1"/>
  <c r="U2909" i="41" a="1"/>
  <c r="U1641" i="41" a="1"/>
  <c r="U2865" i="41" a="1"/>
  <c r="U3023" i="41" a="1"/>
  <c r="U401" i="41" a="1"/>
  <c r="U785" i="41" a="1"/>
  <c r="U2716" i="41" a="1"/>
  <c r="U216" i="41" a="1"/>
  <c r="U2533" i="41" a="1"/>
  <c r="U2724" i="41" a="1"/>
  <c r="U683" i="41" a="1"/>
  <c r="U1823" i="41" a="1"/>
  <c r="U867" i="41" a="1"/>
  <c r="U2447" i="41" a="1"/>
  <c r="U747" i="41" a="1"/>
  <c r="U131" i="41" a="1"/>
  <c r="U2279" i="41" a="1"/>
  <c r="U2341" i="41" a="1"/>
  <c r="U1018" i="41" a="1"/>
  <c r="U2985" i="41" a="1"/>
  <c r="AH15" i="1" a="1"/>
  <c r="AH388" i="1" a="1"/>
  <c r="U1976" i="41" a="1"/>
  <c r="U742" i="41" a="1"/>
  <c r="U2916" i="41" a="1"/>
  <c r="U1328" i="41" a="1"/>
  <c r="AH405" i="1" a="1"/>
  <c r="AI406" i="1" a="1"/>
  <c r="U896" i="41" a="1"/>
  <c r="U1781" i="41" a="1"/>
  <c r="U878" i="41" a="1"/>
  <c r="U894" i="41" a="1"/>
  <c r="U3054" i="41" a="1"/>
  <c r="AI350" i="1" a="1"/>
  <c r="U12" i="41" a="1"/>
  <c r="U2577" i="41" a="1"/>
  <c r="U1426" i="41" a="1"/>
  <c r="U2840" i="41" a="1"/>
  <c r="U1813" i="41" a="1"/>
  <c r="U1620" i="41" a="1"/>
  <c r="U2592" i="41" a="1"/>
  <c r="AI33" i="1" a="1"/>
  <c r="U2198" i="41" a="1"/>
  <c r="U1635" i="41" a="1"/>
  <c r="U2582" i="41" a="1"/>
  <c r="U73" i="41" a="1"/>
  <c r="U1177" i="41" a="1"/>
  <c r="U823" i="41" a="1"/>
  <c r="U2135" i="41" a="1"/>
  <c r="U1992" i="41" a="1"/>
  <c r="U876" i="41" a="1"/>
  <c r="U1690" i="41" a="1"/>
  <c r="U2112" i="41" a="1"/>
  <c r="U1017" i="41" a="1"/>
  <c r="U1234" i="41" a="1"/>
  <c r="U640" i="41" a="1"/>
  <c r="U2880" i="41" a="1"/>
  <c r="U1292" i="41" a="1"/>
  <c r="U2168" i="41" a="1"/>
  <c r="U2807" i="41" a="1"/>
  <c r="U836" i="41" a="1"/>
  <c r="U2432" i="41" a="1"/>
  <c r="U3127" i="41" a="1"/>
  <c r="U735" i="41" a="1"/>
  <c r="U2417" i="41" a="1"/>
  <c r="U1195" i="41" a="1"/>
  <c r="U855" i="41" a="1"/>
  <c r="U1961" i="41" a="1"/>
  <c r="U739" i="41" a="1"/>
  <c r="U1119" i="41" a="1"/>
  <c r="U2323" i="41" a="1"/>
  <c r="U650" i="41" a="1"/>
  <c r="U2274" i="41" a="1"/>
  <c r="U1122" i="41" a="1"/>
  <c r="U770" i="41" a="1"/>
  <c r="U1097" i="41" a="1"/>
  <c r="U666" i="41" a="1"/>
  <c r="U1034" i="41" a="1"/>
  <c r="U2658" i="41" a="1"/>
  <c r="U589" i="41" a="1"/>
  <c r="U1060" i="41" a="1"/>
  <c r="U115" i="41" a="1"/>
  <c r="U709" i="41" a="1"/>
  <c r="U3087" i="41" a="1"/>
  <c r="U233" i="41" a="1"/>
  <c r="U973" i="41" a="1"/>
  <c r="U1444" i="41" a="1"/>
  <c r="U288" i="41" a="1"/>
  <c r="U2546" i="41" a="1"/>
  <c r="U37" i="41" a="1"/>
  <c r="U408" i="41" a="1"/>
  <c r="U3013" i="41" a="1"/>
  <c r="U11" i="41" a="1"/>
  <c r="U672" i="41" a="1"/>
  <c r="U2930" i="41" a="1"/>
  <c r="U550" i="41" a="1"/>
  <c r="U2758" i="41" a="1"/>
  <c r="U1290" i="41" a="1"/>
  <c r="U670" i="41" a="1"/>
  <c r="U2302" i="41" a="1"/>
  <c r="U1892" i="41" a="1"/>
  <c r="U934" i="41" a="1"/>
  <c r="U1574" i="41" a="1"/>
  <c r="U406" i="41" a="1"/>
  <c r="U2614" i="41" a="1"/>
  <c r="U142" i="41" a="1"/>
  <c r="U526" i="41" a="1"/>
  <c r="U2158" i="41" a="1"/>
  <c r="U1939" i="41" a="1"/>
  <c r="U790" i="41" a="1"/>
  <c r="U2128" i="41" a="1"/>
  <c r="U429" i="41" a="1"/>
  <c r="U2612" i="41" a="1"/>
  <c r="U2248" i="41" a="1"/>
  <c r="U549" i="41" a="1"/>
  <c r="U2156" i="41" a="1"/>
  <c r="U2512" i="41" a="1"/>
  <c r="U813" i="41" a="1"/>
  <c r="U2815" i="41" a="1"/>
  <c r="U923" i="41" a="1"/>
  <c r="U2317" i="41" a="1"/>
  <c r="U1660" i="41" a="1"/>
  <c r="U1043" i="41" a="1"/>
  <c r="U2532" i="41" a="1"/>
  <c r="U2395" i="41" a="1"/>
  <c r="U1307" i="41" a="1"/>
  <c r="U2701" i="41" a="1"/>
  <c r="U1126" i="41" a="1"/>
  <c r="U2063" i="41" a="1"/>
  <c r="U562" i="41" a="1"/>
  <c r="U1510" i="41" a="1"/>
  <c r="U2525" i="41" a="1"/>
  <c r="U1533" i="41" a="1"/>
  <c r="U3107" i="41" a="1"/>
  <c r="U1400" i="41" a="1"/>
  <c r="U2261" i="41" a="1"/>
  <c r="U1303" i="41" a="1"/>
  <c r="U1048" i="41" a="1"/>
  <c r="U128" i="41" a="1"/>
  <c r="U904" i="41" a="1"/>
  <c r="U223" i="41" a="1"/>
  <c r="U2390" i="41" a="1"/>
  <c r="U243" i="41" a="1"/>
  <c r="U2838" i="41" a="1"/>
  <c r="U1950" i="41" a="1"/>
  <c r="U1624" i="41" a="1"/>
  <c r="U82" i="41" a="1"/>
  <c r="U3122" i="41" a="1"/>
  <c r="U291" i="41" a="1"/>
  <c r="U2161" i="41" a="1"/>
  <c r="U2426" i="41" a="1"/>
  <c r="U1907" i="41" a="1"/>
  <c r="U596" i="41" a="1"/>
  <c r="U2007" i="41" a="1"/>
  <c r="U2927" i="41" a="1"/>
  <c r="U1863" i="41" a="1"/>
  <c r="U3130" i="41" a="1"/>
  <c r="U1790" i="41" a="1"/>
  <c r="U1937" i="41" a="1"/>
  <c r="U389" i="41" a="1"/>
  <c r="U226" i="41" a="1"/>
  <c r="U2379" i="41" a="1"/>
  <c r="U88" i="41" a="1"/>
  <c r="U2305" i="41" a="1"/>
  <c r="U3135" i="41" a="1"/>
  <c r="U2051" i="41" a="1"/>
  <c r="U441" i="41" a="1"/>
  <c r="U2505" i="41" a="1"/>
  <c r="U2788" i="41" a="1"/>
  <c r="U2078" i="41" a="1"/>
  <c r="U2225" i="41" a="1"/>
  <c r="U1934" i="41" a="1"/>
  <c r="U2081" i="41" a="1"/>
  <c r="U1873" i="41" a="1"/>
  <c r="U1217" i="41" a="1"/>
  <c r="U1560" i="41" a="1"/>
  <c r="U724" i="41" a="1"/>
  <c r="U1475" i="41" a="1"/>
  <c r="U2210" i="41" a="1"/>
  <c r="U1722" i="41" a="1"/>
  <c r="U2060" i="41" a="1"/>
  <c r="U2476" i="41" a="1"/>
  <c r="U1152" i="41" a="1"/>
  <c r="U1193" i="41" a="1"/>
  <c r="U1710" i="41" a="1"/>
  <c r="U700" i="41" a="1"/>
  <c r="U2314" i="41" a="1"/>
  <c r="U1586" i="41" a="1"/>
  <c r="U2434" i="41" a="1"/>
  <c r="U259" i="41" a="1"/>
  <c r="U2564" i="41" a="1"/>
  <c r="U3084" i="41" a="1"/>
  <c r="U1642" i="41" a="1"/>
  <c r="U2267" i="41" a="1"/>
  <c r="U76" i="41" a="1"/>
  <c r="U624" i="41" a="1"/>
  <c r="U1996" i="41" a="1"/>
  <c r="U1679" i="41" a="1"/>
  <c r="U2810" i="41" a="1"/>
  <c r="AH396" i="1" a="1"/>
  <c r="U1033" i="41" a="1"/>
  <c r="U1082" i="41" a="1"/>
  <c r="U2342" i="41" a="1"/>
  <c r="U2561" i="41" a="1"/>
  <c r="AI27" i="1" a="1"/>
  <c r="U2936" i="41" a="1"/>
  <c r="U197" i="41" a="1"/>
  <c r="U416" i="41" a="1"/>
  <c r="U1421" i="41" a="1"/>
  <c r="U319" i="41" a="1"/>
  <c r="U1783" i="41" a="1"/>
  <c r="U1132" i="41" a="1"/>
  <c r="U2897" i="41" a="1"/>
  <c r="U2618" i="41" a="1"/>
  <c r="U1698" i="41" a="1"/>
  <c r="U2972" i="41" a="1"/>
  <c r="U1672" i="41" a="1"/>
  <c r="U1659" i="41" a="1"/>
  <c r="U599" i="41" a="1"/>
  <c r="U2073" i="41" a="1"/>
  <c r="U2566" i="41" a="1"/>
  <c r="U2777" i="41" a="1"/>
  <c r="U1439" i="41" a="1"/>
  <c r="U2521" i="41" a="1"/>
  <c r="U214" i="41" a="1"/>
  <c r="U925" i="41" a="1"/>
  <c r="U3118" i="41" a="1"/>
  <c r="U1255" i="41" a="1"/>
  <c r="U1925" i="41" a="1"/>
  <c r="U306" i="41" a="1"/>
  <c r="U917" i="41" a="1"/>
  <c r="U1302" i="41" a="1"/>
  <c r="U1742" i="41" a="1"/>
  <c r="U1244" i="41" a="1"/>
  <c r="U793" i="41" a="1"/>
  <c r="U1825" i="41" a="1"/>
  <c r="U2616" i="41" a="1"/>
  <c r="U1409" i="41" a="1"/>
  <c r="U1530" i="41" a="1"/>
  <c r="U727" i="41" a="1"/>
  <c r="U701" i="41" a="1"/>
  <c r="U274" i="41" a="1"/>
  <c r="U1297" i="41" a="1"/>
  <c r="U821" i="41" a="1"/>
  <c r="U390" i="41" a="1"/>
  <c r="U841" i="41" a="1"/>
  <c r="U1085" i="41" a="1"/>
  <c r="U654" i="41" a="1"/>
  <c r="U2933" i="41" a="1"/>
  <c r="U3028" i="41" a="1"/>
  <c r="U134" i="41" a="1"/>
  <c r="U1368" i="41" a="1"/>
  <c r="U2762" i="41" a="1"/>
  <c r="U253" i="41" a="1"/>
  <c r="U48" i="41" a="1"/>
  <c r="U2028" i="41" a="1"/>
  <c r="U2461" i="41" a="1"/>
  <c r="U2845" i="41" a="1"/>
  <c r="U2442" i="41" a="1"/>
  <c r="U1283" i="41" a="1"/>
  <c r="U2484" i="41" a="1"/>
  <c r="U1238" i="41" a="1"/>
  <c r="U2038" i="41" a="1"/>
  <c r="U2374" i="41" a="1"/>
  <c r="U1816" i="41" a="1"/>
  <c r="U1971" i="41" a="1"/>
  <c r="U3115" i="41" a="1"/>
  <c r="U1664" i="41" a="1"/>
  <c r="U1803" i="41" a="1"/>
  <c r="U2863" i="41" a="1"/>
  <c r="U344" i="41" a="1"/>
  <c r="U1262" i="41" a="1"/>
  <c r="U2627" i="41" a="1"/>
  <c r="U1898" i="41" a="1"/>
  <c r="U2311" i="41" a="1"/>
  <c r="U1567" i="41" a="1"/>
  <c r="U1730" i="41" a="1"/>
  <c r="U1469" i="41" a="1"/>
  <c r="U247" i="41" a="1"/>
  <c r="U1201" i="41" a="1"/>
  <c r="U140" i="41" a="1"/>
  <c r="U513" i="41" a="1"/>
  <c r="U2889" i="41" a="1"/>
  <c r="U2044" i="41" a="1"/>
  <c r="U345" i="41" a="1"/>
  <c r="U2384" i="41" a="1"/>
  <c r="U2275" i="41" a="1"/>
  <c r="U165" i="41" a="1"/>
  <c r="U2708" i="41" a="1"/>
  <c r="U2920" i="41" a="1"/>
  <c r="U1221" i="41" a="1"/>
  <c r="U2540" i="41" a="1"/>
  <c r="U3145" i="41" a="1"/>
  <c r="U1640" i="41" a="1"/>
  <c r="U771" i="41" a="1"/>
  <c r="U316" i="41" a="1"/>
  <c r="U1786" i="41" a="1"/>
  <c r="U2113" i="41" a="1"/>
  <c r="U444" i="41" a="1"/>
  <c r="U1618" i="41" a="1"/>
  <c r="U2411" i="41" a="1"/>
  <c r="U2884" i="41" a="1"/>
  <c r="U339" i="41" a="1"/>
  <c r="U77" i="41" a="1"/>
  <c r="U220" i="41" a="1"/>
  <c r="U517" i="41" a="1"/>
  <c r="U2607" i="41" a="1"/>
  <c r="U52" i="41" a="1"/>
  <c r="U768" i="41" a="1"/>
  <c r="U2748" i="41" a="1"/>
  <c r="U1287" i="41" a="1"/>
  <c r="U1166" i="41" a="1"/>
  <c r="U2069" i="41" a="1"/>
  <c r="U847" i="41" a="1"/>
  <c r="U998" i="41" a="1"/>
  <c r="U2478" i="41" a="1"/>
  <c r="U1326" i="41" a="1"/>
  <c r="U481" i="41" a="1"/>
  <c r="U1701" i="41" a="1"/>
  <c r="U1105" i="41" a="1"/>
  <c r="U1205" i="41" a="1"/>
  <c r="U774" i="41" a="1"/>
  <c r="U937" i="41" a="1"/>
  <c r="U1219" i="41" a="1"/>
  <c r="U17" i="41" a="1"/>
  <c r="U888" i="41" a="1"/>
  <c r="AH403" i="1" a="1"/>
  <c r="U180" i="41" a="1"/>
  <c r="U1527" i="41" a="1"/>
  <c r="U1057" i="41" a="1"/>
  <c r="U2353" i="41" a="1"/>
  <c r="U2991" i="41" a="1"/>
  <c r="U200" i="41" a="1"/>
  <c r="U862" i="41" a="1"/>
  <c r="AH7" i="1" a="1"/>
  <c r="U1708" i="41" a="1"/>
  <c r="U501" i="41" a="1"/>
  <c r="U959" i="41" a="1"/>
  <c r="U2099" i="41" a="1"/>
  <c r="U217" i="41" a="1"/>
  <c r="U1321" i="41" a="1"/>
  <c r="U2594" i="41" a="1"/>
  <c r="U1240" i="41" a="1"/>
  <c r="U2696" i="41" a="1"/>
  <c r="U1209" i="41" a="1"/>
  <c r="U1458" i="41" a="1"/>
  <c r="U386" i="41" a="1"/>
  <c r="AH45" i="1" a="1"/>
  <c r="U649" i="41" a="1"/>
  <c r="U1243" i="41" a="1"/>
  <c r="U1982" i="41" a="1"/>
  <c r="AI26" i="1" a="1"/>
  <c r="U967" i="41" a="1"/>
  <c r="U1570" i="41" a="1"/>
  <c r="U2894" i="41" a="1"/>
  <c r="U1860" i="41" a="1"/>
  <c r="U83" i="41" a="1"/>
  <c r="U1597" i="41" a="1"/>
  <c r="U689" i="41" a="1"/>
  <c r="U262" i="41" a="1"/>
  <c r="U1717" i="41" a="1"/>
  <c r="U1612" i="41" a="1"/>
  <c r="U141" i="41" a="1"/>
  <c r="U1993" i="41" a="1"/>
  <c r="U1073" i="41" a="1"/>
  <c r="U1296" i="41" a="1"/>
  <c r="U2679" i="41" a="1"/>
  <c r="U124" i="41" a="1"/>
  <c r="U1416" i="41" a="1"/>
  <c r="U3110" i="41" a="1"/>
  <c r="U15" i="41" a="1"/>
  <c r="U1680" i="41" a="1"/>
  <c r="U3063" i="41" a="1"/>
  <c r="U2149" i="41" a="1"/>
  <c r="U575" i="41" a="1"/>
  <c r="U2977" i="41" a="1"/>
  <c r="U2206" i="41" a="1"/>
  <c r="U407" i="41" a="1"/>
  <c r="U2328" i="41" a="1"/>
  <c r="U3124" i="41" a="1"/>
  <c r="U2049" i="41" a="1"/>
  <c r="U553" i="41" a="1"/>
  <c r="U778" i="41" a="1"/>
  <c r="U2723" i="41" a="1"/>
  <c r="U426" i="41" a="1"/>
  <c r="U610" i="41" a="1"/>
  <c r="U2674" i="41" a="1"/>
  <c r="U1876" i="41" a="1"/>
  <c r="U2651" i="41" a="1"/>
  <c r="U2088" i="41" a="1"/>
  <c r="U859" i="41" a="1"/>
  <c r="U1095" i="41" a="1"/>
  <c r="U1913" i="41" a="1"/>
  <c r="U691" i="41" a="1"/>
  <c r="U1562" i="41" a="1"/>
  <c r="U593" i="41" a="1"/>
  <c r="U1008" i="41" a="1"/>
  <c r="U1392" i="41" a="1"/>
  <c r="U786" i="41" a="1"/>
  <c r="U1010" i="41" a="1"/>
  <c r="U1049" i="41" a="1"/>
  <c r="U618" i="41" a="1"/>
  <c r="U1501" i="41" a="1"/>
  <c r="U2583" i="41" a="1"/>
  <c r="U2647" i="41" a="1"/>
  <c r="U1683" i="41" a="1"/>
  <c r="U2964" i="41" a="1"/>
  <c r="U1376" i="41" a="1"/>
  <c r="U1515" i="41" a="1"/>
  <c r="U2575" i="41" a="1"/>
  <c r="U1831" i="41" a="1"/>
  <c r="U2383" i="41" a="1"/>
  <c r="U2767" i="41" a="1"/>
  <c r="U380" i="41" a="1"/>
  <c r="U424" i="41" a="1"/>
  <c r="U2731" i="41" a="1"/>
  <c r="U1987" i="41" a="1"/>
  <c r="U1071" i="41" a="1"/>
  <c r="U2610" i="41" a="1"/>
  <c r="U1402" i="41" a="1"/>
  <c r="U2422" i="41" a="1"/>
  <c r="U1795" i="41" a="1"/>
  <c r="U910" i="41" a="1"/>
  <c r="U2254" i="41" a="1"/>
  <c r="U2825" i="41" a="1"/>
  <c r="U1485" i="41" a="1"/>
  <c r="U388" i="41" a="1"/>
  <c r="U2250" i="41" a="1"/>
  <c r="U1295" i="41" a="1"/>
  <c r="U2774" i="41" a="1"/>
  <c r="U3018" i="41" a="1"/>
  <c r="U1127" i="41" a="1"/>
  <c r="U2377" i="41" a="1"/>
  <c r="U585" i="41" a="1"/>
  <c r="U1725" i="41" a="1"/>
  <c r="U2109" i="41" a="1"/>
  <c r="U70" i="41" a="1"/>
  <c r="U278" i="41" a="1"/>
  <c r="U329" i="41" a="1"/>
  <c r="U237" i="41" a="1"/>
  <c r="U781" i="41" a="1"/>
  <c r="U2738" i="41" a="1"/>
  <c r="U796" i="41" a="1"/>
  <c r="U2441" i="41" a="1"/>
  <c r="U279" i="41" a="1"/>
  <c r="U1800" i="41" a="1"/>
  <c r="U2319" i="41" a="1"/>
  <c r="U1671" i="41" a="1"/>
  <c r="U1777" i="41" a="1"/>
  <c r="U2497" i="41" a="1"/>
  <c r="U713" i="41" a="1"/>
  <c r="AI536" i="1" a="1"/>
  <c r="U1436" i="41" a="1"/>
  <c r="U1835" i="41" a="1"/>
  <c r="U588" i="41" a="1"/>
  <c r="U1150" i="41" a="1"/>
  <c r="AH372" i="1" a="1"/>
  <c r="AI13" i="1" a="1"/>
  <c r="AH355" i="1" a="1"/>
  <c r="AI398" i="1" a="1"/>
  <c r="U614" i="41" a="1"/>
  <c r="U2089" i="41" a="1"/>
  <c r="U2872" i="41" a="1"/>
  <c r="U218" i="41" a="1"/>
  <c r="U1106" i="41" a="1"/>
  <c r="U2752" i="41" a="1"/>
  <c r="U231" i="41" a="1"/>
  <c r="U1087" i="41" a="1"/>
  <c r="U148" i="41" a="1"/>
  <c r="U2450" i="41" a="1"/>
  <c r="U1096" i="41" a="1"/>
  <c r="U320" i="41" a="1"/>
  <c r="U1291" i="41" a="1"/>
  <c r="U2995" i="41" a="1"/>
  <c r="U1301" i="41" a="1"/>
  <c r="U870" i="41" a="1"/>
  <c r="AH393" i="1" a="1"/>
  <c r="U2235" i="41" a="1"/>
  <c r="U559" i="41" a="1"/>
  <c r="U239" i="41" a="1"/>
  <c r="U2794" i="41" a="1"/>
  <c r="U714" i="41" a="1"/>
  <c r="U2181" i="41" a="1"/>
  <c r="U54" i="41" a="1"/>
  <c r="U1767" i="41" a="1"/>
  <c r="AH414" i="1" a="1"/>
  <c r="U1123" i="41" a="1"/>
  <c r="U2056" i="41" a="1"/>
  <c r="U2316" i="41" a="1"/>
  <c r="U3147" i="41" a="1"/>
  <c r="U2531" i="41" a="1"/>
  <c r="U3094" i="41" a="1"/>
  <c r="U85" i="41" a="1"/>
  <c r="U1523" i="41" a="1"/>
  <c r="U2931" i="41" a="1"/>
  <c r="U539" i="41" a="1"/>
  <c r="U1864" i="41" a="1"/>
  <c r="U1904" i="41" a="1"/>
  <c r="AH381" i="1" a="1"/>
  <c r="U1511" i="41" a="1"/>
  <c r="AH26" i="1" a="1"/>
  <c r="U2189" i="41" a="1"/>
  <c r="U450" i="41" a="1"/>
  <c r="U1991" i="41" a="1"/>
  <c r="U1052" i="41" a="1"/>
  <c r="U1667" i="41" a="1"/>
  <c r="U863" i="41" a="1"/>
  <c r="U2397" i="41" a="1"/>
  <c r="U1589" i="41" a="1"/>
  <c r="AH418" i="1" a="1"/>
  <c r="U2554" i="41" a="1"/>
  <c r="U974" i="41" a="1"/>
  <c r="U2929" i="41" a="1"/>
  <c r="U2062" i="41" a="1"/>
  <c r="U3032" i="41" a="1"/>
  <c r="AI35" i="1" a="1"/>
  <c r="U2346" i="41" a="1"/>
  <c r="U660" i="41" a="1"/>
  <c r="U2087" i="41" a="1"/>
  <c r="U1733" i="41" a="1"/>
  <c r="U1466" i="41" a="1"/>
  <c r="U1076" i="41" a="1"/>
  <c r="U882" i="41" a="1"/>
  <c r="U1621" i="41" a="1"/>
  <c r="U2391" i="41" a="1"/>
  <c r="U2760" i="41" a="1"/>
  <c r="U1755" i="41" a="1"/>
  <c r="U1726" i="41" a="1"/>
  <c r="AH108" i="1" a="1"/>
  <c r="U3077" i="41" a="1"/>
  <c r="U1070" i="41" a="1"/>
  <c r="U251" i="41" a="1"/>
  <c r="U415" i="41" a="1"/>
  <c r="U95" i="41" a="1"/>
  <c r="U2792" i="41" a="1"/>
  <c r="U3075" i="41" a="1"/>
  <c r="U192" i="41" a="1"/>
  <c r="U2008" i="41" a="1"/>
  <c r="U149" i="41" a="1"/>
  <c r="U260" i="41" a="1"/>
  <c r="U1313" i="41" a="1"/>
  <c r="U725" i="41" a="1"/>
  <c r="U298" i="41" a="1"/>
  <c r="AI413" i="1" a="1"/>
  <c r="AH264" i="1" a="1"/>
  <c r="U719" i="41" a="1"/>
  <c r="U2022" i="41" a="1"/>
  <c r="U2641" i="41" a="1"/>
  <c r="U582" i="41" a="1"/>
  <c r="U2172" i="41" a="1"/>
  <c r="U1169" i="41" a="1"/>
  <c r="U2362" i="41" a="1"/>
  <c r="U2586" i="41" a="1"/>
  <c r="AH356" i="1" a="1"/>
  <c r="U1246" i="41" a="1"/>
  <c r="U2848" i="41" a="1"/>
  <c r="U1269" i="41" a="1"/>
  <c r="U2987" i="41" a="1"/>
  <c r="U1136" i="41" a="1"/>
  <c r="U2141" i="41" a="1"/>
  <c r="U1039" i="41" a="1"/>
  <c r="U928" i="41" a="1"/>
  <c r="U103" i="41" a="1"/>
  <c r="U784" i="41" a="1"/>
  <c r="U246" i="41" a="1"/>
  <c r="U2270" i="41" a="1"/>
  <c r="U1084" i="41" a="1"/>
  <c r="U2718" i="41" a="1"/>
  <c r="U1686" i="41" a="1"/>
  <c r="U1504" i="41" a="1"/>
  <c r="U153" i="41" a="1"/>
  <c r="U2990" i="41" a="1"/>
  <c r="U27" i="41" a="1"/>
  <c r="U2712" i="41" a="1"/>
  <c r="U1753" i="41" a="1"/>
  <c r="U3058" i="41" a="1"/>
  <c r="U3052" i="41" a="1"/>
  <c r="U1887" i="41" a="1"/>
  <c r="U2635" i="41" a="1"/>
  <c r="U1743" i="41" a="1"/>
  <c r="U2491" i="41" a="1"/>
  <c r="U1670" i="41" a="1"/>
  <c r="U2826" i="41" a="1"/>
  <c r="U1648" i="41" a="1"/>
  <c r="U297" i="41" a="1"/>
  <c r="U3146" i="41" a="1"/>
  <c r="U171" i="41" a="1"/>
  <c r="U2185" i="41" a="1"/>
  <c r="U1526" i="41" a="1"/>
  <c r="U1931" i="41" a="1"/>
  <c r="U2801" i="41" a="1"/>
  <c r="U2385" i="41" a="1"/>
  <c r="U1948" i="41" a="1"/>
  <c r="U1958" i="41" a="1"/>
  <c r="U1385" i="41" a="1"/>
  <c r="U1814" i="41" a="1"/>
  <c r="U2970" i="41" a="1"/>
  <c r="U1741" i="41" a="1"/>
  <c r="U377" i="41" a="1"/>
  <c r="U1440" i="41" a="1"/>
  <c r="U2367" i="41" a="1"/>
  <c r="U1355" i="41" a="1"/>
  <c r="U2293" i="41" a="1"/>
  <c r="U697" i="41" a="1"/>
  <c r="U754" i="41" a="1"/>
  <c r="U1027" i="41" a="1"/>
  <c r="U777" i="41" a="1"/>
  <c r="U1536" i="41" a="1"/>
  <c r="U762" i="41" a="1"/>
  <c r="U295" i="41" a="1"/>
  <c r="U42" i="41" a="1"/>
  <c r="U1754" i="41" a="1"/>
  <c r="U1325" i="41" a="1"/>
  <c r="U427" i="41" a="1"/>
  <c r="U1130" i="41" a="1"/>
  <c r="U2776" i="41" a="1"/>
  <c r="U1496" i="41" a="1"/>
  <c r="U2640" i="41" a="1"/>
  <c r="U2740" i="41" a="1"/>
  <c r="U373" i="41" a="1"/>
  <c r="U2604" i="41" a="1"/>
  <c r="U72" i="41" a="1"/>
  <c r="U2387" i="41" a="1"/>
  <c r="U410" i="41" a="1"/>
  <c r="AI355" i="1" a="1"/>
  <c r="U598" i="41" a="1"/>
  <c r="U1264" i="41" a="1"/>
  <c r="U1779" i="41" a="1"/>
  <c r="U2306" i="41" a="1"/>
  <c r="U2472" i="41" a="1"/>
  <c r="AH23" i="1" a="1"/>
  <c r="U2071" i="41" a="1"/>
  <c r="U843" i="41" a="1"/>
  <c r="U1998" i="41" a="1"/>
  <c r="U758" i="41" a="1"/>
  <c r="U392" i="41" a="1"/>
  <c r="U187" i="41" a="1"/>
  <c r="U2981" i="41" a="1"/>
  <c r="U109" i="41" a="1"/>
  <c r="U2325" i="41" a="1"/>
  <c r="U2032" i="41" a="1"/>
  <c r="U1827" i="41" a="1"/>
  <c r="U2719" i="41" a="1"/>
  <c r="U346" i="41" a="1"/>
  <c r="U2242" i="41" a="1"/>
  <c r="U1460" i="41" a="1"/>
  <c r="U1629" i="41" a="1"/>
  <c r="U2918" i="41" a="1"/>
  <c r="U2169" i="41" a="1"/>
  <c r="U434" i="41" a="1"/>
  <c r="U2882" i="41" a="1"/>
  <c r="U800" i="41" a="1"/>
  <c r="U398" i="41" a="1"/>
  <c r="U703" i="41" a="1"/>
  <c r="U1045" i="41" a="1"/>
  <c r="U2948" i="41" a="1"/>
  <c r="U515" i="41" a="1"/>
  <c r="U337" i="41" a="1"/>
  <c r="U3082" i="41" a="1"/>
  <c r="U1387" i="41" a="1"/>
  <c r="U1340" i="41" a="1"/>
  <c r="U1438" i="41" a="1"/>
  <c r="U1986" i="41" a="1"/>
  <c r="U2376" i="41" a="1"/>
  <c r="U603" i="41" a="1"/>
  <c r="U2338" i="41" a="1"/>
  <c r="U3101" i="41" a="1"/>
  <c r="U1713" i="41" a="1"/>
  <c r="U2458" i="41" a="1"/>
  <c r="U2956" i="41" a="1"/>
  <c r="U1257" i="41" a="1"/>
  <c r="U2722" i="41" a="1"/>
  <c r="U2597" i="41" a="1"/>
  <c r="U2705" i="41" a="1"/>
  <c r="U2259" i="41" a="1"/>
  <c r="U1912" i="41" a="1"/>
  <c r="U1952" i="41" a="1"/>
  <c r="U2091" i="41" a="1"/>
  <c r="U3056" i="41" a="1"/>
  <c r="U632" i="41" a="1"/>
  <c r="U1550" i="41" a="1"/>
  <c r="U2737" i="41" a="1"/>
  <c r="U387" i="41" a="1"/>
  <c r="U2599" i="41" a="1"/>
  <c r="U1855" i="41" a="1"/>
  <c r="U2018" i="41" a="1"/>
  <c r="U1757" i="41" a="1"/>
  <c r="U535" i="41" a="1"/>
  <c r="U1489" i="41" a="1"/>
  <c r="U3095" i="41" a="1"/>
  <c r="U228" i="41" a="1"/>
  <c r="U2619" i="41" a="1"/>
  <c r="U123" i="41" a="1"/>
  <c r="U60" i="41" a="1"/>
  <c r="U2174" i="41" a="1"/>
  <c r="U2053" i="41" a="1"/>
  <c r="U1594" i="41" a="1"/>
  <c r="U1895" i="41" a="1"/>
  <c r="U143" i="41" a="1"/>
  <c r="U2545" i="41" a="1"/>
  <c r="U1682" i="41" a="1"/>
  <c r="U2050" i="41" a="1"/>
  <c r="U1896" i="41" a="1"/>
  <c r="U2669" i="41" a="1"/>
  <c r="U130" i="41" a="1"/>
  <c r="U510" i="41" a="1"/>
  <c r="U66" i="41" a="1"/>
  <c r="U949" i="41" a="1"/>
  <c r="U3039" i="41" a="1"/>
  <c r="U185" i="41" a="1"/>
  <c r="U1200" i="41" a="1"/>
  <c r="U2509" i="41" a="1"/>
  <c r="U106" i="41" a="1"/>
  <c r="U1524" i="41" a="1"/>
  <c r="U1432" i="41" a="1"/>
  <c r="U248" i="41" a="1"/>
  <c r="U1356" i="41" a="1"/>
  <c r="U2595" i="41" a="1"/>
  <c r="U2251" i="41" a="1"/>
  <c r="U2336" i="41" a="1"/>
  <c r="U2720" i="41" a="1"/>
  <c r="U283" i="41" a="1"/>
  <c r="U519" i="41" a="1"/>
  <c r="U1337" i="41" a="1"/>
  <c r="U1914" i="41" a="1"/>
  <c r="U986" i="41" a="1"/>
  <c r="U1396" i="41" a="1"/>
  <c r="U183" i="41" a="1"/>
  <c r="U2420" i="41" a="1"/>
  <c r="U2632" i="41" a="1"/>
  <c r="U933" i="41" a="1"/>
  <c r="U2252" i="41" a="1"/>
  <c r="U2940" i="41" a="1"/>
  <c r="U1352" i="41" a="1"/>
  <c r="U483" i="41" a="1"/>
  <c r="U555" i="41" a="1"/>
  <c r="U1498" i="41" a="1"/>
  <c r="U2496" i="41" a="1"/>
  <c r="U1138" i="41" a="1"/>
  <c r="U1330" i="41" a="1"/>
  <c r="U2123" i="41" a="1"/>
  <c r="U2596" i="41" a="1"/>
  <c r="U897" i="41" a="1"/>
  <c r="U969" i="41" a="1"/>
  <c r="U1521" i="41" a="1"/>
  <c r="U2842" i="41" a="1"/>
  <c r="U2885" i="41" a="1"/>
  <c r="U381" i="41" a="1"/>
  <c r="U886" i="41" a="1"/>
  <c r="U3060" i="41" a="1"/>
  <c r="U1472" i="41" a="1"/>
  <c r="AI405" i="1" a="1"/>
  <c r="U1918" i="41" a="1"/>
  <c r="U507" i="41" a="1"/>
  <c r="U1819" i="41" a="1"/>
  <c r="U759" i="41" a="1"/>
  <c r="AI412" i="1" a="1"/>
  <c r="AH46" i="1" a="1"/>
  <c r="U1604" i="41" a="1"/>
  <c r="U367" i="41" a="1"/>
  <c r="U2045" i="41" a="1"/>
  <c r="U898" i="41" a="1"/>
  <c r="U1746" i="41" a="1"/>
  <c r="U674" i="41" a="1"/>
  <c r="U2218" i="41" a="1"/>
  <c r="U1507" i="41" a="1"/>
  <c r="U442" i="41" a="1"/>
  <c r="U2553" i="41" a="1"/>
  <c r="U2811" i="41" a="1"/>
  <c r="U2433" i="41" a="1"/>
  <c r="U1593" i="41" a="1"/>
  <c r="U718" i="41" a="1"/>
  <c r="U1592" i="41" a="1"/>
  <c r="U976" i="41" a="1"/>
  <c r="U2773" i="41" a="1"/>
  <c r="U227" i="41" a="1"/>
  <c r="AH32" i="1" a="1"/>
  <c r="U1176" i="41" a="1"/>
  <c r="U804" i="41" a="1"/>
  <c r="U2485" i="41" a="1"/>
  <c r="U1877" i="41" a="1"/>
  <c r="U655" i="41" a="1"/>
  <c r="U2013" i="41" a="1"/>
  <c r="U2326" i="41" a="1"/>
  <c r="U2921" i="41" a="1"/>
  <c r="U2133" i="41" a="1"/>
  <c r="U2925" i="41" a="1"/>
  <c r="U570" i="41" a="1"/>
  <c r="U502" i="41" a="1"/>
  <c r="U1840" i="41" a="1"/>
  <c r="U1880" i="41" a="1"/>
  <c r="U2324" i="41" a="1"/>
  <c r="U1960" i="41" a="1"/>
  <c r="U2000" i="41" a="1"/>
  <c r="U460" i="41" a="1"/>
  <c r="U2224" i="41" a="1"/>
  <c r="U525" i="41" a="1"/>
  <c r="U2761" i="41" a="1"/>
  <c r="U2222" i="41" a="1"/>
  <c r="U1147" i="41" a="1"/>
  <c r="U1383" i="41" a="1"/>
  <c r="U2201" i="41" a="1"/>
  <c r="U979" i="41" a="1"/>
  <c r="U1862" i="41" a="1"/>
  <c r="U881" i="41" a="1"/>
  <c r="U1165" i="41" a="1"/>
  <c r="U1549" i="41" a="1"/>
  <c r="U1074" i="41" a="1"/>
  <c r="U1298" i="41" a="1"/>
  <c r="U2058" i="41" a="1"/>
  <c r="U906" i="41" a="1"/>
  <c r="U1789" i="41" a="1"/>
  <c r="U2871" i="41" a="1"/>
  <c r="U2495" i="41" a="1"/>
  <c r="U2125" i="41" a="1"/>
  <c r="U569" i="41" a="1"/>
  <c r="U1139" i="41" a="1"/>
  <c r="U2340" i="41" a="1"/>
  <c r="U1609" i="41" a="1"/>
  <c r="U1894" i="41" a="1"/>
  <c r="U2230" i="41" a="1"/>
  <c r="U852" i="41" a="1"/>
  <c r="U2854" i="41" a="1"/>
  <c r="U706" i="41" a="1"/>
  <c r="U1342" i="41" a="1"/>
  <c r="U2686" i="41" a="1"/>
  <c r="U2992" i="41" a="1"/>
  <c r="U1917" i="41" a="1"/>
  <c r="U2228" i="41" a="1"/>
  <c r="U2393" i="41" a="1"/>
  <c r="U1727" i="41" a="1"/>
  <c r="U2331" i="41" a="1"/>
  <c r="U29" i="41" a="1"/>
  <c r="U1559" i="41" a="1"/>
  <c r="U2809" i="41" a="1"/>
  <c r="U1367" i="41" a="1"/>
  <c r="U2227" i="41" a="1"/>
  <c r="U2611" i="41" a="1"/>
  <c r="U267" i="41" a="1"/>
  <c r="U648" i="41" a="1"/>
  <c r="U2965" i="41" a="1"/>
  <c r="U2154" i="41" a="1"/>
  <c r="U1115" i="41" a="1"/>
  <c r="U2255" i="41" a="1"/>
  <c r="U1678" i="41" a="1"/>
  <c r="U1537" i="41" a="1"/>
  <c r="U2358" i="41" a="1"/>
  <c r="U1206" i="41" a="1"/>
  <c r="U1369" i="41" a="1"/>
  <c r="U317" i="41" a="1"/>
  <c r="U225" i="41" a="1"/>
  <c r="U2862" i="41" a="1"/>
  <c r="U1517" i="41" a="1"/>
  <c r="U1867" i="41" a="1"/>
  <c r="U2103" i="41" a="1"/>
  <c r="U2443" i="41" a="1"/>
  <c r="U1699" i="41" a="1"/>
  <c r="U783" i="41" a="1"/>
  <c r="U2322" i="41" a="1"/>
  <c r="U1569" i="41" a="1"/>
  <c r="U2134" i="41" a="1"/>
  <c r="U858" i="41" a="1"/>
  <c r="U622" i="41" a="1"/>
  <c r="U3021" i="41" a="1"/>
  <c r="U2896" i="41" a="1"/>
  <c r="U1197" i="41" a="1"/>
  <c r="U2067" i="41" a="1"/>
  <c r="U2298" i="41" a="1"/>
  <c r="U2132" i="41" a="1"/>
  <c r="U2344" i="41" a="1"/>
  <c r="U645" i="41" a="1"/>
  <c r="U556" i="41" a="1"/>
  <c r="U651" i="41" a="1"/>
  <c r="U1963" i="41" a="1"/>
  <c r="U903" i="41" a="1"/>
  <c r="AH413" i="1" a="1"/>
  <c r="U5" i="41" a="1"/>
  <c r="U1233" i="41" a="1"/>
  <c r="U2308" i="41" a="1"/>
  <c r="U2598" i="41" a="1"/>
  <c r="U1446" i="41" a="1"/>
  <c r="U1173" i="41" a="1"/>
  <c r="U2199" i="41" a="1"/>
  <c r="U1651" i="41" a="1"/>
  <c r="U3117" i="41" a="1"/>
  <c r="U950" i="41" a="1"/>
  <c r="U676" i="41" a="1"/>
  <c r="U1384" i="41" a="1"/>
  <c r="AH13" i="1" a="1"/>
  <c r="U1020" i="41" a="1"/>
  <c r="U1053" i="41" a="1"/>
  <c r="U3011" i="41" a="1"/>
  <c r="U2675" i="41" a="1"/>
  <c r="U2908" i="41" a="1"/>
  <c r="U2193" i="41" a="1"/>
  <c r="U2409" i="41" a="1"/>
  <c r="U2806" i="41" a="1"/>
  <c r="U368" i="41" a="1"/>
  <c r="U527" i="41" a="1"/>
  <c r="U2938" i="41" a="1"/>
  <c r="U355" i="41" a="1"/>
  <c r="U135" i="41" a="1"/>
  <c r="U2407" i="41" a="1"/>
  <c r="U1364" i="41" a="1"/>
  <c r="U1170" i="41" a="1"/>
  <c r="U1921" i="41" a="1"/>
  <c r="AH348" i="1" a="1"/>
  <c r="U139" i="41" a="1"/>
  <c r="U351" i="41" a="1"/>
  <c r="AH358" i="1" a="1"/>
  <c r="U1267" i="41" a="1"/>
  <c r="U1162" i="41" a="1"/>
  <c r="U3047" i="41" a="1"/>
  <c r="U1473" i="41" a="1"/>
  <c r="U1694" i="41" a="1"/>
  <c r="U2901" i="41" a="1"/>
  <c r="U776" i="41" a="1"/>
  <c r="U2839" i="41" a="1"/>
  <c r="AH421" i="1" a="1"/>
  <c r="U2887" i="41" a="1"/>
  <c r="U2950" i="41" a="1"/>
  <c r="U2859" i="41" a="1"/>
  <c r="AI11" i="1" a="1"/>
  <c r="U1605" i="41" a="1"/>
  <c r="U1734" i="41" a="1"/>
  <c r="U2650" i="41" a="1"/>
  <c r="U1582" i="41" a="1"/>
  <c r="U1091" i="41" a="1"/>
  <c r="U2891" i="41" a="1"/>
  <c r="U229" i="41" a="1"/>
  <c r="AI421" i="1" a="1"/>
  <c r="U1715" i="41" a="1"/>
  <c r="U612" i="41" a="1"/>
  <c r="U2016" i="41" a="1"/>
  <c r="U1333" i="41" a="1"/>
  <c r="U2589" i="41" a="1"/>
  <c r="U620" i="41" a="1"/>
  <c r="U1335" i="41" a="1"/>
  <c r="U436" i="41" a="1"/>
  <c r="U608" i="41" a="1"/>
  <c r="AH351" i="1" a="1"/>
  <c r="U2006" i="41" a="1"/>
  <c r="U1512" i="41" a="1"/>
  <c r="U756" i="41" a="1"/>
  <c r="U2160" i="41" a="1"/>
  <c r="U1856" i="41" a="1"/>
  <c r="U1935" i="41" a="1"/>
  <c r="U3112" i="41" a="1"/>
  <c r="U2037" i="41" a="1"/>
  <c r="U1445" i="41" a="1"/>
  <c r="AI400" i="1" a="1"/>
  <c r="U1026" i="41" a="1"/>
  <c r="U3003" i="41" a="1"/>
  <c r="U1450" i="41" a="1"/>
  <c r="AI403" i="1" a="1"/>
  <c r="U1477" i="41" a="1"/>
  <c r="U2878" i="41" a="1"/>
  <c r="U1149" i="41" a="1"/>
  <c r="U2876" i="41" a="1"/>
  <c r="U1016" i="41" a="1"/>
  <c r="U1563" i="41" a="1"/>
  <c r="U919" i="41" a="1"/>
  <c r="U1478" i="41" a="1"/>
  <c r="U270" i="41" a="1"/>
  <c r="U1260" i="41" a="1"/>
  <c r="U126" i="41" a="1"/>
  <c r="U1116" i="41" a="1"/>
  <c r="U3153" i="41" a="1"/>
  <c r="U1031" i="41" a="1"/>
  <c r="U1566" i="41" a="1"/>
  <c r="U326" i="41" a="1"/>
  <c r="U33" i="41" a="1"/>
  <c r="U1836" i="41" a="1"/>
  <c r="U194" i="41" a="1"/>
  <c r="U1751" i="41" a="1"/>
  <c r="U2541" i="41" a="1"/>
  <c r="U1954" i="41" a="1"/>
  <c r="U44" i="41" a="1"/>
  <c r="U1977" i="41" a="1"/>
  <c r="U3091" i="41" a="1"/>
  <c r="U1891" i="41" a="1"/>
  <c r="U2947" i="41" a="1"/>
  <c r="U1747" i="41" a="1"/>
  <c r="U1553" i="41" a="1"/>
  <c r="U1674" i="41" a="1"/>
  <c r="U177" i="41" a="1"/>
  <c r="U409" i="41" a="1"/>
  <c r="U51" i="41" a="1"/>
  <c r="U108" i="41" a="1"/>
  <c r="U2926" i="41" a="1"/>
  <c r="U23" i="41" a="1"/>
  <c r="U1146" i="41" a="1"/>
  <c r="U2121" i="41" a="1"/>
  <c r="U2404" i="41" a="1"/>
  <c r="U1988" i="41" a="1"/>
  <c r="U1841" i="41" a="1"/>
  <c r="U1962" i="41" a="1"/>
  <c r="U1697" i="41" a="1"/>
  <c r="U1818" i="41" a="1"/>
  <c r="U833" i="41" a="1"/>
  <c r="U285" i="41" a="1"/>
  <c r="U2823" i="41" a="1"/>
  <c r="U159" i="41" a="1"/>
  <c r="U2749" i="41" a="1"/>
  <c r="U2140" i="41" a="1"/>
  <c r="U922" i="41" a="1"/>
  <c r="U2818" i="41" a="1"/>
  <c r="U945" i="41" a="1"/>
  <c r="U2816" i="41" a="1"/>
  <c r="U930" i="41" a="1"/>
  <c r="U1645" i="41" a="1"/>
  <c r="U210" i="41" a="1"/>
  <c r="U1344" i="41" a="1"/>
  <c r="U2167" i="41" a="1"/>
  <c r="U1902" i="41" a="1"/>
  <c r="U663" i="41" a="1"/>
  <c r="U1540" i="41" a="1"/>
  <c r="U1077" i="41" a="1"/>
  <c r="U627" i="41" a="1"/>
  <c r="U647" i="41" a="1"/>
  <c r="U857" i="41" a="1"/>
  <c r="U2463" i="41" a="1"/>
  <c r="U1636" i="41" a="1"/>
  <c r="U2389" i="41" a="1"/>
  <c r="U215" i="41" a="1"/>
  <c r="U2477" i="41" a="1"/>
  <c r="AI462" i="1" a="1"/>
  <c r="U2772" i="41" a="1"/>
  <c r="U1372" i="41" a="1"/>
  <c r="U2726" i="41" a="1"/>
  <c r="U952" i="41" a="1"/>
  <c r="U2808" i="41" a="1"/>
  <c r="U464" i="41" a="1"/>
  <c r="U1299" i="41" a="1"/>
  <c r="U3104" i="41" a="1"/>
  <c r="U1214" i="41" a="1"/>
  <c r="U1805" i="41" a="1"/>
  <c r="U116" i="41" a="1"/>
  <c r="U1776" i="41" a="1"/>
  <c r="U277" i="41" a="1"/>
  <c r="U1691" i="41" a="1"/>
  <c r="U3017" i="41" a="1"/>
  <c r="U2072" i="41" a="1"/>
  <c r="U3108" i="41" a="1"/>
  <c r="U1975" i="41" a="1"/>
  <c r="U2291" i="41" a="1"/>
  <c r="U3072" i="41" a="1"/>
  <c r="U1054" i="41" a="1"/>
  <c r="U532" i="41" a="1"/>
  <c r="U2428" i="41" a="1"/>
  <c r="U1414" i="41" a="1"/>
  <c r="U473" i="41" a="1"/>
  <c r="U677" i="41" a="1"/>
  <c r="U939" i="41" a="1"/>
  <c r="U1143" i="41" a="1"/>
  <c r="U854" i="41" a="1"/>
  <c r="AH461" i="1" a="1"/>
  <c r="U2283" i="41" a="1"/>
  <c r="AH262" i="1" a="1"/>
  <c r="U2209" i="41" a="1"/>
  <c r="U2310" i="41" a="1"/>
  <c r="U2126" i="41" a="1"/>
  <c r="U1911" i="41" a="1"/>
  <c r="U3035" i="41" a="1"/>
  <c r="U1646" i="41" a="1"/>
  <c r="U1910" i="41" a="1"/>
  <c r="U1793" i="41" a="1"/>
  <c r="U1453" i="41" a="1"/>
  <c r="U545" i="41" a="1"/>
  <c r="U118" i="41" a="1"/>
  <c r="U1573" i="41" a="1"/>
  <c r="U1468" i="41" a="1"/>
  <c r="U284" i="41" a="1"/>
  <c r="U1849" i="41" a="1"/>
  <c r="U929" i="41" a="1"/>
  <c r="U2812" i="41" a="1"/>
  <c r="U516" i="41" a="1"/>
  <c r="U2907" i="41" a="1"/>
  <c r="U53" i="41" a="1"/>
  <c r="U348" i="41" a="1"/>
  <c r="U2462" i="41" a="1"/>
  <c r="U1899" i="41" a="1"/>
  <c r="U1882" i="41" a="1"/>
  <c r="U2676" i="41" a="1"/>
  <c r="U431" i="41" a="1"/>
  <c r="U2833" i="41" a="1"/>
  <c r="U2492" i="41" a="1"/>
  <c r="U263" i="41" a="1"/>
  <c r="U2184" i="41" a="1"/>
  <c r="U2980" i="41" a="1"/>
  <c r="U1696" i="41" a="1"/>
  <c r="U2080" i="41" a="1"/>
  <c r="U812" i="41" a="1"/>
  <c r="U2264" i="41" a="1"/>
  <c r="U3068" i="41" a="1"/>
  <c r="U644" i="41" a="1"/>
  <c r="U1503" i="41" a="1"/>
  <c r="U3042" i="41" a="1"/>
  <c r="U2507" i="41" a="1"/>
  <c r="U1944" i="41" a="1"/>
  <c r="U715" i="41" a="1"/>
  <c r="U951" i="41" a="1"/>
  <c r="U1769" i="41" a="1"/>
  <c r="U547" i="41" a="1"/>
  <c r="U1418" i="41" a="1"/>
  <c r="U449" i="41" a="1"/>
  <c r="U309" i="41" a="1"/>
  <c r="U2852" i="41" a="1"/>
  <c r="U2993" i="41" a="1"/>
  <c r="U1365" i="41" a="1"/>
  <c r="U2684" i="41" a="1"/>
  <c r="U1744" i="41" a="1"/>
  <c r="U1784" i="41" a="1"/>
  <c r="U915" i="41" a="1"/>
  <c r="U235" i="41" a="1"/>
  <c r="U369" i="41" a="1"/>
  <c r="U2745" i="41" a="1"/>
  <c r="U1900" i="41" a="1"/>
  <c r="U1940" i="41" a="1"/>
  <c r="U2240" i="41" a="1"/>
  <c r="U2131" i="41" a="1"/>
  <c r="U2180" i="41" a="1"/>
  <c r="U1932" i="41" a="1"/>
  <c r="U2782" i="41" a="1"/>
  <c r="U563" i="41" a="1"/>
  <c r="U2711" i="41" a="1"/>
  <c r="U418" i="41" a="1"/>
  <c r="U1318" i="41" a="1"/>
  <c r="U2709" i="41" a="1"/>
  <c r="U112" i="41" a="1"/>
  <c r="U1236" i="41" a="1"/>
  <c r="U1144" i="41" a="1"/>
  <c r="U199" i="41" a="1"/>
  <c r="U1068" i="41" a="1"/>
  <c r="U2307" i="41" a="1"/>
  <c r="U425" i="41" a="1"/>
  <c r="U1167" i="41" a="1"/>
  <c r="U1551" i="41" a="1"/>
  <c r="U1794" i="41" a="1"/>
  <c r="U2030" i="41" a="1"/>
  <c r="U2778" i="41" a="1"/>
  <c r="U1626" i="41" a="1"/>
  <c r="U698" i="41" a="1"/>
  <c r="U1108" i="41" a="1"/>
  <c r="U1581" i="41" a="1"/>
  <c r="U1965" i="41" a="1"/>
  <c r="U261" i="41" a="1"/>
  <c r="U1969" i="41" a="1"/>
  <c r="U1564" i="41" a="1"/>
  <c r="U1061" i="41" a="1"/>
  <c r="U2277" i="41" a="1"/>
  <c r="U2427" i="41" a="1"/>
  <c r="U219" i="41" a="1"/>
  <c r="AI32" i="1" a="1"/>
  <c r="U2547" i="41" a="1"/>
  <c r="U2190" i="41" a="1"/>
  <c r="U1721" i="41" a="1"/>
  <c r="U803" i="41" a="1"/>
  <c r="AH407" i="1" a="1"/>
  <c r="AH20" i="1" a="1"/>
  <c r="AI7" i="1" a="1"/>
  <c r="U2683" i="41" a="1"/>
  <c r="U1596" i="41" a="1"/>
  <c r="U2962" i="41" a="1"/>
  <c r="U791" i="41" a="1"/>
  <c r="U1231" i="41" a="1"/>
  <c r="U374" i="41" a="1"/>
  <c r="U93" i="41" a="1"/>
  <c r="U213" i="41" a="1"/>
  <c r="U1029" i="41" a="1"/>
  <c r="U1435" i="41" a="1"/>
  <c r="U3044" i="41" a="1"/>
  <c r="U2166" i="41" a="1"/>
  <c r="AI354" i="1" a="1"/>
  <c r="U817" i="41" a="1"/>
  <c r="U31" i="41" a="1"/>
  <c r="U2021" i="41" a="1"/>
  <c r="U799" i="41" a="1"/>
  <c r="U6" i="41" a="1"/>
  <c r="U1578" i="41" a="1"/>
  <c r="U1656" i="41" a="1"/>
  <c r="U900" i="41" a="1"/>
  <c r="U2304" i="41" a="1"/>
  <c r="U2187" i="41" a="1"/>
  <c r="U414" i="41" a="1"/>
  <c r="U1441" i="41" a="1"/>
  <c r="U965" i="41" a="1"/>
  <c r="U534" i="41" a="1"/>
  <c r="U985" i="41" a="1"/>
  <c r="U1229" i="41" a="1"/>
  <c r="U798" i="41" a="1"/>
  <c r="U2835" i="41" a="1"/>
  <c r="U280" i="41" a="1"/>
  <c r="U1140" i="41" a="1"/>
  <c r="U2955" i="41" a="1"/>
  <c r="U101" i="41" a="1"/>
  <c r="U684" i="41" a="1"/>
  <c r="U736" i="41" a="1"/>
  <c r="U78" i="41" a="1"/>
  <c r="U2605" i="41" a="1"/>
  <c r="U2989" i="41" a="1"/>
  <c r="U2153" i="41" a="1"/>
  <c r="U1427" i="41" a="1"/>
  <c r="U2628" i="41" a="1"/>
  <c r="U1179" i="41" a="1"/>
  <c r="U107" i="41" a="1"/>
  <c r="U2518" i="41" a="1"/>
  <c r="U1009" i="41" a="1"/>
  <c r="U1871" i="41" a="1"/>
  <c r="U156" i="41" a="1"/>
  <c r="U1630" i="41" a="1"/>
  <c r="U2974" i="41" a="1"/>
  <c r="U61" i="41" a="1"/>
  <c r="U310" i="41" a="1"/>
  <c r="U2516" i="41" a="1"/>
  <c r="U2771" i="41" a="1"/>
  <c r="U2042" i="41" a="1"/>
  <c r="U2455" i="41" a="1"/>
  <c r="U1711" i="41" a="1"/>
  <c r="U1874" i="41" a="1"/>
  <c r="U1613" i="41" a="1"/>
  <c r="U391" i="41" a="1"/>
  <c r="U1345" i="41" a="1"/>
  <c r="U1128" i="41" a="1"/>
  <c r="U1981" i="41" a="1"/>
  <c r="U2790" i="41" a="1"/>
  <c r="U1638" i="41" a="1"/>
  <c r="U1801" i="41" a="1"/>
  <c r="U749" i="41" a="1"/>
  <c r="U318" i="41" a="1"/>
  <c r="U2527" i="41" a="1"/>
  <c r="U2911" i="41" a="1"/>
  <c r="U524" i="41" a="1"/>
  <c r="U568" i="41" a="1"/>
  <c r="U2875" i="41" a="1"/>
  <c r="U356" i="41" a="1"/>
  <c r="U1215" i="41" a="1"/>
  <c r="U2754" i="41" a="1"/>
  <c r="U2503" i="41" a="1"/>
  <c r="U1539" i="41" a="1"/>
  <c r="U2820" i="41" a="1"/>
  <c r="U1232" i="41" a="1"/>
  <c r="U1371" i="41" a="1"/>
  <c r="U2431" i="41" a="1"/>
  <c r="U1687" i="41" a="1"/>
  <c r="U830" i="41" a="1"/>
  <c r="U946" i="41" a="1"/>
  <c r="U1953" i="41" a="1"/>
  <c r="U2003" i="41" a="1"/>
  <c r="U3125" i="41" a="1"/>
  <c r="U1785" i="41" a="1"/>
  <c r="U3009" i="41" a="1"/>
  <c r="U2784" i="41" a="1"/>
  <c r="U2706" i="41" a="1"/>
  <c r="U1361" i="41" a="1"/>
  <c r="U265" i="41" a="1"/>
  <c r="U360" i="41" a="1"/>
  <c r="U2677" i="41" a="1"/>
  <c r="U2714" i="41" a="1"/>
  <c r="U827" i="41" a="1"/>
  <c r="U1967" i="41" a="1"/>
  <c r="U1845" i="41" a="1"/>
  <c r="U1249" i="41" a="1"/>
  <c r="U2070" i="41" a="1"/>
  <c r="U918" i="41" a="1"/>
  <c r="U1081" i="41" a="1"/>
  <c r="U1408" i="41" a="1"/>
  <c r="U224" i="41" a="1"/>
  <c r="U324" i="41" a="1"/>
  <c r="U2973" i="41" a="1"/>
  <c r="U948" i="41" a="1"/>
  <c r="U856" i="41" a="1"/>
  <c r="U198" i="41" a="1"/>
  <c r="U2691" i="41" a="1"/>
  <c r="U2334" i="41" a="1"/>
  <c r="U2539" i="41" a="1"/>
  <c r="U947" i="41" a="1"/>
  <c r="AI407" i="1" a="1"/>
  <c r="U3030" i="41" a="1"/>
  <c r="U2085" i="41" a="1"/>
  <c r="U1103" i="41" a="1"/>
  <c r="U2243" i="41" a="1"/>
  <c r="U850" i="41" a="1"/>
  <c r="U2282" i="41" a="1"/>
  <c r="U1040" i="41" a="1"/>
  <c r="AI392" i="1" a="1"/>
  <c r="U581" i="41" a="1"/>
  <c r="U1316" i="41" a="1"/>
  <c r="U586" i="41" a="1"/>
  <c r="U2697" i="41" a="1"/>
  <c r="AI37" i="1" a="1"/>
  <c r="U3051" i="41" a="1"/>
  <c r="U1923" i="41" a="1"/>
  <c r="U2870" i="41" a="1"/>
  <c r="U332" i="41" a="1"/>
  <c r="U236" i="41" a="1"/>
  <c r="U69" i="41" a="1"/>
  <c r="U469" i="41" a="1"/>
  <c r="U290" i="41" a="1"/>
  <c r="U1065" i="41" a="1"/>
  <c r="U1314" i="41" a="1"/>
  <c r="U2065" i="41" a="1"/>
  <c r="AI348" i="1" a="1"/>
  <c r="U476" i="41" a="1"/>
  <c r="U1346" i="41" a="1"/>
  <c r="U2223" i="41" a="1"/>
  <c r="U308" i="41" a="1"/>
  <c r="U430" i="41" a="1"/>
  <c r="AI414" i="1" a="1"/>
  <c r="AI393" i="1" a="1"/>
  <c r="U1720" i="41" a="1"/>
  <c r="AI518" i="1" a="1"/>
  <c r="U1250" i="41" a="1"/>
  <c r="U1047" i="41" a="1"/>
  <c r="U254" i="41" a="1"/>
  <c r="U163" i="41" a="1"/>
  <c r="U891" i="41" a="1"/>
  <c r="U2698" i="41" a="1"/>
  <c r="U1706" i="41" a="1"/>
  <c r="U2150" i="41" a="1"/>
  <c r="U2765" i="41" a="1"/>
  <c r="U2345" i="41" a="1"/>
  <c r="U1185" i="41" a="1"/>
  <c r="U2504" i="41" a="1"/>
  <c r="U2009" i="41" a="1"/>
  <c r="U1663" i="41" a="1"/>
  <c r="U86" i="41" a="1"/>
  <c r="U1852" i="41" a="1"/>
  <c r="U926" i="41" a="1"/>
  <c r="U2159" i="41" a="1"/>
  <c r="U920" i="41" a="1"/>
  <c r="U2983" i="41" a="1"/>
  <c r="AH398" i="1" a="1"/>
  <c r="U492" i="41" a="1"/>
  <c r="U811" i="41" a="1"/>
  <c r="U1538" i="41" a="1"/>
  <c r="U2886" i="41" a="1"/>
  <c r="U2333" i="41" a="1"/>
  <c r="U3100" i="41" a="1"/>
  <c r="U1379" i="41" a="1"/>
  <c r="AH18" i="1" a="1"/>
  <c r="AI380" i="1" a="1"/>
  <c r="U1041" i="41" a="1"/>
  <c r="U161" i="41" a="1"/>
  <c r="U636" i="41" a="1"/>
  <c r="U955" i="41" a="1"/>
  <c r="U453" i="41" a="1"/>
  <c r="U117" i="41" a="1"/>
  <c r="U1745" i="41" a="1"/>
  <c r="U869" i="41" a="1"/>
  <c r="U580" i="41" a="1"/>
  <c r="U1571" i="41" a="1"/>
  <c r="U468" i="41" a="1"/>
  <c r="U1872" i="41" a="1"/>
  <c r="U523" i="41" a="1"/>
  <c r="U1616" i="41" a="1"/>
  <c r="U2014" i="41" a="1"/>
  <c r="AI264" i="1" a="1"/>
  <c r="U1202" i="41" a="1"/>
  <c r="U2079" i="41" a="1"/>
  <c r="U643" i="41" a="1"/>
  <c r="AI445" i="1" a="1"/>
  <c r="U3090" i="41" a="1"/>
  <c r="U1329" i="41" a="1"/>
  <c r="U2648" i="41" a="1"/>
  <c r="U1637" i="41" a="1"/>
  <c r="U1411" i="41" a="1"/>
  <c r="U2571" i="41" a="1"/>
  <c r="U732" i="41" a="1"/>
  <c r="U2517" i="41" a="1"/>
  <c r="U2621" i="41" a="1"/>
  <c r="U2019" i="41" a="1"/>
  <c r="U2988" i="41" a="1"/>
  <c r="U1946" i="41" a="1"/>
  <c r="U3126" i="41" a="1"/>
  <c r="U1716" i="41" a="1"/>
  <c r="U1312" i="41" a="1"/>
  <c r="U1572" i="41" a="1"/>
  <c r="U1168" i="41" a="1"/>
  <c r="U1487" i="41" a="1"/>
  <c r="U2654" i="41" a="1"/>
  <c r="U782" i="41" a="1"/>
  <c r="U1373" i="41" a="1"/>
  <c r="U721" i="41" a="1"/>
  <c r="U509" i="41" a="1"/>
  <c r="U420" i="41" a="1"/>
  <c r="U2499" i="41" a="1"/>
  <c r="U335" i="41" a="1"/>
  <c r="U2425" i="41" a="1"/>
  <c r="U538" i="41" a="1"/>
  <c r="U2171" i="41" a="1"/>
  <c r="U572" i="41" a="1"/>
  <c r="U304" i="41" a="1"/>
  <c r="U428" i="41" a="1"/>
  <c r="U2127" i="41" a="1"/>
  <c r="U331" i="41" a="1"/>
  <c r="U2054" i="41" a="1"/>
  <c r="U865" i="41" a="1"/>
  <c r="U653" i="41" a="1"/>
  <c r="U564" i="41" a="1"/>
  <c r="U2643" i="41" a="1"/>
  <c r="U479" i="41" a="1"/>
  <c r="U2569" i="41" a="1"/>
  <c r="U682" i="41" a="1"/>
  <c r="U2315" i="41" a="1"/>
  <c r="U705" i="41" a="1"/>
  <c r="U2769" i="41" a="1"/>
  <c r="U619" i="41" a="1"/>
  <c r="U543" i="41" a="1"/>
  <c r="U475" i="41" a="1"/>
  <c r="U399" i="41" a="1"/>
  <c r="U402" i="41" a="1"/>
  <c r="U314" i="41" a="1"/>
  <c r="U268" i="41" a="1"/>
  <c r="U1824" i="41" a="1"/>
  <c r="U2971" i="41" a="1"/>
  <c r="U1739" i="41" a="1"/>
  <c r="U1920" i="41" a="1"/>
  <c r="U2020" i="41" a="1"/>
  <c r="U2266" i="41" a="1"/>
  <c r="U2707" i="41" a="1"/>
  <c r="U1154" i="41" a="1"/>
  <c r="U2727" i="41" a="1"/>
  <c r="U1093" i="41" a="1"/>
  <c r="U2653" i="41" a="1"/>
  <c r="U1423" i="41" a="1"/>
  <c r="U3105" i="41" a="1"/>
  <c r="U1481" i="41" a="1"/>
  <c r="U327" i="41" a="1"/>
  <c r="U2396" i="41" a="1"/>
  <c r="U2139" i="41" a="1"/>
  <c r="U1474" i="41" a="1"/>
  <c r="U3008" i="41" a="1"/>
  <c r="U255" i="41" a="1"/>
  <c r="U641" i="41" a="1"/>
  <c r="U334" i="41" a="1"/>
  <c r="U438" i="41" a="1"/>
  <c r="U1317" i="41" a="1"/>
  <c r="AH27" i="1" a="1"/>
  <c r="U2148" i="41" a="1"/>
  <c r="U56" i="41" a="1"/>
  <c r="AH35" i="1" a="1"/>
  <c r="U294" i="41" a="1"/>
  <c r="U1617" i="41" a="1"/>
  <c r="U2490" i="41" a="1"/>
  <c r="U2935" i="41" a="1"/>
  <c r="U680" i="41" a="1"/>
  <c r="U1541" i="41" a="1"/>
  <c r="U583" i="41" a="1"/>
  <c r="U1525" i="41" a="1"/>
  <c r="U2162" i="41" a="1"/>
  <c r="U1224" i="41" a="1"/>
  <c r="U1884" i="41" a="1"/>
  <c r="U1653" i="41" a="1"/>
  <c r="U1203" i="41" a="1"/>
  <c r="U1520" i="41" a="1"/>
  <c r="U1118" i="41" a="1"/>
  <c r="U3148" i="41" a="1"/>
  <c r="U911" i="41" a="1"/>
  <c r="U2398" i="41" a="1"/>
  <c r="U2394" i="41" a="1"/>
  <c r="U1271" i="41" a="1"/>
  <c r="U1798" i="41" a="1"/>
  <c r="U46" i="41" a="1"/>
  <c r="U1107" i="41" a="1"/>
  <c r="U3078" i="41" a="1"/>
  <c r="U1022" i="41" a="1"/>
  <c r="U1482" i="41" a="1"/>
  <c r="U1622" i="41" a="1"/>
  <c r="U75" i="41" a="1"/>
  <c r="U2077" i="41" a="1"/>
  <c r="U885" i="41" a="1"/>
  <c r="AI381" i="1" a="1"/>
  <c r="U1235" i="41" a="1"/>
  <c r="AI358" i="1" a="1"/>
  <c r="U1514" i="41" a="1"/>
  <c r="U2682" i="41" a="1"/>
  <c r="U155" i="41" a="1"/>
  <c r="U2957" i="41" a="1"/>
  <c r="U1869" i="41" a="1"/>
  <c r="U2182" i="41" a="1"/>
  <c r="U3064" i="41" a="1"/>
  <c r="U1989" i="41" a="1"/>
  <c r="U2781" i="41" a="1"/>
  <c r="U292" i="41" a="1"/>
  <c r="U358" i="41" a="1"/>
  <c r="U2489" i="41" a="1"/>
  <c r="U2681" i="41" a="1"/>
  <c r="U1100" i="41" a="1"/>
  <c r="U2552" i="41" a="1"/>
  <c r="U2903" i="41" a="1"/>
  <c r="U932" i="41" a="1"/>
  <c r="U1791" i="41" a="1"/>
  <c r="U1601" i="41" a="1"/>
  <c r="U2617" i="41" a="1"/>
  <c r="U3001" i="41" a="1"/>
  <c r="U1003" i="41" a="1"/>
  <c r="U1239" i="41" a="1"/>
  <c r="U2057" i="41" a="1"/>
  <c r="U835" i="41" a="1"/>
  <c r="U1718" i="41" a="1"/>
  <c r="U737" i="41" a="1"/>
  <c r="U3085" i="41" a="1"/>
  <c r="U1924" i="41" a="1"/>
  <c r="U133" i="41" a="1"/>
  <c r="U1080" i="41" a="1"/>
  <c r="U2474" i="41" a="1"/>
  <c r="U184" i="41" a="1"/>
  <c r="U1547" i="41" a="1"/>
  <c r="U2687" i="41" a="1"/>
  <c r="U2351" i="41" a="1"/>
  <c r="U2508" i="41" a="1"/>
  <c r="U2847" i="41" a="1"/>
  <c r="U995" i="41" a="1"/>
  <c r="U2196" i="41" a="1"/>
  <c r="U1308" i="41" a="1"/>
  <c r="U1750" i="41" a="1"/>
  <c r="U3141" i="41" a="1"/>
  <c r="U250" i="41" a="1"/>
  <c r="U1668" i="41" a="1"/>
  <c r="U1576" i="41" a="1"/>
  <c r="U105" i="41" a="1"/>
  <c r="U1500" i="41" a="1"/>
  <c r="U2739" i="41" a="1"/>
  <c r="U2860" i="41" a="1"/>
  <c r="U321" i="41" a="1"/>
  <c r="U366" i="41" a="1"/>
  <c r="U209" i="41" a="1"/>
  <c r="U805" i="41" a="1"/>
  <c r="U2895" i="41" a="1"/>
  <c r="U41" i="41" a="1"/>
  <c r="U1056" i="41" a="1"/>
  <c r="U2365" i="41" a="1"/>
  <c r="U2456" i="41" a="1"/>
  <c r="U1454" i="41" a="1"/>
  <c r="U2357" i="41" a="1"/>
  <c r="U1135" i="41" a="1"/>
  <c r="U1286" i="41" a="1"/>
  <c r="U2766" i="41" a="1"/>
  <c r="U1614" i="41" a="1"/>
  <c r="U769" i="41" a="1"/>
  <c r="U14" i="41" a="1"/>
  <c r="U1820" i="41" a="1"/>
  <c r="U2457" i="41" a="1"/>
  <c r="U3062" i="41" a="1"/>
  <c r="U1652" i="41" a="1"/>
  <c r="U544" i="41" a="1"/>
  <c r="U2321" i="41" a="1"/>
  <c r="U1011" i="41" a="1"/>
  <c r="U2591" i="41" a="1"/>
  <c r="U2043" i="41" a="1"/>
  <c r="U275" i="41" a="1"/>
  <c r="U2423" i="41" a="1"/>
  <c r="U1028" i="41" a="1"/>
  <c r="U1030" i="41" a="1"/>
  <c r="U2421" i="41" a="1"/>
  <c r="U1425" i="41" a="1"/>
  <c r="U3045" i="41" a="1"/>
  <c r="U45" i="41" a="1"/>
  <c r="U478" i="41" a="1"/>
  <c r="U2877" i="41" a="1"/>
  <c r="U1420" i="41" a="1"/>
  <c r="U609" i="41" a="1"/>
  <c r="U664" i="41" a="1"/>
  <c r="AH51" i="1" a="1"/>
  <c r="AI418" i="1" a="1"/>
  <c r="U675" i="41" a="1"/>
  <c r="U1038" i="41" a="1"/>
  <c r="U2119" i="41" a="1"/>
  <c r="U1375" i="41" a="1"/>
  <c r="U600" i="41" a="1"/>
  <c r="AI461" i="1" a="1"/>
  <c r="U1014" i="41" a="1"/>
  <c r="U412" i="41" a="1"/>
  <c r="U1388" i="41" a="1"/>
  <c r="U2164" i="41" a="1"/>
  <c r="U2454" i="41" a="1"/>
  <c r="AI266" i="1" a="1"/>
  <c r="U470" i="41" a="1"/>
  <c r="U637" i="41" a="1"/>
  <c r="U2728" i="41" a="1"/>
  <c r="U594" i="41" a="1"/>
  <c r="U512" i="41" a="1"/>
  <c r="U671" i="41" a="1"/>
  <c r="U1811" i="41" a="1"/>
  <c r="U1210" i="41" a="1"/>
  <c r="U1669" i="41" a="1"/>
  <c r="U1044" i="41" a="1"/>
  <c r="U2448" i="41" a="1"/>
  <c r="U2924" i="41" a="1"/>
  <c r="AH445" i="1" a="1"/>
  <c r="U379" i="41" a="1"/>
  <c r="U780" i="41" a="1"/>
  <c r="U1099" i="41" a="1"/>
  <c r="U1838" i="41" a="1"/>
  <c r="U2482" i="41" a="1"/>
  <c r="U2837" i="41" a="1"/>
  <c r="U1857" i="41" a="1"/>
  <c r="U2602" i="41" a="1"/>
  <c r="U2657" i="41" a="1"/>
  <c r="U1401" i="41" a="1"/>
  <c r="U2866" i="41" a="1"/>
  <c r="U206" i="41" a="1"/>
  <c r="U2480" i="41" a="1"/>
  <c r="U1684" i="41" a="1"/>
  <c r="U1724" i="41" a="1"/>
  <c r="U2600" i="41" a="1"/>
  <c r="U2856" i="41" a="1"/>
  <c r="U1268" i="41" a="1"/>
  <c r="U2864" i="41" a="1"/>
  <c r="U2068" i="41" a="1"/>
  <c r="U2881" i="41" a="1"/>
  <c r="U531" i="41" a="1"/>
  <c r="U2743" i="41" a="1"/>
  <c r="U1999" i="41" a="1"/>
  <c r="U363" i="41" a="1"/>
  <c r="U1901" i="41" a="1"/>
  <c r="U679" i="41" a="1"/>
  <c r="U1633" i="41" a="1"/>
  <c r="U1285" i="41" a="1"/>
  <c r="U446" i="41" a="1"/>
  <c r="U1349" i="41" a="1"/>
  <c r="U1926" i="41" a="1"/>
  <c r="U2101" i="41" a="1"/>
  <c r="U1037" i="41" a="1"/>
  <c r="U606" i="41" a="1"/>
  <c r="U1332" i="41" a="1"/>
  <c r="U2039" i="41" a="1"/>
  <c r="U287" i="41" a="1"/>
  <c r="U2689" i="41" a="1"/>
  <c r="U1467" i="41" a="1"/>
  <c r="U119" i="41" a="1"/>
  <c r="U2040" i="41" a="1"/>
  <c r="U2873" i="41" a="1"/>
  <c r="U1761" i="41" a="1"/>
  <c r="U396" i="41" a="1"/>
  <c r="U490" i="41" a="1"/>
  <c r="U2435" i="41" a="1"/>
  <c r="U205" i="41" a="1"/>
  <c r="U322" i="41" a="1"/>
  <c r="U2386" i="41" a="1"/>
  <c r="U3133" i="41" a="1"/>
  <c r="U2371" i="41" a="1"/>
  <c r="U2755" i="41" a="1"/>
  <c r="U208" i="41" a="1"/>
  <c r="U792" i="41" a="1"/>
  <c r="U2186" i="41" a="1"/>
  <c r="U2549" i="41" a="1"/>
  <c r="U1259" i="41" a="1"/>
  <c r="U2399" i="41" a="1"/>
  <c r="U2249" i="41" a="1"/>
  <c r="U1583" i="41" a="1"/>
  <c r="U3074" i="41" a="1"/>
  <c r="U99" i="41" a="1"/>
  <c r="U1415" i="41" a="1"/>
  <c r="U2665" i="41" a="1"/>
  <c r="U1858" i="41" a="1"/>
  <c r="U1558" i="41" a="1"/>
  <c r="U1942" i="41" a="1"/>
  <c r="U354" i="41" a="1"/>
  <c r="U578" i="41" a="1"/>
  <c r="U617" i="41" a="1"/>
  <c r="U190" i="41" a="1"/>
  <c r="U1069" i="41" a="1"/>
  <c r="U3026" i="41" a="1"/>
  <c r="U2982" i="41" a="1"/>
  <c r="U1251" i="41" a="1"/>
  <c r="U2915" i="41" a="1"/>
  <c r="U944" i="41" a="1"/>
  <c r="U1083" i="41" a="1"/>
  <c r="U2143" i="41" a="1"/>
  <c r="U1399" i="41" a="1"/>
  <c r="U542" i="41" a="1"/>
  <c r="U1113" i="41" a="1"/>
  <c r="U1665" i="41" a="1"/>
  <c r="U2986" i="41" a="1"/>
  <c r="U2945" i="41" a="1"/>
  <c r="U1497" i="41" a="1"/>
  <c r="U2721" i="41" a="1"/>
  <c r="U2879" i="41" a="1"/>
  <c r="U908" i="41" a="1"/>
  <c r="U2999" i="41" a="1"/>
  <c r="U1532" i="41" a="1"/>
  <c r="U2984" i="41" a="1"/>
  <c r="U2952" i="41" a="1"/>
  <c r="U819" i="41" a="1"/>
  <c r="U1182" i="41" a="1"/>
  <c r="U2263" i="41" a="1"/>
  <c r="U1519" i="41" a="1"/>
  <c r="U151" i="41" a="1"/>
  <c r="U1933" i="41" a="1"/>
  <c r="U1042" i="41" a="1"/>
  <c r="U1890" i="41" a="1"/>
  <c r="U818" i="41" a="1"/>
  <c r="AI420" i="1" a="1"/>
  <c r="AH412" i="1" a="1"/>
  <c r="AI83" i="1" a="1"/>
  <c r="U4" i="41" a="1"/>
  <c r="U2855" i="41" a="1"/>
  <c r="U1194" i="41" a="1"/>
  <c r="U22" i="41" a="1"/>
  <c r="U757" i="41" a="1"/>
  <c r="U1164" i="41" a="1"/>
  <c r="U2906" i="41" a="1"/>
  <c r="U1628" i="41" a="1"/>
  <c r="U471" i="41" a="1"/>
  <c r="U1124" i="41" a="1"/>
  <c r="U493" i="41" a="1"/>
  <c r="U2584" i="41" a="1"/>
  <c r="U943" i="41" a="1"/>
  <c r="U2667" i="41" a="1"/>
  <c r="U2289" i="41" a="1"/>
  <c r="U1748" i="41" a="1"/>
  <c r="U574" i="41" a="1"/>
  <c r="AH354" i="1" a="1"/>
  <c r="U154" i="41" a="1"/>
  <c r="U1506" i="41" a="1"/>
  <c r="U2033" i="41" a="1"/>
  <c r="U1157" i="41" a="1"/>
  <c r="U726" i="41" a="1"/>
  <c r="U1623" i="41" a="1"/>
  <c r="U3143" i="41" a="1"/>
  <c r="U1196" i="41" a="1"/>
  <c r="U511" i="41" a="1"/>
  <c r="AI356" i="1" a="1"/>
  <c r="U518" i="41" a="1"/>
  <c r="U336" i="41" a="1"/>
  <c r="U2152" i="41" a="1"/>
  <c r="U1749" i="41" a="1"/>
  <c r="U2733" i="41" a="1"/>
  <c r="U764" i="41" a="1"/>
  <c r="U1479" i="41" a="1"/>
  <c r="U2662" i="41" a="1"/>
  <c r="U2231" i="41" a="1"/>
  <c r="U162" i="41" a="1"/>
  <c r="U1320" i="41" a="1"/>
  <c r="U1032" i="41" a="1"/>
  <c r="U16" i="41" a="1"/>
  <c r="U24" i="41" a="1"/>
  <c r="U2048" i="41" a="1"/>
  <c r="U2204" i="41" a="1"/>
  <c r="U2064" i="41" a="1"/>
  <c r="U1850" i="41" a="1"/>
  <c r="U2294" i="41" a="1"/>
  <c r="U2535" i="41" a="1"/>
  <c r="U2606" i="41" a="1"/>
  <c r="U2636" i="41" a="1"/>
  <c r="U1870" i="41" a="1"/>
  <c r="U2757" i="41" a="1"/>
  <c r="U1111" i="41" a="1"/>
  <c r="U2695" i="41" a="1"/>
  <c r="U1951" i="41" a="1"/>
  <c r="AI51" i="1" a="1"/>
  <c r="U1608" i="41" a="1"/>
  <c r="U160" i="41" a="1"/>
  <c r="U2025" i="41" a="1"/>
  <c r="U2750" i="41" a="1"/>
  <c r="U2494" i="41" a="1"/>
  <c r="U1094" i="41" a="1"/>
  <c r="U630" i="41" a="1"/>
  <c r="U2026" i="41" a="1"/>
  <c r="U2506" i="41" a="1"/>
  <c r="AH11" i="1" a="1"/>
  <c r="U839" i="41" a="1"/>
  <c r="U667" i="41" a="1"/>
  <c r="U1394" i="41" a="1"/>
  <c r="U36" i="41" a="1"/>
  <c r="U2438" i="41" a="1"/>
  <c r="AI417" i="1" a="1"/>
  <c r="U551" i="41" a="1"/>
  <c r="U1362" i="41" a="1"/>
  <c r="U1889" i="41" a="1"/>
  <c r="U1013" i="41" a="1"/>
  <c r="U753" i="41" a="1"/>
  <c r="U110" i="41" a="1"/>
  <c r="U19" i="41" a="1"/>
  <c r="U1464" i="41" a="1"/>
  <c r="U1712" i="41" a="1"/>
  <c r="U495" i="41" a="1"/>
  <c r="U2968" i="41" a="1"/>
  <c r="U1893" i="41" a="1"/>
  <c r="U10" i="41" a="1"/>
  <c r="AI362" i="1" a="1"/>
  <c r="U1866" i="41" a="1"/>
  <c r="AI15" i="1" a="1"/>
  <c r="U18" i="41" a="1"/>
  <c r="U1220" i="41" a="1"/>
  <c r="U3031" i="41" a="1"/>
  <c r="U486" i="41" a="1"/>
  <c r="U2360" i="41" a="1"/>
  <c r="U738" i="41" a="1"/>
  <c r="U738" i="41" l="1"/>
  <c r="U2360" i="41"/>
  <c r="U486" i="41"/>
  <c r="U3031" i="41"/>
  <c r="U1220" i="41"/>
  <c r="U18" i="41"/>
  <c r="AI15" i="1"/>
  <c r="AB15" i="1" s="1"/>
  <c r="U1866" i="41"/>
  <c r="AI362" i="1"/>
  <c r="AB362" i="1" s="1"/>
  <c r="U10" i="41"/>
  <c r="U1893" i="41"/>
  <c r="U2968" i="41"/>
  <c r="U495" i="41"/>
  <c r="U1712" i="41"/>
  <c r="U1464" i="41"/>
  <c r="U19" i="41"/>
  <c r="U110" i="41"/>
  <c r="U753" i="41"/>
  <c r="U1013" i="41"/>
  <c r="U1889" i="41"/>
  <c r="U1362" i="41"/>
  <c r="U551" i="41"/>
  <c r="AI417" i="1"/>
  <c r="AB417" i="1" s="1"/>
  <c r="U2438" i="41"/>
  <c r="U36" i="41"/>
  <c r="U1394" i="41"/>
  <c r="U667" i="41"/>
  <c r="U839" i="41"/>
  <c r="AH11" i="1"/>
  <c r="AD11" i="1" s="1"/>
  <c r="U2506" i="41"/>
  <c r="U2026" i="41"/>
  <c r="U630" i="41"/>
  <c r="U1094" i="41"/>
  <c r="U2494" i="41"/>
  <c r="U2750" i="41"/>
  <c r="U2025" i="41"/>
  <c r="U160" i="41"/>
  <c r="U1608" i="41"/>
  <c r="AI51" i="1"/>
  <c r="AB51" i="1" s="1"/>
  <c r="U1951" i="41"/>
  <c r="U2695" i="41"/>
  <c r="U1111" i="41"/>
  <c r="U2757" i="41"/>
  <c r="U1870" i="41"/>
  <c r="U2636" i="41"/>
  <c r="U2606" i="41"/>
  <c r="U2535" i="41"/>
  <c r="U2294" i="41"/>
  <c r="U1850" i="41"/>
  <c r="U2064" i="41"/>
  <c r="U2204" i="41"/>
  <c r="U2048" i="41"/>
  <c r="U24" i="41"/>
  <c r="U16" i="41"/>
  <c r="U1032" i="41"/>
  <c r="U1320" i="41"/>
  <c r="U162" i="41"/>
  <c r="U2231" i="41"/>
  <c r="U2662" i="41"/>
  <c r="U1479" i="41"/>
  <c r="U764" i="41"/>
  <c r="U2733" i="41"/>
  <c r="U1749" i="41"/>
  <c r="U2152" i="41"/>
  <c r="U336" i="41"/>
  <c r="U518" i="41"/>
  <c r="AI356" i="1"/>
  <c r="AB356" i="1" s="1"/>
  <c r="U511" i="41"/>
  <c r="U1196" i="41"/>
  <c r="U3143" i="41"/>
  <c r="U1623" i="41"/>
  <c r="U726" i="41"/>
  <c r="U1157" i="41"/>
  <c r="U2033" i="41"/>
  <c r="U1506" i="41"/>
  <c r="U154" i="41"/>
  <c r="AH354" i="1"/>
  <c r="AD354" i="1" s="1"/>
  <c r="U574" i="41"/>
  <c r="U1748" i="41"/>
  <c r="U2289" i="41"/>
  <c r="U2667" i="41"/>
  <c r="U943" i="41"/>
  <c r="U2584" i="41"/>
  <c r="U493" i="41"/>
  <c r="U1124" i="41"/>
  <c r="U471" i="41"/>
  <c r="U1628" i="41"/>
  <c r="U2906" i="41"/>
  <c r="U1164" i="41"/>
  <c r="U757" i="41"/>
  <c r="U22" i="41"/>
  <c r="U1194" i="41"/>
  <c r="U2855" i="41"/>
  <c r="U4" i="41"/>
  <c r="AI83" i="1"/>
  <c r="AB83" i="1" s="1"/>
  <c r="AH412" i="1"/>
  <c r="AD412" i="1" s="1"/>
  <c r="AI420" i="1"/>
  <c r="AB420" i="1" s="1"/>
  <c r="U818" i="41"/>
  <c r="U1890" i="41"/>
  <c r="U1042" i="41"/>
  <c r="U1933" i="41"/>
  <c r="U151" i="41"/>
  <c r="U1519" i="41"/>
  <c r="U2263" i="41"/>
  <c r="U1182" i="41"/>
  <c r="U819" i="41"/>
  <c r="U2952" i="41"/>
  <c r="U2984" i="41"/>
  <c r="U1532" i="41"/>
  <c r="U2999" i="41"/>
  <c r="U908" i="41"/>
  <c r="U2879" i="41"/>
  <c r="U2721" i="41"/>
  <c r="U1497" i="41"/>
  <c r="U2945" i="41"/>
  <c r="U2986" i="41"/>
  <c r="U1665" i="41"/>
  <c r="U1113" i="41"/>
  <c r="U542" i="41"/>
  <c r="U1399" i="41"/>
  <c r="U2143" i="41"/>
  <c r="U1083" i="41"/>
  <c r="U944" i="41"/>
  <c r="U2915" i="41"/>
  <c r="U1251" i="41"/>
  <c r="U2982" i="41"/>
  <c r="U3026" i="41"/>
  <c r="U1069" i="41"/>
  <c r="U190" i="41"/>
  <c r="U617" i="41"/>
  <c r="U578" i="41"/>
  <c r="U354" i="41"/>
  <c r="U1942" i="41"/>
  <c r="U1558" i="41"/>
  <c r="U1858" i="41"/>
  <c r="U2665" i="41"/>
  <c r="U1415" i="41"/>
  <c r="U99" i="41"/>
  <c r="U3074" i="41"/>
  <c r="U1583" i="41"/>
  <c r="U2249" i="41"/>
  <c r="U2399" i="41"/>
  <c r="U1259" i="41"/>
  <c r="U2549" i="41"/>
  <c r="U2186" i="41"/>
  <c r="U792" i="41"/>
  <c r="U208" i="41"/>
  <c r="U2755" i="41"/>
  <c r="U2371" i="41"/>
  <c r="U3133" i="41"/>
  <c r="U2386" i="41"/>
  <c r="U322" i="41"/>
  <c r="U205" i="41"/>
  <c r="U2435" i="41"/>
  <c r="U490" i="41"/>
  <c r="U396" i="41"/>
  <c r="U1761" i="41"/>
  <c r="U2873" i="41"/>
  <c r="U2040" i="41"/>
  <c r="U119" i="41"/>
  <c r="U1467" i="41"/>
  <c r="U2689" i="41"/>
  <c r="U287" i="41"/>
  <c r="U2039" i="41"/>
  <c r="U1332" i="41"/>
  <c r="U606" i="41"/>
  <c r="U1037" i="41"/>
  <c r="U2101" i="41"/>
  <c r="U1926" i="41"/>
  <c r="U1349" i="41"/>
  <c r="U446" i="41"/>
  <c r="U1285" i="41"/>
  <c r="U1633" i="41"/>
  <c r="U679" i="41"/>
  <c r="U1901" i="41"/>
  <c r="U363" i="41"/>
  <c r="U1999" i="41"/>
  <c r="U2743" i="41"/>
  <c r="U531" i="41"/>
  <c r="U2881" i="41"/>
  <c r="U2068" i="41"/>
  <c r="U2864" i="41"/>
  <c r="U1268" i="41"/>
  <c r="U2856" i="41"/>
  <c r="U2600" i="41"/>
  <c r="U1724" i="41"/>
  <c r="U1684" i="41"/>
  <c r="U2480" i="41"/>
  <c r="U206" i="41"/>
  <c r="U2866" i="41"/>
  <c r="U1401" i="41"/>
  <c r="U2657" i="41"/>
  <c r="U2602" i="41"/>
  <c r="U1857" i="41"/>
  <c r="U2837" i="41"/>
  <c r="U2482" i="41"/>
  <c r="U1838" i="41"/>
  <c r="U1099" i="41"/>
  <c r="U780" i="41"/>
  <c r="U379" i="41"/>
  <c r="AH445" i="1"/>
  <c r="AD445" i="1" s="1"/>
  <c r="U2924" i="41"/>
  <c r="U2448" i="41"/>
  <c r="U1044" i="41"/>
  <c r="U1669" i="41"/>
  <c r="U1210" i="41"/>
  <c r="U1811" i="41"/>
  <c r="U671" i="41"/>
  <c r="U512" i="41"/>
  <c r="U594" i="41"/>
  <c r="U2728" i="41"/>
  <c r="U637" i="41"/>
  <c r="U470" i="41"/>
  <c r="AI266" i="1"/>
  <c r="AB266" i="1" s="1"/>
  <c r="U2454" i="41"/>
  <c r="U2164" i="41"/>
  <c r="U1388" i="41"/>
  <c r="U412" i="41"/>
  <c r="U1014" i="41"/>
  <c r="AI461" i="1"/>
  <c r="AB461" i="1" s="1"/>
  <c r="U600" i="41"/>
  <c r="U1375" i="41"/>
  <c r="U2119" i="41"/>
  <c r="U1038" i="41"/>
  <c r="U675" i="41"/>
  <c r="AI418" i="1"/>
  <c r="AB418" i="1" s="1"/>
  <c r="AH51" i="1"/>
  <c r="AD51" i="1" s="1"/>
  <c r="U664" i="41"/>
  <c r="U609" i="41"/>
  <c r="U1420" i="41"/>
  <c r="U2877" i="41"/>
  <c r="U478" i="41"/>
  <c r="U45" i="41"/>
  <c r="U3045" i="41"/>
  <c r="U1425" i="41"/>
  <c r="U2421" i="41"/>
  <c r="U1030" i="41"/>
  <c r="U1028" i="41"/>
  <c r="U2423" i="41"/>
  <c r="U275" i="41"/>
  <c r="U2043" i="41"/>
  <c r="U2591" i="41"/>
  <c r="U1011" i="41"/>
  <c r="U2321" i="41"/>
  <c r="U544" i="41"/>
  <c r="U1652" i="41"/>
  <c r="U3062" i="41"/>
  <c r="U2457" i="41"/>
  <c r="U1820" i="41"/>
  <c r="U14" i="41"/>
  <c r="U769" i="41"/>
  <c r="U1614" i="41"/>
  <c r="U2766" i="41"/>
  <c r="U1286" i="41"/>
  <c r="U1135" i="41"/>
  <c r="U2357" i="41"/>
  <c r="U1454" i="41"/>
  <c r="U2456" i="41"/>
  <c r="U2365" i="41"/>
  <c r="U1056" i="41"/>
  <c r="U41" i="41"/>
  <c r="U2895" i="41"/>
  <c r="U805" i="41"/>
  <c r="U209" i="41"/>
  <c r="U366" i="41"/>
  <c r="U321" i="41"/>
  <c r="U2860" i="41"/>
  <c r="U2739" i="41"/>
  <c r="U1500" i="41"/>
  <c r="U105" i="41"/>
  <c r="U1576" i="41"/>
  <c r="U1668" i="41"/>
  <c r="U250" i="41"/>
  <c r="U3141" i="41"/>
  <c r="U1750" i="41"/>
  <c r="U1308" i="41"/>
  <c r="U2196" i="41"/>
  <c r="U995" i="41"/>
  <c r="U2847" i="41"/>
  <c r="U2508" i="41"/>
  <c r="U2351" i="41"/>
  <c r="U2687" i="41"/>
  <c r="U1547" i="41"/>
  <c r="U184" i="41"/>
  <c r="U2474" i="41"/>
  <c r="U1080" i="41"/>
  <c r="U133" i="41"/>
  <c r="U1924" i="41"/>
  <c r="U3085" i="41"/>
  <c r="U737" i="41"/>
  <c r="U1718" i="41"/>
  <c r="U835" i="41"/>
  <c r="U2057" i="41"/>
  <c r="U1239" i="41"/>
  <c r="U1003" i="41"/>
  <c r="U3001" i="41"/>
  <c r="U2617" i="41"/>
  <c r="U1601" i="41"/>
  <c r="U1791" i="41"/>
  <c r="U932" i="41"/>
  <c r="U2903" i="41"/>
  <c r="U2552" i="41"/>
  <c r="U1100" i="41"/>
  <c r="U2681" i="41"/>
  <c r="U2489" i="41"/>
  <c r="U358" i="41"/>
  <c r="U292" i="41"/>
  <c r="U2781" i="41"/>
  <c r="U1989" i="41"/>
  <c r="U3064" i="41"/>
  <c r="U2182" i="41"/>
  <c r="U1869" i="41"/>
  <c r="U2957" i="41"/>
  <c r="U155" i="41"/>
  <c r="U2682" i="41"/>
  <c r="U1514" i="41"/>
  <c r="AI358" i="1"/>
  <c r="AB358" i="1" s="1"/>
  <c r="U1235" i="41"/>
  <c r="AI381" i="1"/>
  <c r="AB381" i="1" s="1"/>
  <c r="U885" i="41"/>
  <c r="U2077" i="41"/>
  <c r="U75" i="41"/>
  <c r="U1622" i="41"/>
  <c r="U1482" i="41"/>
  <c r="U1022" i="41"/>
  <c r="U3078" i="41"/>
  <c r="U1107" i="41"/>
  <c r="U46" i="41"/>
  <c r="U1798" i="41"/>
  <c r="U1271" i="41"/>
  <c r="U2394" i="41"/>
  <c r="U2398" i="41"/>
  <c r="U911" i="41"/>
  <c r="U3148" i="41"/>
  <c r="U1118" i="41"/>
  <c r="U1520" i="41"/>
  <c r="U1203" i="41"/>
  <c r="U1653" i="41"/>
  <c r="U1884" i="41"/>
  <c r="U1224" i="41"/>
  <c r="U2162" i="41"/>
  <c r="U1525" i="41"/>
  <c r="U583" i="41"/>
  <c r="U1541" i="41"/>
  <c r="U680" i="41"/>
  <c r="U2935" i="41"/>
  <c r="U2490" i="41"/>
  <c r="U1617" i="41"/>
  <c r="U294" i="41"/>
  <c r="AH35" i="1"/>
  <c r="AD35" i="1" s="1"/>
  <c r="U56" i="41"/>
  <c r="U2148" i="41"/>
  <c r="AH27" i="1"/>
  <c r="AD27" i="1" s="1"/>
  <c r="U1317" i="41"/>
  <c r="U438" i="41"/>
  <c r="U334" i="41"/>
  <c r="U641" i="41"/>
  <c r="U255" i="41"/>
  <c r="U3008" i="41"/>
  <c r="U1474" i="41"/>
  <c r="U2139" i="41"/>
  <c r="U2396" i="41"/>
  <c r="U327" i="41"/>
  <c r="U1481" i="41"/>
  <c r="U3105" i="41"/>
  <c r="U1423" i="41"/>
  <c r="U2653" i="41"/>
  <c r="U1093" i="41"/>
  <c r="U2727" i="41"/>
  <c r="U1154" i="41"/>
  <c r="U2707" i="41"/>
  <c r="U2266" i="41"/>
  <c r="U2020" i="41"/>
  <c r="U1920" i="41"/>
  <c r="U1739" i="41"/>
  <c r="U2971" i="41"/>
  <c r="U1824" i="41"/>
  <c r="U268" i="41"/>
  <c r="U314" i="41"/>
  <c r="U402" i="41"/>
  <c r="U399" i="41"/>
  <c r="U475" i="41"/>
  <c r="U543" i="41"/>
  <c r="U619" i="41"/>
  <c r="U2769" i="41"/>
  <c r="U705" i="41"/>
  <c r="U2315" i="41"/>
  <c r="U682" i="41"/>
  <c r="U2569" i="41"/>
  <c r="U479" i="41"/>
  <c r="U2643" i="41"/>
  <c r="U564" i="41"/>
  <c r="U653" i="41"/>
  <c r="U865" i="41"/>
  <c r="U2054" i="41"/>
  <c r="U331" i="41"/>
  <c r="U2127" i="41"/>
  <c r="U428" i="41"/>
  <c r="U304" i="41"/>
  <c r="U572" i="41"/>
  <c r="U2171" i="41"/>
  <c r="U538" i="41"/>
  <c r="U2425" i="41"/>
  <c r="U335" i="41"/>
  <c r="U2499" i="41"/>
  <c r="U420" i="41"/>
  <c r="U509" i="41"/>
  <c r="U721" i="41"/>
  <c r="U1373" i="41"/>
  <c r="U782" i="41"/>
  <c r="U2654" i="41"/>
  <c r="U1487" i="41"/>
  <c r="U1168" i="41"/>
  <c r="U1572" i="41"/>
  <c r="U1312" i="41"/>
  <c r="U1716" i="41"/>
  <c r="U3126" i="41"/>
  <c r="U1946" i="41"/>
  <c r="U2988" i="41"/>
  <c r="U2019" i="41"/>
  <c r="U2621" i="41"/>
  <c r="U2517" i="41"/>
  <c r="U732" i="41"/>
  <c r="U2571" i="41"/>
  <c r="U1411" i="41"/>
  <c r="U1637" i="41"/>
  <c r="U2648" i="41"/>
  <c r="U1329" i="41"/>
  <c r="U3090" i="41"/>
  <c r="AI445" i="1"/>
  <c r="AB445" i="1" s="1"/>
  <c r="U643" i="41"/>
  <c r="U2079" i="41"/>
  <c r="U1202" i="41"/>
  <c r="AI264" i="1"/>
  <c r="AB264" i="1" s="1"/>
  <c r="U2014" i="41"/>
  <c r="U1616" i="41"/>
  <c r="U523" i="41"/>
  <c r="U1872" i="41"/>
  <c r="U468" i="41"/>
  <c r="U1571" i="41"/>
  <c r="U580" i="41"/>
  <c r="U869" i="41"/>
  <c r="U1745" i="41"/>
  <c r="U117" i="41"/>
  <c r="U453" i="41"/>
  <c r="U955" i="41"/>
  <c r="U636" i="41"/>
  <c r="U161" i="41"/>
  <c r="U1041" i="41"/>
  <c r="AI380" i="1"/>
  <c r="AB380" i="1" s="1"/>
  <c r="AH18" i="1"/>
  <c r="AD18" i="1" s="1"/>
  <c r="U1379" i="41"/>
  <c r="U3100" i="41"/>
  <c r="U2333" i="41"/>
  <c r="U2886" i="41"/>
  <c r="U1538" i="41"/>
  <c r="U811" i="41"/>
  <c r="U492" i="41"/>
  <c r="AH398" i="1"/>
  <c r="AD398" i="1" s="1"/>
  <c r="U2983" i="41"/>
  <c r="U920" i="41"/>
  <c r="U2159" i="41"/>
  <c r="U926" i="41"/>
  <c r="U1852" i="41"/>
  <c r="U86" i="41"/>
  <c r="U1663" i="41"/>
  <c r="U2009" i="41"/>
  <c r="U2504" i="41"/>
  <c r="U1185" i="41"/>
  <c r="U2345" i="41"/>
  <c r="U2765" i="41"/>
  <c r="U2150" i="41"/>
  <c r="U1706" i="41"/>
  <c r="U2698" i="41"/>
  <c r="U891" i="41"/>
  <c r="U163" i="41"/>
  <c r="U254" i="41"/>
  <c r="U1047" i="41"/>
  <c r="U1250" i="41"/>
  <c r="AI518" i="1"/>
  <c r="AB518" i="1" s="1"/>
  <c r="U1720" i="41"/>
  <c r="AI393" i="1"/>
  <c r="AB393" i="1" s="1"/>
  <c r="AI414" i="1"/>
  <c r="AB414" i="1" s="1"/>
  <c r="U430" i="41"/>
  <c r="U308" i="41"/>
  <c r="U2223" i="41"/>
  <c r="U1346" i="41"/>
  <c r="U476" i="41"/>
  <c r="AI348" i="1"/>
  <c r="AB348" i="1" s="1"/>
  <c r="U2065" i="41"/>
  <c r="U1314" i="41"/>
  <c r="U1065" i="41"/>
  <c r="U290" i="41"/>
  <c r="U469" i="41"/>
  <c r="U69" i="41"/>
  <c r="U236" i="41"/>
  <c r="U332" i="41"/>
  <c r="U2870" i="41"/>
  <c r="U1923" i="41"/>
  <c r="U3051" i="41"/>
  <c r="AI37" i="1"/>
  <c r="AB37" i="1" s="1"/>
  <c r="U2697" i="41"/>
  <c r="U586" i="41"/>
  <c r="U1316" i="41"/>
  <c r="U581" i="41"/>
  <c r="AI392" i="1"/>
  <c r="AB392" i="1" s="1"/>
  <c r="U1040" i="41"/>
  <c r="U2282" i="41"/>
  <c r="U850" i="41"/>
  <c r="U2243" i="41"/>
  <c r="U1103" i="41"/>
  <c r="U2085" i="41"/>
  <c r="U3030" i="41"/>
  <c r="AI407" i="1"/>
  <c r="AB407" i="1" s="1"/>
  <c r="U947" i="41"/>
  <c r="U2539" i="41"/>
  <c r="U2334" i="41"/>
  <c r="U2691" i="41"/>
  <c r="U198" i="41"/>
  <c r="U856" i="41"/>
  <c r="U948" i="41"/>
  <c r="U2973" i="41"/>
  <c r="U324" i="41"/>
  <c r="U224" i="41"/>
  <c r="U1408" i="41"/>
  <c r="U1081" i="41"/>
  <c r="U918" i="41"/>
  <c r="U2070" i="41"/>
  <c r="U1249" i="41"/>
  <c r="U1845" i="41"/>
  <c r="U1967" i="41"/>
  <c r="U827" i="41"/>
  <c r="U2714" i="41"/>
  <c r="U2677" i="41"/>
  <c r="U360" i="41"/>
  <c r="U265" i="41"/>
  <c r="U1361" i="41"/>
  <c r="U2706" i="41"/>
  <c r="U2784" i="41"/>
  <c r="U3009" i="41"/>
  <c r="U1785" i="41"/>
  <c r="U3125" i="41"/>
  <c r="U2003" i="41"/>
  <c r="U1953" i="41"/>
  <c r="U946" i="41"/>
  <c r="U830" i="41"/>
  <c r="U1687" i="41"/>
  <c r="U2431" i="41"/>
  <c r="U1371" i="41"/>
  <c r="U1232" i="41"/>
  <c r="U2820" i="41"/>
  <c r="U1539" i="41"/>
  <c r="U2503" i="41"/>
  <c r="U2754" i="41"/>
  <c r="U1215" i="41"/>
  <c r="U356" i="41"/>
  <c r="U2875" i="41"/>
  <c r="U568" i="41"/>
  <c r="U524" i="41"/>
  <c r="U2911" i="41"/>
  <c r="U2527" i="41"/>
  <c r="U318" i="41"/>
  <c r="U749" i="41"/>
  <c r="U1801" i="41"/>
  <c r="U1638" i="41"/>
  <c r="U2790" i="41"/>
  <c r="U1981" i="41"/>
  <c r="U1128" i="41"/>
  <c r="U1345" i="41"/>
  <c r="U391" i="41"/>
  <c r="U1613" i="41"/>
  <c r="U1874" i="41"/>
  <c r="U1711" i="41"/>
  <c r="U2455" i="41"/>
  <c r="U2042" i="41"/>
  <c r="U2771" i="41"/>
  <c r="U2516" i="41"/>
  <c r="U310" i="41"/>
  <c r="U61" i="41"/>
  <c r="U2974" i="41"/>
  <c r="U1630" i="41"/>
  <c r="U156" i="41"/>
  <c r="U1871" i="41"/>
  <c r="U1009" i="41"/>
  <c r="U2518" i="41"/>
  <c r="U107" i="41"/>
  <c r="U1179" i="41"/>
  <c r="U2628" i="41"/>
  <c r="U1427" i="41"/>
  <c r="U2153" i="41"/>
  <c r="U2989" i="41"/>
  <c r="U2605" i="41"/>
  <c r="U78" i="41"/>
  <c r="U736" i="41"/>
  <c r="U684" i="41"/>
  <c r="U101" i="41"/>
  <c r="U2955" i="41"/>
  <c r="U1140" i="41"/>
  <c r="U280" i="41"/>
  <c r="U2835" i="41"/>
  <c r="U798" i="41"/>
  <c r="U1229" i="41"/>
  <c r="U985" i="41"/>
  <c r="U534" i="41"/>
  <c r="U965" i="41"/>
  <c r="U1441" i="41"/>
  <c r="U414" i="41"/>
  <c r="U2187" i="41"/>
  <c r="U2304" i="41"/>
  <c r="U900" i="41"/>
  <c r="U1656" i="41"/>
  <c r="U1578" i="41"/>
  <c r="U6" i="41"/>
  <c r="U799" i="41"/>
  <c r="U2021" i="41"/>
  <c r="U31" i="41"/>
  <c r="U817" i="41"/>
  <c r="AI354" i="1"/>
  <c r="AB354" i="1" s="1"/>
  <c r="U2166" i="41"/>
  <c r="U3044" i="41"/>
  <c r="U1435" i="41"/>
  <c r="U1029" i="41"/>
  <c r="U213" i="41"/>
  <c r="U93" i="41"/>
  <c r="U374" i="41"/>
  <c r="U1231" i="41"/>
  <c r="U791" i="41"/>
  <c r="U2962" i="41"/>
  <c r="U1596" i="41"/>
  <c r="U2683" i="41"/>
  <c r="AI7" i="1"/>
  <c r="AB7" i="1" s="1"/>
  <c r="AH20" i="1"/>
  <c r="AD20" i="1" s="1"/>
  <c r="AH407" i="1"/>
  <c r="AD407" i="1" s="1"/>
  <c r="U803" i="41"/>
  <c r="U1721" i="41"/>
  <c r="U2190" i="41"/>
  <c r="U2547" i="41"/>
  <c r="AI32" i="1"/>
  <c r="AB32" i="1" s="1"/>
  <c r="U219" i="41"/>
  <c r="U2427" i="41"/>
  <c r="U2277" i="41"/>
  <c r="U1061" i="41"/>
  <c r="U1564" i="41"/>
  <c r="U1969" i="41"/>
  <c r="U261" i="41"/>
  <c r="U1965" i="41"/>
  <c r="U1581" i="41"/>
  <c r="U1108" i="41"/>
  <c r="U698" i="41"/>
  <c r="U1626" i="41"/>
  <c r="U2778" i="41"/>
  <c r="U2030" i="41"/>
  <c r="U1794" i="41"/>
  <c r="U1551" i="41"/>
  <c r="U1167" i="41"/>
  <c r="U425" i="41"/>
  <c r="U2307" i="41"/>
  <c r="U1068" i="41"/>
  <c r="U199" i="41"/>
  <c r="U1144" i="41"/>
  <c r="U1236" i="41"/>
  <c r="U112" i="41"/>
  <c r="U2709" i="41"/>
  <c r="U1318" i="41"/>
  <c r="U418" i="41"/>
  <c r="U2711" i="41"/>
  <c r="U563" i="41"/>
  <c r="U2782" i="41"/>
  <c r="U1932" i="41"/>
  <c r="U2180" i="41"/>
  <c r="U2131" i="41"/>
  <c r="U2240" i="41"/>
  <c r="U1940" i="41"/>
  <c r="U1900" i="41"/>
  <c r="U2745" i="41"/>
  <c r="U369" i="41"/>
  <c r="U235" i="41"/>
  <c r="U915" i="41"/>
  <c r="U1784" i="41"/>
  <c r="U1744" i="41"/>
  <c r="U2684" i="41"/>
  <c r="U1365" i="41"/>
  <c r="U2993" i="41"/>
  <c r="U2852" i="41"/>
  <c r="U309" i="41"/>
  <c r="U449" i="41"/>
  <c r="U1418" i="41"/>
  <c r="U547" i="41"/>
  <c r="U1769" i="41"/>
  <c r="U951" i="41"/>
  <c r="U715" i="41"/>
  <c r="U1944" i="41"/>
  <c r="U2507" i="41"/>
  <c r="U3042" i="41"/>
  <c r="U1503" i="41"/>
  <c r="U644" i="41"/>
  <c r="U3068" i="41"/>
  <c r="U2264" i="41"/>
  <c r="U812" i="41"/>
  <c r="U2080" i="41"/>
  <c r="U1696" i="41"/>
  <c r="U2980" i="41"/>
  <c r="U2184" i="41"/>
  <c r="U263" i="41"/>
  <c r="U2492" i="41"/>
  <c r="U2833" i="41"/>
  <c r="U431" i="41"/>
  <c r="U2676" i="41"/>
  <c r="U1882" i="41"/>
  <c r="U1899" i="41"/>
  <c r="U2462" i="41"/>
  <c r="U348" i="41"/>
  <c r="U53" i="41"/>
  <c r="U2907" i="41"/>
  <c r="U516" i="41"/>
  <c r="U2812" i="41"/>
  <c r="U929" i="41"/>
  <c r="U1849" i="41"/>
  <c r="U284" i="41"/>
  <c r="U1468" i="41"/>
  <c r="U1573" i="41"/>
  <c r="U118" i="41"/>
  <c r="U545" i="41"/>
  <c r="U1453" i="41"/>
  <c r="U1793" i="41"/>
  <c r="U1910" i="41"/>
  <c r="U1646" i="41"/>
  <c r="U3035" i="41"/>
  <c r="U1911" i="41"/>
  <c r="U2126" i="41"/>
  <c r="U2310" i="41"/>
  <c r="U2209" i="41"/>
  <c r="AH262" i="1"/>
  <c r="AD262" i="1" s="1"/>
  <c r="U2283" i="41"/>
  <c r="AH461" i="1"/>
  <c r="AD461" i="1" s="1"/>
  <c r="U854" i="41"/>
  <c r="U1143" i="41"/>
  <c r="U939" i="41"/>
  <c r="U677" i="41"/>
  <c r="U473" i="41"/>
  <c r="U1414" i="41"/>
  <c r="U2428" i="41"/>
  <c r="U532" i="41"/>
  <c r="U1054" i="41"/>
  <c r="U3072" i="41"/>
  <c r="U2291" i="41"/>
  <c r="U1975" i="41"/>
  <c r="U3108" i="41"/>
  <c r="U2072" i="41"/>
  <c r="U3017" i="41"/>
  <c r="U1691" i="41"/>
  <c r="U277" i="41"/>
  <c r="U1776" i="41"/>
  <c r="U116" i="41"/>
  <c r="U1805" i="41"/>
  <c r="U1214" i="41"/>
  <c r="U3104" i="41"/>
  <c r="U1299" i="41"/>
  <c r="U464" i="41"/>
  <c r="U2808" i="41"/>
  <c r="U952" i="41"/>
  <c r="U2726" i="41"/>
  <c r="U1372" i="41"/>
  <c r="U2772" i="41"/>
  <c r="AI462" i="1"/>
  <c r="AB462" i="1" s="1"/>
  <c r="U2477" i="41"/>
  <c r="U215" i="41"/>
  <c r="U2389" i="41"/>
  <c r="U1636" i="41"/>
  <c r="U2463" i="41"/>
  <c r="U857" i="41"/>
  <c r="U647" i="41"/>
  <c r="U627" i="41"/>
  <c r="U1077" i="41"/>
  <c r="U1540" i="41"/>
  <c r="U663" i="41"/>
  <c r="U1902" i="41"/>
  <c r="U2167" i="41"/>
  <c r="U1344" i="41"/>
  <c r="U210" i="41"/>
  <c r="U1645" i="41"/>
  <c r="U930" i="41"/>
  <c r="U2816" i="41"/>
  <c r="U945" i="41"/>
  <c r="U2818" i="41"/>
  <c r="U922" i="41"/>
  <c r="U2140" i="41"/>
  <c r="U2749" i="41"/>
  <c r="U159" i="41"/>
  <c r="U2823" i="41"/>
  <c r="U285" i="41"/>
  <c r="U833" i="41"/>
  <c r="U1818" i="41"/>
  <c r="U1697" i="41"/>
  <c r="U1962" i="41"/>
  <c r="U1841" i="41"/>
  <c r="U1988" i="41"/>
  <c r="U2404" i="41"/>
  <c r="U2121" i="41"/>
  <c r="U1146" i="41"/>
  <c r="U23" i="41"/>
  <c r="U2926" i="41"/>
  <c r="U108" i="41"/>
  <c r="U51" i="41"/>
  <c r="U409" i="41"/>
  <c r="U177" i="41"/>
  <c r="U1674" i="41"/>
  <c r="U1553" i="41"/>
  <c r="U1747" i="41"/>
  <c r="U2947" i="41"/>
  <c r="U1891" i="41"/>
  <c r="U3091" i="41"/>
  <c r="U1977" i="41"/>
  <c r="U44" i="41"/>
  <c r="U1954" i="41"/>
  <c r="U2541" i="41"/>
  <c r="U1751" i="41"/>
  <c r="U194" i="41"/>
  <c r="U1836" i="41"/>
  <c r="U33" i="41"/>
  <c r="U326" i="41"/>
  <c r="U1566" i="41"/>
  <c r="U1031" i="41"/>
  <c r="U3153" i="41"/>
  <c r="U1116" i="41"/>
  <c r="U126" i="41"/>
  <c r="U1260" i="41"/>
  <c r="U270" i="41"/>
  <c r="U1478" i="41"/>
  <c r="U919" i="41"/>
  <c r="U1563" i="41"/>
  <c r="U1016" i="41"/>
  <c r="U2876" i="41"/>
  <c r="U1149" i="41"/>
  <c r="U2878" i="41"/>
  <c r="U1477" i="41"/>
  <c r="AI403" i="1"/>
  <c r="AB403" i="1" s="1"/>
  <c r="U1450" i="41"/>
  <c r="U3003" i="41"/>
  <c r="U1026" i="41"/>
  <c r="AI400" i="1"/>
  <c r="AB400" i="1" s="1"/>
  <c r="U1445" i="41"/>
  <c r="U2037" i="41"/>
  <c r="U3112" i="41"/>
  <c r="U1935" i="41"/>
  <c r="U1856" i="41"/>
  <c r="U2160" i="41"/>
  <c r="U756" i="41"/>
  <c r="U1512" i="41"/>
  <c r="U2006" i="41"/>
  <c r="AH351" i="1"/>
  <c r="AD351" i="1" s="1"/>
  <c r="U608" i="41"/>
  <c r="U436" i="41"/>
  <c r="U1335" i="41"/>
  <c r="U620" i="41"/>
  <c r="U2589" i="41"/>
  <c r="U1333" i="41"/>
  <c r="U2016" i="41"/>
  <c r="U612" i="41"/>
  <c r="U1715" i="41"/>
  <c r="AI421" i="1"/>
  <c r="AB421" i="1" s="1"/>
  <c r="U229" i="41"/>
  <c r="U2891" i="41"/>
  <c r="U1091" i="41"/>
  <c r="U1582" i="41"/>
  <c r="U2650" i="41"/>
  <c r="U1734" i="41"/>
  <c r="U1605" i="41"/>
  <c r="AI11" i="1"/>
  <c r="AB11" i="1" s="1"/>
  <c r="U2859" i="41"/>
  <c r="U2950" i="41"/>
  <c r="U2887" i="41"/>
  <c r="AH421" i="1"/>
  <c r="AD421" i="1" s="1"/>
  <c r="U2839" i="41"/>
  <c r="U776" i="41"/>
  <c r="U2901" i="41"/>
  <c r="U1694" i="41"/>
  <c r="U1473" i="41"/>
  <c r="U3047" i="41"/>
  <c r="U1162" i="41"/>
  <c r="U1267" i="41"/>
  <c r="AH358" i="1"/>
  <c r="AD358" i="1" s="1"/>
  <c r="U351" i="41"/>
  <c r="U139" i="41"/>
  <c r="AH348" i="1"/>
  <c r="AD348" i="1" s="1"/>
  <c r="U1921" i="41"/>
  <c r="U1170" i="41"/>
  <c r="U1364" i="41"/>
  <c r="U2407" i="41"/>
  <c r="U135" i="41"/>
  <c r="U355" i="41"/>
  <c r="U2938" i="41"/>
  <c r="U527" i="41"/>
  <c r="U368" i="41"/>
  <c r="U2806" i="41"/>
  <c r="U2409" i="41"/>
  <c r="U2193" i="41"/>
  <c r="U2908" i="41"/>
  <c r="U2675" i="41"/>
  <c r="U3011" i="41"/>
  <c r="U1053" i="41"/>
  <c r="U1020" i="41"/>
  <c r="AH13" i="1"/>
  <c r="AD13" i="1" s="1"/>
  <c r="U1384" i="41"/>
  <c r="U676" i="41"/>
  <c r="U950" i="41"/>
  <c r="U3117" i="41"/>
  <c r="U1651" i="41"/>
  <c r="U2199" i="41"/>
  <c r="U1173" i="41"/>
  <c r="U1446" i="41"/>
  <c r="U2598" i="41"/>
  <c r="U2308" i="41"/>
  <c r="U1233" i="41"/>
  <c r="U5" i="41"/>
  <c r="AH413" i="1"/>
  <c r="AD413" i="1" s="1"/>
  <c r="U903" i="41"/>
  <c r="U1963" i="41"/>
  <c r="U651" i="41"/>
  <c r="U556" i="41"/>
  <c r="U645" i="41"/>
  <c r="U2344" i="41"/>
  <c r="U2132" i="41"/>
  <c r="U2298" i="41"/>
  <c r="U2067" i="41"/>
  <c r="U1197" i="41"/>
  <c r="U2896" i="41"/>
  <c r="U3021" i="41"/>
  <c r="U622" i="41"/>
  <c r="U858" i="41"/>
  <c r="U2134" i="41"/>
  <c r="U1569" i="41"/>
  <c r="U2322" i="41"/>
  <c r="U783" i="41"/>
  <c r="U1699" i="41"/>
  <c r="U2443" i="41"/>
  <c r="U2103" i="41"/>
  <c r="U1867" i="41"/>
  <c r="U1517" i="41"/>
  <c r="U2862" i="41"/>
  <c r="U225" i="41"/>
  <c r="U317" i="41"/>
  <c r="U1369" i="41"/>
  <c r="U1206" i="41"/>
  <c r="U2358" i="41"/>
  <c r="U1537" i="41"/>
  <c r="U1678" i="41"/>
  <c r="U2255" i="41"/>
  <c r="U1115" i="41"/>
  <c r="U2154" i="41"/>
  <c r="U2965" i="41"/>
  <c r="U648" i="41"/>
  <c r="U267" i="41"/>
  <c r="U2611" i="41"/>
  <c r="U2227" i="41"/>
  <c r="U1367" i="41"/>
  <c r="U2809" i="41"/>
  <c r="U1559" i="41"/>
  <c r="U29" i="41"/>
  <c r="U2331" i="41"/>
  <c r="U1727" i="41"/>
  <c r="U2393" i="41"/>
  <c r="U2228" i="41"/>
  <c r="U1917" i="41"/>
  <c r="U2992" i="41"/>
  <c r="U2686" i="41"/>
  <c r="U1342" i="41"/>
  <c r="U706" i="41"/>
  <c r="U2854" i="41"/>
  <c r="U852" i="41"/>
  <c r="U2230" i="41"/>
  <c r="U1894" i="41"/>
  <c r="U1609" i="41"/>
  <c r="U2340" i="41"/>
  <c r="U1139" i="41"/>
  <c r="U569" i="41"/>
  <c r="U2125" i="41"/>
  <c r="U2495" i="41"/>
  <c r="U2871" i="41"/>
  <c r="U1789" i="41"/>
  <c r="U906" i="41"/>
  <c r="U2058" i="41"/>
  <c r="U1298" i="41"/>
  <c r="U1074" i="41"/>
  <c r="U1549" i="41"/>
  <c r="U1165" i="41"/>
  <c r="U881" i="41"/>
  <c r="U1862" i="41"/>
  <c r="U979" i="41"/>
  <c r="U2201" i="41"/>
  <c r="U1383" i="41"/>
  <c r="U1147" i="41"/>
  <c r="U2222" i="41"/>
  <c r="U2761" i="41"/>
  <c r="U525" i="41"/>
  <c r="U2224" i="41"/>
  <c r="U460" i="41"/>
  <c r="U2000" i="41"/>
  <c r="U1960" i="41"/>
  <c r="U2324" i="41"/>
  <c r="U1880" i="41"/>
  <c r="U1840" i="41"/>
  <c r="U502" i="41"/>
  <c r="U570" i="41"/>
  <c r="U2925" i="41"/>
  <c r="U2133" i="41"/>
  <c r="U2921" i="41"/>
  <c r="U2326" i="41"/>
  <c r="U2013" i="41"/>
  <c r="U655" i="41"/>
  <c r="U1877" i="41"/>
  <c r="U2485" i="41"/>
  <c r="U804" i="41"/>
  <c r="U1176" i="41"/>
  <c r="AH32" i="1"/>
  <c r="AD32" i="1" s="1"/>
  <c r="U227" i="41"/>
  <c r="U2773" i="41"/>
  <c r="U976" i="41"/>
  <c r="U1592" i="41"/>
  <c r="U718" i="41"/>
  <c r="U1593" i="41"/>
  <c r="U2433" i="41"/>
  <c r="U2811" i="41"/>
  <c r="U2553" i="41"/>
  <c r="U442" i="41"/>
  <c r="U1507" i="41"/>
  <c r="U2218" i="41"/>
  <c r="U674" i="41"/>
  <c r="U1746" i="41"/>
  <c r="U898" i="41"/>
  <c r="U2045" i="41"/>
  <c r="U367" i="41"/>
  <c r="U1604" i="41"/>
  <c r="AH46" i="1"/>
  <c r="AD46" i="1" s="1"/>
  <c r="AI412" i="1"/>
  <c r="AB412" i="1" s="1"/>
  <c r="U759" i="41"/>
  <c r="U1819" i="41"/>
  <c r="U507" i="41"/>
  <c r="U1918" i="41"/>
  <c r="AI405" i="1"/>
  <c r="AB405" i="1" s="1"/>
  <c r="U1472" i="41"/>
  <c r="U3060" i="41"/>
  <c r="U886" i="41"/>
  <c r="U381" i="41"/>
  <c r="U2885" i="41"/>
  <c r="U2842" i="41"/>
  <c r="U1521" i="41"/>
  <c r="U969" i="41"/>
  <c r="U897" i="41"/>
  <c r="U2596" i="41"/>
  <c r="U2123" i="41"/>
  <c r="U1330" i="41"/>
  <c r="U1138" i="41"/>
  <c r="U2496" i="41"/>
  <c r="U1498" i="41"/>
  <c r="U555" i="41"/>
  <c r="U483" i="41"/>
  <c r="U1352" i="41"/>
  <c r="U2940" i="41"/>
  <c r="U2252" i="41"/>
  <c r="U933" i="41"/>
  <c r="U2632" i="41"/>
  <c r="U2420" i="41"/>
  <c r="U183" i="41"/>
  <c r="U1396" i="41"/>
  <c r="U986" i="41"/>
  <c r="U1914" i="41"/>
  <c r="U1337" i="41"/>
  <c r="U519" i="41"/>
  <c r="U283" i="41"/>
  <c r="U2720" i="41"/>
  <c r="U2336" i="41"/>
  <c r="U2251" i="41"/>
  <c r="U2595" i="41"/>
  <c r="U1356" i="41"/>
  <c r="U248" i="41"/>
  <c r="U1432" i="41"/>
  <c r="U1524" i="41"/>
  <c r="U106" i="41"/>
  <c r="U2509" i="41"/>
  <c r="U1200" i="41"/>
  <c r="U185" i="41"/>
  <c r="U3039" i="41"/>
  <c r="U949" i="41"/>
  <c r="U66" i="41"/>
  <c r="U510" i="41"/>
  <c r="U130" i="41"/>
  <c r="U2669" i="41"/>
  <c r="U1896" i="41"/>
  <c r="U2050" i="41"/>
  <c r="U1682" i="41"/>
  <c r="U2545" i="41"/>
  <c r="U143" i="41"/>
  <c r="U1895" i="41"/>
  <c r="U1594" i="41"/>
  <c r="U2053" i="41"/>
  <c r="U2174" i="41"/>
  <c r="U60" i="41"/>
  <c r="U123" i="41"/>
  <c r="U2619" i="41"/>
  <c r="U228" i="41"/>
  <c r="U3095" i="41"/>
  <c r="U1489" i="41"/>
  <c r="U535" i="41"/>
  <c r="U1757" i="41"/>
  <c r="U2018" i="41"/>
  <c r="U1855" i="41"/>
  <c r="U2599" i="41"/>
  <c r="U387" i="41"/>
  <c r="U2737" i="41"/>
  <c r="U1550" i="41"/>
  <c r="U632" i="41"/>
  <c r="U3056" i="41"/>
  <c r="U2091" i="41"/>
  <c r="U1952" i="41"/>
  <c r="U1912" i="41"/>
  <c r="U2259" i="41"/>
  <c r="U2705" i="41"/>
  <c r="U2597" i="41"/>
  <c r="U2722" i="41"/>
  <c r="U1257" i="41"/>
  <c r="U2956" i="41"/>
  <c r="U2458" i="41"/>
  <c r="U1713" i="41"/>
  <c r="U3101" i="41"/>
  <c r="U2338" i="41"/>
  <c r="U603" i="41"/>
  <c r="U2376" i="41"/>
  <c r="U1986" i="41"/>
  <c r="U1438" i="41"/>
  <c r="U1340" i="41"/>
  <c r="U1387" i="41"/>
  <c r="U3082" i="41"/>
  <c r="U337" i="41"/>
  <c r="U515" i="41"/>
  <c r="U2948" i="41"/>
  <c r="U1045" i="41"/>
  <c r="U703" i="41"/>
  <c r="U398" i="41"/>
  <c r="U800" i="41"/>
  <c r="U2882" i="41"/>
  <c r="U434" i="41"/>
  <c r="U2169" i="41"/>
  <c r="U2918" i="41"/>
  <c r="U1629" i="41"/>
  <c r="U1460" i="41"/>
  <c r="U2242" i="41"/>
  <c r="U346" i="41"/>
  <c r="U2719" i="41"/>
  <c r="U1827" i="41"/>
  <c r="U2032" i="41"/>
  <c r="U2325" i="41"/>
  <c r="U109" i="41"/>
  <c r="U2981" i="41"/>
  <c r="U187" i="41"/>
  <c r="U392" i="41"/>
  <c r="U758" i="41"/>
  <c r="U1998" i="41"/>
  <c r="U843" i="41"/>
  <c r="U2071" i="41"/>
  <c r="AH23" i="1"/>
  <c r="AD23" i="1" s="1"/>
  <c r="U2472" i="41"/>
  <c r="U2306" i="41"/>
  <c r="U1779" i="41"/>
  <c r="U1264" i="41"/>
  <c r="U598" i="41"/>
  <c r="AI355" i="1"/>
  <c r="AB355" i="1" s="1"/>
  <c r="U410" i="41"/>
  <c r="U2387" i="41"/>
  <c r="U72" i="41"/>
  <c r="U2604" i="41"/>
  <c r="U373" i="41"/>
  <c r="U2740" i="41"/>
  <c r="U2640" i="41"/>
  <c r="U1496" i="41"/>
  <c r="U2776" i="41"/>
  <c r="U1130" i="41"/>
  <c r="U427" i="41"/>
  <c r="U1325" i="41"/>
  <c r="U1754" i="41"/>
  <c r="U42" i="41"/>
  <c r="U295" i="41"/>
  <c r="U762" i="41"/>
  <c r="U1536" i="41"/>
  <c r="U777" i="41"/>
  <c r="U1027" i="41"/>
  <c r="U754" i="41"/>
  <c r="U697" i="41"/>
  <c r="U2293" i="41"/>
  <c r="U1355" i="41"/>
  <c r="U2367" i="41"/>
  <c r="U1440" i="41"/>
  <c r="U377" i="41"/>
  <c r="U1741" i="41"/>
  <c r="U2970" i="41"/>
  <c r="U1814" i="41"/>
  <c r="U1385" i="41"/>
  <c r="U1958" i="41"/>
  <c r="U1948" i="41"/>
  <c r="U2385" i="41"/>
  <c r="U2801" i="41"/>
  <c r="U1931" i="41"/>
  <c r="U1526" i="41"/>
  <c r="U2185" i="41"/>
  <c r="U171" i="41"/>
  <c r="U3146" i="41"/>
  <c r="U297" i="41"/>
  <c r="U1648" i="41"/>
  <c r="U2826" i="41"/>
  <c r="U1670" i="41"/>
  <c r="U2491" i="41"/>
  <c r="U1743" i="41"/>
  <c r="U2635" i="41"/>
  <c r="U1887" i="41"/>
  <c r="U3052" i="41"/>
  <c r="U3058" i="41"/>
  <c r="U1753" i="41"/>
  <c r="U2712" i="41"/>
  <c r="U27" i="41"/>
  <c r="U2990" i="41"/>
  <c r="U153" i="41"/>
  <c r="U1504" i="41"/>
  <c r="U1686" i="41"/>
  <c r="U2718" i="41"/>
  <c r="U1084" i="41"/>
  <c r="U2270" i="41"/>
  <c r="U246" i="41"/>
  <c r="U784" i="41"/>
  <c r="U103" i="41"/>
  <c r="U928" i="41"/>
  <c r="U1039" i="41"/>
  <c r="U2141" i="41"/>
  <c r="U1136" i="41"/>
  <c r="U2987" i="41"/>
  <c r="U1269" i="41"/>
  <c r="U2848" i="41"/>
  <c r="U1246" i="41"/>
  <c r="AH356" i="1"/>
  <c r="AD356" i="1" s="1"/>
  <c r="U2586" i="41"/>
  <c r="U2362" i="41"/>
  <c r="U1169" i="41"/>
  <c r="U2172" i="41"/>
  <c r="U582" i="41"/>
  <c r="U2641" i="41"/>
  <c r="U2022" i="41"/>
  <c r="U719" i="41"/>
  <c r="AH264" i="1"/>
  <c r="AD264" i="1" s="1"/>
  <c r="AI413" i="1"/>
  <c r="AB413" i="1" s="1"/>
  <c r="U298" i="41"/>
  <c r="U725" i="41"/>
  <c r="U1313" i="41"/>
  <c r="U260" i="41"/>
  <c r="U149" i="41"/>
  <c r="U2008" i="41"/>
  <c r="U192" i="41"/>
  <c r="U3075" i="41"/>
  <c r="U2792" i="41"/>
  <c r="U95" i="41"/>
  <c r="U415" i="41"/>
  <c r="U251" i="41"/>
  <c r="U1070" i="41"/>
  <c r="U3077" i="41"/>
  <c r="AH108" i="1"/>
  <c r="AD108" i="1" s="1"/>
  <c r="U1726" i="41"/>
  <c r="U1755" i="41"/>
  <c r="U2760" i="41"/>
  <c r="U2391" i="41"/>
  <c r="U1621" i="41"/>
  <c r="U882" i="41"/>
  <c r="U1076" i="41"/>
  <c r="U1466" i="41"/>
  <c r="U1733" i="41"/>
  <c r="U2087" i="41"/>
  <c r="U660" i="41"/>
  <c r="U2346" i="41"/>
  <c r="AI35" i="1"/>
  <c r="AB35" i="1" s="1"/>
  <c r="U3032" i="41"/>
  <c r="U2062" i="41"/>
  <c r="U2929" i="41"/>
  <c r="U974" i="41"/>
  <c r="U2554" i="41"/>
  <c r="AH418" i="1"/>
  <c r="AD418" i="1" s="1"/>
  <c r="U1589" i="41"/>
  <c r="U2397" i="41"/>
  <c r="U863" i="41"/>
  <c r="U1667" i="41"/>
  <c r="U1052" i="41"/>
  <c r="U1991" i="41"/>
  <c r="U450" i="41"/>
  <c r="U2189" i="41"/>
  <c r="AH26" i="1"/>
  <c r="AD26" i="1" s="1"/>
  <c r="U1511" i="41"/>
  <c r="AH381" i="1"/>
  <c r="AD381" i="1" s="1"/>
  <c r="U1904" i="41"/>
  <c r="U1864" i="41"/>
  <c r="U539" i="41"/>
  <c r="U2931" i="41"/>
  <c r="U1523" i="41"/>
  <c r="U85" i="41"/>
  <c r="U3094" i="41"/>
  <c r="U2531" i="41"/>
  <c r="U3147" i="41"/>
  <c r="U2316" i="41"/>
  <c r="U2056" i="41"/>
  <c r="U1123" i="41"/>
  <c r="AH414" i="1"/>
  <c r="AD414" i="1" s="1"/>
  <c r="U1767" i="41"/>
  <c r="U54" i="41"/>
  <c r="U2181" i="41"/>
  <c r="U714" i="41"/>
  <c r="U2794" i="41"/>
  <c r="U239" i="41"/>
  <c r="U559" i="41"/>
  <c r="U2235" i="41"/>
  <c r="AH393" i="1"/>
  <c r="AD393" i="1" s="1"/>
  <c r="U870" i="41"/>
  <c r="U1301" i="41"/>
  <c r="U2995" i="41"/>
  <c r="U1291" i="41"/>
  <c r="U320" i="41"/>
  <c r="U1096" i="41"/>
  <c r="U2450" i="41"/>
  <c r="U148" i="41"/>
  <c r="U1087" i="41"/>
  <c r="U231" i="41"/>
  <c r="U2752" i="41"/>
  <c r="U1106" i="41"/>
  <c r="U218" i="41"/>
  <c r="U2872" i="41"/>
  <c r="U2089" i="41"/>
  <c r="U614" i="41"/>
  <c r="AI398" i="1"/>
  <c r="AB398" i="1" s="1"/>
  <c r="AH355" i="1"/>
  <c r="AD355" i="1" s="1"/>
  <c r="AI13" i="1"/>
  <c r="AB13" i="1" s="1"/>
  <c r="AH372" i="1"/>
  <c r="AD372" i="1" s="1"/>
  <c r="U1150" i="41"/>
  <c r="U588" i="41"/>
  <c r="U1835" i="41"/>
  <c r="U1436" i="41"/>
  <c r="AI536" i="1"/>
  <c r="AB536" i="1" s="1"/>
  <c r="U713" i="41"/>
  <c r="U2497" i="41"/>
  <c r="U1777" i="41"/>
  <c r="U1671" i="41"/>
  <c r="U2319" i="41"/>
  <c r="U1800" i="41"/>
  <c r="U279" i="41"/>
  <c r="U2441" i="41"/>
  <c r="U796" i="41"/>
  <c r="U2738" i="41"/>
  <c r="U781" i="41"/>
  <c r="U237" i="41"/>
  <c r="U329" i="41"/>
  <c r="U278" i="41"/>
  <c r="U70" i="41"/>
  <c r="U2109" i="41"/>
  <c r="U1725" i="41"/>
  <c r="U585" i="41"/>
  <c r="U2377" i="41"/>
  <c r="U1127" i="41"/>
  <c r="U3018" i="41"/>
  <c r="U2774" i="41"/>
  <c r="U1295" i="41"/>
  <c r="U2250" i="41"/>
  <c r="U388" i="41"/>
  <c r="U1485" i="41"/>
  <c r="U2825" i="41"/>
  <c r="U2254" i="41"/>
  <c r="U910" i="41"/>
  <c r="U1795" i="41"/>
  <c r="U2422" i="41"/>
  <c r="U1402" i="41"/>
  <c r="U2610" i="41"/>
  <c r="U1071" i="41"/>
  <c r="U1987" i="41"/>
  <c r="U2731" i="41"/>
  <c r="U424" i="41"/>
  <c r="U380" i="41"/>
  <c r="U2767" i="41"/>
  <c r="U2383" i="41"/>
  <c r="U1831" i="41"/>
  <c r="U2575" i="41"/>
  <c r="U1515" i="41"/>
  <c r="U1376" i="41"/>
  <c r="U2964" i="41"/>
  <c r="U1683" i="41"/>
  <c r="U2647" i="41"/>
  <c r="U2583" i="41"/>
  <c r="U1501" i="41"/>
  <c r="U618" i="41"/>
  <c r="U1049" i="41"/>
  <c r="U1010" i="41"/>
  <c r="U786" i="41"/>
  <c r="U1392" i="41"/>
  <c r="U1008" i="41"/>
  <c r="U593" i="41"/>
  <c r="U1562" i="41"/>
  <c r="U691" i="41"/>
  <c r="U1913" i="41"/>
  <c r="U1095" i="41"/>
  <c r="U859" i="41"/>
  <c r="U2088" i="41"/>
  <c r="U2651" i="41"/>
  <c r="U1876" i="41"/>
  <c r="U2674" i="41"/>
  <c r="U610" i="41"/>
  <c r="U426" i="41"/>
  <c r="U2723" i="41"/>
  <c r="U778" i="41"/>
  <c r="U553" i="41"/>
  <c r="U2049" i="41"/>
  <c r="U3124" i="41"/>
  <c r="U2328" i="41"/>
  <c r="U407" i="41"/>
  <c r="U2206" i="41"/>
  <c r="U2977" i="41"/>
  <c r="U575" i="41"/>
  <c r="U2149" i="41"/>
  <c r="U3063" i="41"/>
  <c r="U1680" i="41"/>
  <c r="U15" i="41"/>
  <c r="U3110" i="41"/>
  <c r="U1416" i="41"/>
  <c r="U124" i="41"/>
  <c r="U2679" i="41"/>
  <c r="U1296" i="41"/>
  <c r="U1073" i="41"/>
  <c r="U1993" i="41"/>
  <c r="U141" i="41"/>
  <c r="U1612" i="41"/>
  <c r="U1717" i="41"/>
  <c r="U262" i="41"/>
  <c r="U689" i="41"/>
  <c r="U1597" i="41"/>
  <c r="U83" i="41"/>
  <c r="U1860" i="41"/>
  <c r="U2894" i="41"/>
  <c r="U1570" i="41"/>
  <c r="U967" i="41"/>
  <c r="AI26" i="1"/>
  <c r="AB26" i="1" s="1"/>
  <c r="U1982" i="41"/>
  <c r="U1243" i="41"/>
  <c r="U649" i="41"/>
  <c r="AH45" i="1"/>
  <c r="AD45" i="1" s="1"/>
  <c r="U386" i="41"/>
  <c r="U1458" i="41"/>
  <c r="U1209" i="41"/>
  <c r="U2696" i="41"/>
  <c r="U1240" i="41"/>
  <c r="U2594" i="41"/>
  <c r="U1321" i="41"/>
  <c r="U217" i="41"/>
  <c r="U2099" i="41"/>
  <c r="U959" i="41"/>
  <c r="U501" i="41"/>
  <c r="U1708" i="41"/>
  <c r="AH7" i="1"/>
  <c r="AD7" i="1" s="1"/>
  <c r="U862" i="41"/>
  <c r="U200" i="41"/>
  <c r="U2991" i="41"/>
  <c r="U2353" i="41"/>
  <c r="U1057" i="41"/>
  <c r="U1527" i="41"/>
  <c r="U180" i="41"/>
  <c r="AH403" i="1"/>
  <c r="AD403" i="1" s="1"/>
  <c r="U888" i="41"/>
  <c r="U17" i="41"/>
  <c r="U1219" i="41"/>
  <c r="U937" i="41"/>
  <c r="U774" i="41"/>
  <c r="U1205" i="41"/>
  <c r="U1105" i="41"/>
  <c r="U1701" i="41"/>
  <c r="U481" i="41"/>
  <c r="U1326" i="41"/>
  <c r="U2478" i="41"/>
  <c r="U998" i="41"/>
  <c r="U847" i="41"/>
  <c r="U2069" i="41"/>
  <c r="U1166" i="41"/>
  <c r="U1287" i="41"/>
  <c r="U2748" i="41"/>
  <c r="U768" i="41"/>
  <c r="U52" i="41"/>
  <c r="U2607" i="41"/>
  <c r="U517" i="41"/>
  <c r="U220" i="41"/>
  <c r="U77" i="41"/>
  <c r="U339" i="41"/>
  <c r="U2884" i="41"/>
  <c r="U2411" i="41"/>
  <c r="U1618" i="41"/>
  <c r="U444" i="41"/>
  <c r="U2113" i="41"/>
  <c r="U1786" i="41"/>
  <c r="U316" i="41"/>
  <c r="U771" i="41"/>
  <c r="U1640" i="41"/>
  <c r="U3145" i="41"/>
  <c r="U2540" i="41"/>
  <c r="U1221" i="41"/>
  <c r="U2920" i="41"/>
  <c r="U2708" i="41"/>
  <c r="U165" i="41"/>
  <c r="U2275" i="41"/>
  <c r="U2384" i="41"/>
  <c r="U345" i="41"/>
  <c r="U2044" i="41"/>
  <c r="U2889" i="41"/>
  <c r="U513" i="41"/>
  <c r="U140" i="41"/>
  <c r="U1201" i="41"/>
  <c r="U247" i="41"/>
  <c r="U1469" i="41"/>
  <c r="U1730" i="41"/>
  <c r="U1567" i="41"/>
  <c r="U2311" i="41"/>
  <c r="U1898" i="41"/>
  <c r="U2627" i="41"/>
  <c r="U1262" i="41"/>
  <c r="U344" i="41"/>
  <c r="U2863" i="41"/>
  <c r="U1803" i="41"/>
  <c r="U1664" i="41"/>
  <c r="U3115" i="41"/>
  <c r="U1971" i="41"/>
  <c r="U1816" i="41"/>
  <c r="U2374" i="41"/>
  <c r="U2038" i="41"/>
  <c r="U1238" i="41"/>
  <c r="U2484" i="41"/>
  <c r="U1283" i="41"/>
  <c r="U2442" i="41"/>
  <c r="U2845" i="41"/>
  <c r="U2461" i="41"/>
  <c r="U2028" i="41"/>
  <c r="U48" i="41"/>
  <c r="U253" i="41"/>
  <c r="U2762" i="41"/>
  <c r="U1368" i="41"/>
  <c r="U134" i="41"/>
  <c r="U3028" i="41"/>
  <c r="U2933" i="41"/>
  <c r="U654" i="41"/>
  <c r="U1085" i="41"/>
  <c r="U841" i="41"/>
  <c r="U390" i="41"/>
  <c r="U821" i="41"/>
  <c r="U1297" i="41"/>
  <c r="U274" i="41"/>
  <c r="U701" i="41"/>
  <c r="U727" i="41"/>
  <c r="U1530" i="41"/>
  <c r="U1409" i="41"/>
  <c r="U2616" i="41"/>
  <c r="U1825" i="41"/>
  <c r="U793" i="41"/>
  <c r="U1244" i="41"/>
  <c r="U1742" i="41"/>
  <c r="U1302" i="41"/>
  <c r="U917" i="41"/>
  <c r="U306" i="41"/>
  <c r="U1925" i="41"/>
  <c r="U1255" i="41"/>
  <c r="U3118" i="41"/>
  <c r="U925" i="41"/>
  <c r="U214" i="41"/>
  <c r="U2521" i="41"/>
  <c r="U1439" i="41"/>
  <c r="U2777" i="41"/>
  <c r="U2566" i="41"/>
  <c r="U2073" i="41"/>
  <c r="U599" i="41"/>
  <c r="U1659" i="41"/>
  <c r="U1672" i="41"/>
  <c r="U2972" i="41"/>
  <c r="U1698" i="41"/>
  <c r="U2618" i="41"/>
  <c r="U2897" i="41"/>
  <c r="U1132" i="41"/>
  <c r="U1783" i="41"/>
  <c r="U319" i="41"/>
  <c r="U1421" i="41"/>
  <c r="U416" i="41"/>
  <c r="U197" i="41"/>
  <c r="U2936" i="41"/>
  <c r="AI27" i="1"/>
  <c r="AB27" i="1" s="1"/>
  <c r="U2561" i="41"/>
  <c r="U2342" i="41"/>
  <c r="U1082" i="41"/>
  <c r="U1033" i="41"/>
  <c r="AH396" i="1"/>
  <c r="AD396" i="1" s="1"/>
  <c r="U2810" i="41"/>
  <c r="U1679" i="41"/>
  <c r="U1996" i="41"/>
  <c r="U624" i="41"/>
  <c r="U76" i="41"/>
  <c r="U2267" i="41"/>
  <c r="U1642" i="41"/>
  <c r="U3084" i="41"/>
  <c r="U2564" i="41"/>
  <c r="U259" i="41"/>
  <c r="U2434" i="41"/>
  <c r="U1586" i="41"/>
  <c r="U2314" i="41"/>
  <c r="U700" i="41"/>
  <c r="U1710" i="41"/>
  <c r="U1193" i="41"/>
  <c r="U1152" i="41"/>
  <c r="U2476" i="41"/>
  <c r="U2060" i="41"/>
  <c r="U1722" i="41"/>
  <c r="U2210" i="41"/>
  <c r="U1475" i="41"/>
  <c r="U724" i="41"/>
  <c r="U1560" i="41"/>
  <c r="U1217" i="41"/>
  <c r="U1873" i="41"/>
  <c r="U2081" i="41"/>
  <c r="U1934" i="41"/>
  <c r="U2225" i="41"/>
  <c r="U2078" i="41"/>
  <c r="U2788" i="41"/>
  <c r="U2505" i="41"/>
  <c r="U441" i="41"/>
  <c r="U2051" i="41"/>
  <c r="U3135" i="41"/>
  <c r="U2305" i="41"/>
  <c r="U88" i="41"/>
  <c r="U2379" i="41"/>
  <c r="U226" i="41"/>
  <c r="U389" i="41"/>
  <c r="U1937" i="41"/>
  <c r="U1790" i="41"/>
  <c r="U3130" i="41"/>
  <c r="U1863" i="41"/>
  <c r="U2927" i="41"/>
  <c r="U2007" i="41"/>
  <c r="U596" i="41"/>
  <c r="U1907" i="41"/>
  <c r="U2426" i="41"/>
  <c r="U2161" i="41"/>
  <c r="U291" i="41"/>
  <c r="U3122" i="41"/>
  <c r="U82" i="41"/>
  <c r="U1624" i="41"/>
  <c r="U1950" i="41"/>
  <c r="U2838" i="41"/>
  <c r="U243" i="41"/>
  <c r="U2390" i="41"/>
  <c r="U223" i="41"/>
  <c r="U904" i="41"/>
  <c r="U128" i="41"/>
  <c r="U1048" i="41"/>
  <c r="U1303" i="41"/>
  <c r="U2261" i="41"/>
  <c r="U1400" i="41"/>
  <c r="U3107" i="41"/>
  <c r="U1533" i="41"/>
  <c r="U2525" i="41"/>
  <c r="U1510" i="41"/>
  <c r="U562" i="41"/>
  <c r="U2063" i="41"/>
  <c r="U1126" i="41"/>
  <c r="U2701" i="41"/>
  <c r="U1307" i="41"/>
  <c r="U2395" i="41"/>
  <c r="U2532" i="41"/>
  <c r="U1043" i="41"/>
  <c r="U1660" i="41"/>
  <c r="U2317" i="41"/>
  <c r="U923" i="41"/>
  <c r="U2815" i="41"/>
  <c r="U813" i="41"/>
  <c r="U2512" i="41"/>
  <c r="U2156" i="41"/>
  <c r="U549" i="41"/>
  <c r="U2248" i="41"/>
  <c r="U2612" i="41"/>
  <c r="U429" i="41"/>
  <c r="U2128" i="41"/>
  <c r="U790" i="41"/>
  <c r="U1939" i="41"/>
  <c r="U2158" i="41"/>
  <c r="U526" i="41"/>
  <c r="U142" i="41"/>
  <c r="U2614" i="41"/>
  <c r="U406" i="41"/>
  <c r="U1574" i="41"/>
  <c r="U934" i="41"/>
  <c r="U1892" i="41"/>
  <c r="U2302" i="41"/>
  <c r="U670" i="41"/>
  <c r="U1290" i="41"/>
  <c r="U2758" i="41"/>
  <c r="U550" i="41"/>
  <c r="U2930" i="41"/>
  <c r="U672" i="41"/>
  <c r="U11" i="41"/>
  <c r="U3013" i="41"/>
  <c r="U408" i="41"/>
  <c r="U37" i="41"/>
  <c r="U2546" i="41"/>
  <c r="U288" i="41"/>
  <c r="U1444" i="41"/>
  <c r="U973" i="41"/>
  <c r="U233" i="41"/>
  <c r="U3087" i="41"/>
  <c r="U709" i="41"/>
  <c r="U115" i="41"/>
  <c r="U1060" i="41"/>
  <c r="U589" i="41"/>
  <c r="U2658" i="41"/>
  <c r="U1034" i="41"/>
  <c r="U666" i="41"/>
  <c r="U1097" i="41"/>
  <c r="U770" i="41"/>
  <c r="U1122" i="41"/>
  <c r="U2274" i="41"/>
  <c r="U650" i="41"/>
  <c r="U2323" i="41"/>
  <c r="U1119" i="41"/>
  <c r="U739" i="41"/>
  <c r="U1961" i="41"/>
  <c r="U855" i="41"/>
  <c r="U1195" i="41"/>
  <c r="U2417" i="41"/>
  <c r="U735" i="41"/>
  <c r="U3127" i="41"/>
  <c r="U2432" i="41"/>
  <c r="U836" i="41"/>
  <c r="U2807" i="41"/>
  <c r="U2168" i="41"/>
  <c r="U1292" i="41"/>
  <c r="U2880" i="41"/>
  <c r="U640" i="41"/>
  <c r="U1234" i="41"/>
  <c r="U1017" i="41"/>
  <c r="U2112" i="41"/>
  <c r="U1690" i="41"/>
  <c r="U876" i="41"/>
  <c r="U1992" i="41"/>
  <c r="U2135" i="41"/>
  <c r="U823" i="41"/>
  <c r="U1177" i="41"/>
  <c r="U73" i="41"/>
  <c r="U2582" i="41"/>
  <c r="U1635" i="41"/>
  <c r="U2198" i="41"/>
  <c r="AI33" i="1"/>
  <c r="AB33" i="1" s="1"/>
  <c r="U2592" i="41"/>
  <c r="U1620" i="41"/>
  <c r="U1813" i="41"/>
  <c r="U2840" i="41"/>
  <c r="U1426" i="41"/>
  <c r="U2577" i="41"/>
  <c r="U12" i="41"/>
  <c r="AI350" i="1"/>
  <c r="AB350" i="1" s="1"/>
  <c r="U3054" i="41"/>
  <c r="U894" i="41"/>
  <c r="U878" i="41"/>
  <c r="U1781" i="41"/>
  <c r="U896" i="41"/>
  <c r="AI406" i="1"/>
  <c r="AB406" i="1" s="1"/>
  <c r="AH405" i="1"/>
  <c r="AD405" i="1" s="1"/>
  <c r="U1328" i="41"/>
  <c r="U2916" i="41"/>
  <c r="U742" i="41"/>
  <c r="U1976" i="41"/>
  <c r="AH388" i="1"/>
  <c r="AD388" i="1" s="1"/>
  <c r="AH15" i="1"/>
  <c r="AD15" i="1" s="1"/>
  <c r="U2985" i="41"/>
  <c r="U1018" i="41"/>
  <c r="U2341" i="41"/>
  <c r="U2279" i="41"/>
  <c r="U131" i="41"/>
  <c r="U747" i="41"/>
  <c r="U2447" i="41"/>
  <c r="U867" i="41"/>
  <c r="U1823" i="41"/>
  <c r="U683" i="41"/>
  <c r="U2724" i="41"/>
  <c r="U2533" i="41"/>
  <c r="U216" i="41"/>
  <c r="U2716" i="41"/>
  <c r="U785" i="41"/>
  <c r="U401" i="41"/>
  <c r="U3023" i="41"/>
  <c r="U2865" i="41"/>
  <c r="U1641" i="41"/>
  <c r="U2909" i="41"/>
  <c r="U1859" i="41"/>
  <c r="U1809" i="41"/>
  <c r="U802" i="41"/>
  <c r="U686" i="41"/>
  <c r="U1543" i="41"/>
  <c r="U2287" i="41"/>
  <c r="U1227" i="41"/>
  <c r="U1088" i="41"/>
  <c r="U3059" i="41"/>
  <c r="U1395" i="41"/>
  <c r="U1397" i="41"/>
  <c r="U2295" i="41"/>
  <c r="U1213" i="41"/>
  <c r="U330" i="41"/>
  <c r="U761" i="41"/>
  <c r="U722" i="41"/>
  <c r="U498" i="41"/>
  <c r="U1451" i="41"/>
  <c r="U1067" i="41"/>
  <c r="U178" i="41"/>
  <c r="U605" i="41"/>
  <c r="U1657" i="41"/>
  <c r="U1494" i="41"/>
  <c r="U2646" i="41"/>
  <c r="U1837" i="41"/>
  <c r="U1331" i="41"/>
  <c r="U2543" i="41"/>
  <c r="U1403" i="41"/>
  <c r="U97" i="41"/>
  <c r="U2330" i="41"/>
  <c r="U936" i="41"/>
  <c r="U9" i="41"/>
  <c r="U1780" i="41"/>
  <c r="U3024" i="41"/>
  <c r="U2797" i="41"/>
  <c r="U1488" i="41"/>
  <c r="U186" i="41"/>
  <c r="U844" i="41"/>
  <c r="U1237" i="41"/>
  <c r="U67" i="41"/>
  <c r="U439" i="41"/>
  <c r="U1854" i="41"/>
  <c r="U1457" i="41"/>
  <c r="U1647" i="41"/>
  <c r="U788" i="41"/>
  <c r="U3106" i="41"/>
  <c r="U2408" i="41"/>
  <c r="U956" i="41"/>
  <c r="U3040" i="41"/>
  <c r="U3041" i="41"/>
  <c r="U2851" i="41"/>
  <c r="U2960" i="41"/>
  <c r="U921" i="41"/>
  <c r="U2620" i="41"/>
  <c r="U2410" i="41"/>
  <c r="U1089" i="41"/>
  <c r="U1171" i="41"/>
  <c r="U2076" i="41"/>
  <c r="U2086" i="41"/>
  <c r="U1611" i="41"/>
  <c r="U2183" i="41"/>
  <c r="U1822" i="41"/>
  <c r="U1465" i="41"/>
  <c r="U2639" i="41"/>
  <c r="U1702" i="41"/>
  <c r="U2354" i="41"/>
  <c r="U96" i="41"/>
  <c r="U3149" i="41"/>
  <c r="U2437" i="41"/>
  <c r="U1619" i="41"/>
  <c r="U3048" i="41"/>
  <c r="U2893" i="41"/>
  <c r="U1499" i="41"/>
  <c r="AH33" i="1"/>
  <c r="AD33" i="1" s="1"/>
  <c r="AI45" i="1"/>
  <c r="AB45" i="1" s="1"/>
  <c r="U1765" i="41"/>
  <c r="U150" i="41"/>
  <c r="U808" i="41"/>
  <c r="U2460" i="41"/>
  <c r="U2200" i="41"/>
  <c r="AH37" i="1"/>
  <c r="AD37" i="1" s="1"/>
  <c r="AH392" i="1"/>
  <c r="AD392" i="1" s="1"/>
  <c r="U741" i="41"/>
  <c r="U2440" i="41"/>
  <c r="U349" i="41"/>
  <c r="U980" i="41"/>
  <c r="U2638" i="41"/>
  <c r="U2867" i="41"/>
  <c r="U909" i="41"/>
  <c r="U2919" i="41"/>
  <c r="U530" i="41"/>
  <c r="U1531" i="41"/>
  <c r="U566" i="41"/>
  <c r="U1066" i="41"/>
  <c r="U659" i="41"/>
  <c r="U28" i="41"/>
  <c r="U333" i="41"/>
  <c r="U2216" i="41"/>
  <c r="AH417" i="1"/>
  <c r="AD417" i="1" s="1"/>
  <c r="AH536" i="1"/>
  <c r="AD536" i="1" s="1"/>
  <c r="AH420" i="1"/>
  <c r="AD420" i="1" s="1"/>
  <c r="AI387" i="1"/>
  <c r="AB387" i="1" s="1"/>
  <c r="U901" i="41"/>
  <c r="U166" i="41"/>
  <c r="U1338" i="41"/>
  <c r="U3121" i="41"/>
  <c r="AH350" i="1"/>
  <c r="AD350" i="1" s="1"/>
  <c r="U1590" i="41"/>
  <c r="U2742" i="41"/>
  <c r="U2452" i="41"/>
  <c r="U1377" i="41"/>
  <c r="U2155" i="41"/>
  <c r="U1815" i="41"/>
  <c r="U1579" i="41"/>
  <c r="U797" i="41"/>
  <c r="U413" i="41"/>
  <c r="U2177" i="41"/>
  <c r="U400" i="41"/>
  <c r="U1508" i="41"/>
  <c r="U3096" i="41"/>
  <c r="U2313" i="41"/>
  <c r="U1676" i="41"/>
  <c r="U3109" i="41"/>
  <c r="U625" i="41"/>
  <c r="U1470" i="41"/>
  <c r="U2622" i="41"/>
  <c r="U1142" i="41"/>
  <c r="U991" i="41"/>
  <c r="U2213" i="41"/>
  <c r="U1310" i="41"/>
  <c r="U2312" i="41"/>
  <c r="U2221" i="41"/>
  <c r="U912" i="41"/>
  <c r="U196" i="41"/>
  <c r="U2751" i="41"/>
  <c r="U661" i="41"/>
  <c r="U65" i="41"/>
  <c r="U221" i="41"/>
  <c r="U136" i="41"/>
  <c r="U2645" i="41"/>
  <c r="U2555" i="41"/>
  <c r="U1762" i="41"/>
  <c r="U457" i="41"/>
  <c r="U2257" i="41"/>
  <c r="U1930" i="41"/>
  <c r="U2493" i="41"/>
  <c r="U2997" i="41"/>
  <c r="U1606" i="41"/>
  <c r="U1655" i="41"/>
  <c r="U2052" i="41"/>
  <c r="U851" i="41"/>
  <c r="U3061" i="41"/>
  <c r="U2364" i="41"/>
  <c r="U3093" i="41"/>
  <c r="U2419" i="41"/>
  <c r="U2528" i="41"/>
  <c r="U489" i="41"/>
  <c r="U2188" i="41"/>
  <c r="U3033" i="41"/>
  <c r="U657" i="41"/>
  <c r="U1098" i="41"/>
  <c r="U1772" i="41"/>
  <c r="U1732" i="41"/>
  <c r="U2530" i="41"/>
  <c r="U466" i="41"/>
  <c r="U138" i="41"/>
  <c r="U2579" i="41"/>
  <c r="U634" i="41"/>
  <c r="U540" i="41"/>
  <c r="U1391" i="41"/>
  <c r="U30" i="41"/>
  <c r="U688" i="41"/>
  <c r="U361" i="41"/>
  <c r="U202" i="41"/>
  <c r="U629" i="41"/>
  <c r="U529" i="41"/>
  <c r="U1759" i="41"/>
  <c r="U1476" i="41"/>
  <c r="U750" i="41"/>
  <c r="U1181" i="41"/>
  <c r="U422" i="41"/>
  <c r="U271" i="41"/>
  <c r="U1493" i="41"/>
  <c r="U590" i="41"/>
  <c r="U1429" i="41"/>
  <c r="U2899" i="41"/>
  <c r="U1695" i="41"/>
  <c r="U1315" i="41"/>
  <c r="U3138" i="41"/>
  <c r="U1431" i="41"/>
  <c r="U1771" i="41"/>
  <c r="U2515" i="41"/>
  <c r="U1311" i="41"/>
  <c r="U2212" i="41"/>
  <c r="U3020" i="41"/>
  <c r="U1412" i="41"/>
  <c r="U3000" i="41"/>
  <c r="U2744" i="41"/>
  <c r="U1868" i="41"/>
  <c r="U1828" i="41"/>
  <c r="U2624" i="41"/>
  <c r="U188" i="41"/>
  <c r="U3010" i="41"/>
  <c r="U1545" i="41"/>
  <c r="U2693" i="41"/>
  <c r="U2746" i="41"/>
  <c r="U2001" i="41"/>
  <c r="U3076" i="41"/>
  <c r="U2626" i="41"/>
  <c r="U2685" i="41"/>
  <c r="U2664" i="41"/>
  <c r="U1522" i="41"/>
  <c r="U503" i="41"/>
  <c r="U2400" i="41"/>
  <c r="U1978" i="41"/>
  <c r="U662" i="41"/>
  <c r="U2280" i="41"/>
  <c r="U1799" i="41"/>
  <c r="U2137" i="41"/>
  <c r="U1666" i="41"/>
  <c r="U300" i="41"/>
  <c r="U2544" i="41"/>
  <c r="U47" i="41"/>
  <c r="U459" i="41"/>
  <c r="U2424" i="41"/>
  <c r="U272" i="41"/>
  <c r="U1456" i="41"/>
  <c r="U1404" i="41"/>
  <c r="U8" i="41"/>
  <c r="U1192" i="41"/>
  <c r="U289" i="41"/>
  <c r="U127" i="41"/>
  <c r="U1072" i="41"/>
  <c r="U1518" i="41"/>
  <c r="U2670" i="41"/>
  <c r="U1705" i="41"/>
  <c r="U1254" i="41"/>
  <c r="U2406" i="41"/>
  <c r="U350" i="41"/>
  <c r="U1134" i="41"/>
  <c r="U2286" i="41"/>
  <c r="U1591" i="41"/>
  <c r="U2335" i="41"/>
  <c r="U1778" i="41"/>
  <c r="U1327" i="41"/>
  <c r="U3150" i="41"/>
  <c r="U435" i="41"/>
  <c r="U1207" i="41"/>
  <c r="U2429" i="41"/>
  <c r="U1688" i="41"/>
  <c r="U3139" i="41"/>
  <c r="U1851" i="41"/>
  <c r="U1424" i="41"/>
  <c r="U3012" i="41"/>
  <c r="U340" i="41"/>
  <c r="U1304" i="41"/>
  <c r="U2892" i="41"/>
  <c r="U1821" i="41"/>
  <c r="U2453" i="41"/>
  <c r="U2349" i="41"/>
  <c r="U1557" i="41"/>
  <c r="U2813" i="41"/>
  <c r="U2805" i="41"/>
  <c r="U1437" i="41"/>
  <c r="U3053" i="41"/>
  <c r="U364" i="41"/>
  <c r="U2520" i="41"/>
  <c r="U1378" i="41"/>
  <c r="U994" i="41"/>
  <c r="U2256" i="41"/>
  <c r="U1834" i="41"/>
  <c r="U889" i="41"/>
  <c r="U2136" i="41"/>
  <c r="U7" i="41"/>
  <c r="U2798" i="41"/>
  <c r="U1175" i="41"/>
  <c r="U2874" i="41"/>
  <c r="U2534" i="41"/>
  <c r="U1631" i="41"/>
  <c r="U2572" i="41"/>
  <c r="U2414" i="41"/>
  <c r="U145" i="41"/>
  <c r="U2942" i="41"/>
  <c r="U1319" i="41"/>
  <c r="U2284" i="41"/>
  <c r="U2678" i="41"/>
  <c r="U1775" i="41"/>
  <c r="U49" i="41"/>
  <c r="U2558" i="41"/>
  <c r="U1374" i="41"/>
  <c r="U2526" i="41"/>
  <c r="U1561" i="41"/>
  <c r="U1110" i="41"/>
  <c r="U2262" i="41"/>
  <c r="U2029" i="41"/>
  <c r="U990" i="41"/>
  <c r="U2142" i="41"/>
  <c r="U1447" i="41"/>
  <c r="U2191" i="41"/>
  <c r="U1634" i="41"/>
  <c r="U1183" i="41"/>
  <c r="U2405" i="41"/>
  <c r="U2090" i="41"/>
  <c r="U1063" i="41"/>
  <c r="U2285" i="41"/>
  <c r="U1544" i="41"/>
  <c r="U3132" i="41"/>
  <c r="U1707" i="41"/>
  <c r="U1280" i="41"/>
  <c r="U2868" i="41"/>
  <c r="U2163" i="41"/>
  <c r="U1160" i="41"/>
  <c r="U3131" i="41"/>
  <c r="U1677" i="41"/>
  <c r="U2729" i="41"/>
  <c r="U2205" i="41"/>
  <c r="U1413" i="41"/>
  <c r="U2789" i="41"/>
  <c r="U2661" i="41"/>
  <c r="U1293" i="41"/>
  <c r="U2849" i="41"/>
  <c r="U1654" i="41"/>
  <c r="U601" i="41"/>
  <c r="U3022" i="41"/>
  <c r="U1390" i="41"/>
  <c r="U71" i="41"/>
  <c r="U2207" i="41"/>
  <c r="U1270" i="41"/>
  <c r="U1565" i="41"/>
  <c r="U824" i="41"/>
  <c r="U3142" i="41"/>
  <c r="U987" i="41"/>
  <c r="U560" i="41"/>
  <c r="U3079" i="41"/>
  <c r="U1443" i="41"/>
  <c r="U440" i="41"/>
  <c r="U2959" i="41"/>
  <c r="U957" i="41"/>
  <c r="U2656" i="41"/>
  <c r="U2300" i="41"/>
  <c r="U693" i="41"/>
  <c r="U2392" i="41"/>
  <c r="U2756" i="41"/>
  <c r="U573" i="41"/>
  <c r="U2272" i="41"/>
  <c r="U1101" i="41"/>
  <c r="U2800" i="41"/>
  <c r="U2444" i="41"/>
  <c r="U837" i="41"/>
  <c r="U2536" i="41"/>
  <c r="U2900" i="41"/>
  <c r="U717" i="41"/>
  <c r="U2416" i="41"/>
  <c r="U731" i="41"/>
  <c r="U2415" i="41"/>
  <c r="U1956" i="41"/>
  <c r="U467" i="41"/>
  <c r="U1943" i="41"/>
  <c r="U2412" i="41"/>
  <c r="U347" i="41"/>
  <c r="U3086" i="41"/>
  <c r="U816" i="41"/>
  <c r="U2" i="41"/>
  <c r="U2234" i="41"/>
  <c r="U552" i="41"/>
  <c r="U181" i="41"/>
  <c r="U2690" i="41"/>
  <c r="U432" i="41"/>
  <c r="U1588" i="41"/>
  <c r="U1117" i="41"/>
  <c r="U90" i="41"/>
  <c r="U748" i="41"/>
  <c r="U853" i="41"/>
  <c r="U20" i="41"/>
  <c r="U1204" i="41"/>
  <c r="U733" i="41"/>
  <c r="U2802" i="41"/>
  <c r="U1178" i="41"/>
  <c r="U810" i="41"/>
  <c r="U1241" i="41"/>
  <c r="U914" i="41"/>
  <c r="U1266" i="41"/>
  <c r="U2418" i="41"/>
  <c r="U794" i="41"/>
  <c r="U2467" i="41"/>
  <c r="U1263" i="41"/>
  <c r="U883" i="41"/>
  <c r="U2105" i="41"/>
  <c r="U999" i="41"/>
  <c r="U1339" i="41"/>
  <c r="U2083" i="41"/>
  <c r="U879" i="41"/>
  <c r="U868" i="41"/>
  <c r="U397" i="41"/>
  <c r="U303" i="41"/>
  <c r="U2511" i="41"/>
  <c r="U1704" i="41"/>
  <c r="U113" i="41"/>
  <c r="U2967" i="41"/>
  <c r="U1584" i="41"/>
  <c r="U2082" i="41"/>
  <c r="U458" i="41"/>
  <c r="U94" i="41"/>
  <c r="U521" i="41"/>
  <c r="U2017" i="41"/>
  <c r="U546" i="41"/>
  <c r="U977" i="41"/>
  <c r="U1897" i="41"/>
  <c r="U2226" i="41"/>
  <c r="U602" i="41"/>
  <c r="U238" i="41"/>
  <c r="U665" i="41"/>
  <c r="U338" i="41"/>
  <c r="U690" i="41"/>
  <c r="U1121" i="41"/>
  <c r="U2041" i="41"/>
  <c r="U3071" i="41"/>
  <c r="U448" i="41"/>
  <c r="U2035" i="41"/>
  <c r="U2779" i="41"/>
  <c r="U2151" i="41"/>
  <c r="U716" i="41"/>
  <c r="U3140" i="41"/>
  <c r="U2031" i="41"/>
  <c r="U2932" i="41"/>
  <c r="U2913" i="41"/>
  <c r="U393" i="41"/>
  <c r="U2092" i="41"/>
  <c r="U2649" i="41"/>
  <c r="U849" i="41"/>
  <c r="U2548" i="41"/>
  <c r="U2529" i="41"/>
  <c r="U1881" i="41"/>
  <c r="U2459" i="41"/>
  <c r="U370" i="41"/>
  <c r="U62" i="41"/>
  <c r="U2195" i="41"/>
  <c r="U826" i="41"/>
  <c r="U787" i="41"/>
  <c r="U2075" i="41"/>
  <c r="U1001" i="41"/>
  <c r="U2713" i="41"/>
  <c r="U167" i="41"/>
  <c r="U1323" i="41"/>
  <c r="U2449" i="41"/>
  <c r="U623" i="41"/>
  <c r="U2580" i="41"/>
  <c r="U2329" i="41"/>
  <c r="U232" i="41"/>
  <c r="U2787" i="41"/>
  <c r="U252" i="41"/>
  <c r="U315" i="41"/>
  <c r="U2523" i="41"/>
  <c r="U708" i="41"/>
  <c r="U195" i="41"/>
  <c r="U2403" i="41"/>
  <c r="U1949" i="41"/>
  <c r="U902" i="41"/>
  <c r="U463" i="41"/>
  <c r="U1685" i="41"/>
  <c r="U1358" i="41"/>
  <c r="U343" i="41"/>
  <c r="U1994" i="41"/>
  <c r="U2208" i="41"/>
  <c r="AI18" i="1"/>
  <c r="AB18" i="1" s="1"/>
  <c r="AI522" i="1"/>
  <c r="AB522" i="1" s="1"/>
  <c r="U752" i="41"/>
  <c r="U3070" i="41"/>
  <c r="U765" i="41"/>
  <c r="U2775" i="41"/>
  <c r="AH522" i="1"/>
  <c r="AD522" i="1" s="1"/>
  <c r="U2165" i="41"/>
  <c r="U175" i="41"/>
  <c r="U961" i="41"/>
  <c r="U456" i="41"/>
  <c r="U1602" i="41"/>
  <c r="U1353" i="41"/>
  <c r="U1025" i="41"/>
  <c r="U1006" i="41"/>
  <c r="U1145" i="41"/>
  <c r="U2046" i="41"/>
  <c r="U1226" i="41"/>
  <c r="AI351" i="1"/>
  <c r="AB351" i="1" s="1"/>
  <c r="AI262" i="1"/>
  <c r="AB262" i="1" s="1"/>
  <c r="AH387" i="1"/>
  <c r="AD387" i="1" s="1"/>
  <c r="AI20" i="1"/>
  <c r="AB20" i="1" s="1"/>
  <c r="U744" i="41"/>
  <c r="U172" i="41"/>
  <c r="U1434" i="41"/>
  <c r="U1189" i="41"/>
  <c r="AH266" i="1"/>
  <c r="AD266" i="1" s="1"/>
  <c r="U201" i="41"/>
  <c r="U293" i="41"/>
  <c r="U964" i="41"/>
  <c r="U2904" i="41"/>
  <c r="U2634" i="41"/>
  <c r="U1886" i="41"/>
  <c r="U1650" i="41"/>
  <c r="U1407" i="41"/>
  <c r="U1023" i="41"/>
  <c r="U2178" i="41"/>
  <c r="U639" i="41"/>
  <c r="U1555" i="41"/>
  <c r="U2299" i="41"/>
  <c r="U1959" i="41"/>
  <c r="U1723" i="41"/>
  <c r="U941" i="41"/>
  <c r="U557" i="41"/>
  <c r="U81" i="41"/>
  <c r="U1552" i="41"/>
  <c r="U1225" i="41"/>
  <c r="U1062" i="41"/>
  <c r="U2214" i="41"/>
  <c r="U1393" i="41"/>
  <c r="U1534" i="41"/>
  <c r="U2111" i="41"/>
  <c r="U971" i="41"/>
  <c r="U940" i="41"/>
  <c r="U2821" i="41"/>
  <c r="U504" i="41"/>
  <c r="U266" i="41"/>
  <c r="U1505" i="41"/>
  <c r="U2850" i="41"/>
  <c r="U2928" i="41"/>
  <c r="U2098" i="41"/>
  <c r="U1929" i="41"/>
  <c r="U3004" i="41"/>
  <c r="U2147" i="41"/>
  <c r="U2097" i="41"/>
  <c r="U455" i="41"/>
  <c r="U2084" i="41"/>
  <c r="U1773" i="41"/>
  <c r="U3005" i="41"/>
  <c r="U2542" i="41"/>
  <c r="U1198" i="41"/>
  <c r="U1161" i="41"/>
  <c r="U2710" i="41"/>
  <c r="U1055" i="41"/>
  <c r="U2898" i="41"/>
  <c r="U1359" i="41"/>
  <c r="U500" i="41"/>
  <c r="U3019" i="41"/>
  <c r="U2120" i="41"/>
  <c r="U668" i="41"/>
  <c r="U1936" i="41"/>
  <c r="U3097" i="41"/>
  <c r="U2563" i="41"/>
  <c r="U2672" i="41"/>
  <c r="U633" i="41"/>
  <c r="U2332" i="41"/>
  <c r="U2122" i="41"/>
  <c r="U801" i="41"/>
  <c r="U1242" i="41"/>
  <c r="U1738" i="41"/>
  <c r="U1826" i="41"/>
  <c r="U2318" i="41"/>
  <c r="U204" i="41"/>
  <c r="U64" i="41"/>
  <c r="U2763" i="41"/>
  <c r="U372" i="41"/>
  <c r="U2668" i="41"/>
  <c r="U1535" i="41"/>
  <c r="U174" i="41"/>
  <c r="U832" i="41"/>
  <c r="U505" i="41"/>
  <c r="U342" i="41"/>
  <c r="U773" i="41"/>
  <c r="U673" i="41"/>
  <c r="U1903" i="41"/>
  <c r="U1649" i="41"/>
  <c r="U1766" i="41"/>
  <c r="U1386" i="41"/>
  <c r="U2538" i="41"/>
  <c r="U1490" i="41"/>
  <c r="U1842" i="41"/>
  <c r="U2994" i="41"/>
  <c r="U1370" i="41"/>
  <c r="U3043" i="41"/>
  <c r="U1839" i="41"/>
  <c r="U1459" i="41"/>
  <c r="U2203" i="41"/>
  <c r="U1575" i="41"/>
  <c r="U1915" i="41"/>
  <c r="U2659" i="41"/>
  <c r="U1455" i="41"/>
  <c r="U2785" i="41"/>
  <c r="AH400" i="1"/>
  <c r="AD400" i="1" s="1"/>
  <c r="AI411" i="1"/>
  <c r="AB411" i="1" s="1"/>
  <c r="U597" i="41"/>
  <c r="U2296" i="41"/>
  <c r="U480" i="41"/>
  <c r="U1970" i="41"/>
  <c r="U2114" i="41"/>
  <c r="AI382" i="1"/>
  <c r="AB382" i="1" s="1"/>
  <c r="U325" i="41"/>
  <c r="U212" i="41"/>
  <c r="U92" i="41"/>
  <c r="U207" i="41"/>
  <c r="U312" i="41"/>
  <c r="U87" i="41"/>
  <c r="U2608" i="41"/>
  <c r="U437" i="41"/>
  <c r="U2736" i="41"/>
  <c r="U1764" i="41"/>
  <c r="U1598" i="41"/>
  <c r="U1363" i="41"/>
  <c r="U376" i="41"/>
  <c r="U1916" i="41"/>
  <c r="U3050" i="41"/>
  <c r="U1191" i="41"/>
  <c r="AH380" i="1"/>
  <c r="AD380" i="1" s="1"/>
  <c r="U1158" i="41"/>
  <c r="U1305" i="41"/>
  <c r="AI408" i="1"/>
  <c r="AB408" i="1" s="1"/>
  <c r="U2841" i="41"/>
  <c r="U874" i="41"/>
  <c r="U2375" i="41"/>
  <c r="U1760" i="41"/>
  <c r="AI372" i="1"/>
  <c r="AB372" i="1" s="1"/>
  <c r="U1294" i="41"/>
  <c r="U745" i="41"/>
  <c r="U1979" i="41"/>
  <c r="U1580" i="41"/>
  <c r="U3002" i="41"/>
  <c r="U2486" i="41"/>
  <c r="U1007" i="41"/>
  <c r="U1180" i="41"/>
  <c r="U383" i="41"/>
  <c r="U2271" i="41"/>
  <c r="U3038" i="41"/>
  <c r="U924" i="41"/>
  <c r="U55" i="41"/>
  <c r="U1000" i="41"/>
  <c r="U1092" i="41"/>
  <c r="U2519" i="41"/>
  <c r="U2565" i="41"/>
  <c r="U1174" i="41"/>
  <c r="U729" i="41"/>
  <c r="U2567" i="41"/>
  <c r="U419" i="41"/>
  <c r="U2253" i="41"/>
  <c r="U2735" i="41"/>
  <c r="U628" i="41"/>
  <c r="U3066" i="41"/>
  <c r="U2096" i="41"/>
  <c r="U1796" i="41"/>
  <c r="U1756" i="41"/>
  <c r="U2601" i="41"/>
  <c r="U1964" i="41"/>
  <c r="U158" i="41"/>
  <c r="U913" i="41"/>
  <c r="U1758" i="41"/>
  <c r="U2910" i="41"/>
  <c r="U1430" i="41"/>
  <c r="U1279" i="41"/>
  <c r="U3102" i="41"/>
  <c r="U1610" i="41"/>
  <c r="U2170" i="41"/>
  <c r="U305" i="41"/>
  <c r="U1274" i="41"/>
  <c r="U403" i="41"/>
  <c r="U1625" i="41"/>
  <c r="U807" i="41"/>
  <c r="U571" i="41"/>
  <c r="U2578" i="41"/>
  <c r="U2194" i="41"/>
  <c r="U241" i="41"/>
  <c r="U2883" i="41"/>
  <c r="U1644" i="41"/>
  <c r="U249" i="41"/>
  <c r="U341" i="41"/>
  <c r="U1812" i="41"/>
  <c r="U1830" i="41"/>
  <c r="U1188" i="41"/>
  <c r="U462" i="41"/>
  <c r="U893" i="41"/>
  <c r="U1957" i="41"/>
  <c r="U1782" i="41"/>
  <c r="U2934" i="41"/>
  <c r="U302" i="41"/>
  <c r="U1272" i="41"/>
  <c r="U1347" i="41"/>
  <c r="U477" i="41"/>
  <c r="U2176" i="41"/>
  <c r="U2301" i="41"/>
  <c r="U1797" i="41"/>
  <c r="U2573" i="41"/>
  <c r="U2469" i="41"/>
  <c r="U1483" i="41"/>
  <c r="U2660" i="41"/>
  <c r="U454" i="41"/>
  <c r="U137" i="41"/>
  <c r="U1847" i="41"/>
  <c r="U1774" i="41"/>
  <c r="U1452" i="41"/>
  <c r="U2015" i="41"/>
  <c r="U1153" i="41"/>
  <c r="U2633" i="41"/>
  <c r="U2366" i="41"/>
  <c r="U743" i="41"/>
  <c r="U2197" i="41"/>
  <c r="U3025" i="41"/>
  <c r="U1199" i="41"/>
  <c r="U1433" i="41"/>
  <c r="U2905" i="41"/>
  <c r="U222" i="41"/>
  <c r="U880" i="41"/>
  <c r="U828" i="41"/>
  <c r="U245" i="41"/>
  <c r="U3099" i="41"/>
  <c r="U1284" i="41"/>
  <c r="U125" i="41"/>
  <c r="U2979" i="41"/>
  <c r="U942" i="41"/>
  <c r="U2094" i="41"/>
  <c r="U1129" i="41"/>
  <c r="U678" i="41"/>
  <c r="U1109" i="41"/>
  <c r="U1585" i="41"/>
  <c r="U558" i="41"/>
  <c r="U989" i="41"/>
  <c r="U1015" i="41"/>
  <c r="U2237" i="41"/>
  <c r="U1190" i="41"/>
  <c r="U751" i="41"/>
  <c r="U1973" i="41"/>
  <c r="U1658" i="41"/>
  <c r="U631" i="41"/>
  <c r="U1853" i="41"/>
  <c r="U1159" i="41"/>
  <c r="U2381" i="41"/>
  <c r="U1334" i="41"/>
  <c r="U895" i="41"/>
  <c r="U2117" i="41"/>
  <c r="U1802" i="41"/>
  <c r="U775" i="41"/>
  <c r="U1997" i="41"/>
  <c r="U1245" i="41"/>
  <c r="U2944" i="41"/>
  <c r="U2588" i="41"/>
  <c r="U981" i="41"/>
  <c r="U2680" i="41"/>
  <c r="U2229" i="41"/>
  <c r="U861" i="41"/>
  <c r="U2560" i="41"/>
  <c r="U1222" i="41"/>
  <c r="U1282" i="41"/>
  <c r="U2590" i="41"/>
  <c r="U958" i="41"/>
  <c r="U884" i="41"/>
  <c r="U3046" i="41"/>
  <c r="U838" i="41"/>
  <c r="U2413" i="41"/>
  <c r="U1019" i="41"/>
  <c r="U1289" i="41"/>
  <c r="U2244" i="41"/>
  <c r="U755" i="41"/>
  <c r="U2917" i="41"/>
  <c r="U2700" i="41"/>
  <c r="U635" i="41"/>
  <c r="U2487" i="41"/>
  <c r="U1104" i="41"/>
  <c r="U13" i="41"/>
  <c r="U2522" i="41"/>
  <c r="U840" i="41"/>
  <c r="U182" i="41"/>
  <c r="U2978" i="41"/>
  <c r="U720" i="41"/>
  <c r="U497" i="41"/>
  <c r="U1405" i="41"/>
  <c r="U91" i="41"/>
  <c r="U1036" i="41"/>
  <c r="U1141" i="41"/>
  <c r="U21" i="41"/>
  <c r="U1492" i="41"/>
  <c r="U1021" i="41"/>
  <c r="U845" i="41"/>
  <c r="U871" i="41"/>
  <c r="U2093" i="41"/>
  <c r="U1046" i="41"/>
  <c r="U607" i="41"/>
  <c r="U1829" i="41"/>
  <c r="U1502" i="41"/>
  <c r="U487" i="41"/>
  <c r="U1709" i="41"/>
  <c r="U968" i="41"/>
  <c r="U2939" i="41"/>
  <c r="U1131" i="41"/>
  <c r="U704" i="41"/>
  <c r="U3128" i="41"/>
  <c r="U1587" i="41"/>
  <c r="U584" i="41"/>
  <c r="U3103" i="41"/>
  <c r="U1112" i="41"/>
  <c r="U3083" i="41"/>
  <c r="U1275" i="41"/>
  <c r="U848" i="41"/>
  <c r="U2819" i="41"/>
  <c r="U1731" i="41"/>
  <c r="U728" i="41"/>
  <c r="U3152" i="41"/>
  <c r="U1078" i="41"/>
  <c r="U1737" i="41"/>
  <c r="U2446" i="41"/>
  <c r="U814" i="41"/>
  <c r="U1075" i="41"/>
  <c r="U2902" i="41"/>
  <c r="U694" i="41"/>
  <c r="U2269" i="41"/>
  <c r="U875" i="41"/>
  <c r="U1516" i="41"/>
  <c r="U2100" i="41"/>
  <c r="U611" i="41"/>
  <c r="U2292" i="41"/>
  <c r="U2556" i="41"/>
  <c r="U491" i="41"/>
  <c r="U2343" i="41"/>
  <c r="U960" i="41"/>
  <c r="U3" i="41"/>
  <c r="U2378" i="41"/>
  <c r="U696" i="41"/>
  <c r="U38" i="41"/>
  <c r="U2834" i="41"/>
  <c r="U576" i="41"/>
  <c r="U353" i="41"/>
  <c r="U1261" i="41"/>
  <c r="U234" i="41"/>
  <c r="U892" i="41"/>
  <c r="U997" i="41"/>
  <c r="U164" i="41"/>
  <c r="U1348" i="41"/>
  <c r="U877" i="41"/>
  <c r="U2946" i="41"/>
  <c r="U1322" i="41"/>
  <c r="U954" i="41"/>
  <c r="U2106" i="41"/>
  <c r="U1058" i="41"/>
  <c r="U1410" i="41"/>
  <c r="U2562" i="41"/>
  <c r="U938" i="41"/>
  <c r="U2498" i="41"/>
  <c r="U240" i="41"/>
  <c r="U242" i="41"/>
  <c r="U2581" i="41"/>
  <c r="U1763" i="41"/>
  <c r="U3065" i="41"/>
  <c r="U3037" i="41"/>
  <c r="U1643" i="41"/>
  <c r="U1012" i="41"/>
  <c r="U541" i="41"/>
  <c r="U100" i="41"/>
  <c r="U2655" i="41"/>
  <c r="U1848" i="41"/>
  <c r="U257" i="41"/>
  <c r="U3111" i="41"/>
  <c r="U1728" i="41"/>
  <c r="U1156" i="41"/>
  <c r="U685" i="41"/>
  <c r="U244" i="41"/>
  <c r="U2799" i="41"/>
  <c r="U421" i="41"/>
  <c r="U114" i="41"/>
  <c r="U772" i="41"/>
  <c r="U301" i="41"/>
  <c r="U2369" i="41"/>
  <c r="U687" i="41"/>
  <c r="U307" i="41"/>
  <c r="U1529" i="41"/>
  <c r="U423" i="41"/>
  <c r="U763" i="41"/>
  <c r="U1985" i="41"/>
  <c r="U2102" i="41"/>
  <c r="U2832" i="41"/>
  <c r="U592" i="41"/>
  <c r="U404" i="41"/>
  <c r="U2923" i="41"/>
  <c r="U328" i="41"/>
  <c r="U860" i="41"/>
  <c r="U2831" i="41"/>
  <c r="U2175" i="41"/>
  <c r="U3113" i="41"/>
  <c r="U3057" i="41"/>
  <c r="U537" i="41"/>
  <c r="U2236" i="41"/>
  <c r="U2793" i="41"/>
  <c r="U993" i="41"/>
  <c r="U2692" i="41"/>
  <c r="U2673" i="41"/>
  <c r="U1714" i="41"/>
  <c r="U2603" i="41"/>
  <c r="U514" i="41"/>
  <c r="U282" i="41"/>
  <c r="U2339" i="41"/>
  <c r="U970" i="41"/>
  <c r="U740" i="41"/>
  <c r="U2219" i="41"/>
  <c r="U1577" i="41"/>
  <c r="U2857" i="41"/>
  <c r="U311" i="41"/>
  <c r="U2348" i="41"/>
  <c r="U2593" i="41"/>
  <c r="U767" i="41"/>
  <c r="U2570" i="41"/>
  <c r="U2473" i="41"/>
  <c r="U2356" i="41"/>
  <c r="U2337" i="41"/>
  <c r="U1556" i="41"/>
  <c r="U3144" i="41"/>
  <c r="U2888" i="41"/>
  <c r="U2012" i="41"/>
  <c r="U1972" i="41"/>
  <c r="U2768" i="41"/>
  <c r="U1002" i="41"/>
  <c r="U1883" i="41"/>
  <c r="U1689" i="41"/>
  <c r="U2861" i="41"/>
  <c r="U2890" i="41"/>
  <c r="U2145" i="41"/>
  <c r="U3029" i="41"/>
  <c r="U2770" i="41"/>
  <c r="U931" i="41"/>
  <c r="U2027" i="41"/>
  <c r="U1833" i="41"/>
  <c r="U2585" i="41"/>
  <c r="U3034" i="41"/>
  <c r="U394" i="41"/>
  <c r="U63" i="41"/>
  <c r="U2914" i="41"/>
  <c r="U146" i="41"/>
  <c r="U3098" i="41"/>
  <c r="U1463" i="41"/>
  <c r="U169" i="41"/>
  <c r="U2822" i="41"/>
  <c r="U132" i="41"/>
  <c r="U193" i="41"/>
  <c r="U2702" i="41"/>
  <c r="U129" i="41"/>
  <c r="U1600" i="41"/>
  <c r="U1548" i="41"/>
  <c r="U152" i="41"/>
  <c r="U1336" i="41"/>
  <c r="U433" i="41"/>
  <c r="U32" i="41"/>
  <c r="U1216" i="41"/>
  <c r="U1662" i="41"/>
  <c r="U2814" i="41"/>
  <c r="U1861" i="41"/>
  <c r="U1398" i="41"/>
  <c r="U2550" i="41"/>
  <c r="U494" i="41"/>
  <c r="U1278" i="41"/>
  <c r="U2430" i="41"/>
  <c r="U1735" i="41"/>
  <c r="U2479" i="41"/>
  <c r="U1922" i="41"/>
  <c r="U1471" i="41"/>
  <c r="U2215" i="41"/>
  <c r="U579" i="41"/>
  <c r="U1351" i="41"/>
  <c r="U2095" i="41"/>
  <c r="U1832" i="41"/>
  <c r="U1792" i="41"/>
  <c r="U1995" i="41"/>
  <c r="U1568" i="41"/>
  <c r="U3073" i="41"/>
  <c r="U484" i="41"/>
  <c r="U1448" i="41"/>
  <c r="U3036" i="41"/>
  <c r="U2780" i="41"/>
  <c r="U2327" i="41"/>
  <c r="U1966" i="41"/>
  <c r="U1382" i="41"/>
  <c r="U2783" i="41"/>
  <c r="U1846" i="41"/>
  <c r="U1064" i="41"/>
  <c r="U2303" i="41"/>
  <c r="U2715" i="41"/>
  <c r="AH462" i="1"/>
  <c r="AD462" i="1" s="1"/>
  <c r="U168" i="41"/>
  <c r="U230" i="41"/>
  <c r="U2464" i="41"/>
  <c r="U2465" i="41"/>
  <c r="U371" i="41"/>
  <c r="U2559" i="41"/>
  <c r="U1120" i="41"/>
  <c r="U1736" i="41"/>
  <c r="U1955" i="41"/>
  <c r="U815" i="41"/>
  <c r="U357" i="41"/>
  <c r="U1306" i="41"/>
  <c r="U615" i="41"/>
  <c r="U1675" i="41"/>
  <c r="U710" i="41"/>
  <c r="U1807" i="41"/>
  <c r="AH411" i="1"/>
  <c r="AD411" i="1" s="1"/>
  <c r="U74" i="41"/>
  <c r="AH408" i="1"/>
  <c r="AD408" i="1" s="1"/>
  <c r="AI46" i="1"/>
  <c r="AB46" i="1" s="1"/>
  <c r="U520" i="41"/>
  <c r="U465" i="41"/>
  <c r="U1276" i="41"/>
  <c r="AI108" i="1"/>
  <c r="AB108" i="1" s="1"/>
  <c r="AI396" i="1"/>
  <c r="AB396" i="1" s="1"/>
  <c r="U1461" i="41"/>
  <c r="U2609" i="41"/>
  <c r="U554" i="41"/>
  <c r="U2954" i="41"/>
  <c r="U1449" i="41"/>
  <c r="U2352" i="41"/>
  <c r="U1354" i="41"/>
  <c r="U411" i="41"/>
  <c r="U730" i="41"/>
  <c r="U452" i="41"/>
  <c r="U2233" i="41"/>
  <c r="U983" i="41"/>
  <c r="U1228" i="41"/>
  <c r="U2630" i="41"/>
  <c r="U1151" i="41"/>
  <c r="U1324" i="41"/>
  <c r="U2211" i="41"/>
  <c r="U1341" i="41"/>
  <c r="U2753" i="41"/>
  <c r="U2110" i="41"/>
  <c r="U766" i="41"/>
  <c r="U2010" i="41"/>
  <c r="U2278" i="41"/>
  <c r="U1258" i="41"/>
  <c r="U2466" i="41"/>
  <c r="U927" i="41"/>
  <c r="U1843" i="41"/>
  <c r="U2587" i="41"/>
  <c r="U2247" i="41"/>
  <c r="U2011" i="41"/>
  <c r="U1661" i="41"/>
  <c r="U3006" i="41"/>
  <c r="U34" i="41"/>
  <c r="U461" i="41"/>
  <c r="U1513" i="41"/>
  <c r="U1350" i="41"/>
  <c r="U2502" i="41"/>
  <c r="U1681" i="41"/>
  <c r="U1187" i="41"/>
  <c r="U2439" i="41"/>
  <c r="U1357" i="41"/>
  <c r="U474" i="41"/>
  <c r="U905" i="41"/>
  <c r="U866" i="41"/>
  <c r="U642" i="41"/>
  <c r="U1595" i="41"/>
  <c r="U1211" i="41"/>
  <c r="U1740" i="41"/>
  <c r="U2953" i="41"/>
  <c r="U1703" i="41"/>
  <c r="U122" i="41"/>
  <c r="U2475" i="41"/>
  <c r="U84" i="41"/>
  <c r="U2951" i="41"/>
  <c r="U1247" i="41"/>
  <c r="U40" i="41"/>
  <c r="U3027" i="41"/>
  <c r="U1788" i="41"/>
  <c r="U58" i="41"/>
  <c r="U485" i="41"/>
  <c r="U385" i="41"/>
  <c r="U1974" i="41"/>
  <c r="U1406" i="41"/>
  <c r="U488" i="41"/>
  <c r="U3007" i="41"/>
  <c r="U1947" i="41"/>
  <c r="U1808" i="41"/>
  <c r="U1768" i="41"/>
  <c r="U2115" i="41"/>
  <c r="U2969" i="41"/>
  <c r="U1491" i="41"/>
  <c r="U621" i="41"/>
  <c r="U2320" i="41"/>
  <c r="U2445" i="41"/>
  <c r="U1941" i="41"/>
  <c r="U3016" i="41"/>
  <c r="U2613" i="41"/>
  <c r="U1627" i="41"/>
  <c r="U806" i="41"/>
  <c r="U2232" i="41"/>
  <c r="U1090" i="41"/>
  <c r="U1172" i="41"/>
  <c r="U1968" i="41"/>
  <c r="U1546" i="41"/>
  <c r="U1079" i="41"/>
  <c r="U2795" i="41"/>
  <c r="U98" i="41"/>
  <c r="U2510" i="41"/>
  <c r="U887" i="41"/>
  <c r="U2858" i="41"/>
  <c r="U2246" i="41"/>
  <c r="U1343" i="41"/>
  <c r="U2107" i="41"/>
  <c r="U3049" i="41"/>
  <c r="U189" i="41"/>
  <c r="AI388" i="1"/>
  <c r="AB388" i="1" s="1"/>
  <c r="AH382" i="1"/>
  <c r="AD382" i="1" s="1"/>
  <c r="U1752" i="41"/>
  <c r="U68" i="41"/>
  <c r="U111" i="41"/>
  <c r="U3129" i="41"/>
  <c r="U695" i="41"/>
  <c r="AI23" i="1"/>
  <c r="AB23" i="1" s="1"/>
  <c r="U2265" i="41"/>
  <c r="U1905" i="41"/>
  <c r="U2764" i="41"/>
  <c r="U2551" i="41"/>
  <c r="U2055" i="41"/>
  <c r="U1484" i="41"/>
  <c r="U2245" i="41"/>
  <c r="U1878" i="41"/>
  <c r="U2309" i="41"/>
  <c r="U80" i="41"/>
  <c r="U734" i="41"/>
  <c r="AH406" i="1"/>
  <c r="AD406" i="1" s="1"/>
  <c r="U3014" i="41"/>
  <c r="U2804" i="41"/>
  <c r="U712" i="41"/>
  <c r="U395" i="41"/>
  <c r="AH83" i="1"/>
  <c r="AD83" i="1" s="1"/>
  <c r="U613" i="41"/>
  <c r="U1184" i="41"/>
  <c r="U57" i="41"/>
  <c r="U1528" i="41"/>
  <c r="U820" i="41"/>
  <c r="U2827" i="41"/>
  <c r="AH518" i="1"/>
  <c r="AD518" i="1" s="1"/>
  <c r="AH362" i="1"/>
  <c r="AD362" i="1" s="1"/>
  <c r="U962" i="41"/>
  <c r="U2034" i="41"/>
  <c r="U1186" i="41"/>
  <c r="U795" i="41"/>
  <c r="U656" i="41"/>
  <c r="U3080" i="41"/>
  <c r="U963" i="41"/>
  <c r="U533" i="41"/>
  <c r="U2138" i="41"/>
  <c r="U1208" i="41"/>
  <c r="U2796" i="41"/>
  <c r="U2108" i="41"/>
  <c r="U789" i="41"/>
  <c r="U2488" i="41"/>
  <c r="U2276" i="41"/>
  <c r="U2297" i="41"/>
  <c r="U1252" i="41"/>
  <c r="U842" i="41"/>
  <c r="U1770" i="41"/>
  <c r="U2922" i="41"/>
  <c r="U375" i="41"/>
  <c r="U1938" i="41"/>
  <c r="U2576" i="41"/>
  <c r="U2192" i="41"/>
  <c r="U2730" i="41"/>
  <c r="U2451" i="41"/>
  <c r="U1212" i="41"/>
  <c r="U104" i="41"/>
  <c r="U1288" i="41"/>
  <c r="U1380" i="41"/>
  <c r="U256" i="41"/>
  <c r="U2853" i="41"/>
  <c r="U1462" i="41"/>
  <c r="U2002" i="41"/>
  <c r="U1908" i="41"/>
  <c r="U707" i="41"/>
  <c r="U2004" i="41"/>
  <c r="U2220" i="41"/>
  <c r="U2949" i="41"/>
  <c r="U2717" i="41"/>
  <c r="U2699" i="41"/>
  <c r="U1906" i="41"/>
  <c r="U1909" i="41"/>
  <c r="U2401" i="41"/>
  <c r="U2074" i="41"/>
  <c r="U2637" i="41"/>
  <c r="U1059" i="41"/>
  <c r="U1928" i="41"/>
  <c r="U1888" i="41"/>
  <c r="U2828" i="41"/>
  <c r="U1509" i="41"/>
  <c r="U3089" i="41"/>
  <c r="U2996" i="41"/>
  <c r="U1554" i="41"/>
  <c r="U2372" i="41"/>
  <c r="U2061" i="41"/>
  <c r="U3136" i="41"/>
  <c r="U2830" i="41"/>
  <c r="U1486" i="41"/>
  <c r="U359" i="41"/>
  <c r="U2998" i="41"/>
  <c r="U996" i="41"/>
  <c r="U2941" i="41"/>
  <c r="U1632" i="41"/>
  <c r="U43" i="41"/>
  <c r="U988" i="41"/>
  <c r="U1381" i="41"/>
  <c r="U211" i="41"/>
  <c r="U2023" i="41"/>
  <c r="U1639" i="41"/>
  <c r="U3015" i="41"/>
  <c r="U1945" i="41"/>
  <c r="U1050" i="41"/>
  <c r="U2202" i="41"/>
  <c r="U1442" i="41"/>
  <c r="U1218" i="41"/>
  <c r="U1693" i="41"/>
  <c r="U1309" i="41"/>
  <c r="U536" i="41"/>
  <c r="U3055" i="41"/>
  <c r="U699" i="41"/>
  <c r="U2047" i="41"/>
  <c r="U2791" i="41"/>
  <c r="U1155" i="41"/>
  <c r="U1927" i="41"/>
  <c r="U2671" i="41"/>
  <c r="U669" i="41"/>
  <c r="U2368" i="41"/>
  <c r="U604" i="41"/>
  <c r="U405" i="41"/>
  <c r="U2104" i="41"/>
  <c r="U2468" i="41"/>
  <c r="U2024" i="41"/>
  <c r="U1984" i="41"/>
  <c r="U646" i="41"/>
  <c r="U499" i="41"/>
  <c r="U3069" i="41"/>
  <c r="U382" i="41"/>
  <c r="U281" i="41"/>
  <c r="U2470" i="41"/>
  <c r="U2157" i="41"/>
  <c r="U3137" i="41"/>
  <c r="U443" i="41"/>
  <c r="U2663" i="41"/>
  <c r="U2615" i="41"/>
  <c r="U179" i="41"/>
  <c r="U652" i="41"/>
  <c r="U2124" i="41"/>
  <c r="U59" i="41"/>
  <c r="U2652" i="41"/>
  <c r="U587" i="41"/>
  <c r="U2629" i="41"/>
  <c r="U2759" i="41"/>
  <c r="U323" i="41"/>
  <c r="U2829" i="41"/>
  <c r="U2268" i="41"/>
  <c r="U203" i="41"/>
  <c r="U1300" i="41"/>
  <c r="U829" i="41"/>
  <c r="U89" i="41"/>
  <c r="U2943" i="41"/>
  <c r="U565" i="41"/>
  <c r="U258" i="41"/>
  <c r="U916" i="41"/>
  <c r="U445" i="41"/>
  <c r="U2514" i="41"/>
  <c r="U890" i="41"/>
  <c r="U522" i="41"/>
  <c r="U953" i="41"/>
  <c r="U626" i="41"/>
  <c r="U978" i="41"/>
  <c r="U2130" i="41"/>
  <c r="U506" i="41"/>
  <c r="U2179" i="41"/>
  <c r="U975" i="41"/>
  <c r="U595" i="41"/>
  <c r="U1817" i="41"/>
  <c r="U711" i="41"/>
  <c r="U1051" i="41"/>
  <c r="U2273" i="41"/>
  <c r="U591" i="41"/>
  <c r="U3120" i="41"/>
  <c r="U2288" i="41"/>
  <c r="U692" i="41"/>
  <c r="U3116" i="41"/>
  <c r="U616" i="41"/>
  <c r="U1148" i="41"/>
  <c r="U3119" i="41"/>
  <c r="U496" i="41"/>
  <c r="U2501" i="41"/>
  <c r="U2290" i="41"/>
  <c r="U825" i="41"/>
  <c r="U2524" i="41"/>
  <c r="U3081" i="41"/>
  <c r="U1281" i="41"/>
  <c r="U2741" i="41"/>
  <c r="U2961" i="41"/>
  <c r="U3088" i="41"/>
  <c r="U299" i="41"/>
  <c r="U2350" i="41"/>
  <c r="U2471" i="41"/>
  <c r="U35" i="41"/>
  <c r="U1035" i="41"/>
  <c r="U1980" i="41"/>
  <c r="U1990" i="41"/>
  <c r="U2642" i="41"/>
  <c r="U384" i="41"/>
  <c r="U173" i="41"/>
  <c r="U2725" i="41"/>
  <c r="U120" i="41"/>
  <c r="U25" i="41"/>
  <c r="U2258" i="41"/>
  <c r="U1787" i="41"/>
  <c r="U2786" i="41"/>
  <c r="U528" i="41"/>
  <c r="U121" i="41"/>
  <c r="U2869" i="41"/>
  <c r="U264" i="41"/>
  <c r="U170" i="41"/>
  <c r="U2402" i="41"/>
  <c r="U144" i="41"/>
  <c r="U2370" i="41"/>
  <c r="U746" i="41"/>
  <c r="U378" i="41"/>
  <c r="U809" i="41"/>
  <c r="U482" i="41"/>
  <c r="U834" i="41"/>
  <c r="U1265" i="41"/>
  <c r="U362" i="41"/>
  <c r="U3114" i="41"/>
  <c r="U831" i="41"/>
  <c r="U451" i="41"/>
  <c r="U1673" i="41"/>
  <c r="U567" i="41"/>
  <c r="U907" i="41"/>
  <c r="U2129" i="41"/>
  <c r="U447" i="41"/>
  <c r="U2976" i="41"/>
  <c r="U2144" i="41"/>
  <c r="U548" i="41"/>
  <c r="U3067" i="41"/>
  <c r="U472" i="41"/>
  <c r="U1004" i="41"/>
  <c r="U2975" i="41"/>
  <c r="U352" i="41"/>
  <c r="U2537" i="41"/>
  <c r="U2146" i="41"/>
  <c r="U681" i="41"/>
  <c r="U2380" i="41"/>
  <c r="U2937" i="41"/>
  <c r="U1137" i="41"/>
  <c r="U2836" i="41"/>
  <c r="U2817" i="41"/>
  <c r="U1223" i="41"/>
  <c r="U2747" i="41"/>
  <c r="U658" i="41"/>
  <c r="U286" i="41"/>
  <c r="U2483" i="41"/>
  <c r="U1114" i="41"/>
  <c r="U2036" i="41"/>
  <c r="U2363" i="41"/>
  <c r="U3092" i="41"/>
  <c r="U1983" i="41"/>
  <c r="U1603" i="41"/>
  <c r="U2347" i="41"/>
  <c r="U1719" i="41"/>
  <c r="U2059" i="41"/>
  <c r="U2803" i="41"/>
  <c r="U1599" i="41"/>
  <c r="U2500" i="41"/>
  <c r="U2481" i="41"/>
  <c r="U1700" i="41"/>
  <c r="U3151" i="41"/>
  <c r="U2217" i="41"/>
  <c r="U417" i="41"/>
  <c r="U2116" i="41"/>
  <c r="U2912" i="41"/>
  <c r="U2644" i="41"/>
  <c r="U2625" i="41"/>
  <c r="U1844" i="41"/>
  <c r="U1804" i="41"/>
  <c r="U2361" i="41"/>
  <c r="U561" i="41"/>
  <c r="U2260" i="41"/>
  <c r="U2241" i="41"/>
  <c r="U2436" i="41"/>
  <c r="U2281" i="41"/>
  <c r="U1810" i="41"/>
  <c r="U313" i="41"/>
  <c r="U2688" i="41"/>
  <c r="U191" i="41"/>
  <c r="U508" i="41"/>
  <c r="U2568" i="41"/>
  <c r="U147" i="41"/>
  <c r="U2355" i="41"/>
  <c r="U1607" i="41"/>
  <c r="U26" i="41"/>
  <c r="U2966" i="41"/>
  <c r="U276" i="41"/>
  <c r="U50" i="41"/>
  <c r="U2846" i="41"/>
  <c r="U273" i="41"/>
  <c r="U365" i="41"/>
  <c r="U1692" i="41"/>
  <c r="U296" i="41"/>
  <c r="U1480" i="41"/>
  <c r="U577" i="41"/>
  <c r="U176" i="41"/>
  <c r="U1360" i="41"/>
  <c r="U1806" i="41"/>
  <c r="U2958" i="41"/>
  <c r="U2005" i="41"/>
  <c r="U1542" i="41"/>
  <c r="U2694" i="41"/>
  <c r="U638" i="41"/>
  <c r="U1422" i="41"/>
  <c r="U2574" i="41"/>
  <c r="U1879" i="41"/>
  <c r="U2623" i="41"/>
  <c r="U2066" i="41"/>
  <c r="U1615" i="41"/>
  <c r="U2359" i="41"/>
  <c r="U723" i="41"/>
  <c r="U1495" i="41"/>
  <c r="U2239" i="41"/>
  <c r="U79" i="41"/>
  <c r="U1024" i="41"/>
  <c r="U972" i="41"/>
  <c r="U102" i="41"/>
  <c r="U760" i="41"/>
  <c r="U1428" i="41"/>
  <c r="U269" i="41"/>
  <c r="U3123" i="41"/>
  <c r="U1086" i="41"/>
  <c r="U2238" i="41"/>
  <c r="U1273" i="41"/>
  <c r="U822" i="41"/>
  <c r="U1253" i="41"/>
  <c r="U1729" i="41"/>
  <c r="U702" i="41"/>
  <c r="U1133" i="41"/>
  <c r="U1230" i="41"/>
  <c r="U2382" i="41"/>
  <c r="U1417" i="41"/>
  <c r="U966" i="41"/>
  <c r="U2118" i="41"/>
  <c r="U1885" i="41"/>
  <c r="U846" i="41"/>
  <c r="U1277" i="41"/>
  <c r="U1256" i="41"/>
  <c r="U2844" i="41"/>
  <c r="U1419" i="41"/>
  <c r="U992" i="41"/>
  <c r="U2963" i="41"/>
  <c r="U1875" i="41"/>
  <c r="U872" i="41"/>
  <c r="U2843" i="41"/>
  <c r="U1389" i="41"/>
  <c r="U2513" i="41"/>
  <c r="U2732" i="41"/>
  <c r="U1125" i="41"/>
  <c r="U2824" i="41"/>
  <c r="U2373" i="41"/>
  <c r="U1005" i="41"/>
  <c r="U2704" i="41"/>
  <c r="U1366" i="41"/>
  <c r="U935" i="41"/>
  <c r="U2734" i="41"/>
  <c r="U1102" i="41"/>
  <c r="U873" i="41"/>
  <c r="U1919" i="41"/>
  <c r="U982" i="41"/>
  <c r="U2557" i="41"/>
  <c r="U1163" i="41"/>
  <c r="U1865" i="41"/>
  <c r="U2388" i="41"/>
  <c r="U899" i="41"/>
  <c r="U2703" i="41"/>
  <c r="U2173" i="41"/>
  <c r="U779" i="41"/>
  <c r="U2631" i="41"/>
  <c r="U1248" i="41"/>
  <c r="U157" i="41"/>
  <c r="U2666" i="41"/>
  <c r="U984" i="41"/>
  <c r="U39" i="41"/>
  <c r="U3134" i="41"/>
  <c r="U864" i="41"/>
  <c r="AC348" i="1"/>
  <c r="AE348" i="1"/>
  <c r="AC393" i="1"/>
  <c r="AE393" i="1"/>
  <c r="AC380" i="1"/>
  <c r="AE380" i="1"/>
  <c r="AC445" i="1"/>
  <c r="AE445" i="1"/>
  <c r="AC51" i="1"/>
  <c r="AE51" i="1"/>
  <c r="AC372" i="1"/>
  <c r="AE372" i="1"/>
  <c r="AC536" i="1"/>
  <c r="Y738" i="41" a="1"/>
  <c r="Y1220" i="41" a="1"/>
  <c r="Y495" i="41" a="1"/>
  <c r="Y110" i="41" a="1"/>
  <c r="Y1362" i="41" a="1"/>
  <c r="Y36" i="41" a="1"/>
  <c r="Y1094" i="41" a="1"/>
  <c r="Y160" i="41" a="1"/>
  <c r="Y2695" i="41" a="1"/>
  <c r="Y2636" i="41" a="1"/>
  <c r="Y1850" i="41" a="1"/>
  <c r="Y24" i="41" a="1"/>
  <c r="Y162" i="41" a="1"/>
  <c r="Y764" i="41" a="1"/>
  <c r="Y336" i="41" a="1"/>
  <c r="Y1196" i="41" a="1"/>
  <c r="Y1157" i="41" a="1"/>
  <c r="Y2667" i="41" a="1"/>
  <c r="Y1124" i="41" a="1"/>
  <c r="Y1164" i="41" a="1"/>
  <c r="Y2855" i="41" a="1"/>
  <c r="Y1933" i="41" a="1"/>
  <c r="Y1182" i="41" a="1"/>
  <c r="Y1532" i="41" a="1"/>
  <c r="Y2721" i="41" a="1"/>
  <c r="Y1665" i="41" a="1"/>
  <c r="Y2143" i="41" a="1"/>
  <c r="Y1251" i="41" a="1"/>
  <c r="Y190" i="41" a="1"/>
  <c r="Y1942" i="41" a="1"/>
  <c r="Y1415" i="41" a="1"/>
  <c r="Y2249" i="41" a="1"/>
  <c r="Y2186" i="41" a="1"/>
  <c r="Y2371" i="41" a="1"/>
  <c r="Y205" i="41" a="1"/>
  <c r="Y1761" i="41" a="1"/>
  <c r="Y1467" i="41" a="1"/>
  <c r="Y1332" i="41" a="1"/>
  <c r="Y1926" i="41" a="1"/>
  <c r="Y1633" i="41" a="1"/>
  <c r="Y1999" i="41" a="1"/>
  <c r="Y2068" i="41" a="1"/>
  <c r="Y2600" i="41" a="1"/>
  <c r="Y206" i="41" a="1"/>
  <c r="Y2602" i="41" a="1"/>
  <c r="Y1838" i="41" a="1"/>
  <c r="Y1669" i="41" a="1"/>
  <c r="Y512" i="41" a="1"/>
  <c r="Y470" i="41" a="1"/>
  <c r="Y1388" i="41" a="1"/>
  <c r="Y600" i="41" a="1"/>
  <c r="Y675" i="41" a="1"/>
  <c r="Y609" i="41" a="1"/>
  <c r="Y45" i="41" a="1"/>
  <c r="Y1030" i="41" a="1"/>
  <c r="Y2043" i="41" a="1"/>
  <c r="Y544" i="41" a="1"/>
  <c r="Y1820" i="41" a="1"/>
  <c r="Y2766" i="41" a="1"/>
  <c r="Y1454" i="41" a="1"/>
  <c r="Y41" i="41" a="1"/>
  <c r="Y366" i="41" a="1"/>
  <c r="Y1500" i="41" a="1"/>
  <c r="Y250" i="41" a="1"/>
  <c r="Y2196" i="41" a="1"/>
  <c r="Y2351" i="41" a="1"/>
  <c r="Y2474" i="41" a="1"/>
  <c r="Y3085" i="41" a="1"/>
  <c r="Y2057" i="41" a="1"/>
  <c r="Y2617" i="41" a="1"/>
  <c r="Y2903" i="41" a="1"/>
  <c r="Y2489" i="41" a="1"/>
  <c r="Y1989" i="41" a="1"/>
  <c r="Y2957" i="41" a="1"/>
  <c r="Y2077" i="41" a="1"/>
  <c r="Y1022" i="41" a="1"/>
  <c r="Y1798" i="41" a="1"/>
  <c r="Y911" i="41" a="1"/>
  <c r="Y1203" i="41" a="1"/>
  <c r="Y2162" i="41" a="1"/>
  <c r="Y680" i="41" a="1"/>
  <c r="Y294" i="41" a="1"/>
  <c r="Y641" i="41" a="1"/>
  <c r="Y2139" i="41" a="1"/>
  <c r="Y3105" i="41" a="1"/>
  <c r="Y2727" i="41" a="1"/>
  <c r="Y2020" i="41" a="1"/>
  <c r="Y1824" i="41" a="1"/>
  <c r="Y399" i="41" a="1"/>
  <c r="Y2769" i="41" a="1"/>
  <c r="Y2569" i="41" a="1"/>
  <c r="Y653" i="41" a="1"/>
  <c r="Y2127" i="41" a="1"/>
  <c r="Y2171" i="41" a="1"/>
  <c r="Y2499" i="41" a="1"/>
  <c r="Y1373" i="41" a="1"/>
  <c r="Y1168" i="41" a="1"/>
  <c r="Y3126" i="41" a="1"/>
  <c r="Y2621" i="41" a="1"/>
  <c r="Y1411" i="41" a="1"/>
  <c r="Y3090" i="41" a="1"/>
  <c r="Y1202" i="41" a="1"/>
  <c r="Y523" i="41" a="1"/>
  <c r="Y580" i="41" a="1"/>
  <c r="Y453" i="41" a="1"/>
  <c r="Y1041" i="41" a="1"/>
  <c r="Y3100" i="41" a="1"/>
  <c r="Y811" i="41" a="1"/>
  <c r="Y920" i="41" a="1"/>
  <c r="Y86" i="41" a="1"/>
  <c r="Y1185" i="41" a="1"/>
  <c r="Y1706" i="41" a="1"/>
  <c r="Y254" i="41" a="1"/>
  <c r="Y1720" i="41" a="1"/>
  <c r="Y308" i="41" a="1"/>
  <c r="Y290" i="41" a="1"/>
  <c r="Y332" i="41" a="1"/>
  <c r="Y581" i="41" a="1"/>
  <c r="Y850" i="41" a="1"/>
  <c r="Y3030" i="41" a="1"/>
  <c r="Y2334" i="41" a="1"/>
  <c r="Y948" i="41" a="1"/>
  <c r="Y1408" i="41" a="1"/>
  <c r="Y1249" i="41" a="1"/>
  <c r="Y2714" i="41" a="1"/>
  <c r="Y1361" i="41" a="1"/>
  <c r="Y1785" i="41" a="1"/>
  <c r="Y946" i="41" a="1"/>
  <c r="Y1371" i="41" a="1"/>
  <c r="Y2503" i="41" a="1"/>
  <c r="Y2875" i="41" a="1"/>
  <c r="Y2527" i="41" a="1"/>
  <c r="Y1638" i="41" a="1"/>
  <c r="Y1345" i="41" a="1"/>
  <c r="Y1711" i="41" a="1"/>
  <c r="Y2516" i="41" a="1"/>
  <c r="Y1630" i="41" a="1"/>
  <c r="Y2518" i="41" a="1"/>
  <c r="Y1427" i="41" a="1"/>
  <c r="Y78" i="41" a="1"/>
  <c r="Y2955" i="41" a="1"/>
  <c r="Y798" i="41" a="1"/>
  <c r="Y965" i="41" a="1"/>
  <c r="Y2304" i="41" a="1"/>
  <c r="Y6" i="41" a="1"/>
  <c r="Y817" i="41" a="1"/>
  <c r="Y1435" i="41" a="1"/>
  <c r="Y374" i="41" a="1"/>
  <c r="Y1596" i="41" a="1"/>
  <c r="Y2547" i="41" a="1"/>
  <c r="Y2277" i="41" a="1"/>
  <c r="Y261" i="41" a="1"/>
  <c r="Y698" i="41" a="1"/>
  <c r="Y1794" i="41" a="1"/>
  <c r="Y2307" i="41" a="1"/>
  <c r="Y1236" i="41" a="1"/>
  <c r="Y418" i="41" a="1"/>
  <c r="Y1932" i="41" a="1"/>
  <c r="Y1940" i="41" a="1"/>
  <c r="Y235" i="41" a="1"/>
  <c r="Y2684" i="41" a="1"/>
  <c r="Y309" i="41" a="1"/>
  <c r="Y1769" i="41" a="1"/>
  <c r="Y2507" i="41" a="1"/>
  <c r="Y3068" i="41" a="1"/>
  <c r="Y1696" i="41" a="1"/>
  <c r="Y2492" i="41" a="1"/>
  <c r="Y1882" i="41" a="1"/>
  <c r="Y53" i="41" a="1"/>
  <c r="Y929" i="41" a="1"/>
  <c r="Y1573" i="41" a="1"/>
  <c r="Y1793" i="41" a="1"/>
  <c r="Y1911" i="41" a="1"/>
  <c r="Y1143" i="41" a="1"/>
  <c r="Y1414" i="41" a="1"/>
  <c r="Y3072" i="41" a="1"/>
  <c r="Y2072" i="41" a="1"/>
  <c r="Y1776" i="41" a="1"/>
  <c r="Y3104" i="41" a="1"/>
  <c r="Y952" i="41" a="1"/>
  <c r="Y1636" i="41" a="1"/>
  <c r="Y627" i="41" a="1"/>
  <c r="Y1902" i="41" a="1"/>
  <c r="Y1645" i="41" a="1"/>
  <c r="Y2818" i="41" a="1"/>
  <c r="Y159" i="41" a="1"/>
  <c r="Y1818" i="41" a="1"/>
  <c r="Y1988" i="41" a="1"/>
  <c r="Y23" i="41" a="1"/>
  <c r="Y409" i="41" a="1"/>
  <c r="Y1747" i="41" a="1"/>
  <c r="Y1977" i="41" a="1"/>
  <c r="Y1751" i="41" a="1"/>
  <c r="Y326" i="41" a="1"/>
  <c r="Y1116" i="41" a="1"/>
  <c r="Y1478" i="41" a="1"/>
  <c r="Y2876" i="41" a="1"/>
  <c r="Y1935" i="41" a="1"/>
  <c r="Y1512" i="41" a="1"/>
  <c r="Y436" i="41" a="1"/>
  <c r="Y1333" i="41" a="1"/>
  <c r="Y1582" i="41" a="1"/>
  <c r="Y1694" i="41" a="1"/>
  <c r="Y1267" i="41" a="1"/>
  <c r="Y2407" i="41" a="1"/>
  <c r="Y527" i="41" a="1"/>
  <c r="Y2193" i="41" a="1"/>
  <c r="Y1053" i="41" a="1"/>
  <c r="Y676" i="41" a="1"/>
  <c r="Y2199" i="41" a="1"/>
  <c r="Y2308" i="41" a="1"/>
  <c r="Y903" i="41" a="1"/>
  <c r="Y645" i="41" a="1"/>
  <c r="Y2067" i="41" a="1"/>
  <c r="Y622" i="41" a="1"/>
  <c r="Y2322" i="41" a="1"/>
  <c r="Y2103" i="41" a="1"/>
  <c r="Y225" i="41" a="1"/>
  <c r="Y2358" i="41" a="1"/>
  <c r="Y1115" i="41" a="1"/>
  <c r="Y267" i="41" a="1"/>
  <c r="Y2809" i="41" a="1"/>
  <c r="Y1727" i="41" a="1"/>
  <c r="Y2992" i="41" a="1"/>
  <c r="Y2854" i="41" a="1"/>
  <c r="Y1609" i="41" a="1"/>
  <c r="Y2125" i="41" a="1"/>
  <c r="Y906" i="41" a="1"/>
  <c r="Y1549" i="41" a="1"/>
  <c r="Y979" i="41" a="1"/>
  <c r="Y2222" i="41" a="1"/>
  <c r="Y460" i="41" a="1"/>
  <c r="Y1880" i="41" a="1"/>
  <c r="Y2925" i="41" a="1"/>
  <c r="Y2013" i="41" a="1"/>
  <c r="Y804" i="41" a="1"/>
  <c r="Y2773" i="41" a="1"/>
  <c r="Y1593" i="41" a="1"/>
  <c r="Y442" i="41" a="1"/>
  <c r="Y1746" i="41" a="1"/>
  <c r="Y1604" i="41" a="1"/>
  <c r="Y1819" i="41" a="1"/>
  <c r="Y1472" i="41" a="1"/>
  <c r="Y2885" i="41" a="1"/>
  <c r="Y897" i="41" a="1"/>
  <c r="Y1138" i="41" a="1"/>
  <c r="Y483" i="41" a="1"/>
  <c r="Y933" i="41" a="1"/>
  <c r="Y1396" i="41" a="1"/>
  <c r="Y519" i="41" a="1"/>
  <c r="Y2251" i="41" a="1"/>
  <c r="Y1432" i="41" a="1"/>
  <c r="Y1200" i="41" a="1"/>
  <c r="Y66" i="41" a="1"/>
  <c r="Y1896" i="41" a="1"/>
  <c r="Y143" i="41" a="1"/>
  <c r="Y2174" i="41" a="1"/>
  <c r="Y228" i="41" a="1"/>
  <c r="Y1757" i="41" a="1"/>
  <c r="Y387" i="41" a="1"/>
  <c r="Y3056" i="41" a="1"/>
  <c r="Y2259" i="41" a="1"/>
  <c r="Y1257" i="41" a="1"/>
  <c r="Y3101" i="41" a="1"/>
  <c r="Y1986" i="41" a="1"/>
  <c r="Y3082" i="41" a="1"/>
  <c r="Y1045" i="41" a="1"/>
  <c r="Y2882" i="41" a="1"/>
  <c r="Y1629" i="41" a="1"/>
  <c r="Y2719" i="41" a="1"/>
  <c r="Y109" i="41" a="1"/>
  <c r="Y758" i="41" a="1"/>
  <c r="Y1264" i="41" a="1"/>
  <c r="Y2387" i="41" a="1"/>
  <c r="Y2740" i="41" a="1"/>
  <c r="Y1130" i="41" a="1"/>
  <c r="Y42" i="41" a="1"/>
  <c r="Y777" i="41" a="1"/>
  <c r="Y2293" i="41" a="1"/>
  <c r="Y377" i="41" a="1"/>
  <c r="Y1385" i="41" a="1"/>
  <c r="Y2801" i="41" a="1"/>
  <c r="Y171" i="41" a="1"/>
  <c r="Y2826" i="41" a="1"/>
  <c r="Y2635" i="41" a="1"/>
  <c r="Y1753" i="41" a="1"/>
  <c r="Y153" i="41" a="1"/>
  <c r="Y1084" i="41" a="1"/>
  <c r="Y103" i="41" a="1"/>
  <c r="Y1136" i="41" a="1"/>
  <c r="Y1246" i="41" a="1"/>
  <c r="Y1169" i="41" a="1"/>
  <c r="Y2022" i="41" a="1"/>
  <c r="Y298" i="41" a="1"/>
  <c r="Y149" i="41" a="1"/>
  <c r="Y2792" i="41" a="1"/>
  <c r="Y1070" i="41" a="1"/>
  <c r="Y1755" i="41" a="1"/>
  <c r="Y882" i="41" a="1"/>
  <c r="Y2087" i="41" a="1"/>
  <c r="Y3032" i="41" a="1"/>
  <c r="Y2554" i="41" a="1"/>
  <c r="Y863" i="41" a="1"/>
  <c r="Y450" i="41" a="1"/>
  <c r="Y2931" i="41" a="1"/>
  <c r="Y2531" i="41" a="1"/>
  <c r="Y1123" i="41" a="1"/>
  <c r="Y2181" i="41" a="1"/>
  <c r="Y559" i="41" a="1"/>
  <c r="Y1301" i="41" a="1"/>
  <c r="Y1096" i="41" a="1"/>
  <c r="Y231" i="41" a="1"/>
  <c r="Y2872" i="41" a="1"/>
  <c r="Y588" i="41" a="1"/>
  <c r="Y713" i="41" a="1"/>
  <c r="Y2319" i="41" a="1"/>
  <c r="Y796" i="41" a="1"/>
  <c r="Y329" i="41" a="1"/>
  <c r="Y1725" i="41" a="1"/>
  <c r="Y3018" i="41" a="1"/>
  <c r="Y388" i="41" a="1"/>
  <c r="Y910" i="41" a="1"/>
  <c r="Y2610" i="41" a="1"/>
  <c r="Y424" i="41" a="1"/>
  <c r="Y1831" i="41" a="1"/>
  <c r="Y2964" i="41" a="1"/>
  <c r="Y1501" i="41" a="1"/>
  <c r="Y786" i="41" a="1"/>
  <c r="Y1562" i="41" a="1"/>
  <c r="Y859" i="41" a="1"/>
  <c r="Y2674" i="41" a="1"/>
  <c r="Y778" i="41" a="1"/>
  <c r="Y2328" i="41" a="1"/>
  <c r="Y575" i="41" a="1"/>
  <c r="Y15" i="41" a="1"/>
  <c r="Y2679" i="41" a="1"/>
  <c r="Y141" i="41" a="1"/>
  <c r="Y689" i="41" a="1"/>
  <c r="Y2894" i="41" a="1"/>
  <c r="Y1982" i="41" a="1"/>
  <c r="Y386" i="41" a="1"/>
  <c r="Y1240" i="41" a="1"/>
  <c r="Y2099" i="41" a="1"/>
  <c r="Y2353" i="41" a="1"/>
  <c r="Y937" i="41" a="1"/>
  <c r="Y1701" i="41" a="1"/>
  <c r="Y998" i="41" a="1"/>
  <c r="Y1287" i="41" a="1"/>
  <c r="Y2607" i="41" a="1"/>
  <c r="Y339" i="41" a="1"/>
  <c r="Y444" i="41" a="1"/>
  <c r="Y771" i="41" a="1"/>
  <c r="Y1221" i="41" a="1"/>
  <c r="Y2275" i="41" a="1"/>
  <c r="Y2889" i="41" a="1"/>
  <c r="Y247" i="41" a="1"/>
  <c r="Y2311" i="41" a="1"/>
  <c r="Y344" i="41" a="1"/>
  <c r="Y3115" i="41" a="1"/>
  <c r="Y2038" i="41" a="1"/>
  <c r="Y2442" i="41" a="1"/>
  <c r="Y48" i="41" a="1"/>
  <c r="Y134" i="41" a="1"/>
  <c r="Y1085" i="41" a="1"/>
  <c r="Y1297" i="41" a="1"/>
  <c r="Y1530" i="41" a="1"/>
  <c r="Y793" i="41" a="1"/>
  <c r="Y917" i="41" a="1"/>
  <c r="Y3118" i="41" a="1"/>
  <c r="Y1439" i="41" a="1"/>
  <c r="Y599" i="41" a="1"/>
  <c r="Y1698" i="41" a="1"/>
  <c r="Y1783" i="41" a="1"/>
  <c r="Y197" i="41" a="1"/>
  <c r="Y2342" i="41" a="1"/>
  <c r="Y2810" i="41" a="1"/>
  <c r="Y76" i="41" a="1"/>
  <c r="Y2564" i="41" a="1"/>
  <c r="Y2314" i="41" a="1"/>
  <c r="Y1152" i="41" a="1"/>
  <c r="Y2210" i="41" a="1"/>
  <c r="Y1217" i="41" a="1"/>
  <c r="Y2225" i="41" a="1"/>
  <c r="Y441" i="41" a="1"/>
  <c r="Y88" i="41" a="1"/>
  <c r="Y1937" i="41" a="1"/>
  <c r="Y2927" i="41" a="1"/>
  <c r="Y2426" i="41" a="1"/>
  <c r="Y82" i="41" a="1"/>
  <c r="Y243" i="41" a="1"/>
  <c r="Y128" i="41" a="1"/>
  <c r="Y1400" i="41" a="1"/>
  <c r="Y1510" i="41" a="1"/>
  <c r="Y2701" i="41" a="1"/>
  <c r="Y1043" i="41" a="1"/>
  <c r="Y2815" i="41" a="1"/>
  <c r="Y549" i="41" a="1"/>
  <c r="Y2128" i="41" a="1"/>
  <c r="Y526" i="41" a="1"/>
  <c r="Y1574" i="41" a="1"/>
  <c r="Y670" i="41" a="1"/>
  <c r="Y2930" i="41" a="1"/>
  <c r="Y408" i="41" a="1"/>
  <c r="Y1444" i="41" a="1"/>
  <c r="Y709" i="41" a="1"/>
  <c r="Y2658" i="41" a="1"/>
  <c r="Y770" i="41" a="1"/>
  <c r="Y2323" i="41" a="1"/>
  <c r="Y855" i="41" a="1"/>
  <c r="Y3127" i="41" a="1"/>
  <c r="Y2168" i="41" a="1"/>
  <c r="Y1234" i="41" a="1"/>
  <c r="Y876" i="41" a="1"/>
  <c r="Y1177" i="41" a="1"/>
  <c r="Y2198" i="41" a="1"/>
  <c r="Y1813" i="41" a="1"/>
  <c r="Y12" i="41" a="1"/>
  <c r="Y878" i="41" a="1"/>
  <c r="Y1976" i="41" a="1"/>
  <c r="Y1018" i="41" a="1"/>
  <c r="Y747" i="41" a="1"/>
  <c r="Y683" i="41" a="1"/>
  <c r="Y2716" i="41" a="1"/>
  <c r="Y2865" i="41" a="1"/>
  <c r="Y1809" i="41" a="1"/>
  <c r="Y2287" i="41" a="1"/>
  <c r="Y1395" i="41" a="1"/>
  <c r="Y330" i="41" a="1"/>
  <c r="Y1451" i="41" a="1"/>
  <c r="Y1657" i="41" a="1"/>
  <c r="Y1331" i="41" a="1"/>
  <c r="Y2330" i="41" a="1"/>
  <c r="Y3024" i="41" a="1"/>
  <c r="Y844" i="41" a="1"/>
  <c r="Y1854" i="41" a="1"/>
  <c r="Y3106" i="41" a="1"/>
  <c r="Y3041" i="41" a="1"/>
  <c r="Y2620" i="41" a="1"/>
  <c r="Y2076" i="41" a="1"/>
  <c r="Y1822" i="41" a="1"/>
  <c r="Y2354" i="41" a="1"/>
  <c r="Y1619" i="41" a="1"/>
  <c r="Y808" i="41" a="1"/>
  <c r="Y980" i="41" a="1"/>
  <c r="Y2919" i="41" a="1"/>
  <c r="Y1066" i="41" a="1"/>
  <c r="Y2216" i="41" a="1"/>
  <c r="Y3121" i="41" a="1"/>
  <c r="Y2452" i="41" a="1"/>
  <c r="Y1579" i="41" a="1"/>
  <c r="Y400" i="41" a="1"/>
  <c r="Y1676" i="41" a="1"/>
  <c r="Y2622" i="41" a="1"/>
  <c r="Y1310" i="41" a="1"/>
  <c r="Y196" i="41" a="1"/>
  <c r="Y221" i="41" a="1"/>
  <c r="Y1762" i="41" a="1"/>
  <c r="Y2493" i="41" a="1"/>
  <c r="Y2052" i="41" a="1"/>
  <c r="Y3093" i="41" a="1"/>
  <c r="Y2188" i="41" a="1"/>
  <c r="Y1772" i="41" a="1"/>
  <c r="Y138" i="41" a="1"/>
  <c r="Y1391" i="41" a="1"/>
  <c r="Y202" i="41" a="1"/>
  <c r="Y1476" i="41" a="1"/>
  <c r="Y271" i="41" a="1"/>
  <c r="Y2899" i="41" a="1"/>
  <c r="Y1431" i="41" a="1"/>
  <c r="Y2212" i="41" a="1"/>
  <c r="Y2744" i="41" a="1"/>
  <c r="Y188" i="41" a="1"/>
  <c r="Y2746" i="41" a="1"/>
  <c r="Y2685" i="41" a="1"/>
  <c r="Y2400" i="41" a="1"/>
  <c r="Y1799" i="41" a="1"/>
  <c r="Y2544" i="41" a="1"/>
  <c r="Y272" i="41" a="1"/>
  <c r="Y1192" i="41" a="1"/>
  <c r="Y1518" i="41" a="1"/>
  <c r="Y2406" i="41" a="1"/>
  <c r="Y1591" i="41" a="1"/>
  <c r="Y3150" i="41" a="1"/>
  <c r="Y1688" i="41" a="1"/>
  <c r="Y3012" i="41" a="1"/>
  <c r="Y1821" i="41" a="1"/>
  <c r="Y2813" i="41" a="1"/>
  <c r="Y364" i="41" a="1"/>
  <c r="Y2256" i="41" a="1"/>
  <c r="Y7" i="41" a="1"/>
  <c r="Y2534" i="41" a="1"/>
  <c r="Y145" i="41" a="1"/>
  <c r="Y2678" i="41" a="1"/>
  <c r="Y1374" i="41" a="1"/>
  <c r="Y2262" i="41" a="1"/>
  <c r="Y1447" i="41" a="1"/>
  <c r="Y2405" i="41" a="1"/>
  <c r="Y1544" i="41" a="1"/>
  <c r="Y2868" i="41" a="1"/>
  <c r="Y1677" i="41" a="1"/>
  <c r="Y2789" i="41" a="1"/>
  <c r="Y1654" i="41" a="1"/>
  <c r="Y71" i="41" a="1"/>
  <c r="Y824" i="41" a="1"/>
  <c r="Y3079" i="41" a="1"/>
  <c r="Y957" i="41" a="1"/>
  <c r="Y2392" i="41" a="1"/>
  <c r="Y1101" i="41" a="1"/>
  <c r="Y2536" i="41" a="1"/>
  <c r="Y731" i="41" a="1"/>
  <c r="Y1943" i="41" a="1"/>
  <c r="Y816" i="41" a="1"/>
  <c r="Y181" i="41" a="1"/>
  <c r="Y1117" i="41" a="1"/>
  <c r="Y20" i="41" a="1"/>
  <c r="Y1178" i="41" a="1"/>
  <c r="Y1266" i="41" a="1"/>
  <c r="Y1263" i="41" a="1"/>
  <c r="Y1339" i="41" a="1"/>
  <c r="Y397" i="41" a="1"/>
  <c r="Y113" i="41" a="1"/>
  <c r="Y458" i="41" a="1"/>
  <c r="Y546" i="41" a="1"/>
  <c r="Y602" i="41" a="1"/>
  <c r="Y690" i="41" a="1"/>
  <c r="Y448" i="41" a="1"/>
  <c r="Y716" i="41" a="1"/>
  <c r="Y2913" i="41" a="1"/>
  <c r="Y849" i="41" a="1"/>
  <c r="Y2459" i="41" a="1"/>
  <c r="Y826" i="41" a="1"/>
  <c r="Y2713" i="41" a="1"/>
  <c r="Y623" i="41" a="1"/>
  <c r="Y2787" i="41" a="1"/>
  <c r="Y708" i="41" a="1"/>
  <c r="Y902" i="41" a="1"/>
  <c r="Y343" i="41" a="1"/>
  <c r="Y2775" i="41" a="1"/>
  <c r="Y961" i="41" a="1"/>
  <c r="Y1025" i="41" a="1"/>
  <c r="Y1226" i="41" a="1"/>
  <c r="Y1189" i="41" a="1"/>
  <c r="Y964" i="41" a="1"/>
  <c r="Y1650" i="41" a="1"/>
  <c r="Y639" i="41" a="1"/>
  <c r="Y1723" i="41" a="1"/>
  <c r="Y1552" i="41" a="1"/>
  <c r="Y1393" i="41" a="1"/>
  <c r="Y940" i="41" a="1"/>
  <c r="Y1505" i="41" a="1"/>
  <c r="Y1929" i="41" a="1"/>
  <c r="Y455" i="41" a="1"/>
  <c r="Y2542" i="41" a="1"/>
  <c r="Y1055" i="41" a="1"/>
  <c r="Y3019" i="41" a="1"/>
  <c r="Y3097" i="41" a="1"/>
  <c r="Y2332" i="41" a="1"/>
  <c r="Y1738" i="41" a="1"/>
  <c r="Y64" i="41" a="1"/>
  <c r="Y1535" i="41" a="1"/>
  <c r="Y342" i="41" a="1"/>
  <c r="Y1649" i="41" a="1"/>
  <c r="Y1490" i="41" a="1"/>
  <c r="Y3043" i="41" a="1"/>
  <c r="Y1575" i="41" a="1"/>
  <c r="Y2785" i="41" a="1"/>
  <c r="Y2296" i="41" a="1"/>
  <c r="Y207" i="41" a="1"/>
  <c r="Y437" i="41" a="1"/>
  <c r="Y1363" i="41" a="1"/>
  <c r="Y1191" i="41" a="1"/>
  <c r="Y1760" i="41" a="1"/>
  <c r="Y1979" i="41" a="1"/>
  <c r="Y1007" i="41" a="1"/>
  <c r="Y3038" i="41" a="1"/>
  <c r="Y1092" i="41" a="1"/>
  <c r="Y729" i="41" a="1"/>
  <c r="Y2735" i="41" a="1"/>
  <c r="Y1796" i="41" a="1"/>
  <c r="Y158" i="41" a="1"/>
  <c r="Y1430" i="41" a="1"/>
  <c r="Y2170" i="41" a="1"/>
  <c r="Y1625" i="41" a="1"/>
  <c r="Y2194" i="41" a="1"/>
  <c r="Y249" i="41" a="1"/>
  <c r="Y1188" i="41" a="1"/>
  <c r="Y1782" i="41" a="1"/>
  <c r="Y1347" i="41" a="1"/>
  <c r="Y1797" i="41" a="1"/>
  <c r="Y2660" i="41" a="1"/>
  <c r="Y1774" i="41" a="1"/>
  <c r="Y2633" i="41" a="1"/>
  <c r="Y3025" i="41" a="1"/>
  <c r="Y222" i="41" a="1"/>
  <c r="Y3099" i="41" a="1"/>
  <c r="Y942" i="41" a="1"/>
  <c r="Y1109" i="41" a="1"/>
  <c r="Y1015" i="41" a="1"/>
  <c r="Y1973" i="41" a="1"/>
  <c r="Y1159" i="41" a="1"/>
  <c r="Y2117" i="41" a="1"/>
  <c r="Y1245" i="41" a="1"/>
  <c r="Y2680" i="41" a="1"/>
  <c r="Y1222" i="41" a="1"/>
  <c r="Y884" i="41" a="1"/>
  <c r="Y1019" i="41" a="1"/>
  <c r="Y2917" i="41" a="1"/>
  <c r="Y1104" i="41" a="1"/>
  <c r="Y182" i="41" a="1"/>
  <c r="Y1405" i="41" a="1"/>
  <c r="Y21" i="41" a="1"/>
  <c r="Y871" i="41" a="1"/>
  <c r="Y1829" i="41" a="1"/>
  <c r="Y968" i="41" a="1"/>
  <c r="Y3128" i="41" a="1"/>
  <c r="Y1112" i="41" a="1"/>
  <c r="Y2819" i="41" a="1"/>
  <c r="Y1078" i="41" a="1"/>
  <c r="Y1075" i="41" a="1"/>
  <c r="Y875" i="41" a="1"/>
  <c r="Y2292" i="41" a="1"/>
  <c r="Y960" i="41" a="1"/>
  <c r="Y38" i="41" a="1"/>
  <c r="Y1261" i="41" a="1"/>
  <c r="Y164" i="41" a="1"/>
  <c r="Y1322" i="41" a="1"/>
  <c r="Y1410" i="41" a="1"/>
  <c r="Y240" i="41" a="1"/>
  <c r="Y3065" i="41" a="1"/>
  <c r="Y541" i="41" a="1"/>
  <c r="Y257" i="41" a="1"/>
  <c r="Y685" i="41" a="1"/>
  <c r="Y114" i="41" a="1"/>
  <c r="Y687" i="41" a="1"/>
  <c r="Y763" i="41" a="1"/>
  <c r="Y592" i="41" a="1"/>
  <c r="Y860" i="41" a="1"/>
  <c r="Y3057" i="41" a="1"/>
  <c r="Y993" i="41" a="1"/>
  <c r="Y2603" i="41" a="1"/>
  <c r="Y970" i="41" a="1"/>
  <c r="Y2857" i="41" a="1"/>
  <c r="Y767" i="41" a="1"/>
  <c r="Y2337" i="41" a="1"/>
  <c r="Y2012" i="41" a="1"/>
  <c r="Y1883" i="41" a="1"/>
  <c r="Y2145" i="41" a="1"/>
  <c r="Y2027" i="41" a="1"/>
  <c r="Y394" i="41" a="1"/>
  <c r="Y3098" i="41" a="1"/>
  <c r="Y132" i="41" a="1"/>
  <c r="Y1600" i="41" a="1"/>
  <c r="Y433" i="41" a="1"/>
  <c r="Y2814" i="41" a="1"/>
  <c r="Y494" i="41" a="1"/>
  <c r="Y2479" i="41" a="1"/>
  <c r="Y579" i="41" a="1"/>
  <c r="Y1792" i="41" a="1"/>
  <c r="Y484" i="41" a="1"/>
  <c r="Y2327" i="41" a="1"/>
  <c r="Y1846" i="41" a="1"/>
  <c r="Y2465" i="41" a="1"/>
  <c r="Y1736" i="41" a="1"/>
  <c r="Y1306" i="41" a="1"/>
  <c r="Y1807" i="41" a="1"/>
  <c r="Y554" i="41" a="1"/>
  <c r="Y1354" i="41" a="1"/>
  <c r="Y2233" i="41" a="1"/>
  <c r="Y1151" i="41" a="1"/>
  <c r="Y2753" i="41" a="1"/>
  <c r="Y2278" i="41" a="1"/>
  <c r="Y1843" i="41" a="1"/>
  <c r="Y1661" i="41" a="1"/>
  <c r="Y1513" i="41" a="1"/>
  <c r="Y1187" i="41" a="1"/>
  <c r="Y905" i="41" a="1"/>
  <c r="Y1211" i="41" a="1"/>
  <c r="Y122" i="41" a="1"/>
  <c r="Y1247" i="41" a="1"/>
  <c r="Y58" i="41" a="1"/>
  <c r="Y1406" i="41" a="1"/>
  <c r="Y1808" i="41" a="1"/>
  <c r="Y1491" i="41" a="1"/>
  <c r="Y1941" i="41" a="1"/>
  <c r="Y806" i="41" a="1"/>
  <c r="Y1968" i="41" a="1"/>
  <c r="Y98" i="41" a="1"/>
  <c r="Y2246" i="41" a="1"/>
  <c r="Y189" i="41" a="1"/>
  <c r="Y68" i="41" a="1"/>
  <c r="Y2551" i="41" a="1"/>
  <c r="Y1878" i="41" a="1"/>
  <c r="Y395" i="41" a="1"/>
  <c r="Y57" i="41" a="1"/>
  <c r="Y1186" i="41" a="1"/>
  <c r="Y963" i="41" a="1"/>
  <c r="Y2796" i="41" a="1"/>
  <c r="Y2276" i="41" a="1"/>
  <c r="Y1770" i="41" a="1"/>
  <c r="Y2576" i="41" a="1"/>
  <c r="Y1212" i="41" a="1"/>
  <c r="Y256" i="41" a="1"/>
  <c r="Y1908" i="41" a="1"/>
  <c r="Y2949" i="41" a="1"/>
  <c r="Y1909" i="41" a="1"/>
  <c r="Y1059" i="41" a="1"/>
  <c r="Y1509" i="41" a="1"/>
  <c r="Y2372" i="41" a="1"/>
  <c r="Y1486" i="41" a="1"/>
  <c r="Y2941" i="41" a="1"/>
  <c r="Y1381" i="41" a="1"/>
  <c r="Y3015" i="41" a="1"/>
  <c r="Y1442" i="41" a="1"/>
  <c r="Y536" i="41" a="1"/>
  <c r="Y2791" i="41" a="1"/>
  <c r="Y669" i="41" a="1"/>
  <c r="Y2104" i="41" a="1"/>
  <c r="Y646" i="41" a="1"/>
  <c r="Y281" i="41" a="1"/>
  <c r="Y443" i="41" a="1"/>
  <c r="Y652" i="41" a="1"/>
  <c r="Y587" i="41" a="1"/>
  <c r="Y2829" i="41" a="1"/>
  <c r="Y829" i="41" a="1"/>
  <c r="Y258" i="41" a="1"/>
  <c r="Y890" i="41" a="1"/>
  <c r="Y978" i="41" a="1"/>
  <c r="Y975" i="41" a="1"/>
  <c r="Y1051" i="41" a="1"/>
  <c r="Y2288" i="41" a="1"/>
  <c r="Y1148" i="41" a="1"/>
  <c r="Y2290" i="41" a="1"/>
  <c r="Y1281" i="41" a="1"/>
  <c r="Y299" i="41" a="1"/>
  <c r="Y1035" i="41" a="1"/>
  <c r="Y384" i="41" a="1"/>
  <c r="Y25" i="41" a="1"/>
  <c r="Y528" i="41" a="1"/>
  <c r="Y170" i="41" a="1"/>
  <c r="Y746" i="41" a="1"/>
  <c r="Y834" i="41" a="1"/>
  <c r="Y831" i="41" a="1"/>
  <c r="Y907" i="41" a="1"/>
  <c r="Y2144" i="41" a="1"/>
  <c r="Y1004" i="41" a="1"/>
  <c r="Y2146" i="41" a="1"/>
  <c r="Y1137" i="41" a="1"/>
  <c r="Y2747" i="41" a="1"/>
  <c r="Y1114" i="41" a="1"/>
  <c r="Y1983" i="41" a="1"/>
  <c r="Y2059" i="41" a="1"/>
  <c r="Y2481" i="41" a="1"/>
  <c r="Y417" i="41" a="1"/>
  <c r="Y2625" i="41" a="1"/>
  <c r="Y561" i="41" a="1"/>
  <c r="Y2281" i="41" a="1"/>
  <c r="Y191" i="41" a="1"/>
  <c r="Y2355" i="41" a="1"/>
  <c r="Y276" i="41" a="1"/>
  <c r="Y365" i="41" a="1"/>
  <c r="Y577" i="41" a="1"/>
  <c r="Y2958" i="41" a="1"/>
  <c r="Y638" i="41" a="1"/>
  <c r="Y2623" i="41" a="1"/>
  <c r="Y723" i="41" a="1"/>
  <c r="Y1024" i="41" a="1"/>
  <c r="Y1428" i="41" a="1"/>
  <c r="Y2238" i="41" a="1"/>
  <c r="Y1729" i="41" a="1"/>
  <c r="Y2382" i="41" a="1"/>
  <c r="Y1885" i="41" a="1"/>
  <c r="Y2844" i="41" a="1"/>
  <c r="Y1875" i="41" a="1"/>
  <c r="Y2513" i="41" a="1"/>
  <c r="Y2373" i="41" a="1"/>
  <c r="Y935" i="41" a="1"/>
  <c r="Y1919" i="41" a="1"/>
  <c r="Y1865" i="41" a="1"/>
  <c r="Y2173" i="41" a="1"/>
  <c r="Y157" i="41" a="1"/>
  <c r="Y3134" i="41" a="1"/>
  <c r="Y2360" i="41" a="1"/>
  <c r="Y18" i="41" a="1"/>
  <c r="Y10" i="41" a="1"/>
  <c r="Y1712" i="41" a="1"/>
  <c r="Y753" i="41" a="1"/>
  <c r="Y551" i="41" a="1"/>
  <c r="Y1394" i="41" a="1"/>
  <c r="Y2506" i="41" a="1"/>
  <c r="Y2494" i="41" a="1"/>
  <c r="Y1608" i="41" a="1"/>
  <c r="Y1111" i="41" a="1"/>
  <c r="Y2606" i="41" a="1"/>
  <c r="Y2064" i="41" a="1"/>
  <c r="Y16" i="41" a="1"/>
  <c r="Y2231" i="41" a="1"/>
  <c r="Y2733" i="41" a="1"/>
  <c r="Y518" i="41" a="1"/>
  <c r="Y3143" i="41" a="1"/>
  <c r="Y2033" i="41" a="1"/>
  <c r="Y574" i="41" a="1"/>
  <c r="Y943" i="41" a="1"/>
  <c r="Y471" i="41" a="1"/>
  <c r="Y757" i="41" a="1"/>
  <c r="Y4" i="41" a="1"/>
  <c r="Y818" i="41" a="1"/>
  <c r="Y151" i="41" a="1"/>
  <c r="Y819" i="41" a="1"/>
  <c r="Y2999" i="41" a="1"/>
  <c r="Y1497" i="41" a="1"/>
  <c r="Y1113" i="41" a="1"/>
  <c r="Y1083" i="41" a="1"/>
  <c r="Y2982" i="41" a="1"/>
  <c r="Y617" i="41" a="1"/>
  <c r="Y1558" i="41" a="1"/>
  <c r="Y99" i="41" a="1"/>
  <c r="Y2399" i="41" a="1"/>
  <c r="Y792" i="41" a="1"/>
  <c r="Y3133" i="41" a="1"/>
  <c r="Y2435" i="41" a="1"/>
  <c r="Y2873" i="41" a="1"/>
  <c r="Y2689" i="41" a="1"/>
  <c r="Y606" i="41" a="1"/>
  <c r="Y1349" i="41" a="1"/>
  <c r="Y679" i="41" a="1"/>
  <c r="Y2743" i="41" a="1"/>
  <c r="Y2864" i="41" a="1"/>
  <c r="Y1724" i="41" a="1"/>
  <c r="Y2866" i="41" a="1"/>
  <c r="Y1857" i="41" a="1"/>
  <c r="Y1099" i="41" a="1"/>
  <c r="Y2924" i="41" a="1"/>
  <c r="Y1210" i="41" a="1"/>
  <c r="Y594" i="41" a="1"/>
  <c r="Y412" i="41" a="1"/>
  <c r="Y1375" i="41" a="1"/>
  <c r="Y1420" i="41" a="1"/>
  <c r="Y3045" i="41" a="1"/>
  <c r="Y1028" i="41" a="1"/>
  <c r="Y2591" i="41" a="1"/>
  <c r="Y1652" i="41" a="1"/>
  <c r="Y14" i="41" a="1"/>
  <c r="Y1286" i="41" a="1"/>
  <c r="Y2456" i="41" a="1"/>
  <c r="Y2895" i="41" a="1"/>
  <c r="Y321" i="41" a="1"/>
  <c r="Y105" i="41" a="1"/>
  <c r="Y3141" i="41" a="1"/>
  <c r="Y995" i="41" a="1"/>
  <c r="Y2687" i="41" a="1"/>
  <c r="Y1080" i="41" a="1"/>
  <c r="Y737" i="41" a="1"/>
  <c r="Y1239" i="41" a="1"/>
  <c r="Y1601" i="41" a="1"/>
  <c r="Y2552" i="41" a="1"/>
  <c r="Y358" i="41" a="1"/>
  <c r="Y3064" i="41" a="1"/>
  <c r="Y155" i="41" a="1"/>
  <c r="Y1235" i="41" a="1"/>
  <c r="Y75" i="41" a="1"/>
  <c r="Y3078" i="41" a="1"/>
  <c r="Y1271" i="41" a="1"/>
  <c r="Y3148" i="41" a="1"/>
  <c r="Y1653" i="41" a="1"/>
  <c r="Y1525" i="41" a="1"/>
  <c r="Y2935" i="41" a="1"/>
  <c r="Y1317" i="41" a="1"/>
  <c r="Y255" i="41" a="1"/>
  <c r="Y2396" i="41" a="1"/>
  <c r="Y1423" i="41" a="1"/>
  <c r="Y1154" i="41" a="1"/>
  <c r="Y1920" i="41" a="1"/>
  <c r="Y268" i="41" a="1"/>
  <c r="Y475" i="41" a="1"/>
  <c r="Y705" i="41" a="1"/>
  <c r="Y479" i="41" a="1"/>
  <c r="Y865" i="41" a="1"/>
  <c r="Y428" i="41" a="1"/>
  <c r="Y538" i="41" a="1"/>
  <c r="Y420" i="41" a="1"/>
  <c r="Y782" i="41" a="1"/>
  <c r="Y1572" i="41" a="1"/>
  <c r="Y1946" i="41" a="1"/>
  <c r="Y2517" i="41" a="1"/>
  <c r="Y1637" i="41" a="1"/>
  <c r="Y1872" i="41" a="1"/>
  <c r="Y869" i="41" a="1"/>
  <c r="Y955" i="41" a="1"/>
  <c r="Y2333" i="41" a="1"/>
  <c r="Y492" i="41" a="1"/>
  <c r="Y2159" i="41" a="1"/>
  <c r="Y1663" i="41" a="1"/>
  <c r="Y2345" i="41" a="1"/>
  <c r="Y2698" i="41" a="1"/>
  <c r="Y1047" i="41" a="1"/>
  <c r="Y2223" i="41" a="1"/>
  <c r="Y2065" i="41" a="1"/>
  <c r="Y469" i="41" a="1"/>
  <c r="Y2870" i="41" a="1"/>
  <c r="Y2697" i="41" a="1"/>
  <c r="Y2243" i="41" a="1"/>
  <c r="Y2691" i="41" a="1"/>
  <c r="Y2973" i="41" a="1"/>
  <c r="Y1081" i="41" a="1"/>
  <c r="Y1845" i="41" a="1"/>
  <c r="Y2677" i="41" a="1"/>
  <c r="Y2706" i="41" a="1"/>
  <c r="Y3125" i="41" a="1"/>
  <c r="Y830" i="41" a="1"/>
  <c r="Y1232" i="41" a="1"/>
  <c r="Y2754" i="41" a="1"/>
  <c r="Y568" i="41" a="1"/>
  <c r="Y318" i="41" a="1"/>
  <c r="Y2790" i="41" a="1"/>
  <c r="Y391" i="41" a="1"/>
  <c r="Y2455" i="41" a="1"/>
  <c r="Y310" i="41" a="1"/>
  <c r="Y156" i="41" a="1"/>
  <c r="Y107" i="41" a="1"/>
  <c r="Y2153" i="41" a="1"/>
  <c r="Y736" i="41" a="1"/>
  <c r="Y1140" i="41" a="1"/>
  <c r="Y1229" i="41" a="1"/>
  <c r="Y1441" i="41" a="1"/>
  <c r="Y900" i="41" a="1"/>
  <c r="Y799" i="41" a="1"/>
  <c r="Y1029" i="41" a="1"/>
  <c r="Y1231" i="41" a="1"/>
  <c r="Y2683" i="41" a="1"/>
  <c r="Y803" i="41" a="1"/>
  <c r="Y1061" i="41" a="1"/>
  <c r="Y1965" i="41" a="1"/>
  <c r="Y1626" i="41" a="1"/>
  <c r="Y1551" i="41" a="1"/>
  <c r="Y1068" i="41" a="1"/>
  <c r="Y112" i="41" a="1"/>
  <c r="Y2711" i="41" a="1"/>
  <c r="Y2180" i="41" a="1"/>
  <c r="Y1900" i="41" a="1"/>
  <c r="Y915" i="41" a="1"/>
  <c r="Y1365" i="41" a="1"/>
  <c r="Y449" i="41" a="1"/>
  <c r="Y951" i="41" a="1"/>
  <c r="Y3042" i="41" a="1"/>
  <c r="Y2264" i="41" a="1"/>
  <c r="Y2980" i="41" a="1"/>
  <c r="Y2833" i="41" a="1"/>
  <c r="Y1899" i="41" a="1"/>
  <c r="Y2907" i="41" a="1"/>
  <c r="Y1849" i="41" a="1"/>
  <c r="Y118" i="41" a="1"/>
  <c r="Y1910" i="41" a="1"/>
  <c r="Y2126" i="41" a="1"/>
  <c r="Y2283" i="41" a="1"/>
  <c r="Y939" i="41" a="1"/>
  <c r="Y2428" i="41" a="1"/>
  <c r="Y2291" i="41" a="1"/>
  <c r="Y3017" i="41" a="1"/>
  <c r="Y116" i="41" a="1"/>
  <c r="Y1299" i="41" a="1"/>
  <c r="Y2726" i="41" a="1"/>
  <c r="Y2477" i="41" a="1"/>
  <c r="Y2463" i="41" a="1"/>
  <c r="Y1077" i="41" a="1"/>
  <c r="Y2167" i="41" a="1"/>
  <c r="Y930" i="41" a="1"/>
  <c r="Y922" i="41" a="1"/>
  <c r="Y2823" i="41" a="1"/>
  <c r="Y1697" i="41" a="1"/>
  <c r="Y2404" i="41" a="1"/>
  <c r="Y2926" i="41" a="1"/>
  <c r="Y177" i="41" a="1"/>
  <c r="Y2947" i="41" a="1"/>
  <c r="Y44" i="41" a="1"/>
  <c r="Y194" i="41" a="1"/>
  <c r="Y1566" i="41" a="1"/>
  <c r="Y126" i="41" a="1"/>
  <c r="Y919" i="41" a="1"/>
  <c r="Y1149" i="41" a="1"/>
  <c r="Y1450" i="41" a="1"/>
  <c r="Y1445" i="41" a="1"/>
  <c r="Y1856" i="41" a="1"/>
  <c r="Y2006" i="41" a="1"/>
  <c r="Y1335" i="41" a="1"/>
  <c r="Y2016" i="41" a="1"/>
  <c r="Y229" i="41" a="1"/>
  <c r="Y2650" i="41" a="1"/>
  <c r="Y2859" i="41" a="1"/>
  <c r="Y2839" i="41" a="1"/>
  <c r="Y1473" i="41" a="1"/>
  <c r="Y1921" i="41" a="1"/>
  <c r="Y135" i="41" a="1"/>
  <c r="Y368" i="41" a="1"/>
  <c r="Y2908" i="41" a="1"/>
  <c r="Y1020" i="41" a="1"/>
  <c r="Y950" i="41" a="1"/>
  <c r="Y1173" i="41" a="1"/>
  <c r="Y1233" i="41" a="1"/>
  <c r="Y1963" i="41" a="1"/>
  <c r="Y2344" i="41" a="1"/>
  <c r="Y1197" i="41" a="1"/>
  <c r="Y858" i="41" a="1"/>
  <c r="Y783" i="41" a="1"/>
  <c r="Y1867" i="41" a="1"/>
  <c r="Y317" i="41" a="1"/>
  <c r="Y1537" i="41" a="1"/>
  <c r="Y2154" i="41" a="1"/>
  <c r="Y2611" i="41" a="1"/>
  <c r="Y1559" i="41" a="1"/>
  <c r="Y2393" i="41" a="1"/>
  <c r="Y2686" i="41" a="1"/>
  <c r="Y852" i="41" a="1"/>
  <c r="Y2340" i="41" a="1"/>
  <c r="Y2495" i="41" a="1"/>
  <c r="Y2058" i="41" a="1"/>
  <c r="Y1165" i="41" a="1"/>
  <c r="Y2201" i="41" a="1"/>
  <c r="Y2761" i="41" a="1"/>
  <c r="Y2000" i="41" a="1"/>
  <c r="Y1840" i="41" a="1"/>
  <c r="Y2133" i="41" a="1"/>
  <c r="Y655" i="41" a="1"/>
  <c r="Y1176" i="41" a="1"/>
  <c r="Y976" i="41" a="1"/>
  <c r="Y2433" i="41" a="1"/>
  <c r="Y1507" i="41" a="1"/>
  <c r="Y898" i="41" a="1"/>
  <c r="Y507" i="41" a="1"/>
  <c r="Y3060" i="41" a="1"/>
  <c r="Y2842" i="41" a="1"/>
  <c r="Y2596" i="41" a="1"/>
  <c r="Y2496" i="41" a="1"/>
  <c r="Y1352" i="41" a="1"/>
  <c r="Y2632" i="41" a="1"/>
  <c r="Y986" i="41" a="1"/>
  <c r="Y283" i="41" a="1"/>
  <c r="Y2595" i="41" a="1"/>
  <c r="Y1524" i="41" a="1"/>
  <c r="Y185" i="41" a="1"/>
  <c r="Y510" i="41" a="1"/>
  <c r="Y2050" i="41" a="1"/>
  <c r="Y1895" i="41" a="1"/>
  <c r="Y60" i="41" a="1"/>
  <c r="Y3095" i="41" a="1"/>
  <c r="Y2018" i="41" a="1"/>
  <c r="Y2737" i="41" a="1"/>
  <c r="Y2091" i="41" a="1"/>
  <c r="Y2705" i="41" a="1"/>
  <c r="Y2956" i="41" a="1"/>
  <c r="Y2338" i="41" a="1"/>
  <c r="Y1438" i="41" a="1"/>
  <c r="Y337" i="41" a="1"/>
  <c r="Y703" i="41" a="1"/>
  <c r="Y434" i="41" a="1"/>
  <c r="Y1460" i="41" a="1"/>
  <c r="Y1827" i="41" a="1"/>
  <c r="Y2981" i="41" a="1"/>
  <c r="Y1998" i="41" a="1"/>
  <c r="Y2472" i="41" a="1"/>
  <c r="Y598" i="41" a="1"/>
  <c r="Y72" i="41" a="1"/>
  <c r="Y2640" i="41" a="1"/>
  <c r="Y427" i="41" a="1"/>
  <c r="Y295" i="41" a="1"/>
  <c r="Y1027" i="41" a="1"/>
  <c r="Y1355" i="41" a="1"/>
  <c r="Y1741" i="41" a="1"/>
  <c r="Y1958" i="41" a="1"/>
  <c r="Y1931" i="41" a="1"/>
  <c r="Y3146" i="41" a="1"/>
  <c r="Y1670" i="41" a="1"/>
  <c r="Y1887" i="41" a="1"/>
  <c r="Y2712" i="41" a="1"/>
  <c r="Y1504" i="41" a="1"/>
  <c r="Y2270" i="41" a="1"/>
  <c r="Y928" i="41" a="1"/>
  <c r="Y2987" i="41" a="1"/>
  <c r="Y2172" i="41" a="1"/>
  <c r="Y719" i="41" a="1"/>
  <c r="Y725" i="41" a="1"/>
  <c r="Y2008" i="41" a="1"/>
  <c r="Y95" i="41" a="1"/>
  <c r="Y3077" i="41" a="1"/>
  <c r="Y2760" i="41" a="1"/>
  <c r="Y1076" i="41" a="1"/>
  <c r="Y660" i="41" a="1"/>
  <c r="Y2062" i="41" a="1"/>
  <c r="Y1667" i="41" a="1"/>
  <c r="Y2189" i="41" a="1"/>
  <c r="Y1904" i="41" a="1"/>
  <c r="Y1523" i="41" a="1"/>
  <c r="Y3147" i="41" a="1"/>
  <c r="Y714" i="41" a="1"/>
  <c r="Y2235" i="41" a="1"/>
  <c r="Y2995" i="41" a="1"/>
  <c r="Y2450" i="41" a="1"/>
  <c r="Y2752" i="41" a="1"/>
  <c r="Y2089" i="41" a="1"/>
  <c r="Y1835" i="41" a="1"/>
  <c r="Y2497" i="41" a="1"/>
  <c r="Y1800" i="41" a="1"/>
  <c r="Y2738" i="41" a="1"/>
  <c r="Y278" i="41" a="1"/>
  <c r="Y585" i="41" a="1"/>
  <c r="Y2774" i="41" a="1"/>
  <c r="Y1485" i="41" a="1"/>
  <c r="Y1795" i="41" a="1"/>
  <c r="Y1071" i="41" a="1"/>
  <c r="Y380" i="41" a="1"/>
  <c r="Y2575" i="41" a="1"/>
  <c r="Y1683" i="41" a="1"/>
  <c r="Y618" i="41" a="1"/>
  <c r="Y1392" i="41" a="1"/>
  <c r="Y691" i="41" a="1"/>
  <c r="Y2088" i="41" a="1"/>
  <c r="Y610" i="41" a="1"/>
  <c r="Y553" i="41" a="1"/>
  <c r="Y407" i="41" a="1"/>
  <c r="Y2149" i="41" a="1"/>
  <c r="Y3110" i="41" a="1"/>
  <c r="Y1296" i="41" a="1"/>
  <c r="Y1612" i="41" a="1"/>
  <c r="Y1597" i="41" a="1"/>
  <c r="Y1570" i="41" a="1"/>
  <c r="Y1243" i="41" a="1"/>
  <c r="Y1458" i="41" a="1"/>
  <c r="Y2594" i="41" a="1"/>
  <c r="Y959" i="41" a="1"/>
  <c r="Y862" i="41" a="1"/>
  <c r="Y1057" i="41" a="1"/>
  <c r="Y888" i="41" a="1"/>
  <c r="Y774" i="41" a="1"/>
  <c r="Y481" i="41" a="1"/>
  <c r="Y847" i="41" a="1"/>
  <c r="Y2748" i="41" a="1"/>
  <c r="Y517" i="41" a="1"/>
  <c r="Y2884" i="41" a="1"/>
  <c r="Y2113" i="41" a="1"/>
  <c r="Y1640" i="41" a="1"/>
  <c r="Y2920" i="41" a="1"/>
  <c r="Y2384" i="41" a="1"/>
  <c r="Y513" i="41" a="1"/>
  <c r="Y1469" i="41" a="1"/>
  <c r="Y1898" i="41" a="1"/>
  <c r="Y2863" i="41" a="1"/>
  <c r="Y1971" i="41" a="1"/>
  <c r="Y1238" i="41" a="1"/>
  <c r="Y2845" i="41" a="1"/>
  <c r="Y253" i="41" a="1"/>
  <c r="Y3028" i="41" a="1"/>
  <c r="Y841" i="41" a="1"/>
  <c r="Y274" i="41" a="1"/>
  <c r="Y1409" i="41" a="1"/>
  <c r="Y1244" i="41" a="1"/>
  <c r="Y306" i="41" a="1"/>
  <c r="Y925" i="41" a="1"/>
  <c r="Y2777" i="41" a="1"/>
  <c r="Y1659" i="41" a="1"/>
  <c r="Y2618" i="41" a="1"/>
  <c r="Y319" i="41" a="1"/>
  <c r="Y2936" i="41" a="1"/>
  <c r="Y1082" i="41" a="1"/>
  <c r="Y1679" i="41" a="1"/>
  <c r="Y2267" i="41" a="1"/>
  <c r="Y259" i="41" a="1"/>
  <c r="Y700" i="41" a="1"/>
  <c r="Y2476" i="41" a="1"/>
  <c r="Y1475" i="41" a="1"/>
  <c r="Y1873" i="41" a="1"/>
  <c r="Y2078" i="41" a="1"/>
  <c r="Y2051" i="41" a="1"/>
  <c r="Y2379" i="41" a="1"/>
  <c r="Y1790" i="41" a="1"/>
  <c r="Y2007" i="41" a="1"/>
  <c r="Y2161" i="41" a="1"/>
  <c r="Y1624" i="41" a="1"/>
  <c r="Y2390" i="41" a="1"/>
  <c r="Y1048" i="41" a="1"/>
  <c r="Y3107" i="41" a="1"/>
  <c r="Y562" i="41" a="1"/>
  <c r="Y1307" i="41" a="1"/>
  <c r="Y1660" i="41" a="1"/>
  <c r="Y813" i="41" a="1"/>
  <c r="Y2248" i="41" a="1"/>
  <c r="Y790" i="41" a="1"/>
  <c r="Y142" i="41" a="1"/>
  <c r="Y934" i="41" a="1"/>
  <c r="Y1290" i="41" a="1"/>
  <c r="Y672" i="41" a="1"/>
  <c r="Y37" i="41" a="1"/>
  <c r="Y973" i="41" a="1"/>
  <c r="Y115" i="41" a="1"/>
  <c r="Y1034" i="41" a="1"/>
  <c r="Y1122" i="41" a="1"/>
  <c r="Y1119" i="41" a="1"/>
  <c r="Y1195" i="41" a="1"/>
  <c r="Y2432" i="41" a="1"/>
  <c r="Y1292" i="41" a="1"/>
  <c r="Y1017" i="41" a="1"/>
  <c r="Y1992" i="41" a="1"/>
  <c r="Y73" i="41" a="1"/>
  <c r="Y2840" i="41" a="1"/>
  <c r="Y1781" i="41" a="1"/>
  <c r="Y1328" i="41" a="1"/>
  <c r="Y2341" i="41" a="1"/>
  <c r="Y2447" i="41" a="1"/>
  <c r="Y2724" i="41" a="1"/>
  <c r="Y785" i="41" a="1"/>
  <c r="Y1641" i="41" a="1"/>
  <c r="Y802" i="41" a="1"/>
  <c r="Y1227" i="41" a="1"/>
  <c r="Y1397" i="41" a="1"/>
  <c r="Y761" i="41" a="1"/>
  <c r="Y1067" i="41" a="1"/>
  <c r="Y1494" i="41" a="1"/>
  <c r="Y2543" i="41" a="1"/>
  <c r="Y936" i="41" a="1"/>
  <c r="Y2797" i="41" a="1"/>
  <c r="Y1237" i="41" a="1"/>
  <c r="Y1457" i="41" a="1"/>
  <c r="Y2408" i="41" a="1"/>
  <c r="Y2851" i="41" a="1"/>
  <c r="Y2410" i="41" a="1"/>
  <c r="Y2086" i="41" a="1"/>
  <c r="Y1465" i="41" a="1"/>
  <c r="Y96" i="41" a="1"/>
  <c r="Y3048" i="41" a="1"/>
  <c r="Y2460" i="41" a="1"/>
  <c r="Y741" i="41" a="1"/>
  <c r="Y2638" i="41" a="1"/>
  <c r="Y530" i="41" a="1"/>
  <c r="Y659" i="41" a="1"/>
  <c r="Y901" i="41" a="1"/>
  <c r="Y1377" i="41" a="1"/>
  <c r="Y797" i="41" a="1"/>
  <c r="Y1508" i="41" a="1"/>
  <c r="Y3109" i="41" a="1"/>
  <c r="Y1142" i="41" a="1"/>
  <c r="Y2312" i="41" a="1"/>
  <c r="Y2751" i="41" a="1"/>
  <c r="Y136" i="41" a="1"/>
  <c r="Y457" i="41" a="1"/>
  <c r="Y2997" i="41" a="1"/>
  <c r="Y851" i="41" a="1"/>
  <c r="Y2419" i="41" a="1"/>
  <c r="Y3033" i="41" a="1"/>
  <c r="Y1732" i="41" a="1"/>
  <c r="Y2579" i="41" a="1"/>
  <c r="Y30" i="41" a="1"/>
  <c r="Y629" i="41" a="1"/>
  <c r="Y750" i="41" a="1"/>
  <c r="Y1493" i="41" a="1"/>
  <c r="Y1695" i="41" a="1"/>
  <c r="Y1771" i="41" a="1"/>
  <c r="Y3020" i="41" a="1"/>
  <c r="Y1868" i="41" a="1"/>
  <c r="Y3010" i="41" a="1"/>
  <c r="Y2001" i="41" a="1"/>
  <c r="Y2664" i="41" a="1"/>
  <c r="Y1978" i="41" a="1"/>
  <c r="Y2137" i="41" a="1"/>
  <c r="Y47" i="41" a="1"/>
  <c r="Y1456" i="41" a="1"/>
  <c r="Y289" i="41" a="1"/>
  <c r="Y2670" i="41" a="1"/>
  <c r="Y350" i="41" a="1"/>
  <c r="Y2335" i="41" a="1"/>
  <c r="Y435" i="41" a="1"/>
  <c r="Y3139" i="41" a="1"/>
  <c r="Y340" i="41" a="1"/>
  <c r="Y2453" i="41" a="1"/>
  <c r="Y2805" i="41" a="1"/>
  <c r="Y2520" i="41" a="1"/>
  <c r="Y1834" i="41" a="1"/>
  <c r="Y2798" i="41" a="1"/>
  <c r="Y1631" i="41" a="1"/>
  <c r="Y2942" i="41" a="1"/>
  <c r="Y1775" i="41" a="1"/>
  <c r="Y2526" i="41" a="1"/>
  <c r="Y2029" i="41" a="1"/>
  <c r="Y2191" i="41" a="1"/>
  <c r="Y2090" i="41" a="1"/>
  <c r="Y3132" i="41" a="1"/>
  <c r="Y2163" i="41" a="1"/>
  <c r="Y2729" i="41" a="1"/>
  <c r="Y2661" i="41" a="1"/>
  <c r="Y601" i="41" a="1"/>
  <c r="Y2207" i="41" a="1"/>
  <c r="Y3142" i="41" a="1"/>
  <c r="Y1443" i="41" a="1"/>
  <c r="Y2656" i="41" a="1"/>
  <c r="Y2756" i="41" a="1"/>
  <c r="Y2800" i="41" a="1"/>
  <c r="Y2900" i="41" a="1"/>
  <c r="Y2415" i="41" a="1"/>
  <c r="Y2412" i="41" a="1"/>
  <c r="Y2" i="41" a="1"/>
  <c r="Y2690" i="41" a="1"/>
  <c r="Y90" i="41" a="1"/>
  <c r="Y1204" i="41" a="1"/>
  <c r="Y810" i="41" a="1"/>
  <c r="Y2418" i="41" a="1"/>
  <c r="Y883" i="41" a="1"/>
  <c r="Y2083" i="41" a="1"/>
  <c r="Y303" i="41" a="1"/>
  <c r="Y2967" i="41" a="1"/>
  <c r="Y94" i="41" a="1"/>
  <c r="Y977" i="41" a="1"/>
  <c r="Y238" i="41" a="1"/>
  <c r="Y1121" i="41" a="1"/>
  <c r="Y2035" i="41" a="1"/>
  <c r="Y3140" i="41" a="1"/>
  <c r="Y393" i="41" a="1"/>
  <c r="Y2548" i="41" a="1"/>
  <c r="Y370" i="41" a="1"/>
  <c r="Y787" i="41" a="1"/>
  <c r="Y167" i="41" a="1"/>
  <c r="Y2580" i="41" a="1"/>
  <c r="Y252" i="41" a="1"/>
  <c r="Y195" i="41" a="1"/>
  <c r="Y463" i="41" a="1"/>
  <c r="Y1994" i="41" a="1"/>
  <c r="Y752" i="41" a="1"/>
  <c r="Y456" i="41" a="1"/>
  <c r="Y1006" i="41" a="1"/>
  <c r="Y744" i="41" a="1"/>
  <c r="Y2904" i="41" a="1"/>
  <c r="Y1407" i="41" a="1"/>
  <c r="Y1555" i="41" a="1"/>
  <c r="Y941" i="41" a="1"/>
  <c r="Y1225" i="41" a="1"/>
  <c r="Y1534" i="41" a="1"/>
  <c r="Y2821" i="41" a="1"/>
  <c r="Y2850" i="41" a="1"/>
  <c r="Y3004" i="41" a="1"/>
  <c r="Y2084" i="41" a="1"/>
  <c r="Y1198" i="41" a="1"/>
  <c r="Y2898" i="41" a="1"/>
  <c r="Y2120" i="41" a="1"/>
  <c r="Y2563" i="41" a="1"/>
  <c r="Y2122" i="41" a="1"/>
  <c r="Y1826" i="41" a="1"/>
  <c r="Y2763" i="41" a="1"/>
  <c r="Y174" i="41" a="1"/>
  <c r="Y773" i="41" a="1"/>
  <c r="Y1766" i="41" a="1"/>
  <c r="Y1842" i="41" a="1"/>
  <c r="Y1839" i="41" a="1"/>
  <c r="Y1915" i="41" a="1"/>
  <c r="Y480" i="41" a="1"/>
  <c r="Y325" i="41" a="1"/>
  <c r="Y312" i="41" a="1"/>
  <c r="Y2736" i="41" a="1"/>
  <c r="Y376" i="41" a="1"/>
  <c r="Y2841" i="41" a="1"/>
  <c r="Y1580" i="41" a="1"/>
  <c r="Y1180" i="41" a="1"/>
  <c r="Y924" i="41" a="1"/>
  <c r="Y2519" i="41" a="1"/>
  <c r="Y2567" i="41" a="1"/>
  <c r="Y628" i="41" a="1"/>
  <c r="Y1756" i="41" a="1"/>
  <c r="Y913" i="41" a="1"/>
  <c r="Y1279" i="41" a="1"/>
  <c r="Y305" i="41" a="1"/>
  <c r="Y807" i="41" a="1"/>
  <c r="Y241" i="41" a="1"/>
  <c r="Y341" i="41" a="1"/>
  <c r="Y462" i="41" a="1"/>
  <c r="Y2934" i="41" a="1"/>
  <c r="Y477" i="41" a="1"/>
  <c r="Y2573" i="41" a="1"/>
  <c r="Y454" i="41" a="1"/>
  <c r="Y1452" i="41" a="1"/>
  <c r="Y2366" i="41" a="1"/>
  <c r="Y1199" i="41" a="1"/>
  <c r="Y880" i="41" a="1"/>
  <c r="Y1284" i="41" a="1"/>
  <c r="Y2094" i="41" a="1"/>
  <c r="Y1585" i="41" a="1"/>
  <c r="Y2237" i="41" a="1"/>
  <c r="Y1658" i="41" a="1"/>
  <c r="Y2381" i="41" a="1"/>
  <c r="Y1802" i="41" a="1"/>
  <c r="Y2944" i="41" a="1"/>
  <c r="Y2229" i="41" a="1"/>
  <c r="Y1282" i="41" a="1"/>
  <c r="Y3046" i="41" a="1"/>
  <c r="Y1289" i="41" a="1"/>
  <c r="Y2700" i="41" a="1"/>
  <c r="Y13" i="41" a="1"/>
  <c r="Y2978" i="41" a="1"/>
  <c r="Y91" i="41" a="1"/>
  <c r="Y1492" i="41" a="1"/>
  <c r="Y2093" i="41" a="1"/>
  <c r="Y1502" i="41" a="1"/>
  <c r="Y2939" i="41" a="1"/>
  <c r="Y1587" i="41" a="1"/>
  <c r="Y3083" i="41" a="1"/>
  <c r="Y1731" i="41" a="1"/>
  <c r="Y1737" i="41" a="1"/>
  <c r="Y2902" i="41" a="1"/>
  <c r="Y1516" i="41" a="1"/>
  <c r="Y2556" i="41" a="1"/>
  <c r="Y3" i="41" a="1"/>
  <c r="Y2834" i="41" a="1"/>
  <c r="Y234" i="41" a="1"/>
  <c r="Y1348" i="41" a="1"/>
  <c r="Y954" i="41" a="1"/>
  <c r="Y2562" i="41" a="1"/>
  <c r="Y242" i="41" a="1"/>
  <c r="Y3037" i="41" a="1"/>
  <c r="Y100" i="41" a="1"/>
  <c r="Y3111" i="41" a="1"/>
  <c r="Y244" i="41" a="1"/>
  <c r="Y772" i="41" a="1"/>
  <c r="Y307" i="41" a="1"/>
  <c r="Y1985" i="41" a="1"/>
  <c r="Y404" i="41" a="1"/>
  <c r="Y2831" i="41" a="1"/>
  <c r="Y537" i="41" a="1"/>
  <c r="Y2692" i="41" a="1"/>
  <c r="Y514" i="41" a="1"/>
  <c r="Y740" i="41" a="1"/>
  <c r="Y311" i="41" a="1"/>
  <c r="Y2570" i="41" a="1"/>
  <c r="Y1556" i="41" a="1"/>
  <c r="Y1972" i="41" a="1"/>
  <c r="Y1689" i="41" a="1"/>
  <c r="Y3029" i="41" a="1"/>
  <c r="Y1833" i="41" a="1"/>
  <c r="Y63" i="41" a="1"/>
  <c r="Y1463" i="41" a="1"/>
  <c r="Y193" i="41" a="1"/>
  <c r="Y1548" i="41" a="1"/>
  <c r="Y32" i="41" a="1"/>
  <c r="Y1861" i="41" a="1"/>
  <c r="Y1278" i="41" a="1"/>
  <c r="Y1922" i="41" a="1"/>
  <c r="Y1351" i="41" a="1"/>
  <c r="Y1995" i="41" a="1"/>
  <c r="Y1448" i="41" a="1"/>
  <c r="Y1966" i="41" a="1"/>
  <c r="Y1064" i="41" a="1"/>
  <c r="Y168" i="41" a="1"/>
  <c r="Y371" i="41" a="1"/>
  <c r="Y1955" i="41" a="1"/>
  <c r="Y615" i="41" a="1"/>
  <c r="Y520" i="41" a="1"/>
  <c r="Y2954" i="41" a="1"/>
  <c r="Y411" i="41" a="1"/>
  <c r="Y983" i="41" a="1"/>
  <c r="Y1324" i="41" a="1"/>
  <c r="Y2110" i="41" a="1"/>
  <c r="Y1258" i="41" a="1"/>
  <c r="Y2587" i="41" a="1"/>
  <c r="Y3006" i="41" a="1"/>
  <c r="Y1350" i="41" a="1"/>
  <c r="Y2439" i="41" a="1"/>
  <c r="Y866" i="41" a="1"/>
  <c r="Y1740" i="41" a="1"/>
  <c r="Y2475" i="41" a="1"/>
  <c r="Y40" i="41" a="1"/>
  <c r="Y485" i="41" a="1"/>
  <c r="Y488" i="41" a="1"/>
  <c r="Y1768" i="41" a="1"/>
  <c r="Y621" i="41" a="1"/>
  <c r="Y3016" i="41" a="1"/>
  <c r="Y2232" i="41" a="1"/>
  <c r="Y1546" i="41" a="1"/>
  <c r="Y2510" i="41" a="1"/>
  <c r="Y1343" i="41" a="1"/>
  <c r="Y111" i="41" a="1"/>
  <c r="Y2265" i="41" a="1"/>
  <c r="Y2055" i="41" a="1"/>
  <c r="Y2309" i="41" a="1"/>
  <c r="Y3014" i="41" a="1"/>
  <c r="Y1528" i="41" a="1"/>
  <c r="Y795" i="41" a="1"/>
  <c r="Y533" i="41" a="1"/>
  <c r="Y2108" i="41" a="1"/>
  <c r="Y2297" i="41" a="1"/>
  <c r="Y2922" i="41" a="1"/>
  <c r="Y2192" i="41" a="1"/>
  <c r="Y104" i="41" a="1"/>
  <c r="Y2853" i="41" a="1"/>
  <c r="Y707" i="41" a="1"/>
  <c r="Y2717" i="41" a="1"/>
  <c r="Y2401" i="41" a="1"/>
  <c r="Y1928" i="41" a="1"/>
  <c r="Y3089" i="41" a="1"/>
  <c r="Y2061" i="41" a="1"/>
  <c r="Y359" i="41" a="1"/>
  <c r="Y1632" i="41" a="1"/>
  <c r="Y211" i="41" a="1"/>
  <c r="Y1945" i="41" a="1"/>
  <c r="Y1218" i="41" a="1"/>
  <c r="Y3055" i="41" a="1"/>
  <c r="Y1155" i="41" a="1"/>
  <c r="Y2368" i="41" a="1"/>
  <c r="Y2468" i="41" a="1"/>
  <c r="Y499" i="41" a="1"/>
  <c r="Y2470" i="41" a="1"/>
  <c r="Y2663" i="41" a="1"/>
  <c r="Y2124" i="41" a="1"/>
  <c r="Y2629" i="41" a="1"/>
  <c r="Y2268" i="41" a="1"/>
  <c r="Y89" i="41" a="1"/>
  <c r="Y916" i="41" a="1"/>
  <c r="Y522" i="41" a="1"/>
  <c r="Y2130" i="41" a="1"/>
  <c r="Y595" i="41" a="1"/>
  <c r="Y2273" i="41" a="1"/>
  <c r="Y692" i="41" a="1"/>
  <c r="Y3119" i="41" a="1"/>
  <c r="Y825" i="41" a="1"/>
  <c r="Y2741" i="41" a="1"/>
  <c r="Y2350" i="41" a="1"/>
  <c r="Y1980" i="41" a="1"/>
  <c r="Y173" i="41" a="1"/>
  <c r="Y2258" i="41" a="1"/>
  <c r="Y121" i="41" a="1"/>
  <c r="Y2402" i="41" a="1"/>
  <c r="Y378" i="41" a="1"/>
  <c r="Y1265" i="41" a="1"/>
  <c r="Y451" i="41" a="1"/>
  <c r="Y2129" i="41" a="1"/>
  <c r="Y548" i="41" a="1"/>
  <c r="Y2975" i="41" a="1"/>
  <c r="Y681" i="41" a="1"/>
  <c r="Y2836" i="41" a="1"/>
  <c r="Y658" i="41" a="1"/>
  <c r="Y2036" i="41" a="1"/>
  <c r="Y1603" i="41" a="1"/>
  <c r="Y2803" i="41" a="1"/>
  <c r="Y1700" i="41" a="1"/>
  <c r="Y2116" i="41" a="1"/>
  <c r="Y1844" i="41" a="1"/>
  <c r="Y2260" i="41" a="1"/>
  <c r="Y1810" i="41" a="1"/>
  <c r="Y508" i="41" a="1"/>
  <c r="Y1607" i="41" a="1"/>
  <c r="Y50" i="41" a="1"/>
  <c r="Y1692" i="41" a="1"/>
  <c r="Y176" i="41" a="1"/>
  <c r="Y2005" i="41" a="1"/>
  <c r="Y1422" i="41" a="1"/>
  <c r="Y2066" i="41" a="1"/>
  <c r="Y1495" i="41" a="1"/>
  <c r="Y972" i="41" a="1"/>
  <c r="Y269" i="41" a="1"/>
  <c r="Y1273" i="41" a="1"/>
  <c r="Y702" i="41" a="1"/>
  <c r="Y1417" i="41" a="1"/>
  <c r="Y846" i="41" a="1"/>
  <c r="Y1419" i="41" a="1"/>
  <c r="Y872" i="41" a="1"/>
  <c r="Y2732" i="41" a="1"/>
  <c r="Y1005" i="41" a="1"/>
  <c r="Y2734" i="41" a="1"/>
  <c r="Y982" i="41" a="1"/>
  <c r="Y2388" i="41" a="1"/>
  <c r="Y779" i="41" a="1"/>
  <c r="Y2666" i="41" a="1"/>
  <c r="Y864" i="41" a="1"/>
  <c r="Y486" i="41" a="1"/>
  <c r="Y1893" i="41" a="1"/>
  <c r="Y1464" i="41" a="1"/>
  <c r="Y1013" i="41" a="1"/>
  <c r="Y667" i="41" a="1"/>
  <c r="Y2026" i="41" a="1"/>
  <c r="Y2750" i="41" a="1"/>
  <c r="Y2757" i="41" a="1"/>
  <c r="Y2535" i="41" a="1"/>
  <c r="Y2204" i="41" a="1"/>
  <c r="Y1032" i="41" a="1"/>
  <c r="Y2662" i="41" a="1"/>
  <c r="Y1749" i="41" a="1"/>
  <c r="Y1623" i="41" a="1"/>
  <c r="Y1506" i="41" a="1"/>
  <c r="Y1748" i="41" a="1"/>
  <c r="Y2584" i="41" a="1"/>
  <c r="Y1628" i="41" a="1"/>
  <c r="Y22" i="41" a="1"/>
  <c r="Y1890" i="41" a="1"/>
  <c r="Y1519" i="41" a="1"/>
  <c r="Y2952" i="41" a="1"/>
  <c r="Y908" i="41" a="1"/>
  <c r="Y2945" i="41" a="1"/>
  <c r="Y542" i="41" a="1"/>
  <c r="Y944" i="41" a="1"/>
  <c r="Y3026" i="41" a="1"/>
  <c r="Y578" i="41" a="1"/>
  <c r="Y1858" i="41" a="1"/>
  <c r="Y3074" i="41" a="1"/>
  <c r="Y1259" i="41" a="1"/>
  <c r="Y208" i="41" a="1"/>
  <c r="Y2386" i="41" a="1"/>
  <c r="Y490" i="41" a="1"/>
  <c r="Y2040" i="41" a="1"/>
  <c r="Y287" i="41" a="1"/>
  <c r="Y1037" i="41" a="1"/>
  <c r="Y446" i="41" a="1"/>
  <c r="Y1901" i="41" a="1"/>
  <c r="Y531" i="41" a="1"/>
  <c r="Y1268" i="41" a="1"/>
  <c r="Y1684" i="41" a="1"/>
  <c r="Y1401" i="41" a="1"/>
  <c r="Y2837" i="41" a="1"/>
  <c r="Y780" i="41" a="1"/>
  <c r="Y2448" i="41" a="1"/>
  <c r="Y1811" i="41" a="1"/>
  <c r="Y2728" i="41" a="1"/>
  <c r="Y2454" i="41" a="1"/>
  <c r="Y1014" i="41" a="1"/>
  <c r="Y2119" i="41" a="1"/>
  <c r="Y2877" i="41" a="1"/>
  <c r="Y1425" i="41" a="1"/>
  <c r="Y2423" i="41" a="1"/>
  <c r="Y1011" i="41" a="1"/>
  <c r="Y3062" i="41" a="1"/>
  <c r="Y769" i="41" a="1"/>
  <c r="Y1135" i="41" a="1"/>
  <c r="Y2365" i="41" a="1"/>
  <c r="Y805" i="41" a="1"/>
  <c r="Y2860" i="41" a="1"/>
  <c r="Y1576" i="41" a="1"/>
  <c r="Y1750" i="41" a="1"/>
  <c r="Y2847" i="41" a="1"/>
  <c r="Y1547" i="41" a="1"/>
  <c r="Y133" i="41" a="1"/>
  <c r="Y1718" i="41" a="1"/>
  <c r="Y1003" i="41" a="1"/>
  <c r="Y1791" i="41" a="1"/>
  <c r="Y1100" i="41" a="1"/>
  <c r="Y292" i="41" a="1"/>
  <c r="Y2182" i="41" a="1"/>
  <c r="Y2682" i="41" a="1"/>
  <c r="Y1622" i="41" a="1"/>
  <c r="Y1107" i="41" a="1"/>
  <c r="Y2394" i="41" a="1"/>
  <c r="Y1118" i="41" a="1"/>
  <c r="Y1884" i="41" a="1"/>
  <c r="Y583" i="41" a="1"/>
  <c r="Y2490" i="41" a="1"/>
  <c r="Y56" i="41" a="1"/>
  <c r="Y438" i="41" a="1"/>
  <c r="Y3008" i="41" a="1"/>
  <c r="Y327" i="41" a="1"/>
  <c r="Y2653" i="41" a="1"/>
  <c r="Y2707" i="41" a="1"/>
  <c r="Y1739" i="41" a="1"/>
  <c r="Y314" i="41" a="1"/>
  <c r="Y543" i="41" a="1"/>
  <c r="Y2315" i="41" a="1"/>
  <c r="Y2643" i="41" a="1"/>
  <c r="Y2054" i="41" a="1"/>
  <c r="Y304" i="41" a="1"/>
  <c r="Y2425" i="41" a="1"/>
  <c r="Y509" i="41" a="1"/>
  <c r="Y2654" i="41" a="1"/>
  <c r="Y1312" i="41" a="1"/>
  <c r="Y2988" i="41" a="1"/>
  <c r="Y732" i="41" a="1"/>
  <c r="Y2648" i="41" a="1"/>
  <c r="Y643" i="41" a="1"/>
  <c r="Y2014" i="41" a="1"/>
  <c r="Y468" i="41" a="1"/>
  <c r="Y1745" i="41" a="1"/>
  <c r="Y636" i="41" a="1"/>
  <c r="Y2886" i="41" a="1"/>
  <c r="Y926" i="41" a="1"/>
  <c r="Y2009" i="41" a="1"/>
  <c r="Y2765" i="41" a="1"/>
  <c r="Y891" i="41" a="1"/>
  <c r="Y1250" i="41" a="1"/>
  <c r="Y1346" i="41" a="1"/>
  <c r="Y1314" i="41" a="1"/>
  <c r="Y69" i="41" a="1"/>
  <c r="Y1923" i="41" a="1"/>
  <c r="Y586" i="41" a="1"/>
  <c r="Y1040" i="41" a="1"/>
  <c r="Y1103" i="41" a="1"/>
  <c r="Y947" i="41" a="1"/>
  <c r="Y198" i="41" a="1"/>
  <c r="Y324" i="41" a="1"/>
  <c r="Y918" i="41" a="1"/>
  <c r="Y1967" i="41" a="1"/>
  <c r="Y360" i="41" a="1"/>
  <c r="Y2784" i="41" a="1"/>
  <c r="Y2003" i="41" a="1"/>
  <c r="Y1687" i="41" a="1"/>
  <c r="Y2820" i="41" a="1"/>
  <c r="Y1215" i="41" a="1"/>
  <c r="Y524" i="41" a="1"/>
  <c r="Y749" i="41" a="1"/>
  <c r="Y1981" i="41" a="1"/>
  <c r="Y1613" i="41" a="1"/>
  <c r="Y2042" i="41" a="1"/>
  <c r="Y61" i="41" a="1"/>
  <c r="Y1871" i="41" a="1"/>
  <c r="Y1179" i="41" a="1"/>
  <c r="Y2989" i="41" a="1"/>
  <c r="Y684" i="41" a="1"/>
  <c r="Y280" i="41" a="1"/>
  <c r="Y985" i="41" a="1"/>
  <c r="Y414" i="41" a="1"/>
  <c r="Y1656" i="41" a="1"/>
  <c r="Y2021" i="41" a="1"/>
  <c r="Y2166" i="41" a="1"/>
  <c r="Y213" i="41" a="1"/>
  <c r="Y791" i="41" a="1"/>
  <c r="Y1721" i="41" a="1"/>
  <c r="Y219" i="41" a="1"/>
  <c r="Y1564" i="41" a="1"/>
  <c r="Y1581" i="41" a="1"/>
  <c r="Y2778" i="41" a="1"/>
  <c r="Y1167" i="41" a="1"/>
  <c r="Y199" i="41" a="1"/>
  <c r="Y2709" i="41" a="1"/>
  <c r="Y563" i="41" a="1"/>
  <c r="Y2131" i="41" a="1"/>
  <c r="Y2745" i="41" a="1"/>
  <c r="Y1784" i="41" a="1"/>
  <c r="Y2993" i="41" a="1"/>
  <c r="Y1418" i="41" a="1"/>
  <c r="Y715" i="41" a="1"/>
  <c r="Y1503" i="41" a="1"/>
  <c r="Y812" i="41" a="1"/>
  <c r="Y2184" i="41" a="1"/>
  <c r="Y431" i="41" a="1"/>
  <c r="Y2462" i="41" a="1"/>
  <c r="Y516" i="41" a="1"/>
  <c r="Y284" i="41" a="1"/>
  <c r="Y545" i="41" a="1"/>
  <c r="Y1646" i="41" a="1"/>
  <c r="Y2310" i="41" a="1"/>
  <c r="Y677" i="41" a="1"/>
  <c r="Y532" i="41" a="1"/>
  <c r="Y1975" i="41" a="1"/>
  <c r="Y1691" i="41" a="1"/>
  <c r="Y1805" i="41" a="1"/>
  <c r="Y464" i="41" a="1"/>
  <c r="Y1372" i="41" a="1"/>
  <c r="Y215" i="41" a="1"/>
  <c r="Y857" i="41" a="1"/>
  <c r="Y1540" i="41" a="1"/>
  <c r="Y1344" i="41" a="1"/>
  <c r="Y2816" i="41" a="1"/>
  <c r="Y2140" i="41" a="1"/>
  <c r="Y285" i="41" a="1"/>
  <c r="Y1962" i="41" a="1"/>
  <c r="Y2121" i="41" a="1"/>
  <c r="Y108" i="41" a="1"/>
  <c r="Y1674" i="41" a="1"/>
  <c r="Y1891" i="41" a="1"/>
  <c r="Y1954" i="41" a="1"/>
  <c r="Y1836" i="41" a="1"/>
  <c r="Y1031" i="41" a="1"/>
  <c r="Y1260" i="41" a="1"/>
  <c r="Y1563" i="41" a="1"/>
  <c r="Y2878" i="41" a="1"/>
  <c r="Y3003" i="41" a="1"/>
  <c r="Y2037" i="41" a="1"/>
  <c r="Y2160" i="41" a="1"/>
  <c r="Y620" i="41" a="1"/>
  <c r="Y612" i="41" a="1"/>
  <c r="Y2891" i="41" a="1"/>
  <c r="Y1734" i="41" a="1"/>
  <c r="Y2950" i="41" a="1"/>
  <c r="Y776" i="41" a="1"/>
  <c r="Y3047" i="41" a="1"/>
  <c r="Y351" i="41" a="1"/>
  <c r="Y1170" i="41" a="1"/>
  <c r="Y355" i="41" a="1"/>
  <c r="Y2806" i="41" a="1"/>
  <c r="Y2675" i="41" a="1"/>
  <c r="Y3117" i="41" a="1"/>
  <c r="Y1446" i="41" a="1"/>
  <c r="Y5" i="41" a="1"/>
  <c r="Y651" i="41" a="1"/>
  <c r="Y2132" i="41" a="1"/>
  <c r="Y2896" i="41" a="1"/>
  <c r="Y2134" i="41" a="1"/>
  <c r="Y1699" i="41" a="1"/>
  <c r="Y1517" i="41" a="1"/>
  <c r="Y1369" i="41" a="1"/>
  <c r="Y1678" i="41" a="1"/>
  <c r="Y2965" i="41" a="1"/>
  <c r="Y2227" i="41" a="1"/>
  <c r="Y29" i="41" a="1"/>
  <c r="Y2228" i="41" a="1"/>
  <c r="Y1342" i="41" a="1"/>
  <c r="Y2230" i="41" a="1"/>
  <c r="Y1139" i="41" a="1"/>
  <c r="Y2871" i="41" a="1"/>
  <c r="Y1298" i="41" a="1"/>
  <c r="Y881" i="41" a="1"/>
  <c r="Y1383" i="41" a="1"/>
  <c r="Y525" i="41" a="1"/>
  <c r="Y1960" i="41" a="1"/>
  <c r="Y502" i="41" a="1"/>
  <c r="Y2921" i="41" a="1"/>
  <c r="Y1877" i="41" a="1"/>
  <c r="Y1592" i="41" a="1"/>
  <c r="Y2811" i="41" a="1"/>
  <c r="Y2218" i="41" a="1"/>
  <c r="Y2045" i="41" a="1"/>
  <c r="Y1918" i="41" a="1"/>
  <c r="Y886" i="41" a="1"/>
  <c r="Y1521" i="41" a="1"/>
  <c r="Y2123" i="41" a="1"/>
  <c r="Y1498" i="41" a="1"/>
  <c r="Y2940" i="41" a="1"/>
  <c r="Y2420" i="41" a="1"/>
  <c r="Y1914" i="41" a="1"/>
  <c r="Y2720" i="41" a="1"/>
  <c r="Y1356" i="41" a="1"/>
  <c r="Y106" i="41" a="1"/>
  <c r="Y3039" i="41" a="1"/>
  <c r="Y130" i="41" a="1"/>
  <c r="Y1682" i="41" a="1"/>
  <c r="Y1594" i="41" a="1"/>
  <c r="Y123" i="41" a="1"/>
  <c r="Y1489" i="41" a="1"/>
  <c r="Y1855" i="41" a="1"/>
  <c r="Y1550" i="41" a="1"/>
  <c r="Y1952" i="41" a="1"/>
  <c r="Y2597" i="41" a="1"/>
  <c r="Y2458" i="41" a="1"/>
  <c r="Y603" i="41" a="1"/>
  <c r="Y1340" i="41" a="1"/>
  <c r="Y515" i="41" a="1"/>
  <c r="Y398" i="41" a="1"/>
  <c r="Y2169" i="41" a="1"/>
  <c r="Y2242" i="41" a="1"/>
  <c r="Y2032" i="41" a="1"/>
  <c r="Y187" i="41" a="1"/>
  <c r="Y843" i="41" a="1"/>
  <c r="Y2306" i="41" a="1"/>
  <c r="Y2604" i="41" a="1"/>
  <c r="Y1496" i="41" a="1"/>
  <c r="Y1325" i="41" a="1"/>
  <c r="Y762" i="41" a="1"/>
  <c r="Y754" i="41" a="1"/>
  <c r="Y2367" i="41" a="1"/>
  <c r="Y2970" i="41" a="1"/>
  <c r="Y1948" i="41" a="1"/>
  <c r="Y1526" i="41" a="1"/>
  <c r="Y297" i="41" a="1"/>
  <c r="Y2491" i="41" a="1"/>
  <c r="Y3052" i="41" a="1"/>
  <c r="Y27" i="41" a="1"/>
  <c r="Y1686" i="41" a="1"/>
  <c r="Y246" i="41" a="1"/>
  <c r="Y1039" i="41" a="1"/>
  <c r="Y1269" i="41" a="1"/>
  <c r="Y2586" i="41" a="1"/>
  <c r="Y582" i="41" a="1"/>
  <c r="Y1313" i="41" a="1"/>
  <c r="Y192" i="41" a="1"/>
  <c r="Y415" i="41" a="1"/>
  <c r="Y2391" i="41" a="1"/>
  <c r="Y1466" i="41" a="1"/>
  <c r="Y2346" i="41" a="1"/>
  <c r="Y2929" i="41" a="1"/>
  <c r="Y1589" i="41" a="1"/>
  <c r="Y1052" i="41" a="1"/>
  <c r="Y1864" i="41" a="1"/>
  <c r="Y85" i="41" a="1"/>
  <c r="Y2316" i="41" a="1"/>
  <c r="Y1767" i="41" a="1"/>
  <c r="Y2794" i="41" a="1"/>
  <c r="Y1291" i="41" a="1"/>
  <c r="Y148" i="41" a="1"/>
  <c r="Y1106" i="41" a="1"/>
  <c r="Y614" i="41" a="1"/>
  <c r="Y1436" i="41" a="1"/>
  <c r="Y1777" i="41" a="1"/>
  <c r="Y279" i="41" a="1"/>
  <c r="Y781" i="41" a="1"/>
  <c r="Y70" i="41" a="1"/>
  <c r="Y2377" i="41" a="1"/>
  <c r="Y1295" i="41" a="1"/>
  <c r="Y2825" i="41" a="1"/>
  <c r="Y2422" i="41" a="1"/>
  <c r="Y1987" i="41" a="1"/>
  <c r="Y2767" i="41" a="1"/>
  <c r="Y1515" i="41" a="1"/>
  <c r="Y2647" i="41" a="1"/>
  <c r="Y1049" i="41" a="1"/>
  <c r="Y1008" i="41" a="1"/>
  <c r="Y1913" i="41" a="1"/>
  <c r="Y2651" i="41" a="1"/>
  <c r="Y426" i="41" a="1"/>
  <c r="Y2049" i="41" a="1"/>
  <c r="Y2206" i="41" a="1"/>
  <c r="Y3063" i="41" a="1"/>
  <c r="Y1416" i="41" a="1"/>
  <c r="Y1073" i="41" a="1"/>
  <c r="Y1717" i="41" a="1"/>
  <c r="Y83" i="41" a="1"/>
  <c r="Y967" i="41" a="1"/>
  <c r="Y649" i="41" a="1"/>
  <c r="Y1209" i="41" a="1"/>
  <c r="Y1321" i="41" a="1"/>
  <c r="Y501" i="41" a="1"/>
  <c r="Y200" i="41" a="1"/>
  <c r="Y1527" i="41" a="1"/>
  <c r="Y17" i="41" a="1"/>
  <c r="Y1205" i="41" a="1"/>
  <c r="Y1326" i="41" a="1"/>
  <c r="Y2069" i="41" a="1"/>
  <c r="Y768" i="41" a="1"/>
  <c r="Y220" i="41" a="1"/>
  <c r="Y2411" i="41" a="1"/>
  <c r="Y1786" i="41" a="1"/>
  <c r="Y3145" i="41" a="1"/>
  <c r="Y2708" i="41" a="1"/>
  <c r="Y345" i="41" a="1"/>
  <c r="Y140" i="41" a="1"/>
  <c r="Y1730" i="41" a="1"/>
  <c r="Y2627" i="41" a="1"/>
  <c r="Y1803" i="41" a="1"/>
  <c r="Y1816" i="41" a="1"/>
  <c r="Y2484" i="41" a="1"/>
  <c r="Y2461" i="41" a="1"/>
  <c r="Y2762" i="41" a="1"/>
  <c r="Y2933" i="41" a="1"/>
  <c r="Y390" i="41" a="1"/>
  <c r="Y701" i="41" a="1"/>
  <c r="Y2616" i="41" a="1"/>
  <c r="Y1742" i="41" a="1"/>
  <c r="Y1925" i="41" a="1"/>
  <c r="Y214" i="41" a="1"/>
  <c r="Y2566" i="41" a="1"/>
  <c r="Y1672" i="41" a="1"/>
  <c r="Y2897" i="41" a="1"/>
  <c r="Y1421" i="41" a="1"/>
  <c r="Y1033" i="41" a="1"/>
  <c r="Y1996" i="41" a="1"/>
  <c r="Y1642" i="41" a="1"/>
  <c r="Y2434" i="41" a="1"/>
  <c r="Y1710" i="41" a="1"/>
  <c r="Y2060" i="41" a="1"/>
  <c r="Y724" i="41" a="1"/>
  <c r="Y2081" i="41" a="1"/>
  <c r="Y2788" i="41" a="1"/>
  <c r="Y3135" i="41" a="1"/>
  <c r="Y226" i="41" a="1"/>
  <c r="Y3130" i="41" a="1"/>
  <c r="Y596" i="41" a="1"/>
  <c r="Y291" i="41" a="1"/>
  <c r="Y1950" i="41" a="1"/>
  <c r="Y223" i="41" a="1"/>
  <c r="Y1303" i="41" a="1"/>
  <c r="Y1533" i="41" a="1"/>
  <c r="Y2063" i="41" a="1"/>
  <c r="Y2395" i="41" a="1"/>
  <c r="Y2317" i="41" a="1"/>
  <c r="Y2512" i="41" a="1"/>
  <c r="Y2612" i="41" a="1"/>
  <c r="Y1939" i="41" a="1"/>
  <c r="Y2614" i="41" a="1"/>
  <c r="Y1892" i="41" a="1"/>
  <c r="Y2758" i="41" a="1"/>
  <c r="Y11" i="41" a="1"/>
  <c r="Y2546" i="41" a="1"/>
  <c r="Y233" i="41" a="1"/>
  <c r="Y1060" i="41" a="1"/>
  <c r="Y666" i="41" a="1"/>
  <c r="Y2274" i="41" a="1"/>
  <c r="Y739" i="41" a="1"/>
  <c r="Y2417" i="41" a="1"/>
  <c r="Y836" i="41" a="1"/>
  <c r="Y2880" i="41" a="1"/>
  <c r="Y2112" i="41" a="1"/>
  <c r="Y2135" i="41" a="1"/>
  <c r="Y2582" i="41" a="1"/>
  <c r="Y2592" i="41" a="1"/>
  <c r="Y1426" i="41" a="1"/>
  <c r="Y3054" i="41" a="1"/>
  <c r="Y896" i="41" a="1"/>
  <c r="Y2916" i="41" a="1"/>
  <c r="Y2279" i="41" a="1"/>
  <c r="Y867" i="41" a="1"/>
  <c r="Y2533" i="41" a="1"/>
  <c r="Y401" i="41" a="1"/>
  <c r="Y2909" i="41" a="1"/>
  <c r="Y686" i="41" a="1"/>
  <c r="Y1088" i="41" a="1"/>
  <c r="Y2295" i="41" a="1"/>
  <c r="Y722" i="41" a="1"/>
  <c r="Y178" i="41" a="1"/>
  <c r="Y2646" i="41" a="1"/>
  <c r="Y1403" i="41" a="1"/>
  <c r="Y9" i="41" a="1"/>
  <c r="Y1488" i="41" a="1"/>
  <c r="Y67" i="41" a="1"/>
  <c r="Y1647" i="41" a="1"/>
  <c r="Y956" i="41" a="1"/>
  <c r="Y2960" i="41" a="1"/>
  <c r="Y1089" i="41" a="1"/>
  <c r="Y1611" i="41" a="1"/>
  <c r="Y2639" i="41" a="1"/>
  <c r="Y3149" i="41" a="1"/>
  <c r="Y2893" i="41" a="1"/>
  <c r="Y1765" i="41" a="1"/>
  <c r="Y2200" i="41" a="1"/>
  <c r="Y2440" i="41" a="1"/>
  <c r="Y2867" i="41" a="1"/>
  <c r="Y1531" i="41" a="1"/>
  <c r="Y28" i="41" a="1"/>
  <c r="Y166" i="41" a="1"/>
  <c r="Y1590" i="41" a="1"/>
  <c r="Y2155" i="41" a="1"/>
  <c r="Y413" i="41" a="1"/>
  <c r="Y3096" i="41" a="1"/>
  <c r="Y625" i="41" a="1"/>
  <c r="Y991" i="41" a="1"/>
  <c r="Y2221" i="41" a="1"/>
  <c r="Y661" i="41" a="1"/>
  <c r="Y2645" i="41" a="1"/>
  <c r="Y2257" i="41" a="1"/>
  <c r="Y1606" i="41" a="1"/>
  <c r="Y3061" i="41" a="1"/>
  <c r="Y2528" i="41" a="1"/>
  <c r="Y657" i="41" a="1"/>
  <c r="Y2530" i="41" a="1"/>
  <c r="Y634" i="41" a="1"/>
  <c r="Y688" i="41" a="1"/>
  <c r="Y529" i="41" a="1"/>
  <c r="Y1181" i="41" a="1"/>
  <c r="Y590" i="41" a="1"/>
  <c r="Y1315" i="41" a="1"/>
  <c r="Y2515" i="41" a="1"/>
  <c r="Y1412" i="41" a="1"/>
  <c r="Y1828" i="41" a="1"/>
  <c r="Y1545" i="41" a="1"/>
  <c r="Y3076" i="41" a="1"/>
  <c r="Y1522" i="41" a="1"/>
  <c r="Y662" i="41" a="1"/>
  <c r="Y1666" i="41" a="1"/>
  <c r="Y459" i="41" a="1"/>
  <c r="Y1404" i="41" a="1"/>
  <c r="Y127" i="41" a="1"/>
  <c r="Y1705" i="41" a="1"/>
  <c r="Y1134" i="41" a="1"/>
  <c r="Y1778" i="41" a="1"/>
  <c r="Y1207" i="41" a="1"/>
  <c r="Y1851" i="41" a="1"/>
  <c r="Y1304" i="41" a="1"/>
  <c r="Y2349" i="41" a="1"/>
  <c r="Y1437" i="41" a="1"/>
  <c r="Y1378" i="41" a="1"/>
  <c r="Y889" i="41" a="1"/>
  <c r="Y1175" i="41" a="1"/>
  <c r="Y2572" i="41" a="1"/>
  <c r="Y1319" i="41" a="1"/>
  <c r="Y49" i="41" a="1"/>
  <c r="Y1561" i="41" a="1"/>
  <c r="Y990" i="41" a="1"/>
  <c r="Y1634" i="41" a="1"/>
  <c r="Y1063" i="41" a="1"/>
  <c r="Y1707" i="41" a="1"/>
  <c r="Y1160" i="41" a="1"/>
  <c r="Y2205" i="41" a="1"/>
  <c r="Y1293" i="41" a="1"/>
  <c r="Y3022" i="41" a="1"/>
  <c r="Y1270" i="41" a="1"/>
  <c r="Y987" i="41" a="1"/>
  <c r="Y440" i="41" a="1"/>
  <c r="Y2300" i="41" a="1"/>
  <c r="Y573" i="41" a="1"/>
  <c r="Y2444" i="41" a="1"/>
  <c r="Y717" i="41" a="1"/>
  <c r="Y1956" i="41" a="1"/>
  <c r="Y347" i="41" a="1"/>
  <c r="Y2234" i="41" a="1"/>
  <c r="Y432" i="41" a="1"/>
  <c r="Y748" i="41" a="1"/>
  <c r="Y733" i="41" a="1"/>
  <c r="Y1241" i="41" a="1"/>
  <c r="Y794" i="41" a="1"/>
  <c r="Y2105" i="41" a="1"/>
  <c r="Y879" i="41" a="1"/>
  <c r="Y2511" i="41" a="1"/>
  <c r="Y1584" i="41" a="1"/>
  <c r="Y521" i="41" a="1"/>
  <c r="Y1897" i="41" a="1"/>
  <c r="Y665" i="41" a="1"/>
  <c r="Y2041" i="41" a="1"/>
  <c r="Y2779" i="41" a="1"/>
  <c r="Y2031" i="41" a="1"/>
  <c r="Y2092" i="41" a="1"/>
  <c r="Y2529" i="41" a="1"/>
  <c r="Y62" i="41" a="1"/>
  <c r="Y2075" i="41" a="1"/>
  <c r="Y1323" i="41" a="1"/>
  <c r="Y2329" i="41" a="1"/>
  <c r="Y315" i="41" a="1"/>
  <c r="Y2403" i="41" a="1"/>
  <c r="Y1685" i="41" a="1"/>
  <c r="Y2208" i="41" a="1"/>
  <c r="Y3070" i="41" a="1"/>
  <c r="Y2165" i="41" a="1"/>
  <c r="Y1602" i="41" a="1"/>
  <c r="Y1145" i="41" a="1"/>
  <c r="Y172" i="41" a="1"/>
  <c r="Y201" i="41" a="1"/>
  <c r="Y2634" i="41" a="1"/>
  <c r="Y1023" i="41" a="1"/>
  <c r="Y2299" i="41" a="1"/>
  <c r="Y557" i="41" a="1"/>
  <c r="Y1062" i="41" a="1"/>
  <c r="Y2111" i="41" a="1"/>
  <c r="Y504" i="41" a="1"/>
  <c r="Y2928" i="41" a="1"/>
  <c r="Y2147" i="41" a="1"/>
  <c r="Y1773" i="41" a="1"/>
  <c r="Y1161" i="41" a="1"/>
  <c r="Y1359" i="41" a="1"/>
  <c r="Y668" i="41" a="1"/>
  <c r="Y2672" i="41" a="1"/>
  <c r="Y801" i="41" a="1"/>
  <c r="Y2318" i="41" a="1"/>
  <c r="Y372" i="41" a="1"/>
  <c r="Y832" i="41" a="1"/>
  <c r="Y673" i="41" a="1"/>
  <c r="Y1386" i="41" a="1"/>
  <c r="Y2994" i="41" a="1"/>
  <c r="Y1459" i="41" a="1"/>
  <c r="Y2659" i="41" a="1"/>
  <c r="Y1970" i="41" a="1"/>
  <c r="Y212" i="41" a="1"/>
  <c r="Y87" i="41" a="1"/>
  <c r="Y1764" i="41" a="1"/>
  <c r="Y1916" i="41" a="1"/>
  <c r="Y1158" i="41" a="1"/>
  <c r="Y874" i="41" a="1"/>
  <c r="Y1294" i="41" a="1"/>
  <c r="Y3002" i="41" a="1"/>
  <c r="Y383" i="41" a="1"/>
  <c r="Y55" i="41" a="1"/>
  <c r="Y2565" i="41" a="1"/>
  <c r="Y419" i="41" a="1"/>
  <c r="Y3066" i="41" a="1"/>
  <c r="Y2601" i="41" a="1"/>
  <c r="Y1758" i="41" a="1"/>
  <c r="Y3102" i="41" a="1"/>
  <c r="Y1274" i="41" a="1"/>
  <c r="Y571" i="41" a="1"/>
  <c r="Y2883" i="41" a="1"/>
  <c r="Y1812" i="41" a="1"/>
  <c r="Y893" i="41" a="1"/>
  <c r="Y302" i="41" a="1"/>
  <c r="Y2176" i="41" a="1"/>
  <c r="Y2469" i="41" a="1"/>
  <c r="Y137" i="41" a="1"/>
  <c r="Y2015" i="41" a="1"/>
  <c r="Y743" i="41" a="1"/>
  <c r="Y1433" i="41" a="1"/>
  <c r="Y828" i="41" a="1"/>
  <c r="Y125" i="41" a="1"/>
  <c r="Y1129" i="41" a="1"/>
  <c r="Y558" i="41" a="1"/>
  <c r="Y1190" i="41" a="1"/>
  <c r="Y631" i="41" a="1"/>
  <c r="Y1334" i="41" a="1"/>
  <c r="Y775" i="41" a="1"/>
  <c r="Y2588" i="41" a="1"/>
  <c r="Y861" i="41" a="1"/>
  <c r="Y2590" i="41" a="1"/>
  <c r="Y838" i="41" a="1"/>
  <c r="Y2244" i="41" a="1"/>
  <c r="Y635" i="41" a="1"/>
  <c r="Y2522" i="41" a="1"/>
  <c r="Y720" i="41" a="1"/>
  <c r="Y1036" i="41" a="1"/>
  <c r="Y1021" i="41" a="1"/>
  <c r="Y1046" i="41" a="1"/>
  <c r="Y487" i="41" a="1"/>
  <c r="Y1131" i="41" a="1"/>
  <c r="Y584" i="41" a="1"/>
  <c r="Y1275" i="41" a="1"/>
  <c r="Y728" i="41" a="1"/>
  <c r="Y2446" i="41" a="1"/>
  <c r="Y694" i="41" a="1"/>
  <c r="Y2100" i="41" a="1"/>
  <c r="Y491" i="41" a="1"/>
  <c r="Y2378" i="41" a="1"/>
  <c r="Y576" i="41" a="1"/>
  <c r="Y892" i="41" a="1"/>
  <c r="Y877" i="41" a="1"/>
  <c r="Y2106" i="41" a="1"/>
  <c r="Y938" i="41" a="1"/>
  <c r="Y2581" i="41" a="1"/>
  <c r="Y1643" i="41" a="1"/>
  <c r="Y2655" i="41" a="1"/>
  <c r="Y1728" i="41" a="1"/>
  <c r="Y2799" i="41" a="1"/>
  <c r="Y301" i="41" a="1"/>
  <c r="Y1529" i="41" a="1"/>
  <c r="Y2102" i="41" a="1"/>
  <c r="Y2923" i="41" a="1"/>
  <c r="Y2175" i="41" a="1"/>
  <c r="Y2236" i="41" a="1"/>
  <c r="Y2673" i="41" a="1"/>
  <c r="Y282" i="41" a="1"/>
  <c r="Y2219" i="41" a="1"/>
  <c r="Y2348" i="41" a="1"/>
  <c r="Y2473" i="41" a="1"/>
  <c r="Y3144" i="41" a="1"/>
  <c r="Y2768" i="41" a="1"/>
  <c r="Y2861" i="41" a="1"/>
  <c r="Y2770" i="41" a="1"/>
  <c r="Y2585" i="41" a="1"/>
  <c r="Y2914" i="41" a="1"/>
  <c r="Y169" i="41" a="1"/>
  <c r="Y2702" i="41" a="1"/>
  <c r="Y152" i="41" a="1"/>
  <c r="Y1216" i="41" a="1"/>
  <c r="Y1398" i="41" a="1"/>
  <c r="Y2430" i="41" a="1"/>
  <c r="Y1471" i="41" a="1"/>
  <c r="Y2095" i="41" a="1"/>
  <c r="Y1568" i="41" a="1"/>
  <c r="Y3036" i="41" a="1"/>
  <c r="Y1382" i="41" a="1"/>
  <c r="Y2303" i="41" a="1"/>
  <c r="Y230" i="41" a="1"/>
  <c r="Y2559" i="41" a="1"/>
  <c r="Y815" i="41" a="1"/>
  <c r="Y1675" i="41" a="1"/>
  <c r="Y74" i="41" a="1"/>
  <c r="Y465" i="41" a="1"/>
  <c r="Y1461" i="41" a="1"/>
  <c r="Y1449" i="41" a="1"/>
  <c r="Y730" i="41" a="1"/>
  <c r="Y1228" i="41" a="1"/>
  <c r="Y2211" i="41" a="1"/>
  <c r="Y766" i="41" a="1"/>
  <c r="Y2466" i="41" a="1"/>
  <c r="Y2247" i="41" a="1"/>
  <c r="Y34" i="41" a="1"/>
  <c r="Y2502" i="41" a="1"/>
  <c r="Y1357" i="41" a="1"/>
  <c r="Y642" i="41" a="1"/>
  <c r="Y2953" i="41" a="1"/>
  <c r="Y84" i="41" a="1"/>
  <c r="Y3027" i="41" a="1"/>
  <c r="Y385" i="41" a="1"/>
  <c r="Y3007" i="41" a="1"/>
  <c r="Y2115" i="41" a="1"/>
  <c r="Y2320" i="41" a="1"/>
  <c r="Y2613" i="41" a="1"/>
  <c r="Y1090" i="41" a="1"/>
  <c r="Y1079" i="41" a="1"/>
  <c r="Y887" i="41" a="1"/>
  <c r="Y2107" i="41" a="1"/>
  <c r="Y3129" i="41" a="1"/>
  <c r="Y1905" i="41" a="1"/>
  <c r="Y1484" i="41" a="1"/>
  <c r="Y80" i="41" a="1"/>
  <c r="Y2804" i="41" a="1"/>
  <c r="Y613" i="41" a="1"/>
  <c r="Y820" i="41" a="1"/>
  <c r="Y962" i="41" a="1"/>
  <c r="Y656" i="41" a="1"/>
  <c r="Y2138" i="41" a="1"/>
  <c r="Y789" i="41" a="1"/>
  <c r="Y1252" i="41" a="1"/>
  <c r="Y375" i="41" a="1"/>
  <c r="Y2730" i="41" a="1"/>
  <c r="Y1288" i="41" a="1"/>
  <c r="Y1462" i="41" a="1"/>
  <c r="Y2004" i="41" a="1"/>
  <c r="Y2699" i="41" a="1"/>
  <c r="Y2074" i="41" a="1"/>
  <c r="Y1888" i="41" a="1"/>
  <c r="Y2996" i="41" a="1"/>
  <c r="Y3136" i="41" a="1"/>
  <c r="Y2998" i="41" a="1"/>
  <c r="Y43" i="41" a="1"/>
  <c r="Y2023" i="41" a="1"/>
  <c r="Y1050" i="41" a="1"/>
  <c r="Y1693" i="41" a="1"/>
  <c r="Y699" i="41" a="1"/>
  <c r="Y1927" i="41" a="1"/>
  <c r="Y604" i="41" a="1"/>
  <c r="Y2024" i="41" a="1"/>
  <c r="Y3069" i="41" a="1"/>
  <c r="Y2157" i="41" a="1"/>
  <c r="Y2615" i="41" a="1"/>
  <c r="Y59" i="41" a="1"/>
  <c r="Y2759" i="41" a="1"/>
  <c r="Y203" i="41" a="1"/>
  <c r="Y2943" i="41" a="1"/>
  <c r="Y445" i="41" a="1"/>
  <c r="Y953" i="41" a="1"/>
  <c r="Y506" i="41" a="1"/>
  <c r="Y1817" i="41" a="1"/>
  <c r="Y591" i="41" a="1"/>
  <c r="Y3116" i="41" a="1"/>
  <c r="Y496" i="41" a="1"/>
  <c r="Y2524" i="41" a="1"/>
  <c r="Y2961" i="41" a="1"/>
  <c r="Y2471" i="41" a="1"/>
  <c r="Y1990" i="41" a="1"/>
  <c r="Y2725" i="41" a="1"/>
  <c r="Y1787" i="41" a="1"/>
  <c r="Y2869" i="41" a="1"/>
  <c r="Y144" i="41" a="1"/>
  <c r="Y809" i="41" a="1"/>
  <c r="Y362" i="41" a="1"/>
  <c r="Y1673" i="41" a="1"/>
  <c r="Y447" i="41" a="1"/>
  <c r="Y3067" i="41" a="1"/>
  <c r="Y352" i="41" a="1"/>
  <c r="Y2380" i="41" a="1"/>
  <c r="Y2817" i="41" a="1"/>
  <c r="Y286" i="41" a="1"/>
  <c r="Y2363" i="41" a="1"/>
  <c r="Y2347" i="41" a="1"/>
  <c r="Y1599" i="41" a="1"/>
  <c r="Y3151" i="41" a="1"/>
  <c r="Y3031" i="41" a="1"/>
  <c r="Y1866" i="41" a="1"/>
  <c r="Y2968" i="41" a="1"/>
  <c r="Y19" i="41" a="1"/>
  <c r="Y1889" i="41" a="1"/>
  <c r="Y2438" i="41" a="1"/>
  <c r="Y839" i="41" a="1"/>
  <c r="Y630" i="41" a="1"/>
  <c r="Y2025" i="41" a="1"/>
  <c r="Y1951" i="41" a="1"/>
  <c r="Y1870" i="41" a="1"/>
  <c r="Y2294" i="41" a="1"/>
  <c r="Y2048" i="41" a="1"/>
  <c r="Y1320" i="41" a="1"/>
  <c r="Y1479" i="41" a="1"/>
  <c r="Y2152" i="41" a="1"/>
  <c r="Y511" i="41" a="1"/>
  <c r="Y726" i="41" a="1"/>
  <c r="Y154" i="41" a="1"/>
  <c r="Y2289" i="41" a="1"/>
  <c r="Y493" i="41" a="1"/>
  <c r="Y2906" i="41" a="1"/>
  <c r="Y1194" i="41" a="1"/>
  <c r="Y1042" i="41" a="1"/>
  <c r="Y2263" i="41" a="1"/>
  <c r="Y2984" i="41" a="1"/>
  <c r="Y2879" i="41" a="1"/>
  <c r="Y2986" i="41" a="1"/>
  <c r="Y1399" i="41" a="1"/>
  <c r="Y2915" i="41" a="1"/>
  <c r="Y1069" i="41" a="1"/>
  <c r="Y354" i="41" a="1"/>
  <c r="Y2665" i="41" a="1"/>
  <c r="Y1583" i="41" a="1"/>
  <c r="Y2549" i="41" a="1"/>
  <c r="Y2755" i="41" a="1"/>
  <c r="Y322" i="41" a="1"/>
  <c r="Y396" i="41" a="1"/>
  <c r="Y119" i="41" a="1"/>
  <c r="Y2039" i="41" a="1"/>
  <c r="Y2101" i="41" a="1"/>
  <c r="Y1285" i="41" a="1"/>
  <c r="Y363" i="41" a="1"/>
  <c r="Y2881" i="41" a="1"/>
  <c r="Y2856" i="41" a="1"/>
  <c r="Y2480" i="41" a="1"/>
  <c r="Y2657" i="41" a="1"/>
  <c r="Y2482" i="41" a="1"/>
  <c r="Y379" i="41" a="1"/>
  <c r="Y1044" i="41" a="1"/>
  <c r="Y671" i="41" a="1"/>
  <c r="Y637" i="41" a="1"/>
  <c r="Y2164" i="41" a="1"/>
  <c r="Y1038" i="41" a="1"/>
  <c r="Y664" i="41" a="1"/>
  <c r="Y478" i="41" a="1"/>
  <c r="Y2421" i="41" a="1"/>
  <c r="Y275" i="41" a="1"/>
  <c r="Y2321" i="41" a="1"/>
  <c r="Y2457" i="41" a="1"/>
  <c r="Y1614" i="41" a="1"/>
  <c r="Y2357" i="41" a="1"/>
  <c r="Y1056" i="41" a="1"/>
  <c r="Y209" i="41" a="1"/>
  <c r="Y2739" i="41" a="1"/>
  <c r="Y1668" i="41" a="1"/>
  <c r="Y1308" i="41" a="1"/>
  <c r="Y2508" i="41" a="1"/>
  <c r="Y184" i="41" a="1"/>
  <c r="Y1924" i="41" a="1"/>
  <c r="Y835" i="41" a="1"/>
  <c r="Y3001" i="41" a="1"/>
  <c r="Y932" i="41" a="1"/>
  <c r="Y2681" i="41" a="1"/>
  <c r="Y2781" i="41" a="1"/>
  <c r="Y1869" i="41" a="1"/>
  <c r="Y1514" i="41" a="1"/>
  <c r="Y885" i="41" a="1"/>
  <c r="Y1482" i="41" a="1"/>
  <c r="Y46" i="41" a="1"/>
  <c r="Y2398" i="41" a="1"/>
  <c r="Y1520" i="41" a="1"/>
  <c r="Y1224" i="41" a="1"/>
  <c r="Y1541" i="41" a="1"/>
  <c r="Y1617" i="41" a="1"/>
  <c r="Y2148" i="41" a="1"/>
  <c r="Y334" i="41" a="1"/>
  <c r="Y1474" i="41" a="1"/>
  <c r="Y1481" i="41" a="1"/>
  <c r="Y1093" i="41" a="1"/>
  <c r="Y2266" i="41" a="1"/>
  <c r="Y2971" i="41" a="1"/>
  <c r="Y402" i="41" a="1"/>
  <c r="Y619" i="41" a="1"/>
  <c r="Y682" i="41" a="1"/>
  <c r="Y564" i="41" a="1"/>
  <c r="Y331" i="41" a="1"/>
  <c r="Y572" i="41" a="1"/>
  <c r="Y335" i="41" a="1"/>
  <c r="Y721" i="41" a="1"/>
  <c r="Y1487" i="41" a="1"/>
  <c r="Y1716" i="41" a="1"/>
  <c r="Y2019" i="41" a="1"/>
  <c r="Y2571" i="41" a="1"/>
  <c r="Y1329" i="41" a="1"/>
  <c r="Y2079" i="41" a="1"/>
  <c r="Y1616" i="41" a="1"/>
  <c r="Y1571" i="41" a="1"/>
  <c r="Y117" i="41" a="1"/>
  <c r="Y161" i="41" a="1"/>
  <c r="Y1379" i="41" a="1"/>
  <c r="Y1538" i="41" a="1"/>
  <c r="Y2983" i="41" a="1"/>
  <c r="Y1852" i="41" a="1"/>
  <c r="Y2504" i="41" a="1"/>
  <c r="Y2150" i="41" a="1"/>
  <c r="Y163" i="41" a="1"/>
  <c r="Y430" i="41" a="1"/>
  <c r="Y476" i="41" a="1"/>
  <c r="Y1065" i="41" a="1"/>
  <c r="Y236" i="41" a="1"/>
  <c r="Y3051" i="41" a="1"/>
  <c r="Y1316" i="41" a="1"/>
  <c r="Y2282" i="41" a="1"/>
  <c r="Y2085" i="41" a="1"/>
  <c r="Y2539" i="41" a="1"/>
  <c r="Y856" i="41" a="1"/>
  <c r="Y224" i="41" a="1"/>
  <c r="Y2070" i="41" a="1"/>
  <c r="Y827" i="41" a="1"/>
  <c r="Y265" i="41" a="1"/>
  <c r="Y3009" i="41" a="1"/>
  <c r="Y1953" i="41" a="1"/>
  <c r="Y2431" i="41" a="1"/>
  <c r="Y1539" i="41" a="1"/>
  <c r="Y356" i="41" a="1"/>
  <c r="Y2911" i="41" a="1"/>
  <c r="Y1801" i="41" a="1"/>
  <c r="Y1128" i="41" a="1"/>
  <c r="Y1874" i="41" a="1"/>
  <c r="Y2771" i="41" a="1"/>
  <c r="Y2974" i="41" a="1"/>
  <c r="Y1009" i="41" a="1"/>
  <c r="Y2628" i="41" a="1"/>
  <c r="Y2605" i="41" a="1"/>
  <c r="Y101" i="41" a="1"/>
  <c r="Y2835" i="41" a="1"/>
  <c r="Y534" i="41" a="1"/>
  <c r="Y2187" i="41" a="1"/>
  <c r="Y1578" i="41" a="1"/>
  <c r="Y31" i="41" a="1"/>
  <c r="Y3044" i="41" a="1"/>
  <c r="Y93" i="41" a="1"/>
  <c r="Y2962" i="41" a="1"/>
  <c r="Y2190" i="41" a="1"/>
  <c r="Y2427" i="41" a="1"/>
  <c r="Y1969" i="41" a="1"/>
  <c r="Y1108" i="41" a="1"/>
  <c r="Y2030" i="41" a="1"/>
  <c r="Y425" i="41" a="1"/>
  <c r="Y1144" i="41" a="1"/>
  <c r="Y1318" i="41" a="1"/>
  <c r="Y2782" i="41" a="1"/>
  <c r="Y2240" i="41" a="1"/>
  <c r="Y369" i="41" a="1"/>
  <c r="Y1744" i="41" a="1"/>
  <c r="Y2852" i="41" a="1"/>
  <c r="Y547" i="41" a="1"/>
  <c r="Y1944" i="41" a="1"/>
  <c r="Y644" i="41" a="1"/>
  <c r="Y2080" i="41" a="1"/>
  <c r="Y263" i="41" a="1"/>
  <c r="Y2676" i="41" a="1"/>
  <c r="Y348" i="41" a="1"/>
  <c r="Y2812" i="41" a="1"/>
  <c r="Y1468" i="41" a="1"/>
  <c r="Y1453" i="41" a="1"/>
  <c r="Y3035" i="41" a="1"/>
  <c r="Y2209" i="41" a="1"/>
  <c r="Y854" i="41" a="1"/>
  <c r="Y473" i="41" a="1"/>
  <c r="Y1054" i="41" a="1"/>
  <c r="Y3108" i="41" a="1"/>
  <c r="Y277" i="41" a="1"/>
  <c r="Y1214" i="41" a="1"/>
  <c r="Y2808" i="41" a="1"/>
  <c r="Y2772" i="41" a="1"/>
  <c r="Y2389" i="41" a="1"/>
  <c r="Y647" i="41" a="1"/>
  <c r="Y663" i="41" a="1"/>
  <c r="Y210" i="41" a="1"/>
  <c r="Y945" i="41" a="1"/>
  <c r="Y2749" i="41" a="1"/>
  <c r="Y833" i="41" a="1"/>
  <c r="Y1841" i="41" a="1"/>
  <c r="Y1146" i="41" a="1"/>
  <c r="Y51" i="41" a="1"/>
  <c r="Y1553" i="41" a="1"/>
  <c r="Y3091" i="41" a="1"/>
  <c r="Y2541" i="41" a="1"/>
  <c r="Y33" i="41" a="1"/>
  <c r="Y3153" i="41" a="1"/>
  <c r="Y270" i="41" a="1"/>
  <c r="Y1016" i="41" a="1"/>
  <c r="Y1477" i="41" a="1"/>
  <c r="Y1026" i="41" a="1"/>
  <c r="Y3112" i="41" a="1"/>
  <c r="Y756" i="41" a="1"/>
  <c r="Y608" i="41" a="1"/>
  <c r="Y2589" i="41" a="1"/>
  <c r="Y1715" i="41" a="1"/>
  <c r="Y1091" i="41" a="1"/>
  <c r="Y1605" i="41" a="1"/>
  <c r="Y2887" i="41" a="1"/>
  <c r="Y2901" i="41" a="1"/>
  <c r="Y1162" i="41" a="1"/>
  <c r="Y139" i="41" a="1"/>
  <c r="Y1364" i="41" a="1"/>
  <c r="Y2938" i="41" a="1"/>
  <c r="Y2409" i="41" a="1"/>
  <c r="Y3011" i="41" a="1"/>
  <c r="Y1384" i="41" a="1"/>
  <c r="Y1651" i="41" a="1"/>
  <c r="Y2598" i="41" a="1"/>
  <c r="Y556" i="41" a="1"/>
  <c r="Y2298" i="41" a="1"/>
  <c r="Y3021" i="41" a="1"/>
  <c r="Y1569" i="41" a="1"/>
  <c r="Y2443" i="41" a="1"/>
  <c r="Y2862" i="41" a="1"/>
  <c r="Y1206" i="41" a="1"/>
  <c r="Y2255" i="41" a="1"/>
  <c r="Y648" i="41" a="1"/>
  <c r="Y1367" i="41" a="1"/>
  <c r="Y2331" i="41" a="1"/>
  <c r="Y1917" i="41" a="1"/>
  <c r="Y706" i="41" a="1"/>
  <c r="Y1894" i="41" a="1"/>
  <c r="Y569" i="41" a="1"/>
  <c r="Y1789" i="41" a="1"/>
  <c r="Y1074" i="41" a="1"/>
  <c r="Y1862" i="41" a="1"/>
  <c r="Y1147" i="41" a="1"/>
  <c r="Y2224" i="41" a="1"/>
  <c r="Y2324" i="41" a="1"/>
  <c r="Y570" i="41" a="1"/>
  <c r="Y2326" i="41" a="1"/>
  <c r="Y2485" i="41" a="1"/>
  <c r="Y227" i="41" a="1"/>
  <c r="Y718" i="41" a="1"/>
  <c r="Y2553" i="41" a="1"/>
  <c r="Y674" i="41" a="1"/>
  <c r="Y367" i="41" a="1"/>
  <c r="Y759" i="41" a="1"/>
  <c r="Y381" i="41" a="1"/>
  <c r="Y969" i="41" a="1"/>
  <c r="Y1330" i="41" a="1"/>
  <c r="Y555" i="41" a="1"/>
  <c r="Y2252" i="41" a="1"/>
  <c r="Y183" i="41" a="1"/>
  <c r="Y1337" i="41" a="1"/>
  <c r="Y2336" i="41" a="1"/>
  <c r="Y248" i="41" a="1"/>
  <c r="Y2509" i="41" a="1"/>
  <c r="Y949" i="41" a="1"/>
  <c r="Y2669" i="41" a="1"/>
  <c r="Y2545" i="41" a="1"/>
  <c r="Y2053" i="41" a="1"/>
  <c r="Y2619" i="41" a="1"/>
  <c r="Y535" i="41" a="1"/>
  <c r="Y2599" i="41" a="1"/>
  <c r="Y632" i="41" a="1"/>
  <c r="Y1912" i="41" a="1"/>
  <c r="Y2722" i="41" a="1"/>
  <c r="Y1713" i="41" a="1"/>
  <c r="Y2376" i="41" a="1"/>
  <c r="Y1387" i="41" a="1"/>
  <c r="Y2948" i="41" a="1"/>
  <c r="Y800" i="41" a="1"/>
  <c r="Y2918" i="41" a="1"/>
  <c r="Y346" i="41" a="1"/>
  <c r="Y2325" i="41" a="1"/>
  <c r="Y392" i="41" a="1"/>
  <c r="Y2071" i="41" a="1"/>
  <c r="Y1779" i="41" a="1"/>
  <c r="Y410" i="41" a="1"/>
  <c r="Y373" i="41" a="1"/>
  <c r="Y2776" i="41" a="1"/>
  <c r="Y1754" i="41" a="1"/>
  <c r="Y1536" i="41" a="1"/>
  <c r="Y697" i="41" a="1"/>
  <c r="Y1440" i="41" a="1"/>
  <c r="Y1814" i="41" a="1"/>
  <c r="Y2385" i="41" a="1"/>
  <c r="Y2185" i="41" a="1"/>
  <c r="Y1648" i="41" a="1"/>
  <c r="Y1743" i="41" a="1"/>
  <c r="Y3058" i="41" a="1"/>
  <c r="Y2990" i="41" a="1"/>
  <c r="Y2718" i="41" a="1"/>
  <c r="Y784" i="41" a="1"/>
  <c r="Y2141" i="41" a="1"/>
  <c r="Y2848" i="41" a="1"/>
  <c r="Y2362" i="41" a="1"/>
  <c r="Y2641" i="41" a="1"/>
  <c r="Y260" i="41" a="1"/>
  <c r="Y3075" i="41" a="1"/>
  <c r="Y251" i="41" a="1"/>
  <c r="Y1726" i="41" a="1"/>
  <c r="Y1621" i="41" a="1"/>
  <c r="Y1733" i="41" a="1"/>
  <c r="Y974" i="41" a="1"/>
  <c r="Y2397" i="41" a="1"/>
  <c r="Y1991" i="41" a="1"/>
  <c r="Y1511" i="41" a="1"/>
  <c r="Y539" i="41" a="1"/>
  <c r="Y3094" i="41" a="1"/>
  <c r="Y2056" i="41" a="1"/>
  <c r="Y54" i="41" a="1"/>
  <c r="Y239" i="41" a="1"/>
  <c r="Y870" i="41" a="1"/>
  <c r="Y320" i="41" a="1"/>
  <c r="Y1087" i="41" a="1"/>
  <c r="Y218" i="41" a="1"/>
  <c r="Y1150" i="41" a="1"/>
  <c r="Y1671" i="41" a="1"/>
  <c r="Y2441" i="41" a="1"/>
  <c r="Y237" i="41" a="1"/>
  <c r="Y2109" i="41" a="1"/>
  <c r="Y1127" i="41" a="1"/>
  <c r="Y2250" i="41" a="1"/>
  <c r="Y2254" i="41" a="1"/>
  <c r="Y1402" i="41" a="1"/>
  <c r="Y2731" i="41" a="1"/>
  <c r="Y2383" i="41" a="1"/>
  <c r="Y1376" i="41" a="1"/>
  <c r="Y2583" i="41" a="1"/>
  <c r="Y1010" i="41" a="1"/>
  <c r="Y593" i="41" a="1"/>
  <c r="Y1095" i="41" a="1"/>
  <c r="Y1876" i="41" a="1"/>
  <c r="Y2723" i="41" a="1"/>
  <c r="Y3124" i="41" a="1"/>
  <c r="Y2977" i="41" a="1"/>
  <c r="Y1680" i="41" a="1"/>
  <c r="Y124" i="41" a="1"/>
  <c r="Y1993" i="41" a="1"/>
  <c r="Y262" i="41" a="1"/>
  <c r="Y1860" i="41" a="1"/>
  <c r="Y2696" i="41" a="1"/>
  <c r="Y217" i="41" a="1"/>
  <c r="Y1708" i="41" a="1"/>
  <c r="Y2991" i="41" a="1"/>
  <c r="Y180" i="41" a="1"/>
  <c r="Y1219" i="41" a="1"/>
  <c r="Y1105" i="41" a="1"/>
  <c r="Y2478" i="41" a="1"/>
  <c r="Y1166" i="41" a="1"/>
  <c r="Y52" i="41" a="1"/>
  <c r="Y77" i="41" a="1"/>
  <c r="Y1618" i="41" a="1"/>
  <c r="Y316" i="41" a="1"/>
  <c r="Y2540" i="41" a="1"/>
  <c r="Y165" i="41" a="1"/>
  <c r="Y2044" i="41" a="1"/>
  <c r="Y1201" i="41" a="1"/>
  <c r="Y1567" i="41" a="1"/>
  <c r="Y1262" i="41" a="1"/>
  <c r="Y1664" i="41" a="1"/>
  <c r="Y2374" i="41" a="1"/>
  <c r="Y1283" i="41" a="1"/>
  <c r="Y2028" i="41" a="1"/>
  <c r="Y1368" i="41" a="1"/>
  <c r="Y654" i="41" a="1"/>
  <c r="Y821" i="41" a="1"/>
  <c r="Y727" i="41" a="1"/>
  <c r="Y1825" i="41" a="1"/>
  <c r="Y1302" i="41" a="1"/>
  <c r="Y1255" i="41" a="1"/>
  <c r="Y2521" i="41" a="1"/>
  <c r="Y2073" i="41" a="1"/>
  <c r="Y2972" i="41" a="1"/>
  <c r="Y1132" i="41" a="1"/>
  <c r="Y416" i="41" a="1"/>
  <c r="Y2561" i="41" a="1"/>
  <c r="Y624" i="41" a="1"/>
  <c r="Y3084" i="41" a="1"/>
  <c r="Y1586" i="41" a="1"/>
  <c r="Y1193" i="41" a="1"/>
  <c r="Y1722" i="41" a="1"/>
  <c r="Y1560" i="41" a="1"/>
  <c r="Y1934" i="41" a="1"/>
  <c r="Y2505" i="41" a="1"/>
  <c r="Y2305" i="41" a="1"/>
  <c r="Y389" i="41" a="1"/>
  <c r="Y1863" i="41" a="1"/>
  <c r="Y1907" i="41" a="1"/>
  <c r="Y3122" i="41" a="1"/>
  <c r="Y2838" i="41" a="1"/>
  <c r="Y904" i="41" a="1"/>
  <c r="Y2261" i="41" a="1"/>
  <c r="Y2525" i="41" a="1"/>
  <c r="Y1126" i="41" a="1"/>
  <c r="Y2532" i="41" a="1"/>
  <c r="Y923" i="41" a="1"/>
  <c r="Y2156" i="41" a="1"/>
  <c r="Y429" i="41" a="1"/>
  <c r="Y2158" i="41" a="1"/>
  <c r="Y406" i="41" a="1"/>
  <c r="Y2302" i="41" a="1"/>
  <c r="Y550" i="41" a="1"/>
  <c r="Y3013" i="41" a="1"/>
  <c r="Y288" i="41" a="1"/>
  <c r="Y3087" i="41" a="1"/>
  <c r="Y589" i="41" a="1"/>
  <c r="Y1097" i="41" a="1"/>
  <c r="Y650" i="41" a="1"/>
  <c r="Y1961" i="41" a="1"/>
  <c r="Y735" i="41" a="1"/>
  <c r="Y2807" i="41" a="1"/>
  <c r="Y640" i="41" a="1"/>
  <c r="Y1690" i="41" a="1"/>
  <c r="Y823" i="41" a="1"/>
  <c r="Y1635" i="41" a="1"/>
  <c r="Y1620" i="41" a="1"/>
  <c r="Y2577" i="41" a="1"/>
  <c r="Y894" i="41" a="1"/>
  <c r="Y742" i="41" a="1"/>
  <c r="Y2985" i="41" a="1"/>
  <c r="Y131" i="41" a="1"/>
  <c r="Y1823" i="41" a="1"/>
  <c r="Y216" i="41" a="1"/>
  <c r="Y3023" i="41" a="1"/>
  <c r="Y1859" i="41" a="1"/>
  <c r="Y1543" i="41" a="1"/>
  <c r="Y3059" i="41" a="1"/>
  <c r="Y1213" i="41" a="1"/>
  <c r="Y498" i="41" a="1"/>
  <c r="Y605" i="41" a="1"/>
  <c r="Y1837" i="41" a="1"/>
  <c r="Y97" i="41" a="1"/>
  <c r="Y1780" i="41" a="1"/>
  <c r="Y186" i="41" a="1"/>
  <c r="Y439" i="41" a="1"/>
  <c r="Y788" i="41" a="1"/>
  <c r="Y3040" i="41" a="1"/>
  <c r="Y921" i="41" a="1"/>
  <c r="Y1171" i="41" a="1"/>
  <c r="Y2183" i="41" a="1"/>
  <c r="Y1702" i="41" a="1"/>
  <c r="Y2437" i="41" a="1"/>
  <c r="Y1499" i="41" a="1"/>
  <c r="Y150" i="41" a="1"/>
  <c r="Y349" i="41" a="1"/>
  <c r="Y909" i="41" a="1"/>
  <c r="Y566" i="41" a="1"/>
  <c r="Y333" i="41" a="1"/>
  <c r="Y1338" i="41" a="1"/>
  <c r="Y2742" i="41" a="1"/>
  <c r="Y1815" i="41" a="1"/>
  <c r="Y2177" i="41" a="1"/>
  <c r="Y2313" i="41" a="1"/>
  <c r="Y1470" i="41" a="1"/>
  <c r="Y2213" i="41" a="1"/>
  <c r="Y912" i="41" a="1"/>
  <c r="Y65" i="41" a="1"/>
  <c r="Y2555" i="41" a="1"/>
  <c r="Y1930" i="41" a="1"/>
  <c r="Y1655" i="41" a="1"/>
  <c r="Y2364" i="41" a="1"/>
  <c r="Y489" i="41" a="1"/>
  <c r="Y1098" i="41" a="1"/>
  <c r="Y466" i="41" a="1"/>
  <c r="Y540" i="41" a="1"/>
  <c r="Y361" i="41" a="1"/>
  <c r="Y1759" i="41" a="1"/>
  <c r="Y422" i="41" a="1"/>
  <c r="Y1429" i="41" a="1"/>
  <c r="Y3138" i="41" a="1"/>
  <c r="Y1311" i="41" a="1"/>
  <c r="Y3000" i="41" a="1"/>
  <c r="Y2624" i="41" a="1"/>
  <c r="Y2693" i="41" a="1"/>
  <c r="Y2626" i="41" a="1"/>
  <c r="Y503" i="41" a="1"/>
  <c r="Y2280" i="41" a="1"/>
  <c r="Y300" i="41" a="1"/>
  <c r="Y2424" i="41" a="1"/>
  <c r="Y8" i="41" a="1"/>
  <c r="Y1072" i="41" a="1"/>
  <c r="Y1254" i="41" a="1"/>
  <c r="Y2286" i="41" a="1"/>
  <c r="Y1327" i="41" a="1"/>
  <c r="Y2429" i="41" a="1"/>
  <c r="Y1424" i="41" a="1"/>
  <c r="Y2892" i="41" a="1"/>
  <c r="Y1557" i="41" a="1"/>
  <c r="Y3053" i="41" a="1"/>
  <c r="Y994" i="41" a="1"/>
  <c r="Y2136" i="41" a="1"/>
  <c r="Y2874" i="41" a="1"/>
  <c r="Y2414" i="41" a="1"/>
  <c r="Y2284" i="41" a="1"/>
  <c r="Y2558" i="41" a="1"/>
  <c r="Y1110" i="41" a="1"/>
  <c r="Y2142" i="41" a="1"/>
  <c r="Y1183" i="41" a="1"/>
  <c r="Y2285" i="41" a="1"/>
  <c r="Y1280" i="41" a="1"/>
  <c r="Y3131" i="41" a="1"/>
  <c r="Y1413" i="41" a="1"/>
  <c r="Y2849" i="41" a="1"/>
  <c r="Y1390" i="41" a="1"/>
  <c r="Y1565" i="41" a="1"/>
  <c r="Y560" i="41" a="1"/>
  <c r="Y2959" i="41" a="1"/>
  <c r="Y693" i="41" a="1"/>
  <c r="Y2272" i="41" a="1"/>
  <c r="Y837" i="41" a="1"/>
  <c r="Y2416" i="41" a="1"/>
  <c r="Y467" i="41" a="1"/>
  <c r="Y3086" i="41" a="1"/>
  <c r="Y552" i="41" a="1"/>
  <c r="Y1588" i="41" a="1"/>
  <c r="Y853" i="41" a="1"/>
  <c r="Y2802" i="41" a="1"/>
  <c r="Y914" i="41" a="1"/>
  <c r="Y2467" i="41" a="1"/>
  <c r="Y999" i="41" a="1"/>
  <c r="Y868" i="41" a="1"/>
  <c r="Y1704" i="41" a="1"/>
  <c r="Y2082" i="41" a="1"/>
  <c r="Y2017" i="41" a="1"/>
  <c r="Y2226" i="41" a="1"/>
  <c r="Y338" i="41" a="1"/>
  <c r="Y3071" i="41" a="1"/>
  <c r="Y2151" i="41" a="1"/>
  <c r="Y2932" i="41" a="1"/>
  <c r="Y2649" i="41" a="1"/>
  <c r="Y1881" i="41" a="1"/>
  <c r="Y2195" i="41" a="1"/>
  <c r="Y1001" i="41" a="1"/>
  <c r="Y2449" i="41" a="1"/>
  <c r="Y232" i="41" a="1"/>
  <c r="Y2523" i="41" a="1"/>
  <c r="Y1949" i="41" a="1"/>
  <c r="Y1358" i="41" a="1"/>
  <c r="Y765" i="41" a="1"/>
  <c r="Y175" i="41" a="1"/>
  <c r="Y1353" i="41" a="1"/>
  <c r="Y2046" i="41" a="1"/>
  <c r="Y1434" i="41" a="1"/>
  <c r="Y293" i="41" a="1"/>
  <c r="Y1886" i="41" a="1"/>
  <c r="Y2178" i="41" a="1"/>
  <c r="Y1959" i="41" a="1"/>
  <c r="Y81" i="41" a="1"/>
  <c r="Y2214" i="41" a="1"/>
  <c r="Y971" i="41" a="1"/>
  <c r="Y266" i="41" a="1"/>
  <c r="Y2098" i="41" a="1"/>
  <c r="Y2097" i="41" a="1"/>
  <c r="Y3005" i="41" a="1"/>
  <c r="Y2710" i="41" a="1"/>
  <c r="Y500" i="41" a="1"/>
  <c r="Y1936" i="41" a="1"/>
  <c r="Y633" i="41" a="1"/>
  <c r="Y1242" i="41" a="1"/>
  <c r="Y204" i="41" a="1"/>
  <c r="Y2668" i="41" a="1"/>
  <c r="Y505" i="41" a="1"/>
  <c r="Y1903" i="41" a="1"/>
  <c r="Y2538" i="41" a="1"/>
  <c r="Y1370" i="41" a="1"/>
  <c r="Y2203" i="41" a="1"/>
  <c r="Y1455" i="41" a="1"/>
  <c r="Y597" i="41" a="1"/>
  <c r="Y2114" i="41" a="1"/>
  <c r="Y92" i="41" a="1"/>
  <c r="Y2608" i="41" a="1"/>
  <c r="Y1598" i="41" a="1"/>
  <c r="Y3050" i="41" a="1"/>
  <c r="Y1305" i="41" a="1"/>
  <c r="Y2375" i="41" a="1"/>
  <c r="Y745" i="41" a="1"/>
  <c r="Y2486" i="41" a="1"/>
  <c r="Y2271" i="41" a="1"/>
  <c r="Y1000" i="41" a="1"/>
  <c r="Y1174" i="41" a="1"/>
  <c r="Y2253" i="41" a="1"/>
  <c r="Y2096" i="41" a="1"/>
  <c r="Y1964" i="41" a="1"/>
  <c r="Y2910" i="41" a="1"/>
  <c r="Y1610" i="41" a="1"/>
  <c r="Y403" i="41" a="1"/>
  <c r="Y2578" i="41" a="1"/>
  <c r="Y1644" i="41" a="1"/>
  <c r="Y1830" i="41" a="1"/>
  <c r="Y1957" i="41" a="1"/>
  <c r="Y1272" i="41" a="1"/>
  <c r="Y2301" i="41" a="1"/>
  <c r="Y1483" i="41" a="1"/>
  <c r="Y1847" i="41" a="1"/>
  <c r="Y1153" i="41" a="1"/>
  <c r="Y2197" i="41" a="1"/>
  <c r="Y2905" i="41" a="1"/>
  <c r="Y245" i="41" a="1"/>
  <c r="Y2979" i="41" a="1"/>
  <c r="Y678" i="41" a="1"/>
  <c r="Y989" i="41" a="1"/>
  <c r="Y751" i="41" a="1"/>
  <c r="Y1853" i="41" a="1"/>
  <c r="Y895" i="41" a="1"/>
  <c r="Y1997" i="41" a="1"/>
  <c r="Y981" i="41" a="1"/>
  <c r="Y2560" i="41" a="1"/>
  <c r="Y958" i="41" a="1"/>
  <c r="Y2413" i="41" a="1"/>
  <c r="Y755" i="41" a="1"/>
  <c r="Y2487" i="41" a="1"/>
  <c r="Y840" i="41" a="1"/>
  <c r="Y497" i="41" a="1"/>
  <c r="Y1141" i="41" a="1"/>
  <c r="Y845" i="41" a="1"/>
  <c r="Y607" i="41" a="1"/>
  <c r="Y1709" i="41" a="1"/>
  <c r="Y704" i="41" a="1"/>
  <c r="Y3103" i="41" a="1"/>
  <c r="Y848" i="41" a="1"/>
  <c r="Y3152" i="41" a="1"/>
  <c r="Y814" i="41" a="1"/>
  <c r="Y2269" i="41" a="1"/>
  <c r="Y611" i="41" a="1"/>
  <c r="Y2343" i="41" a="1"/>
  <c r="Y696" i="41" a="1"/>
  <c r="Y353" i="41" a="1"/>
  <c r="Y997" i="41" a="1"/>
  <c r="Y2946" i="41" a="1"/>
  <c r="Y1058" i="41" a="1"/>
  <c r="Y2498" i="41" a="1"/>
  <c r="Y1763" i="41" a="1"/>
  <c r="Y1012" i="41" a="1"/>
  <c r="Y1848" i="41" a="1"/>
  <c r="Y1156" i="41" a="1"/>
  <c r="Y421" i="41" a="1"/>
  <c r="Y2369" i="41" a="1"/>
  <c r="Y423" i="41" a="1"/>
  <c r="Y2832" i="41" a="1"/>
  <c r="Y328" i="41" a="1"/>
  <c r="Y3113" i="41" a="1"/>
  <c r="Y2793" i="41" a="1"/>
  <c r="Y1714" i="41" a="1"/>
  <c r="Y2339" i="41" a="1"/>
  <c r="Y1577" i="41" a="1"/>
  <c r="Y2593" i="41" a="1"/>
  <c r="Y2356" i="41" a="1"/>
  <c r="Y2888" i="41" a="1"/>
  <c r="Y1002" i="41" a="1"/>
  <c r="Y2890" i="41" a="1"/>
  <c r="Y931" i="41" a="1"/>
  <c r="Y3034" i="41" a="1"/>
  <c r="Y146" i="41" a="1"/>
  <c r="Y2822" i="41" a="1"/>
  <c r="Y129" i="41" a="1"/>
  <c r="Y1336" i="41" a="1"/>
  <c r="Y1662" i="41" a="1"/>
  <c r="Y2550" i="41" a="1"/>
  <c r="Y1735" i="41" a="1"/>
  <c r="Y2215" i="41" a="1"/>
  <c r="Y1832" i="41" a="1"/>
  <c r="Y3073" i="41" a="1"/>
  <c r="Y2780" i="41" a="1"/>
  <c r="Y2783" i="41" a="1"/>
  <c r="Y2715" i="41" a="1"/>
  <c r="Y2464" i="41" a="1"/>
  <c r="Y1120" i="41" a="1"/>
  <c r="Y357" i="41" a="1"/>
  <c r="Y710" i="41" a="1"/>
  <c r="Y1276" i="41" a="1"/>
  <c r="Y2609" i="41" a="1"/>
  <c r="Y2352" i="41" a="1"/>
  <c r="Y452" i="41" a="1"/>
  <c r="Y2630" i="41" a="1"/>
  <c r="Y1341" i="41" a="1"/>
  <c r="Y2010" i="41" a="1"/>
  <c r="Y927" i="41" a="1"/>
  <c r="Y2011" i="41" a="1"/>
  <c r="Y461" i="41" a="1"/>
  <c r="Y1681" i="41" a="1"/>
  <c r="Y474" i="41" a="1"/>
  <c r="Y1595" i="41" a="1"/>
  <c r="Y1703" i="41" a="1"/>
  <c r="Y2951" i="41" a="1"/>
  <c r="Y1788" i="41" a="1"/>
  <c r="Y1974" i="41" a="1"/>
  <c r="Y1947" i="41" a="1"/>
  <c r="Y2969" i="41" a="1"/>
  <c r="Y2445" i="41" a="1"/>
  <c r="Y1627" i="41" a="1"/>
  <c r="Y1172" i="41" a="1"/>
  <c r="Y2795" i="41" a="1"/>
  <c r="Y2858" i="41" a="1"/>
  <c r="Y3049" i="41" a="1"/>
  <c r="Y1752" i="41" a="1"/>
  <c r="Y695" i="41" a="1"/>
  <c r="Y2764" i="41" a="1"/>
  <c r="Y2245" i="41" a="1"/>
  <c r="Y734" i="41" a="1"/>
  <c r="Y712" i="41" a="1"/>
  <c r="Y1184" i="41" a="1"/>
  <c r="Y2827" i="41" a="1"/>
  <c r="Y2034" i="41" a="1"/>
  <c r="Y3080" i="41" a="1"/>
  <c r="Y1208" i="41" a="1"/>
  <c r="Y2488" i="41" a="1"/>
  <c r="Y842" i="41" a="1"/>
  <c r="Y1938" i="41" a="1"/>
  <c r="Y2451" i="41" a="1"/>
  <c r="Y1380" i="41" a="1"/>
  <c r="Y2002" i="41" a="1"/>
  <c r="Y2220" i="41" a="1"/>
  <c r="Y1906" i="41" a="1"/>
  <c r="Y2637" i="41" a="1"/>
  <c r="Y2828" i="41" a="1"/>
  <c r="Y1554" i="41" a="1"/>
  <c r="Y2830" i="41" a="1"/>
  <c r="Y996" i="41" a="1"/>
  <c r="Y988" i="41" a="1"/>
  <c r="Y1639" i="41" a="1"/>
  <c r="Y2202" i="41" a="1"/>
  <c r="Y1309" i="41" a="1"/>
  <c r="Y2047" i="41" a="1"/>
  <c r="Y2671" i="41" a="1"/>
  <c r="Y405" i="41" a="1"/>
  <c r="Y1984" i="41" a="1"/>
  <c r="Y382" i="41" a="1"/>
  <c r="Y3137" i="41" a="1"/>
  <c r="Y179" i="41" a="1"/>
  <c r="Y2652" i="41" a="1"/>
  <c r="Y323" i="41" a="1"/>
  <c r="Y1300" i="41" a="1"/>
  <c r="Y565" i="41" a="1"/>
  <c r="Y2514" i="41" a="1"/>
  <c r="Y626" i="41" a="1"/>
  <c r="Y2179" i="41" a="1"/>
  <c r="Y711" i="41" a="1"/>
  <c r="Y3120" i="41" a="1"/>
  <c r="Y616" i="41" a="1"/>
  <c r="Y2501" i="41" a="1"/>
  <c r="Y3081" i="41" a="1"/>
  <c r="Y3088" i="41" a="1"/>
  <c r="Y35" i="41" a="1"/>
  <c r="Y2642" i="41" a="1"/>
  <c r="Y120" i="41" a="1"/>
  <c r="Y2786" i="41" a="1"/>
  <c r="Y264" i="41" a="1"/>
  <c r="Y2370" i="41" a="1"/>
  <c r="Y482" i="41" a="1"/>
  <c r="Y3114" i="41" a="1"/>
  <c r="Y567" i="41" a="1"/>
  <c r="Y2976" i="41" a="1"/>
  <c r="Y472" i="41" a="1"/>
  <c r="Y2537" i="41" a="1"/>
  <c r="Y2937" i="41" a="1"/>
  <c r="Y1223" i="41" a="1"/>
  <c r="Y2483" i="41" a="1"/>
  <c r="Y3092" i="41" a="1"/>
  <c r="Y1719" i="41" a="1"/>
  <c r="Y2500" i="41" a="1"/>
  <c r="Y2217" i="41" a="1"/>
  <c r="Y2644" i="41" a="1"/>
  <c r="Y2361" i="41" a="1"/>
  <c r="Y2436" i="41" a="1"/>
  <c r="Y2688" i="41" a="1"/>
  <c r="Y147" i="41" a="1"/>
  <c r="Y2966" i="41" a="1"/>
  <c r="Y273" i="41" a="1"/>
  <c r="Y1480" i="41" a="1"/>
  <c r="Y1806" i="41" a="1"/>
  <c r="Y2694" i="41" a="1"/>
  <c r="Y1879" i="41" a="1"/>
  <c r="Y2359" i="41" a="1"/>
  <c r="Y79" i="41" a="1"/>
  <c r="Y760" i="41" a="1"/>
  <c r="Y1086" i="41" a="1"/>
  <c r="Y1253" i="41" a="1"/>
  <c r="Y1230" i="41" a="1"/>
  <c r="Y2118" i="41" a="1"/>
  <c r="Y1256" i="41" a="1"/>
  <c r="Y2963" i="41" a="1"/>
  <c r="Y1389" i="41" a="1"/>
  <c r="Y2824" i="41" a="1"/>
  <c r="Y1366" i="41" a="1"/>
  <c r="Y873" i="41" a="1"/>
  <c r="Y1163" i="41" a="1"/>
  <c r="Y2703" i="41" a="1"/>
  <c r="Y1248" i="41" a="1"/>
  <c r="Y39" i="41" a="1"/>
  <c r="Y2912" i="41" a="1"/>
  <c r="Y1804" i="41" a="1"/>
  <c r="Y2241" i="41" a="1"/>
  <c r="Y313" i="41" a="1"/>
  <c r="Y2568" i="41" a="1"/>
  <c r="Y26" i="41" a="1"/>
  <c r="Y2846" i="41" a="1"/>
  <c r="Y296" i="41" a="1"/>
  <c r="Y1360" i="41" a="1"/>
  <c r="Y1542" i="41" a="1"/>
  <c r="Y2574" i="41" a="1"/>
  <c r="Y1615" i="41" a="1"/>
  <c r="Y2239" i="41" a="1"/>
  <c r="Y102" i="41" a="1"/>
  <c r="Y3123" i="41" a="1"/>
  <c r="Y822" i="41" a="1"/>
  <c r="Y1133" i="41" a="1"/>
  <c r="Y966" i="41" a="1"/>
  <c r="Y1277" i="41" a="1"/>
  <c r="Y992" i="41" a="1"/>
  <c r="Y2843" i="41" a="1"/>
  <c r="Y1125" i="41" a="1"/>
  <c r="Y2704" i="41" a="1"/>
  <c r="Y1102" i="41" a="1"/>
  <c r="Y2557" i="41" a="1"/>
  <c r="Y899" i="41" a="1"/>
  <c r="Y2631" i="41" a="1"/>
  <c r="Y984" i="41" a="1"/>
  <c r="Y984" i="41" l="1"/>
  <c r="Y2631" i="41"/>
  <c r="Y899" i="41"/>
  <c r="Y2557" i="41"/>
  <c r="Y1102" i="41"/>
  <c r="Y2704" i="41"/>
  <c r="Y1125" i="41"/>
  <c r="Y2843" i="41"/>
  <c r="Y992" i="41"/>
  <c r="Y1277" i="41"/>
  <c r="Y966" i="41"/>
  <c r="Y1133" i="41"/>
  <c r="Y822" i="41"/>
  <c r="Y3123" i="41"/>
  <c r="Y102" i="41"/>
  <c r="Y2239" i="41"/>
  <c r="Y1615" i="41"/>
  <c r="Y2574" i="41"/>
  <c r="Y1542" i="41"/>
  <c r="Y1360" i="41"/>
  <c r="Y296" i="41"/>
  <c r="Y2846" i="41"/>
  <c r="Y26" i="41"/>
  <c r="Y2568" i="41"/>
  <c r="Y313" i="41"/>
  <c r="Y2241" i="41"/>
  <c r="Y1804" i="41"/>
  <c r="Y2912" i="41"/>
  <c r="Y39" i="41"/>
  <c r="Y1248" i="41"/>
  <c r="Y2703" i="41"/>
  <c r="Y1163" i="41"/>
  <c r="Y873" i="41"/>
  <c r="Y1366" i="41"/>
  <c r="Y2824" i="41"/>
  <c r="Y1389" i="41"/>
  <c r="Y2963" i="41"/>
  <c r="Y1256" i="41"/>
  <c r="Y2118" i="41"/>
  <c r="Y1230" i="41"/>
  <c r="Y1253" i="41"/>
  <c r="Y1086" i="41"/>
  <c r="Y760" i="41"/>
  <c r="Y79" i="41"/>
  <c r="Y2359" i="41"/>
  <c r="Y1879" i="41"/>
  <c r="Y2694" i="41"/>
  <c r="Y1806" i="41"/>
  <c r="Y1480" i="41"/>
  <c r="Y273" i="41"/>
  <c r="Y2966" i="41"/>
  <c r="Y147" i="41"/>
  <c r="Y2688" i="41"/>
  <c r="Y2436" i="41"/>
  <c r="Y2361" i="41"/>
  <c r="Y2644" i="41"/>
  <c r="Y2217" i="41"/>
  <c r="Y2500" i="41"/>
  <c r="Y1719" i="41"/>
  <c r="Y3092" i="41"/>
  <c r="Y2483" i="41"/>
  <c r="Y1223" i="41"/>
  <c r="Y2937" i="41"/>
  <c r="Y2537" i="41"/>
  <c r="Y472" i="41"/>
  <c r="Y2976" i="41"/>
  <c r="Y567" i="41"/>
  <c r="Y3114" i="41"/>
  <c r="Y482" i="41"/>
  <c r="Y2370" i="41"/>
  <c r="Y264" i="41"/>
  <c r="Y2786" i="41"/>
  <c r="Y120" i="41"/>
  <c r="Y2642" i="41"/>
  <c r="Y35" i="41"/>
  <c r="Y3088" i="41"/>
  <c r="Y3081" i="41"/>
  <c r="Y2501" i="41"/>
  <c r="Y616" i="41"/>
  <c r="Y3120" i="41"/>
  <c r="Y711" i="41"/>
  <c r="Y2179" i="41"/>
  <c r="Y626" i="41"/>
  <c r="Y2514" i="41"/>
  <c r="Y565" i="41"/>
  <c r="Y1300" i="41"/>
  <c r="Y323" i="41"/>
  <c r="Y2652" i="41"/>
  <c r="Y179" i="41"/>
  <c r="Y3137" i="41"/>
  <c r="Y382" i="41"/>
  <c r="Y1984" i="41"/>
  <c r="Y405" i="41"/>
  <c r="Y2671" i="41"/>
  <c r="Y2047" i="41"/>
  <c r="Y1309" i="41"/>
  <c r="Y2202" i="41"/>
  <c r="Y1639" i="41"/>
  <c r="Y988" i="41"/>
  <c r="Y996" i="41"/>
  <c r="Y2830" i="41"/>
  <c r="Y1554" i="41"/>
  <c r="Y2828" i="41"/>
  <c r="Y2637" i="41"/>
  <c r="Y1906" i="41"/>
  <c r="Y2220" i="41"/>
  <c r="Y2002" i="41"/>
  <c r="Y1380" i="41"/>
  <c r="Y2451" i="41"/>
  <c r="Y1938" i="41"/>
  <c r="Y842" i="41"/>
  <c r="Y2488" i="41"/>
  <c r="Y1208" i="41"/>
  <c r="Y3080" i="41"/>
  <c r="Y2034" i="41"/>
  <c r="Y2827" i="41"/>
  <c r="Y1184" i="41"/>
  <c r="Y712" i="41"/>
  <c r="Y734" i="41"/>
  <c r="Y2245" i="41"/>
  <c r="Y2764" i="41"/>
  <c r="Y695" i="41"/>
  <c r="Y1752" i="41"/>
  <c r="Y3049" i="41"/>
  <c r="Y2858" i="41"/>
  <c r="Y2795" i="41"/>
  <c r="Y1172" i="41"/>
  <c r="Y1627" i="41"/>
  <c r="Y2445" i="41"/>
  <c r="Y2969" i="41"/>
  <c r="Y1947" i="41"/>
  <c r="Y1974" i="41"/>
  <c r="Y1788" i="41"/>
  <c r="Y2951" i="41"/>
  <c r="Y1703" i="41"/>
  <c r="Y1595" i="41"/>
  <c r="Y474" i="41"/>
  <c r="Y1681" i="41"/>
  <c r="Y461" i="41"/>
  <c r="Y2011" i="41"/>
  <c r="Y927" i="41"/>
  <c r="Y2010" i="41"/>
  <c r="Y1341" i="41"/>
  <c r="Y2630" i="41"/>
  <c r="Y452" i="41"/>
  <c r="Y2352" i="41"/>
  <c r="Y2609" i="41"/>
  <c r="Y1276" i="41"/>
  <c r="Y710" i="41"/>
  <c r="Y357" i="41"/>
  <c r="Y1120" i="41"/>
  <c r="Y2464" i="41"/>
  <c r="Y2715" i="41"/>
  <c r="Y2783" i="41"/>
  <c r="Y2780" i="41"/>
  <c r="Y3073" i="41"/>
  <c r="Y1832" i="41"/>
  <c r="Y2215" i="41"/>
  <c r="Y1735" i="41"/>
  <c r="Y2550" i="41"/>
  <c r="Y1662" i="41"/>
  <c r="Y1336" i="41"/>
  <c r="Y129" i="41"/>
  <c r="Y2822" i="41"/>
  <c r="Y146" i="41"/>
  <c r="Y3034" i="41"/>
  <c r="Y931" i="41"/>
  <c r="Y2890" i="41"/>
  <c r="Y1002" i="41"/>
  <c r="Y2888" i="41"/>
  <c r="Y2356" i="41"/>
  <c r="Y2593" i="41"/>
  <c r="Y1577" i="41"/>
  <c r="Y2339" i="41"/>
  <c r="Y1714" i="41"/>
  <c r="Y2793" i="41"/>
  <c r="Y3113" i="41"/>
  <c r="Y328" i="41"/>
  <c r="Y2832" i="41"/>
  <c r="Y423" i="41"/>
  <c r="Y2369" i="41"/>
  <c r="Y421" i="41"/>
  <c r="Y1156" i="41"/>
  <c r="Y1848" i="41"/>
  <c r="Y1012" i="41"/>
  <c r="Y1763" i="41"/>
  <c r="Y2498" i="41"/>
  <c r="Y1058" i="41"/>
  <c r="Y2946" i="41"/>
  <c r="Y997" i="41"/>
  <c r="Y353" i="41"/>
  <c r="Y696" i="41"/>
  <c r="Y2343" i="41"/>
  <c r="Y611" i="41"/>
  <c r="Y2269" i="41"/>
  <c r="Y814" i="41"/>
  <c r="Y3152" i="41"/>
  <c r="Y848" i="41"/>
  <c r="Y3103" i="41"/>
  <c r="Y704" i="41"/>
  <c r="Y1709" i="41"/>
  <c r="Y607" i="41"/>
  <c r="Y845" i="41"/>
  <c r="Y1141" i="41"/>
  <c r="Y497" i="41"/>
  <c r="Y840" i="41"/>
  <c r="Y2487" i="41"/>
  <c r="Y755" i="41"/>
  <c r="Y2413" i="41"/>
  <c r="Y958" i="41"/>
  <c r="Y2560" i="41"/>
  <c r="Y981" i="41"/>
  <c r="Y1997" i="41"/>
  <c r="Y895" i="41"/>
  <c r="Y1853" i="41"/>
  <c r="Y751" i="41"/>
  <c r="Y989" i="41"/>
  <c r="Y678" i="41"/>
  <c r="Y2979" i="41"/>
  <c r="Y245" i="41"/>
  <c r="Y2905" i="41"/>
  <c r="Y2197" i="41"/>
  <c r="Y1153" i="41"/>
  <c r="Y1847" i="41"/>
  <c r="Y1483" i="41"/>
  <c r="Y2301" i="41"/>
  <c r="Y1272" i="41"/>
  <c r="Y1957" i="41"/>
  <c r="Y1830" i="41"/>
  <c r="Y1644" i="41"/>
  <c r="Y2578" i="41"/>
  <c r="Y403" i="41"/>
  <c r="Y1610" i="41"/>
  <c r="Y2910" i="41"/>
  <c r="Y1964" i="41"/>
  <c r="Y2096" i="41"/>
  <c r="Y2253" i="41"/>
  <c r="Y1174" i="41"/>
  <c r="Y1000" i="41"/>
  <c r="Y2271" i="41"/>
  <c r="Y2486" i="41"/>
  <c r="Y745" i="41"/>
  <c r="Y2375" i="41"/>
  <c r="Y1305" i="41"/>
  <c r="Y3050" i="41"/>
  <c r="Y1598" i="41"/>
  <c r="Y2608" i="41"/>
  <c r="Y92" i="41"/>
  <c r="Y2114" i="41"/>
  <c r="Y597" i="41"/>
  <c r="Y1455" i="41"/>
  <c r="Y2203" i="41"/>
  <c r="Y1370" i="41"/>
  <c r="Y2538" i="41"/>
  <c r="Y1903" i="41"/>
  <c r="Y505" i="41"/>
  <c r="Y2668" i="41"/>
  <c r="Y204" i="41"/>
  <c r="Y1242" i="41"/>
  <c r="Y633" i="41"/>
  <c r="Y1936" i="41"/>
  <c r="Y500" i="41"/>
  <c r="Y2710" i="41"/>
  <c r="Y3005" i="41"/>
  <c r="Y2097" i="41"/>
  <c r="Y2098" i="41"/>
  <c r="Y266" i="41"/>
  <c r="Y971" i="41"/>
  <c r="Y2214" i="41"/>
  <c r="Y81" i="41"/>
  <c r="Y1959" i="41"/>
  <c r="Y2178" i="41"/>
  <c r="Y1886" i="41"/>
  <c r="Y293" i="41"/>
  <c r="Y1434" i="41"/>
  <c r="Y2046" i="41"/>
  <c r="Y1353" i="41"/>
  <c r="Y175" i="41"/>
  <c r="Y765" i="41"/>
  <c r="Y1358" i="41"/>
  <c r="Y1949" i="41"/>
  <c r="Y2523" i="41"/>
  <c r="Y232" i="41"/>
  <c r="Y2449" i="41"/>
  <c r="Y1001" i="41"/>
  <c r="Y2195" i="41"/>
  <c r="Y1881" i="41"/>
  <c r="Y2649" i="41"/>
  <c r="Y2932" i="41"/>
  <c r="Y2151" i="41"/>
  <c r="Y3071" i="41"/>
  <c r="Y338" i="41"/>
  <c r="Y2226" i="41"/>
  <c r="Y2017" i="41"/>
  <c r="Y2082" i="41"/>
  <c r="Y1704" i="41"/>
  <c r="Y868" i="41"/>
  <c r="Y999" i="41"/>
  <c r="Y2467" i="41"/>
  <c r="Y914" i="41"/>
  <c r="Y2802" i="41"/>
  <c r="Y853" i="41"/>
  <c r="Y1588" i="41"/>
  <c r="Y552" i="41"/>
  <c r="Y3086" i="41"/>
  <c r="Y467" i="41"/>
  <c r="Y2416" i="41"/>
  <c r="Y837" i="41"/>
  <c r="Y2272" i="41"/>
  <c r="Y693" i="41"/>
  <c r="Y2959" i="41"/>
  <c r="Y560" i="41"/>
  <c r="Y1565" i="41"/>
  <c r="Y1390" i="41"/>
  <c r="Y2849" i="41"/>
  <c r="Y1413" i="41"/>
  <c r="Y3131" i="41"/>
  <c r="Y1280" i="41"/>
  <c r="Y2285" i="41"/>
  <c r="Y1183" i="41"/>
  <c r="Y2142" i="41"/>
  <c r="Y1110" i="41"/>
  <c r="Y2558" i="41"/>
  <c r="Y2284" i="41"/>
  <c r="Y2414" i="41"/>
  <c r="Y2874" i="41"/>
  <c r="Y2136" i="41"/>
  <c r="Y994" i="41"/>
  <c r="Y3053" i="41"/>
  <c r="Y1557" i="41"/>
  <c r="Y2892" i="41"/>
  <c r="Y1424" i="41"/>
  <c r="Y2429" i="41"/>
  <c r="Y1327" i="41"/>
  <c r="Y2286" i="41"/>
  <c r="Y1254" i="41"/>
  <c r="Y1072" i="41"/>
  <c r="Y8" i="41"/>
  <c r="Y2424" i="41"/>
  <c r="Y300" i="41"/>
  <c r="Y2280" i="41"/>
  <c r="Y503" i="41"/>
  <c r="Y2626" i="41"/>
  <c r="Y2693" i="41"/>
  <c r="Y2624" i="41"/>
  <c r="Y3000" i="41"/>
  <c r="Y1311" i="41"/>
  <c r="Y3138" i="41"/>
  <c r="Y1429" i="41"/>
  <c r="Y422" i="41"/>
  <c r="Y1759" i="41"/>
  <c r="Y361" i="41"/>
  <c r="Y540" i="41"/>
  <c r="Y466" i="41"/>
  <c r="Y1098" i="41"/>
  <c r="Y489" i="41"/>
  <c r="Y2364" i="41"/>
  <c r="Y1655" i="41"/>
  <c r="Y1930" i="41"/>
  <c r="Y2555" i="41"/>
  <c r="Y65" i="41"/>
  <c r="Y912" i="41"/>
  <c r="Y2213" i="41"/>
  <c r="Y1470" i="41"/>
  <c r="Y2313" i="41"/>
  <c r="Y2177" i="41"/>
  <c r="Y1815" i="41"/>
  <c r="Y2742" i="41"/>
  <c r="Y1338" i="41"/>
  <c r="Y333" i="41"/>
  <c r="Y566" i="41"/>
  <c r="Y909" i="41"/>
  <c r="Y349" i="41"/>
  <c r="Y150" i="41"/>
  <c r="Y1499" i="41"/>
  <c r="Y2437" i="41"/>
  <c r="Y1702" i="41"/>
  <c r="Y2183" i="41"/>
  <c r="Y1171" i="41"/>
  <c r="Y921" i="41"/>
  <c r="Y3040" i="41"/>
  <c r="Y788" i="41"/>
  <c r="Y439" i="41"/>
  <c r="Y186" i="41"/>
  <c r="Y1780" i="41"/>
  <c r="Y97" i="41"/>
  <c r="Y1837" i="41"/>
  <c r="Y605" i="41"/>
  <c r="Y498" i="41"/>
  <c r="Y1213" i="41"/>
  <c r="Y3059" i="41"/>
  <c r="Y1543" i="41"/>
  <c r="Y1859" i="41"/>
  <c r="Y3023" i="41"/>
  <c r="Y216" i="41"/>
  <c r="Y1823" i="41"/>
  <c r="Y131" i="41"/>
  <c r="Y2985" i="41"/>
  <c r="Y742" i="41"/>
  <c r="Y894" i="41"/>
  <c r="Y2577" i="41"/>
  <c r="Y1620" i="41"/>
  <c r="Y1635" i="41"/>
  <c r="Y823" i="41"/>
  <c r="Y1690" i="41"/>
  <c r="Y640" i="41"/>
  <c r="Y2807" i="41"/>
  <c r="Y735" i="41"/>
  <c r="Y1961" i="41"/>
  <c r="Y650" i="41"/>
  <c r="Y1097" i="41"/>
  <c r="Y589" i="41"/>
  <c r="Y3087" i="41"/>
  <c r="Y288" i="41"/>
  <c r="Y3013" i="41"/>
  <c r="Y550" i="41"/>
  <c r="Y2302" i="41"/>
  <c r="Y406" i="41"/>
  <c r="Y2158" i="41"/>
  <c r="Y429" i="41"/>
  <c r="Y2156" i="41"/>
  <c r="Y923" i="41"/>
  <c r="Y2532" i="41"/>
  <c r="Y1126" i="41"/>
  <c r="Y2525" i="41"/>
  <c r="Y2261" i="41"/>
  <c r="Y904" i="41"/>
  <c r="Y2838" i="41"/>
  <c r="Y3122" i="41"/>
  <c r="Y1907" i="41"/>
  <c r="Y1863" i="41"/>
  <c r="Y389" i="41"/>
  <c r="Y2305" i="41"/>
  <c r="Y2505" i="41"/>
  <c r="Y1934" i="41"/>
  <c r="Y1560" i="41"/>
  <c r="Y1722" i="41"/>
  <c r="Y1193" i="41"/>
  <c r="Y1586" i="41"/>
  <c r="Y3084" i="41"/>
  <c r="Y624" i="41"/>
  <c r="Y2561" i="41"/>
  <c r="Y416" i="41"/>
  <c r="Y1132" i="41"/>
  <c r="Y2972" i="41"/>
  <c r="Y2073" i="41"/>
  <c r="Y2521" i="41"/>
  <c r="Y1255" i="41"/>
  <c r="Y1302" i="41"/>
  <c r="Y1825" i="41"/>
  <c r="Y727" i="41"/>
  <c r="Y821" i="41"/>
  <c r="Y654" i="41"/>
  <c r="Y1368" i="41"/>
  <c r="Y2028" i="41"/>
  <c r="Y1283" i="41"/>
  <c r="Y2374" i="41"/>
  <c r="Y1664" i="41"/>
  <c r="Y1262" i="41"/>
  <c r="Y1567" i="41"/>
  <c r="Y1201" i="41"/>
  <c r="Y2044" i="41"/>
  <c r="Y165" i="41"/>
  <c r="Y2540" i="41"/>
  <c r="Y316" i="41"/>
  <c r="Y1618" i="41"/>
  <c r="Y77" i="41"/>
  <c r="Y52" i="41"/>
  <c r="Y1166" i="41"/>
  <c r="Y2478" i="41"/>
  <c r="Y1105" i="41"/>
  <c r="Y1219" i="41"/>
  <c r="Y180" i="41"/>
  <c r="Y2991" i="41"/>
  <c r="Y1708" i="41"/>
  <c r="Y217" i="41"/>
  <c r="Y2696" i="41"/>
  <c r="Y1860" i="41"/>
  <c r="Y262" i="41"/>
  <c r="Y1993" i="41"/>
  <c r="Y124" i="41"/>
  <c r="Y1680" i="41"/>
  <c r="Y2977" i="41"/>
  <c r="Y3124" i="41"/>
  <c r="Y2723" i="41"/>
  <c r="Y1876" i="41"/>
  <c r="Y1095" i="41"/>
  <c r="Y593" i="41"/>
  <c r="Y1010" i="41"/>
  <c r="Y2583" i="41"/>
  <c r="Y1376" i="41"/>
  <c r="Y2383" i="41"/>
  <c r="Y2731" i="41"/>
  <c r="Y1402" i="41"/>
  <c r="Y2254" i="41"/>
  <c r="Y2250" i="41"/>
  <c r="Y1127" i="41"/>
  <c r="Y2109" i="41"/>
  <c r="Y237" i="41"/>
  <c r="Y2441" i="41"/>
  <c r="Y1671" i="41"/>
  <c r="Y1150" i="41"/>
  <c r="Y218" i="41"/>
  <c r="Y1087" i="41"/>
  <c r="Y320" i="41"/>
  <c r="Y870" i="41"/>
  <c r="Y239" i="41"/>
  <c r="Y54" i="41"/>
  <c r="Y2056" i="41"/>
  <c r="Y3094" i="41"/>
  <c r="Y539" i="41"/>
  <c r="Y1511" i="41"/>
  <c r="Y1991" i="41"/>
  <c r="Y2397" i="41"/>
  <c r="Y974" i="41"/>
  <c r="Y1733" i="41"/>
  <c r="Y1621" i="41"/>
  <c r="Y1726" i="41"/>
  <c r="Y251" i="41"/>
  <c r="Y3075" i="41"/>
  <c r="Y260" i="41"/>
  <c r="Y2641" i="41"/>
  <c r="Y2362" i="41"/>
  <c r="Y2848" i="41"/>
  <c r="Y2141" i="41"/>
  <c r="Y784" i="41"/>
  <c r="Y2718" i="41"/>
  <c r="Y2990" i="41"/>
  <c r="Y3058" i="41"/>
  <c r="Y1743" i="41"/>
  <c r="Y1648" i="41"/>
  <c r="Y2185" i="41"/>
  <c r="Y2385" i="41"/>
  <c r="Y1814" i="41"/>
  <c r="Y1440" i="41"/>
  <c r="Y697" i="41"/>
  <c r="Y1536" i="41"/>
  <c r="Y1754" i="41"/>
  <c r="Y2776" i="41"/>
  <c r="Y373" i="41"/>
  <c r="Y410" i="41"/>
  <c r="Y1779" i="41"/>
  <c r="Y2071" i="41"/>
  <c r="Y392" i="41"/>
  <c r="Y2325" i="41"/>
  <c r="Y346" i="41"/>
  <c r="Y2918" i="41"/>
  <c r="Y800" i="41"/>
  <c r="Y2948" i="41"/>
  <c r="Y1387" i="41"/>
  <c r="Y2376" i="41"/>
  <c r="Y1713" i="41"/>
  <c r="Y2722" i="41"/>
  <c r="Y1912" i="41"/>
  <c r="Y632" i="41"/>
  <c r="Y2599" i="41"/>
  <c r="Y535" i="41"/>
  <c r="Y2619" i="41"/>
  <c r="Y2053" i="41"/>
  <c r="Y2545" i="41"/>
  <c r="Y2669" i="41"/>
  <c r="Y949" i="41"/>
  <c r="Y2509" i="41"/>
  <c r="Y248" i="41"/>
  <c r="Y2336" i="41"/>
  <c r="Y1337" i="41"/>
  <c r="Y183" i="41"/>
  <c r="Y2252" i="41"/>
  <c r="Y555" i="41"/>
  <c r="Y1330" i="41"/>
  <c r="Y969" i="41"/>
  <c r="Y381" i="41"/>
  <c r="Y759" i="41"/>
  <c r="Y367" i="41"/>
  <c r="Y674" i="41"/>
  <c r="Y2553" i="41"/>
  <c r="Y718" i="41"/>
  <c r="Y227" i="41"/>
  <c r="Y2485" i="41"/>
  <c r="Y2326" i="41"/>
  <c r="Y570" i="41"/>
  <c r="Y2324" i="41"/>
  <c r="Y2224" i="41"/>
  <c r="Y1147" i="41"/>
  <c r="Y1862" i="41"/>
  <c r="Y1074" i="41"/>
  <c r="Y1789" i="41"/>
  <c r="Y569" i="41"/>
  <c r="Y1894" i="41"/>
  <c r="Y706" i="41"/>
  <c r="Y1917" i="41"/>
  <c r="Y2331" i="41"/>
  <c r="Y1367" i="41"/>
  <c r="Y648" i="41"/>
  <c r="Y2255" i="41"/>
  <c r="Y1206" i="41"/>
  <c r="Y2862" i="41"/>
  <c r="Y2443" i="41"/>
  <c r="Y1569" i="41"/>
  <c r="Y3021" i="41"/>
  <c r="Y2298" i="41"/>
  <c r="Y556" i="41"/>
  <c r="Y2598" i="41"/>
  <c r="Y1651" i="41"/>
  <c r="Y1384" i="41"/>
  <c r="Y3011" i="41"/>
  <c r="Y2409" i="41"/>
  <c r="Y2938" i="41"/>
  <c r="Y1364" i="41"/>
  <c r="Y139" i="41"/>
  <c r="Y1162" i="41"/>
  <c r="Y2901" i="41"/>
  <c r="Y2887" i="41"/>
  <c r="Y1605" i="41"/>
  <c r="Y1091" i="41"/>
  <c r="Y1715" i="41"/>
  <c r="Y2589" i="41"/>
  <c r="Y608" i="41"/>
  <c r="Y756" i="41"/>
  <c r="Y3112" i="41"/>
  <c r="Y1026" i="41"/>
  <c r="Y1477" i="41"/>
  <c r="Y1016" i="41"/>
  <c r="Y270" i="41"/>
  <c r="Y3153" i="41"/>
  <c r="Y33" i="41"/>
  <c r="Y2541" i="41"/>
  <c r="Y3091" i="41"/>
  <c r="Y1553" i="41"/>
  <c r="Y51" i="41"/>
  <c r="Y1146" i="41"/>
  <c r="Y1841" i="41"/>
  <c r="Y833" i="41"/>
  <c r="Y2749" i="41"/>
  <c r="Y945" i="41"/>
  <c r="Y210" i="41"/>
  <c r="Y663" i="41"/>
  <c r="Y647" i="41"/>
  <c r="Y2389" i="41"/>
  <c r="Y2772" i="41"/>
  <c r="Y2808" i="41"/>
  <c r="Y1214" i="41"/>
  <c r="Y277" i="41"/>
  <c r="Y3108" i="41"/>
  <c r="Y1054" i="41"/>
  <c r="Y473" i="41"/>
  <c r="Y854" i="41"/>
  <c r="Y2209" i="41"/>
  <c r="Y3035" i="41"/>
  <c r="Y1453" i="41"/>
  <c r="Y1468" i="41"/>
  <c r="Y2812" i="41"/>
  <c r="Y348" i="41"/>
  <c r="Y2676" i="41"/>
  <c r="Y263" i="41"/>
  <c r="Y2080" i="41"/>
  <c r="Y644" i="41"/>
  <c r="Y1944" i="41"/>
  <c r="Y547" i="41"/>
  <c r="Y2852" i="41"/>
  <c r="Y1744" i="41"/>
  <c r="Y369" i="41"/>
  <c r="Y2240" i="41"/>
  <c r="Y2782" i="41"/>
  <c r="Y1318" i="41"/>
  <c r="Y1144" i="41"/>
  <c r="Y425" i="41"/>
  <c r="Y2030" i="41"/>
  <c r="Y1108" i="41"/>
  <c r="Y1969" i="41"/>
  <c r="Y2427" i="41"/>
  <c r="Y2190" i="41"/>
  <c r="Y2962" i="41"/>
  <c r="Y93" i="41"/>
  <c r="Y3044" i="41"/>
  <c r="Y31" i="41"/>
  <c r="Y1578" i="41"/>
  <c r="Y2187" i="41"/>
  <c r="Y534" i="41"/>
  <c r="Y2835" i="41"/>
  <c r="Y101" i="41"/>
  <c r="Y2605" i="41"/>
  <c r="Y2628" i="41"/>
  <c r="Y1009" i="41"/>
  <c r="Y2974" i="41"/>
  <c r="Y2771" i="41"/>
  <c r="Y1874" i="41"/>
  <c r="Y1128" i="41"/>
  <c r="Y1801" i="41"/>
  <c r="Y2911" i="41"/>
  <c r="Y356" i="41"/>
  <c r="Y1539" i="41"/>
  <c r="Y2431" i="41"/>
  <c r="Y1953" i="41"/>
  <c r="Y3009" i="41"/>
  <c r="Y265" i="41"/>
  <c r="Y827" i="41"/>
  <c r="Y2070" i="41"/>
  <c r="Y224" i="41"/>
  <c r="Y856" i="41"/>
  <c r="Y2539" i="41"/>
  <c r="Y2085" i="41"/>
  <c r="Y2282" i="41"/>
  <c r="Y1316" i="41"/>
  <c r="Y3051" i="41"/>
  <c r="Y236" i="41"/>
  <c r="Y1065" i="41"/>
  <c r="Y476" i="41"/>
  <c r="Y430" i="41"/>
  <c r="Y163" i="41"/>
  <c r="Y2150" i="41"/>
  <c r="Y2504" i="41"/>
  <c r="Y1852" i="41"/>
  <c r="Y2983" i="41"/>
  <c r="Y1538" i="41"/>
  <c r="Y1379" i="41"/>
  <c r="Y161" i="41"/>
  <c r="Y117" i="41"/>
  <c r="Y1571" i="41"/>
  <c r="Y1616" i="41"/>
  <c r="Y2079" i="41"/>
  <c r="Y1329" i="41"/>
  <c r="Y2571" i="41"/>
  <c r="Y2019" i="41"/>
  <c r="Y1716" i="41"/>
  <c r="Y1487" i="41"/>
  <c r="Y721" i="41"/>
  <c r="Y335" i="41"/>
  <c r="Y572" i="41"/>
  <c r="Y331" i="41"/>
  <c r="Y564" i="41"/>
  <c r="Y682" i="41"/>
  <c r="Y619" i="41"/>
  <c r="Y402" i="41"/>
  <c r="Y2971" i="41"/>
  <c r="Y2266" i="41"/>
  <c r="Y1093" i="41"/>
  <c r="Y1481" i="41"/>
  <c r="Y1474" i="41"/>
  <c r="Y334" i="41"/>
  <c r="Y2148" i="41"/>
  <c r="Y1617" i="41"/>
  <c r="Y1541" i="41"/>
  <c r="Y1224" i="41"/>
  <c r="Y1520" i="41"/>
  <c r="Y2398" i="41"/>
  <c r="Y46" i="41"/>
  <c r="Y1482" i="41"/>
  <c r="Y885" i="41"/>
  <c r="Y1514" i="41"/>
  <c r="Y1869" i="41"/>
  <c r="Y2781" i="41"/>
  <c r="Y2681" i="41"/>
  <c r="Y932" i="41"/>
  <c r="Y3001" i="41"/>
  <c r="Y835" i="41"/>
  <c r="Y1924" i="41"/>
  <c r="Y184" i="41"/>
  <c r="Y2508" i="41"/>
  <c r="Y1308" i="41"/>
  <c r="Y1668" i="41"/>
  <c r="Y2739" i="41"/>
  <c r="Y209" i="41"/>
  <c r="Y1056" i="41"/>
  <c r="Y2357" i="41"/>
  <c r="Y1614" i="41"/>
  <c r="Y2457" i="41"/>
  <c r="Y2321" i="41"/>
  <c r="Y275" i="41"/>
  <c r="Y2421" i="41"/>
  <c r="Y478" i="41"/>
  <c r="Y664" i="41"/>
  <c r="Y1038" i="41"/>
  <c r="Y2164" i="41"/>
  <c r="Y637" i="41"/>
  <c r="Y671" i="41"/>
  <c r="Y1044" i="41"/>
  <c r="Y379" i="41"/>
  <c r="Y2482" i="41"/>
  <c r="Y2657" i="41"/>
  <c r="Y2480" i="41"/>
  <c r="Y2856" i="41"/>
  <c r="Y2881" i="41"/>
  <c r="Y363" i="41"/>
  <c r="Y1285" i="41"/>
  <c r="Y2101" i="41"/>
  <c r="Y2039" i="41"/>
  <c r="Y119" i="41"/>
  <c r="Y396" i="41"/>
  <c r="Y322" i="41"/>
  <c r="Y2755" i="41"/>
  <c r="Y2549" i="41"/>
  <c r="Y1583" i="41"/>
  <c r="Y2665" i="41"/>
  <c r="Y354" i="41"/>
  <c r="Y1069" i="41"/>
  <c r="Y2915" i="41"/>
  <c r="Y1399" i="41"/>
  <c r="Y2986" i="41"/>
  <c r="Y2879" i="41"/>
  <c r="Y2984" i="41"/>
  <c r="Y2263" i="41"/>
  <c r="Y1042" i="41"/>
  <c r="Y1194" i="41"/>
  <c r="Y2906" i="41"/>
  <c r="Y493" i="41"/>
  <c r="Y2289" i="41"/>
  <c r="Y154" i="41"/>
  <c r="Y726" i="41"/>
  <c r="Y511" i="41"/>
  <c r="Y2152" i="41"/>
  <c r="Y1479" i="41"/>
  <c r="Y1320" i="41"/>
  <c r="Y2048" i="41"/>
  <c r="Y2294" i="41"/>
  <c r="Y1870" i="41"/>
  <c r="Y1951" i="41"/>
  <c r="Y2025" i="41"/>
  <c r="Y630" i="41"/>
  <c r="Y839" i="41"/>
  <c r="Y2438" i="41"/>
  <c r="Y1889" i="41"/>
  <c r="Y19" i="41"/>
  <c r="Y2968" i="41"/>
  <c r="Y1866" i="41"/>
  <c r="Y3031" i="41"/>
  <c r="Y3151" i="41"/>
  <c r="Y1599" i="41"/>
  <c r="Y2347" i="41"/>
  <c r="Y2363" i="41"/>
  <c r="Y286" i="41"/>
  <c r="Y2817" i="41"/>
  <c r="Y2380" i="41"/>
  <c r="Y352" i="41"/>
  <c r="Y3067" i="41"/>
  <c r="Y447" i="41"/>
  <c r="Y1673" i="41"/>
  <c r="Y362" i="41"/>
  <c r="Y809" i="41"/>
  <c r="Y144" i="41"/>
  <c r="Y2869" i="41"/>
  <c r="Y1787" i="41"/>
  <c r="Y2725" i="41"/>
  <c r="Y1990" i="41"/>
  <c r="Y2471" i="41"/>
  <c r="Y2961" i="41"/>
  <c r="Y2524" i="41"/>
  <c r="Y496" i="41"/>
  <c r="Y3116" i="41"/>
  <c r="Y591" i="41"/>
  <c r="Y1817" i="41"/>
  <c r="Y506" i="41"/>
  <c r="Y953" i="41"/>
  <c r="Y445" i="41"/>
  <c r="Y2943" i="41"/>
  <c r="Y203" i="41"/>
  <c r="Y2759" i="41"/>
  <c r="Y59" i="41"/>
  <c r="Y2615" i="41"/>
  <c r="Y2157" i="41"/>
  <c r="Y3069" i="41"/>
  <c r="Y2024" i="41"/>
  <c r="Y604" i="41"/>
  <c r="Y1927" i="41"/>
  <c r="Y699" i="41"/>
  <c r="Y1693" i="41"/>
  <c r="Y1050" i="41"/>
  <c r="Y2023" i="41"/>
  <c r="Y43" i="41"/>
  <c r="Y2998" i="41"/>
  <c r="Y3136" i="41"/>
  <c r="Y2996" i="41"/>
  <c r="Y1888" i="41"/>
  <c r="Y2074" i="41"/>
  <c r="Y2699" i="41"/>
  <c r="Y2004" i="41"/>
  <c r="Y1462" i="41"/>
  <c r="Y1288" i="41"/>
  <c r="Y2730" i="41"/>
  <c r="Y375" i="41"/>
  <c r="Y1252" i="41"/>
  <c r="Y789" i="41"/>
  <c r="Y2138" i="41"/>
  <c r="Y656" i="41"/>
  <c r="Y962" i="41"/>
  <c r="Y820" i="41"/>
  <c r="Y613" i="41"/>
  <c r="Y2804" i="41"/>
  <c r="Y80" i="41"/>
  <c r="Y1484" i="41"/>
  <c r="Y1905" i="41"/>
  <c r="Y3129" i="41"/>
  <c r="Y2107" i="41"/>
  <c r="Y887" i="41"/>
  <c r="Y1079" i="41"/>
  <c r="Y1090" i="41"/>
  <c r="Y2613" i="41"/>
  <c r="Y2320" i="41"/>
  <c r="Y2115" i="41"/>
  <c r="Y3007" i="41"/>
  <c r="Y385" i="41"/>
  <c r="Y3027" i="41"/>
  <c r="Y84" i="41"/>
  <c r="Y2953" i="41"/>
  <c r="Y642" i="41"/>
  <c r="Y1357" i="41"/>
  <c r="Y2502" i="41"/>
  <c r="Y34" i="41"/>
  <c r="Y2247" i="41"/>
  <c r="Y2466" i="41"/>
  <c r="Y766" i="41"/>
  <c r="Y2211" i="41"/>
  <c r="Y1228" i="41"/>
  <c r="Y730" i="41"/>
  <c r="Y1449" i="41"/>
  <c r="Y1461" i="41"/>
  <c r="Y465" i="41"/>
  <c r="Y74" i="41"/>
  <c r="Y1675" i="41"/>
  <c r="Y815" i="41"/>
  <c r="Y2559" i="41"/>
  <c r="Y230" i="41"/>
  <c r="Y2303" i="41"/>
  <c r="Y1382" i="41"/>
  <c r="Y3036" i="41"/>
  <c r="Y1568" i="41"/>
  <c r="Y2095" i="41"/>
  <c r="Y1471" i="41"/>
  <c r="Y2430" i="41"/>
  <c r="Y1398" i="41"/>
  <c r="Y1216" i="41"/>
  <c r="Y152" i="41"/>
  <c r="Y2702" i="41"/>
  <c r="Y169" i="41"/>
  <c r="Y2914" i="41"/>
  <c r="Y2585" i="41"/>
  <c r="Y2770" i="41"/>
  <c r="Y2861" i="41"/>
  <c r="Y2768" i="41"/>
  <c r="Y3144" i="41"/>
  <c r="Y2473" i="41"/>
  <c r="Y2348" i="41"/>
  <c r="Y2219" i="41"/>
  <c r="Y282" i="41"/>
  <c r="Y2673" i="41"/>
  <c r="Y2236" i="41"/>
  <c r="Y2175" i="41"/>
  <c r="Y2923" i="41"/>
  <c r="Y2102" i="41"/>
  <c r="Y1529" i="41"/>
  <c r="Y301" i="41"/>
  <c r="Y2799" i="41"/>
  <c r="Y1728" i="41"/>
  <c r="Y2655" i="41"/>
  <c r="Y1643" i="41"/>
  <c r="Y2581" i="41"/>
  <c r="Y938" i="41"/>
  <c r="Y2106" i="41"/>
  <c r="Y877" i="41"/>
  <c r="Y892" i="41"/>
  <c r="Y576" i="41"/>
  <c r="Y2378" i="41"/>
  <c r="Y491" i="41"/>
  <c r="Y2100" i="41"/>
  <c r="Y694" i="41"/>
  <c r="Y2446" i="41"/>
  <c r="Y728" i="41"/>
  <c r="Y1275" i="41"/>
  <c r="Y584" i="41"/>
  <c r="Y1131" i="41"/>
  <c r="Y487" i="41"/>
  <c r="Y1046" i="41"/>
  <c r="Y1021" i="41"/>
  <c r="Y1036" i="41"/>
  <c r="Y720" i="41"/>
  <c r="Y2522" i="41"/>
  <c r="Y635" i="41"/>
  <c r="Y2244" i="41"/>
  <c r="Y838" i="41"/>
  <c r="Y2590" i="41"/>
  <c r="Y861" i="41"/>
  <c r="Y2588" i="41"/>
  <c r="Y775" i="41"/>
  <c r="Y1334" i="41"/>
  <c r="Y631" i="41"/>
  <c r="Y1190" i="41"/>
  <c r="Y558" i="41"/>
  <c r="Y1129" i="41"/>
  <c r="Y125" i="41"/>
  <c r="Y828" i="41"/>
  <c r="Y1433" i="41"/>
  <c r="Y743" i="41"/>
  <c r="Y2015" i="41"/>
  <c r="Y137" i="41"/>
  <c r="Y2469" i="41"/>
  <c r="Y2176" i="41"/>
  <c r="Y302" i="41"/>
  <c r="Y893" i="41"/>
  <c r="Y1812" i="41"/>
  <c r="Y2883" i="41"/>
  <c r="Y571" i="41"/>
  <c r="Y1274" i="41"/>
  <c r="Y3102" i="41"/>
  <c r="Y1758" i="41"/>
  <c r="Y2601" i="41"/>
  <c r="Y3066" i="41"/>
  <c r="Y419" i="41"/>
  <c r="Y2565" i="41"/>
  <c r="Y55" i="41"/>
  <c r="Y383" i="41"/>
  <c r="Y3002" i="41"/>
  <c r="Y1294" i="41"/>
  <c r="Y874" i="41"/>
  <c r="Y1158" i="41"/>
  <c r="Y1916" i="41"/>
  <c r="Y1764" i="41"/>
  <c r="Y87" i="41"/>
  <c r="Y212" i="41"/>
  <c r="Y1970" i="41"/>
  <c r="Y2659" i="41"/>
  <c r="Y1459" i="41"/>
  <c r="Y2994" i="41"/>
  <c r="Y1386" i="41"/>
  <c r="Y673" i="41"/>
  <c r="Y832" i="41"/>
  <c r="Y372" i="41"/>
  <c r="Y2318" i="41"/>
  <c r="Y801" i="41"/>
  <c r="Y2672" i="41"/>
  <c r="Y668" i="41"/>
  <c r="Y1359" i="41"/>
  <c r="Y1161" i="41"/>
  <c r="Y1773" i="41"/>
  <c r="Y2147" i="41"/>
  <c r="Y2928" i="41"/>
  <c r="Y504" i="41"/>
  <c r="Y2111" i="41"/>
  <c r="Y1062" i="41"/>
  <c r="Y557" i="41"/>
  <c r="Y2299" i="41"/>
  <c r="Y1023" i="41"/>
  <c r="Y2634" i="41"/>
  <c r="Y201" i="41"/>
  <c r="Y172" i="41"/>
  <c r="Y1145" i="41"/>
  <c r="Y1602" i="41"/>
  <c r="Y2165" i="41"/>
  <c r="Y3070" i="41"/>
  <c r="Y2208" i="41"/>
  <c r="Y1685" i="41"/>
  <c r="Y2403" i="41"/>
  <c r="Y315" i="41"/>
  <c r="Y2329" i="41"/>
  <c r="Y1323" i="41"/>
  <c r="Y2075" i="41"/>
  <c r="Y62" i="41"/>
  <c r="Y2529" i="41"/>
  <c r="Y2092" i="41"/>
  <c r="Y2031" i="41"/>
  <c r="Y2779" i="41"/>
  <c r="Y2041" i="41"/>
  <c r="Y665" i="41"/>
  <c r="Y1897" i="41"/>
  <c r="Y521" i="41"/>
  <c r="Y1584" i="41"/>
  <c r="Y2511" i="41"/>
  <c r="Y879" i="41"/>
  <c r="Y2105" i="41"/>
  <c r="Y794" i="41"/>
  <c r="Y1241" i="41"/>
  <c r="Y733" i="41"/>
  <c r="Y748" i="41"/>
  <c r="Y432" i="41"/>
  <c r="Y2234" i="41"/>
  <c r="Y347" i="41"/>
  <c r="Y1956" i="41"/>
  <c r="Y717" i="41"/>
  <c r="Y2444" i="41"/>
  <c r="Y573" i="41"/>
  <c r="Y2300" i="41"/>
  <c r="Y440" i="41"/>
  <c r="Y987" i="41"/>
  <c r="Y1270" i="41"/>
  <c r="Y3022" i="41"/>
  <c r="Y1293" i="41"/>
  <c r="Y2205" i="41"/>
  <c r="Y1160" i="41"/>
  <c r="Y1707" i="41"/>
  <c r="Y1063" i="41"/>
  <c r="Y1634" i="41"/>
  <c r="Y990" i="41"/>
  <c r="Y1561" i="41"/>
  <c r="Y49" i="41"/>
  <c r="Y1319" i="41"/>
  <c r="Y2572" i="41"/>
  <c r="Y1175" i="41"/>
  <c r="Y889" i="41"/>
  <c r="Y1378" i="41"/>
  <c r="Y1437" i="41"/>
  <c r="Y2349" i="41"/>
  <c r="Y1304" i="41"/>
  <c r="Y1851" i="41"/>
  <c r="Y1207" i="41"/>
  <c r="Y1778" i="41"/>
  <c r="Y1134" i="41"/>
  <c r="Y1705" i="41"/>
  <c r="Y127" i="41"/>
  <c r="Y1404" i="41"/>
  <c r="Y459" i="41"/>
  <c r="Y1666" i="41"/>
  <c r="Y662" i="41"/>
  <c r="Y1522" i="41"/>
  <c r="Y3076" i="41"/>
  <c r="Y1545" i="41"/>
  <c r="Y1828" i="41"/>
  <c r="Y1412" i="41"/>
  <c r="Y2515" i="41"/>
  <c r="Y1315" i="41"/>
  <c r="Y590" i="41"/>
  <c r="Y1181" i="41"/>
  <c r="Y529" i="41"/>
  <c r="Y688" i="41"/>
  <c r="Y634" i="41"/>
  <c r="Y2530" i="41"/>
  <c r="Y657" i="41"/>
  <c r="Y2528" i="41"/>
  <c r="Y3061" i="41"/>
  <c r="Y1606" i="41"/>
  <c r="Y2257" i="41"/>
  <c r="Y2645" i="41"/>
  <c r="Y661" i="41"/>
  <c r="Y2221" i="41"/>
  <c r="Y991" i="41"/>
  <c r="Y625" i="41"/>
  <c r="Y3096" i="41"/>
  <c r="Y413" i="41"/>
  <c r="Y2155" i="41"/>
  <c r="Y1590" i="41"/>
  <c r="Y166" i="41"/>
  <c r="Y28" i="41"/>
  <c r="Y1531" i="41"/>
  <c r="Y2867" i="41"/>
  <c r="Y2440" i="41"/>
  <c r="Y2200" i="41"/>
  <c r="Y1765" i="41"/>
  <c r="Y2893" i="41"/>
  <c r="Y3149" i="41"/>
  <c r="Y2639" i="41"/>
  <c r="Y1611" i="41"/>
  <c r="Y1089" i="41"/>
  <c r="Y2960" i="41"/>
  <c r="Y956" i="41"/>
  <c r="Y1647" i="41"/>
  <c r="Y67" i="41"/>
  <c r="Y1488" i="41"/>
  <c r="Y9" i="41"/>
  <c r="Y1403" i="41"/>
  <c r="Y2646" i="41"/>
  <c r="Y178" i="41"/>
  <c r="Y722" i="41"/>
  <c r="Y2295" i="41"/>
  <c r="Y1088" i="41"/>
  <c r="Y686" i="41"/>
  <c r="Y2909" i="41"/>
  <c r="Y401" i="41"/>
  <c r="Y2533" i="41"/>
  <c r="Y867" i="41"/>
  <c r="Y2279" i="41"/>
  <c r="Y2916" i="41"/>
  <c r="Y896" i="41"/>
  <c r="Y3054" i="41"/>
  <c r="Y1426" i="41"/>
  <c r="Y2592" i="41"/>
  <c r="Y2582" i="41"/>
  <c r="Y2135" i="41"/>
  <c r="Y2112" i="41"/>
  <c r="Y2880" i="41"/>
  <c r="Y836" i="41"/>
  <c r="Y2417" i="41"/>
  <c r="Y739" i="41"/>
  <c r="Y2274" i="41"/>
  <c r="Y666" i="41"/>
  <c r="Y1060" i="41"/>
  <c r="Y233" i="41"/>
  <c r="Y2546" i="41"/>
  <c r="Y11" i="41"/>
  <c r="Y2758" i="41"/>
  <c r="Y1892" i="41"/>
  <c r="Y2614" i="41"/>
  <c r="Y1939" i="41"/>
  <c r="Y2612" i="41"/>
  <c r="Y2512" i="41"/>
  <c r="Y2317" i="41"/>
  <c r="Y2395" i="41"/>
  <c r="Y2063" i="41"/>
  <c r="Y1533" i="41"/>
  <c r="Y1303" i="41"/>
  <c r="Y223" i="41"/>
  <c r="Y1950" i="41"/>
  <c r="Y291" i="41"/>
  <c r="Y596" i="41"/>
  <c r="Y3130" i="41"/>
  <c r="Y226" i="41"/>
  <c r="Y3135" i="41"/>
  <c r="Y2788" i="41"/>
  <c r="Y2081" i="41"/>
  <c r="Y724" i="41"/>
  <c r="Y2060" i="41"/>
  <c r="Y1710" i="41"/>
  <c r="Y2434" i="41"/>
  <c r="Y1642" i="41"/>
  <c r="Y1996" i="41"/>
  <c r="Y1033" i="41"/>
  <c r="Y1421" i="41"/>
  <c r="Y2897" i="41"/>
  <c r="Y1672" i="41"/>
  <c r="Y2566" i="41"/>
  <c r="Y214" i="41"/>
  <c r="Y1925" i="41"/>
  <c r="Y1742" i="41"/>
  <c r="Y2616" i="41"/>
  <c r="Y701" i="41"/>
  <c r="Y390" i="41"/>
  <c r="Y2933" i="41"/>
  <c r="Y2762" i="41"/>
  <c r="Y2461" i="41"/>
  <c r="Y2484" i="41"/>
  <c r="Y1816" i="41"/>
  <c r="Y1803" i="41"/>
  <c r="Y2627" i="41"/>
  <c r="Y1730" i="41"/>
  <c r="Y140" i="41"/>
  <c r="Y345" i="41"/>
  <c r="Y2708" i="41"/>
  <c r="Y3145" i="41"/>
  <c r="Y1786" i="41"/>
  <c r="Y2411" i="41"/>
  <c r="Y220" i="41"/>
  <c r="Y768" i="41"/>
  <c r="Y2069" i="41"/>
  <c r="Y1326" i="41"/>
  <c r="Y1205" i="41"/>
  <c r="Y17" i="41"/>
  <c r="Y1527" i="41"/>
  <c r="Y200" i="41"/>
  <c r="Y501" i="41"/>
  <c r="Y1321" i="41"/>
  <c r="Y1209" i="41"/>
  <c r="Y649" i="41"/>
  <c r="Y967" i="41"/>
  <c r="Y83" i="41"/>
  <c r="Y1717" i="41"/>
  <c r="Y1073" i="41"/>
  <c r="Y1416" i="41"/>
  <c r="Y3063" i="41"/>
  <c r="Y2206" i="41"/>
  <c r="Y2049" i="41"/>
  <c r="Y426" i="41"/>
  <c r="Y2651" i="41"/>
  <c r="Y1913" i="41"/>
  <c r="Y1008" i="41"/>
  <c r="Y1049" i="41"/>
  <c r="Y2647" i="41"/>
  <c r="Y1515" i="41"/>
  <c r="Y2767" i="41"/>
  <c r="Y1987" i="41"/>
  <c r="Y2422" i="41"/>
  <c r="Y2825" i="41"/>
  <c r="Y1295" i="41"/>
  <c r="Y2377" i="41"/>
  <c r="Y70" i="41"/>
  <c r="Y781" i="41"/>
  <c r="Y279" i="41"/>
  <c r="Y1777" i="41"/>
  <c r="Y1436" i="41"/>
  <c r="Y614" i="41"/>
  <c r="Y1106" i="41"/>
  <c r="Y148" i="41"/>
  <c r="Y1291" i="41"/>
  <c r="Y2794" i="41"/>
  <c r="Y1767" i="41"/>
  <c r="Y2316" i="41"/>
  <c r="Y85" i="41"/>
  <c r="Y1864" i="41"/>
  <c r="Y1052" i="41"/>
  <c r="Y1589" i="41"/>
  <c r="Y2929" i="41"/>
  <c r="Y2346" i="41"/>
  <c r="Y1466" i="41"/>
  <c r="Y2391" i="41"/>
  <c r="Y415" i="41"/>
  <c r="Y192" i="41"/>
  <c r="Y1313" i="41"/>
  <c r="Y582" i="41"/>
  <c r="Y2586" i="41"/>
  <c r="Y1269" i="41"/>
  <c r="Y1039" i="41"/>
  <c r="Y246" i="41"/>
  <c r="Y1686" i="41"/>
  <c r="Y27" i="41"/>
  <c r="Y3052" i="41"/>
  <c r="Y2491" i="41"/>
  <c r="Y297" i="41"/>
  <c r="Y1526" i="41"/>
  <c r="Y1948" i="41"/>
  <c r="Y2970" i="41"/>
  <c r="Y2367" i="41"/>
  <c r="Y754" i="41"/>
  <c r="Y762" i="41"/>
  <c r="Y1325" i="41"/>
  <c r="Y1496" i="41"/>
  <c r="Y2604" i="41"/>
  <c r="Y2306" i="41"/>
  <c r="Y843" i="41"/>
  <c r="Y187" i="41"/>
  <c r="Y2032" i="41"/>
  <c r="Y2242" i="41"/>
  <c r="Y2169" i="41"/>
  <c r="Y398" i="41"/>
  <c r="Y515" i="41"/>
  <c r="Y1340" i="41"/>
  <c r="Y603" i="41"/>
  <c r="Y2458" i="41"/>
  <c r="Y2597" i="41"/>
  <c r="Y1952" i="41"/>
  <c r="Y1550" i="41"/>
  <c r="Y1855" i="41"/>
  <c r="Y1489" i="41"/>
  <c r="Y123" i="41"/>
  <c r="Y1594" i="41"/>
  <c r="Y1682" i="41"/>
  <c r="Y130" i="41"/>
  <c r="Y3039" i="41"/>
  <c r="Y106" i="41"/>
  <c r="Y1356" i="41"/>
  <c r="Y2720" i="41"/>
  <c r="Y1914" i="41"/>
  <c r="Y2420" i="41"/>
  <c r="Y2940" i="41"/>
  <c r="Y1498" i="41"/>
  <c r="Y2123" i="41"/>
  <c r="Y1521" i="41"/>
  <c r="Y886" i="41"/>
  <c r="Y1918" i="41"/>
  <c r="Y2045" i="41"/>
  <c r="Y2218" i="41"/>
  <c r="Y2811" i="41"/>
  <c r="Y1592" i="41"/>
  <c r="Y1877" i="41"/>
  <c r="Y2921" i="41"/>
  <c r="Y502" i="41"/>
  <c r="Y1960" i="41"/>
  <c r="Y525" i="41"/>
  <c r="Y1383" i="41"/>
  <c r="Y881" i="41"/>
  <c r="Y1298" i="41"/>
  <c r="Y2871" i="41"/>
  <c r="Y1139" i="41"/>
  <c r="Y2230" i="41"/>
  <c r="Y1342" i="41"/>
  <c r="Y2228" i="41"/>
  <c r="Y29" i="41"/>
  <c r="Y2227" i="41"/>
  <c r="Y2965" i="41"/>
  <c r="Y1678" i="41"/>
  <c r="Y1369" i="41"/>
  <c r="Y1517" i="41"/>
  <c r="Y1699" i="41"/>
  <c r="Y2134" i="41"/>
  <c r="Y2896" i="41"/>
  <c r="Y2132" i="41"/>
  <c r="Y651" i="41"/>
  <c r="Y5" i="41"/>
  <c r="Y1446" i="41"/>
  <c r="Y3117" i="41"/>
  <c r="Y2675" i="41"/>
  <c r="Y2806" i="41"/>
  <c r="Y355" i="41"/>
  <c r="Y1170" i="41"/>
  <c r="Y351" i="41"/>
  <c r="Y3047" i="41"/>
  <c r="Y776" i="41"/>
  <c r="Y2950" i="41"/>
  <c r="Y1734" i="41"/>
  <c r="Y2891" i="41"/>
  <c r="Y612" i="41"/>
  <c r="Y620" i="41"/>
  <c r="Y2160" i="41"/>
  <c r="Y2037" i="41"/>
  <c r="Y3003" i="41"/>
  <c r="Y2878" i="41"/>
  <c r="Y1563" i="41"/>
  <c r="Y1260" i="41"/>
  <c r="Y1031" i="41"/>
  <c r="Y1836" i="41"/>
  <c r="Y1954" i="41"/>
  <c r="Y1891" i="41"/>
  <c r="Y1674" i="41"/>
  <c r="Y108" i="41"/>
  <c r="Y2121" i="41"/>
  <c r="Y1962" i="41"/>
  <c r="Y285" i="41"/>
  <c r="Y2140" i="41"/>
  <c r="Y2816" i="41"/>
  <c r="Y1344" i="41"/>
  <c r="Y1540" i="41"/>
  <c r="Y857" i="41"/>
  <c r="Y215" i="41"/>
  <c r="Y1372" i="41"/>
  <c r="Y464" i="41"/>
  <c r="Y1805" i="41"/>
  <c r="Y1691" i="41"/>
  <c r="Y1975" i="41"/>
  <c r="Y532" i="41"/>
  <c r="Y677" i="41"/>
  <c r="Y2310" i="41"/>
  <c r="Y1646" i="41"/>
  <c r="Y545" i="41"/>
  <c r="Y284" i="41"/>
  <c r="Y516" i="41"/>
  <c r="Y2462" i="41"/>
  <c r="Y431" i="41"/>
  <c r="Y2184" i="41"/>
  <c r="Y812" i="41"/>
  <c r="Y1503" i="41"/>
  <c r="Y715" i="41"/>
  <c r="Y1418" i="41"/>
  <c r="Y2993" i="41"/>
  <c r="Y1784" i="41"/>
  <c r="Y2745" i="41"/>
  <c r="Y2131" i="41"/>
  <c r="Y563" i="41"/>
  <c r="Y2709" i="41"/>
  <c r="Y199" i="41"/>
  <c r="Y1167" i="41"/>
  <c r="Y2778" i="41"/>
  <c r="Y1581" i="41"/>
  <c r="Y1564" i="41"/>
  <c r="Y219" i="41"/>
  <c r="Y1721" i="41"/>
  <c r="Y791" i="41"/>
  <c r="Y213" i="41"/>
  <c r="Y2166" i="41"/>
  <c r="Y2021" i="41"/>
  <c r="Y1656" i="41"/>
  <c r="Y414" i="41"/>
  <c r="Y985" i="41"/>
  <c r="Y280" i="41"/>
  <c r="Y684" i="41"/>
  <c r="Y2989" i="41"/>
  <c r="Y1179" i="41"/>
  <c r="Y1871" i="41"/>
  <c r="Y61" i="41"/>
  <c r="Y2042" i="41"/>
  <c r="Y1613" i="41"/>
  <c r="Y1981" i="41"/>
  <c r="Y749" i="41"/>
  <c r="Y524" i="41"/>
  <c r="Y1215" i="41"/>
  <c r="Y2820" i="41"/>
  <c r="Y1687" i="41"/>
  <c r="Y2003" i="41"/>
  <c r="Y2784" i="41"/>
  <c r="Y360" i="41"/>
  <c r="Y1967" i="41"/>
  <c r="Y918" i="41"/>
  <c r="Y324" i="41"/>
  <c r="Y198" i="41"/>
  <c r="Y947" i="41"/>
  <c r="Y1103" i="41"/>
  <c r="Y1040" i="41"/>
  <c r="Y586" i="41"/>
  <c r="Y1923" i="41"/>
  <c r="Y69" i="41"/>
  <c r="Y1314" i="41"/>
  <c r="Y1346" i="41"/>
  <c r="Y1250" i="41"/>
  <c r="Y891" i="41"/>
  <c r="Y2765" i="41"/>
  <c r="Y2009" i="41"/>
  <c r="Y926" i="41"/>
  <c r="Y2886" i="41"/>
  <c r="Y636" i="41"/>
  <c r="Y1745" i="41"/>
  <c r="Y468" i="41"/>
  <c r="Y2014" i="41"/>
  <c r="Y643" i="41"/>
  <c r="Y2648" i="41"/>
  <c r="Y732" i="41"/>
  <c r="Y2988" i="41"/>
  <c r="Y1312" i="41"/>
  <c r="Y2654" i="41"/>
  <c r="Y509" i="41"/>
  <c r="Y2425" i="41"/>
  <c r="Y304" i="41"/>
  <c r="Y2054" i="41"/>
  <c r="Y2643" i="41"/>
  <c r="Y2315" i="41"/>
  <c r="Y543" i="41"/>
  <c r="Y314" i="41"/>
  <c r="Y1739" i="41"/>
  <c r="Y2707" i="41"/>
  <c r="Y2653" i="41"/>
  <c r="Y327" i="41"/>
  <c r="Y3008" i="41"/>
  <c r="Y438" i="41"/>
  <c r="Y56" i="41"/>
  <c r="Y2490" i="41"/>
  <c r="Y583" i="41"/>
  <c r="Y1884" i="41"/>
  <c r="Y1118" i="41"/>
  <c r="Y2394" i="41"/>
  <c r="Y1107" i="41"/>
  <c r="Y1622" i="41"/>
  <c r="Y2682" i="41"/>
  <c r="Y2182" i="41"/>
  <c r="Y292" i="41"/>
  <c r="Y1100" i="41"/>
  <c r="Y1791" i="41"/>
  <c r="Y1003" i="41"/>
  <c r="Y1718" i="41"/>
  <c r="Y133" i="41"/>
  <c r="Y1547" i="41"/>
  <c r="Y2847" i="41"/>
  <c r="Y1750" i="41"/>
  <c r="Y1576" i="41"/>
  <c r="Y2860" i="41"/>
  <c r="Y805" i="41"/>
  <c r="Y2365" i="41"/>
  <c r="Y1135" i="41"/>
  <c r="Y769" i="41"/>
  <c r="Y3062" i="41"/>
  <c r="Y1011" i="41"/>
  <c r="Y2423" i="41"/>
  <c r="Y1425" i="41"/>
  <c r="Y2877" i="41"/>
  <c r="Y2119" i="41"/>
  <c r="Y1014" i="41"/>
  <c r="Y2454" i="41"/>
  <c r="Y2728" i="41"/>
  <c r="Y1811" i="41"/>
  <c r="Y2448" i="41"/>
  <c r="Y780" i="41"/>
  <c r="Y2837" i="41"/>
  <c r="Y1401" i="41"/>
  <c r="Y1684" i="41"/>
  <c r="Y1268" i="41"/>
  <c r="Y531" i="41"/>
  <c r="Y1901" i="41"/>
  <c r="Y446" i="41"/>
  <c r="Y1037" i="41"/>
  <c r="Y287" i="41"/>
  <c r="Y2040" i="41"/>
  <c r="Y490" i="41"/>
  <c r="Y2386" i="41"/>
  <c r="Y208" i="41"/>
  <c r="Y1259" i="41"/>
  <c r="Y3074" i="41"/>
  <c r="Y1858" i="41"/>
  <c r="Y578" i="41"/>
  <c r="Y3026" i="41"/>
  <c r="Y944" i="41"/>
  <c r="Y542" i="41"/>
  <c r="Y2945" i="41"/>
  <c r="Y908" i="41"/>
  <c r="Y2952" i="41"/>
  <c r="Y1519" i="41"/>
  <c r="Y1890" i="41"/>
  <c r="Y22" i="41"/>
  <c r="Y1628" i="41"/>
  <c r="Y2584" i="41"/>
  <c r="Y1748" i="41"/>
  <c r="Y1506" i="41"/>
  <c r="Y1623" i="41"/>
  <c r="Y1749" i="41"/>
  <c r="Y2662" i="41"/>
  <c r="Y1032" i="41"/>
  <c r="Y2204" i="41"/>
  <c r="Y2535" i="41"/>
  <c r="Y2757" i="41"/>
  <c r="Y2750" i="41"/>
  <c r="Y2026" i="41"/>
  <c r="Y667" i="41"/>
  <c r="Y1013" i="41"/>
  <c r="Y1464" i="41"/>
  <c r="Y1893" i="41"/>
  <c r="Y486" i="41"/>
  <c r="Y864" i="41"/>
  <c r="Y2666" i="41"/>
  <c r="Y779" i="41"/>
  <c r="Y2388" i="41"/>
  <c r="Y982" i="41"/>
  <c r="Y2734" i="41"/>
  <c r="Y1005" i="41"/>
  <c r="Y2732" i="41"/>
  <c r="Y872" i="41"/>
  <c r="Y1419" i="41"/>
  <c r="Y846" i="41"/>
  <c r="Y1417" i="41"/>
  <c r="Y702" i="41"/>
  <c r="Y1273" i="41"/>
  <c r="Y269" i="41"/>
  <c r="Y972" i="41"/>
  <c r="Y1495" i="41"/>
  <c r="Y2066" i="41"/>
  <c r="Y1422" i="41"/>
  <c r="Y2005" i="41"/>
  <c r="Y176" i="41"/>
  <c r="Y1692" i="41"/>
  <c r="Y50" i="41"/>
  <c r="Y1607" i="41"/>
  <c r="Y508" i="41"/>
  <c r="Y1810" i="41"/>
  <c r="Y2260" i="41"/>
  <c r="Y1844" i="41"/>
  <c r="Y2116" i="41"/>
  <c r="Y1700" i="41"/>
  <c r="Y2803" i="41"/>
  <c r="Y1603" i="41"/>
  <c r="Y2036" i="41"/>
  <c r="Y658" i="41"/>
  <c r="Y2836" i="41"/>
  <c r="Y681" i="41"/>
  <c r="Y2975" i="41"/>
  <c r="Y548" i="41"/>
  <c r="Y2129" i="41"/>
  <c r="Y451" i="41"/>
  <c r="Y1265" i="41"/>
  <c r="Y378" i="41"/>
  <c r="Y2402" i="41"/>
  <c r="Y121" i="41"/>
  <c r="Y2258" i="41"/>
  <c r="Y173" i="41"/>
  <c r="Y1980" i="41"/>
  <c r="Y2350" i="41"/>
  <c r="Y2741" i="41"/>
  <c r="Y825" i="41"/>
  <c r="Y3119" i="41"/>
  <c r="Y692" i="41"/>
  <c r="Y2273" i="41"/>
  <c r="Y595" i="41"/>
  <c r="Y2130" i="41"/>
  <c r="Y522" i="41"/>
  <c r="Y916" i="41"/>
  <c r="Y89" i="41"/>
  <c r="Y2268" i="41"/>
  <c r="Y2629" i="41"/>
  <c r="Y2124" i="41"/>
  <c r="Y2663" i="41"/>
  <c r="Y2470" i="41"/>
  <c r="Y499" i="41"/>
  <c r="Y2468" i="41"/>
  <c r="Y2368" i="41"/>
  <c r="Y1155" i="41"/>
  <c r="Y3055" i="41"/>
  <c r="Y1218" i="41"/>
  <c r="Y1945" i="41"/>
  <c r="Y211" i="41"/>
  <c r="Y1632" i="41"/>
  <c r="Y359" i="41"/>
  <c r="Y2061" i="41"/>
  <c r="Y3089" i="41"/>
  <c r="Y1928" i="41"/>
  <c r="Y2401" i="41"/>
  <c r="Y2717" i="41"/>
  <c r="Y707" i="41"/>
  <c r="Y2853" i="41"/>
  <c r="Y104" i="41"/>
  <c r="Y2192" i="41"/>
  <c r="Y2922" i="41"/>
  <c r="Y2297" i="41"/>
  <c r="Y2108" i="41"/>
  <c r="Y533" i="41"/>
  <c r="Y795" i="41"/>
  <c r="Y1528" i="41"/>
  <c r="Y3014" i="41"/>
  <c r="Y2309" i="41"/>
  <c r="Y2055" i="41"/>
  <c r="Y2265" i="41"/>
  <c r="Y111" i="41"/>
  <c r="Y1343" i="41"/>
  <c r="Y2510" i="41"/>
  <c r="Y1546" i="41"/>
  <c r="Y2232" i="41"/>
  <c r="Y3016" i="41"/>
  <c r="Y621" i="41"/>
  <c r="Y1768" i="41"/>
  <c r="Y488" i="41"/>
  <c r="Y485" i="41"/>
  <c r="Y40" i="41"/>
  <c r="Y2475" i="41"/>
  <c r="Y1740" i="41"/>
  <c r="Y866" i="41"/>
  <c r="Y2439" i="41"/>
  <c r="Y1350" i="41"/>
  <c r="Y3006" i="41"/>
  <c r="Y2587" i="41"/>
  <c r="Y1258" i="41"/>
  <c r="Y2110" i="41"/>
  <c r="Y1324" i="41"/>
  <c r="Y983" i="41"/>
  <c r="Y411" i="41"/>
  <c r="Y2954" i="41"/>
  <c r="Y520" i="41"/>
  <c r="Y615" i="41"/>
  <c r="Y1955" i="41"/>
  <c r="Y371" i="41"/>
  <c r="Y168" i="41"/>
  <c r="Y1064" i="41"/>
  <c r="Y1966" i="41"/>
  <c r="Y1448" i="41"/>
  <c r="Y1995" i="41"/>
  <c r="Y1351" i="41"/>
  <c r="Y1922" i="41"/>
  <c r="Y1278" i="41"/>
  <c r="Y1861" i="41"/>
  <c r="Y32" i="41"/>
  <c r="Y1548" i="41"/>
  <c r="Y193" i="41"/>
  <c r="Y1463" i="41"/>
  <c r="Y63" i="41"/>
  <c r="Y1833" i="41"/>
  <c r="Y3029" i="41"/>
  <c r="Y1689" i="41"/>
  <c r="Y1972" i="41"/>
  <c r="Y1556" i="41"/>
  <c r="Y2570" i="41"/>
  <c r="Y311" i="41"/>
  <c r="Y740" i="41"/>
  <c r="Y514" i="41"/>
  <c r="Y2692" i="41"/>
  <c r="Y537" i="41"/>
  <c r="Y2831" i="41"/>
  <c r="Y404" i="41"/>
  <c r="Y1985" i="41"/>
  <c r="Y307" i="41"/>
  <c r="Y772" i="41"/>
  <c r="Y244" i="41"/>
  <c r="Y3111" i="41"/>
  <c r="Y100" i="41"/>
  <c r="Y3037" i="41"/>
  <c r="Y242" i="41"/>
  <c r="Y2562" i="41"/>
  <c r="Y954" i="41"/>
  <c r="Y1348" i="41"/>
  <c r="Y234" i="41"/>
  <c r="Y2834" i="41"/>
  <c r="Y3" i="41"/>
  <c r="Y2556" i="41"/>
  <c r="Y1516" i="41"/>
  <c r="Y2902" i="41"/>
  <c r="Y1737" i="41"/>
  <c r="Y1731" i="41"/>
  <c r="Y3083" i="41"/>
  <c r="Y1587" i="41"/>
  <c r="Y2939" i="41"/>
  <c r="Y1502" i="41"/>
  <c r="Y2093" i="41"/>
  <c r="Y1492" i="41"/>
  <c r="Y91" i="41"/>
  <c r="Y2978" i="41"/>
  <c r="Y13" i="41"/>
  <c r="Y2700" i="41"/>
  <c r="Y1289" i="41"/>
  <c r="Y3046" i="41"/>
  <c r="Y1282" i="41"/>
  <c r="Y2229" i="41"/>
  <c r="Y2944" i="41"/>
  <c r="Y1802" i="41"/>
  <c r="Y2381" i="41"/>
  <c r="Y1658" i="41"/>
  <c r="Y2237" i="41"/>
  <c r="Y1585" i="41"/>
  <c r="Y2094" i="41"/>
  <c r="Y1284" i="41"/>
  <c r="Y880" i="41"/>
  <c r="Y1199" i="41"/>
  <c r="Y2366" i="41"/>
  <c r="Y1452" i="41"/>
  <c r="Y454" i="41"/>
  <c r="Y2573" i="41"/>
  <c r="Y477" i="41"/>
  <c r="Y2934" i="41"/>
  <c r="Y462" i="41"/>
  <c r="Y341" i="41"/>
  <c r="Y241" i="41"/>
  <c r="Y807" i="41"/>
  <c r="Y305" i="41"/>
  <c r="Y1279" i="41"/>
  <c r="Y913" i="41"/>
  <c r="Y1756" i="41"/>
  <c r="Y628" i="41"/>
  <c r="Y2567" i="41"/>
  <c r="Y2519" i="41"/>
  <c r="Y924" i="41"/>
  <c r="Y1180" i="41"/>
  <c r="Y1580" i="41"/>
  <c r="Y2841" i="41"/>
  <c r="Y376" i="41"/>
  <c r="Y2736" i="41"/>
  <c r="Y312" i="41"/>
  <c r="Y325" i="41"/>
  <c r="Y480" i="41"/>
  <c r="Y1915" i="41"/>
  <c r="Y1839" i="41"/>
  <c r="Y1842" i="41"/>
  <c r="Y1766" i="41"/>
  <c r="Y773" i="41"/>
  <c r="Y174" i="41"/>
  <c r="Y2763" i="41"/>
  <c r="Y1826" i="41"/>
  <c r="Y2122" i="41"/>
  <c r="Y2563" i="41"/>
  <c r="Y2120" i="41"/>
  <c r="Y2898" i="41"/>
  <c r="Y1198" i="41"/>
  <c r="Y2084" i="41"/>
  <c r="Y3004" i="41"/>
  <c r="Y2850" i="41"/>
  <c r="Y2821" i="41"/>
  <c r="Y1534" i="41"/>
  <c r="Y1225" i="41"/>
  <c r="Y941" i="41"/>
  <c r="Y1555" i="41"/>
  <c r="Y1407" i="41"/>
  <c r="Y2904" i="41"/>
  <c r="Y744" i="41"/>
  <c r="Y1006" i="41"/>
  <c r="Y456" i="41"/>
  <c r="Y752" i="41"/>
  <c r="Y1994" i="41"/>
  <c r="Y463" i="41"/>
  <c r="Y195" i="41"/>
  <c r="Y252" i="41"/>
  <c r="Y2580" i="41"/>
  <c r="Y167" i="41"/>
  <c r="Y787" i="41"/>
  <c r="Y370" i="41"/>
  <c r="Y2548" i="41"/>
  <c r="Y393" i="41"/>
  <c r="Y3140" i="41"/>
  <c r="Y2035" i="41"/>
  <c r="Y1121" i="41"/>
  <c r="Y238" i="41"/>
  <c r="Y977" i="41"/>
  <c r="Y94" i="41"/>
  <c r="Y2967" i="41"/>
  <c r="Y303" i="41"/>
  <c r="Y2083" i="41"/>
  <c r="Y883" i="41"/>
  <c r="Y2418" i="41"/>
  <c r="Y810" i="41"/>
  <c r="Y1204" i="41"/>
  <c r="Y90" i="41"/>
  <c r="Y2690" i="41"/>
  <c r="Y2" i="41"/>
  <c r="Y2412" i="41"/>
  <c r="Y2415" i="41"/>
  <c r="Y2900" i="41"/>
  <c r="Y2800" i="41"/>
  <c r="Y2756" i="41"/>
  <c r="Y2656" i="41"/>
  <c r="Y1443" i="41"/>
  <c r="Y3142" i="41"/>
  <c r="Y2207" i="41"/>
  <c r="Y601" i="41"/>
  <c r="Y2661" i="41"/>
  <c r="Y2729" i="41"/>
  <c r="Y2163" i="41"/>
  <c r="Y3132" i="41"/>
  <c r="Y2090" i="41"/>
  <c r="Y2191" i="41"/>
  <c r="Y2029" i="41"/>
  <c r="Y2526" i="41"/>
  <c r="Y1775" i="41"/>
  <c r="Y2942" i="41"/>
  <c r="Y1631" i="41"/>
  <c r="Y2798" i="41"/>
  <c r="Y1834" i="41"/>
  <c r="Y2520" i="41"/>
  <c r="Y2805" i="41"/>
  <c r="Y2453" i="41"/>
  <c r="Y340" i="41"/>
  <c r="Y3139" i="41"/>
  <c r="Y435" i="41"/>
  <c r="Y2335" i="41"/>
  <c r="Y350" i="41"/>
  <c r="Y2670" i="41"/>
  <c r="Y289" i="41"/>
  <c r="Y1456" i="41"/>
  <c r="Y47" i="41"/>
  <c r="Y2137" i="41"/>
  <c r="Y1978" i="41"/>
  <c r="Y2664" i="41"/>
  <c r="Y2001" i="41"/>
  <c r="Y3010" i="41"/>
  <c r="Y1868" i="41"/>
  <c r="Y3020" i="41"/>
  <c r="Y1771" i="41"/>
  <c r="Y1695" i="41"/>
  <c r="Y1493" i="41"/>
  <c r="Y750" i="41"/>
  <c r="Y629" i="41"/>
  <c r="Y30" i="41"/>
  <c r="Y2579" i="41"/>
  <c r="Y1732" i="41"/>
  <c r="Y3033" i="41"/>
  <c r="Y2419" i="41"/>
  <c r="Y851" i="41"/>
  <c r="Y2997" i="41"/>
  <c r="Y457" i="41"/>
  <c r="Y136" i="41"/>
  <c r="Y2751" i="41"/>
  <c r="Y2312" i="41"/>
  <c r="Y1142" i="41"/>
  <c r="Y3109" i="41"/>
  <c r="Y1508" i="41"/>
  <c r="Y797" i="41"/>
  <c r="Y1377" i="41"/>
  <c r="Y901" i="41"/>
  <c r="Y659" i="41"/>
  <c r="Y530" i="41"/>
  <c r="Y2638" i="41"/>
  <c r="Y741" i="41"/>
  <c r="Y2460" i="41"/>
  <c r="Y3048" i="41"/>
  <c r="Y96" i="41"/>
  <c r="Y1465" i="41"/>
  <c r="Y2086" i="41"/>
  <c r="Y2410" i="41"/>
  <c r="Y2851" i="41"/>
  <c r="Y2408" i="41"/>
  <c r="Y1457" i="41"/>
  <c r="Y1237" i="41"/>
  <c r="Y2797" i="41"/>
  <c r="Y936" i="41"/>
  <c r="Y2543" i="41"/>
  <c r="Y1494" i="41"/>
  <c r="Y1067" i="41"/>
  <c r="Y761" i="41"/>
  <c r="Y1397" i="41"/>
  <c r="Y1227" i="41"/>
  <c r="Y802" i="41"/>
  <c r="Y1641" i="41"/>
  <c r="Y785" i="41"/>
  <c r="Y2724" i="41"/>
  <c r="Y2447" i="41"/>
  <c r="Y2341" i="41"/>
  <c r="Y1328" i="41"/>
  <c r="Y1781" i="41"/>
  <c r="Y2840" i="41"/>
  <c r="Y73" i="41"/>
  <c r="Y1992" i="41"/>
  <c r="Y1017" i="41"/>
  <c r="Y1292" i="41"/>
  <c r="Y2432" i="41"/>
  <c r="Y1195" i="41"/>
  <c r="Y1119" i="41"/>
  <c r="Y1122" i="41"/>
  <c r="Y1034" i="41"/>
  <c r="Y115" i="41"/>
  <c r="Y973" i="41"/>
  <c r="Y37" i="41"/>
  <c r="Y672" i="41"/>
  <c r="Y1290" i="41"/>
  <c r="Y934" i="41"/>
  <c r="Y142" i="41"/>
  <c r="Y790" i="41"/>
  <c r="Y2248" i="41"/>
  <c r="Y813" i="41"/>
  <c r="Y1660" i="41"/>
  <c r="Y1307" i="41"/>
  <c r="Y562" i="41"/>
  <c r="Y3107" i="41"/>
  <c r="Y1048" i="41"/>
  <c r="Y2390" i="41"/>
  <c r="Y1624" i="41"/>
  <c r="Y2161" i="41"/>
  <c r="Y2007" i="41"/>
  <c r="Y1790" i="41"/>
  <c r="Y2379" i="41"/>
  <c r="Y2051" i="41"/>
  <c r="Y2078" i="41"/>
  <c r="Y1873" i="41"/>
  <c r="Y1475" i="41"/>
  <c r="Y2476" i="41"/>
  <c r="Y700" i="41"/>
  <c r="Y259" i="41"/>
  <c r="Y2267" i="41"/>
  <c r="Y1679" i="41"/>
  <c r="Y1082" i="41"/>
  <c r="Y2936" i="41"/>
  <c r="Y319" i="41"/>
  <c r="Y2618" i="41"/>
  <c r="Y1659" i="41"/>
  <c r="Y2777" i="41"/>
  <c r="Y925" i="41"/>
  <c r="Y306" i="41"/>
  <c r="Y1244" i="41"/>
  <c r="Y1409" i="41"/>
  <c r="Y274" i="41"/>
  <c r="Y841" i="41"/>
  <c r="Y3028" i="41"/>
  <c r="Y253" i="41"/>
  <c r="Y2845" i="41"/>
  <c r="Y1238" i="41"/>
  <c r="Y1971" i="41"/>
  <c r="Y2863" i="41"/>
  <c r="Y1898" i="41"/>
  <c r="Y1469" i="41"/>
  <c r="Y513" i="41"/>
  <c r="Y2384" i="41"/>
  <c r="Y2920" i="41"/>
  <c r="Y1640" i="41"/>
  <c r="Y2113" i="41"/>
  <c r="Y2884" i="41"/>
  <c r="Y517" i="41"/>
  <c r="Y2748" i="41"/>
  <c r="Y847" i="41"/>
  <c r="Y481" i="41"/>
  <c r="Y774" i="41"/>
  <c r="Y888" i="41"/>
  <c r="Y1057" i="41"/>
  <c r="Y862" i="41"/>
  <c r="Y959" i="41"/>
  <c r="Y2594" i="41"/>
  <c r="Y1458" i="41"/>
  <c r="Y1243" i="41"/>
  <c r="Y1570" i="41"/>
  <c r="Y1597" i="41"/>
  <c r="Y1612" i="41"/>
  <c r="Y1296" i="41"/>
  <c r="Y3110" i="41"/>
  <c r="Y2149" i="41"/>
  <c r="Y407" i="41"/>
  <c r="Y553" i="41"/>
  <c r="Y610" i="41"/>
  <c r="Y2088" i="41"/>
  <c r="Y691" i="41"/>
  <c r="Y1392" i="41"/>
  <c r="Y618" i="41"/>
  <c r="Y1683" i="41"/>
  <c r="Y2575" i="41"/>
  <c r="Y380" i="41"/>
  <c r="Y1071" i="41"/>
  <c r="Y1795" i="41"/>
  <c r="Y1485" i="41"/>
  <c r="Y2774" i="41"/>
  <c r="Y585" i="41"/>
  <c r="Y278" i="41"/>
  <c r="Y2738" i="41"/>
  <c r="Y1800" i="41"/>
  <c r="Y2497" i="41"/>
  <c r="Y1835" i="41"/>
  <c r="Y2089" i="41"/>
  <c r="Y2752" i="41"/>
  <c r="Y2450" i="41"/>
  <c r="Y2995" i="41"/>
  <c r="Y2235" i="41"/>
  <c r="Y714" i="41"/>
  <c r="Y3147" i="41"/>
  <c r="Y1523" i="41"/>
  <c r="Y1904" i="41"/>
  <c r="Y2189" i="41"/>
  <c r="Y1667" i="41"/>
  <c r="Y2062" i="41"/>
  <c r="Y660" i="41"/>
  <c r="Y1076" i="41"/>
  <c r="Y2760" i="41"/>
  <c r="Y3077" i="41"/>
  <c r="Y95" i="41"/>
  <c r="Y2008" i="41"/>
  <c r="Y725" i="41"/>
  <c r="Y719" i="41"/>
  <c r="Y2172" i="41"/>
  <c r="Y2987" i="41"/>
  <c r="Y928" i="41"/>
  <c r="Y2270" i="41"/>
  <c r="Y1504" i="41"/>
  <c r="Y2712" i="41"/>
  <c r="Y1887" i="41"/>
  <c r="Y1670" i="41"/>
  <c r="Y3146" i="41"/>
  <c r="Y1931" i="41"/>
  <c r="Y1958" i="41"/>
  <c r="Y1741" i="41"/>
  <c r="Y1355" i="41"/>
  <c r="Y1027" i="41"/>
  <c r="Y295" i="41"/>
  <c r="Y427" i="41"/>
  <c r="Y2640" i="41"/>
  <c r="Y72" i="41"/>
  <c r="Y598" i="41"/>
  <c r="Y2472" i="41"/>
  <c r="Y1998" i="41"/>
  <c r="Y2981" i="41"/>
  <c r="Y1827" i="41"/>
  <c r="Y1460" i="41"/>
  <c r="Y434" i="41"/>
  <c r="Y703" i="41"/>
  <c r="Y337" i="41"/>
  <c r="Y1438" i="41"/>
  <c r="Y2338" i="41"/>
  <c r="Y2956" i="41"/>
  <c r="Y2705" i="41"/>
  <c r="Y2091" i="41"/>
  <c r="Y2737" i="41"/>
  <c r="Y2018" i="41"/>
  <c r="Y3095" i="41"/>
  <c r="Y60" i="41"/>
  <c r="Y1895" i="41"/>
  <c r="Y2050" i="41"/>
  <c r="Y510" i="41"/>
  <c r="Y185" i="41"/>
  <c r="Y1524" i="41"/>
  <c r="Y2595" i="41"/>
  <c r="Y283" i="41"/>
  <c r="Y986" i="41"/>
  <c r="Y2632" i="41"/>
  <c r="Y1352" i="41"/>
  <c r="Y2496" i="41"/>
  <c r="Y2596" i="41"/>
  <c r="Y2842" i="41"/>
  <c r="Y3060" i="41"/>
  <c r="Y507" i="41"/>
  <c r="Y898" i="41"/>
  <c r="Y1507" i="41"/>
  <c r="Y2433" i="41"/>
  <c r="Y976" i="41"/>
  <c r="Y1176" i="41"/>
  <c r="Y655" i="41"/>
  <c r="Y2133" i="41"/>
  <c r="Y1840" i="41"/>
  <c r="Y2000" i="41"/>
  <c r="Y2761" i="41"/>
  <c r="Y2201" i="41"/>
  <c r="Y1165" i="41"/>
  <c r="Y2058" i="41"/>
  <c r="Y2495" i="41"/>
  <c r="Y2340" i="41"/>
  <c r="Y852" i="41"/>
  <c r="Y2686" i="41"/>
  <c r="Y2393" i="41"/>
  <c r="Y1559" i="41"/>
  <c r="Y2611" i="41"/>
  <c r="Y2154" i="41"/>
  <c r="Y1537" i="41"/>
  <c r="Y317" i="41"/>
  <c r="Y1867" i="41"/>
  <c r="Y783" i="41"/>
  <c r="Y858" i="41"/>
  <c r="Y1197" i="41"/>
  <c r="Y2344" i="41"/>
  <c r="Y1963" i="41"/>
  <c r="Y1233" i="41"/>
  <c r="Y1173" i="41"/>
  <c r="Y950" i="41"/>
  <c r="Y1020" i="41"/>
  <c r="Y2908" i="41"/>
  <c r="Y368" i="41"/>
  <c r="Y135" i="41"/>
  <c r="Y1921" i="41"/>
  <c r="Y1473" i="41"/>
  <c r="Y2839" i="41"/>
  <c r="Y2859" i="41"/>
  <c r="Y2650" i="41"/>
  <c r="Y229" i="41"/>
  <c r="Y2016" i="41"/>
  <c r="Y1335" i="41"/>
  <c r="Y2006" i="41"/>
  <c r="Y1856" i="41"/>
  <c r="Y1445" i="41"/>
  <c r="Y1450" i="41"/>
  <c r="Y1149" i="41"/>
  <c r="Y919" i="41"/>
  <c r="Y126" i="41"/>
  <c r="Y1566" i="41"/>
  <c r="Y194" i="41"/>
  <c r="Y44" i="41"/>
  <c r="Y2947" i="41"/>
  <c r="Y177" i="41"/>
  <c r="Y2926" i="41"/>
  <c r="Y2404" i="41"/>
  <c r="Y1697" i="41"/>
  <c r="Y2823" i="41"/>
  <c r="Y922" i="41"/>
  <c r="Y930" i="41"/>
  <c r="Y2167" i="41"/>
  <c r="Y1077" i="41"/>
  <c r="Y2463" i="41"/>
  <c r="Y2477" i="41"/>
  <c r="Y2726" i="41"/>
  <c r="Y1299" i="41"/>
  <c r="Y116" i="41"/>
  <c r="Y3017" i="41"/>
  <c r="Y2291" i="41"/>
  <c r="Y2428" i="41"/>
  <c r="Y939" i="41"/>
  <c r="Y2283" i="41"/>
  <c r="Y2126" i="41"/>
  <c r="Y1910" i="41"/>
  <c r="Y118" i="41"/>
  <c r="Y1849" i="41"/>
  <c r="Y2907" i="41"/>
  <c r="Y1899" i="41"/>
  <c r="Y2833" i="41"/>
  <c r="Y2980" i="41"/>
  <c r="Y2264" i="41"/>
  <c r="Y3042" i="41"/>
  <c r="Y951" i="41"/>
  <c r="Y449" i="41"/>
  <c r="Y1365" i="41"/>
  <c r="Y915" i="41"/>
  <c r="Y1900" i="41"/>
  <c r="Y2180" i="41"/>
  <c r="Y2711" i="41"/>
  <c r="Y112" i="41"/>
  <c r="Y1068" i="41"/>
  <c r="Y1551" i="41"/>
  <c r="Y1626" i="41"/>
  <c r="Y1965" i="41"/>
  <c r="Y1061" i="41"/>
  <c r="Y803" i="41"/>
  <c r="Y2683" i="41"/>
  <c r="Y1231" i="41"/>
  <c r="Y1029" i="41"/>
  <c r="Y799" i="41"/>
  <c r="Y900" i="41"/>
  <c r="Y1441" i="41"/>
  <c r="Y1229" i="41"/>
  <c r="Y1140" i="41"/>
  <c r="Y736" i="41"/>
  <c r="Y2153" i="41"/>
  <c r="Y107" i="41"/>
  <c r="Y156" i="41"/>
  <c r="Y310" i="41"/>
  <c r="Y2455" i="41"/>
  <c r="Y391" i="41"/>
  <c r="Y2790" i="41"/>
  <c r="Y318" i="41"/>
  <c r="Y568" i="41"/>
  <c r="Y2754" i="41"/>
  <c r="Y1232" i="41"/>
  <c r="Y830" i="41"/>
  <c r="Y3125" i="41"/>
  <c r="Y2706" i="41"/>
  <c r="Y2677" i="41"/>
  <c r="Y1845" i="41"/>
  <c r="Y1081" i="41"/>
  <c r="Y2973" i="41"/>
  <c r="Y2691" i="41"/>
  <c r="Y2243" i="41"/>
  <c r="Y2697" i="41"/>
  <c r="Y2870" i="41"/>
  <c r="Y469" i="41"/>
  <c r="Y2065" i="41"/>
  <c r="Y2223" i="41"/>
  <c r="Y1047" i="41"/>
  <c r="Y2698" i="41"/>
  <c r="Y2345" i="41"/>
  <c r="Y1663" i="41"/>
  <c r="Y2159" i="41"/>
  <c r="Y492" i="41"/>
  <c r="Y2333" i="41"/>
  <c r="Y955" i="41"/>
  <c r="Y869" i="41"/>
  <c r="Y1872" i="41"/>
  <c r="Y1637" i="41"/>
  <c r="Y2517" i="41"/>
  <c r="Y1946" i="41"/>
  <c r="Y1572" i="41"/>
  <c r="Y782" i="41"/>
  <c r="Y420" i="41"/>
  <c r="Y538" i="41"/>
  <c r="Y428" i="41"/>
  <c r="Y865" i="41"/>
  <c r="Y479" i="41"/>
  <c r="Y705" i="41"/>
  <c r="Y475" i="41"/>
  <c r="Y268" i="41"/>
  <c r="Y1920" i="41"/>
  <c r="Y1154" i="41"/>
  <c r="Y1423" i="41"/>
  <c r="Y2396" i="41"/>
  <c r="Y255" i="41"/>
  <c r="Y1317" i="41"/>
  <c r="Y2935" i="41"/>
  <c r="Y1525" i="41"/>
  <c r="Y1653" i="41"/>
  <c r="Y3148" i="41"/>
  <c r="Y1271" i="41"/>
  <c r="Y3078" i="41"/>
  <c r="Y75" i="41"/>
  <c r="Y1235" i="41"/>
  <c r="Y155" i="41"/>
  <c r="Y3064" i="41"/>
  <c r="Y358" i="41"/>
  <c r="Y2552" i="41"/>
  <c r="Y1601" i="41"/>
  <c r="Y1239" i="41"/>
  <c r="Y737" i="41"/>
  <c r="Y1080" i="41"/>
  <c r="Y2687" i="41"/>
  <c r="Y995" i="41"/>
  <c r="Y3141" i="41"/>
  <c r="Y105" i="41"/>
  <c r="Y321" i="41"/>
  <c r="Y2895" i="41"/>
  <c r="Y2456" i="41"/>
  <c r="Y1286" i="41"/>
  <c r="Y14" i="41"/>
  <c r="Y1652" i="41"/>
  <c r="Y2591" i="41"/>
  <c r="Y1028" i="41"/>
  <c r="Y3045" i="41"/>
  <c r="Y1420" i="41"/>
  <c r="Y1375" i="41"/>
  <c r="Y412" i="41"/>
  <c r="Y594" i="41"/>
  <c r="Y1210" i="41"/>
  <c r="Y2924" i="41"/>
  <c r="Y1099" i="41"/>
  <c r="Y1857" i="41"/>
  <c r="Y2866" i="41"/>
  <c r="Y1724" i="41"/>
  <c r="Y2864" i="41"/>
  <c r="Y2743" i="41"/>
  <c r="Y679" i="41"/>
  <c r="Y1349" i="41"/>
  <c r="Y606" i="41"/>
  <c r="Y2689" i="41"/>
  <c r="Y2873" i="41"/>
  <c r="Y2435" i="41"/>
  <c r="Y3133" i="41"/>
  <c r="Y792" i="41"/>
  <c r="Y2399" i="41"/>
  <c r="Y99" i="41"/>
  <c r="Y1558" i="41"/>
  <c r="Y617" i="41"/>
  <c r="Y2982" i="41"/>
  <c r="Y1083" i="41"/>
  <c r="Y1113" i="41"/>
  <c r="Y1497" i="41"/>
  <c r="Y2999" i="41"/>
  <c r="Y819" i="41"/>
  <c r="Y151" i="41"/>
  <c r="Y818" i="41"/>
  <c r="Y4" i="41"/>
  <c r="Y757" i="41"/>
  <c r="Y471" i="41"/>
  <c r="Y943" i="41"/>
  <c r="Y574" i="41"/>
  <c r="Y2033" i="41"/>
  <c r="Y3143" i="41"/>
  <c r="Y518" i="41"/>
  <c r="Y2733" i="41"/>
  <c r="Y2231" i="41"/>
  <c r="Y16" i="41"/>
  <c r="Y2064" i="41"/>
  <c r="Y2606" i="41"/>
  <c r="Y1111" i="41"/>
  <c r="Y1608" i="41"/>
  <c r="Y2494" i="41"/>
  <c r="Y2506" i="41"/>
  <c r="Y1394" i="41"/>
  <c r="Y551" i="41"/>
  <c r="Y753" i="41"/>
  <c r="Y1712" i="41"/>
  <c r="Y10" i="41"/>
  <c r="Y18" i="41"/>
  <c r="Y2360" i="41"/>
  <c r="Y3134" i="41"/>
  <c r="Y157" i="41"/>
  <c r="Y2173" i="41"/>
  <c r="Y1865" i="41"/>
  <c r="Y1919" i="41"/>
  <c r="Y935" i="41"/>
  <c r="Y2373" i="41"/>
  <c r="Y2513" i="41"/>
  <c r="Y1875" i="41"/>
  <c r="Y2844" i="41"/>
  <c r="Y1885" i="41"/>
  <c r="Y2382" i="41"/>
  <c r="Y1729" i="41"/>
  <c r="Y2238" i="41"/>
  <c r="Y1428" i="41"/>
  <c r="Y1024" i="41"/>
  <c r="Y723" i="41"/>
  <c r="Y2623" i="41"/>
  <c r="Y638" i="41"/>
  <c r="Y2958" i="41"/>
  <c r="Y577" i="41"/>
  <c r="Y365" i="41"/>
  <c r="Y276" i="41"/>
  <c r="Y2355" i="41"/>
  <c r="Y191" i="41"/>
  <c r="Y2281" i="41"/>
  <c r="Y561" i="41"/>
  <c r="Y2625" i="41"/>
  <c r="Y417" i="41"/>
  <c r="Y2481" i="41"/>
  <c r="Y2059" i="41"/>
  <c r="Y1983" i="41"/>
  <c r="Y1114" i="41"/>
  <c r="Y2747" i="41"/>
  <c r="Y1137" i="41"/>
  <c r="Y2146" i="41"/>
  <c r="Y1004" i="41"/>
  <c r="Y2144" i="41"/>
  <c r="Y907" i="41"/>
  <c r="Y831" i="41"/>
  <c r="Y834" i="41"/>
  <c r="Y746" i="41"/>
  <c r="Y170" i="41"/>
  <c r="Y528" i="41"/>
  <c r="Y25" i="41"/>
  <c r="Y384" i="41"/>
  <c r="Y1035" i="41"/>
  <c r="Y299" i="41"/>
  <c r="Y1281" i="41"/>
  <c r="Y2290" i="41"/>
  <c r="Y1148" i="41"/>
  <c r="Y2288" i="41"/>
  <c r="Y1051" i="41"/>
  <c r="Y975" i="41"/>
  <c r="Y978" i="41"/>
  <c r="Y890" i="41"/>
  <c r="Y258" i="41"/>
  <c r="Y829" i="41"/>
  <c r="Y2829" i="41"/>
  <c r="Y587" i="41"/>
  <c r="Y652" i="41"/>
  <c r="Y443" i="41"/>
  <c r="Y281" i="41"/>
  <c r="Y646" i="41"/>
  <c r="Y2104" i="41"/>
  <c r="Y669" i="41"/>
  <c r="Y2791" i="41"/>
  <c r="Y536" i="41"/>
  <c r="Y1442" i="41"/>
  <c r="Y3015" i="41"/>
  <c r="Y1381" i="41"/>
  <c r="Y2941" i="41"/>
  <c r="Y1486" i="41"/>
  <c r="Y2372" i="41"/>
  <c r="Y1509" i="41"/>
  <c r="Y1059" i="41"/>
  <c r="Y1909" i="41"/>
  <c r="Y2949" i="41"/>
  <c r="Y1908" i="41"/>
  <c r="Y256" i="41"/>
  <c r="Y1212" i="41"/>
  <c r="Y2576" i="41"/>
  <c r="Y1770" i="41"/>
  <c r="Y2276" i="41"/>
  <c r="Y2796" i="41"/>
  <c r="Y963" i="41"/>
  <c r="Y1186" i="41"/>
  <c r="Y57" i="41"/>
  <c r="Y395" i="41"/>
  <c r="Y1878" i="41"/>
  <c r="Y2551" i="41"/>
  <c r="Y68" i="41"/>
  <c r="Y189" i="41"/>
  <c r="Y2246" i="41"/>
  <c r="Y98" i="41"/>
  <c r="Y1968" i="41"/>
  <c r="Y806" i="41"/>
  <c r="Y1941" i="41"/>
  <c r="Y1491" i="41"/>
  <c r="Y1808" i="41"/>
  <c r="Y1406" i="41"/>
  <c r="Y58" i="41"/>
  <c r="Y1247" i="41"/>
  <c r="Y122" i="41"/>
  <c r="Y1211" i="41"/>
  <c r="Y905" i="41"/>
  <c r="Y1187" i="41"/>
  <c r="Y1513" i="41"/>
  <c r="Y1661" i="41"/>
  <c r="Y1843" i="41"/>
  <c r="Y2278" i="41"/>
  <c r="Y2753" i="41"/>
  <c r="Y1151" i="41"/>
  <c r="Y2233" i="41"/>
  <c r="Y1354" i="41"/>
  <c r="Y554" i="41"/>
  <c r="Y1807" i="41"/>
  <c r="Y1306" i="41"/>
  <c r="Y1736" i="41"/>
  <c r="Y2465" i="41"/>
  <c r="Y1846" i="41"/>
  <c r="Y2327" i="41"/>
  <c r="Y484" i="41"/>
  <c r="Y1792" i="41"/>
  <c r="Y579" i="41"/>
  <c r="Y2479" i="41"/>
  <c r="Y494" i="41"/>
  <c r="Y2814" i="41"/>
  <c r="Y433" i="41"/>
  <c r="Y1600" i="41"/>
  <c r="Y132" i="41"/>
  <c r="Y3098" i="41"/>
  <c r="Y394" i="41"/>
  <c r="Y2027" i="41"/>
  <c r="Y2145" i="41"/>
  <c r="Y1883" i="41"/>
  <c r="Y2012" i="41"/>
  <c r="Y2337" i="41"/>
  <c r="Y767" i="41"/>
  <c r="Y2857" i="41"/>
  <c r="Y970" i="41"/>
  <c r="Y2603" i="41"/>
  <c r="Y993" i="41"/>
  <c r="Y3057" i="41"/>
  <c r="Y860" i="41"/>
  <c r="Y592" i="41"/>
  <c r="Y763" i="41"/>
  <c r="Y687" i="41"/>
  <c r="Y114" i="41"/>
  <c r="Y685" i="41"/>
  <c r="Y257" i="41"/>
  <c r="Y541" i="41"/>
  <c r="Y3065" i="41"/>
  <c r="Y240" i="41"/>
  <c r="Y1410" i="41"/>
  <c r="Y1322" i="41"/>
  <c r="Y164" i="41"/>
  <c r="Y1261" i="41"/>
  <c r="Y38" i="41"/>
  <c r="Y960" i="41"/>
  <c r="Y2292" i="41"/>
  <c r="Y875" i="41"/>
  <c r="Y1075" i="41"/>
  <c r="Y1078" i="41"/>
  <c r="Y2819" i="41"/>
  <c r="Y1112" i="41"/>
  <c r="Y3128" i="41"/>
  <c r="Y968" i="41"/>
  <c r="Y1829" i="41"/>
  <c r="Y871" i="41"/>
  <c r="Y21" i="41"/>
  <c r="Y1405" i="41"/>
  <c r="Y182" i="41"/>
  <c r="Y1104" i="41"/>
  <c r="Y2917" i="41"/>
  <c r="Y1019" i="41"/>
  <c r="Y884" i="41"/>
  <c r="Y1222" i="41"/>
  <c r="Y2680" i="41"/>
  <c r="Y1245" i="41"/>
  <c r="Y2117" i="41"/>
  <c r="Y1159" i="41"/>
  <c r="Y1973" i="41"/>
  <c r="Y1015" i="41"/>
  <c r="Y1109" i="41"/>
  <c r="Y942" i="41"/>
  <c r="Y3099" i="41"/>
  <c r="Y222" i="41"/>
  <c r="Y3025" i="41"/>
  <c r="Y2633" i="41"/>
  <c r="Y1774" i="41"/>
  <c r="Y2660" i="41"/>
  <c r="Y1797" i="41"/>
  <c r="Y1347" i="41"/>
  <c r="Y1782" i="41"/>
  <c r="Y1188" i="41"/>
  <c r="Y249" i="41"/>
  <c r="Y2194" i="41"/>
  <c r="Y1625" i="41"/>
  <c r="Y2170" i="41"/>
  <c r="Y1430" i="41"/>
  <c r="Y158" i="41"/>
  <c r="Y1796" i="41"/>
  <c r="Y2735" i="41"/>
  <c r="Y729" i="41"/>
  <c r="Y1092" i="41"/>
  <c r="Y3038" i="41"/>
  <c r="Y1007" i="41"/>
  <c r="Y1979" i="41"/>
  <c r="Y1760" i="41"/>
  <c r="Y1191" i="41"/>
  <c r="Y1363" i="41"/>
  <c r="Y437" i="41"/>
  <c r="Y207" i="41"/>
  <c r="Y2296" i="41"/>
  <c r="Y2785" i="41"/>
  <c r="Y1575" i="41"/>
  <c r="Y3043" i="41"/>
  <c r="Y1490" i="41"/>
  <c r="Y1649" i="41"/>
  <c r="Y342" i="41"/>
  <c r="Y1535" i="41"/>
  <c r="Y64" i="41"/>
  <c r="Y1738" i="41"/>
  <c r="Y2332" i="41"/>
  <c r="Y3097" i="41"/>
  <c r="Y3019" i="41"/>
  <c r="Y1055" i="41"/>
  <c r="Y2542" i="41"/>
  <c r="Y455" i="41"/>
  <c r="Y1929" i="41"/>
  <c r="Y1505" i="41"/>
  <c r="Y940" i="41"/>
  <c r="Y1393" i="41"/>
  <c r="Y1552" i="41"/>
  <c r="Y1723" i="41"/>
  <c r="Y639" i="41"/>
  <c r="Y1650" i="41"/>
  <c r="Y964" i="41"/>
  <c r="Y1189" i="41"/>
  <c r="Y1226" i="41"/>
  <c r="Y1025" i="41"/>
  <c r="Y961" i="41"/>
  <c r="Y2775" i="41"/>
  <c r="Y343" i="41"/>
  <c r="Y902" i="41"/>
  <c r="Y708" i="41"/>
  <c r="Y2787" i="41"/>
  <c r="Y623" i="41"/>
  <c r="Y2713" i="41"/>
  <c r="Y826" i="41"/>
  <c r="Y2459" i="41"/>
  <c r="Y849" i="41"/>
  <c r="Y2913" i="41"/>
  <c r="Y716" i="41"/>
  <c r="Y448" i="41"/>
  <c r="Y690" i="41"/>
  <c r="Y602" i="41"/>
  <c r="Y546" i="41"/>
  <c r="Y458" i="41"/>
  <c r="Y113" i="41"/>
  <c r="Y397" i="41"/>
  <c r="Y1339" i="41"/>
  <c r="Y1263" i="41"/>
  <c r="Y1266" i="41"/>
  <c r="Y1178" i="41"/>
  <c r="Y20" i="41"/>
  <c r="Y1117" i="41"/>
  <c r="Y181" i="41"/>
  <c r="Y816" i="41"/>
  <c r="Y1943" i="41"/>
  <c r="Y731" i="41"/>
  <c r="Y2536" i="41"/>
  <c r="Y1101" i="41"/>
  <c r="Y2392" i="41"/>
  <c r="Y957" i="41"/>
  <c r="Y3079" i="41"/>
  <c r="Y824" i="41"/>
  <c r="Y71" i="41"/>
  <c r="Y1654" i="41"/>
  <c r="Y2789" i="41"/>
  <c r="Y1677" i="41"/>
  <c r="Y2868" i="41"/>
  <c r="Y1544" i="41"/>
  <c r="Y2405" i="41"/>
  <c r="Y1447" i="41"/>
  <c r="Y2262" i="41"/>
  <c r="Y1374" i="41"/>
  <c r="Y2678" i="41"/>
  <c r="Y145" i="41"/>
  <c r="Y2534" i="41"/>
  <c r="Y7" i="41"/>
  <c r="Y2256" i="41"/>
  <c r="Y364" i="41"/>
  <c r="Y2813" i="41"/>
  <c r="Y1821" i="41"/>
  <c r="Y3012" i="41"/>
  <c r="Y1688" i="41"/>
  <c r="Y3150" i="41"/>
  <c r="Y1591" i="41"/>
  <c r="Y2406" i="41"/>
  <c r="Y1518" i="41"/>
  <c r="Y1192" i="41"/>
  <c r="Y272" i="41"/>
  <c r="Y2544" i="41"/>
  <c r="Y1799" i="41"/>
  <c r="Y2400" i="41"/>
  <c r="Y2685" i="41"/>
  <c r="Y2746" i="41"/>
  <c r="Y188" i="41"/>
  <c r="Y2744" i="41"/>
  <c r="Y2212" i="41"/>
  <c r="Y1431" i="41"/>
  <c r="Y2899" i="41"/>
  <c r="Y271" i="41"/>
  <c r="Y1476" i="41"/>
  <c r="Y202" i="41"/>
  <c r="Y1391" i="41"/>
  <c r="Y138" i="41"/>
  <c r="Y1772" i="41"/>
  <c r="Y2188" i="41"/>
  <c r="Y3093" i="41"/>
  <c r="Y2052" i="41"/>
  <c r="Y2493" i="41"/>
  <c r="Y1762" i="41"/>
  <c r="Y221" i="41"/>
  <c r="Y196" i="41"/>
  <c r="Y1310" i="41"/>
  <c r="Y2622" i="41"/>
  <c r="Y1676" i="41"/>
  <c r="Y400" i="41"/>
  <c r="Y1579" i="41"/>
  <c r="Y2452" i="41"/>
  <c r="Y3121" i="41"/>
  <c r="Y2216" i="41"/>
  <c r="Y1066" i="41"/>
  <c r="Y2919" i="41"/>
  <c r="Y980" i="41"/>
  <c r="Y808" i="41"/>
  <c r="Y1619" i="41"/>
  <c r="Y2354" i="41"/>
  <c r="Y1822" i="41"/>
  <c r="Y2076" i="41"/>
  <c r="Y2620" i="41"/>
  <c r="Y3041" i="41"/>
  <c r="Y3106" i="41"/>
  <c r="Y1854" i="41"/>
  <c r="Y844" i="41"/>
  <c r="Y3024" i="41"/>
  <c r="Y2330" i="41"/>
  <c r="Y1331" i="41"/>
  <c r="Y1657" i="41"/>
  <c r="Y1451" i="41"/>
  <c r="Y330" i="41"/>
  <c r="Y1395" i="41"/>
  <c r="Y2287" i="41"/>
  <c r="Y1809" i="41"/>
  <c r="Y2865" i="41"/>
  <c r="Y2716" i="41"/>
  <c r="Y683" i="41"/>
  <c r="Y747" i="41"/>
  <c r="Y1018" i="41"/>
  <c r="Y1976" i="41"/>
  <c r="Y878" i="41"/>
  <c r="Y12" i="41"/>
  <c r="Y1813" i="41"/>
  <c r="Y2198" i="41"/>
  <c r="Y1177" i="41"/>
  <c r="Y876" i="41"/>
  <c r="Y1234" i="41"/>
  <c r="Y2168" i="41"/>
  <c r="Y3127" i="41"/>
  <c r="Y855" i="41"/>
  <c r="Y2323" i="41"/>
  <c r="Y770" i="41"/>
  <c r="Y2658" i="41"/>
  <c r="Y709" i="41"/>
  <c r="Y1444" i="41"/>
  <c r="Y408" i="41"/>
  <c r="Y2930" i="41"/>
  <c r="Y670" i="41"/>
  <c r="Y1574" i="41"/>
  <c r="Y526" i="41"/>
  <c r="Y2128" i="41"/>
  <c r="Y549" i="41"/>
  <c r="Y2815" i="41"/>
  <c r="Y1043" i="41"/>
  <c r="Y2701" i="41"/>
  <c r="Y1510" i="41"/>
  <c r="Y1400" i="41"/>
  <c r="Y128" i="41"/>
  <c r="Y243" i="41"/>
  <c r="Y82" i="41"/>
  <c r="Y2426" i="41"/>
  <c r="Y2927" i="41"/>
  <c r="Y1937" i="41"/>
  <c r="Y88" i="41"/>
  <c r="Y441" i="41"/>
  <c r="Y2225" i="41"/>
  <c r="Y1217" i="41"/>
  <c r="Y2210" i="41"/>
  <c r="Y1152" i="41"/>
  <c r="Y2314" i="41"/>
  <c r="Y2564" i="41"/>
  <c r="Y76" i="41"/>
  <c r="Y2810" i="41"/>
  <c r="Y2342" i="41"/>
  <c r="Y197" i="41"/>
  <c r="Y1783" i="41"/>
  <c r="Y1698" i="41"/>
  <c r="Y599" i="41"/>
  <c r="Y1439" i="41"/>
  <c r="Y3118" i="41"/>
  <c r="Y917" i="41"/>
  <c r="Y793" i="41"/>
  <c r="Y1530" i="41"/>
  <c r="Y1297" i="41"/>
  <c r="Y1085" i="41"/>
  <c r="Y134" i="41"/>
  <c r="Y48" i="41"/>
  <c r="Y2442" i="41"/>
  <c r="Y2038" i="41"/>
  <c r="Y3115" i="41"/>
  <c r="Y344" i="41"/>
  <c r="Y2311" i="41"/>
  <c r="Y247" i="41"/>
  <c r="Y2889" i="41"/>
  <c r="Y2275" i="41"/>
  <c r="Y1221" i="41"/>
  <c r="Y771" i="41"/>
  <c r="Y444" i="41"/>
  <c r="Y339" i="41"/>
  <c r="Y2607" i="41"/>
  <c r="Y1287" i="41"/>
  <c r="Y998" i="41"/>
  <c r="Y1701" i="41"/>
  <c r="Y937" i="41"/>
  <c r="Y2353" i="41"/>
  <c r="Y2099" i="41"/>
  <c r="Y1240" i="41"/>
  <c r="Y386" i="41"/>
  <c r="Y1982" i="41"/>
  <c r="Y2894" i="41"/>
  <c r="Y689" i="41"/>
  <c r="Y141" i="41"/>
  <c r="Y2679" i="41"/>
  <c r="Y15" i="41"/>
  <c r="Y575" i="41"/>
  <c r="Y2328" i="41"/>
  <c r="Y778" i="41"/>
  <c r="Y2674" i="41"/>
  <c r="Y859" i="41"/>
  <c r="Y1562" i="41"/>
  <c r="Y786" i="41"/>
  <c r="Y1501" i="41"/>
  <c r="Y2964" i="41"/>
  <c r="Y1831" i="41"/>
  <c r="Y424" i="41"/>
  <c r="Y2610" i="41"/>
  <c r="Y910" i="41"/>
  <c r="Y388" i="41"/>
  <c r="Y3018" i="41"/>
  <c r="Y1725" i="41"/>
  <c r="Y329" i="41"/>
  <c r="Y796" i="41"/>
  <c r="Y2319" i="41"/>
  <c r="Y713" i="41"/>
  <c r="Y588" i="41"/>
  <c r="Y2872" i="41"/>
  <c r="Y231" i="41"/>
  <c r="Y1096" i="41"/>
  <c r="Y1301" i="41"/>
  <c r="Y559" i="41"/>
  <c r="Y2181" i="41"/>
  <c r="Y1123" i="41"/>
  <c r="Y2531" i="41"/>
  <c r="Y2931" i="41"/>
  <c r="Y450" i="41"/>
  <c r="Y863" i="41"/>
  <c r="Y2554" i="41"/>
  <c r="Y3032" i="41"/>
  <c r="Y2087" i="41"/>
  <c r="Y882" i="41"/>
  <c r="Y1755" i="41"/>
  <c r="Y1070" i="41"/>
  <c r="Y2792" i="41"/>
  <c r="Y149" i="41"/>
  <c r="Y298" i="41"/>
  <c r="Y2022" i="41"/>
  <c r="Y1169" i="41"/>
  <c r="Y1246" i="41"/>
  <c r="Y1136" i="41"/>
  <c r="Y103" i="41"/>
  <c r="Y1084" i="41"/>
  <c r="Y153" i="41"/>
  <c r="Y1753" i="41"/>
  <c r="Y2635" i="41"/>
  <c r="Y2826" i="41"/>
  <c r="Y171" i="41"/>
  <c r="Y2801" i="41"/>
  <c r="Y1385" i="41"/>
  <c r="Y377" i="41"/>
  <c r="Y2293" i="41"/>
  <c r="Y777" i="41"/>
  <c r="Y42" i="41"/>
  <c r="Y1130" i="41"/>
  <c r="Y2740" i="41"/>
  <c r="Y2387" i="41"/>
  <c r="Y1264" i="41"/>
  <c r="Y758" i="41"/>
  <c r="Y109" i="41"/>
  <c r="Y2719" i="41"/>
  <c r="Y1629" i="41"/>
  <c r="Y2882" i="41"/>
  <c r="Y1045" i="41"/>
  <c r="Y3082" i="41"/>
  <c r="Y1986" i="41"/>
  <c r="Y3101" i="41"/>
  <c r="Y1257" i="41"/>
  <c r="Y2259" i="41"/>
  <c r="Y3056" i="41"/>
  <c r="Y387" i="41"/>
  <c r="Y1757" i="41"/>
  <c r="Y228" i="41"/>
  <c r="Y2174" i="41"/>
  <c r="Y143" i="41"/>
  <c r="Y1896" i="41"/>
  <c r="Y66" i="41"/>
  <c r="Y1200" i="41"/>
  <c r="Y1432" i="41"/>
  <c r="Y2251" i="41"/>
  <c r="Y519" i="41"/>
  <c r="Y1396" i="41"/>
  <c r="Y933" i="41"/>
  <c r="Y483" i="41"/>
  <c r="Y1138" i="41"/>
  <c r="Y897" i="41"/>
  <c r="Y2885" i="41"/>
  <c r="Y1472" i="41"/>
  <c r="Y1819" i="41"/>
  <c r="Y1604" i="41"/>
  <c r="Y1746" i="41"/>
  <c r="Y442" i="41"/>
  <c r="Y1593" i="41"/>
  <c r="Y2773" i="41"/>
  <c r="Y804" i="41"/>
  <c r="Y2013" i="41"/>
  <c r="Y2925" i="41"/>
  <c r="Y1880" i="41"/>
  <c r="Y460" i="41"/>
  <c r="Y2222" i="41"/>
  <c r="Y979" i="41"/>
  <c r="Y1549" i="41"/>
  <c r="Y906" i="41"/>
  <c r="Y2125" i="41"/>
  <c r="Y1609" i="41"/>
  <c r="Y2854" i="41"/>
  <c r="Y2992" i="41"/>
  <c r="Y1727" i="41"/>
  <c r="Y2809" i="41"/>
  <c r="Y267" i="41"/>
  <c r="Y1115" i="41"/>
  <c r="Y2358" i="41"/>
  <c r="Y225" i="41"/>
  <c r="Y2103" i="41"/>
  <c r="Y2322" i="41"/>
  <c r="Y622" i="41"/>
  <c r="Y2067" i="41"/>
  <c r="Y645" i="41"/>
  <c r="Y903" i="41"/>
  <c r="Y2308" i="41"/>
  <c r="Y2199" i="41"/>
  <c r="Y676" i="41"/>
  <c r="Y1053" i="41"/>
  <c r="Y2193" i="41"/>
  <c r="Y527" i="41"/>
  <c r="Y2407" i="41"/>
  <c r="Y1267" i="41"/>
  <c r="Y1694" i="41"/>
  <c r="Y1582" i="41"/>
  <c r="Y1333" i="41"/>
  <c r="Y436" i="41"/>
  <c r="Y1512" i="41"/>
  <c r="Y1935" i="41"/>
  <c r="Y2876" i="41"/>
  <c r="Y1478" i="41"/>
  <c r="Y1116" i="41"/>
  <c r="Y326" i="41"/>
  <c r="Y1751" i="41"/>
  <c r="Y1977" i="41"/>
  <c r="Y1747" i="41"/>
  <c r="Y409" i="41"/>
  <c r="Y23" i="41"/>
  <c r="Y1988" i="41"/>
  <c r="Y1818" i="41"/>
  <c r="Y159" i="41"/>
  <c r="Y2818" i="41"/>
  <c r="Y1645" i="41"/>
  <c r="Y1902" i="41"/>
  <c r="Y627" i="41"/>
  <c r="Y1636" i="41"/>
  <c r="Y952" i="41"/>
  <c r="Y3104" i="41"/>
  <c r="Y1776" i="41"/>
  <c r="Y2072" i="41"/>
  <c r="Y3072" i="41"/>
  <c r="Y1414" i="41"/>
  <c r="Y1143" i="41"/>
  <c r="Y1911" i="41"/>
  <c r="Y1793" i="41"/>
  <c r="Y1573" i="41"/>
  <c r="Y929" i="41"/>
  <c r="Y53" i="41"/>
  <c r="Y1882" i="41"/>
  <c r="Y2492" i="41"/>
  <c r="Y1696" i="41"/>
  <c r="Y3068" i="41"/>
  <c r="Y2507" i="41"/>
  <c r="Y1769" i="41"/>
  <c r="Y309" i="41"/>
  <c r="Y2684" i="41"/>
  <c r="Y235" i="41"/>
  <c r="Y1940" i="41"/>
  <c r="Y1932" i="41"/>
  <c r="Y418" i="41"/>
  <c r="Y1236" i="41"/>
  <c r="Y2307" i="41"/>
  <c r="Y1794" i="41"/>
  <c r="Y698" i="41"/>
  <c r="Y261" i="41"/>
  <c r="Y2277" i="41"/>
  <c r="Y2547" i="41"/>
  <c r="Y1596" i="41"/>
  <c r="Y374" i="41"/>
  <c r="Y1435" i="41"/>
  <c r="Y817" i="41"/>
  <c r="Y6" i="41"/>
  <c r="Y2304" i="41"/>
  <c r="Y965" i="41"/>
  <c r="Y798" i="41"/>
  <c r="Y2955" i="41"/>
  <c r="Y78" i="41"/>
  <c r="Y1427" i="41"/>
  <c r="Y2518" i="41"/>
  <c r="Y1630" i="41"/>
  <c r="Y2516" i="41"/>
  <c r="Y1711" i="41"/>
  <c r="Y1345" i="41"/>
  <c r="Y1638" i="41"/>
  <c r="Y2527" i="41"/>
  <c r="Y2875" i="41"/>
  <c r="Y2503" i="41"/>
  <c r="Y1371" i="41"/>
  <c r="Y946" i="41"/>
  <c r="Y1785" i="41"/>
  <c r="Y1361" i="41"/>
  <c r="Y2714" i="41"/>
  <c r="Y1249" i="41"/>
  <c r="Y1408" i="41"/>
  <c r="Y948" i="41"/>
  <c r="Y2334" i="41"/>
  <c r="Y3030" i="41"/>
  <c r="Y850" i="41"/>
  <c r="Y581" i="41"/>
  <c r="Y332" i="41"/>
  <c r="Y290" i="41"/>
  <c r="Y308" i="41"/>
  <c r="Y1720" i="41"/>
  <c r="Y254" i="41"/>
  <c r="Y1706" i="41"/>
  <c r="Y1185" i="41"/>
  <c r="Y86" i="41"/>
  <c r="Y920" i="41"/>
  <c r="Y811" i="41"/>
  <c r="Y3100" i="41"/>
  <c r="Y1041" i="41"/>
  <c r="Y453" i="41"/>
  <c r="Y580" i="41"/>
  <c r="Y523" i="41"/>
  <c r="Y1202" i="41"/>
  <c r="Y3090" i="41"/>
  <c r="Y1411" i="41"/>
  <c r="Y2621" i="41"/>
  <c r="Y3126" i="41"/>
  <c r="Y1168" i="41"/>
  <c r="Y1373" i="41"/>
  <c r="Y2499" i="41"/>
  <c r="Y2171" i="41"/>
  <c r="Y2127" i="41"/>
  <c r="Y653" i="41"/>
  <c r="Y2569" i="41"/>
  <c r="Y2769" i="41"/>
  <c r="Y399" i="41"/>
  <c r="Y1824" i="41"/>
  <c r="Y2020" i="41"/>
  <c r="Y2727" i="41"/>
  <c r="Y3105" i="41"/>
  <c r="Y2139" i="41"/>
  <c r="Y641" i="41"/>
  <c r="Y294" i="41"/>
  <c r="Y680" i="41"/>
  <c r="Y2162" i="41"/>
  <c r="Y1203" i="41"/>
  <c r="Y911" i="41"/>
  <c r="Y1798" i="41"/>
  <c r="Y1022" i="41"/>
  <c r="Y2077" i="41"/>
  <c r="Y2957" i="41"/>
  <c r="Y1989" i="41"/>
  <c r="Y2489" i="41"/>
  <c r="Y2903" i="41"/>
  <c r="Y2617" i="41"/>
  <c r="Y2057" i="41"/>
  <c r="Y3085" i="41"/>
  <c r="Y2474" i="41"/>
  <c r="Y2351" i="41"/>
  <c r="Y2196" i="41"/>
  <c r="Y250" i="41"/>
  <c r="Y1500" i="41"/>
  <c r="Y366" i="41"/>
  <c r="Y41" i="41"/>
  <c r="Y1454" i="41"/>
  <c r="Y2766" i="41"/>
  <c r="Y1820" i="41"/>
  <c r="Y544" i="41"/>
  <c r="Y2043" i="41"/>
  <c r="Y1030" i="41"/>
  <c r="Y45" i="41"/>
  <c r="Y609" i="41"/>
  <c r="Y675" i="41"/>
  <c r="Y600" i="41"/>
  <c r="Y1388" i="41"/>
  <c r="Y470" i="41"/>
  <c r="Y512" i="41"/>
  <c r="Y1669" i="41"/>
  <c r="Y1838" i="41"/>
  <c r="Y2602" i="41"/>
  <c r="Y206" i="41"/>
  <c r="Y2600" i="41"/>
  <c r="Y2068" i="41"/>
  <c r="Y1999" i="41"/>
  <c r="Y1633" i="41"/>
  <c r="Y1926" i="41"/>
  <c r="Y1332" i="41"/>
  <c r="Y1467" i="41"/>
  <c r="Y1761" i="41"/>
  <c r="Y205" i="41"/>
  <c r="Y2371" i="41"/>
  <c r="Y2186" i="41"/>
  <c r="Y2249" i="41"/>
  <c r="Y1415" i="41"/>
  <c r="Y1942" i="41"/>
  <c r="Y190" i="41"/>
  <c r="Y1251" i="41"/>
  <c r="Y2143" i="41"/>
  <c r="Y1665" i="41"/>
  <c r="Y2721" i="41"/>
  <c r="Y1532" i="41"/>
  <c r="Y1182" i="41"/>
  <c r="Y1933" i="41"/>
  <c r="Y2855" i="41"/>
  <c r="Y1164" i="41"/>
  <c r="Y1124" i="41"/>
  <c r="Y2667" i="41"/>
  <c r="Y1157" i="41"/>
  <c r="Y1196" i="41"/>
  <c r="Y336" i="41"/>
  <c r="Y764" i="41"/>
  <c r="Y162" i="41"/>
  <c r="Y24" i="41"/>
  <c r="Y1850" i="41"/>
  <c r="Y2636" i="41"/>
  <c r="Y2695" i="41"/>
  <c r="Y160" i="41"/>
  <c r="Y1094" i="41"/>
  <c r="Y36" i="41"/>
  <c r="Y1362" i="41"/>
  <c r="Y110" i="41"/>
  <c r="Y495" i="41"/>
  <c r="Y1220" i="41"/>
  <c r="Y738" i="41"/>
  <c r="AE536" i="1"/>
  <c r="Q382" i="1" l="1"/>
  <c r="Q421" i="1"/>
  <c r="E421" i="1" l="1"/>
  <c r="F421" i="1" s="1"/>
  <c r="C421" i="1"/>
  <c r="D421" i="1" s="1"/>
  <c r="C382" i="1"/>
  <c r="D382" i="1" s="1"/>
  <c r="E382" i="1"/>
  <c r="F382" i="1" s="1"/>
  <c r="H421" i="1"/>
  <c r="H382" i="1"/>
  <c r="AC421" i="1" l="1"/>
  <c r="Q11" i="1"/>
  <c r="E11" i="1" l="1"/>
  <c r="F11" i="1" s="1"/>
  <c r="C11" i="1"/>
  <c r="D11" i="1" s="1"/>
  <c r="H11" i="1"/>
  <c r="AE421" i="1"/>
  <c r="AE382" i="1"/>
  <c r="AC382" i="1"/>
  <c r="AC11" i="1" l="1"/>
  <c r="Q392" i="1"/>
  <c r="Q387" i="1"/>
  <c r="Q405" i="1"/>
  <c r="Q403" i="1"/>
  <c r="Q396" i="1"/>
  <c r="E387" i="1" l="1"/>
  <c r="F387" i="1" s="1"/>
  <c r="C387" i="1"/>
  <c r="D387" i="1" s="1"/>
  <c r="E405" i="1"/>
  <c r="F405" i="1" s="1"/>
  <c r="C405" i="1"/>
  <c r="D405" i="1" s="1"/>
  <c r="E392" i="1"/>
  <c r="F392" i="1" s="1"/>
  <c r="C392" i="1"/>
  <c r="D392" i="1" s="1"/>
  <c r="E396" i="1"/>
  <c r="F396" i="1" s="1"/>
  <c r="C396" i="1"/>
  <c r="D396" i="1" s="1"/>
  <c r="E403" i="1"/>
  <c r="F403" i="1" s="1"/>
  <c r="C403" i="1"/>
  <c r="D403" i="1" s="1"/>
  <c r="H387" i="1"/>
  <c r="H392" i="1"/>
  <c r="H396" i="1"/>
  <c r="H403" i="1"/>
  <c r="H405" i="1"/>
  <c r="AE11" i="1"/>
  <c r="AE387" i="1" l="1"/>
  <c r="AC387" i="1"/>
  <c r="AE405" i="1"/>
  <c r="AC405" i="1"/>
  <c r="AE403" i="1"/>
  <c r="AC403" i="1"/>
  <c r="AE392" i="1"/>
  <c r="AC392" i="1"/>
  <c r="AE396" i="1"/>
  <c r="AC396" i="1"/>
  <c r="AC491" i="1"/>
  <c r="AE490" i="1" l="1"/>
  <c r="AC490" i="1"/>
  <c r="AE472" i="1"/>
  <c r="AC472" i="1"/>
  <c r="AE465" i="1"/>
  <c r="AC465" i="1"/>
  <c r="AE495" i="1"/>
  <c r="AC495" i="1"/>
  <c r="AE473" i="1"/>
  <c r="AC473" i="1"/>
  <c r="AE464" i="1"/>
  <c r="AC464" i="1"/>
  <c r="AE489" i="1"/>
  <c r="AC489" i="1"/>
  <c r="AE491" i="1"/>
  <c r="AE494" i="1"/>
  <c r="AC494" i="1"/>
  <c r="AE493" i="1"/>
  <c r="AC493" i="1"/>
  <c r="AE492" i="1"/>
  <c r="AC492" i="1"/>
  <c r="AE469" i="1"/>
  <c r="AC469" i="1"/>
  <c r="AC470" i="1"/>
  <c r="AE470" i="1"/>
  <c r="AC471" i="1"/>
  <c r="AE471" i="1"/>
  <c r="Q398" i="1"/>
  <c r="Q362" i="1"/>
  <c r="Q358" i="1"/>
  <c r="Q388" i="1"/>
  <c r="Q537" i="1"/>
  <c r="E362" i="1" l="1"/>
  <c r="F362" i="1" s="1"/>
  <c r="C362" i="1"/>
  <c r="D362" i="1" s="1"/>
  <c r="E537" i="1"/>
  <c r="F537" i="1" s="1"/>
  <c r="C537" i="1"/>
  <c r="D537" i="1" s="1"/>
  <c r="E388" i="1"/>
  <c r="F388" i="1" s="1"/>
  <c r="C388" i="1"/>
  <c r="D388" i="1" s="1"/>
  <c r="E358" i="1"/>
  <c r="F358" i="1" s="1"/>
  <c r="C358" i="1"/>
  <c r="D358" i="1" s="1"/>
  <c r="E398" i="1"/>
  <c r="F398" i="1" s="1"/>
  <c r="C398" i="1"/>
  <c r="D398" i="1" s="1"/>
  <c r="H388" i="1"/>
  <c r="H362" i="1"/>
  <c r="H398" i="1"/>
  <c r="H358" i="1"/>
  <c r="H537" i="1"/>
  <c r="Q7" i="1"/>
  <c r="Q83" i="1"/>
  <c r="Q45" i="1"/>
  <c r="Q46" i="1"/>
  <c r="Q108" i="1"/>
  <c r="Q262" i="1"/>
  <c r="Q350" i="1"/>
  <c r="Q351" i="1"/>
  <c r="Q354" i="1"/>
  <c r="Q355" i="1"/>
  <c r="Q356" i="1"/>
  <c r="Q417" i="1"/>
  <c r="Q418" i="1"/>
  <c r="Q420" i="1"/>
  <c r="Q13" i="1"/>
  <c r="Q15" i="1"/>
  <c r="Q18" i="1"/>
  <c r="Q20" i="1"/>
  <c r="Q23" i="1"/>
  <c r="Q26" i="1"/>
  <c r="Q27" i="1"/>
  <c r="Q37" i="1"/>
  <c r="Q33" i="1"/>
  <c r="Q35" i="1"/>
  <c r="Q30" i="1"/>
  <c r="Q32" i="1"/>
  <c r="Q370" i="1"/>
  <c r="E26" i="1" l="1"/>
  <c r="F26" i="1" s="1"/>
  <c r="C26" i="1"/>
  <c r="D26" i="1" s="1"/>
  <c r="E351" i="1"/>
  <c r="F351" i="1" s="1"/>
  <c r="C351" i="1"/>
  <c r="D351" i="1" s="1"/>
  <c r="C350" i="1"/>
  <c r="D350" i="1" s="1"/>
  <c r="E350" i="1"/>
  <c r="F350" i="1" s="1"/>
  <c r="E83" i="1"/>
  <c r="F83" i="1" s="1"/>
  <c r="C83" i="1"/>
  <c r="D83" i="1" s="1"/>
  <c r="E262" i="1"/>
  <c r="F262" i="1" s="1"/>
  <c r="C262" i="1"/>
  <c r="D262" i="1" s="1"/>
  <c r="E30" i="1"/>
  <c r="F30" i="1" s="1"/>
  <c r="C30" i="1"/>
  <c r="D30" i="1" s="1"/>
  <c r="E420" i="1"/>
  <c r="F420" i="1" s="1"/>
  <c r="C420" i="1"/>
  <c r="D420" i="1" s="1"/>
  <c r="E18" i="1"/>
  <c r="F18" i="1" s="1"/>
  <c r="C18" i="1"/>
  <c r="D18" i="1" s="1"/>
  <c r="E356" i="1"/>
  <c r="F356" i="1" s="1"/>
  <c r="C356" i="1"/>
  <c r="D356" i="1" s="1"/>
  <c r="E108" i="1"/>
  <c r="F108" i="1" s="1"/>
  <c r="C108" i="1"/>
  <c r="D108" i="1" s="1"/>
  <c r="E15" i="1"/>
  <c r="F15" i="1" s="1"/>
  <c r="C15" i="1"/>
  <c r="D15" i="1" s="1"/>
  <c r="E418" i="1"/>
  <c r="F418" i="1" s="1"/>
  <c r="C418" i="1"/>
  <c r="D418" i="1" s="1"/>
  <c r="E46" i="1"/>
  <c r="F46" i="1" s="1"/>
  <c r="C46" i="1"/>
  <c r="D46" i="1" s="1"/>
  <c r="E37" i="1"/>
  <c r="F37" i="1" s="1"/>
  <c r="C37" i="1"/>
  <c r="D37" i="1" s="1"/>
  <c r="E23" i="1"/>
  <c r="F23" i="1" s="1"/>
  <c r="C23" i="1"/>
  <c r="D23" i="1" s="1"/>
  <c r="E20" i="1"/>
  <c r="F20" i="1" s="1"/>
  <c r="C20" i="1"/>
  <c r="D20" i="1" s="1"/>
  <c r="E370" i="1"/>
  <c r="F370" i="1" s="1"/>
  <c r="C370" i="1"/>
  <c r="D370" i="1" s="1"/>
  <c r="E355" i="1"/>
  <c r="F355" i="1" s="1"/>
  <c r="C355" i="1"/>
  <c r="D355" i="1" s="1"/>
  <c r="E45" i="1"/>
  <c r="F45" i="1" s="1"/>
  <c r="C45" i="1"/>
  <c r="D45" i="1" s="1"/>
  <c r="E35" i="1"/>
  <c r="F35" i="1" s="1"/>
  <c r="C35" i="1"/>
  <c r="D35" i="1" s="1"/>
  <c r="E354" i="1"/>
  <c r="F354" i="1" s="1"/>
  <c r="C354" i="1"/>
  <c r="D354" i="1" s="1"/>
  <c r="E7" i="1"/>
  <c r="F7" i="1" s="1"/>
  <c r="C7" i="1"/>
  <c r="D7" i="1" s="1"/>
  <c r="E13" i="1"/>
  <c r="F13" i="1" s="1"/>
  <c r="C13" i="1"/>
  <c r="D13" i="1" s="1"/>
  <c r="E33" i="1"/>
  <c r="F33" i="1" s="1"/>
  <c r="C33" i="1"/>
  <c r="D33" i="1" s="1"/>
  <c r="C32" i="1"/>
  <c r="D32" i="1" s="1"/>
  <c r="E32" i="1"/>
  <c r="F32" i="1" s="1"/>
  <c r="E27" i="1"/>
  <c r="F27" i="1" s="1"/>
  <c r="C27" i="1"/>
  <c r="D27" i="1" s="1"/>
  <c r="E417" i="1"/>
  <c r="F417" i="1" s="1"/>
  <c r="C417" i="1"/>
  <c r="D417" i="1" s="1"/>
  <c r="H23" i="1"/>
  <c r="H417" i="1"/>
  <c r="H20" i="1"/>
  <c r="H370" i="1"/>
  <c r="H18" i="1"/>
  <c r="H356" i="1"/>
  <c r="H350" i="1"/>
  <c r="H37" i="1"/>
  <c r="H420" i="1"/>
  <c r="H351" i="1"/>
  <c r="H15" i="1"/>
  <c r="H418" i="1"/>
  <c r="H262" i="1"/>
  <c r="H7" i="1"/>
  <c r="H35" i="1"/>
  <c r="H27" i="1"/>
  <c r="H13" i="1"/>
  <c r="H355" i="1"/>
  <c r="H108" i="1"/>
  <c r="H45" i="1"/>
  <c r="H83" i="1"/>
  <c r="H32" i="1"/>
  <c r="H30" i="1"/>
  <c r="H33" i="1"/>
  <c r="H26" i="1"/>
  <c r="H354" i="1"/>
  <c r="H46" i="1"/>
  <c r="AC362" i="1"/>
  <c r="AC398" i="1"/>
  <c r="AC388" i="1"/>
  <c r="AC27" i="1" l="1"/>
  <c r="AC262" i="1"/>
  <c r="AC30" i="1"/>
  <c r="AC32" i="1"/>
  <c r="AC354" i="1"/>
  <c r="AC420" i="1"/>
  <c r="AC15" i="1"/>
  <c r="AC350" i="1"/>
  <c r="AC18" i="1"/>
  <c r="AC46" i="1"/>
  <c r="AC35" i="1"/>
  <c r="AC83" i="1"/>
  <c r="AC417" i="1"/>
  <c r="AC23" i="1"/>
  <c r="AC33" i="1"/>
  <c r="AC351" i="1"/>
  <c r="AC20" i="1"/>
  <c r="AE388" i="1"/>
  <c r="AE362" i="1"/>
  <c r="AE398" i="1"/>
  <c r="AE537" i="1"/>
  <c r="AE358" i="1"/>
  <c r="AM2" i="8"/>
  <c r="AC537" i="1"/>
  <c r="AC358" i="1"/>
  <c r="Q461" i="1"/>
  <c r="Q462" i="1"/>
  <c r="Q400" i="1"/>
  <c r="Q518" i="1"/>
  <c r="Q264" i="1"/>
  <c r="Q266" i="1"/>
  <c r="Q381" i="1"/>
  <c r="Q522" i="1"/>
  <c r="Q411" i="1"/>
  <c r="Q412" i="1"/>
  <c r="Q413" i="1"/>
  <c r="Q406" i="1"/>
  <c r="Q407" i="1"/>
  <c r="Q408" i="1"/>
  <c r="Q414" i="1"/>
  <c r="E462" i="1" l="1"/>
  <c r="F462" i="1" s="1"/>
  <c r="C462" i="1"/>
  <c r="D462" i="1" s="1"/>
  <c r="E518" i="1"/>
  <c r="F518" i="1" s="1"/>
  <c r="C518" i="1"/>
  <c r="D518" i="1" s="1"/>
  <c r="E412" i="1"/>
  <c r="F412" i="1" s="1"/>
  <c r="C412" i="1"/>
  <c r="D412" i="1" s="1"/>
  <c r="E522" i="1"/>
  <c r="F522" i="1" s="1"/>
  <c r="C522" i="1"/>
  <c r="D522" i="1" s="1"/>
  <c r="C414" i="1"/>
  <c r="D414" i="1" s="1"/>
  <c r="E414" i="1"/>
  <c r="F414" i="1" s="1"/>
  <c r="E381" i="1"/>
  <c r="F381" i="1" s="1"/>
  <c r="C381" i="1"/>
  <c r="D381" i="1" s="1"/>
  <c r="E461" i="1"/>
  <c r="F461" i="1" s="1"/>
  <c r="C461" i="1"/>
  <c r="D461" i="1" s="1"/>
  <c r="E413" i="1"/>
  <c r="F413" i="1" s="1"/>
  <c r="C413" i="1"/>
  <c r="D413" i="1" s="1"/>
  <c r="C400" i="1"/>
  <c r="D400" i="1" s="1"/>
  <c r="E400" i="1"/>
  <c r="F400" i="1" s="1"/>
  <c r="E411" i="1"/>
  <c r="F411" i="1" s="1"/>
  <c r="C411" i="1"/>
  <c r="D411" i="1" s="1"/>
  <c r="E408" i="1"/>
  <c r="F408" i="1" s="1"/>
  <c r="C408" i="1"/>
  <c r="D408" i="1" s="1"/>
  <c r="E407" i="1"/>
  <c r="F407" i="1" s="1"/>
  <c r="C407" i="1"/>
  <c r="D407" i="1" s="1"/>
  <c r="E266" i="1"/>
  <c r="F266" i="1" s="1"/>
  <c r="C266" i="1"/>
  <c r="D266" i="1" s="1"/>
  <c r="E406" i="1"/>
  <c r="F406" i="1" s="1"/>
  <c r="C406" i="1"/>
  <c r="D406" i="1" s="1"/>
  <c r="E264" i="1"/>
  <c r="F264" i="1" s="1"/>
  <c r="C264" i="1"/>
  <c r="D264" i="1" s="1"/>
  <c r="H413" i="1"/>
  <c r="H461" i="1"/>
  <c r="H266" i="1"/>
  <c r="H411" i="1"/>
  <c r="H522" i="1"/>
  <c r="H518" i="1"/>
  <c r="H408" i="1"/>
  <c r="H400" i="1"/>
  <c r="H412" i="1"/>
  <c r="H381" i="1"/>
  <c r="H264" i="1"/>
  <c r="H414" i="1"/>
  <c r="H407" i="1"/>
  <c r="H406" i="1"/>
  <c r="H462" i="1"/>
  <c r="AE13" i="1"/>
  <c r="AE26" i="1"/>
  <c r="AE355" i="1"/>
  <c r="AE7" i="1"/>
  <c r="AE262" i="1"/>
  <c r="AE420" i="1"/>
  <c r="AE35" i="1"/>
  <c r="AE46" i="1"/>
  <c r="AE37" i="1"/>
  <c r="AE418" i="1"/>
  <c r="AE356" i="1"/>
  <c r="AE354" i="1"/>
  <c r="AC45" i="1"/>
  <c r="AE18" i="1"/>
  <c r="AE417" i="1"/>
  <c r="AE32" i="1"/>
  <c r="AE83" i="1"/>
  <c r="AE27" i="1"/>
  <c r="AE30" i="1"/>
  <c r="AE15" i="1"/>
  <c r="AE350" i="1"/>
  <c r="AE108" i="1"/>
  <c r="AE23" i="1"/>
  <c r="AE45" i="1"/>
  <c r="AC108" i="1"/>
  <c r="AE33" i="1"/>
  <c r="AC26" i="1"/>
  <c r="AE351" i="1"/>
  <c r="AC418" i="1"/>
  <c r="AE20" i="1"/>
  <c r="AC7" i="1"/>
  <c r="AC355" i="1"/>
  <c r="AC356" i="1"/>
  <c r="AC37" i="1"/>
  <c r="AC13" i="1"/>
  <c r="AE370" i="1"/>
  <c r="AC370" i="1"/>
  <c r="AC518" i="1" l="1"/>
  <c r="AC522" i="1"/>
  <c r="AC412" i="1"/>
  <c r="AC381" i="1"/>
  <c r="AC462" i="1"/>
  <c r="AC266" i="1"/>
  <c r="AC400" i="1"/>
  <c r="AC408" i="1"/>
  <c r="AC414" i="1"/>
  <c r="AC413" i="1"/>
  <c r="AC407" i="1"/>
  <c r="AE407" i="1" l="1"/>
  <c r="AE412" i="1"/>
  <c r="AE413" i="1"/>
  <c r="AE408" i="1"/>
  <c r="AE406" i="1"/>
  <c r="AE414" i="1"/>
  <c r="AE462" i="1"/>
  <c r="AE266" i="1"/>
  <c r="AE381" i="1"/>
  <c r="AE522" i="1"/>
  <c r="AE518" i="1"/>
  <c r="AC406" i="1"/>
  <c r="AE400" i="1"/>
  <c r="AE411" i="1"/>
  <c r="AC411" i="1"/>
  <c r="AE461" i="1"/>
  <c r="AC461" i="1"/>
  <c r="AE264" i="1"/>
  <c r="AC264" i="1"/>
</calcChain>
</file>

<file path=xl/comments1.xml><?xml version="1.0" encoding="utf-8"?>
<comments xmlns="http://schemas.openxmlformats.org/spreadsheetml/2006/main">
  <authors>
    <author>Fabián Arroyave Sánchez</author>
    <author>Luisa Fernanda Gaviria Cano</author>
  </authors>
  <commentList>
    <comment ref="I5" authorId="0" shapeId="0">
      <text>
        <r>
          <rPr>
            <b/>
            <sz val="9"/>
            <color indexed="81"/>
            <rFont val="Tahoma"/>
            <family val="2"/>
          </rPr>
          <t>Fabián Arroyave Sánchez:</t>
        </r>
        <r>
          <rPr>
            <sz val="9"/>
            <color indexed="81"/>
            <rFont val="Tahoma"/>
            <family val="2"/>
          </rPr>
          <t xml:space="preserve">
Valor total PAA incluye incorporaciones</t>
        </r>
      </text>
    </comment>
    <comment ref="J5" authorId="0" shapeId="0">
      <text>
        <r>
          <rPr>
            <b/>
            <sz val="9"/>
            <color indexed="81"/>
            <rFont val="Tahoma"/>
            <family val="2"/>
          </rPr>
          <t>Fabián Arroyave Sánchez:</t>
        </r>
        <r>
          <rPr>
            <sz val="9"/>
            <color indexed="81"/>
            <rFont val="Tahoma"/>
            <family val="2"/>
          </rPr>
          <t xml:space="preserve">
Valor PPTO</t>
        </r>
      </text>
    </comment>
    <comment ref="K5" authorId="0" shapeId="0">
      <text>
        <r>
          <rPr>
            <b/>
            <sz val="9"/>
            <color indexed="81"/>
            <rFont val="Tahoma"/>
            <family val="2"/>
          </rPr>
          <t>Fabián Arroyave Sánchez:</t>
        </r>
        <r>
          <rPr>
            <sz val="9"/>
            <color indexed="81"/>
            <rFont val="Tahoma"/>
            <family val="2"/>
          </rPr>
          <t xml:space="preserve">
Validación valor total PAA (0 correcto &lt;&gt; 0, verificar)</t>
        </r>
      </text>
    </comment>
    <comment ref="N5" authorId="1" shapeId="0">
      <text>
        <r>
          <rPr>
            <b/>
            <sz val="9"/>
            <color indexed="81"/>
            <rFont val="Tahoma"/>
            <family val="2"/>
          </rPr>
          <t>Luisa Fernanda Gaviria Cano:</t>
        </r>
        <r>
          <rPr>
            <sz val="9"/>
            <color indexed="81"/>
            <rFont val="Tahoma"/>
            <family val="2"/>
          </rPr>
          <t xml:space="preserve">
Incorporación al ppto decreto 202207004912 secretaria de mujeres
</t>
        </r>
      </text>
    </comment>
    <comment ref="P5" authorId="1" shapeId="0">
      <text>
        <r>
          <rPr>
            <b/>
            <sz val="9"/>
            <color indexed="81"/>
            <rFont val="Tahoma"/>
            <family val="2"/>
          </rPr>
          <t>Luisa Fernanda Gaviria Cano:</t>
        </r>
        <r>
          <rPr>
            <sz val="9"/>
            <color indexed="81"/>
            <rFont val="Tahoma"/>
            <family val="2"/>
          </rPr>
          <t xml:space="preserve">
incorporación Decreto 2022070004860</t>
        </r>
      </text>
    </comment>
    <comment ref="Q6" authorId="1" shapeId="0">
      <text>
        <r>
          <rPr>
            <b/>
            <sz val="9"/>
            <color indexed="81"/>
            <rFont val="Tahoma"/>
            <family val="2"/>
          </rPr>
          <t>Luisa Fernanda Gaviria Cano:</t>
        </r>
        <r>
          <rPr>
            <sz val="9"/>
            <color indexed="81"/>
            <rFont val="Tahoma"/>
            <family val="2"/>
          </rPr>
          <t xml:space="preserve">
LO EXTRAE EL FORMATO DE LA COLUMNA RUBRO 
</t>
        </r>
      </text>
    </comment>
    <comment ref="R6" authorId="1" shapeId="0">
      <text>
        <r>
          <rPr>
            <b/>
            <sz val="9"/>
            <color indexed="81"/>
            <rFont val="Tahoma"/>
            <family val="2"/>
          </rPr>
          <t>Luisa Fernanda Gaviria Cano:</t>
        </r>
        <r>
          <rPr>
            <sz val="9"/>
            <color indexed="81"/>
            <rFont val="Tahoma"/>
            <family val="2"/>
          </rPr>
          <t xml:space="preserve">
LO EXTRAE EL FORMATO DE LA COLUMNA RUBRO 
</t>
        </r>
      </text>
    </comment>
    <comment ref="S6" authorId="1" shapeId="0">
      <text>
        <r>
          <rPr>
            <b/>
            <sz val="9"/>
            <color indexed="81"/>
            <rFont val="Tahoma"/>
            <family val="2"/>
          </rPr>
          <t>Luisa Fernanda Gaviria Cano:</t>
        </r>
        <r>
          <rPr>
            <sz val="9"/>
            <color indexed="81"/>
            <rFont val="Tahoma"/>
            <family val="2"/>
          </rPr>
          <t xml:space="preserve">
CANTIDAD DE TIEMPO </t>
        </r>
      </text>
    </comment>
    <comment ref="T6" authorId="1" shapeId="0">
      <text>
        <r>
          <rPr>
            <b/>
            <sz val="9"/>
            <color indexed="81"/>
            <rFont val="Tahoma"/>
            <family val="2"/>
          </rPr>
          <t>Luisa Fernanda Gaviria Cano:</t>
        </r>
        <r>
          <rPr>
            <sz val="9"/>
            <color indexed="81"/>
            <rFont val="Tahoma"/>
            <family val="2"/>
          </rPr>
          <t xml:space="preserve">
UNIDAD DE MEDIDA DEL TIEMPO 
</t>
        </r>
      </text>
    </comment>
  </commentList>
</comments>
</file>

<file path=xl/comments2.xml><?xml version="1.0" encoding="utf-8"?>
<comments xmlns="http://schemas.openxmlformats.org/spreadsheetml/2006/main">
  <authors>
    <author>tc={0378DDC1-ABD6-4DB9-91DA-A2AFA133CD90}</author>
    <author>tc={25DA25F0-DE54-45E2-96D6-DB6A58273C5F}</author>
    <author>tc={F2E6B19C-0DBB-496B-A56F-1174EF68B839}</author>
    <author>AMV</author>
    <author>tc={087FEF56-E564-41BB-A89C-B3A863C33F90}</author>
    <author>tc={6659CB55-F61A-498D-9DFD-5502B2B7F1F4}</author>
    <author>tc={6CEA115C-06A5-4359-91B6-A3B315A7EDBC}</author>
  </authors>
  <commentList>
    <comment ref="E1"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Cuadro de lista hoja supervisores</t>
        </r>
      </text>
    </comment>
    <comment ref="F1"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Cuadro lista hoja supervisores</t>
        </r>
      </text>
    </comment>
    <comment ref="S1"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AUTOMATIZAR CELDAS VERDES DE RCP PAGOS</t>
        </r>
      </text>
    </comment>
    <comment ref="AC1" authorId="3" shapeId="0">
      <text>
        <r>
          <rPr>
            <b/>
            <sz val="9"/>
            <color indexed="81"/>
            <rFont val="Tahoma"/>
            <family val="2"/>
          </rPr>
          <t>AMV: se diligencia la</t>
        </r>
        <r>
          <rPr>
            <sz val="9"/>
            <color indexed="81"/>
            <rFont val="Tahoma"/>
            <family val="2"/>
          </rPr>
          <t xml:space="preserve">
fecha final de la prorroga </t>
        </r>
      </text>
    </comment>
    <comment ref="AE1" authorId="4"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Lista si o no </t>
        </r>
      </text>
    </comment>
    <comment ref="A377"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En la descripción del mercurio dice que el item es el 168, pero el EP dice 188- ojo hay dos items 188</t>
        </r>
      </text>
    </comment>
    <comment ref="B385"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El jurídico no solicitó el nro del contrato y adjudicó con el nro de proceso</t>
        </r>
      </text>
    </comment>
  </commentList>
</comments>
</file>

<file path=xl/connections.xml><?xml version="1.0" encoding="utf-8"?>
<connections xmlns="http://schemas.openxmlformats.org/spreadsheetml/2006/main">
  <connection id="1" keepAlive="1" name="Consulta - ADICIONES_" description="Conexión a la consulta 'ADICIONES_' en el libro." type="5" refreshedVersion="7" background="1" saveData="1">
    <dbPr connection="Provider=Microsoft.Mashup.OleDb.1;Data Source=$Workbook$;Location=ADICIONES_;Extended Properties=&quot;&quot;" command="SELECT * FROM [ADICIONES_]"/>
  </connection>
  <connection id="2" keepAlive="1" name="Consulta - COMPROMISOS_2025" description="Conexión a la consulta 'COMPROMISOS_2025' en el libro." type="5" refreshedVersion="8" background="1" saveData="1">
    <dbPr connection="Provider=Microsoft.Mashup.OleDb.1;Data Source=$Workbook$;Location=COMPROMISOS_2025;Extended Properties=&quot;&quot;" command="SELECT * FROM [COMPROMISOS_2025]"/>
  </connection>
  <connection id="3" keepAlive="1" name="Consulta - Consulta1" description="Conexión a la consulta 'Consulta1' en el libro." type="5" refreshedVersion="8" background="1" saveData="1">
    <dbPr connection="Provider=Microsoft.Mashup.OleDb.1;Data Source=$Workbook$;Location=Consulta1;Extended Properties=&quot;&quot;" command="SELECT * FROM [Consulta1]"/>
  </connection>
  <connection id="4" keepAlive="1" name="Consulta - CONTRATOS_" description="Conexión a la consulta 'CONTRATOS_' en el libro." type="5" refreshedVersion="7" background="1" saveData="1">
    <dbPr connection="Provider=Microsoft.Mashup.OleDb.1;Data Source=$Workbook$;Location=CONTRATOS_;Extended Properties=&quot;&quot;" command="SELECT * FROM [CONTRATOS_]"/>
  </connection>
  <connection id="5" keepAlive="1" name="Consulta - DISPONIBILIDADES_2025" description="Conexión a la consulta 'DISPONIBILIDADES_2025' en el libro." type="5" refreshedVersion="8" background="1" saveData="1">
    <dbPr connection="Provider=Microsoft.Mashup.OleDb.1;Data Source=$Workbook$;Location=DISPONIBILIDADES_2025;Extended Properties=&quot;&quot;" command="SELECT * FROM [DISPONIBILIDADES_2025]"/>
  </connection>
  <connection id="6" keepAlive="1" name="Consulta - GASTOS_" description="Conexión a la consulta 'GASTOS_' en el libro." type="5" refreshedVersion="7" background="1" saveData="1">
    <dbPr connection="Provider=Microsoft.Mashup.OleDb.1;Data Source=$Workbook$;Location=GASTOS_;Extended Properties=&quot;&quot;" command="SELECT * FROM [GASTOS_]"/>
  </connection>
  <connection id="7" keepAlive="1" name="Consulta - PAGOS" description="Conexión a la consulta 'PAGOS' en el libro." type="5" refreshedVersion="7" background="1" saveData="1">
    <dbPr connection="Provider=Microsoft.Mashup.OleDb.1;Data Source=$Workbook$;Location=PAGOS;Extended Properties=&quot;&quot;" command="SELECT * FROM [PAGOS]"/>
  </connection>
  <connection id="8" keepAlive="1" name="Consulta - PERSONAL_ACTIVO_2025" description="Conexión a la consulta 'PERSONAL_ACTIVO_2025' en el libro." type="5" refreshedVersion="8" background="1" saveData="1">
    <dbPr connection="Provider=Microsoft.Mashup.OleDb.1;Data Source=$Workbook$;Location=PERSONAL_ACTIVO_2025;Extended Properties=&quot;&quot;" command="SELECT * FROM [PERSONAL_ACTIVO_2025]"/>
  </connection>
  <connection id="9" keepAlive="1" name="Consulta - RPC_DINAMICA" description="Conexión a la consulta 'RPC_DINAMICA' en el libro." type="5" refreshedVersion="7" background="1" saveData="1">
    <dbPr connection="Provider=Microsoft.Mashup.OleDb.1;Data Source=$Workbook$;Location=RPC_DINAMICA;Extended Properties=&quot;&quot;" command="SELECT * FROM [RPC_DINAMICA]"/>
  </connection>
  <connection id="10" keepAlive="1" name="Consulta - RPC_TABLA" description="Conexión a la consulta 'RPC_TABLA' en el libro." type="5" refreshedVersion="7" background="1" saveData="1">
    <dbPr connection="Provider=Microsoft.Mashup.OleDb.1;Data Source=$Workbook$;Location=RPC_TABLA;Extended Properties=&quot;&quot;" command="SELECT * FROM [RPC_TABLA]"/>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<sst xmlns="http://schemas.openxmlformats.org/spreadsheetml/2006/main" count="46608" uniqueCount="6469">
  <si>
    <t>PLAN ANUAL DE ADQUISICIONES</t>
  </si>
  <si>
    <t xml:space="preserve">PPTOTOTAL </t>
  </si>
  <si>
    <t xml:space="preserve">PPTO INICIAL </t>
  </si>
  <si>
    <t>CELDA DE VALIDACIÓN</t>
  </si>
  <si>
    <t xml:space="preserve">INCORPORACIONES </t>
  </si>
  <si>
    <t xml:space="preserve"> </t>
  </si>
  <si>
    <t>ITEM</t>
  </si>
  <si>
    <t>Código UNSPSC (Manual)</t>
  </si>
  <si>
    <t>UNIDAD DE CONTRATACION (formulado)</t>
  </si>
  <si>
    <t>Funci/ inversion (formulado)</t>
  </si>
  <si>
    <t>Nombre Proyecto  (formulado)</t>
  </si>
  <si>
    <t>Código BPIN (FORMULADO)</t>
  </si>
  <si>
    <t>Actividad3</t>
  </si>
  <si>
    <t>Proyecto (formulado)</t>
  </si>
  <si>
    <t>Valor definitivo (manual)</t>
  </si>
  <si>
    <t>Descripción - Objeto del Contrato (manual)</t>
  </si>
  <si>
    <t>ESTADO (formulado)</t>
  </si>
  <si>
    <t>MODALIDAD DE CONTRATACION (manual)</t>
  </si>
  <si>
    <t>TIPO DE CONTRATACION (Manual)</t>
  </si>
  <si>
    <t>RUBRO(BASEDEINFORMACION)MANUAL</t>
  </si>
  <si>
    <t>Rubro Corto (Formulado)</t>
  </si>
  <si>
    <t>NOMBRE RUBRO (Formulado)</t>
  </si>
  <si>
    <t>PROYECTO (formulado)2</t>
  </si>
  <si>
    <t>FONDO (formulado)</t>
  </si>
  <si>
    <t>PLAZO (manual)</t>
  </si>
  <si>
    <t>MES DIA O AÑO (manual)</t>
  </si>
  <si>
    <t>CDP (manual)</t>
  </si>
  <si>
    <t>¿Se requieren vigencias futuras? (MANUAL)</t>
  </si>
  <si>
    <t>Fecha estimada de inicio de proceso de selección (mes) (manual)</t>
  </si>
  <si>
    <t>Fecha estimada de presentación de ofertas (mes) (manual)</t>
  </si>
  <si>
    <t>NUMERO CONTRATO</t>
  </si>
  <si>
    <t>CONTRATISTA</t>
  </si>
  <si>
    <t>NUMERO COMPROMISO -RCP</t>
  </si>
  <si>
    <t>COMPROMETIDO</t>
  </si>
  <si>
    <t>VALOR A LIBERAR</t>
  </si>
  <si>
    <t>PAGADO</t>
  </si>
  <si>
    <t>FALTANTE POR PAGAR</t>
  </si>
  <si>
    <t>RCP-RUBRO</t>
  </si>
  <si>
    <t>INDICADOR</t>
  </si>
  <si>
    <t>Pago por Contrato</t>
  </si>
  <si>
    <t>Comprometido Contrato</t>
  </si>
  <si>
    <t>N/A</t>
  </si>
  <si>
    <t>999999 Funcionamiento</t>
  </si>
  <si>
    <t>SUELDO BÁSICO</t>
  </si>
  <si>
    <t>RESOLUCIÓN</t>
  </si>
  <si>
    <t>1.00.0000.00.0-205616.2.1.1.01.01.001.01.</t>
  </si>
  <si>
    <t>MESES</t>
  </si>
  <si>
    <t>NO</t>
  </si>
  <si>
    <t xml:space="preserve">ENERO </t>
  </si>
  <si>
    <t>HORAS EXTRAS, DOMINICALES, FESTIVOS Y RECARGOS</t>
  </si>
  <si>
    <t>1.00.0000.00.0-205616.2.1.1.01.01.001.02.</t>
  </si>
  <si>
    <t>PRIMA DE SERVICIOS</t>
  </si>
  <si>
    <t>1.00.0000.00.0-205616.2.1.1.01.01.001.06.</t>
  </si>
  <si>
    <t xml:space="preserve">GASTOS DE VIAJES Y COMISIONES DE SERVIDORES PÚBLICOS Y MIEMBROS DE LA JUNTA DIRECTIVA </t>
  </si>
  <si>
    <t>1.00.0000.00.0-205616.2.1.1.01.01.001.10.</t>
  </si>
  <si>
    <t>PRIMA DE NAVIDAD</t>
  </si>
  <si>
    <t>1.00.0000.00.0-205616.2.1.1.01.01.001.08.01</t>
  </si>
  <si>
    <t>PRIMA DE VACACIONES</t>
  </si>
  <si>
    <t>1.00.0000.00.0-205616.2.1.1.01.01.001.08.02</t>
  </si>
  <si>
    <t>BONIFICACIÓN POR SERVICIOS PRESTADOS</t>
  </si>
  <si>
    <t>1.00.0000.00.0-205616.2.1.1.01.01.001.07.</t>
  </si>
  <si>
    <t>APORTES A LA SEGURIDAD SOCIAL EN PENSIONES</t>
  </si>
  <si>
    <t>1.00.0000.00.0-205616.2.1.1.01.02.001.</t>
  </si>
  <si>
    <t>APORTES A LA SEGURIDAD SOCIAL EN SALUD</t>
  </si>
  <si>
    <t>1.00.0000.00.0-205616.2.1.1.01.02.002.</t>
  </si>
  <si>
    <t>APORTES DE CESANTÍAS</t>
  </si>
  <si>
    <t>1.00.0000.00.0-205616.2.1.1.01.02.003.</t>
  </si>
  <si>
    <t>APORTES A CAJAS DE COMPENSACIÓN FAMILIAR</t>
  </si>
  <si>
    <t>1.00.0000.00.0-205616.2.1.1.01.02.004.</t>
  </si>
  <si>
    <t>APORTES GENERALES AL SISTEMA DE RIESGOS LABORALES</t>
  </si>
  <si>
    <t>1.00.0000.00.0-205616.2.1.1.01.02.005.</t>
  </si>
  <si>
    <t>APORTES AL ICBF</t>
  </si>
  <si>
    <t>1.00.0000.00.0-205616.2.1.1.01.02.006.</t>
  </si>
  <si>
    <t>APORTES AL SENA</t>
  </si>
  <si>
    <t>1.00.0000.00.0-205616.2.1.1.01.02.007.</t>
  </si>
  <si>
    <t>VACACIONES</t>
  </si>
  <si>
    <t>1.00.0000.00.0-205616.2.1.1.01.03.001.01.</t>
  </si>
  <si>
    <t>INDEMNIZACION POR VACACIONES</t>
  </si>
  <si>
    <t>1.00.0000.00.0-205616.2.1.1.01.03.001.02.</t>
  </si>
  <si>
    <t>BONIFICACIÓN ESPECIAL POR RECREACIÓN</t>
  </si>
  <si>
    <t>1.00.0000.00.0-205616.2.1.1.01.03.001.03.</t>
  </si>
  <si>
    <t>CENTRO DE PRACTICAS - PRACTICANTES</t>
  </si>
  <si>
    <t>1.00.0000.00.0-205616.2.1.1.01.03.069.</t>
  </si>
  <si>
    <t>APOYO SALUD Y LENTES</t>
  </si>
  <si>
    <t>1.00.0000.00.0-205616.2.1.1.01.03.110.</t>
  </si>
  <si>
    <t>CAPACITACIÓN POR DEMANDA</t>
  </si>
  <si>
    <t>1.00.0000.00.0-205616.2.1.1.01.03.111.01.</t>
  </si>
  <si>
    <t>APOYO PARA EL APRENDIZAJE DE LA SEGUNDA LENGUA</t>
  </si>
  <si>
    <t>1.00.0000.00.0-205616.2.1.1.01.03.111.02.</t>
  </si>
  <si>
    <t>ACUERDO FONDO EDUCACIÓN</t>
  </si>
  <si>
    <t>1.00.0000.00.0-205616.2.1.1.01.03.111.03.</t>
  </si>
  <si>
    <t>APROVECHAMIENTO DEL TIEMPO LIBRE</t>
  </si>
  <si>
    <t>1.00.0000.00.0-205616.2.1.1.01.03.113.</t>
  </si>
  <si>
    <t>INCAPACIDADES (NO DE PENSIONES)</t>
  </si>
  <si>
    <t>1.00.0000.00.0-205616.2.1.3.07.02.010.01.</t>
  </si>
  <si>
    <t>LICENCIAS DE MATERNIDAD Y PATERNIDAD (NO DE PENSIONES)</t>
  </si>
  <si>
    <t>1.00.0000.00.0-205616.2.1.3.07.02.010.02.</t>
  </si>
  <si>
    <t>CAJA MENOR - OTROS BIENES TRANSPORTABLES (EXCEPTO PRODUCTOS METÁLICOS, MAQUINARIA Y EQUIPO)</t>
  </si>
  <si>
    <t>1.00.0000.00.0-205616.2.1.2.02.01.003.02.</t>
  </si>
  <si>
    <t>CAJA MENOR - SERVICIOS DE ALOJAMIENTO; SERVICIOS DE SUMINISTRO DE COMIDAS Y BEBIDAS; SERVICIOS DE TRANSPORTE; Y SERVICIOS DE DISTRIBUCIÓN DE ELECTRICIDAD, GAS Y AGUA</t>
  </si>
  <si>
    <t>1.00.0000.00.0-205616.2.1.2.02.02.006.02.</t>
  </si>
  <si>
    <t>CAJA MENOR - SERVICIOS FINANCIEROS Y SERVICIOS CONEXOS, SERVICIOS INMOBILIARIOS Y SERVICIOS DE LEASING</t>
  </si>
  <si>
    <t>1.00.0000.00.0-205616.2.1.2.02.02.007.01.</t>
  </si>
  <si>
    <t xml:space="preserve">CAJA MENOR - SERVICIOS PRESTADOS A LAS EMPRESAS Y SERVICIOS DE PRODUCCIÓN </t>
  </si>
  <si>
    <t>1.00.0000.00.0-205616.2.1.2.02.02.008.02.</t>
  </si>
  <si>
    <t>SENTENCIAS</t>
  </si>
  <si>
    <t>1.00.0000.00.0-205616.2.1.3.13.01.001.</t>
  </si>
  <si>
    <t>CONCILIACIONES</t>
  </si>
  <si>
    <t>1.00.0000.00.0-205616.2.1.3.13.01.002.</t>
  </si>
  <si>
    <t>CUOTA DE FISCALIZACIÓN Y AUDITAJE</t>
  </si>
  <si>
    <t>1.00.0000.00.0-205616.2.1.8.04.01.</t>
  </si>
  <si>
    <t>PRESTACIÓN DE SERVICIOS PROFESIONALES PARA APOYAR LOS PROCESOS FINANCIEROS Y CONTABLES DE INDEPORTES ANTIOQUIA.</t>
  </si>
  <si>
    <t>DIRECTA</t>
  </si>
  <si>
    <t>PRESTACIÓN DE SERVICIOS PROFESIONALES Y DE APOYO  A  LA GESTIÓN</t>
  </si>
  <si>
    <t>1.00.0000.00.0-205616.2.1.2.02.02.008.01.</t>
  </si>
  <si>
    <t xml:space="preserve">PRÉSTAMOS POR CALAMIDAD DOMÉSTICA </t>
  </si>
  <si>
    <t>1.00.0000.00.0-205616.2.1.6.01.04.004.</t>
  </si>
  <si>
    <t>IMPUESTO PREDIAL UNIFICADO</t>
  </si>
  <si>
    <t>1.00.0000.00.0-205616.2.1.8.01.52.</t>
  </si>
  <si>
    <t>ACUERDO SINDICAL BICICLETA PRESTAMOS REEMBOLSABLES</t>
  </si>
  <si>
    <t>1.00.0000.00.0-205616.2.1.6.01.04.010.</t>
  </si>
  <si>
    <t>PRESTACIÓN DE SERVICIOS DE APOYO A LA GESTIÓN EN LOS PROCESOS ADMINISTRATIVOS Y FINANCIEROS DE INDEPORTES ANTIOQUIA.</t>
  </si>
  <si>
    <t>PRESTACIÓN DE SERVICIOS DE APOYO A LA GESTIÓN, COMO TECNÓLOGO EN LAS ACTIVIDADES DE GESTIÓN DOCUMENTAL EN INDEPORTES ANTIOQUIA</t>
  </si>
  <si>
    <t>93151500;
76111500;
72102900;
47131700</t>
  </si>
  <si>
    <t>CONTRATO INTERADMINISTRATIVO DE MANDATO SIN REPRESENTACIÓN PARA LA ADMINISTRACIÓN DELEGADA DE RECURSOS PARA OPERAR EL SERVICIO INTEGRAL DE ASEO, SUMINISTRO DE INSUMOS Y SERVICIOS COMPLEMENTARIOS PARA INDEPORTES ANTIOQUIA</t>
  </si>
  <si>
    <t>CONTRATO INTERADMINISTRATIVO</t>
  </si>
  <si>
    <t>1.00.0000.00.0-205616.2.1.2.02.01.002.01.</t>
  </si>
  <si>
    <t>MARZO</t>
  </si>
  <si>
    <t>1.00.0000.00.0-205616.2.1.2.02.01.003.01.</t>
  </si>
  <si>
    <t>44121600;44121700;44121900;44122000;14111500;44103100</t>
  </si>
  <si>
    <t>SUMINISTRO DE ARTÍCULOS DE PAPELERÍA, ÚTILES, ELEMENTOS DE OFICINA Y TÓNERES, CON DESTINO A LAS DEPENDENCIAS FÍSICAS DE INDEPORTES ANTIOQUIA</t>
  </si>
  <si>
    <t xml:space="preserve">SELECCIÓN ABREVIADA MEDIANTE SUBASTA INVERSA </t>
  </si>
  <si>
    <t>SUMINISTRO</t>
  </si>
  <si>
    <t>ABRIL</t>
  </si>
  <si>
    <t>15101505;15101506</t>
  </si>
  <si>
    <t>SUMINISTRO DE COMBUSTIBLE PARA LOS VEHÍCULOS Y MOTOS DE PROPIEDAD DEL INSTITUTO DEPARTAMENTAL DE DEPORTES DE ANTIOQUIA Y PARA AQUELLOS VEHÍCULOS  QUE POR VÍNCULO CONTRACTUAL ESTÉN AL SERVICIO DE LA ENTIDAD</t>
  </si>
  <si>
    <t>SELECCIÓN ABREVIADA</t>
  </si>
  <si>
    <t xml:space="preserve">ACUERDO MARCO DE PRECIOS </t>
  </si>
  <si>
    <t>83101500;83101600; 83101800</t>
  </si>
  <si>
    <t>SERVICIOS PUBLICOS ELECTRICIDAD, GAS Y AGUA</t>
  </si>
  <si>
    <t>1.00.0000.00.0-205616.2.1.2.02.02.006.01.</t>
  </si>
  <si>
    <t>PRESTACIÓN DE SERVICIOS PARA LA ADQUISICIÓN DE TIQUETES AEREOS NACIONALES E INTERNACIONALES PARA  LOS FUNCIONARIOS Y MIEMBROS DE LA JUNTA DIRECTIVA DE INDEPORTES ANTIOQUIA</t>
  </si>
  <si>
    <t>PRESTACIÓN DE SERVICIOS</t>
  </si>
  <si>
    <t xml:space="preserve">SERVICIOS PÚBLICOS - TELECOMUNICACIONES (TV, CELULAR, INTERNET) </t>
  </si>
  <si>
    <t>1.00.0000.00.0-205616.2.1.2.02.02.008.03.</t>
  </si>
  <si>
    <t>MODIFICACIÓN 1 ADICIÓN Y PRÓRROGA AL CONTRATO 365 DE 2024, CUYO OBJETO ES: PRESTACIÓN DEL SERVICIO DE ASEO, OFICIOS VARIOS, MANTENIMIENTOS Y OTROS  PARA  INDEPORTES ANTIOQUIA - VF</t>
  </si>
  <si>
    <t>MODIFICACIÓN</t>
  </si>
  <si>
    <t>1.00.0000.00.0-205616.2.1.2.02.02.008.04.</t>
  </si>
  <si>
    <t>MODIFICACION NO.7  AL  CONTRATO: 552 DE 2020, CUYO OBJETO ES CONTRATO INTERADMINISTRATIVO DE ADMINISTRACIÓN DELEGADA PARA PRESTACIÓN DE LOS SERVICIOS DE VIGILANCIA Y SEGURIDAD PRIVADA REQUERIDOS PARA EL PERSONAL DE INDEPORTES ANTIOQUIA, SUS SEDES Y LOS CONTENIDOS DE ESTAS - VF</t>
  </si>
  <si>
    <t xml:space="preserve">5 MESES 
22 DÍAS </t>
  </si>
  <si>
    <t>92121500;
93151500</t>
  </si>
  <si>
    <t>CONTRATO INTERADMINISTRATIVO DE MANDATO SIN REPRESENTACIÓN PARA LA PRESTACIÓN DE LOS SERVICIOS DE VIGILANCIA Y SEGURIDAD PRIVADA PARA LAS SEDES DE INDEPORTES ANTIOQUIA.</t>
  </si>
  <si>
    <t>MANTENIMIENTO PREVENTIVO Y CORRECTIVO DE LOS VEHÍCULOS DE INDEPORTES ANTIOQUIA.</t>
  </si>
  <si>
    <t>MÍNIMA CUANTÍA</t>
  </si>
  <si>
    <t>FEBRERO</t>
  </si>
  <si>
    <t>REALIZAR EL SERVICIO DE FUMIGACIÓN Y CONTROL DE PLAGAS EN LAS SEDES DE INDEPORTES ANTIOQUIA.</t>
  </si>
  <si>
    <t>SERVICIO DE CONTRATO DE LITIGIO VIRTUAL PARA INDEPORTES ANTIOQUIA</t>
  </si>
  <si>
    <t>85101600; 80111500</t>
  </si>
  <si>
    <t>PRESTACIÓN DE SERVICIOS DE APOYO LOGÍSTICO Y OPERATIVO A LA GESTIÓN, EN EL DESARROLLO Y EJECUCIÓN DEL PLAN DE BIENESTAR LABORAL Y ACTIVIDADES DE SEGURIDAD Y SALUD EN EL TRABAJO PARA LOS SERVIDORES DE INDEPORTES ANTIOQUIA.</t>
  </si>
  <si>
    <t>1.00.0000.00.0-205616.2.1.2.02.02.009.01.</t>
  </si>
  <si>
    <t>DESARROLLAR EL PLAN INSTITUCIONAL DE CAPACITACIONES PARA LOS FUNCIONARIOS DE INDEPORTES ANTIOQUIA</t>
  </si>
  <si>
    <t>1.00.0000.00.0-205616.2.1.2.02.02.009.02.</t>
  </si>
  <si>
    <t>PRESTACIÓN DE SERVICIOS DE APOYO COMO TECNÓLOGO A LA GESTIÓN DEL CADA Y DEL PROCESO DE GESTIÓN DOCUMENTAL DE INDEPORTES ANTIOQUIA</t>
  </si>
  <si>
    <t>82101501;
82101502;
82101503;
82101504;
82101505;
82101506;
82101601;
82101602;
82101603;
82101605;
82101701;
82101702;
82101901;
82101902;
82101903;
82101905;
86131504;
82141501</t>
  </si>
  <si>
    <t>52011001-implementar_plan_medios</t>
  </si>
  <si>
    <t>CONTRATO INTERADMINISTRATIVO DE MANDATO, SIN REPRESENTACIÓN, PARA EL DESARROLLO, EJECUCIÓN Y DIFUSIÓN DEL PLAN DE MEDIOS Y LAS ESTRATEGIAS COMUNICACIONALES DE INDEPORTES ANTIOQUIA, INCLUYENDO LA REALIZACIÓN, PRODUCCIÓN, POSTPRODUCCIÓN Y EMISIÓN DE CONTENIDOS AUDIOVISUALES PARA EL FORTALECIMIENTO INSTITUCIONAL.</t>
  </si>
  <si>
    <t>1.45.4599.77.0-271130.2.3.2.02.02.009.01.</t>
  </si>
  <si>
    <t>52161500; 52161600;
80161500; 82101500;
82101600; 82141600;
90101800; 90101600</t>
  </si>
  <si>
    <t>52011001-apoyar_event_act_fís_rec_dep</t>
  </si>
  <si>
    <t>CONTRATO INTERADMINISTRATIVO DE MANDATO SIN REPRESENTACIÓN PARA LA OPERACIÓN LOGÍSTICA DE EVENTOS; Y LA PRODUCCIÓN, ACTIVACIÓN Y FORTALECIMIENTO DE LA MARCA Y LA IMAGEN INSTITUCIONAL DE INDEPORTES ANTIOQUIA.</t>
  </si>
  <si>
    <t>52011001-diseñar_implementar_estrat_com</t>
  </si>
  <si>
    <t>PRESTACIÓN DE SERVICIOS DE COMUNICACIÓN PARA PROMOCIONAR LOS PROGRAMAS Y PROYECTOS DE INDEPORTES ANTIOQUIA CON ENTIDADES PÚBLICAS Y PRIVADAS QUE CONTRIBUYAN AL CUMPLIMIENTO DE SU MISIÓN DE FOMENTAR LA ACTIVIDAD FÍSICA, EL DEPORTE Y LA RECREACIÓN.</t>
  </si>
  <si>
    <t>39131700; 31211500; 47131700; 12191500; 27111900; 30181700; 30191500; 39121700;
47131600;
13111000;
31211900;
39121400;
72152700;
15121500;
15121500;
23101500;
24101500;
27111900;
27112000;
27112000;
3010320;
30111600;
30181804;
31151904;
31161508;
39122106;
39131709;
40183002;
47121602;
47121610;
13111209;
26111701;
31121107;
31161505;
31161833;
30161702;
31162402;
31201503;
31201610;
43191631;
20121602;
31201500;
31241501;
46181704;
46182001;
46182002;
31211906;
46181504;
46181604;
47131824;
30191617</t>
  </si>
  <si>
    <t>52011002-realizar mantenimiento preventivo y/o correctivo a las sedes de indeportes antioquia</t>
  </si>
  <si>
    <t>SUMINISTRO DE MATERIALES DE FERRETERÍA Y EQUIPOS ELÉCTRICOS Y ELECTRÓNICOS PARA INDEPORTES ANTIOQUIA.</t>
  </si>
  <si>
    <t xml:space="preserve">SELECCIÓN ABREVIADA MEDIANTE ACUERDO MARCO DE PRECIOS </t>
  </si>
  <si>
    <t>1.45.4501.04.0-205128.2.3.2.02.01.003.01.</t>
  </si>
  <si>
    <t>72101500; 40101700;
93151500</t>
  </si>
  <si>
    <t>52011002-realizar_mant_aires_acond</t>
  </si>
  <si>
    <t>CONTRATO INTERADMINISTRATIVO DE MANDATO SIN REPRESENTACIÓN PARA REALIZAR EL MANTENIMIENTO PREVENTIVO Y CORRECTIVO DEL SISTEMA DE AIRE ACONDICIONADO DE INDEPORTES ANTIOQUIA</t>
  </si>
  <si>
    <t>1.45.4501.04.0-205128.2.3.2.02.02.008.02.</t>
  </si>
  <si>
    <t>52011002-realizar_mant_prevent_pozo_sépt</t>
  </si>
  <si>
    <t>REALIZAR EL MANTENIMIENTO PREVENTIVO Y CORRECTIVO DE LOS POZOS DE SEDIMENTACIÓN Y TRAMPA DE GRASA Y DE LOS SISTEMAS DE AGUAS RESIDUALES DE LAS SEDES DE INDEPORTES ANTIOQUIA</t>
  </si>
  <si>
    <t>1.45.4501.04.0-205128.2.3.2.02.02.005.01.</t>
  </si>
  <si>
    <t>52011002-recargar_revisar_extintores</t>
  </si>
  <si>
    <t xml:space="preserve">REALIZAR RECARGA,  MANTENIMIENTO PREVENTIVO Y CORRECTIVO DE LOS EXTINTORES DE LAS SEDES DE INDEPORTES ANTIOQUIA </t>
  </si>
  <si>
    <t>OCTUBRE</t>
  </si>
  <si>
    <t>52011002-realizar_mant_preve_corre_ascen</t>
  </si>
  <si>
    <t xml:space="preserve">REALIZAR EL MANTENIMIENTO PREVENTIVO Y CORRECTIVO DE LOS ASCENSORES DE INDEPORTES ANTIOQUIA </t>
  </si>
  <si>
    <t xml:space="preserve">MANTENIMIENTO PREVENTIVO Y CORRECTIVO A LA INFRAESTRUCTURA Y BIENES MUEBLES DE PROPIEDAD Y DE LAS SEDES EN COMODATO A FAVOR DE INDEPORTES ANTIOQUIA. </t>
  </si>
  <si>
    <t>LICITACIÓN PÚBLICA</t>
  </si>
  <si>
    <t>OBRA</t>
  </si>
  <si>
    <t>52011002-realizar_mant_preve_lavad_ind</t>
  </si>
  <si>
    <t>REALIZAR MANTENIMIENTO PREVENTIVO A LAVADORAS SEMI INDUSTRIAL MARCA LG Y WASCOMAT E INDUSTRIAL MARCA IPSO, Y  MANTENIMIENTO PREVENTIVO A 2 SECADORAS SEMI INDUSTRIALES MARCA LG Y OTRA INDUSTRIAL MARCA CISSELL A GAS.</t>
  </si>
  <si>
    <t>52011002-reponer_realizar_mant_tv</t>
  </si>
  <si>
    <t>REPONER Y REALIZAR MANTENIMIENTO A TELEVISORES OBSOLETOS QUE SE ENCUENTRAN EN DETERIORO Y SE REQUIERE SU CAMBIO, YA QUE TIENEN FALLAS ELECTRÓNICAS Y FÍSICAS.</t>
  </si>
  <si>
    <t>92121700;81101700;72151700;46171600</t>
  </si>
  <si>
    <t>52011001-mejorar_plataforma_hardw_softw</t>
  </si>
  <si>
    <t>MANTENIMIENTO CORRECTIVO A LOS SISTEMAS DE SEGURIDAD FÍSICA DE INDEPORTES ANTIOQUIA</t>
  </si>
  <si>
    <t>SELECCIÓN ABREVIADA MENOR CUANTÍA</t>
  </si>
  <si>
    <t>1.45.4599.77.0-205128.2.3.2.02.01.004.01.</t>
  </si>
  <si>
    <t>52011001-mejorar_potencializar_sistemas</t>
  </si>
  <si>
    <t>RENOVACIÓN DEL LICENCIAMIENTO DEL SOFTWARE HÉRCULES PARA LA GESTIÓN DEPORTIVA DE INDEPORTES ANTIOQUIA, BAJO LA MODALIDAD SAAS</t>
  </si>
  <si>
    <t>NOVIEMBRE</t>
  </si>
  <si>
    <t xml:space="preserve">81111820 ; 81111808 </t>
  </si>
  <si>
    <t>PRESTACION DEL SERVICIO DE SOFTWARE PARA ADMINISTRACIÓN DEL SISTEMA INTEGRADO DE GESTIÓN DE INDEPORTES ANTIOQUIA EN MODALIDAD SAAS</t>
  </si>
  <si>
    <t>PRESTACIÓN DE SERVICIOS PROFESIONALES PARA APOYAR LAS ACTIVIDADES COMUNICATIVAS Y PERIODÍSTICAS QUE CONTRIBUYAN AL FORTALECIMIENTO DE LA IMAGEN INSTITUCIONAL DE INDEPORTES ANTIOQUIA</t>
  </si>
  <si>
    <t>1.45.4599.77.0-271130.2.3.2.02.02.008.01.</t>
  </si>
  <si>
    <t>PRESTACIÓN DE SERVICIOS PROFESIONALES PARA APOYAR LA PRODUCCIÓN DE CONTENIDOS Y EL RELACIONAMIENTO CON LAS DEMÁS ENTIDADES PÚBLICAS POR PARTE DE LA OFICINA ASESORA DE COMUNICACIONES DE INDEPORTES ANTIOQUIA.</t>
  </si>
  <si>
    <t>PRESTACIÓN DE SERVICIOS PROFESIONALES COMO ADMINISTRADOR DE EMPRESAS PARA INDEPORTES ANTIOQUIA</t>
  </si>
  <si>
    <t>PRESTACIÓN DE SERVICIOS COMO TÉCNICO EN DISEÑO GRÁFICO Y PRODUCCIÓN AUDIO VISUAL PARA INDEPORTES ANTIOQUIA.</t>
  </si>
  <si>
    <t>90141701;
90141502;
82101905;
82101903;
82101902;
82101901;
80141902;
80141607;
80111600;</t>
  </si>
  <si>
    <t>52011001-elaborar_implementar_sic</t>
  </si>
  <si>
    <t>ELABORACIÓN DE SIC SISTEMA INTEGRADO DE CONSERVACIÓN</t>
  </si>
  <si>
    <t>1.45.4599.77.0-205128.2.3.2.02.02.008.08.</t>
  </si>
  <si>
    <t>52011001-implementar_cuadro_clasifi_doc</t>
  </si>
  <si>
    <t xml:space="preserve">DISPONIBLE PRESTACIÓN DE SERVICIOS PARA LA IMPLEMENTACIÓN CCD CUADRO DE CLASIFICACIÓN DOCUMENTAL (1 TECNÓLOGO EN GESTIÓN DOCUMENTAL) </t>
  </si>
  <si>
    <t>52011001-recolectar_analizar_infor_comu</t>
  </si>
  <si>
    <t>PRESTACIÓN DE SERVICIOS DE ESTADISTICO PARA INDEPORTES ANTIOQUIA</t>
  </si>
  <si>
    <t>1.45.4599.77.0-205128.2.3.2.02.02.008.07.</t>
  </si>
  <si>
    <t>DÍAS</t>
  </si>
  <si>
    <t>52011001-publicar_material_científico</t>
  </si>
  <si>
    <t>DIAGRAMACIÓN, CORRECCIÓN DE ESTILO, EVALUACIÓN POR PARES Y PUBLICACIÓN DEL LIBRO DEL ESCOLAR ANTIOQUEÑO.</t>
  </si>
  <si>
    <t>52011001-realizar_seguimiento_eval_gest</t>
  </si>
  <si>
    <t>PRESTACIÓN DE SERVICIOS PROFESIONALES PARA EL SEGUIMIENTO Y  MONITOREO AL SISTEMA DE GESTIÓN DE INDEPORTES ANTIOQUIA</t>
  </si>
  <si>
    <t>1.45.4599.77.0-101024.2.3.2.02.02.008.03.</t>
  </si>
  <si>
    <t>PRESTACIÓN DE SERVICIOS PROFESIONALES PARA APOYAR LA ACTUALIZACIÓN Y SEGUIMIENTO DE LOS PLANES Y PROGRAMAS DEL PLAN  DE DESARROLLO DEPARTAMENTAL EN LOS PROGRAMAS DE  INDEPORTES ANTIOQUIA</t>
  </si>
  <si>
    <t>D</t>
  </si>
  <si>
    <t>52011001-realizar_seguimiento_monit_pol</t>
  </si>
  <si>
    <t xml:space="preserve">DISPONIBLE PSP </t>
  </si>
  <si>
    <t>PRESTACIÓN DE SERVICIOS PROFESIONALES ESPECIALIZADOS PARA ACOMPAÑAR LA ARTICULACIÓN DE LAS POLITICAS PUBLICAS Y LOS PLANES INSTITUCIONALES DE INDEPORTES ANTIOQUIA EN EL MARCO DEL PROYECTO DE FORTALECIMIENTO DE LOS SISTEMAS DE INFORMACIÓN Y LA GESTIÓN ESTRATEGICA PARA EL DEPORTE, LA RECREACIÓN Y LA ACTIVIDAD FÍSICA.</t>
  </si>
  <si>
    <t>52011001-fortalecer_sist_info_ plan_orga</t>
  </si>
  <si>
    <t>52011001-mejorar_sistema_info_observa</t>
  </si>
  <si>
    <t>PRESTACIÓN DE SERVICIOS PROFESIONALES EN LA GENERACIÓN Y CONSOLIDACIÓN DE LA INFORMACIÓN ESTADISTICA DE INDEPORTES ANTIOQUIA</t>
  </si>
  <si>
    <t>1.45.4599.77.0-205128.2.3.2.02.02.008.04.</t>
  </si>
  <si>
    <t>PRESTACIÓN DE SERVICIOS PROFESIONALES ESPECIALIZADOS PARA LA GESTIÓN, ADMINISTRACIÓN, Y CONSOLIDACIÓN DE INFORMACIÓN INSTITUCIONAL PARA REALIZAR LA ANALÍTICA DE DATOS DEL OBSERVATORIO DEL DEPORTE DE ANTIOQUIA.</t>
  </si>
  <si>
    <t>52011001-realizar_auditoría_siste_integ</t>
  </si>
  <si>
    <t>CONTRATO INTERADMINISTRATIVO PARA REALIZAR AUDITORÍAS INTERNAS AL SISTEMA INTEGRAL DE GESTIÓN Y FORTALECER CAPACIDADES DE LOS AUDITORES INTERNOS Y SERVIDORES QUE PARTICIPAN EN EL PROCESO.</t>
  </si>
  <si>
    <t>PRESTACIÓN DE SERVICIOS PROFESIONAL PARA APOYAR LA GENERACIÓN DE INFORMACIÓN RELACIONADA CON EL ALTO LOGRO Y LAS ACTIVIDADES DRAF EN EL MARCO DEL OBSERVATORIO DEL DEPORTE</t>
  </si>
  <si>
    <t>52010902-obra_física</t>
  </si>
  <si>
    <t>CONVENIOS INTERADMINISTRATIVOS PARA EL MANTENIMIENTO, ADECUACIÓN, MEJORAS DE ESCENARIOS DEPORTIVOS O EQUIPAMIENTOS EN EL DEPARTAMENTO DE ANTIOQUIA.</t>
  </si>
  <si>
    <t>CONVENIO INTERADMINISTRATIVO</t>
  </si>
  <si>
    <t>4.43.4302.75.0-205128.2.3.2.02.02.005.02.</t>
  </si>
  <si>
    <t>DISPONIBLE PARA PARA EL MANTENIMIENTO, ADECUACIÓN, MEJORAS DE ESCENARIOS DEPORTIVOS O EQUIPAMIENTOS EN EL DEPARTAMENTO DE ANTIOQUIA.</t>
  </si>
  <si>
    <t>4.43.4302.75.0-202029.2.3.2.02.02.005.03.</t>
  </si>
  <si>
    <t>52010902-apoyo_superversión</t>
  </si>
  <si>
    <t>DISPONIBLE PARA LA  ADQUISICIÓN Y/O RENOVACIÓN DE  LICENCIAS, PERMISOS Y OTROS</t>
  </si>
  <si>
    <t>4.43.4302.75.0-205128.2.3.2.02.02.008.19.</t>
  </si>
  <si>
    <t>PRESTACIÓN DE SERVICIOS PROFESIONALES COMO INGENIERO CIVIL PARA LA ENTIDAD</t>
  </si>
  <si>
    <t>4.43.4302.75.0-101024.2.3.2.02.02.008.20.</t>
  </si>
  <si>
    <t>PRESTACION  DE SERVICIOS PROFESIONALES COMO  ECONOMISTA ESPECIALIZADO PARA LA ENTIDAD</t>
  </si>
  <si>
    <t xml:space="preserve">PRESTACIÓN DE SERVICIOS PROFESIONALES COMO FINANCIERO PARA APOYAR LOS PROCESOS ADMINISTRATIVOS Y FINANCIEROS
DE LOS PROYECTOS DE LA SUBGERENCIA DE ESCENARIOS DEPORTIVOS Y EQUIPAMIENTOS DE INDEPORTES ANTIOQUIA. 
</t>
  </si>
  <si>
    <t>PRESTACION  DE SERVICIOS PROFESIONALES COMO  ECONOMISTA Y/O ADMINISTRADOR ESPECIALIZADO PARA LA ENTIDAD</t>
  </si>
  <si>
    <t>PRESTACIÓN DE SERVICIOS PROFESIONALES COMO INGENIERO AMBIENTAL PARA LA ENTIDAD</t>
  </si>
  <si>
    <t>DISPONIBLE PARA PRESTACION DE SERVICIOS PROFESIONALES COMOABOGADO PARA LA ENTIDAD</t>
  </si>
  <si>
    <t>52010901-obra_civil</t>
  </si>
  <si>
    <t>ADQUISICIÓN Y/O RENOVACIÓN DE  LICENCIAS, PERMISOS Y OTROS</t>
  </si>
  <si>
    <t>4.43.4302.76.0-205128.2.3.2.02.01.004.02.</t>
  </si>
  <si>
    <t>52010901-apoyo_a_la_supervisión_const</t>
  </si>
  <si>
    <t>4.43.4302.76.0-205128.2.3.2.02.02.008.21.</t>
  </si>
  <si>
    <t>PAGOS TRÁMITES AMBIENTALES</t>
  </si>
  <si>
    <t>4.43.4302.76.0-205128.2.3.2.02.02.005.04.</t>
  </si>
  <si>
    <t>DISPONIBLE PARA CONVENIOS INTERADMINISTRATIVOS PARA LA CONSTRUCCIÓN DE ESCENARIOS DEPORTIVOS EN EL DEPARTAMENTO DE ANTIOQUIA.</t>
  </si>
  <si>
    <t>4.43.4302.76.0-205128.2.3.4.04.</t>
  </si>
  <si>
    <t>52010702-gestionar_operación_tecn_adm_of</t>
  </si>
  <si>
    <t>PRESTACIÓN DE SERVICIOS PROFESIONALES PARA APOYAR LA GESTIÓN TÉCNICA Y ADMINISTRATIVA DE LOS PROYECTOS DE LA SUBGERENCIA DE FOMENTO Y DESARROLLO DEPORTIVO DE INDEPORTES ANTIOQUIA</t>
  </si>
  <si>
    <t>3.43.4301.01.0-205128.2.3.2.02.02.008.14.</t>
  </si>
  <si>
    <t>52010705-gestionar_operación_tecn_adm_as</t>
  </si>
  <si>
    <t>3.43.4301.10.0-101024.2.3.2.02.02.008.15.</t>
  </si>
  <si>
    <t>52010704-gestionar_operación_tec_adm_cap</t>
  </si>
  <si>
    <t>3.43.4301.72.0-205128.2.3.2.02.02.008.16.</t>
  </si>
  <si>
    <t>52010703-gestionar_operación_téc_adm_jue</t>
  </si>
  <si>
    <t>3.43.4301.73.0-205128.2.3.2.02.02.008.17.</t>
  </si>
  <si>
    <t>52010701-gestionar_operación_tec_adm_cof</t>
  </si>
  <si>
    <t>3.43.4301.74.0-101024.2.3.2.02.02.008.18.</t>
  </si>
  <si>
    <t>PRESTACIÓN DE SERVICIOS PROFESIONALES PARA APOYAR LOS PROCEDIMIENTOS ADMINISTRATIVOS Y FINANCIEROS DE LOS PROYECTOS DE LA SUBGERENCIA DE FOMENTO Y DESARROLLO DEPORTIVO DE INDEPORTES ANTIOQUIA</t>
  </si>
  <si>
    <t>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t>
  </si>
  <si>
    <t>PRESTACIÓN DE SERVICIOS PROFESIONALES PARA APOYAR LOS PROCEDIMIENTOS TÉCNICOS, ADMINISTRATIVOS Y FINANCIEROS DE LOS PROYECTOS DE LA SUBGERENCIA DE FOMENTO Y DESARROLLO DEPORTIVO DE INDEPORTES ANTIOQUIA</t>
  </si>
  <si>
    <t>PRESTACIÓN DE SERVICIOS PROFESIONALES PARA APOYAR LA GESTIÓN ADMINISTRATIVA Y FINANCIERA DE LA SUBGERENCIA DE FOMENTO Y DESARROLLO DEPORTIVO DE INDEPORTES ANTIOQUIA</t>
  </si>
  <si>
    <t>PRESTACIÓN DE SERVICIOS PROFESIONALES ESPECIALIZADOS EN MATERIA JURÍDICA A LA SUBGERENCIA DE FOMENTO Y DESARROLLO DEPORTIVO</t>
  </si>
  <si>
    <t>PRESTACIÓN DE SERVICIOS PROFESIONALES JURÍDICOS ESPECIALIZADOS PARA APOYAR LOS PROCESOS ADMINISTRATIVOS Y DE CONTRATACIÓN DE INDEPORTES ANTIOQUIA, EN ESPECIAL DE LA SUBGERENCIA DE FOMENTO Y DESARROLLO DEPORTIVO</t>
  </si>
  <si>
    <t>DISPONIBLE PS TÁCTICO ESTRATÉGICO FOMENTO</t>
  </si>
  <si>
    <t>52010702-realizar_encuentros_de_art_inst</t>
  </si>
  <si>
    <t>REALIZAR ENCUENTROS DE ARTICULACIÓN INSTITUCIONAL</t>
  </si>
  <si>
    <t>3.43.4301.01.0-205400.2.3.2.02.02.009.06.</t>
  </si>
  <si>
    <t>52010702-realizar_eventos_de_act_física</t>
  </si>
  <si>
    <t>REALIZACIÓN DE MEGAEVENTOS DE ACTVIDAD FÍSICA</t>
  </si>
  <si>
    <t>52010702-realizar_eventos_de_depor_forma</t>
  </si>
  <si>
    <t>DISPONIBLE EVENTOS DEPORTE FORMATIVO</t>
  </si>
  <si>
    <t>52010702-promover_la_recrea_ant</t>
  </si>
  <si>
    <t>PRESTACIÓN DE SERVICIOS DE APOYO LOGÍSTICO PARA LAS ATIVIDADES EN TERRITORIO DEL PROGRAMA DE RECREACIÓN DE LA SUBGERENCIA DE FOMENTO Y DESARROLLO DEPORTIVO.</t>
  </si>
  <si>
    <t>PRESTACIÓN DE SERVICIOS PROFESIONALES Y DE APOYO A  LA GESTIÓN</t>
  </si>
  <si>
    <t>52010702-realizar_eventos_de_recrea</t>
  </si>
  <si>
    <t>DISPONIBLE EVENTOS RECREACIÓN</t>
  </si>
  <si>
    <t>PRESTACIÓN DE SERVICIOS PROFESIONALES PARA LA PROMOCIÓN Y EJECUCIÓN DEL PROGRAMA DE RECREACIÓN EN LAS SUBREGIONES DEL DEPARTAMENTO DE ANTIOQUIA.</t>
  </si>
  <si>
    <t>52010702-promover_el_depor_forma_ant</t>
  </si>
  <si>
    <t>3.43.4301.01.0-205128.2.3.2.02.02.009.07.</t>
  </si>
  <si>
    <t>52010702-promover_la_act_física_ant</t>
  </si>
  <si>
    <t>PRESTACIÓN DE SERVICIOS DE APOYO A LA GESTIÓN PARA LA PROMOCIÓN DE LA ACTIVIDAD FÍSICA EN EL DEPARTAMENTO DE ANTIOQUIA</t>
  </si>
  <si>
    <t>52010702-promover_uso_de_la_bici_ant</t>
  </si>
  <si>
    <t>DISPONIBLE PAGO POLÍTICA PÚBLICA DE LA BICICLETA</t>
  </si>
  <si>
    <t>52010705-transferir_recursos_imp_cig</t>
  </si>
  <si>
    <t>PRIMERA TRANSFERENCIA DE LOS RECURSOS DE CONFORMIDAD CON LO DISPUESTO EN LA LEY 1289 DE 2009, PARA LA VIGENCIA 2025, A LOS MUNICIPIOS Y ENTES DEPORTIVOS DESCENTRALIZADOS AUTORIZADOS</t>
  </si>
  <si>
    <t>3.43.4301.10.0-205617.2.3.3.09.17.</t>
  </si>
  <si>
    <t>APOYO LEY DEL CIGARRILLO MUNICIPIOS DEL DEPARTAMENTO DE ANTIOQUIA</t>
  </si>
  <si>
    <t>DISPONIBLE PS APOYO A LA PARAMETRIZACIÓN</t>
  </si>
  <si>
    <t>3.43.4301.10.0-101024.2.3.2.02.02.009.08.</t>
  </si>
  <si>
    <t>52010704-promover_procesos_edu_informal</t>
  </si>
  <si>
    <t>3.43.4301.72.0-205128.2.3.2.02.02.009.09.</t>
  </si>
  <si>
    <t>PRESTACIÓN DE SERVICIOS PROFESIONALES PARA EL APOYO A LA FORMULACIÓN Y EJECUCIÓN DEL PLAN DE CAPACITACIONES Y DE LA ESTRATEGIA DE FORMACIÓN Y CAPACITACIÓN DE INDEPORTES ANTIOQUIA PARA LA VIGENCIA 2025</t>
  </si>
  <si>
    <t>52010704-realizar_capacitacion_virt_pres</t>
  </si>
  <si>
    <t>DISPONIBLE CAPACITACIONES SDC</t>
  </si>
  <si>
    <t>80141607;
84101600</t>
  </si>
  <si>
    <t>52010703-ejecutar_festivales_deport_esco</t>
  </si>
  <si>
    <t>CONVENIO INTERADMINISTRATIVO PARA EL APOYO EN EL DESARROLLO DE LOS JUEGOS DEPORTIVOS ESCOLARES DE INDEPORTES ANTIOQUIA, EN LA SUBREGIÓN DEL ORIENTE</t>
  </si>
  <si>
    <t>3.43.4301.73.0-205128.2.3.2.02.02.009.10.</t>
  </si>
  <si>
    <t>CONVENIO INTERADMINISTRATIVO PARA EL APOYO EN EL DESARROLLO DE LOS JUEGOS DEPORTIVOS ESCOLARES DE INDEPORTES ANTIOQUIA, EN LA SUBREGIÓN DEL ORIENTE (TASA PRODEPORTE)</t>
  </si>
  <si>
    <t>3.43.4301.73.0-205400.2.3.2.02.02.009.11.</t>
  </si>
  <si>
    <t>CONVENIO INTERADMINISTRATIVO PARA EL APOYO EN EL DESARROLLO DE LOS JUEGOS DEPORTIVOS ESCOLARES DE INDEPORTES ANTIOQUIA, EN LA SUBREGIÓN DEL URABÁ</t>
  </si>
  <si>
    <t>CONVENIO INTERADMINISTRATIVO PARA EL APOYO EN EL DESARROLLO DE LOS JUEGOS DEPORTIVOS ESCOLARES DE INDEPORTES ANTIOQUIA, EN LA SUBREGIÓN DEL URABÁ (TASA PRODEPORTE)</t>
  </si>
  <si>
    <t>CONVENIO INTERADMINISTRATIVO PARA EL APOYO EN EL DESARROLLO DE LOS JUEGOS DEPORTIVOS ESCOLARES DE INDEPORTES ANTIOQUIA, EN LA SUBREGIÓN DEL NORTE Y BAJO CAUCA</t>
  </si>
  <si>
    <t>CONVENIO INTERADMINISTRATIVO PARA EL APOYO EN EL DESARROLLO DE LOS JUEGOS DEPORTIVOS ESCOLARES DE INDEPORTES ANTIOQUIA, EN LA SUBREGIÓN DEL NORTE Y BAJO CAUCA (TASA PRODEPORTE)</t>
  </si>
  <si>
    <t>CONVENIO INTERADMINISTRATIVO PARA EL APOYO EN EL DESARROLLO DE LOS JUEGOS DEPORTIVOS ESCOLARES DE INDEPORTES ANTIOQUIA, EN LA SUBREGIÓN DEL NORDESTE Y MAGDALENA MEDIO</t>
  </si>
  <si>
    <t>CONVENIO INTERADMINISTRATIVO PARA EL APOYO EN EL DESARROLLO DE LOS JUEGOS DEPORTIVOS ESCOLARES DE INDEPORTES ANTIOQUIA, EN LA SUBREGIÓN DEL NORDESTE Y MAGDALENA MEDIO (TASA PRODEPORTE)</t>
  </si>
  <si>
    <t>CONVENIO INTERADMINISTRATIVO PARA EL APOYO EN EL DESARROLLO DE LOS JUEGOS DEPORTIVOS ESCOLARES DE INDEPORTES ANTIOQUIA, EN LA SUBREGIÓN DEL NORDESTE Y MAGDALENA MEDIO - SUBSEDE YOLOMBÓ</t>
  </si>
  <si>
    <t>CONVENIO INTERADMINISTRATIVO PARA EL APOYO EN EL DESARROLLO DE LOS JUEGOS DEPORTIVOS ESCOLARES DE INDEPORTES ANTIOQUIA, EN LA SUBREGIÓN DEL NORDESTE Y MAGDALENA MEDIO - SUBSEDE YOLOMBÓ (TASA PRODEPORTE)</t>
  </si>
  <si>
    <t>CONVENIO INTERADMINISTRATIVO PARA EL APOYO EN EL DESARROLLO DE LOS  JUEGOS DEPORTIVOS ESCOLARES DE INDEPORTES ANTIOQUIA, EN LA SUBREGIÓN DEL OCCIDENTE</t>
  </si>
  <si>
    <t>CONVENIO INTERADMINISTRATIVO PARA EL APOYO EN EL DESARROLLO DE LOS  JUEGOS DEPORTIVOS ESCOLARES DE INDEPORTES ANTIOQUIA, EN LA SUBREGIÓN DEL OCCIDENTE (TASA PRODEPORTE)</t>
  </si>
  <si>
    <t>CONVENIO INTERADMINISTRATIVO PARA EL APOYO EN EL DESARROLLO DE LOS JUEGOS DEPORTIVOS ESCOLARES DE INDEPORTES ANTIOQUIA, EN LA SUBREGIÓN DEL SUROESTE</t>
  </si>
  <si>
    <t>CONVENIO INTERADMINISTRATIVO PARA EL APOYO EN EL DESARROLLO DE LOS JUEGOS DEPORTIVOS ESCOLARES DE INDEPORTES ANTIOQUIA, EN LA SUBREGIÓN DEL SUROESTE (TASA PRODEPORTE)</t>
  </si>
  <si>
    <t>80141607
84101600</t>
  </si>
  <si>
    <t>CONVENIO INTERADMINISTRATIVO PARA EL APOYO EN EL DESARROLLO DE LOS JUEGOS DEPORTIVOS ESCOLARES DE INDEPORTES ANTIOQUIA, EN EL VALLE DE ABURRÁ</t>
  </si>
  <si>
    <t>CONVENIO INTERADMINISTRATIVO PARA EL APOYO EN EL DESARROLLO DE LOS JUEGOS DEPORTIVOS ESCOLARES DE INDEPORTES ANTIOQUIA, EN EL VALLE DE ABURRÁ (TASA PRODEPORTE)</t>
  </si>
  <si>
    <t>52010703-ejecutar_juegos_deport_camp</t>
  </si>
  <si>
    <t>DISPONIBLE JUEGOS DEPORTIVOS CAMPESINOS</t>
  </si>
  <si>
    <t>52010703-promover_dep_esco_dep_social_co</t>
  </si>
  <si>
    <t>PRESTACIÓN DE SERVICIOS PROFESIONALES PARA APOYAR LA GESTIÓN DE LA INFORMACIÓN DEL DEPORTE, LA ACTIVIDAD FÍSICA Y LA RECREACIÓN DEL DEPARTAMENTO  EN LA PLATAFORMA DEPORTESANT, Y APOYO A  LOS PROCESOS ADMINSITRATIVOS DE LA SUBGERENCIA DE FOMENTO Y DESARROLLO DEPORTIVO.</t>
  </si>
  <si>
    <t>PRESTACIÓN DE SERVICIOS PROFESIONALES ESPECIALIZADOS DE APOYO A LA EJECUCION DEL PROGRAMA JUEGOS DEPORTIVOS INSTITUCIONALES DE LA SUBGERENCIA DE FOMENTO Y DESARROLLO DEPORTIVO.</t>
  </si>
  <si>
    <t>PRESTACIÓN DE SERVICIOS PROFESIONALES ESPECIALIZADOS EN GERENCIA DEPORTIVA COMO PROMOTOR EN LAS SUBREGIONES DEL NORDESTE Y DEL MAGDALENA MEDIO, PARA LA PLANEACIÓN, ACOMPAÑAMIENTO Y EVALUACIÓN EN  LA EJECUCIÓN DE LOS JUEGOS DEPORTIVOS INSTITUCIONALES DE INDEPORTES ANTIOQUIA Y EL ACOMPAÑAMIENTO A LA PARTICIPACIÓN A NIVEL NACIONAL DE LOS DIFERENTES JUEGOS ORGANIZADOS POR EL MINISTERIO DEL DEPORTE.</t>
  </si>
  <si>
    <t>PRESTACION DE SERVICIOS PROFESIONALES DE APOYO A LA PARAMETRIZACIÓN Y MANEJO DE LA PLATAFORMA DEPORTESANT EN LA EJECUCIÓN DE LOS JUEGOS DEPORTIVOS INSTITUCIONALES DE LA SUBGERENCIA DE FOMENTO Y DESARROLLO DEPORTIVO</t>
  </si>
  <si>
    <t>PRESTACIÓN DE SERVICIOS DE APOYO A LA GESTIÓN EN EL DESARROLLO DE ACTIVIDADES LOGÍSTICAS Y OPERATIVAS DE LOS JUEGOS DEPORTIVOS INSTITUCIONALES.</t>
  </si>
  <si>
    <t>PRESTACIÓN DE SERVICIOS DE APOYO A LA GESTIÓN EN LA PLATAFORMA DEPORTESANT Y APOYO LOGÍSTICO Y OPERATIVO EN LA EJECUCIÓN DE LOS JUEGOS DEPORTIVOS INSTITUCIONALES DE LA SUBGERENCIA DE FOMENTO Y DESARROLLO DEPORTIVO.</t>
  </si>
  <si>
    <t>PRESTACIÓN DE SERVICIOS PROFESIONALES COMO PROMOTOR EN LA SUBREGIÓN DEL URABÁ,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</si>
  <si>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DE APOYO A LA PARAMETRIZACIÓN Y MANEJO DE LA PLATAFORMA DEPORTESANT EN LA EJECUCIÓN DE LOS JUEGOS DEPORTIVOS INSTITUCIONALES DE LA SUBGERENCIA DE FOMENTO Y DESARROLLO DEPORTIVO</t>
  </si>
  <si>
    <t>REALIZACIÓN DE LOS FESTIVALES ESCOLARES EN EL DEPARTAMENTO DE ANTIOQUIA (TASA PRODEPORTE)</t>
  </si>
  <si>
    <t>52010703-ejecutar_juegos_deport_intercol</t>
  </si>
  <si>
    <t>REALIZACIÓN DE LA FASE ZONAL, LA FINAL DEPARTAMENTAL, LA FASE REGIONAL Y LA FINAL NACIONAL DE LOS JUEGOS DEPORTIVOS INTERCOLEGIADOS EN EL DEPARTAMENTO DE ANTIOQUIA (TASA PRODEPORTE)</t>
  </si>
  <si>
    <t>MAYO</t>
  </si>
  <si>
    <t>52010701-adquirir_implementación_juego</t>
  </si>
  <si>
    <t>DOTACIÓN DE IMPLEMENTACIÓN DE DEPORTIVA PARA EL PROGRAMA DE JUEGOS DEPORTIVOS INSTITUCIONALES</t>
  </si>
  <si>
    <t>3.43.4301.74.0-101024.2.3.2.02.01.003.03.</t>
  </si>
  <si>
    <t>JUNIO</t>
  </si>
  <si>
    <t>52010701-adquirir_implementac_depor_form</t>
  </si>
  <si>
    <t>DOTACIÓN DE IMPLEMENTACIÓN DEPORTIVA PARA EL PROGRAMA DE DEPORTE FORMATIVO</t>
  </si>
  <si>
    <t>3.43.4301.74.0-205400.2.3.2.02.01.003.04.</t>
  </si>
  <si>
    <t>52010701-adquirir_implementac_recrea</t>
  </si>
  <si>
    <t>DOTACIÓN DE IMPLEMENTACIÓN RECREATIVA PARA EL PROGRAMA DE RECREACIÓN</t>
  </si>
  <si>
    <t>52010701-adquirir_implementac_act_física</t>
  </si>
  <si>
    <t>DOTACIÓN DE IMPLEMENTACIÓN DE ACTIVIDAD FÍSICA PARA EL PROGRAMA DE POR SU SALUD, MUÉVASE PUES</t>
  </si>
  <si>
    <t>52010801-asignar_recursos_eco_org_dep</t>
  </si>
  <si>
    <t>CONVENIO CON EL CLUB ESCUELA DE CICLISMO ORGULLO PAISA PARA LA PREPARACIÓN Y PARTICIPACIÓN DE LOS CICLISTAS ANTIOQUEÑOS DE ALTO RENDIMIENTO, EN COMPETENCIAS DEPORTIVAS DE CARÁCTER NACIONAL E INTERNAICONAL, SUB 23 Y ÉLITES.</t>
  </si>
  <si>
    <t>CONVENIO DE APOYO</t>
  </si>
  <si>
    <t>2.43.4301.02.0-205400.2.3.3.09.17.</t>
  </si>
  <si>
    <t>2.43.4301.02.0-205128.2.3.3.09.17.</t>
  </si>
  <si>
    <t>CONVENIO CON LA LIGA DE ATLETISMO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</si>
  <si>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BALONMANO PARA FORTALECER EL PROCESO DE ALTO RENDIMIENTO DE LOS ATLETAS QUE REPRESENTARÁN AL DEPARTAMENTO ANTIOQUIA EN LOS PRÓXIMOS JUEGOS NACIONALES 2027, CONTRIBUYENDO A LA EJECUCIÓN DEL PROGRAMA DESARROLLO DEPORTIVO PARA LA COMPETENCIA.</t>
  </si>
  <si>
    <t>CONVENIO CON LA LIGA DE PATINAJE DE ANTIOQUIA PARA FORTALECER EL PROCESO DE ALTO RENDIMIENTO DE LOS ATLETAS QUE REPRESENTARÁN AL DEPARTAMENTO ANTIOQUIA EN LOS PRÓXIMOS JUEGOS NACIONALES 2027, CONTRIBUYENDO A LA EJECUCIÓN DEL PROGRAMA DESARROLLO DEPORTIVO PARA LA COMPETENCIA.</t>
  </si>
  <si>
    <t>CONVENIO CON LA LIGA DE AJEDREZ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</si>
  <si>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t>
  </si>
  <si>
    <t>CONVENIO CON LA LIGA ANTIOQUEÑA DE LUCHA PARA FORTALECER EL PROCESO DE ALTO RENDIMIENTO DE LOS ATLETAS QUE REPRESENTARÁN AL DEPARTAMENTO ANTIOQUIA EN LOS PRÓXIMOS JUEGOS NACIONALES 2027, CONTRIBUYENDO A LA EJECUCIÓN DEL PROGRAMA DESARROLLO DEPORTIVO PARA LA COMPETENCIA.</t>
  </si>
  <si>
    <t>CONVENIO CON LA  LIGA ANTIOQUEÑA DE FÚTBOL DE SALÓN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</si>
  <si>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VELA DE ANTIOQUIA </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</si>
  <si>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ESGRIMA</t>
  </si>
  <si>
    <t>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</si>
  <si>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t>
  </si>
  <si>
    <t>CONVENIO CON LA LIGA ANTIOQUEÑA DE KARATE DO PARA FORTALECER EL PROCESO DE ALTO RENDIMIENTO DE LOS ATLETAS QUE REPRESENTARÁN AL DEPARTAMENTO ANTIOQUIA EN LOS PRÓXIMOS JUEGOS NACIONALES 2027, CONTRIBUYENDO A LA EJECUCIÓN DEL PROGRAMA DESARROLLO DEPORTIVO PARA LA COMPETENCIA.</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</si>
  <si>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TEJO</t>
  </si>
  <si>
    <t>CONVENIO CON LA LIGA ANTIOQUEÑA DE BALONCESTO PARA FORTALECER EL PROCESO DE ALTO RENDIMIENTO DE LOS ATLETAS QUE REPRESENTARÁN AL DEPARTAMENTO ANTIOQUIA EN LOS PRÓXIMOS JUEGOS NACIONALES 2027, CONTRIBUYENDO A LA EJECUCIÓN DEL PROGRAMA DESARROLLO DEPORTIVO PARA LA COMPETENCIA.</t>
  </si>
  <si>
    <t>CONVENIO CON LA LIGA DE CICLISMO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</si>
  <si>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JUDO PARA FORTALECER EL PROCESO DE ALTO RENDIMIENTO DE LOS ATLETAS QUE REPRESENTARÁN AL DEPARTAMENTO ANTIOQUIA EN LOS PRÓXIMOS JUEGOS NACIONALES 2027, CONTRIBUYENDO A LA EJECUCIÓN DEL PROGRAMA DESARROLLO DEPORTIVO PARA LA COMPETENCIA.</t>
  </si>
  <si>
    <t>CONVENIO CON LA LIGA ANTIOQUEÑA DE TAEKWONDO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</si>
  <si>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TIRO DEPORTIVO </t>
  </si>
  <si>
    <t>CONVENIO CON LA LIGA ANTIOQUEÑA DE GIMNASIA PARA FORTALECER EL PROCESO DE ALTO RENDIMIENTO DE LOS ATLETAS QUE REPRESENTARÁN AL DEPARTAMENTO ANTIOQUIA EN LOS PRÓXIMOS JUEGOS NACIONALES 2027, CONTRIBUYENDO A LA EJECUCIÓN DEL PROGRAMA DESARROLLO DEPORTIVO PARA LA COMPETENCIA.</t>
  </si>
  <si>
    <t>CONVENIO CON LA LIGA DE CANOTAJE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</si>
  <si>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TRIATLÓN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</si>
  <si>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BOLO </t>
  </si>
  <si>
    <t>CONVENIO CON LA LIGA DE TENIS DE CAMPO DE ANTIOQUIA PARA FORTALECER EL PROCESO DE ALTO RENDIMIENTO DE LOS ATLETAS QUE REPRESENTARÁN AL DEPARTAMENTO ANTIOQUIA EN LOS PRÓXIMOS JUEGOS NACIONALES 2027, CONTRIBUYENDO A LA EJECUCIÓN DEL PROGRAMA DESARROLLO DEPORTIVO PARA LA COMPETENCIA.</t>
  </si>
  <si>
    <t>CONVENIO CON LA LIGA ANTIOQUEÑA DE RUGBY FÚTBOL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</si>
  <si>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FÚTBOL </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</si>
  <si>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HAPKIDO</t>
  </si>
  <si>
    <t>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BÁDMINTON</t>
  </si>
  <si>
    <t>CONVENIO CON LA LIGA DE SOFTBOL DE ANTIOQUIA  PARA FORTALECER EL PROCESO DE ALTO RENDIMIENTO DE LOS ATLETAS QUE REPRESENTARÁN AL DEPARTAMENTO ANTIOQUIA EN LOS PRÓXIMOS JUEGOS NACIONALES 2027, CONTRIBUYENDO A LA EJECUCIÓN DEL PROGRAMA DESARROLLO DEPORTIVO PARA LA COMPETENCIA.</t>
  </si>
  <si>
    <t xml:space="preserve">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BOXEO DE ANTIOQUIA  </t>
  </si>
  <si>
    <t>CONVENIO CON LA LIGA ANTIOQUEÑA DE ARQUERÍA PARA FORTALECER EL PROCESO DE ALTO RENDIMIENTO DE LOS ATLETAS QUE REPRESENTARÁN AL DEPARTAMENTO ANTIOQUIA EN LOS PRÓXIMOS JUEGOS NACIONALES 2027, CONTRIBUYENDO A LA EJECUCIÓN DEL PROGRAMA DESARROLLO DEPORTIVO PARA LA COMPETENCIA.</t>
  </si>
  <si>
    <t xml:space="preserve">DISPONIBLES LIGAS DEPORTIVAS </t>
  </si>
  <si>
    <t>CONVENIO CON LA LIGA DE BÉISBOL DE ANTIOQUIA PARA FORTALECER EL PROCESO DE ALTO RENDIMIENTO DE LOS ATLETAS QUE REPRESENTARÁN AL DEPARTAMENTO ANTIOQUIA EN LOS PRÓXIMOS JUEGOS NACIONALES 2027, CONTRIBUYENDO A LA EJECUCIÓN DEL PROGRAMA DESARROLLO DEPORTIVO PARA LA COMPETENCIA.</t>
  </si>
  <si>
    <t>52010805-gestionar_operación_ad_tec_cent</t>
  </si>
  <si>
    <t>PRESTACIÓN DE SERVICIOS PROFESIONALES JURÍDICOS ESPECIALIZADOS PARA APOYAR LOS PROCESOS ADMINISTRATIVOS Y DE CONTRATACIÓN DE INDEPORTES ANTIOQUIA, EN ESPECIAL DE LA SUBGERENCIA DE DEPORTE ASOCIADO Y ALTOS LOGROS</t>
  </si>
  <si>
    <t>2.43.4302.87.0-101024.2.3.2.02.02.008.12.</t>
  </si>
  <si>
    <t>52010801-gestionar_operación_adm_con_org</t>
  </si>
  <si>
    <t>2.43.4301.02.0-205128.2.3.2.02.02.008.09.</t>
  </si>
  <si>
    <t>PRESTACIÓN DE SERVICIOS PROFESIONALES ESPECIALIZADOS  PARA EL APOYO EN LA PLANIFICACIÓN ADMINISTRATIVA Y EJECUCIÓN FINANCIERA DE LOS DIFERENTES PROYECTOS, PROGRMAS Y PROCESOS DE LA SUBGERENCIA DE DEPORTE ASOCIADO Y DE ALTOS LOGROS DE INDEPORTES ANTIOQUIA</t>
  </si>
  <si>
    <t>PRESTACIÓN DE SERVICIOS PROFESIONALES PARA EL APOYO A LA PLANEACIÓN Y  EJECUCION DESDE EL COMPONENTE ADMINISTRATIVO Y FINANCIERO A LOS  CONVENIOS Y CONTRATOS SUSCRITOS POR LA SUBGERENCIA DE DEPORTE ASOCIADO Y ALTOS LOGROS DE INDEPORTES ANTIOQUIA</t>
  </si>
  <si>
    <t xml:space="preserve">PRESTACIÓN DE SERVICIOS COMO ADMINISTRADORA DE NEGOCIOS  PARA INDEPORTES ANTIOQUIA </t>
  </si>
  <si>
    <t>PRESTACIÓN DE SERVICIOS PROFESIONALES PARA EL APOYO ADMINISTRATIVO Y FINANCIERO  A LOS PROGRAMAS Y PROYECTOS DE LA SUBGERENCIA DE DEPORTE ASOCIADO Y ALTOS LOGROS DE INDEPORTES ANTIOQUIA</t>
  </si>
  <si>
    <t>PRESTACIÓN DE SERVICIOS EN ALTA GERENCIA PARA INDEPORTES ANTIOQUIA</t>
  </si>
  <si>
    <t>2.43.4302.87.0-205128.2.3.2.02.02.008.13.</t>
  </si>
  <si>
    <t>PRESTACIÓN DE SERVICIOS PROFESIONALES PARA APOYAR LA GESTIÓN ADMINISTRATIVA DE LOS PROCESOS DE LA SUBGERENCIA DE DEPORTE ASOCIADO Y ALTOS LOGROS DE INDEPORTES ANTIOQUIA</t>
  </si>
  <si>
    <t>PRESTACIÓN DE SERVICIOS PROFESIONALES PARA EL APOYO ADMINISTRATIVO Y FINANCIERO A LOS PROYECTOS, PROCESOS, PROGRAMAS, CONTRATOS Y CONVENIOS DE LA SUBGERENCIA DE DEPORTE ASOCIADO Y ALTOS LOGROS DE INDEPORTES ANTIOQUIA</t>
  </si>
  <si>
    <t>PRESTACIÓN DE SERVICIOS DE APOYO A LA GESTIÓN PARA EL ACOMPAÑAMIENTO ADMINISTRATIVO EN LOS PROGRAMAS,  PROYECTOS Y MANEJO DE LAS DIFERENTES PLATAFORMAS UTILIZADAS EN LA SUBGERENCIA DE DEPORTE ASOCIADO Y ALTOS LOGROS DE INDEPORTES ANTIOQUIA</t>
  </si>
  <si>
    <t>PRESTACIÓN DE SERVICIOS PROFESIONALES PARA EL APOYO ADMINISTRATIVO Y SEGUIMIENTO FINANCIERO  EN LA PLANEACION, EJECUCION Y LIQUIDACION DE LOS DIFERENTES PROCESOS DE LA SUBGERENCIA DE DEPORTE ASOCIADO Y ALTOS LOGROS</t>
  </si>
  <si>
    <t>PRESTACIÓN DE SERVICIOS COMO APOYO A LA GESTIÓN ADMINISTRATIVA Y FINANCIERA DE LOS PROYECTOS DE LA SUBGERENCIA DE DEPORTE ASOCIADO Y ALTOS LOGROS.</t>
  </si>
  <si>
    <t xml:space="preserve">PRESTACIÓN DE SERVICIOS PROFESIONALES  JURÍDICOS EN LOS PROCESOS DE CONTRATACIÓN DE INDEPORTES ANTIOQUIA, EN ESPECIAL LOS DE LA OFICINA DE MEDICINA DEPORTIVA Y EN LA SUBGERENCIA DE DEPORTE ASOCIADO Y ALTOS LOGROS </t>
  </si>
  <si>
    <t xml:space="preserve">PRESTACIÓN DE SERVICIOS PROFESIONALES EN MATERIA JURÍDICA PARA LA ATENCIÓN DE SOLICITUDES REQUERIDAS POR LOS ORGANISMOS DEPORTIVOS </t>
  </si>
  <si>
    <t>PRESTACIÓN DE SERVICIOS PROFESIONALES COMO INGENIERO  PARA INDEPORTES ANTIOQUIA</t>
  </si>
  <si>
    <t>52010804-realizar_dotación_equ_sum_medi</t>
  </si>
  <si>
    <t>COMPRA DE INSUMOS Y MATERIALES ÚTILES PARA EL ÁREA DE READAPTACIÓN DEPORTIVA Y REHABILITACIÓN FÍSICA DE MEDICINA DEPORTIVA DE INDEPORTES ANTIOQUIA.</t>
  </si>
  <si>
    <t>2.43.4302.03.0-205128.2.3.2.02.01.003.02.</t>
  </si>
  <si>
    <t>52010804-realizar_mantenimiento_equ_medi</t>
  </si>
  <si>
    <t>CONTRATACIÓN DE MANTENIMIENTO CORRECTIVO Y PREVENTIVO DE LOS EQUIPOS DEL LABORATORIO DE FISIOLOGÍA DEL EJERCICIO DE LA OFICINA DE MEDICINA DEPORTIVA.</t>
  </si>
  <si>
    <t>2.43.4302.03.0-205128.2.3.2.02.02.008.10.</t>
  </si>
  <si>
    <t>CONTRATACIÓN SERVICIO DE CALIBRACIÓN DE LOS EQUIPOS E INSTRUMENTAL DE LOS CONSULTORIO EN EL ÁREA DE MEDICINA DEPORTIVA</t>
  </si>
  <si>
    <t>CONTRATACIÓN DEL SERVICIO DE MANTENIMIENTO PREVENTIVO Y/O CORRECTIVO Y SUMINISTRO DE REACTIVOS  INSUMOS Y REPUESTOS PARA EQUIPO AUTOMATIZADO DE MEDICIÓN DE LACTATO (BIOSEN C_LINE) DEL LABORATORIO CLÍNICO DE INDEPORTES ANTIOQUIA.</t>
  </si>
  <si>
    <t>CONTRATACIÓN DEL SERVICIO DE MANTENIMIENTO PREVENTIVO, PREDICTIVO Y/O CORRECTIVO DEL ÁREA DE READAPTACIÓN DEPORTIVA Y REHABILITACIÓN FÍSICA DE MEDICINA DEPORTIVA</t>
  </si>
  <si>
    <t>CONTRATACIÓN DEL SERVICIO DE MANTENIMIENTO CORRECTIVO Y PREVENTIVO DE LOS EQUIPOS DE LA UNIDAD DE FISIOTERAPIA DE INDEPORTES ANTIOQUIA</t>
  </si>
  <si>
    <t>CONTRATACIÓN SERVICIO DE MANTENIMIENTO CORRECTIVO Y PREVENTIVO DE LOS EQUIPOS ODONTOLÓGICOS UTILIZADOS DENTRO DEL CONSULTORIO EN EL ÁREA DE MEDICINA DEPORTIVA</t>
  </si>
  <si>
    <t>CONTRATACIÓN DEL SERVICIO DE MANTENIMIENTO PREVENTIVO Y/O CORRECTIVO DE LOS EQUIPOS SYSMEX Y ROCHE Y SUMINISTRO DEL KIT DE MANTENIMIENTO PREVENTIVO ANUAL PARA EL EQUIPO DE HEMATOLOGÍA SYSMEX XN 550 DEL LABORATORIO CLÍNICO DE INDEPORTES ANTIOQUIA.</t>
  </si>
  <si>
    <t>MANTENIMIENTO EQUIPO BIOIMPEDANCIA OCTOPOLAR - NUTRICIÓN</t>
  </si>
  <si>
    <t xml:space="preserve">MANTENIMIENTO DE LOS EQUIPOS DEL LABORATORIO CLÍNICO </t>
  </si>
  <si>
    <t xml:space="preserve">CONTRATACIÓN SERVICIO DE MANTENIMIENTO DE EQUIPOS DE MEDICINA, ENFERMERÍA, NUTRICIÓN Y PSICOLOGÍA </t>
  </si>
  <si>
    <t>52010804-gestionar_operación_adm_medi_ci</t>
  </si>
  <si>
    <t>PRESTACIÓN DE SERVICIOS PROFESIONALES COMO ADMINISTRADOR EN SALUD PARA INDEPORTES ANTIOQUIA EN ESPECIAL PARA LA OFICINA DE MEDICINA DEPORTIVA</t>
  </si>
  <si>
    <t>CONTRATO DE PRESTACIÓN DEL SERVICIO DE CONTROL DE CALIDAD EXTERNO PARA QUÍMICA CLÍNICA Y HEMATOLOGÍA Y DEL SERVICIO DE GENERACIÓN DE REPORTES DE COMPARACIÓN INTER-LABORATORIOS POR 12 MESES PARA EL LABORATORIO CLÍNICO</t>
  </si>
  <si>
    <t>2.43.4302.03.0-205128.2.3.2.02.02.009.02.</t>
  </si>
  <si>
    <t>PRESTACIÓN DE SERVICIOS PROFESIONALES COMO FISIOTERAPEUTA PARA INDEPORTES ANTIOQUIA EN LOS DEPORTES: VOLEIBOL PISO, VOLEIBOL PLAYA, PATINAJE, ESGRIMA, GIMNASIA, TENIS DE MESA Y CICLISMO</t>
  </si>
  <si>
    <t>PRESTACIÓN DE SERVICIOS PROFESIONALES COMO PSICÓLOGO CLÍNICO PARA INDEPORTES ANTIOQUIA EN ESPECIAL PARA LA OFICINA DE MEDICINA DEPORTIVA.</t>
  </si>
  <si>
    <t>PRESTACIÓN DE SERVICIOS PROFESIONALES COMO FISIOTERAPEUTA PARA INDEPORTES ANTIOQUIA EN LOS DEPORTES: FÚTBOL DE SALÓN, CANOTAJE, ARQUERÍA, TAEKWONDO, BÁDMINTON, LUCHA, ESQUÍ NÁUTICO, ESQUÍ BOARD, WAKE BOARD Y REMO.</t>
  </si>
  <si>
    <t>PRESTACIÓN DE SERVICIOS DE APOYO A LA GESTIÓN EN EL ÁREA DE MASOTERAPIA DE INDEPORTES ANTIOQUIA EN LOS DEPORTES CONVENCIONALES.</t>
  </si>
  <si>
    <t>PRESTACIÓN DE SERVICIOS PROFESIONALES COMO PSICÓLOGO DEPORTIVO PARA LA OFICINA DE MEDICINA DEPORTIVA DE INDEPORTES ANTIOQUIA</t>
  </si>
  <si>
    <t>PRESTACIÓN DE SERVICIOS PROFESIONALES COMO FISIOTERAPEUTA PARA INDEPORTES ANTIOQUIA EN LOS DEPORTES: BALONCESTO, KARATE, TENIS DE CAMPO, RUGBY, TIRO DEPORTIVO Y ACTIVIDADES SUBACUÁTICAS.</t>
  </si>
  <si>
    <t>PRESTACIÓN DE SERVICIOS PROFESIONALES COMO FISIOTERAPEUTA PARA INDEPORTES ANTIOQUIA EN LOS  DEPORTES: DE DISCAPACIDAD INTELECTUALES, AUDITIVOS, FÍSICOS SILLA DE RUEDAS, RUGBY EN SILLA DE RUEDAS YPARACYCLING.</t>
  </si>
  <si>
    <t>PRESTACIÓN DE SERVICIOS DE APOYO A LA GESTIÓN EN EL ÁREA DE MASOTERAPIA DE INDEPORTES ANTIOQUIA EN LOS DEPORTES DE DISCAPACIDAD.</t>
  </si>
  <si>
    <t>PRESTACIÓN DE SERVICIOS PROFESIONALES COMO FISIOTERAPEUTA PARA LA OFICINA DE MEDICINA DEPORTIVA DE INDEPORTES ANTIOQUIA, APOYANDO LAS DISCIPLINAS DE JUEGO CON PELOTA Y EL ÁREA DE RECOVERY.</t>
  </si>
  <si>
    <t>PRESTACIÓN DE SERVICIOS COMO AUXILIAR DE ODONTOLOGÍA PARA ACOMPAÑAR LA ATENCIÓN DE USUARIOS DE LA OFICINA DE MEDICINA DEPORTIVA DE INDEPORTES ANTIOQUIA.</t>
  </si>
  <si>
    <t>PRESTACIÓN DE SERVICIOS PROFESIONALES COMO ODONTOLOGA PARA ACOMPAÑAR LA ATENCION DE USUARIOS DE LA OFICINA DE MEDICINA DEPORTIVA DE INDEPORTES ANTIOQUIA.</t>
  </si>
  <si>
    <t>PRESTACIÓN DE SERVICIOS PROFESIONALES COMO MÉDICO ESPECIALIZADO PARA LA ATENCIÓN DE DEPORTES CONVENCIONALES Y ADAPTADOS PARA INDEPORTES ANTIOQUIA.</t>
  </si>
  <si>
    <t>PRESTACIÓN DE SERVICIOS PROFESIONALES COMO NUTRICIONISTA PARA INDEPORTES ANTIOQUIA</t>
  </si>
  <si>
    <t xml:space="preserve">PRESTACIÓN DE SERVICIOS PROFESIONALES ESPECIALIZADOS COMO MÉDICO DE ORTOPEDIA Y TRAUMATOLOGÍA PARA LA OFICINA DE MEDICINA DEPORTIVA DE INDEPORTES ANTIOQUIA. </t>
  </si>
  <si>
    <t>PRESTACIÓN DE SERVICIOS PROFESIONALES ESPECIALIZADOS COMO MÉDICO ECOGRAFISTA PARA LA OFICINA DE MEDICINA DEPORTIVA DE INDEPORTES ANTIOQUIA.</t>
  </si>
  <si>
    <t>PRESTACIÓN DE SERVICIOS PROFESIONALES COMO FISIOTERAPEUTA PARA INDEPORTES ANTIOQUIA EN LOS SIGUIENTES DEPORTES: PARA ATLETISMO, PARA NATACIÓN, BOCCIA, PARAPOWERLIFTING, PARA TENIS DE MESA, PARA JUDO VISUAL.</t>
  </si>
  <si>
    <t>52010802-gestionar_operación_adm_tec_pre</t>
  </si>
  <si>
    <t>PRESTACIÓN DE SERVICIOS DE UN ENTRENADOR PRINCIPAL PARA LA REALIZACIÓN DEL PROCESO DE SELECCIÓN, ENTRENAMIENTO DEPORTIVO Y PARTICIPACIÓN EN COMPETENCIAS EN LA LIGA ANTIOQUEÑA DE ARQUERÍA, EN LA MODALIDAD ARCO RECURVO, EN CATEGORÍAS DE JUEGOS NACIONALES.</t>
  </si>
  <si>
    <t>2.43.4302.84.0-205400.2.3.2.02.02.009.03.</t>
  </si>
  <si>
    <t>PRESTACIÓN DE SERVICIOS DE UN ENTRENADOR PRINCIPAL PARA LA REALIZACIÓN DEL PROCESO DE SELECCIÓN, ENTRENAMIENTO DEPORTIVO Y PARTICIPACIÓN EN COMPETENCIAS EN LA LIGA ANTIOQUEÑA DE ARQUERÍA, EN LA MODALIDAD ARCO COMPUESTO, EN CATEGORÍAS DE JUEGOS NACIONALES.</t>
  </si>
  <si>
    <t>PRESTACIÓN DE SERVICIOS DE UN ENTRENADOR ASISTENTE PARA LA REALIZACIÓN DEL PROCESO DE SELECCIÓN, ENTRENAMIENTO DEPORTIVO Y PARTICIPACIÓN EN COMPETENCIAS EN LA LIGA ANTIOQUEÑA DE ARQUERÍA, EN LA MODALIDAD ARCO COMPUESTO, EN CATEGORÍAS DE JUEGOS NACIONALES.</t>
  </si>
  <si>
    <t>PRESTACIÓN DE SERVICIOS DE UN ENTRENADOR ASISTENTE PARA LA REALIZACIÓN DEL PROCESO DE SELECCIÓN, ENTRENAMIENTO DEPORTIVO Y PARTICIPACIÓN EN COMPETENCIAS EN LA LIGA ANTIOQUEÑA DE ARQUERÍA, EN LA MODALIDAD ARCO RECURVO, EN CATEGORÍAS DE JUEGOS NACIONALES.</t>
  </si>
  <si>
    <t>PRESTACIÓN DE SERVICIOS DE UN ENTRENADOR ASISTENTE PARA LA REALIZACIÓN DEL PROCESO SELECCIÓN, ENTRENAMIENTO DEPORTIVO Y PARTICIPACIÓN EN COMPETENCIAS EN LA LIGA ANTIOQUEÑA DE BÁDMINTON, EN CATEGORÍAS DE JUEGOS NACIONALES.</t>
  </si>
  <si>
    <t>PRESTACIÓN DE SERVICIOS DE UN ENTRENADOR PRINCIPAL PARA LA REALIZACIÓN DEL PROCESO DE SELECCIÓN, ENTRENAMIENTO DEPORTIVO Y PARTICIPACIÓN EN COMPETENCIAS EN LA LIGA ANTIOQUEÑA DE BÁDMINTON, EN CATEGORÍAS DE JUEGOS NACIONALES.</t>
  </si>
  <si>
    <t>PRESTACIÓN DE SERVICIOS DE UN ENTRENADOR ASISTENTE PARA LA REALIZACIÓN DEL PROCESO SELECCIÓN, ENTRENAMIENTO DEPORTIVO Y PARTICIPACIÓN EN COMPETENCIAS EN LA LIGA ANTIOQUEÑA DE BALONCESTO, EN LA RAMA MASCULINA, EN CATEGORÍAS DE JUEGOS NACIONALES.</t>
  </si>
  <si>
    <t>PRESTACIÓN DE SERVICIOS DE UN ENTRENADOR PRINCIPAL PARA LA REALIZACIÓN DEL PROCESO DE SELECCIÓN, ENTRENAMIENTO DEPORTIVO Y PARTICIPACIÓN EN COMPETENCIAS EN LA LIGA ANTIOQUEÑA DE BALONCESTO, RAMA MASCULINA, EN CATEGORÍAS DE JUEGOS NACIONALES.</t>
  </si>
  <si>
    <t>PRESTACIÓN DE SERVICIOS DE UN ENTRENADOR PRINCIPAL PARA LA REALIZACIÓN DEL PROCESO DE SELECCIÓN, ENTRENAMIENTO DEPORTIVO Y PARTICIPACIÓN EN COMPETENCIAS EN LA LIGA ANTIOQUEÑA DE BALONCESTO, EN LA RAMA FEMENINA, EN CATEGORÍAS DE JUEGOS NACIONALES.</t>
  </si>
  <si>
    <t>PRESTACIÓN DE SERVICIOS DE UN ENTRENADOR ASISTENTE PARA LA REALIZACIÓN DEL PROCESO SELECCIÓN, ENTRENAMIENTO DEPORTIVO Y PARTICIPACIÓN EN COMPETENCIAS EN LA LIGA ANTIOQUEÑA DE BALONCESTO, EN LA RAMA FEMENINA, EN CATEGORÍAS DE JUEGOS NACIONALES.</t>
  </si>
  <si>
    <t>PRESTACIÓN DE SERVICIOS DE UN ENTRENADOR PRINCIPAL PARA LA REALIZACIÓN DEL PROCESO DE SELECCIÓN, ENTRENAMIENTO DEPORTIVO Y PARTICIPACIÓN EN COMPETENCIAS EN LA LIGA ANTIOQUEÑA DE BALONMANO, EN LA RAMA MASCULINA, EN CATEGORÍAS DE JUEGOS NACIONALES.</t>
  </si>
  <si>
    <t>PRESTACIÓN DE SERVICIOS DE UN ENTRENADOR ASISTENTE PARA LA REALIZACIÓN DEL PROCESO SELECCIÓN, ENTRENAMIENTO DEPORTIVO Y PARTICIPACIÓN EN COMPETENCIAS EN LA LIGA ANTIOQUEÑA DE BALONMANO, EN LA RAMA FEMENINA, EN CATEGORÍAS DE JUEGOS NACIONALES.</t>
  </si>
  <si>
    <t>PRESTACIÓN DE SERVICIOS DE UN ENTRENADOR ASISTENTE PARA LA REALIZACIÓN DEL PROCESO SELECCIÓN, ENTRENAMIENTO DEPORTIVO Y PARTICIPACIÓN EN COMPETENCIAS EN LA LIGA ANTIOQUEÑA DE BALONMANO, EN LA RAMA MASCULINA, EN CATEGORÍAS DE JUEGOS NACIONALES.</t>
  </si>
  <si>
    <t>PRESTACIÓN DE SERVICIOS DE UN ENTRENADOR PRINCIPAL PARA LA REALIZACIÓN DEL PROCESO DE SELECCIÓN, ENTRENAMIENTO DEPORTIVO Y PARTICIPACIÓN EN COMPETENCIAS EN LA LIGA ANTIOQUEÑA DE BALONMANO, EN LA RAMA FEMENINA, EN CATEGORÍAS DE JUEGOS NACIONALES.</t>
  </si>
  <si>
    <t>PRESTACIÓN DE SERVICIOS DE UN ENTRENADOR PRINCIPAL PARA LA REALIZACIÓN DEL PROCESO DE SELECCIÓN, ENTRENAMIENTO DEPORTIVO Y PARTICIPACIÓN EN COMPETENCIAS EN LA LIGA ANTIOQUEÑA DE FÚTBOL, EN LA MODALIDAD FÚTBOL SALA EN LAS RAMAS FEMENINA Y MASCULINA, EN CATEGORÍAS DE JUEGOS NACIONALES.</t>
  </si>
  <si>
    <t>PRESTACIÓN DE SERVICIOS DE UN ENTRENADOR PRINCIPAL PARA LA REALIZACIÓN DEL PROCESO DE SELECCIÓN, ENTRENAMIENTO DEPORTIVO Y PARTICIPACIÓN EN COMPETENCIAS EN LA LIGA ANTIOQUEÑA DE FÚTBOL, EN LA MODALIDAD FÚTBOL CÉSPED RAMA FEMENINA, EN CATEGORÍAS DE JUEGOS NACIONALES.</t>
  </si>
  <si>
    <t>PRESTACIÓN DE SERVICIOS DE UN ENTRENADOR PRINCIPAL PARA LA REALIZACIÓN DEL PROCESO DE SELECCIÓN, ENTRENAMIENTO DEPORTIVO Y PARTICIPACIÓN EN COMPETENCIAS EN LA LIGA ANTIOQUEÑA DE FÚTBOL, EN LA MODALIDAD FÚTBOL CÉSPED RAMA MASCULINA, EN CATEGORÍAS DE JUEGOS NACIONALES.</t>
  </si>
  <si>
    <t>PRESTACIÓN DE SERVICIOS DE UN ENTRENADOR ASISTENTE PARA LA REALIZACIÓN DEL PROCESO SELECCIÓN, ENTRENAMIENTO DEPORTIVO Y PARTICIPACIÓN EN COMPETENCIAS EN LA LIGA ANTIOQUEÑA DE FÚTBOL, EN LA MODALIDAD FÚTBOL CÉSPED, RAMA MASCULINA, EN CATEGORÍAS DE JUEGOS NACIONALES.</t>
  </si>
  <si>
    <t>PRESTACIÓN DE SERVICIOS DE UN ENTRENADOR PRINCIPAL PARA LA REALIZACIÓN DEL PROCESO DE SELECCIÓN, ENTRENAMIENTO DEPORTIVO Y PARTICIPACIÓN EN COMPETENCIAS EN LA LIGA ANTIOQUEÑA DE GIMNASIA, EN LA MODALIDAD ARTÍSTICA FEMENINA, EN CATEGORÍAS DE JUEGOS NACIONALES.</t>
  </si>
  <si>
    <t>PRESTACIÓN DE SERVICIOS DE UN ENTRENADOR PRINCIPAL PARA LA REALIZACIÓN DEL PROCESO DE SELECCIÓN, ENTRENAMIENTO DEPORTIVO Y PARTICIPACIÓN EN COMPETENCIAS EN LA LIGA ANTIOQUEÑA DE GIMNASIA, EN LA MODALIDAD RÍTMICA, EN CATEGORÍAS DE JUEGOS NACIONALES.</t>
  </si>
  <si>
    <t>PRESTACIÓN DE SERVICIOS DE UN ENTRENADOR ASISTENTE PARA LA REALIZACIÓN DEL PROCESO SELECCIÓN, ENTRENAMIENTO DEPORTIVO Y PARTICIPACIÓN EN COMPETENCIAS EN LA LIGA ANTIOQUEÑA DE GIMNASIA, EN LA MODALIDAD RÍTMICA Y COREOGRAFÍA, EN CATEGORÍAS DE JUEGOS NACIONALES.</t>
  </si>
  <si>
    <t>PRESTACIÓN DE SERVICIOS DE UN ENTRENADOR PRINCIPAL PARA LA REALIZACIÓN DEL PROCESO DE SELECCIÓN, ENTRENAMIENTO DEPORTIVO Y PARTICIPACIÓN EN COMPETENCIAS EN LA LIGA ANTIOQUEÑA DE GIMNASIA, MODALIDAD TRAMPOLÍN, EN CATEGORÍAS DE JUEGOS NACIONALES.</t>
  </si>
  <si>
    <t>PRESTACIÓN DE SERVICIOS DE UN ENTRENADOR PRINCIPAL PARA LA REALIZACIÓN DEL PROCESO DE SELECCIÓN, ENTRENAMIENTO DEPORTIVO Y PARTICIPACIÓN EN COMPETENCIAS EN LA LIGA ANTIOQUEÑA DE GIMNASIA, EN LA MODALIDAD ARTÍSTICA FEMENINA Y COREOGRAFÍA, EN CATEGORÍAS DE JUEGOS NACIONALES.</t>
  </si>
  <si>
    <t>PRESTACIÓN DE SERVICIOS DE UN ENTRENADOR PRINCIPAL PARA LA REALIZACIÓN DEL PROCESO DE SELECCIÓN, ENTRENAMIENTO DEPORTIVO Y PARTICIPACIÓN EN COMPETENCIAS EN LA LIGA ANTIOQUEÑA DE GIMNASIA, MODALIDAD ARTÍSTICA MASCULINA, EN CATEGORÍAS DE JUEGOS NACIONALES.</t>
  </si>
  <si>
    <t>PRESTACIÓN DE SERVICIOS DE UN ENTRENADOR PRINCIPAL PARA LA REALIZACIÓN DEL PROCESO DE SELECCIÓN, ENTRENAMIENTO DEPORTIVO Y PARTICIPACIÓN EN COMPETENCIAS EN LA LIGA ANTIOQUEÑA DE VOLEIBOL, EN LA MODALIDAD VOLEIBOL PISO RAMA MASCULINA, EN CATEGORÍAS DE JUEGOS NACIONALES.</t>
  </si>
  <si>
    <t>PRESTACIÓN DE SERVICIOS DE UN ENTRENADOR PRINCIPAL PARA LA REALIZACIÓN DEL PROCESO DE SELECCIÓN, ENTRENAMIENTO DEPORTIVO Y PARTICIPACIÓN EN COMPETENCIAS EN LA LIGA ANTIOQUEÑA DE VOLEIBOL, EN LA MODALIDAD VOLEIBOL PLAYA, EN CATEGORÍAS DE JUEGOS NACIONALES.</t>
  </si>
  <si>
    <t>PRESTACIÓN DE SERVICIOS DE UN ENTRENADOR ASISTENTE PARA LA REALIZACIÓN DEL PROCESO SELECCIÓN, ENTRENAMIENTO DEPORTIVO Y PARTICIPACIÓN EN COMPETENCIAS EN LA LIGA ANTIOQUEÑA DE VOLEIBOL, EN LA MODALIDAD VOLEIBOL PISO, RAMA MASCULINA, EN CATEGORÍAS DE JUEGOS NACIONALES.</t>
  </si>
  <si>
    <t>PRESTACIÓN DE SERVICIOS DE UN ENTRENADOR PRINCIPAL PARA LA REALIZACIÓN DEL PROCESO DE SELECCIÓN, ENTRENAMIENTO DEPORTIVO Y PARTICIPACIÓN EN COMPETENCIAS EN LA LIGA DE ATLETISMO DE ANTIOQUIA, EN LA MODALIDAD DE LANZAMIENTO DE BALA Y DE MARTILLO EN LAS CATEGORÍAS JUNIOR, JUVENILES Y MAYORES DE JUEGOS NACIONALES.</t>
  </si>
  <si>
    <t>PRESTACIÓN DE SERVICIOS DE UN ENTRENADOR PRINCIPAL PARA LA REALIZACIÓN DEL PROCESO DE SELECCIÓN, ENTRENAMIENTO DEPORTIVO Y PARTICIPACIÓN EN COMPETENCIAS EN LA LIGA DE ATLETISMO DE ANTIOQUIA, EN LA MODALIDAD DE LANZAMIENTO DE DISCO Y JABALINA, EN CATEGORÍAS DE JUEGOS NACIONALES.</t>
  </si>
  <si>
    <t>PRESTACIÓN DE SERVICIOS DE UN ENTRENADOR ASISTENTE PARA LA REALIZACIÓN DEL PROCESO SELECCIÓN, ENTRENAMIENTO DEPORTIVO Y PARTICIPACIÓN EN COMPETENCIAS EN LA LIGA DE ATLETISMO DE ANTIOQUIA, EN LAS MODALIDADES DE FONDO, SEMIFONDO Y MARCHA, EN CATEGORÍAS DE JUEGOS NACIONALES.</t>
  </si>
  <si>
    <t>PRESTACIÓN DE SERVICIOS DE UN ENTRENADOR PRINCIPAL PARA LA REALIZACIÓN DEL PROCESO DE SELECCIÓN, ENTRENAMIENTO DEPORTIVO Y PARTICIPACIÓN EN COMPETENCIAS EN LA LIGA DE ATLETISMO DE ANTIOQUIA, EN LAS MODALIDADES FONDO, SEMIFONDO Y MARCHA, EN CATEGORÍAS DE JUEGOS NACIONALES.</t>
  </si>
  <si>
    <t>PRESTACIÓN DE SERVICIOS DE UN ENTRENADOR ASISTENTE PARA LA REALIZACIÓN DEL PROCESO SELECCIÓN, ENTRENAMIENTO DEPORTIVO Y PARTICIPACIÓN EN COMPETENCIAS EN LA LIGA DE ATLETISMO DE ANTIOQUIA, EN LA MODALIDAD DE VELOCIDAD EN CATEGORÍAS JUVENILES DE JUEGOS NACIONALES.</t>
  </si>
  <si>
    <t>PRESTACIÓN DE SERVICIOS DE UN ENTRENADOR ASISTENTE EN DESARROLLO DEPORTIVO DE LOS ATLETAS EN LAS CATEGORÍAS JUNIOR, JUVENILES Y SUB 23 EN LA MODALIDAD DE SALTO DEL CENTRO DE DESARROLLO DE LA LIGA DE ATLETISMO DE ANTIOQUIA</t>
  </si>
  <si>
    <t>PRESTACIÓN DE SERVICIOS DE UN ENTRENADOR PRINCIPAL PARA LA REALIZACIÓN DEL PROCESO DE SELECCIÓN, ENTRENAMIENTO DEPORTIVO Y PARTICIPACIÓN EN COMPETENCIAS EN LA LIGA DE ATLETISMO DE ANTIOQUIA, EN LA MODALIDAD DE PRUEBAS MÚLTIPLES, EN CATEGORÍAS DE JUEGOS NACIONALES.</t>
  </si>
  <si>
    <t>PRESTACIÓN DE SERVICIOS DE UN ENTRENADOR ASISTENTE EN DESARROLLO DEPORTIVO DE LOS ATLETAS EN LAS CATEGORÍAS JUNIOR, JUVENILES Y SUB 23 EN LA MODALIDAD DE LANZAMIENTO DEL CENTRO DE DESARROLLO DE LA LIGA DE ATLETISMO DE ANTIOQUIA</t>
  </si>
  <si>
    <t>PRESTACIÓN DE SERVICIOS DE UN ENTRENADOR PRINCIPAL PARA LA REALIZACIÓN DEL PROCESO DE SELECCIÓN, ENTRENAMIENTO DEPORTIVO Y PARTICIPACIÓN EN COMPETENCIAS EN LA LIGA DE ATLETISMO DE ANTIOQUIA, EN LA MODALIDAD DE VELOCIDAD, EN CATEGORÍAS DE JUEGOS NACIONALES.</t>
  </si>
  <si>
    <t>PRESTACIÓN DE SERVICIOS DE UN ENTRENADOR PRINCIPAL PARA LA REALIZACIÓN DEL PROCESO DE SELECCIÓN, ENTRENAMIENTO DEPORTIVO Y PARTICIPACIÓN EN COMPETENCIAS EN LA LIGA DE ATLETISMO DE ANTIOQUIA, EN LA MODALIDAD DE SALTOS, EN CATEGORÍAS DE JUEGOS NACIONALES.</t>
  </si>
  <si>
    <t>PRESTACIÓN DE SERVICIOS DE UN ENTRENADOR PRINCIPAL PARA LA REALIZACIÓN DEL PROCESO SELECCIÓN, ENTRENAMIENTO DEPORTIVO Y PARTICIPACIÓN EN COMPETENCIAS EN LA LIGA DE TENIS DE MESA DE ANTIOQUIA, EN LAS CATEGORÍAS DE FORMACIÓN DEPORTIVA Y CATEGORÍAS DE JUEGOS NACIONALES.</t>
  </si>
  <si>
    <t>PRESTACIÓN DE SERVICIOS DE UN ENTRENADOR ASISTENTE PARA LA REALIZACIÓN DEL PROCESO SELECCIÓN, ENTRENAMIENTO DEPORTIVO Y PARTICIPACIÓN EN COMPETENCIAS EN LA LIGA DE TENIS DE MESA DE ANTIOQUIA, EN LOS DEPORTES Y CATEGORÍAS DE JUEGOS NACIONALES.</t>
  </si>
  <si>
    <t>PRESTACIÓN DE SERVICIOS DE UN ENTRENADOR ASISTENTE PARA LA REALIZACIÓN DEL PROCESO SELECCIÓN, ENTRENAMIENTO DEPORTIVO Y PARTICIPACIÓN EN COMPETENCIAS EN LA LIGA DE TENIS DE MESA DE ANTIOQUIA, EN LAS CATEGORÍAS DE FORMACIÓN DEPORTIVA Y CATEGORÍAS DE JUEGOS NACIONALES.</t>
  </si>
  <si>
    <t>PRESTACIÓN DE SERVICIOS DE UN ENTRENADOR  PARA  EL PROCESO DE  ENTRENAMIENTO DEPORTIVO  INTERNACIONAL DE LOS ATLETAS DE LA LIGA DE TENIS DE MESA DE ANTIOQUIA, EN LAS CATEGORÍAS DE JUEGOS NACIONALES.</t>
  </si>
  <si>
    <t>PRESTACIÓN DE SERVICIOS DE UN ENTRENADOR PARA LA REALIZACIÓN DEL PROCESO DE PREPARACIÓN FÍSICA Y CONDICIONAL EN LOS DEPORTES DE ATLETISMO, BALONMANO Y TENIS DE MESA EN LAS MODALIDADES Y CATEGORÍAS DE JUEGOS NACIONALES.</t>
  </si>
  <si>
    <t>PRESTACIÓN DE SERVICIOS DE UN ENTRENADOR PARA LA REALIZACIÓN DEL PROCESO DE PREPARACIÓN FÍSICA Y CONDICIONAL EN LOS DEPORTES DE BÁDMINTON, GIMNASIA Y ATLETISMO EN LAS MODALIDADES Y CATEGORÍAS DE JUEGOS NACIONALES.</t>
  </si>
  <si>
    <t>PRESTACIÓN DE SERVICIOS DE UN ENTRENADOR PARA LA REALIZACIÓN DEL PROCESO DE PREPARACIÓN FÍSICA Y CONDICIONAL EN LOS DEPORTES DE ATLETISMO, VOLEIBOL Y ARQUERÍA EN LAS MODALIDADES Y CATEGORÍAS DE JUEGOS NACIONALES.</t>
  </si>
  <si>
    <t>PRESTACIÓN DE SERVICIOS DE UN ENTRENADOR PARA LA REALIZACIÓN DEL PROCESO DE PREPARACIÓN FÍSICA Y CONDICIONAL EN LOS DEPORTES DE ATLETISMO, BALONCESTO Y ARQUERÍA EN LAS MODALIDADES Y CATEGORÍAS DE JUEGOS NACIONALES.</t>
  </si>
  <si>
    <t>PRESTACIÓN DE SERVICIOS DE UN ENTRENADOR PARA LA REALIZACIÓN DEL PROCESO DE PREPARACIÓN FÍSICA Y CONDICIONAL EN LOS DEPORTES DE CONJUNTO EN LAS MODALIDADES Y CATEGORÍAS DE JUEGOS NACIONALES.</t>
  </si>
  <si>
    <t>PRESTACIÓN DE SERVICIOS DE UN ENTRENADOR PRINCIPAL PARA LA REALIZACIÓN DEL PROCESO DE SELECCIÓN, ENTRENAMIENTO DEPORTIVO Y PARTICIPACIÓN EN COMPETENCIAS EN LA LIGA ANTIOQUEÑA DE BOLO, EN LAS CATEGORÍAS JUVENILES Y MAYORES DE JUEGOS NACIONALES.</t>
  </si>
  <si>
    <t>PRESTACIÓN DE SERVICIOS DE UN ENTRENADOR DE INICIACIÓN Y DESARROLLO PARA LA REALIZACIÓN DEL PROCESO DE SELECCIÓN, ENTRENAMIENTO DEPORTIVO Y PARTICIPACIÓN EN COMPETENCIAS DE LA LIGA ANTIOQUEÑA DE BOLO, EN CATEGORÍAS MENORES.</t>
  </si>
  <si>
    <t>PRESTACIÓN DE SERVICIOS DE UN ENTRENADOR ASISTENTE ENLACE ENTRE LA BASE DEPORTIVA Y EL ALTO RENDIMIENTO PARA LA REALIZACIÓN DEL PROCESO DE SELECCIÓN, ENTRENAMIENTO DEPORTIVO Y PARTICIPACIÓN EN COMPETENCIAS EN LA LIGA ANTIOQUEÑA DE BOLO, EN LAS CATEGORÍAS DE JUEGOS NACIONALES.</t>
  </si>
  <si>
    <t>PRESTACIÓN DE SERVICIOS DE UN ENTRENADOR PRINCIPAL PARA LA REALIZACIÓN DEL PROCESO DE SELECCIÓN, ENTRENAMIENTO DEPORTIVO Y PARTICIPACIÓN EN COMPETENCIAS EN LA LIGA ANTIOQUEÑA DE RUGBY, EN LA MODALIDAD SEVENS Y QUINCES RAMA MASCULINA, EN CATEGORÍAS DE JUEGOS NACIONALES.</t>
  </si>
  <si>
    <t>PRESTACIÓN DE SERVICIOS DE UN ENTRENADOR DE INICIACIÓN Y DESARROLLO DEPORTIVO EN LA SUBREGIÓN DE URABÁ PARA LA CONSECUCIÓN DE NUEVOS TALENTOS PARA LA LIGA ANTIOQUEÑA DE RUGBY FÚTBOL, EN CATEGORÍAS DE JUEGOS NACIONALES.</t>
  </si>
  <si>
    <t>PRESTACIÓN DE SERVICIOS DE UN ENTRENADOR PRINCIPAL PARA LA REALIZACIÓN DEL PROCESO DE SELECCIÓN, ENTRENAMIENTO DEPORTIVO Y PARTICIPACIÓN EN COMPETENCIAS EN LA LIGA ANTIOQUEÑA DE RUGBY, EN LA MODALIDAD SEVENS Y QUINCES RAMA FEMENINA, EN CATEGORÍAS DE JUEGOS NACIONALES.</t>
  </si>
  <si>
    <t>PRESTACIÓN DE SERVICIOS DE UN ENTRENADOR ASISTENTE PARA LA REALIZACIÓN DEL PROCESO DE SELECCIÓN, ENTRENAMIENTO DEPORTIVO Y PARTICIPACIÓN EN COMPETENCIAS EN LA LIGA ANTIOQUEÑA DE RUGBY, EN LA MODALIDAD SEVENS Y QUINCES RAMA MASCULINA, EN CATEGORÍAS DE JUEGOS NACIONALES.</t>
  </si>
  <si>
    <t>PRESTACIÓN DE SERVICIOS DE UN ENTRENADOR ASISTENTE PARA LA REALIZACIÓN DEL PROCESO DE SELECCIÓN, ENTRENAMIENTO DEPORTIVO Y PARTICIPACIÓN EN COMPETENCIAS EN LA LIGA ANTIOQUEÑA DE RUGBY, EN LA MODALIDAD SEVENS Y QUINCES RAMA FEMENINA, EN CATEGORÍAS DE JUEGOS NACIONALES.</t>
  </si>
  <si>
    <t>PRESTACIÓN DE SERVICIOS DE UN ENTRENADOR ASISTENTE  PARA LA REALIZACIÓN DEL PROCESO DE SELECCIÓN, RESERVA DEPORTIVA, ENTRENAMIENTO Y PARTICIPACIÓN EN COMPETENCIAS EN LA LIGA DE TENIS DE CAMPO DE ANTIOQUIA, EN CATEGORÍAS DE JUEGOS NACIONALES.</t>
  </si>
  <si>
    <t>PRESTACIÓN DE SERVICIOS DE UN ENTRENADOR PARA EL PROCESO DE SELECCIÓN, ACOMPAÑAMIENTO DEPORTIVO Y PARTICIPACIÓN EN COMPETENCIAS DE LOS ATLETAS QUE SE PREPARAN EN EL EXTRANJERO EN LA LIGA ANTIOQUEÑA DE TENIS DE CAMPO, EN MODALIDADES Y CATEGORÍAS DE JUEGOS NACIONALES.</t>
  </si>
  <si>
    <t>PRESTACIÓN DE SERVICIOS DE UN ENTRENADOR PRINCIPAL PARA LA REALIZACIÓN DEL PROCESO DE SELECCIÓN, ENTRENAMIENTO DEPORTIVO Y PARTICIPACIÓN EN COMPETENCIAS EN LA LIGA ANTIOQUEÑA DE TENIS DE CAMPO, EN MODALIDADES Y CATEGORÍAS DE JUEGOS NACIONALES.</t>
  </si>
  <si>
    <t>PRESTACIÓN DE SERVICIOS DE UN ENTRENADOR DE INICIACIÓN Y DESARROLLO DEPORTIVO PARA LA CONSECUCIÓN DE NUEVOS TALENTOS PARA LA LIGA DE TENIS DE CAMPO DE ANTIOQUIA, EN CATEGORÍAS DE JUEGOS NACIONALES.</t>
  </si>
  <si>
    <t>PRESTACIÓN DE SERVICIOS DE UN ENTRENADOR ASISTENTE PARA LA REALIZACIÓN DEL PROCESO DE SELECCIÓN, ENTRENAMIENTO DEPORTIVO Y PARTICIPACIÓN EN COMPETENCIAS EN LA LIGA ANTIOQUEÑA DE SQUASH, EN LAS MODALIDADES Y CATEGORÍAS DE JUEGOS NACIONALES.</t>
  </si>
  <si>
    <t>PRESTACIÓN DE SERVICIOS DE UN ENTRENADOR PRINCIPAL PARA LA REALIZACIÓN DEL PROCESO DE SELECCIÓN, ENTRENAMIENTO DEPORTIVO Y PARTICIPACIÓN EN COMPETENCIAS EN LA LIGA ANTIOQUEÑA DE SQUASH, EN LAS MODALIDADES Y CATEGORÍAS DE JUEGOS NACIONALES.</t>
  </si>
  <si>
    <t>PRESTACIÓN DE SERVICIOS DE UN ENTRENADOR ASISTENTE PARA LA REALIZACIÓN DEL PROCESO DE SELECCIÓN, ENTRENAMIENTO DEPORTIVO Y PARTICIPACIÓN EN COMPETENCIAS EN LA LIGA ANTIOQUEÑA DE BÉISBOL, EN LA MODALIDAD BATEO EN CATEGORÍAS DE JUEGOS NACIONALES.</t>
  </si>
  <si>
    <t>PRESTACIÓN DE SERVICIOS DE UN ENTRENADOR PRINCIPAL PARA LA REALIZACIÓN DEL PROCESO DE SELECCIÓN, ENTRENAMIENTO DEPORTIVO Y PARTICIPACIÓN EN COMPETENCIAS EN LA LIGA ANTIOQUEÑA DE BÉISBOL, EN LAS MODALIDADES Y CATEGORÍAS DE JUEGOS NACIONALES.</t>
  </si>
  <si>
    <t>PRESTACIÓN DE SERVICIOS DE UN ENTRENADOR ASISTENTE PARA LA REALIZACIÓN DEL PROCESO DE SELECCIÓN, ENTRENAMIENTO DEPORTIVO Y PARTICIPACIÓN EN COMPETENCIAS EN LA LIGA ANTIOQUEÑA DE BÉISBOL, EN LA MODALIDAD PITHEO EN CATEGORÍAS DE JUEGOS NACIONALES.</t>
  </si>
  <si>
    <t>PRESTACIÓN DE SERVICIOS DE UN ENTRENADOR ASISTENTE PARA LA REALIZACIÓN DEL PROCESO DE SELECCIÓN, ENTRENAMIENTO DEPORTIVO Y PARTICIPACIÓN EN COMPETENCIAS EN LA LIGA ANTIOQUEÑA DE BÉISBOL, EN LAS MODALIDADES PREPARADOR DE TERCERA Y PREPARADOR DE INFILDERS EN CATEGORÍAS DE JUEGOS NACIONALES.</t>
  </si>
  <si>
    <t>PRESTACIÓN DE SERVICIOS DE UN ENTRENADOR PARA LA REALIZACIÓN DEL PROCESO DE SELECCIÓN, ENTRENAMIENTO DEPORTIVO EN LA SUBREGIÓN DE URABÁ ZONA NORTE Y PARTICIPACIÓN EN COMPETENCIAS EN LA LIGA ANTIOQUEÑA DE BÉISBOL, EN LOS DEPORTES Y CATEGORÍAS DE JUEGOS NACIONALES.</t>
  </si>
  <si>
    <t>PRESTACIÓN DE SERVICIOS DE UN ENTRENADOR PARA LA REALIZACIÓN DEL PROCESO DE SELECCIÓN, ENTRENAMIENTO DEPORTIVO EN LA SUBREGIÓN DE URABÁ ZONA SUR Y PARTICIPACIÓN EN COMPETENCIAS EN LA LIGA ANTIOQUEÑA DE BÉISBOL, EN LOS DEPORTES Y CATEGORÍAS DE JUEGOS NACIONALES.</t>
  </si>
  <si>
    <t>PRESTACIÓN DE SERVICIOS DE UN ENTRENADOR PRINCIPAL PARA LA REALIZACIÓN DEL PROCESO DE SELECCIÓN, ENTRENAMIENTO DEPORTIVO Y PARTICIPACIÓN EN COMPETENCIAS EN LA LIGA DE AJEDREZ DE ANTIOQUIA, EN LA RAMA MASCULINA, EN CATEGORÍAS DE JUEGOS NACIONALES.</t>
  </si>
  <si>
    <t>PRESTACIÓN DE SERVICIOS DE UN ENTRENADOR PRINCIPAL PARA LA REALIZACIÓN DEL PROCESO DE SELECCIÓN, ENTRENAMIENTO DEPORTIVO Y PARTICIPACIÓN EN COMPETENCIAS EN LA LIGA DE AJEDREZ DE ANTIOQUIA, EN LA RAMA FEMENINA, EN CATEGORÍAS DE JUEGOS NACIONALES.</t>
  </si>
  <si>
    <t>PRESTACIÓN DE SERVICIOS DE UN ENTRENADOR DE INICIACIÓN Y DESARROLLO DEPORTIVO PARA LA CONSECUCIÓN DE NUEVOS TALENTOS PARA LA  LIGA DE AJEDREZ DE ANTIOQUIA, EN CATEGORÍAS DE JUEGOS NACIONALES.</t>
  </si>
  <si>
    <t>PRESTACIÓN DE SERVICIOS DE UN ENTRENADOR ASISTENTE PARA LA REALIZACIÓN DEL PROCESO DE SELECCIÓN, ENTRENAMIENTO DEPORTIVO Y PARTICIPACIÓN EN COMPETENCIAS EN LA LIGA DE AJEDREZ DE ANTIOQUIA, EN LA RAMA FEMENINA, EN CATEGORÍAS DE JUEGOS NACIONALES.</t>
  </si>
  <si>
    <t>PRESTACIÓN DE SERVICIOS DE UN ENTRENADOR ASISTENTE PARA LA REALIZACIÓN DEL PROCESO DE SELECCIÓN, ENTRENAMIENTO DEPORTIVO Y PARTICIPACIÓN EN COMPETENCIAS EN LA LIGA DE AJEDREZ DE ANTIOQUIA, EN LA RAMA MASCULINA, EN CATEGORÍAS DE JUEGOS NACIONALES.</t>
  </si>
  <si>
    <t>PRESTACIÓN DE SERVICIOS DE UN ENTRENADOR PRINCIPAL PARA LA REALIZACIÓN DEL PROCESO DE SELECCIÓN, ENTRENAMIENTO DEPORTIVO Y PARTICIPACIÓN EN COMPETENCIAS EN LA LIGA ANTIOQUEÑA DE FUTBOL DE SALÓN, EN LA RAMA FEMENINA, EN CATEGORÍAS DE JUEGOS NACIONALES.</t>
  </si>
  <si>
    <t>PRESTACIÓN DE SERVICIOS DE UN ENTRENADOR PRINCIPAL PARA LA REALIZACIÓN DEL PROCESO DE SELECCIÓN, ENTRENAMIENTO DEPORTIVO Y PARTICIPACIÓN EN COMPETENCIAS EN LA LIGA ANTIOQUEÑA DE FUTBOL DE SALÓN, EN LA RAMA MASCULINA, EN CATEGORÍAS DE JUEGOS NACIONALES.</t>
  </si>
  <si>
    <t>PRESTACIÓN DE SERVICIOS DE UN ENTRENADOR ASISTENTE PARA LA REALIZACIÓN DEL PROCESO DE SELECCIÓN, ENTRENAMIENTO DEPORTIVO Y PARTICIPACIÓN EN COMPETENCIAS EN LA LIGA ANTIOQUEÑA DE FUTBOL DE SALÓN, EN LA RAMA MASCULINA, EN CATEGORÍAS DE JUEGOS NACIONALES.</t>
  </si>
  <si>
    <t>PRESTACIÓN DE SERVICIOS DE UN ENTRENADOR ASISTENTE PARA LA REALIZACIÓN DEL PROCESO DE SELECCIÓN, ENTRENAMIENTO DEPORTIVO Y PARTICIPACIÓN EN COMPETENCIAS EN LA LIGA ANTIOQUEÑA DE FUTBOL DE SALÓN, EN LA RAMA FEMENINA, EN CATEGORÍAS DE JUEGOS NACIONALES.</t>
  </si>
  <si>
    <t>PRESTACIÓN DE SERVICIOS DE UN ENTRENADOR DE INICIACIÓN Y DESARROLLO DEPORTIVO PARA LA CONSECUCIÓN DE NUEVOS TALENTOS PARA LA LIGA ANTIOQUEÑA DE FÚTBOL DE SALÓN, EN CATEGORÍAS DE JUEGOS NACIONALES.</t>
  </si>
  <si>
    <t>PRESTACIÓN DE SERVICIOS DE UN ENTRENADOR DE DESARROLLO DEPORTIVO PARA LA CONSECUCIÓN DE NUEVOS TALENTOS PARA LA LIGA ANTIOQUEÑA DE FÚTBOL DE SALÓN, EN CATEGORÍAS DE JUNIORS Y JUVENILES.</t>
  </si>
  <si>
    <t>PRESTACIÓN DE SERVICIOS DE UN ENTRENADOR PRINCIPAL PARA LA REALIZACIÓN DEL PROCESO DE SELECCIÓN, ENTRENAMIENTO DEPORTIVO Y PARTICIPACIÓN EN COMPETENCIAS EN LA LIGA ANTIOQUEÑA DE TIRO DEPORTIVO, EN LA MODALIDAD RIFLE, EN CATEGORÍAS DE JUEGOS NACIONALES.</t>
  </si>
  <si>
    <t>PRESTACIÓN DE SERVICIOS DE UN ENTRENADOR PRINCIPAL PARA LA REALIZACIÓN DEL PROCESO DE SELECCIÓN, ENTRENAMIENTO DEPORTIVO Y PARTICIPACIÓN EN COMPETENCIAS EN LA LIGA ANTIOQUEÑA DE TIRO DEPORTIVO, EN LA MODALIDAD PISTOLA, EN CATEGORÍAS DE JUEGOS NACIONALES.</t>
  </si>
  <si>
    <t>PRESTACIÓN DE SERVICIOS DE UN ENTRENADOR PRINCIPAL PARA LA REALIZACIÓN DEL PROCESO DE SELECCIÓN, ENTRENAMIENTO DEPORTIVO Y PARTICIPACIÓN EN COMPETENCIAS EN LA LIGA DE SOFTBOL DE ANTIOQUIA, EN LA RAMA FEMENINA, EN DEPORTES Y CATEGORÍAS DE JUEGOS NACIONALES.</t>
  </si>
  <si>
    <t>PRESTACIÓN DE SERVICIOS DE UN ENTRENADOR ASISTENTE PARA LA REALIZACIÓN DEL PROCESO DE SELECCIÓN, ENTRENAMIENTO DEPORTIVO Y PARTICIPACIÓN EN COMPETENCIAS EN LA LIGA DE SOFTBOL DE ANTIOQUIA, EN LA RAMA FEMENINA, EN DEPORTES Y CATEGORÍAS DE JUEGOS NACIONALES.</t>
  </si>
  <si>
    <t>PRESTACIÓN DE SERVICIOS DE UN ENTRENADOR PRINCIPAL PARA LA REALIZACIÓN DEL PROCESO DE SELECCIÓN, ENTRENAMIENTO DEPORTIVO Y PARTICIPACIÓN EN COMPETENCIAS EN LA LIGA DE SOFTBOL DE ANTIOQUIA, EN LA RAMA MASCULINA EN CATEGORÍAS DE JUEGOS NACIONALES.</t>
  </si>
  <si>
    <t>PRESTACIÓN DE SERVICIOS DE UN ENTRENADOR ASISTENTE PARA LA REALIZACIÓN DEL PROCESO DE SELECCIÓN, ENTRENAMIENTO DEPORTIVO Y PARTICIPACIÓN EN COMPETENCIAS EN LA LIGA DE SOFTBOL DE ANTIOQUIA, RAMA MASCULINA, EN DEPORTES Y CATEGORÍAS DE JUEGOS NACIONALES.</t>
  </si>
  <si>
    <t>PRESTACIÓN DE SERVICIOS DE UN ENTRENADOR DE INICIACIÓN Y DESARROLLO DEPORTIVO EN LA SUBREGIÓN DE URABÁ PARA LA CONSECUCIÓN DE NUEVOS TALENTOS PARA LA LIGA DE SÓFTBOL DE ANTIOQUIA, EN CATEGORÍAS DE JUEGOS NACIONALES.</t>
  </si>
  <si>
    <t>PRESTACIÓN DE SERVICIOS DE UN ENTRENADOR PARA LA REALIZACIÓN DEL PROCESO DE PREPARACIÓN FÍSICA Y CONDICIONAL EN LOS DEPORTES DE BOLO, BÉISBOL, SQUASH Y RUGBY O EN LAS MODALIDADES Y CATEGORÍAS DE JUEGOS NACIONALES.</t>
  </si>
  <si>
    <t>PRESTACIÓN DE SERVICIOS DE UN ENTRENADOR DE INICIACIÓN Y DESARROLLO EN LOS MUNICIPIOS DEL ÁREA METROPOLITANA PARA LA REALIZACIÓN DEL PROCESO DE SELECCIÓN, ENTRENAMIENTO DEPORTIVO Y PARTICIPACIÓN EN COMPETENCIAS DE LA LIGA DE BILLAR DE ANTIOQUIA.</t>
  </si>
  <si>
    <t>PRESTACIÓN DE SERVICIOS DE UN ENTRENADOR PRINCIPAL PARA LA REALIZACIÓN DEL PROCESO DE SELECCIÓN, ENTRENAMIENTO DEPORTIVO Y PARTICIPACIÓN EN COMPETENCIAS DE LOS ATLETAS DE PARA-NATACIÓN CARRERAS CON DISCAPACIDAD FÍSICA,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</si>
  <si>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NATACIÓN CARRERAS CON DISCAPACIDAD AUDITIVA,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</si>
  <si>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NATACIÓN CARRERAS, EN CATEGORÍAS DE JUEGOS PARANACIONALES.</t>
  </si>
  <si>
    <t>PRESTACIÓN DE SERVICIOS DE UN ENTRENADOR ASISTENTE PARA LA REALIZACIÓN DEL PROCESO DE SELECCIÓN, ENTRENAMIENTO DEPORTIVO Y PARTICIPACIÓN EN COMPETENCIAS, EN LA MODALIDAD DE PARA NATACIÓN EN LAS DIFERENTES DISCAPACIDADES EN LA SUBREGIÓN DE URABÁ EN CATEGORÍAS DE JUEGOS PARANACIONALES.</t>
  </si>
  <si>
    <t>PRESTACIÓN DE SERVICIOS DE UN ENTRENADOR PRINCIPAL PARA LA REALIZACIÓN DEL PROCESO DE SELECCIÓN, ENTRENAMIENTO DEPORTIVO Y PARTICIPACIÓN EN COMPETENCIAS DE LOS ATLETAS DE PARA-NATACIÓN CARRERAS CON DISCAPACIDAD VISUAL,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</si>
  <si>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FÚTBOL SALA,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</si>
  <si>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JUDO, EN CATEGORÍAS DE JUEGOS PARANACIONALES.</t>
  </si>
  <si>
    <t>PRESTACIÓN DE SERVICIOS DE UN ENTRENADOR ASISTENTE PARA LA REALIZACIÓN DEL PROCESO DE SELECCIÓN, ENTRENAMIENTO DEPORTIVO Y PARTICIPACIÓN EN COMPETENCIAS EN LA LIGA DE DEPORTISTAS CON DISCAPACIDAD VISUAL DE ANTIOQUIA -DIVISA, EN LA MODALIDAD PARA JUDO, EN CATEGORÍAS DE JUEGOS PARANACIONALES.</t>
  </si>
  <si>
    <t>PRESTACIÓN DE SERVICIOS DE UN INTÉRPRETE EN LENGUA DE SEÑAS PARA APOYAR A LOS PARA ATLETAS DE LA LIGA DEPORTIVA DE PERSONAS SORDAS DE ANTIOQUIA LISANT, EN LOS ENTRENAMIENTOS, LAS COMPETENCIAS Y ACOMPAÑAMIENTO EN EVENTOS PROPIOS DE LOS ATLETAS.</t>
  </si>
  <si>
    <t>PRESTACIÓN DE SERVICIOS DE UN ENTRENADOR PRINCIPAL PARA LA REALIZACIÓN DEL PROCESO DE SELECCIÓN, ENTRENAMIENTO DEPORTIVO Y PARTICIPACIÓN EN COMPETENCIAS DE LOS ATLETAS DE PARA-POWERLIFTING CON DISCAPACIDAD FÍSICA, EN CATEGORÍAS DE JUEGOS PARANACIONALES.</t>
  </si>
  <si>
    <t>PRESTACIÓN DE SERVICIOS DE UN ENTRENADOR PRINCIPAL PARA LA REALIZACIÓN DEL PROCESO DE SELECCIÓN, ENTRENAMIENTO DEPORTIVO Y PARTICIPACIÓN EN COMPETENCIAS EN LA LIGA DE TENIS DE MESA DE ANTIOQUIA, EN LA MODALIDAD PARA TENIS DE MESA DISCAPACIDAD FÍSICA,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</si>
  <si>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ATLETISMO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</si>
  <si>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SALA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</si>
  <si>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SALA RAMA FEMENINA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</si>
  <si>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TENIS DE MESA CON DISCAPACIDAD AUDITIVA, EN CATEGORÍAS DE JUEGOS PARANACIONALES.</t>
  </si>
  <si>
    <t>PRESTACIÓN DE SERVICIOS DE UN ENTRENADOR ASISTENTE PARA LA REALIZACIÓN DEL PROCESO DE SELECCIÓN, ENTRENAMIENTO DEPORTIVO Y PARTICIPACIÓN EN COMPETENCIAS, EN LA MODALIDAD DE PARA ATLETISMO EN LAS DIFERENTES DISCAPACIDADES EN LA SUBREGIÓN DE URABÁ EN CATEGORÍAS DE JUEGOS PARANACIONALES.</t>
  </si>
  <si>
    <t>PRESTACIÓN DE SERVICIOS DE UN ENTRENADOR PRINCIPAL PARA LA REALIZACIÓN DEL PROCESO DE SELECCIÓN, ENTRENAMIENTO DEPORTIVO Y PARTICIPACIÓN EN COMPETENCIAS EN LA LIGA DEPORTIVA DE PERSONAS SORDAS DE ANTIOQUIA, EN LA MODALIDAD PARA FÚTBOL   RAMA MASCULINA CON DISCAPACIDAD AUDITIVA, EN CATEGORÍAS DE JUEGOS PARANACIONALES.</t>
  </si>
  <si>
    <t>PRESTACIÓN DE SERVICIOS DE UN ENTRENADOR PRINCIPAL PARA LA REALIZACIÓN DEL PROCESO DE SELECCIÓN, ENTRENAMIENTO DEPORTIVO Y PARTICIPACIÓN EN COMPETENCIAS EN LA LIGA DEPORTIVA DE PERSONAS SORDAS DE ANTIOQUIA, EN LA MODALIDAD PARA BALONCESTO CON DISCAPACIDAD AUDITIVA, EN CATEGORÍAS DE JUEGOS PARANACIONALES.</t>
  </si>
  <si>
    <t>PRESTACIÓN DE SERVICIOS DE UN ENTRENADOR PRINCIPAL PARA LA REALIZACIÓN DEL PROCESO DE SELECCIÓN, ENTRENAMIENTO DEPORTIVO Y PARTICIPACIÓN EN COMPETENCIAS EN LA LIGA ANTIOQUEÑA DE PARAATLETISMO DE LOS DEPORTISTAS CON PARÁLISIS CEREBRAL EN LAS PRUEBAS DE PISTA, CON LOS DEPORTISTAS CON DISCAPACIDAD VISUAL Y FÍSICA EN LAS PRUEBAS DE FONDO, EN CATEGORÍAS DE JUEGOS PARANACIONALES.</t>
  </si>
  <si>
    <t>PRESTACIÓN DE SERVICIOS DE UN ENTRENADOR PRINCIPAL PARA LA REALIZACIÓN DEL PROCESO DE SELECCIÓN, ENTRENAMIENTO DEPORTIVO Y PARTICIPACIÓN EN COMPETENCIAS EN LA LIGA ANTIOQUEÑA DE BOCCIA LABC, EN LAS CATEGORÍAS DE JUEGOS PARANACIONALES.</t>
  </si>
  <si>
    <t>PRESTACIÓN DE SERVICIOS DE UN ENTRENADOR PRINCIPAL PARA LA REALIZACIÓN DEL PROCESO DE SELECCIÓN, ENTRENAMIENTO DEPORTIVO Y PARTICIPACIÓN EN COMPETENCIAS DE LOS ATLETAS DE PARA- FÚTBOL 7 CON PARÁLISIS CEREBRAL,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</si>
  <si>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CYCLING,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</si>
  <si>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ATLETISMO, EN CATEGORÍAS DE JUEGOS PARANACIONALES.</t>
  </si>
  <si>
    <t>PRESTACIÓN DE SERVICIOS DE UN ENTRENADOR PRINCIPAL PARA LA REALIZACIÓN DEL PROCESO DE SELECCIÓN, ENTRENAMIENTO DEPORTIVO Y PARTICIPACIÓN EN COMPETENCIAS EN LA LIGA DE LIMITACIÓN MENTAL DE ANTIOQUIA - LIDIMANT, EN LA MODALIDAD PARA BALONCESTO, EN CATEGORÍAS DE JUEGOS PARANACIONALES.</t>
  </si>
  <si>
    <t>PRESTACIÓN DE SERVICIOS DE UN ENTRENADOR PRINCIPAL PARA LA REALIZACIÓN DEL PROCESO DE SELECCIÓN, ENTRENAMIENTO DEPORTIVO Y PARTICIPACIÓN EN COMPETENCIAS DE LOS ATLETAS DE TIRO PARADEPORTIVO CON DISCAPACIDAD FÍSICA, EN CATEGORÍAS DE JUEGOS PARANACIONALES.</t>
  </si>
  <si>
    <t>PRESTACIÓN DE SERVICIOS DE UN ENTRENADOR PRINCIPAL PARA LA REALIZACIÓN DEL PROCESO DE SELECCIÓN, ENTRENAMIENTO DEPORTIVO Y PARTICIPACIÓN EN COMPETENCIAS EN LA LIGA ANTIOQUEÑA DE PARAATLETISMO DE LOS ATLETAS CON DISCAPACIDAD FÍSICA Y PARÁLISIS CEREBRAL EN LA MODALIDAD DE LANZAMIENTOS, EN CATEGORÍAS DE JUEGOS PARANACIONALES.</t>
  </si>
  <si>
    <t>PRESTACIÓN DE SERVICIOS DE UN ENTRENADOR PRINCIPAL PARA LA REALIZACIÓN DEL PROCESO DE SELECCIÓN, ENTRENAMIENTO DEPORTIVO Y PARTICIPACIÓN EN COMPETENCIAS EN LA LIGA ANTIOQUEÑA DE PARAATLETISMO DE LOS ATLETAS CON DISCAPACIDAD VISUAL EN LAS PRUEBAS DE PISTA Y CAMPO Y LOS ATLETAS CON DISCAPACIDAD FÍSICA EN LAS PRUEBAS DE PISTA,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</si>
  <si>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AJEDREZ,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</si>
  <si>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BOWLING, EN CATEGORÍAS DE JUEGOS PARANACIONALES.</t>
  </si>
  <si>
    <t>PRESTACIÓN DE SERVICIOS DE UN ENTRENADOR PRINCIPAL PARA LA REALIZACIÓN DEL PROCESO DE SELECCIÓN, ENTRENAMIENTO DEPORTIVO Y PARTICIPACIÓN EN COMPETENCIAS DE LOS ATLETAS DE RUGBY EN SILLA DE RUEDAS CON DISCAPACIDAD FÍSICA, EN CATEGORÍAS DE JUEGOS PARANACIONALES.</t>
  </si>
  <si>
    <t>PRESTACIÓN DE SERVICIOS DE UN ENTRENADOR PRINCIPAL PARA LA REALIZACIÓN DEL PROCESO DE SELECCIÓN, ENTRENAMIENTO DEPORTIVO Y PARTICIPACIÓN EN COMPETENCIAS DE LOS ATLETAS DE BALONCESTO EN SILLA DE RUEDAS CON DISCAPACIDAD FÍSICA,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</si>
  <si>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PARA FÚTBOL 5, EN CATEGORÍAS DE JUEGOS PARANACIONALES.</t>
  </si>
  <si>
    <t>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t>
  </si>
  <si>
    <t>PRESTACIÓN DE SERVICIOS DE UN ENTRENADOR PRINCIPAL PARA LA REALIZACIÓN DEL PROCESO DE SELECCIÓN, ENTRENAMIENTO DEPORTIVO Y PARTICIPACIÓN EN COMPETENCIAS DE LOS ATLETAS DE TENIS EN SILLA DE RUEDAS CON DISCAPACIDAD FÍSICA, EN CATEGORÍAS DE JUEGOS PARANACIONALES.</t>
  </si>
  <si>
    <t>PRESTACIÓN DE SERVICIOS DE UN ENTRENADOR PARA LA REALIZACIÓN DEL PROCESO DE PREPARACIÓN FÍSICA Y CONDICIONAL EN LOS DEPORTES DE PARA FÚTBOL SALA, PARA BALONCESTO Y RUGBY EN SILLA DE RUEDAS EN LAS MODALIDADES Y CATEGORÍAS DE JUEGOS PARANACIONALES.</t>
  </si>
  <si>
    <t>PRESTACIÓN DE SERVICIOS DE UN ENTRENADOR PARA LA REALIZACIÓN DEL PROCESO DE PREPARACIÓN FÍSICA Y CONDICIONAL EN LOS DEPORTES DE PARA POWERLIFTING, TIRO PARADEPORTIVO Y PARATENIS DE MESA EN LAS MODALIDADES Y CATEGORÍAS DE JUEGOS PARANACIONALES.</t>
  </si>
  <si>
    <t>PRESTACIÓN DE SERVICIOS DE UN ENTRENADOR PARA LA REALIZACIÓN DEL PROCESO DE PREPARACIÓN FÍSICA Y CONDICIONAL EN EL DEPORTE DE PARA ATLETISMO EN LAS MODALIDADES Y CATEGORÍAS DE JUEGOS PARANACIONALES.</t>
  </si>
  <si>
    <t>PRESTACIÓN DE SERVICIOS DE UN ENTRENADOR PARA LA REALIZACIÓN DEL PROCESO DE PREPARACIÓN FÍSICA Y CONDICIONAL EN LOS DEPORTES DE PARA NATACIÓN Y PARA AJEDREZ EN LAS MODALIDADES Y CATEGORÍAS DE JUEGOS PARANACIONALES.</t>
  </si>
  <si>
    <t>PRESTACIÓN DE SERVICIOS DE UN ENTRENADOR PRINCIPAL PARA LA REALIZACIÓN DEL PROCESO DE DESARROLLO, SELECCIÓN, ENTRENAMIENTO DEPORTIVO Y PARTICIPACIÓN EN COMPETENCIAS DE ESQUÍ NÁUTICO, EN MODALIDADES Y CATEGORÍAS DE JUEGOS NACIONALES.</t>
  </si>
  <si>
    <t>PRESTACIÓN DE SERVICIOS DE UN ENTRENADOR PRINCIPAL PARA LA REALIZACIÓN DEL PROCESO DE DESARROLLO, SELECCIÓN, ENTRENAMIENTO DEPORTIVO Y PARTICIPACIÓN EN COMPETENCIAS EN LA LIGA DE CANOTAJE DE ANTIOQUIA, EN LA MODALIDAD CANOA, EN CATEGORÍAS DE JUEGOS NACIONALES.</t>
  </si>
  <si>
    <t>PRESTACIÓN DE SERVICIOS DE UN ENTRENADOR PRINCIPAL PARA LA REALIZACIÓN DEL PROCESO DE DESARROLLO, SELECCIÓN, ENTRENAMIENTO DEPORTIVO Y PARTICIPACIÓN EN COMPETENCIAS EN LA LIGA DE CANOTAJE DE ANTIOQUIA, EN LA MODALIDAD KAYAK, EN CATEGORÍAS DE JUEGOS NACIONALES.</t>
  </si>
  <si>
    <t>PRESTACIÓN DE SERVICIOS DE UN ENTRENADOR DE INICIACIÓN Y DESARROLLO DEPORTIVO PARA LA CONSECUCIÓN DE NUEVOS TALENTOS PARA LA LIGA DE CANOTAJE DE ANTIOQUIA, EN CATEGORÍAS DE JUEGOS NACIONALES.</t>
  </si>
  <si>
    <t>PRESTACIÓN DE SERVICIOS DE UN ENTRENADOR PARA EL DESARROLLO DEPORTIVO DE LOS ATLETAS DE LA LIGA DE CANOTAJE DE ANTIOQUIA DEL CENTRO DE DESARROLLO DEPORTIVO EN LA SUBREGIÓN DE URABÁ.</t>
  </si>
  <si>
    <t>PRESTACIÓN DE SERVICIOS DE UN ENTRENADOR ASISTENTE PARA LA REALIZACIÓN DEL PROCESO DE DESARROLLO, SELECCIÓN, ENTRENAMIENTO DEPORTIVO Y PARTICIPACIÓN EN COMPETENCIAS EN LA LIGA ANTIOQUEÑA DE LEVANTAMIENTO DE PESAS, RAMA MASCULINA, EN LAS MODALIDADES Y CATEGORÍAS DE JUEGOS NACIONALES.</t>
  </si>
  <si>
    <t xml:space="preserve">PRESTACIÓN DE SERVICIOS DE UN ENTRENADOR PRINCIPAL PARA LA REALIZACIÓN DEL PROCESO DE SELECCIÓN, ENTRENAMIENTO DEPORTIVO Y PARTICIPACIÓN EN COMPETENCIAS EN LA LIGA ANTIOQUEÑA DE LEVANTAMIENTO DE PESAS, RAMA MASCULINA, EN LAS MODALIDADES Y CATEGORÍAS DE JUEGOS NACIONALES. </t>
  </si>
  <si>
    <t>PRESTACIÓN DE SERVICIOS DE UN ENTRENADOR ASISTENTE PARA LA REALIZACIÓN DEL PROCESO DE DESARROLLO, SELECCIÓN, ENTRENAMIENTO DEPORTIVO Y PARTICIPACIÓN EN COMPETENCIAS EN LA LIGA ANTIOQUEÑA DE LEVANTAMIENTO DE PESAS, RAMA FEMENINA, EN LAS MODALIDADES Y CATEGORÍAS DE JUEGOS NACIONALES.</t>
  </si>
  <si>
    <t>PRESTACIÓN DE SERVICIOS DE UN ENTRENADOR PRINCIPAL PARA LA REALIZACIÓN DEL PROCESO DE SELECCIÓN, ENTRENAMIENTO DEPORTIVO Y PARTICIPACIÓN EN COMPETENCIAS EN LA LIGA ANTIOQUEÑA DE LEVANTAMIENTO DE PESAS, EN LA RAMA FEMENINA, EN DEPORTES Y CATEGORÍAS DE JUEGOS NACIONALES.</t>
  </si>
  <si>
    <t>PRESTACIÓN DE SERVICIOS DE UN ENTRENADOR PRINCIPAL PARA EL DESARROLLO DEPORTIVO DE LOS ATLETAS DE LA LIGA ANTIOQUEÑA DE LEVANTAMIENTO DE PESAS DEL CENTRO DE DESARROLLO DEPORTIVO EN LA SUBREGIÓN DE URABÁ.</t>
  </si>
  <si>
    <t>PRESTACIÓN DE SERVICIOS DE UN ENTRENADOR ASISTENTE PARA EL DESARROLLO DEPORTIVO DE LOS ATLETAS DE LA LIGA ANTIOQUEÑA DE LEVANTAMIENTO DE PESAS DEL CENTRO DE DESARROLLO DEPORTIVO EN LA SUBREGIÓN DE URABÁ.</t>
  </si>
  <si>
    <t>PRESTACIÓN DE SERVICIOS DE UN ENTRENADOR PRINCIPAL PARA LA REALIZACIÓN DEL PROCESO DE DESARROLLO, SELECCIÓN, ENTRENAMIENTO DEPORTIVO Y PARTICIPACIÓN EN COMPETENCIAS EN LA LIGA DE CICLISMO DE ANTIOQUIA, EN LA MODALIDAD PISTA, FONDO Y SEMIFONDO, EN CATEGORÍAS DE JUEGOS NACIONALES.</t>
  </si>
  <si>
    <t>PRESTACIÓN DE SERVICIOS DE UN ENTRENADOR ASISTENTE PARA LA REALIZACIÓN DEL PROCESO DE DESARROLLO, SELECCIÓN, ENTRENAMIENTO DEPORTIVO Y PARTICIPACIÓN EN COMPETENCIAS EN LA LIGA DE CICLISMO DE ANTIOQUIA, EN LA MODALIDAD BMX Y CATEGORÍAS DE JUEGOS NACIONALES.</t>
  </si>
  <si>
    <t>PRESTACIÓN DE SERVICIOS DE UN ENTRENADOR PRINCIPAL PARA LA REALIZACIÓN DEL PROCESO DE DESARROLLO, SELECCIÓN, ENTRENAMIENTO DEPORTIVO Y PARTICIPACIÓN EN COMPETENCIAS EN LA LIGA DE CICLISMO DE ANTIOQUIA, EN LA MODALIDAD MTB, EN CATEGORÍAS DE JUEGOS NACIONALES.</t>
  </si>
  <si>
    <t>PRESTACIÓN DE SERVICIOS DE UN ENTRENADOR PRINCIPAL PARA LA REALIZACIÓN DEL PROCESO DE DESARROLLO, SELECCIÓN, ENTRENAMIENTO DEPORTIVO Y PARTICIPACIÓN EN COMPETENCIAS EN LA LIGA DE CICLISMO DE ANTIOQUIA, EN LA MODALIDAD PISTA VELOCIDAD, EN CATEGORÍAS DE JUEGOS NACIONALES.</t>
  </si>
  <si>
    <t>PRESTACIÓN DE SERVICIOS DE UN ENTRENADOR PRINCIPAL PARA LA REALIZACIÓN DEL PROCESO DE DESARROLLO, SELECCIÓN, ENTRENAMIENTO DEPORTIVO Y PARTICIPACIÓN EN COMPETENCIAS EN LA LIGA DE CICLISMO DE ANTIOQUIA, EN LA MODALIDAD BMX, EN CATEGORÍAS DE JUEGOS NACIONALES.</t>
  </si>
  <si>
    <t xml:space="preserve">PRESTACIÓN DE SERVICIOS DE UN ENTRENADOR PRINCIPAL PARA EL DESARROLLO DEPORTIVO DE LOS ATLETAS DE LA LIGA DE CICLISMO DE ANTIOQUIA EN LA MODALIDAD DE PISTA Y RUTA DEL CENTRO DE DESARROLLO. </t>
  </si>
  <si>
    <t xml:space="preserve">PRESTACIÓN DE SERVICIOS DE UN ENTRENADOR ASISTENTE PARA EL DESARROLLO DEPORTIVO DE LOS ATLETAS DE LA LIGA DE CICLISMO DE ANTIOQUIA EN LA MODALIDAD DE PISTA Y RUTA DEL CENTRO DE DESARROLLO. </t>
  </si>
  <si>
    <t>PRESTACIÓN DE SERVICIOS DE UN ENTRENADOR PARA EL DESARROLLO DEPORTIVO DE LOS ATLETAS DE LA LIGA DE CICLISMO DE ANTIOQUIA EN LA MODALIDAD BMX DEL CENTRO DE DESARROLLO.</t>
  </si>
  <si>
    <t xml:space="preserve">PRESTACIÓN DE SERVICIOS DE UN ENTRENADOR PARA EL DESARROLLO DEPORTIVO DE LOS ATLETAS DE LA LIGA DE CICLISMO DE ANTIOQUIA EN LA MODALIDAD DE PISTA Y RUTA DEL CENTRO DE DESARROLLO. </t>
  </si>
  <si>
    <t xml:space="preserve">PRESTACIÓN DE SERVICIOS DE UN ENTRENADOR PARA EL DESARROLLO DEPORTIVO DE LOS ATLETAS DE LA LIGA DE CICLISMO DE ANTIOQUIA EN LA MODALIDAD DE PISTA DEL CENTRO DE DESARROLLO. </t>
  </si>
  <si>
    <t>PRESTACIÓN DE SERVICIOS DE UN ENTRENADOR PRINCIPAL PARA LA REALIZACIÓN DEL PROCESO DE DESARROLLO, SELECCIÓN, ENTRENAMIENTO DEPORTIVO Y PARTICIPACIÓN EN COMPETENCIAS EN LA LIGA ANTIOQUEÑA DE TRIATLÓN, EN LA MODALIDADES Y CATEGORÍAS DE JUEGOS NACIONALES.</t>
  </si>
  <si>
    <t>PRESTACIÓN DE SERVICIOS DE UN ENTRENADOR ASISTENTE PARA LA REALIZACIÓN DEL PROCESO DE DESARROLLO, SELECCIÓN, ENTRENAMIENTO DEPORTIVO Y PARTICIPACIÓN EN COMPETENCIAS EN LA LIGA ANTIOQUEÑA DE TRIATLÓN, EN LAS MODALIDADES Y CATEGORÍAS DE JUEGOS NACIONALES.</t>
  </si>
  <si>
    <t>PRESTACIÓN DE SERVICIOS DE UN ENTRENADOR PRINCIPAL PARA LA REALIZACIÓN DEL PROCESO DE DESARROLLO, SELECCIÓN, ENTRENAMIENTO DEPORTIVO Y PARTICIPACIÓN EN COMPETENCIAS DE LA LIGA ANTIOQUEÑA DE ACTIVIDADES SUBACUÁTICAS, EN CATEGORÍAS DE JUEGOS NACIONALES.</t>
  </si>
  <si>
    <t>PRESTACIÓN DE SERVICIOS DE UN ENTRENADOR DE INICIACIÓN Y DESARROLLO DEPORTIVO PARA LA REALIZACIÓN DE ENTRENAMIENTO Y PARTICIPACIÓN EN COMPETENCIAS DE LA LIGA DE REMO DE ANTIOQUIA.</t>
  </si>
  <si>
    <t>PRESTACIÓN DE SERVICIOS DE UN ENTRENADOR ASISTENTE PARA LA REALIZACIÓN DEL PROCESO DE DESARROLLO, SELECCIÓN, ENTRENAMIENTO DEPORTIVO Y PARTICIPACIÓN EN COMPETENCIAS EN LA LIGA DE NATACIÓN DE ANTIOQUIA, EN LA MODALIDAD ARTÍSTICA, EN CATEGORÍAS DE JUEGOS NACIONALES.</t>
  </si>
  <si>
    <t>PRESTACIÓN DE SERVICIOS DE UN ENTRENADOR ASISTENTE PARA LA REALIZACIÓN DEL PROCESO DE DESARROLLO, SELECCIÓN, ENTRENAMIENTO DEPORTIVO Y PARTICIPACIÓN EN COMPETENCIAS EN LA LIGA DE NATACIÓN DE ANTIOQUIA, EN LA MODALIDAD CARRERAS, EN CATEGORÍAS DE JUEGOS NACIONALES.</t>
  </si>
  <si>
    <t>PRESTACIÓN DE SERVICIOS DE UN ENTRENADOR PRINCIPAL PARA LA REALIZACIÓN DEL PROCESO DE DESARROLLO, SELECCIÓN, ENTRENAMIENTO DEPORTIVO Y PARTICIPACIÓN EN COMPETENCIAS EN LA LIGA DE NATACIÓN DE ANTIOQUIA, EN LA MODALIDAD DE NATACIÓN ARTÍSTICA, EN CATEGORÍAS DE JUEGOS NACIONALES</t>
  </si>
  <si>
    <t>PRESTACIÓN DE SERVICIOS DE UN ENTRENADOR ASISTENTE PARA LA REALIZACIÓN DEL PROCESO DE DESARROLLO, SELECCIÓN, ENTRENAMIENTO DEPORTIVO Y PARTICIPACIÓN EN COMPETENCIAS EN LA LIGA DE NATACIÓN DE ANTIOQUIA, EN LA MODALIDAD CLAVADOS, EN CATEGORÍAS DE JUEGOS NACIONALES.</t>
  </si>
  <si>
    <t>PRESTACIÓN DE SERVICIOS DE UN ENTRENADOR ASISTENTE PARA LA REALIZACIÓN DEL PROCESO DE DESARROLLO, SELECCIÓN, ENTRENAMIENTO DEPORTIVO Y PARTICIPACIÓN EN COMPETENCIAS EN LA LIGA DE NATACIÓN DE ANTIOQUIA, EN LA MODALIDAD POLO ACUÁTICO, EN CATEGORÍAS DE JUEGOS NACIONALES.</t>
  </si>
  <si>
    <t>PRESTACIÓN DE SERVICIOS DE UN ENTRENADOR ASISTENTE PARA LA REALIZACIÓN DEL PROCESO DE DESARROLLO, SELECCIÓN Y RECLUTAMIENTO DE ATLETAS, ENTRENAMIENTO DEPORTIVO Y PARTICIPACIÓN EN COMPETENCIAS EN LA LIGA DE NATACIÓN DE ANTIOQUIA, EN LA MODALIDAD POLO ACUÁTICO, EN CATEGORÍAS DE JUEGOS NACIONALES.</t>
  </si>
  <si>
    <t>PRESTACIÓN DE SERVICIOS DE UN ENTRENADOR PRINCIPAL PARA LA REALIZACIÓN DEL PROCESO DE DESARROLLO, SELECCIÓN, ENTRENAMIENTO DEPORTIVO Y PARTICIPACIÓN EN COMPETENCIAS EN LA LIGA DE NATACIÓN DE ANTIOQUIA, EN LA MODALIDAD NATACIÓN CARRERAS SEMIFONDO, EN CATEGORÍAS DE JUEGOS NACIONALES</t>
  </si>
  <si>
    <t>PRESTACIÓN DE SERVICIOS DE UN ENTRENADOR PRINCIPAL PARA LA REALIZACIÓN DEL PROCESO DE DESARROLLO, SELECCIÓN, ENTRENAMIENTO DEPORTIVO Y PARTICIPACIÓN EN COMPETENCIAS EN LA LIGA DE NATACIÓN DE ANTIOQUIA, EN LA MODALIDAD NATACIÓN CARRERAS FONDO, EN CATEGORÍAS DE JUEGOS NACIONALES.</t>
  </si>
  <si>
    <t>PRESTACIÓN DE SERVICIOS DE UN ENTRENADOR PRINCIPAL PARA LA REALIZACIÓN DEL PROCESO DE DESARROLLO, SELECCIÓN, ENTRENAMIENTO DEPORTIVO Y PARTICIPACIÓN EN COMPETENCIAS EN LA LIGA DE NATACIÓN DE ANTIOQUIA, EN LA MODALIDAD DE NATACIÓN CLAVADOS, EN CATEGORÍAS DE JUEGOS NACIONALES</t>
  </si>
  <si>
    <t>PRESTACIÓN DE SERVICIOS DE UN ENTRENADOR PARA LA REALIZACIÓN DEL PROCESO DE PREPARACIÓN FÍSICA Y CONDICIONAL EN EL DEPORTE DE NATACIÓN CLAVADOS EN LAS MODALIDADES Y CATEGORÍAS DE JUEGOS NACIONALES.</t>
  </si>
  <si>
    <t>PRESTACIÓN DE SERVICIOS DE UN ENTRENADOR PARA LA REALIZACIÓN DEL PROCESO DE PREPARACIÓN FÍSICA Y CONDICIONAL EN EL DEPORTE DE NATACIÓN, MODALIDADES CARRERAS Y POLO ACUÁTICO EN CATEGORÍAS DE JUEGOS NACIONALES.</t>
  </si>
  <si>
    <t>PRESTACIÓN DE SERVICIOS DE UN ENTRENADOR PARA LA REALIZACIÓN DEL PROCESO DE PREPARACIÓN FÍSICA Y CONDICIONAL EN EL DEPORTE DE NATACIÓN MODALIDAD ARTÍSTICA EN CATEGORÍAS DE JUEGOS NACIONALES.</t>
  </si>
  <si>
    <t>PRESTACIÓN DE SERVICIOS DE UN ENTRENADOR DE INICIACIÓN Y DESARROLLO DEPORTIVO PARA LA REALIZACIÓN DE ENTRENAMIENTO Y PARTICIPACIÓN EN COMPETENCIAS DE LA LIGA DE VELA DE ANTIOQUIA EN LA MODALIDAD BARCOS</t>
  </si>
  <si>
    <t>PRESTACIÓN DE SERVICIOS DE UN ENTRENADOR DE INICIACIÓN Y DESARROLLO DEPORTIVO PARA LA REALIZACIÓN DE ENTRENAMIENTO Y PARTICIPACIÓN EN COMPETENCIAS DE LA LIGA DE VELA DE ANTIOQUIA EN LA MODALIDAD DE TABLAS Y COMETA</t>
  </si>
  <si>
    <t>PRESTACIÓN DE SERVICIOS DE UN ENTRENADOR PARA LA REALIZACIÓN DEL PROCESO DE PLANIFICACIÓN Y PREPARACIÓN FÍSICA Y CONDICIONAL EN LOS DEPORTES DE CICLISMO, LEVANTAMIENTO DE PESAS Y ACTIVIDADES SUBACUÁTICAS EN LAS MODALIDADES Y CATEGORÍAS DE JUEGOS NACIONALES.</t>
  </si>
  <si>
    <t>PRESTACIÓN DE SERVICIOS DE UN ENTRENADOR PARA LA REALIZACIÓN DEL PROCESO DE PLANIFICACIÓN Y PREPARACIÓN FÍSICA Y CONDICIONAL EN LOS DEPORTES DE CANOTAJE Y TRIATLÓN EN LAS MODALIDADES Y CATEGORÍAS DE JUEGOS NACIONALES.</t>
  </si>
  <si>
    <t>PRESTACIÓN DE SERVICIOS DE UN ENTRENADOR PRINCIPAL PARA LA REALIZACIÓN DEL PROCESO DE SELECCIÓN, ENTRENAMIENTO DEPORTIVO Y PARTICIPACIÓN EN COMPETENCIAS EN LA LIGA ANTIOQUEÑA DE ESGRIMA, EN LA MODALIDAD ESPADA, EN CATEGORÍAS DE JUEGOS NACIONALES.</t>
  </si>
  <si>
    <t>PRESTACIÓN DE SERVICIOS DE UN ENTRENADOR PRINCIPAL PARA LA REALIZACIÓN DEL PROCESO DE SELECCIÓN, ENTRENAMIENTO DEPORTIVO Y PARTICIPACIÓN EN COMPETENCIAS EN LA LIGA ANTIOQUEÑA DE ESGRIMA, EN LA MODALIDAD SABLE, EN CATEGORÍAS DE JUEGOS NACIONALES.</t>
  </si>
  <si>
    <t>PRESTACIÓN DE SERVICIOS DE UN ENTRENADOR DE INICIACIÓN Y DESARROLLO DEPORTIVO PARA LA CONSECUCIÓN DE NUEVOS TALENTOS PARA LA LIGA ANTIOQUEÑA DE ESGRIMA, EN CATEGORÍAS MENORES DE JUEGOS NACIONALES.</t>
  </si>
  <si>
    <t>PRESTACIÓN DE SERVICIOS DE UN ENTRENADOR ASISTENTE PARA LA REALIZACIÓN DEL PROCESO DE SELECCIÓN, ENTRENAMIENTO DEPORTIVO Y PARTICIPACIÓN EN COMPETENCIAS EN LA LIGA ANTIOQUEÑA DE LUCHA EN LA MODALIDAD LIBRE, EN CATEGORÍAS DE JUEGOS NACIONALES.</t>
  </si>
  <si>
    <t>PRESTACIÓN DE SERVICIOS DE UN ENTRENADOR PRINCIPAL PARA LA REALIZACIÓN DEL PROCESO DE SELECCIÓN, ENTRENAMIENTO DEPORTIVO Y PARTICIPACIÓN EN COMPETENCIAS EN LA LIGA ANTIOQUEÑA DE LUCHA EN LA MODALIDAD GRECO, EN CATEGORÍAS DE JUEGOS NACIONALES.</t>
  </si>
  <si>
    <t>PRESTACIÓN DE SERVICIOS DE UN ENTRENADOR ASISTENTE PARA LA REALIZACIÓN DEL PROCESO DE SELECCIÓN, ENTRENAMIENTO DEPORTIVO Y PARTICIPACIÓN EN COMPETENCIAS EN LA LIGA ANTIOQUEÑA DE LUCHA EN LAS MODALIDADES LIBRE Y GRECO, EN CATEGORÍAS DE JUEGOS NACIONALES.</t>
  </si>
  <si>
    <t>PRESTACIÓN DE SERVICIOS DE UN ENTRENADOR PRINCIPAL PARA LA REALIZACIÓN DEL PROCESO DE SELECCIÓN, ENTRENAMIENTO DEPORTIVO Y PARTICIPACIÓN EN COMPETENCIAS EN LA LIGA ANTIOQUEÑA DE LUCHA EN LA MODALIDAD LIBRE, EN CATEGORÍAS DE JUEGOS NACIONALES.</t>
  </si>
  <si>
    <t>PRESTACIÓN DE SERVICIOS DE UN ENTRENADOR PRINCIPAL PARA LA REALIZACIÓN DEL PROCESO DE SELECCIÓN, ENTRENAMIENTO DEPORTIVO Y PARTICIPACIÓN EN COMPETENCIAS EN LA LIGA DE BOXEO DE ANTIOQUIA, EN CATEGORÍAS DE JUEGOS NACIONALES.</t>
  </si>
  <si>
    <t>PRESTACIÓN DE SERVICIOS DE UN ENTRENADOR PRINCIPAL PARA LA REALIZACIÓN DEL PROCESO SELECCIÓN, ENTRENAMIENTO DEPORTIVO Y PARTICIPACIÓN EN COMPETENCIAS, EN EL VALLE DE ABURRÁ DE LA LIGA DE BOXEO DE ANTIOQUIA, EN CATEGORÍAS DE JUEGOS NACIONALES.</t>
  </si>
  <si>
    <t>PRESTACIÓN DE SERVICIOS DE UN ENTRENADOR ASISTENTE PARA LA REALIZACIÓN DEL PROCESO DE SELECCIÓN, ENTRENAMIENTO DEPORTIVO Y PARTICIPACIÓN EN COMPETENCIAS EN LA LIGA DE BOXEO DE ANTIOQUIA, EN CATEGORÍAS DE JUEGOS NACIONALES.</t>
  </si>
  <si>
    <t>PRESTACIÓN DE SERVICIOS DE UN ENTRENADOR PRINCIPAL PARA LA REALIZACIÓN DEL PROCESO DE SELECCIÓN, ENTRENAMIENTO DEPORTIVO Y PARTICIPACIÓN EN COMPETENCIAS EN LA LIGA ANTIOQUEÑA DE JUDO, EN LA MODALIDAD COMBATE, EN CATEGORÍAS DE JUEGOS NACIONALES.</t>
  </si>
  <si>
    <t>PRESTACIÓN DE SERVICIOS DE UN ENTRENADOR DE INICIACIÓN Y DESARROLLO DEPORTIVO DE LA LIGA ANTIOQUEÑA DE JUDO, EN LAS MODALIDADES DE JUEGOS NACIONALES.</t>
  </si>
  <si>
    <t>PRESTACIÓN DE SERVICIOS DE UN ENTRENADOR PRINCIPAL PARA LA REALIZACIÓN DEL PROCESO SELECCIÓN, ENTRENAMIENTO DEPORTIVO Y PARTICIPACIÓN EN COMPETENCIAS DE LA LIGA ANTIOQUEÑA DE JUDO, EN LA MODALIDAD KATAS, EN CATEGORÍAS DE JUEGOS NACIONALES.</t>
  </si>
  <si>
    <t>PRESTACIÓN DE SERVICIOS DE UN ENTRENADOR PARA DESARROLLAR Y FORTALECER LAS TÉCNICAS DE PISO EN COMBATE PARA LA LIGA ANTIOQUEÑA DE JUDO, EN CATEGORÍAS DE JUEGOS NACIONALES.</t>
  </si>
  <si>
    <t>PRESTACIÓN DE SERVICIOS DE UN ENTRENADOR DE INICIACIÓN Y DESARROLLO DEPORTIVO EN LA MODALIDAD DE KATA DE LA LIGA ANTIOQUEÑA DE JUDO, EN LAS MODALIDADES DE JUEGOS NACIONALES.</t>
  </si>
  <si>
    <t>PRESTACIÓN DE SERVICIOS DE UN ENTRENADOR PRINCIPAL PARA LA REALIZACIÓN DEL PROCESO DE SELECCIÓN, ENTRENAMIENTO DEPORTIVO Y PARTICIPACIÓN EN COMPETENCIAS EN LA LIGA ANTIOQUEÑA DE KARATE -DO, MODALIDAD COMBATE CON JUNIORS   JUVENILES, CATEGORÍAS DE JUEGOS NACIONALES.</t>
  </si>
  <si>
    <t>PRESTACIÓN DE SERVICIOS DE UN ENTRENADOR PRINCIPAL PARA LA REALIZACIÓN DEL PROCESO DE SELECCIÓN, ENTRENAMIENTO DEPORTIVO Y PARTICIPACIÓN EN COMPETENCIAS EN LA LIGA ANTIOQUEÑA DE KARATE -DO, MODALIDAD KATA, EN CATEGORÍAS DE JUEGOS NACIONALES.</t>
  </si>
  <si>
    <t>2.43.4302.84.0-205128.2.3.2.02.02.009.04.</t>
  </si>
  <si>
    <t>PRESTACIÓN DE SERVICIOS DE UN ENTRENADOR ASISTENTE PARA LA REALIZACIÓN DEL PROCESO DE SELECCIÓN, ENTRENAMIENTO DEPORTIVO Y PARTICIPACIÓN EN COMPETENCIAS EN LA LIGA ANTIOQUEÑA DE KARATE -DO, MODALIDAD COMBATE CON JUVENILES Y MAYORES, EN CATEGORÍAS DE JUEGOS NACIONALES.</t>
  </si>
  <si>
    <t>PRESTACIÓN DE SERVICIOS DE UN ENTRENADOR ASISTENTE PARA LA REALIZACIÓN DEL PROCESO DE SELECCIÓN, ENTRENAMIENTO DEPORTIVO Y PARTICIPACIÓN EN COMPETENCIAS EN LA LIGA ANTIOQUEÑA DE TAEKWONDO, MODALIDAD COMBATE, EN CATEGORÍAS DE JUEGOS NACIONALES.</t>
  </si>
  <si>
    <t>PRESTACIÓN DE SERVICIOS DE UN ENTRENADOR PRINCIPAL PARA LA REALIZACIÓN DEL PROCESO DE SELECCIÓN, ENTRENAMIENTO DEPORTIVO Y PARTICIPACIÓN EN COMPETENCIAS EN LA LIGA ANTIOQUEÑA DE TAEKWONDO, EN LA MODALIDAD COMBATE JUVENILES Y MAYORES, EN CATEGORÍAS DE JUEGOS NACIONALES.</t>
  </si>
  <si>
    <t>PRESTACIÓN DE SERVICIOS DE UN ENTRENADOR DE INICIACIÓN EN ATLETAS JUNIORS DE LA LIGA ANTIOQUEÑA DE TAEKWONDO, EN CATEGORÍAS DE JUEGOS NACIONALES.</t>
  </si>
  <si>
    <t>PRESTACIÓN DE SERVICIOS DE UN ENTRENADOR PRINCIPAL PARA LA REALIZACIÓN DEL PROCESO DE SELECCIÓN, ENTRENAMIENTO DEPORTIVO Y PARTICIPACIÓN EN COMPETENCIAS EN LA LIGA ANTIOQUEÑA DE TAEKWONDO, EN LA MODALIDAD POOMSAE, EN CATEGORÍAS DE JUEGOS NACIONALES.</t>
  </si>
  <si>
    <t>PRESTACIÓN DE SERVICIOS DE UN ENTRENADOR ASISTENTE PARA LA REALIZACIÓN DEL PROCESO DE SELECCIÓN, ENTRENAMIENTO DEPORTIVO Y PARTICIPACIÓN EN COMPETENCIAS EN LA LIGA ANTIOQUEÑA DE TAEKWONDO, EN LA MODALIDAD FREESTYLE, EN CATEGORÍAS DE JUEGOS NACIONALES.</t>
  </si>
  <si>
    <t>PRESTACIÓN DE SERVICIOS DE UN ENTRENADOR DE INICIACIÓN Y DESARROLLO DEPORTIVO EN LA LIGA ANTIOQUEÑA DE TAEKWONDO, EN LA MODALIDAD POOMSAES, EN CATEGORÍAS DE JUEGOS NACIONALES.</t>
  </si>
  <si>
    <t>PRESTACIÓN DE SERVICIOS DE UN ENTRENADOR PRINCIPAL PARA LA PREPARACIÓN Y PROCESO DE SELECCIÓN, ENTRENAMIENTO DEPORTIVO Y PARTICIPACIÓN EN COMPETENCIAS EN LA LIGA DE PATINAJE DE ANTIOQUIA, MODALIDAD VELOCIDAD, EN CATEGORÍAS DE JUEGOS NACIONALES.</t>
  </si>
  <si>
    <t xml:space="preserve">PRESTACIÓN DE SERVICIOS DE UN ENTRENADOR PRINCIPAL PARA LA PREPARACIÓN DE LOS ATLETAS DE LAS CATEGORÍAS JUNIOR, PREJUVENILES Y JUVENILES DE LA LIGA DE PATINAJE DE ANTIOQUIA EN LA MODALIDAD VELOCIDAD.  </t>
  </si>
  <si>
    <t>PRESTACIÓN DE SERVICIOS DE UN ENTRENADOR PRINCIPAL PARA LA REALIZACIÓN DEL PROCESO DE SELECCIÓN, ENTRENAMIENTO DEPORTIVO Y PARTICIPACIÓN EN COMPETENCIAS EN LA LIGA DE PATINAJE DE ANTIOQUIA, MODALIDAD SKATEBOARDING, EN CATEGORÍAS DE JUEGOS NACIONALES.</t>
  </si>
  <si>
    <t>PRESTACIÓN DE SERVICIOS DE UN ENTRENADOR PRINCIPAL PARA LA REALIZACIÓN DEL PROCESO DE SELECCIÓN, ENTRENAMIENTO DEPORTIVO Y PARTICIPACIÓN EN COMPETENCIAS EN LA LIGA DE PATINAJE DE ANTIOQUIA, MODALIDAD ARTÍSTICO FIGURAS Y LIBRE, EN CATEGORÍAS DE JUEGOS NACIONALES.</t>
  </si>
  <si>
    <t>PRESTACIÓN DE SERVICIOS DE UN ENTRENADOR PRINCIPAL PARA LA REALIZACIÓN DEL PROCESO DE SELECCIÓN, ENTRENAMIENTO DEPORTIVO Y PARTICIPACIÓN EN COMPETENCIAS EN LA LIGA DE PATINAJE DE ANTIOQUIA, MODALIDAD ARTÍSTICO SOLO DANZA, EN CATEGORÍAS DE JUEGOS NACIONALES.</t>
  </si>
  <si>
    <t xml:space="preserve">PRESTACIÓN DE SERVICIOS DE UN ENTRENADOR DE INICIACIÓN Y DESARROLLO PARA LA REALIZACIÓN DEL PROCESO DE SELECCIÓN, ENTRENAMIENTO DEPORTIVO Y PARTICIPACIÓN EN COMPETENCIAS DE LA LIGA DE PATINAJE DE ANTIOQUIA, EN LA MODALIDAD DE PATINAJE ARTÍSTICO. </t>
  </si>
  <si>
    <t>PRESTACIÓN DE SERVICIOS DE UN ENTRENADOR PARA LA REALIZACIÓN DEL PROCESO DE PREPARACIÓN FÍSICA  EN EL DEPORTE DE FUTBOL FEMENINO EN LAS MODALIDADES Y CATEGORÍAS DE JUEGOS NACIONALES.</t>
  </si>
  <si>
    <t>PRESTACIÓN DE SERVICIOS DE UN ENTRENADOR ASISTENTE PARA LA REALIZACIÓN DEL PROCESO SELECCIÓN, ENTRENAMIENTO DEPORTIVO Y PARTICIPACIÓN EN COMPETENCIAS EN LA LIGA ANTIOQUEÑA DE VOLEIBOL, EN LA MODALIDAD VOLEIBOL PISO, RAMA FEMENINA, EN CATEGORÍAS DE JUEGOS NACIONALES.</t>
  </si>
  <si>
    <t>PRESTACIÓN DE SERVICIOS DE UN ENTRENADOR ASISTENTE EN DESARROLLO DEPORTIVO DE LOS ATLETAS EN LAS CATEGORÍAS INFANTIL Y JUNIOR EN LA MODALIDAD DE VELOCIDAD DEL CENTRO DE DESARROLLO DE LA LIGA DE ATLETISMO DE ANTIOQUIA</t>
  </si>
  <si>
    <t>PRESTACIÓN DE SERVICIOS DE UN ENTRENADOR ASISTENTE PARA LA REALIZACIÓN DE PROCESOS DE SELECCIÓN SUBREGIONALES Y PARTICIPACIÓN EN COMPETENCIAS EN LA LIGA DE TENIS DE MESA DE ANTIOQUIA, EN LAS CATEGORÍAS DE FORMACIÓN DEPORTIVA Y CATEGORÍAS DE JUEGOS NACIONALES.</t>
  </si>
  <si>
    <t>PRESTACIÓN DE SERVICIOS DE UN ENTRENADOR DE INICIACIÓN Y DESARROLLO DEPORTIVO PARA LA CONSECUCIÓN DE NUEVOS TALENTOS PARA DEPORTES DE CONJUNTO EN LA SUBREGIÓN DEL SUROESTE ANTIOQUEÑO, EN CATEGORÍAS DE JUEGOS NACIONALES.</t>
  </si>
  <si>
    <t xml:space="preserve">PRESTACIÓN DE SERVICIOS DE UN ENTRENADOR PRINCIPAL PARA LA REALIZACIÓN DEL PROCESO DE SELECCIÓN, ENTRENAMIENTO DEPORTIVO Y PARTICIPACIÓN EN COMPETENCIAS EN LA LIGA ANTIOQUEÑA DE RUGBY, EN LA MODALIDAD QUINCES RAMA FEMENINA Y MASCULINA, EN CATEGORÍAS MAYORES Y JUVENILES. </t>
  </si>
  <si>
    <t xml:space="preserve">PRESTACIÓN DE SERVICIOS DE UN ENTRENADOR DE INICIACIÓN Y DESARROLLO DEPORTIVO PARA LA CONSECUCIÓN DE NUEVOS TALENTOS PARA LA LIGA ANTIOQUEÑA DE TEJO, QUE PUEDAN LLEGAR A LAS SELECCIONES DE ANTIOQUIA. </t>
  </si>
  <si>
    <t>PRESTACIÓN DE SERVICIOS DE UN ENTRENADOR PARA LA REALIZACIÓN DEL PROCESO DE SELECCIÓN, ENTRENAMIENTO DEPORTIVO Y PARTICIPACIÓN EN COMPETENCIAS EN LA LIGA ANTIOQUEÑA DE TEJO, EN LA RAMA FEMENINA, EN CATEGORÍAS DE JUEGOS NACIONALES.</t>
  </si>
  <si>
    <t>PRESTACIÓN DE SERVICIOS DE UN ENTRENADOR PARA LA REALIZACIÓN DEL PROCESO DE SELECCIÓN, ENTRENAMIENTO DEPORTIVO Y PARTICIPACIÓN EN COMPETENCIAS EN LA LIGA ANTIOQUEÑA DE TEJO, EN LA RAMA MASCULINA, EN CATEGORÍAS DE JUEGOS NACIONALES.</t>
  </si>
  <si>
    <t>PRESTACIÓN DE SERVICIOS DE UN ENTRENADOR ASISTENTE PARA EL DESARROLLO DEPORTIVO DE LOS ATLETAS DE LA LIGA ANTIOQUEÑA DE ACTIVIDADES SUBACUÁTICAS EN LA MODALIDAD NATACIÓN CON ALETAS DEL CENTRO DE DESARROLLO DEPORTIVO.</t>
  </si>
  <si>
    <t>PRESTACIÓN DE SERVICIOS PROFESIONALES ESPECIALIZADOS PARA EL ACOMPAÑAMIENTO DE LOS PROCESOS METODOLÓGICOS PARA LA PREPARACIÓN, PARTICIPACIÓN Y FORTALECIMIENTO TÉCNICO  DE LOS PARA-ATLETAS Y DE LOS ORGANISMOS DEPORTIVOS QUE APOYA INDEPORTES ANTIOQUIA</t>
  </si>
  <si>
    <t>PRESTACIÓN DE SERVICIOS PROFESIONALES PARA EL ACOMPAÑAMIENTO DE LOS PROCESOS METODOLÓGICOS PARA LA PREPARACIÓN, PARTICIPACIÓN Y FORTALECIMIENTO TÉCNICO DE LOS ATLETAS QUE APOYA INDEPORTES ANTIOQUIA</t>
  </si>
  <si>
    <t>52010803-otorgar_estímulos_aliment</t>
  </si>
  <si>
    <t xml:space="preserve">ENTREGAR ESTÍMULO ALIMENTACIÓN PARA LOS ATLETAS Y PARA-ATLETAS </t>
  </si>
  <si>
    <t>2.43.4302.85.0-205128.2.3.3.08.06.</t>
  </si>
  <si>
    <t>2.43.4302.85.0-205400.2.3.3.08.06.</t>
  </si>
  <si>
    <t>52010803-otorgar_estímulos_part_even</t>
  </si>
  <si>
    <t xml:space="preserve">ENTREGAR ESTÍMULO ECONÓMICO A LOS ATLETAS Y PARA-ATLETAS PARA LA PARTICIPACIÓN EN EVENTOS </t>
  </si>
  <si>
    <t>52010803-gestionar_ope_psic_adm_seg_est</t>
  </si>
  <si>
    <t>PRESTACIÓN DE SERVICIOS DE APOYO A LA GESTIÓN ADMINISTRATIVA  DE LOS DIFERENTES PROGRAMAS DE LA SUBGERENCIA DE DEPORTE ASOCIADO Y ALTOS LOGROS DE INDEPORTES ANTIOQUIA</t>
  </si>
  <si>
    <t>2.43.4302.85.0-205128.2.3.2.02.02.008.11.</t>
  </si>
  <si>
    <t xml:space="preserve">PRESTACIÓN DE SERVICIOS DE APOYO A LA GESTIÓN EN LOS PROCESOS ADMINISTRATIVOS Y DE OPERACIÓN PARA EL FUNCIONAMIENTO DE LAS DIFERENTES SEDES DE INDEPORTES ANTIOQUIA </t>
  </si>
  <si>
    <t>PRESTACIÓN DE SERVICIOS DE APOYO A LA GESTIÓN OPERATIVA Y DE MANTENIMIENTO DE LA SEDE VILLA DEPORTIVA DE INDEPORTES ANTIOQUIA</t>
  </si>
  <si>
    <t>PRESTACIÓN DE SERVICIOS PROFESIONALES PARA EL ACOMPAÑAMIENTO PSICOSOCIAL Y PARA LA CLASIFICACIÓN FUNCIONAL DE LOS PARA-ATLETAS ATENDIDOS POR LA SUBGERENCIA DE DEPORTE ASOCIADO Y ALTOS LOGROS DE INDEPORTES ANTIOQUIA</t>
  </si>
  <si>
    <t>2.43.4302.85.0-205128.2.3.2.02.02.009.05.</t>
  </si>
  <si>
    <t>52010805-realizar_seguimiento_ope_cent</t>
  </si>
  <si>
    <t>2.43.4302.87.0-205128.2.3.3.09.17.</t>
  </si>
  <si>
    <t>2.43.4302.87.0-101024.2.3.3.09.17.</t>
  </si>
  <si>
    <t>PRESTACIÓN DE SERVICIOS DE APOYO A LA GESTIÓN EN LOS PROCESOS ADMINISTRATIVOS Y DE OPERACIÓN NECESARIOS PARA EL DESARROLLO Y FUNCIONAMIENTO DEL CENTRO DE DESARROLLO DEPORTIVO "CEDEP" DE URABÁ DE INDEPORTES ANTIOQUIA</t>
  </si>
  <si>
    <t>PRESTACIÓN DE SERVICIOS DE APOYO A LA GESTIÓN EN LOS PROCESOS ADMINISTRATIVOS DE LA SUBGERENCIA DE DEPORTE ASOCIADO Y ALTOS LOGROS, NECESARIOS PARA ACOMPAÑAR LA OPERACIÓN Y DESARROLLO DE LAS ACTIVIDADES EN LAS INSTALACIONES DEPORTIVAS DE LA VILLA NÁUTICA EN GUATAPÉ.</t>
  </si>
  <si>
    <t>81111800; 81161801;81112101</t>
  </si>
  <si>
    <t>PRESTACIÓN DE SERVICIOS DE INFRAESTRUCTURA TECNOLOGICA  PARA INDEPORTES ANTIOQUIA</t>
  </si>
  <si>
    <t>1.45.4599.77.0-205128.2.3.2.02.02.008.05.</t>
  </si>
  <si>
    <t>81111800; 81111811;43231602</t>
  </si>
  <si>
    <t>PRESTACIÓN DE SERVICIOS DE SICOF ERP EN MODALIDAD CLOUD COMPUTING  PARA INDEPORTES ANTIOQUIA, ASI COMO EL SOPORTE Y MANTENIMIENTO, ACOMPAÑAMIENTO EN SITIO Y HORAS DE DESARROLLO</t>
  </si>
  <si>
    <t>52011001-estructurar_política_sistem_inf</t>
  </si>
  <si>
    <t>SOPORTE TÉCNICO, ACTUALIZACIÓN Y MANTENIMIENTO DEL SISTEMA DE GESTIÓN DOCUMENTAL MERCURIO</t>
  </si>
  <si>
    <t>44103125;
81101707;
44103100;
43212100</t>
  </si>
  <si>
    <t>SUMINISTRO Y SERVICIO DE MANTENIMIENTO DE EQUIPOS DE IMPRESIÓN, ESCÁNERES Y/O MULTIMEDIA DE INDEPORTES ANTIOQUIA</t>
  </si>
  <si>
    <t xml:space="preserve">LICENCIAMIENTO DE SOFTWARE DE MESA DE AYUDA  PARA INDEPORTES ANTIOQUIA EN MODALIDAD DE SOFTWARE COMO SERVICIO (SAAS). </t>
  </si>
  <si>
    <t xml:space="preserve">43233200;81111801  </t>
  </si>
  <si>
    <t>PRESTACIÓN DE SERVICIOS DE SEGURIDAD DE LA INFORMACIÓN PARA INDEPORTES ANTIOQUIA</t>
  </si>
  <si>
    <t>PRESTACIÓN DE SERVICIOS PROFESIONALES PARA LA GESTIÓN DE LA POLÍTICA DE GOBIERNO DIGITAL EN INDEPORTES ANTIOQUIA</t>
  </si>
  <si>
    <t>PRESTACIÓN DE SERVICIOS DE APOYO A LA GESTIÓN PARA LA ADMINISTRACIÓN DE LA PLATAFORMA DEPORTESANT DE INDEPORTES ANTIOQUIA</t>
  </si>
  <si>
    <t>PRESTACIÓN DE SERVICIOS PROFESIONALES COMO DESARROLLADOR WEB DE INDEPORTES ANTIOQUIA.</t>
  </si>
  <si>
    <t>PRESTACIÓN DE SERVICIOS PROFESIONALES PARA APOYAR LA EJECUCIÓN DE ACTIVIDADES RELACIONADAS CON  DESARROLLOS WEB EN INDEPORTES ANTIOQUIA.</t>
  </si>
  <si>
    <t>PRESTACIÓN DE SERVICIOS PROFESIONALES PARA POYAR LOS PROCESOS DE ADQUISICIÓN, ESTABILIZACIÓN Y PUESTA EN FUNCIONAMIENTO DE LOS PROYECTOS DE TECNOLOGÍA EN INDEPORTES ANTIOQUIA.</t>
  </si>
  <si>
    <t>PRESTACIÓN DE SERVICIOS DE APOYO PARA EL SOPORTE TÉCNICO Y LA GESTIÓN DE LA OFICINA DE SISTEMAS E INFORMÁTICA DE INDEPORTES ANTIOQUIA.</t>
  </si>
  <si>
    <t xml:space="preserve">PRESTACIÓN DE SERVICIOS PROFESIONALES PARA APOYAR LA GESTIÓN DE SEGURIDAD DE LA INFORMACIÓN EN  INDEPORTES ANTIOQUIA. </t>
  </si>
  <si>
    <t>PRESTACIÓN DE SERVICIOS DE INFRAESTRUCTURA TECNOLOGICA  PARA INDEPORTES ANTIOQUIA VF</t>
  </si>
  <si>
    <t>1.45.4599.77.0-205128.2.3.2.02.02.008.06.</t>
  </si>
  <si>
    <t>PRESTACIÓN DE SERVICIOS DE SICOF ERP EN MODALIDAD CLOUD COMPUTING, SOPORTE Y MANTENIMIENTO, ACOMPAÑAMIENTO EN SITIO Y HORAS DE DESARROLLO. VF - CONTRATO 612 DE 2024</t>
  </si>
  <si>
    <t>80141607; 80141902</t>
  </si>
  <si>
    <t>PRESTACIÓN DE SERVICIOS PARA LA REALIZACIÓN DE LA CELEBRACIÓN ESPECIAL DEL DÍA DEPARTAMENTAL DEL DEPORTISTA ANTIOQUEÑO 2024.</t>
  </si>
  <si>
    <t>PRESTACIÓN DE SERVICIOS DE APOYO A LA GESTIÓN PARA LA IMPLEMENTACIÓN DEL PROCESO DE SERVICIO AL CIUDADANO DE INDEPORTES ANTIOQUIA.</t>
  </si>
  <si>
    <t>PRESTACIÓN DE SERVICIOS PROFESIONALES ESPECIALIZADOS, PARA APOYAR LOS PROCESOS ADMINISTRATIVOS, FINANCIERO Y DE GESTIÓN CONTRACTUAL DE INDEPORTES ANTIOQUIA.</t>
  </si>
  <si>
    <t>PRESTACIÓN DE SERVICIOS PROFESIONALES ESPECIALIZADOS, PARA APOYAR LOS PROCESOS ADMINISTRATIVOS, FINANCIERO Y DE GESTIÓN  CALIDAD DE INDEPORTES ANTIOQUIA.</t>
  </si>
  <si>
    <t>PRESTACIÓN DE SERVICIOS PROFESIONALES ESPECIALIZADOS EN ESTRATEGIA GERENCIAL, PROSPECTIVA, ADMINISTRATIVA Y FINANCIERA PARA EL APOYO, ASESORÍA Y ACOMPAÑAMIENTO EN LAS ACTIVIDADES RELACIONADAS CON LA ESTRUCTURACIÓN Y PLANIFICACIÓN TÉCNICA Y ADMINISTRATIVA DE LOS CONTRATOS, PROYECTOS Y PROGRAMAS PROPIOS INDEPORTES ANTIOQUIA.</t>
  </si>
  <si>
    <t>PRESTACIÓN DE SERVICIOS PROFESIONALES PARA APOYAR LOS PROCESOS ADMINISTRATIVOS Y FINANCIEROS DE INDEPORTES ANTIOQUIA.</t>
  </si>
  <si>
    <t>PRESTACIÓN DE SERVICIOS PROFESIONALES PARA EL ACOMPAÑAMIENTO A LOS PROCESOS ADMINISTRATIVOS, TRIBUTARIOS Y FINANCIEROS DE INDEPORTES ANTIOQUIA.</t>
  </si>
  <si>
    <t>PRESTACIÓN DE SERVICIOS DE APOYO A LA GESTIÓN PARA LAS LABORES OPERATIVAS Y DEL PLAN DE MANTENIMIENTO DE INDEPORTES ANTIOQUIA.</t>
  </si>
  <si>
    <t>PRESTACIÓN DE SERVICIOS PROFESIONALES PARA APOYAR LA IMPLEMENTACIÓN DE PROCEDIMIENTOS ADMINISTRATIVOS Y/O FINANCIEROS DE LA OFICINA DE TALENTO HUMANO</t>
  </si>
  <si>
    <t>PRESTACIÓN DE SERVICIOS DE APOYO A LA GESTIÓN EN EL SISTEMA DE GESTIÓN DE SEGURIDAD Y SALUD EN EL TRABAJO (SGSST) Y APOYO A LAS ACTIVIDADES QUE SE REALIZAN DESDE LA OFICINA DE TALENTO HUMANO DE INDEPORTES ANTIOQUIA.</t>
  </si>
  <si>
    <t>PRESTACIÓN DE SERVICIOS DE APOYO PARA EL ACOMPAÑAMIENTO EN LA PLANIFICACIÓN, APLICACIÓN, DESARROLLO, EVALUACIÓN, AUDITORIA Y ACCIONES DE MEJORA DEL SISTEMA DE GESTIÓN DE SEGURIDAD Y SALUD EN EL TRABAJO (SG-SST) Y SISTEMA INTEGRADO DE GESTIÓN (SIG).</t>
  </si>
  <si>
    <t>PRESTACIÓN DE SERVICIOS PROFESIONALES JURÍDICOS PARA INDEPORTES ANTIOQUIA</t>
  </si>
  <si>
    <t>PRESTACIÓN DE SERVICIOS PROFESIONALES PARA APOYAR LOS PROCESOS ADMINISTRATIVOS DE LA OFICINA ASESORA JURIDICA</t>
  </si>
  <si>
    <t>PRESTACIÓN DE SERVICIOS PROFESIONALES ESPECIALIZADOS EN CONTADURÍA PÚBLICA PARA LLEVAR A CABO LA VERIFICACIÓN Y EVALUACIÓN CONTINUA DEL SISTEMA DE CONTROL INTERNO DE INDEPORTES ANTIOQUIA.</t>
  </si>
  <si>
    <t>PRESTACIÓN DE SERVICIOS PROFESIONALES ESPECIALIZADOS FINANCIEROS PARA APOYAR LOS PROCEDIMIENTOS ADMINISTRATIVOS Y FINANCIEROS DE LOS PROYECTOS DE LA SUBGERENCIA DE ESCENARIOS DEPORTIVOS Y EQUIPAMIENTOS DE INDEPORTES ANTIOQUIA</t>
  </si>
  <si>
    <t>PRESTACIÓN DE SERVICIOS PROFESIONALES EN MATERIA AMBIENTAL  PARA APOYAR LOS TEMAS AMBIENTALES DE LOS PROYECTOS DE INFRAESTRUCTURA  LA SUBGERENCIA DE ESCENARIOS DEPORTIVOS Y EQUIPAMIENTOS DE INDEPORTES ANTIOQUIA</t>
  </si>
  <si>
    <t>PRESTACIÓN DE SERVICIOS PROFESIONALES PARA APOYAR LA GESTIÓN TÉCNICA  DE LOS PROYECTOS DE INFRAESTRUCTURA DE LA SUBGERENCIA DE ESCENARIOS DEPORTIVOS Y EQUIPAMIENTOS DE INDEPORTES ANTIOQUIA</t>
  </si>
  <si>
    <t>PRESTACIÓN DE SERVICIOS DE APOYO A LA GESTIÓN EN LA ORGANIZACIÓN DEL ARCHIVO DE INDEPORTES ANTIOQUIA</t>
  </si>
  <si>
    <t>PRESTACIÓN DE SERVICIOS PROFESIONALES EN INGENIERÍA CIVIL PARA REALIZAR LAS EVALUACIONES Y SEGUIMIENTO TÉCNICO EN EL MARCO DE LAS POLÍTICAS DE VIGILANCIA Y CONTROL IMPLEMENTADAS POR LA OFICINA DE CONTROL INTERNO A LOS PROCESOS DE COFINANCIACIÓN E INFRAESTRUCTURA DE LA SUBGERENCIA DE ESCENARIOS DEPORTIVOS Y EQUIPAMIENTOS.</t>
  </si>
  <si>
    <t>PRESTACIÓN DE SERVICIOS PROFESIONALES PARA APOYAR LAS ACTIVIDADES COMUNICATIVAS   Y   PERIODÍSTICAS CON EL FIN DE DIVULGAR LAS ACCIONES MISIONALES DE INDEPORTES ANTIOQUIA.</t>
  </si>
  <si>
    <t>PRESTACIÓN DE SERVICIOS DE APOYO A LA GESTIÓN PARA DISEÑO GRÁFICO Y PRODUCCIÓN AUDIO VISUAL EN INDEPORTES ANTIOQUIA.</t>
  </si>
  <si>
    <t>PRESTACIÓN DE SERVICIOS PROFESIONALES ESPECIALIZADOS JURÍDICOS PARA APOYAR LOS PROCESOS DE CONTRATACIÓN DE INDEPORTES ANTIOQUIA EN ESPECIAL DE LA SUBGERENCIA DE ESCENARIOS DEPORTIVOS Y EQUIPAMIENTO DE INDEPORTES ANTIOQUIA.</t>
  </si>
  <si>
    <t>PRESTACION DE SERVICIOS DE APOYO A LA GESTION ADMINISTRATIVA, JURIDICA Y CONTRACTUAL PARA LOS PROYECTOS DE LA SUBGERENCIA DE FOMENTO Y DESARROLLO DEPORTIVO.</t>
  </si>
  <si>
    <t>PRESTACIÓN DE SERVICIOS PROFESIONALES PARA LA GESTIÓN ESTRATÉGICA Y TÁCTICA Y EL SEGUIMIENTO A LOS PLANES INDICATIVOS Y DE ACCIÓN DE LOS PROYECTOS DE LA SUBGERENCIA DE FOMENTO Y DESARROLLO DEPORTIVO DE INDEPORTES ANTIOQUIA.</t>
  </si>
  <si>
    <t>AUNAR ESFUERZOS TÉCNICOS, ADMINISTRATIVOS Y FINANCIEROS ENTRE EL MINISTERIO DEL DEPORTE Y EL ENTE DEPORTIVO TERRITORIAL PARA LA EJECUCIÓN DEL PROGRAMA JUEGOS INTERCOLEGIADOS.</t>
  </si>
  <si>
    <t>PRESTACIÓN DE SERVICIOS PROFESIONALES PARA LA PLANEACIÓN E IMPLEMENTACIÓN DEL PLAN DE CAPACITACIONES Y DE LA ESTRATEGIA DE FORMACIÓN Y CAPACITACIÓN DE INDEPORTES ANTIOQUIA PARA LA VIGENCIA 2025</t>
  </si>
  <si>
    <t>PRESTACIÓN DE SERVICIOS PROFESIONALES PARA LA IMPLEMENTACIÓN Y SISTEMATIZACIÓN DEL PLAN DE CAPACITACIONES Y DE LA ESTRATEGIA DE FORMACIÓN Y CAPACITACIÓN DE INDEPORTES ANTIOQUIA PARA LA VIGENCIA 2025</t>
  </si>
  <si>
    <t>PRESTACIÓN DE SERVICIOS PROFESIONALES PARA LA PLANEACIÓN, EJECUCIÓN Y SEGUIMIENTO DEL PLAN DE CAPACITACIÓN EN DEPORTE, RECREACIÓN Y ACTIVIDAD FÍSICA DE INDEPORTES ANTIOQUIA PARA LA VIGENCIA 2025</t>
  </si>
  <si>
    <t>PRESTACIÓN DE SERVICIOS PROFESIONALES PARA LA PROMOCIÓN Y EJECUCIÓN DEL PROGRAMA DE DEPORTE FORMATIVO EN LAS SUBREGIONES DEL DEPARTAMENTO DE ANTIOQUIA.</t>
  </si>
  <si>
    <t>PRESTACIÓN DE SERVICIOS PROFESIONALES ESPECIALIZADO PARA EL ASESORAMIENTO METODOLÓGICO, LA PROMOCIÓN Y EJECUCIÓN DEL PROGRAMA DE DEPORTE FORMATIVO EN LAS SUBREGIONES DEL DEPARTAMENTO DE ANTIOQUIA.</t>
  </si>
  <si>
    <t>PRESTACIÓN DE SERVICIOS DE APOYO A LA GESTIÓN PARA LA ACTIVACIÓN EN TERRITORIO DEL PROGRAMA DE RECREACIÓN DE LA SUBGERENCIA DE FOMENTO Y DESARROLLO DEPORTIVO.</t>
  </si>
  <si>
    <t>PRESTACIÓN DE SERVICIOS PROFESIONALES COMO PROMOTOR EN LA SUBREGIÓN DEL ORIENTE,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</si>
  <si>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 SUBREGIÓN DEL OCCIDENTE,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</si>
  <si>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LAS SUBREGIONES DEL NORTE Y DEL BAJO CAUCA,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</si>
  <si>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COMO PROMOTOR EN LA SUBREGIÓN DEL SUROESTE, PARA LA PLANEACIÓN Y ACOMPAÑAMIENTO EN LA EJECUCIÓN DE LOS JUEGOS DEPORTIVOS INSTITUCIONALES DE INDEPORTES ANTIOQUIA Y EL ACOMPAÑAMIENTO A LA PARTICIPACIÓN A NIVEL NACIONAL DE LOS DIFERENTES JUEGOS ORGANIZADOS POR EL MINISTERIO DEL DEPORTE.</t>
  </si>
  <si>
    <t>PRESTACIÓN DE SERVICIOS DE APOYO A LA GESTIÓN EN EL DESARROLLO DE ACTIVIDADES RELACIONADAS CON LA IMAGEN INSTITUCIONAL Y PROTOCOLARIA EN LA EJECUCIÓN DE LOS JUEGOS DEPORTIVOS INSTITUCIONALES.</t>
  </si>
  <si>
    <t>PRESTACIÓN DE SERVICIOS DE APOYO PARA LA PARAMETRIZACIÓN Y SISTEMATIZACIÓN DE LA INFORMACIÓN, PRODUCTO DEL ACOMPAÑAMIENTO INSTITUCIONAL DE LA SUBGERENCIA DE FOMENTO Y DESARROLLO DEPORTIVO</t>
  </si>
  <si>
    <t>PRESTACIÓN DE SERVICIOS PROFESIONALES DE APOYO A LOS PROCESOS ADMINISTRATIVOS Y GESTIÓN DE PAGOS DE INDEPORTES ANTIOQUIA</t>
  </si>
  <si>
    <t>PRESTACIÓN DE SERVICIOS PROFESIONALES PARA LA PROMOCIÓN Y EJECUCIÓN DEL PROGRAMA DEPARTAMENTAL DE ACTIVIDAD FÍSICA, DESDE EL COMPONENTE DE LA FUERZA EN EL CICLO VITAL.</t>
  </si>
  <si>
    <t>PRESTACIÓN DE SERVICIOS PROFESIONALES PARA LA PROMOCIÓN Y EJECUCIÓN DEL PROGRAMA DEPARTAMENTAL DE ACTIVIDAD FÍSICA, DESDE EL COMPONENTE NUTRICIONAL, PARA PROMOVER HABITOS DE VIDA ALIMENTARIOS SALUDABLES EN LA POBLACIÓN ANTIOQUEÑA.</t>
  </si>
  <si>
    <t>PRESTACIÓN DE SERVICIOS PROFESIONALES PARA LA PLANEACIÓN TÉCNICA Y EJECUCIÓN DEL PROYECTO DE DESARROLLO Y PROMOCIÓN DE LA SUBGERENCIA DE FOMENTO Y DESARROLLO DEPORTIVO DE INDEPORTES ANTIOQUIA</t>
  </si>
  <si>
    <t>PRESTACIÓN DE SERVICIOS PROFESIONALES COMO PROMOTOR EN LA SUBREGIÓN DEL VALLE DE ABURRÁ, PARA LA PLANEACIÓN Y ACOMPAÑAMIENTO EN LA EJECUCIÓN DE LOS JUEGOS DEPORTIVOS INSTITUCIONALES DE INDEPORTES ANTIOQUIA Y EL ACOMPAÑAMIENTO A LA PARTICIPACIÓN A NIVEL NACIONAL DE LOS DIFERENTES JUEGOS ORGANIZADOS POR EL MINISTERIO DEL DEPORTE.</t>
  </si>
  <si>
    <t>PRESTACIÓN DE SERVICIOS PROFESIONALES PARA LA PROMOCIÓN Y EJECUCIÓN DEL PROGRAMA DEPARTAMENTAL DE ACTIVIDAD FÍSICA, DESDE EL COMPONENTE DEL USO DE LA BICICLETA.</t>
  </si>
  <si>
    <t>PRESTACIÓN DE SERVICIOS PROFESIONALES PARA LA PROMOCIÓN Y DIVULGACIÓN DE LAS ACTIVIDADES DE LOS PROGRAMAS DE LA SUBGERENCIA DE FOMENTO Y DESARROLLO DEPORTIVO DE INDEPORTES ANTIOQUIA</t>
  </si>
  <si>
    <t>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t>
  </si>
  <si>
    <t>PRESTACIÓN DE SERVICIOS DE APOYO A LA GESTIÓN EN ACTIVIDADES ADMINISTRATIVAS Y OPERATIVAS DE INDEPORTES ANTIOQUIA, EN ESPECIAL EN LA SUBGERENCIA ADMINISTRATIVA Y FINANCIERA</t>
  </si>
  <si>
    <t>PRESTACIÓN DE SERVICIOS PROFESIONALES COMO ABOGADO, PARA APOYAR LOS PROCESOS DISCIPLINARIOS Y JURÍDICOS DE LA OFICINA DE TALENTO HUMANO PARA INDEPORTES ANTIOQUIA.</t>
  </si>
  <si>
    <t>PRESTACIÓN DE SERVICIOS PROFESIONALES PARA REALIZAR ACTIVIDADES DE DIAGNÓSTICO, ASESORAMIENTO, INTERVENCIÓN Y DESARROLLO ORGANIZACIONAL EN INDEPORTES ANTIOQUIA</t>
  </si>
  <si>
    <t>PRESTACIÓN DE SERVICIOS DE APOYO A LA GESTIÓN EN LA ORGANIZACIÓN DEL ARCHIVO DE INDEPORTES ANTIOQUIA, EN ESPECIAL EN LA OFICINA DE TALENTO HUMANO</t>
  </si>
  <si>
    <t>CONTRATO DE PRESTACIÓN DE SERVICIOS PROFESIONALES PARA REPRESENTAR JUDICIAL Y EXTRAJUDICIALMENTE A INDEPORTES ANTIOQUIA, PRESTAR ASESORÍA JURÍDICA Y RENDIR CONCEPTOS</t>
  </si>
  <si>
    <t xml:space="preserve">PRESTACIÓN DE SERVICIOS </t>
  </si>
  <si>
    <t>PRESTACIÓN DE SERVICIOS DE APOYO A LA GESTIÓN EN EL DESARROLLO DE LOS EVENTOS DEPORTIVOS DE INDEPORTES ANTIOQUIA.</t>
  </si>
  <si>
    <t>PRESTACIÓN DE SERVICIOS PARA CAPACITACIONES VIRTUALES EN ADMINISTRACIÓN, MARKETING, GESTIÓN Y PLANIFICACIÓN DEPORTIVA</t>
  </si>
  <si>
    <t>PRESTACIÓN DE SERVICIOS PARA CAPACITACIONES E INICIACIÓN Y DESARROLLO DEPORTIVO, MOTRICIDAD Y NUTRICIÓN EN EL DEPARTAMENTO DE ANTIOQUIA</t>
  </si>
  <si>
    <t>PRESTACIÓN DE SERVICIOS PARA CAPACITACIONES PARA EL FORTALECIMIENTO DE COMPETENCIAS Y DESARROLLO HUMANO Y COMPETENCIAS DIRIGIDA A LOS ACTORES DEL SECTOR DEPORTE, RECREACIÓN Y ACTIVIDAD FÍSICA EN EL DEPARTAMENTO DE ANTIOQUIA </t>
  </si>
  <si>
    <t>52010702-Realizar apoyo al desarrollo deportivo municipal</t>
  </si>
  <si>
    <t>CONVENIO INTERADMINISTRATIVO PARA PROMOVER LA LUCHA OLÍMPICA EN EL MUNICIPIO DE ENVIGADO</t>
  </si>
  <si>
    <t>PRESTACIÓN DE SERVICIOS PROFESIONALES COMO ABOGADO PARA APOYAR EL PROCESO DE CONTRATACIÓN Y EL PROCESO LEGAL DE INDEPORTES ANTIOQUIA, EN ESPECIAL DE LA SUBGERENCIA DE ESCENARIOS DEPORTIVOS Y DE EQUIPAMIENTO</t>
  </si>
  <si>
    <t>MODIFICACIÓN 2, Y ADICIÓN 1 AL CONTRATO 653 DE 2023 CON OBJETO: AUNAR ESFUERZOS PARA COFINANCIAR LAS OBRAS DE ADECUACIÓN DE LA PISCINA Y EL COLISEO MUNICIPAL EN EL MUNICIPIO DE SAN ANDRÉS DE CUERQUIA, ANTIOQUIA</t>
  </si>
  <si>
    <t xml:space="preserve">CONVENIO INTERADMINISTRATIVO </t>
  </si>
  <si>
    <t>PRESTACIÓN DE SERVICIOS PROFESIONALES PARA LA PROMOCIÓN Y EJECUCIÓN DEL PROGRAMA DEPARTAMENTAL DE ACTIVIDAD FÍSICA, DESDE EL COMPONENTE DE LA DISCAPACIDAD.</t>
  </si>
  <si>
    <t>PRESTACIÓN DE SERVICIOS DE APOYO A LA GESTIÓN PARA LA PROMOCIÓN DEL USO DE LA BICICLETA EN EL DEPARTAMENTO DE ANTIOQUIA</t>
  </si>
  <si>
    <t>52011001_diseñar_implementar_estrat_com</t>
  </si>
  <si>
    <t>PRESTACIÓN DE SERVICIOS PROFESIONALES PARA EL APOYO A LA PLANIFICACIÓN ADMINISTRATIVA DE LOS DIFERENTES PROYECTOS, PROGRAMAS Y PROCESOS DE LA OFICINA ASESORA DE COMUNICACIONES.</t>
  </si>
  <si>
    <t>CONTRATO INTERADMINISTRATIVO DE MANDATO SIN REPRESENTACIÓN PARA LA PRESTACIÓN DEL SERVICIO DE TRANSPORTE TERRESTRE Y 
EL ALQUILER DE VEHÍCULOS PARA INDEPORTES ANTIOQUIA</t>
  </si>
  <si>
    <t>4.43.4302.75.0-205128.2.3.2.02.02.006.04.</t>
  </si>
  <si>
    <t>CONTRATO INTERADMINISTRATIVO DE MANDATO SIN REPRESENTACIÓN PARA LA PRESTACIÓN DEL SERVICIO DE TRANSPORTE TERRESTRE Y EL ALQUILER DE VEHÍCULOS PARA INDEPORTES ANTIOQUIA</t>
  </si>
  <si>
    <t>52010702-realizar_desplazamientos_seg_of</t>
  </si>
  <si>
    <t>3.43.4301.01.0-205400.2.3.2.02.02.006.01.</t>
  </si>
  <si>
    <t>52010704-realizar_desplazamiento_seg_ofe</t>
  </si>
  <si>
    <t>3.43.4301.72.0-205128.2.3.2.02.02.006.02.</t>
  </si>
  <si>
    <t>52010703-realizar_desplazamiento_seg_jue</t>
  </si>
  <si>
    <t>3.43.4301.73.0-205128.2.3.2.02.02.006.03.</t>
  </si>
  <si>
    <t>52010702- Realizar apoyo al desarrollo recreativo y de actividad física municipal</t>
  </si>
  <si>
    <t>CONVENIO INTERADMINISTRATIVO PARA FOMENTAR LA ACTIVIDAD FÍSICA EN EL MUNICIPIO DE EL RETIRO</t>
  </si>
  <si>
    <t>PRESTACIÓN DE SERVICIOS DE UN ENTRENADOR PARA EL DESARROLLO DEPORTIVO DE LOS ATLETAS DE LA LIGA DE CANOTAJE DE ANTIOQUIA  DEL CENTRO DE DESARROLLO DEPORTIVO EN LA SUBREGIÓN ORIENTE.</t>
  </si>
  <si>
    <t>PRESTACIÓN DE SERVICIOS DE UN ENTRENADOR PARA LA REALIZACIÓN DEL PROCESO DE PREPARACIÓN FÍSICA Y CONDICIONAL EN LOS DEPORTES DE JUDO, LUCHA, KARATE, ESGRIMA Y TAEKWONDO EN LAS MODALIDADES Y CATEGORÍAS DE JUEGOS NACIONALES.</t>
  </si>
  <si>
    <t>PRESTACIÓN DE SERVICIOS DE UN ENTRENADOR PRINCIPAL PARA LA REALIZACIÓN DEL PROCESO DE SELECCIÓN, ENTRENAMIENTO DEPORTIVO Y PARTICIPACIÓN EN COMPETENCIAS EN LA LIGA ANTIOQUEÑA DE ESGRIMA, EN LA MODALIDAD FLORETE, EN CATEGORÍAS DE JUEGOS NACIONALES.</t>
  </si>
  <si>
    <t>PRESTACIÓN DE SERVICIOS PROFESIONALES Y DE APOYO A LA GESTIÓN</t>
  </si>
  <si>
    <t>PRESTACIÓN DE SERVICIOS DE APOYO A LA GESTIÓN EN LA INTERVENCIÓN DEL ACERVO DOCUMENTAL DE INDEPORTES ANTIOQUIA.</t>
  </si>
  <si>
    <t>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t>
  </si>
  <si>
    <t>52010703-Ejecutar_Juegos_Indigenas</t>
  </si>
  <si>
    <t>REALIZAR LOS JUEGOS DEPORTIVOS INDÍGENAS DEL DEPARTAMENTO DE ANTIOQUIA VERSIÓN 2025 EN EL MARCO DEL PLAN DE DESARROLLO “POR ANTIOQUIA FIRME 2024-2027” PARA PROMOVER LA IDENTIDAD CULTURAL, EL DEPORTE SOCIAL COMUNITARIO Y LAS PRÁCTICAS AUTÓCTONAS TRADICIONALES DE LAS COMUNIDADES INDÍGENAS</t>
  </si>
  <si>
    <t>PRESTACIÓN DE SERVICIOS DE APOYO A LA GESTIÓN EN LA ORGANIZACIÓN DEL ARCHIVO DE INDEPORTES ANTIOQUIA.</t>
  </si>
  <si>
    <t>PRESTACIÓN DE SERVICIOS PROFESIONALES JURÍDICOS PARA REALIZAR LA VERIFICACIÓN Y EVALUACIÓN CONTINUA DEL SISTEMA DE CONTROL INTERNO DE INDEPORTES ANTIOQUIA DESDE UNA PERSPECTIVA JURÍDICA.</t>
  </si>
  <si>
    <t>52010803-Otorgar estimulos economicos a los atletas y para atletas por los resultados obtenidos en competencias oficiales</t>
  </si>
  <si>
    <t xml:space="preserve">ENTREGAR ESTÍMULO ECONÓMICO PARA LOS ATLETAS Y PARA-ATLETAS </t>
  </si>
  <si>
    <t>52010803-Otorgar estimulos a atletas y para atletas por proyeccion, talento, reserva deportiva</t>
  </si>
  <si>
    <t>2.43.4302.85.0-101024.2.3.3.08.06.</t>
  </si>
  <si>
    <t>84131600;
85101500;
85101600;
85121500</t>
  </si>
  <si>
    <t>CONTRATAR EL SERVICIO DE ÁREA PROTEGIDA PARA LAS SEDES DE INDEPORTES ANTIOQUIA.</t>
  </si>
  <si>
    <t>1.00.0000.00.0-205616.2.1.2.02.02.009.03.</t>
  </si>
  <si>
    <t>AÑO</t>
  </si>
  <si>
    <t>RENOVACIÓN LICENCIAMIENTO ARCGIS PARA INDEPORTES ANTIOQUIA</t>
  </si>
  <si>
    <t>CONTRATO INTERADMINISTRATIVO PARA LA REALIZACIÓN DEL ENCUENTRO DEPARTAMENTAL DE GERENTES, DIRECTORES O COORDINADORES DE ENTES DEPORTIVOS MUNICIPALES 2025</t>
  </si>
  <si>
    <t xml:space="preserve">MODIFICACIÓN No.1 AL COMODATO No. 224 DE 2021 CUYO OBJETO ES: INDEPORTES ANTIOQUIA HACE ENTREGA REAL Y MATERIAL A LA FUNDACIÓN APOYO AL DEPORTISTA ANTIOQUEÑO –ADA, A TÍTULO DE COMODATO, PARA SU USO GRATUITO Y CON CARGO A RESTITUIRLO, EL INMUEBLE CASA HUÉSPEDES, UBICADO EN LA CARRERA 69 # 49 A – 27 DE LA CIUDAD DE MEDELLÍN. </t>
  </si>
  <si>
    <t>COMODATO</t>
  </si>
  <si>
    <t>PRESTACIÓN DE SERVICIOS DE APOYO A LA GESTIÓN EN EL DESARROLLO DE ACTIVIDADES NECESARIAS PARA EL FUNCIONAMIENTO DE LAS INSTALACIONES DE LA VILLA DEPORTIVA ANTONIO ROLDÁN BETANCUR DE INDEPORTES ANTIOQUIA.</t>
  </si>
  <si>
    <t xml:space="preserve">DISPONIBLE PRESTACIÓN DE SERVICIOS </t>
  </si>
  <si>
    <t>PRESTACIÓN DE SERVICIOS PROFESIONALES COMO FISIOTERAPEUTA PARA INDEPORTES ANTIOQUIA EN LOS SIGUIENTES DEPORTES: PARA ESGRIMA, PARA ARQUERÍA, TIRO PARADEPORTIVO, PARA FUTBOL 11, PARA FUTBOL 5, PARA FUTBOL 7 Y PARA FUTBOL SALA.</t>
  </si>
  <si>
    <t>DISPONIBLE PS JDI</t>
  </si>
  <si>
    <t>DISPONIBLE PS APOYO ADMINISTRATIVO Y FINANCIERO</t>
  </si>
  <si>
    <t>DISPONIBLE PS APOYO JURÍDICO FOMENTO</t>
  </si>
  <si>
    <t>DISPONIBLE PS APOYO TÉCNICO ADMINISTRATIVO FOMENTO</t>
  </si>
  <si>
    <t>DISPONIBLE JUEGOS INTERCOLEGIADOS (TASA PRODEPORTE)</t>
  </si>
  <si>
    <t>DISPONIBLE JDI</t>
  </si>
  <si>
    <t>3.43.4301.73.0-205400.2.3.2.02.02.009.12.</t>
  </si>
  <si>
    <t>49221500
95122306</t>
  </si>
  <si>
    <t>DIPONIBLE DOTACIÓN DE IMPLEMENTACIÓN</t>
  </si>
  <si>
    <t>3.43.4301.74.0-205400.2.3.2.02.01.003.05.</t>
  </si>
  <si>
    <t>DISPONIBLE PRESTACIÓN DE SERVICIOS - FUNCIONAMIENTO</t>
  </si>
  <si>
    <t xml:space="preserve">DISPONIBLE PARA PRESTACIÓN DE SERVICIOS </t>
  </si>
  <si>
    <t>ADICIÓN 1 AL CONTRATO 241 DE 2025 CUYO OBJETO CONTRACTUAL ES: PRESTACIÓN DE SERVICIOS PROFESIONALES ESPECIALIZADOS PARA EL ACOMPAÑAMIENTO DE LOS PROCESOS METODOLÓGICOS PARA LA PREPARACIÓN, PARTICIPACIÓN Y FORTALECIMIENTO TÉCNICO DE LOS PARA-ATLETAS Y DE LOS ORGANISMOS DEPORTIVOS QUE APOYA INDEPORTES ANTIOQUIA.</t>
  </si>
  <si>
    <t>PRESTACIÓN DE SERVICIOS DE UN ENTRENADOR PARA LA REALIZACIÓN DEL PROCESO DE PREPARACIÓN FÍSICA Y CONDICIONAL EN LOS DEPORTES EN LAS MODALIDADES Y CATEGORÍAS DE JUEGOS NACIONALES.</t>
  </si>
  <si>
    <t xml:space="preserve">DISPONIBLE PRESTACIÓN DE SERVICIOS ENTRENADORES </t>
  </si>
  <si>
    <t>ADICIÓN 1 AL CONTRATO 210 DE 2025 CUYO OBJETO ES: PRESTACIÓN DE SERVICIOS DE UN ENTRENADOR PRINCIPAL PARA LA REALIZACIÓN DEL PROCESO DE SELECCIÓN, ENTRENAMIENTO DEPORTIVO Y PARTICIPACIÓN EN COMPETENCIAS EN LA LIGA ANTIOQUEÑA DE LUCHA EN LA MODALIDAD LIBRE, EN CATEGORÍAS DE JUEGOS NACIONALES.</t>
  </si>
  <si>
    <t>CONVENIO CON LA LIGA DE NATACIÓN DE ANTIOQUIA PARA FORTALECER EL PROCESO DE ALTO RENDIMIENTO DE LOS ATLETAS QUE REPRESENTARÁN AL DEPARTAMENTO ANTIOQUIA EN LOS PRÓXIMOS JUEGOS NACIONALES 2027, CONTRIBUYENDO A LA EJECUCIÓN DEL PROGRAMA DESARROLLO DEPORTIVO PARA LA COMPETENCIA.</t>
  </si>
  <si>
    <t xml:space="preserve">MARZO </t>
  </si>
  <si>
    <t>CONVENIO CON LA LIGA DEPORTIVA DE PERSONAS SORDAS DE ANTIOQUIA -LISANT PARA FORTALECER EL PROCESO DE ALTO RENDIMIENTO DE LOS ATLETAS QUE REPRESENTARÁN AL DEPARTAMENTO ANTIOQUIA EN LOS PRÓXIMOS JUEGOS PARANACIONALES 2027, CONTRIBUYENDO A LA EJECUCIÓN DEL PROGRAMA DESARROLLO DEPORTIVO PARA LA COMPETENCIA.</t>
  </si>
  <si>
    <t>CONVENIO CON LA LIGA DE LIMITACIÓN MENTAL DE ANTIOQUIA LIDIMANT PARA FORTALECER EL PROCESO DE ALTO RENDIMIENTO DE LOS ATLETAS QUE REPRESENTARÁN AL DEPARTAMENTO ANTIOQUIA EN LOS PRÓXIMOS JUEGOS PARANACIONALES 2027, CONTRIBUYENDO A LA EJECUCIÓN DEL PROGRAMA DESARROLLO DEPORTIVO PARA LA COMPETENCIA.</t>
  </si>
  <si>
    <t>CONVENIO CON LA LIGA ANTIOQUEÑA DE VOLEIBOL  PARA FORTALECER EL PROCESO DE ALTO RENDIMIENTO DE LOS ATLETAS QUE REPRESENTARÁN AL DEPARTAMENTO ANTIOQUIA EN LOS PRÓXIMOS JUEGOS NACIONALES 2027, CONTRIBUYENDO A LA EJECUCIÓN DEL PROGRAMA DESARROLLO DEPORTIVO PARA LA COMPETENCIA.</t>
  </si>
  <si>
    <t>52010803-Otorgar estímulos a los atletas y para-atletas para la participación en eventos</t>
  </si>
  <si>
    <t>52010803-Otorgar estimulos de educacion a los atletas y para atletas y/o entrenadores</t>
  </si>
  <si>
    <t>ESTÍMULO EDUCATIVO PARA ATLETAS, PARA-ATLETAS Y ENTRENADORES</t>
  </si>
  <si>
    <t xml:space="preserve">ABRIL </t>
  </si>
  <si>
    <t>PRESTACIÓN DE SERVICIOS DE UN ENTRENADOR ASISTENTE PARA LA REALIZACIÓN DEL PROCESO DE SELECCIÓN, ENTRENAMIENTO DEPORTIVO Y PARTICIPACIÓN EN COMPETENCIAS EN LA LIGA DE PATINAJE DE ANTIOQUIA, MODALIDAD VELOCIDAD, EN CATEGORÍAS DE JUEGOS NACIONALES.</t>
  </si>
  <si>
    <t>PRESTACIÓN DE SERVICIOS DE UN ENTRENADOR PRINCIPAL PARA LA REALIZACIÓN DEL PROCESO DE SELECCIÓN, ENTRENAMIENTO DEPORTIVO Y PARTICIPACIÓN EN COMPETENCIAS DE LOS ATLETAS DE VOLEIBOL SENTADO CON DISCAPACIDAD FÍSICA, EN CATEGORÍAS DE JUEGOS PARANACIONALES.</t>
  </si>
  <si>
    <t xml:space="preserve">52010803-Otorgar estimulos de alimentacion a los atletas, para atletas </t>
  </si>
  <si>
    <t>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t>
  </si>
  <si>
    <t>PROCESO COMPETITIVO</t>
  </si>
  <si>
    <t>2.43.4302.85.0-205400.2.3.2.02.02.006.05.</t>
  </si>
  <si>
    <t>CONVENIO CON LA LIGA ANTIOQUEÑA DE LEVANTAMIENTO DE PESAS, PARA EL FORTALECIMIENTO DEL POTENCIAL  Y LA CONSOLIDACIÓN DE LA RESERVA DEPORTIVA EN EL DEPARTAMENTO DE ANTIOQUIA</t>
  </si>
  <si>
    <t>2.43.4302.87.0-205400.2.3.3.09.17.</t>
  </si>
  <si>
    <t>CONVENIO CON LA LIGA DE ATLETISMO DE ANTIOQUIA, PARA EL FORTALECIMIENTO DEL POTENCIAL Y LA CONSOLIDACIÓN DE LA RESERVA DEPORTIVA EN EL DEPARTAMENTO DE ANTIOQUIA.</t>
  </si>
  <si>
    <t>81101706;
41116500;
41116004</t>
  </si>
  <si>
    <t>52010804-Realizar dotacion de equipos (tecnologia), suministros (insumos) e implementos médicos y de ciencias aplicadas</t>
  </si>
  <si>
    <t xml:space="preserve">DISPONIBLE PARA COMPRA DE SUMINISTROS, INSUMOS Y MATERIALES </t>
  </si>
  <si>
    <t xml:space="preserve">SUMINISTROS </t>
  </si>
  <si>
    <t>2.43.4302.03.0-205400.2.3.2.02.01.003.06.</t>
  </si>
  <si>
    <t>LINEA PAA</t>
  </si>
  <si>
    <t>CONTRATO</t>
  </si>
  <si>
    <t>OBJETO</t>
  </si>
  <si>
    <t xml:space="preserve">DEPENDENCIA </t>
  </si>
  <si>
    <t xml:space="preserve">MODALIDAD DE CONTRATACIÓN </t>
  </si>
  <si>
    <t xml:space="preserve">TIPO DE CONTRATO </t>
  </si>
  <si>
    <t>CÉDULA O NIT</t>
  </si>
  <si>
    <t xml:space="preserve">HONORARIOS MES </t>
  </si>
  <si>
    <t>VALOR CONTRATO</t>
  </si>
  <si>
    <t xml:space="preserve">OBSERVACIONES </t>
  </si>
  <si>
    <t>NÚMERO COMITÉ</t>
  </si>
  <si>
    <t>SUPERVISOR TITULAR</t>
  </si>
  <si>
    <t xml:space="preserve">DOCUMENTO </t>
  </si>
  <si>
    <t xml:space="preserve">SUPERVISOR SUPLENTE </t>
  </si>
  <si>
    <t>DOCUMENTO</t>
  </si>
  <si>
    <t>CDP</t>
  </si>
  <si>
    <t>FECHA CDP</t>
  </si>
  <si>
    <t>VALOR CDP</t>
  </si>
  <si>
    <t>RCP</t>
  </si>
  <si>
    <t>FECHA RCP</t>
  </si>
  <si>
    <t>VALOR RCP</t>
  </si>
  <si>
    <t xml:space="preserve">FECHA DE FIRMA </t>
  </si>
  <si>
    <t xml:space="preserve">FECHA APROBACIÓN POLIZA </t>
  </si>
  <si>
    <t>FECHA DE INICIO</t>
  </si>
  <si>
    <t xml:space="preserve">FECHA TERMINACIÓN </t>
  </si>
  <si>
    <t>LINK DE PUBLICACIÓN</t>
  </si>
  <si>
    <t xml:space="preserve">PLAZO </t>
  </si>
  <si>
    <t>Prorroga</t>
  </si>
  <si>
    <t>EXPEDIENTE</t>
  </si>
  <si>
    <t xml:space="preserve">RENDIDO </t>
  </si>
  <si>
    <t>Contrato2</t>
  </si>
  <si>
    <t>CONTRATO3DIG</t>
  </si>
  <si>
    <t>Tiempo entre FPL y hoy (meses)</t>
  </si>
  <si>
    <t>Fecha Proyectada liquidación</t>
  </si>
  <si>
    <t xml:space="preserve">Fecha Real de liquiidación </t>
  </si>
  <si>
    <t>Estado</t>
  </si>
  <si>
    <t>Pagos</t>
  </si>
  <si>
    <t>%</t>
  </si>
  <si>
    <t>Valor pendiente de ejecutar</t>
  </si>
  <si>
    <t>Correo supervisor</t>
  </si>
  <si>
    <t>Correo suplente</t>
  </si>
  <si>
    <t>Correo ordenador del gasto</t>
  </si>
  <si>
    <t>Días de Terminación (dias entre FT y hoy)</t>
  </si>
  <si>
    <t>SUBGERENCIA ADMINISTRATIVA Y FINANCIERA</t>
  </si>
  <si>
    <t>EMPRESA PARA LA SEGURIDAD Y SOLUCIONES URBANAS – ESU</t>
  </si>
  <si>
    <t>062</t>
  </si>
  <si>
    <t>HECTOR FABIAN ARROYAVE SANCHEZ</t>
  </si>
  <si>
    <t>DIGNA EMERITA MARTINEZ GARCIA</t>
  </si>
  <si>
    <t xml:space="preserve">SEISO S.A.S </t>
  </si>
  <si>
    <t>105 DÍAS</t>
  </si>
  <si>
    <t>OFICINA DE SISTEMAS E INFORMÁTICA</t>
  </si>
  <si>
    <t>UNE EPM TELECOMUNICACIONES S.A</t>
  </si>
  <si>
    <t>063</t>
  </si>
  <si>
    <t>JULIANA BERMUDEZ HENAO</t>
  </si>
  <si>
    <t>JUAN DIEGO LONDOÑO TORO</t>
  </si>
  <si>
    <t>58 DÍAS</t>
  </si>
  <si>
    <t>ADA S.A.S.</t>
  </si>
  <si>
    <t>ANDERSON DE JESUS CASTAÑO CATAÑO</t>
  </si>
  <si>
    <t>001</t>
  </si>
  <si>
    <t>LIBIER DARIO JIMENEZ PEÑA</t>
  </si>
  <si>
    <t>CLAUDIA LILIANA DIAZ OSORIO</t>
  </si>
  <si>
    <t>SIN POLIZAS</t>
  </si>
  <si>
    <t>https://community.secop.gov.co/Public/Tendering/ContractNoticePhases/View?PPI=CO1.PPI.36958237&amp;isFromPublicArea=True&amp;isModal=False</t>
  </si>
  <si>
    <t xml:space="preserve">5 MESES </t>
  </si>
  <si>
    <t>SI</t>
  </si>
  <si>
    <t>SUBGERENCIA DE ESCENARIOS DEPORTIVOS Y EQUIPAMIENTOS</t>
  </si>
  <si>
    <t>VICTOR HUGO SIERRA DUQUE</t>
  </si>
  <si>
    <t>DAVID CENDOYA OCAMPO</t>
  </si>
  <si>
    <t>IVAN DARIO GRAJALES VELEZ</t>
  </si>
  <si>
    <t>https://community.secop.gov.co/Public/Tendering/ContractNoticePhases/View?PPI=CO1.PPI.37023764&amp;isFromPublicArea=True&amp;isModal=False</t>
  </si>
  <si>
    <t>157 DÍAS</t>
  </si>
  <si>
    <t>SUBGERENCIA DE DEPORTES ASOCIADO Y ALTOS LOGROS</t>
  </si>
  <si>
    <t>MAURICIO VELASQUEZ CUADROS</t>
  </si>
  <si>
    <t>002</t>
  </si>
  <si>
    <t>JAINE ESTHER TOVAR AMADOR</t>
  </si>
  <si>
    <t>OSCAR MAURICIO BADILLO LIZARRALDE</t>
  </si>
  <si>
    <t>https://community.secop.gov.co/Public/Tendering/ContractNoticePhases/View?PPI=CO1.PPI.37068197&amp;isFromPublicArea=True&amp;isModal=False</t>
  </si>
  <si>
    <t>154 DÍAS</t>
  </si>
  <si>
    <t>ANA MILENA BERNAL GOMEZ</t>
  </si>
  <si>
    <t>https://community.secop.gov.co/Public/Tendering/OpportunityDetail/Index?noticeUID=CO1.NTC.7499302&amp;isFromPublicArea=True&amp;isModal=False</t>
  </si>
  <si>
    <t>5 MESES</t>
  </si>
  <si>
    <t>CECILIA ALZATE GOMEZ</t>
  </si>
  <si>
    <t>https://community.secop.gov.co/Public/Tendering/OpportunityDetail/Index?noticeUID=CO1.NTC.7500135&amp;isFromPublicArea=True&amp;isModal=False</t>
  </si>
  <si>
    <t>JULIAN ESTEBAN ARBELAEZ ZAPATA</t>
  </si>
  <si>
    <t>MARYLUZ RODRIGUEZ URIBE</t>
  </si>
  <si>
    <t>CLAUDIA MARIA PALACIO MORALES</t>
  </si>
  <si>
    <t>https://www.secop.gov.co/CO1BusinessLine/Tendering/ContractNoticeView/Index?prevCtxLbl=Buscar+procesos&amp;prevCtxUrl=https%3a%2f%2fwww.secop.gov.co%3a443%2fCO1BusinessLine%2fTendering%2fContractNoticeManagement%2fIndex&amp;notice=CO1.NTC.7500352</t>
  </si>
  <si>
    <t>SEBASTIAN LOPEZ HERNANDEZ</t>
  </si>
  <si>
    <t>JULIAN LOPEZ LONDOÑO</t>
  </si>
  <si>
    <t>https://community.secop.gov.co/Public/Tendering/OpportunityDetail/Index?noticeUID=CO1.NTC.7491035&amp;isFromPublicArea=True&amp;isModal=False</t>
  </si>
  <si>
    <t>SUBGERENCIA DE FOMENTO Y DESARROLLO DEPORTIVO</t>
  </si>
  <si>
    <t>LILIANA PATRICIA JIMENEZ OCAMPO</t>
  </si>
  <si>
    <t>Gastos de desplazamiento $9.000.000</t>
  </si>
  <si>
    <t>GABRIEL GUILLERMO SIERRA RESTREPO</t>
  </si>
  <si>
    <t>MARIA TERESA DE GUADALUPE MUÑOZ JARAMILLO</t>
  </si>
  <si>
    <t>https://community.secop.gov.co/Public/Tendering/ContractNoticePhases/View?PPI=CO1.PPI.37077205&amp;isFromPublicArea=True&amp;isModal=False</t>
  </si>
  <si>
    <t>8 MESES</t>
  </si>
  <si>
    <t>ASTRID ELENA CASTAÑO ALZATE</t>
  </si>
  <si>
    <t>DAVID TORRES MUÑOZ</t>
  </si>
  <si>
    <t>ANDRES ROBERTO GOMEZ CASTAÑO</t>
  </si>
  <si>
    <t>https://community.secop.gov.co/Public/Tendering/ContractNoticePhases/View?PPI=CO1.PPI.37063867&amp;isFromPublicArea=True&amp;isModal=False</t>
  </si>
  <si>
    <t xml:space="preserve">5 MESES 
4 DÍAS </t>
  </si>
  <si>
    <t>SARA LUCIANA URREGO VILLA</t>
  </si>
  <si>
    <t>JAIRO DE JESUS JIMENEZ MORENO</t>
  </si>
  <si>
    <t>https://community.secop.gov.co/Public/Tendering/ContractNoticePhases/View?PPI=CO1.PPI.37090257&amp;isFromPublicArea=True&amp;isModal=False</t>
  </si>
  <si>
    <t>OFICINA ASESORA DE COMUNICACIONES</t>
  </si>
  <si>
    <t>ASOCIACIÓN COLOMBIANA DE REDACTORES DEPORTIVOS CAPITULO ANTIOQUIA - ACORD ANTIOQUIA</t>
  </si>
  <si>
    <t>LICETH CATALINA CANO GONZALEZ</t>
  </si>
  <si>
    <t>ALEJANDRO ZULUAGA MORA</t>
  </si>
  <si>
    <t>https://community.secop.gov.co/Public/Tendering/OpportunityDetail/Index?noticeUID=CO1.NTC.7491368&amp;isFromPublicArea=True&amp;isModal=False</t>
  </si>
  <si>
    <t>2 MESES</t>
  </si>
  <si>
    <t>WALTER FLORO RIVERA</t>
  </si>
  <si>
    <t>https://community.secop.gov.co/Public/Tendering/OpportunityDetail/Index?noticeUID=CO1.NTC.7554316&amp;isFromPublicArea=True&amp;isModal=False</t>
  </si>
  <si>
    <t>ADRIANA MARIA PATIÑO CAMPUZANO</t>
  </si>
  <si>
    <t>VERONICA URREA GALLO</t>
  </si>
  <si>
    <t>FABIAN DARIO ARANGO LOPEZ</t>
  </si>
  <si>
    <t>https://community.secop.gov.co/Public/Tendering/ContractNoticePhases/View?PPI=CO1.PPI.37147464&amp;isFromPublicArea=True&amp;isModal=False</t>
  </si>
  <si>
    <t xml:space="preserve">SEBASTIAN BEDOYA GIRALDO </t>
  </si>
  <si>
    <t>003</t>
  </si>
  <si>
    <t>https://community.secop.gov.co/Public/Tendering/OpportunityDetail/Index?noticeUID=CO1.NTC.7555122&amp;isFromPublicArea=True&amp;isModal=False</t>
  </si>
  <si>
    <t>126 DÍAS</t>
  </si>
  <si>
    <t>GLADYS PATRICIA GOMEZ BERNAL</t>
  </si>
  <si>
    <t>LUIS FERNANDO LOPEZ VALENCIA</t>
  </si>
  <si>
    <t>https://community.secop.gov.co/Public/Tendering/ContractNoticePhases/View?PPI=CO1.PPI.37222255&amp;isFromPublicArea=True&amp;isModal=False</t>
  </si>
  <si>
    <t>ANYI DANIELA RODRIGUEZ</t>
  </si>
  <si>
    <t>MARTA CECILIA GARCIA FRANCO</t>
  </si>
  <si>
    <t>https://community.secop.gov.co/Public/Tendering/OpportunityDetail/Index?noticeUID=CO1.NTC.7542990&amp;isFromPublicArea=True&amp;isModal=False</t>
  </si>
  <si>
    <t>MATEO MEJIA HERRERA</t>
  </si>
  <si>
    <t>Gastos de desplazamiento $3.000.000</t>
  </si>
  <si>
    <t>https://community.secop.gov.co/Public/Tendering/ContractNoticePhases/View?PPI=CO1.PPI.37182072&amp;isFromPublicArea=True&amp;isModal=False</t>
  </si>
  <si>
    <t>HAROLD PULGARIN RAMIREZ</t>
  </si>
  <si>
    <t>MONICA MARIA ARENAS SOSA</t>
  </si>
  <si>
    <t>ILDA BIBIANA ALVAREZ RUEDA</t>
  </si>
  <si>
    <t>https://community.secop.gov.co/Public/Tendering/ContractNoticePhases/View?PPI=CO1.PPI.37193226&amp;isFromPublicArea=True&amp;isModal=False</t>
  </si>
  <si>
    <t>JUAN MANUEL GALVIS MUÑOZ</t>
  </si>
  <si>
    <t>https://community.secop.gov.co/Public/Tendering/ContractNoticePhases/View?PPI=CO1.PPI.37217365&amp;isFromPublicArea=True&amp;isModal=False</t>
  </si>
  <si>
    <t>SANDRA JANETH GARCIA ZABALA</t>
  </si>
  <si>
    <t>https://community.secop.gov.co/Public/Tendering/ContractNoticePhases/View?PPI=CO1.PPI.37173005&amp;isFromPublicArea=True&amp;isModal=False</t>
  </si>
  <si>
    <t>VANESSA KAMMERER GUTIERREZ</t>
  </si>
  <si>
    <t>JOSE RAMIRO PALACIO ARANGO</t>
  </si>
  <si>
    <t>HECTOR HERNAN ARIAS MUNERA</t>
  </si>
  <si>
    <t>https://community.secop.gov.co/Public/Tendering/OpportunityDetail/Index?noticeUID=CO1.NTC.7528511&amp;isFromPublicArea=True&amp;isModal=False</t>
  </si>
  <si>
    <t>ANA MARIA SERNA SORA</t>
  </si>
  <si>
    <t>https://community.secop.gov.co/Public/Tendering/ContractNoticePhases/View?PPI=CO1.PPI.37187993&amp;isFromPublicArea=True&amp;isModal=False</t>
  </si>
  <si>
    <t>MAURICIO ALONSO PATIÑO ZAPATA</t>
  </si>
  <si>
    <t>Gastos de Desplazamiento $2.005.813</t>
  </si>
  <si>
    <t>https://community.secop.gov.co/Public/Tendering/ContractNoticePhases/View?PPI=CO1.PPI.37353325&amp;isFromPublicArea=True&amp;isModal=False</t>
  </si>
  <si>
    <t>MIGUEL ANGEL RAMIREZ VELEZ</t>
  </si>
  <si>
    <t>GLORIA CECILIA MONTOYA MONTOYA</t>
  </si>
  <si>
    <t>https://community.secop.gov.co/Public/Tendering/ContractNoticePhases/View?PPI=CO1.PPI.37349725&amp;isFromPublicArea=True&amp;isModal=False</t>
  </si>
  <si>
    <t>CARLOS FELIPE GALLEGO RESTREPO</t>
  </si>
  <si>
    <t>LUZ ADRIANA VALENCIA CARMONA</t>
  </si>
  <si>
    <t>https://community.secop.gov.co/Public/Tendering/OpportunityDetail/Index?noticeUID=CO1.NTC.7518869&amp;isFromPublicArea=True&amp;isModal=False</t>
  </si>
  <si>
    <t>SANTIAGO ZAPATA MARIN</t>
  </si>
  <si>
    <t>SANDRA YULIETH PALACIO ARANGO</t>
  </si>
  <si>
    <t>https://community.secop.gov.co/Public/Tendering/ContractNoticePhases/View?PPI=CO1.PPI.37258221&amp;isFromPublicArea=True&amp;isModal=False</t>
  </si>
  <si>
    <t>MONICA ISABEL ALZATE VALENCIA</t>
  </si>
  <si>
    <t>https://community.secop.gov.co/Public/Tendering/ContractNoticePhases/View?PPI=CO1.PPI.37271875&amp;isFromPublicArea=True&amp;isModal=False</t>
  </si>
  <si>
    <t>ANGELA MARIA OQUENDO HERNANDEZ</t>
  </si>
  <si>
    <t>LEON DAVID QUINTERO RESTREPO</t>
  </si>
  <si>
    <t>https://community.secop.gov.co/Public/Tendering/OpportunityDetail/Index?noticeUID=CO1.NTC.7532330&amp;isFromPublicArea=True&amp;isModal=False</t>
  </si>
  <si>
    <t>LEONARDO ALEXIS HIGUITA HERNANDEZ</t>
  </si>
  <si>
    <t>004</t>
  </si>
  <si>
    <t>https://community.secop.gov.co/Public/Tendering/ContractNoticePhases/View?PPI=CO1.PPI.37228877&amp;isFromPublicArea=True&amp;isModal=False</t>
  </si>
  <si>
    <t>10 MESES</t>
  </si>
  <si>
    <t>DARLYN VANESA OTALVARO MONTOYA</t>
  </si>
  <si>
    <t>BETSY JOHANNA OCAMPO MILLAN</t>
  </si>
  <si>
    <t>LUZ VERONICA ARBOLEDA GOMEZ</t>
  </si>
  <si>
    <t>https://community.secop.gov.co/Public/Tendering/ContractNoticePhases/View?PPI=CO1.PPI.37243716&amp;isFromPublicArea=True&amp;isModal=False</t>
  </si>
  <si>
    <t>JOHAN STEVEN HOLGUIN FRANCO</t>
  </si>
  <si>
    <t>LEIDY JOHANA GALLEGO GALLEGO</t>
  </si>
  <si>
    <t>https://community.secop.gov.co/Public/Tendering/ContractNoticePhases/View?PPI=CO1.PPI.37244543&amp;isFromPublicArea=True&amp;isModal=False</t>
  </si>
  <si>
    <t>NATALIA ANDREA ARBELAEZ PEREZ</t>
  </si>
  <si>
    <t>https://community.secop.gov.co/Public/Tendering/OpportunityDetail/Index?noticeUID=CO1.NTC.7568707&amp;isFromPublicArea=True&amp;isModal=False</t>
  </si>
  <si>
    <t xml:space="preserve">MARIA CRISTINA OSORIO FRANCO </t>
  </si>
  <si>
    <t>JAIDER ANDRES LONDOÑO VANEGAS</t>
  </si>
  <si>
    <t>https://community.secop.gov.co/Public/Tendering/OpportunityDetail/Index?noticeUID=CO1.NTC.7554367&amp;isFromPublicArea=True&amp;isModal=False</t>
  </si>
  <si>
    <t>LEDY JULIETH ECHEVERRI ESCOBAR</t>
  </si>
  <si>
    <t>LUISA FERNANDA GAVIRIA CANO</t>
  </si>
  <si>
    <t>CLAUDIA JANNET SALAZAR ARANGO</t>
  </si>
  <si>
    <t>https://community.secop.gov.co/Public/Tendering/OpportunityDetail/Index?noticeUID=CO1.NTC.7561465&amp;isFromPublicArea=True&amp;isModal=False</t>
  </si>
  <si>
    <t>222 DÍAS</t>
  </si>
  <si>
    <t xml:space="preserve">SARA MARTINEZ RENDON </t>
  </si>
  <si>
    <t>https://community.secop.gov.co/Public/Tendering/OpportunityDetail/Index?noticeUID=CO1.NTC.7568898&amp;isFromPublicArea=True&amp;isModal=False</t>
  </si>
  <si>
    <t>CAMILA GOMEZ MARIN</t>
  </si>
  <si>
    <t>https://community.secop.gov.co/Public/Tendering/OpportunityDetail/Index?noticeUID=CO1.NTC.7557873&amp;isFromPublicArea=True&amp;isModal=False</t>
  </si>
  <si>
    <t>PRESTACIÓN DE SERVICIOS PROFESIONALES ESPECIALIZADOS PARA LA GESTIÓN, ADMINISTRACIÓN, Y CONSOLIDACIÓN DE INFORMACIÓN INSTITUCIONAL PARA REALIZAR LA ANALÍTICA DE DATOS DEL OBSERVATORIO DEL DEPORTE DE ANTIOQUIA</t>
  </si>
  <si>
    <t xml:space="preserve">ANDRÉS MAURICIO VALENCIA RUIZ </t>
  </si>
  <si>
    <t>https://community.secop.gov.co/Public/Tendering/ContractNoticePhases/View?PPI=CO1.PPI.37294223&amp;isFromPublicArea=True&amp;isModal=False</t>
  </si>
  <si>
    <t>YENNY PATRICIA LOPEZ LOPEZ</t>
  </si>
  <si>
    <t>005</t>
  </si>
  <si>
    <t>SANDRA MILENA IBARRA HEREDIA</t>
  </si>
  <si>
    <t>https://community.secop.gov.co/Public/Tendering/OpportunityDetail/Index?noticeUID=CO1.NTC.7607090&amp;isFromPublicArea=True&amp;isModal=False</t>
  </si>
  <si>
    <t>DIEGO RAFAEL ECHAVARRIA MUÑOZ</t>
  </si>
  <si>
    <t>CATALINA VASQUEZ RAMIREZ</t>
  </si>
  <si>
    <t>https://community.secop.gov.co/Public/Tendering/OpportunityDetail/Index?noticeUID=CO1.NTC.7595741&amp;isFromPublicArea=True&amp;isModal=False</t>
  </si>
  <si>
    <t>JUAN CAMILO VALENCIA GALVIS</t>
  </si>
  <si>
    <t>VANESSA GOMEZ ARROYAVE</t>
  </si>
  <si>
    <t>https://community.secop.gov.co/Public/Tendering/OpportunityDetail/Index?noticeUID=CO1.NTC.7619376&amp;isFromPublicArea=True&amp;isModal=False</t>
  </si>
  <si>
    <t>MARIA ALEJANDRA PAREJO ORTIZ</t>
  </si>
  <si>
    <t>https://community.secop.gov.co/Public/Tendering/OpportunityDetail/Index?noticeUID=CO1.NTC.7611308&amp;isFromPublicArea=True&amp;isModal=False</t>
  </si>
  <si>
    <t>VIVIAN MELISA TAMAYO HIGUITA</t>
  </si>
  <si>
    <t>https://community.secop.gov.co/Public/Tendering/OpportunityDetail/Index?noticeUID=CO1.NTC.7619856&amp;isFromPublicArea=True&amp;isModal=False</t>
  </si>
  <si>
    <t>OFICINA DE TALENTO HUMANO</t>
  </si>
  <si>
    <t>MARIA CAMILA TORO ECHEVERRI</t>
  </si>
  <si>
    <t>LUCY AUDREY BELTRAN ZAMBRANO</t>
  </si>
  <si>
    <t>CLAUDIA PATRICIA VELEZ ESCOBAR</t>
  </si>
  <si>
    <t>MAGDALENA ROLDAN ESPINAL</t>
  </si>
  <si>
    <t>https://community.secop.gov.co/Public/Tendering/OpportunityDetail/Index?noticeUID=CO1.NTC.7611834&amp;isFromPublicArea=True&amp;isModal=False</t>
  </si>
  <si>
    <t>SANTIAGO AGUILAR RIOS</t>
  </si>
  <si>
    <t>006</t>
  </si>
  <si>
    <t>https://community.secop.gov.co/Public/Tendering/ContractNoticePhases/View?PPI=CO1.PPI.37422058&amp;isFromPublicArea=True&amp;isModal=False</t>
  </si>
  <si>
    <t>299 DÍAS</t>
  </si>
  <si>
    <t>JUAN FERNANDO LOPERA MALO</t>
  </si>
  <si>
    <t>Gastos de Desplazamiento $8.750.000</t>
  </si>
  <si>
    <t>LEIDY SANDRIT ARIZA ZAPATA</t>
  </si>
  <si>
    <t>https://community.secop.gov.co/Public/Tendering/OpportunityDetail/Index?noticeUID=CO1.NTC.7625280&amp;isFromPublicArea=True&amp;isModal=False</t>
  </si>
  <si>
    <t>LENIS SORELY SUAREZ TOBON</t>
  </si>
  <si>
    <t>Gastos de Desplazamiento $11.875.000</t>
  </si>
  <si>
    <t>ANDRES FELIPE SALAZAR LOPEZ</t>
  </si>
  <si>
    <t>https://community.secop.gov.co/Public/Tendering/OpportunityDetail/Index?noticeUID=CO1.NTC.7623480&amp;isFromPublicArea=True&amp;isModal=False</t>
  </si>
  <si>
    <t>MARIA ALEJANDRA RENDON CORREA</t>
  </si>
  <si>
    <t>https://community.secop.gov.co/Public/Tendering/OpportunityDetail/Index?noticeUID=CO1.NTC.7615599&amp;isFromPublicArea=True&amp;isModal=False</t>
  </si>
  <si>
    <t>NATALIA BUSTAMANTE SALAZAR</t>
  </si>
  <si>
    <t>Gastos de Desplazamiento $10.625.000</t>
  </si>
  <si>
    <t>https://community.secop.gov.co/Public/Tendering/OpportunityDetail/Index?noticeUID=CO1.NTC.7623459&amp;isFromPublicArea=True&amp;isModal=False</t>
  </si>
  <si>
    <t>OFICINA DE MEDICINA DEPORTIVA</t>
  </si>
  <si>
    <t>LAURA VICTORIA COLORADO NAVARRO</t>
  </si>
  <si>
    <t>GLADIS MARGOT VADOS CORAL</t>
  </si>
  <si>
    <t>OSCAR MARIO CARDONA ARENAS</t>
  </si>
  <si>
    <t>https://community.secop.gov.co/Public/Tendering/OpportunityDetail/Index?noticeUID=CO1.NTC.7627675&amp;isFromPublicArea=True&amp;isModal=False</t>
  </si>
  <si>
    <t xml:space="preserve">SEBASTIAN VALENCIA AGUIRRE </t>
  </si>
  <si>
    <t>ORFILIA DEL SOCORRO VALENCIA RENDON</t>
  </si>
  <si>
    <t>https://community.secop.gov.co/Public/Tendering/OpportunityDetail/Index?noticeUID=CO1.NTC.7639487&amp;isFromPublicArea=True&amp;isModal=False</t>
  </si>
  <si>
    <t xml:space="preserve">SANDRA MABEL SALAZAR ACEVEDO </t>
  </si>
  <si>
    <t>https://community.secop.gov.co/Public/Tendering/OpportunityDetail/Index?noticeUID=CO1.NTC.7623470&amp;isFromPublicArea=True&amp;isModal=False</t>
  </si>
  <si>
    <t>YEISON NOLBERTO HENAO</t>
  </si>
  <si>
    <t>https://community.secop.gov.co/Public/Tendering/OpportunityDetail/Index?noticeUID=CO1.NTC.7615970&amp;isFromPublicArea=True&amp;isModal=False</t>
  </si>
  <si>
    <t>4 MESES Y 18 DÍAS</t>
  </si>
  <si>
    <t>SARA HENRIQUEZ ARANGO</t>
  </si>
  <si>
    <t>Gastos de Desplazamiento $5.000.000</t>
  </si>
  <si>
    <t>https://community.secop.gov.co/Public/Tendering/OpportunityDetail/Index?noticeUID=CO1.NTC.7615757&amp;isFromPublicArea=True&amp;isModal=False</t>
  </si>
  <si>
    <t>KAREN TATIANA RIVERA MUÑOZ</t>
  </si>
  <si>
    <t>https://community.secop.gov.co/Public/Tendering/OpportunityDetail/Index?noticeUID=CO1.NTC.7634135&amp;isFromPublicArea=True&amp;isModal=False</t>
  </si>
  <si>
    <t>FFRANQUIN LEÓN TAMAYO</t>
  </si>
  <si>
    <t>https://community.secop.gov.co/Public/Tendering/OpportunityDetail/Index?noticeUID=CO1.NTC.7639635&amp;isFromPublicArea=True&amp;isModal=False</t>
  </si>
  <si>
    <t>DORA NANCY MARULANDA DIAZ</t>
  </si>
  <si>
    <t>007</t>
  </si>
  <si>
    <t>CAMILO PEÑA MORA</t>
  </si>
  <si>
    <t>https://community.secop.gov.co/Public/Tendering/OpportunityDetail/Index?noticeUID=CO1.NTC.7660291&amp;isFromPublicArea=True&amp;isModal=False</t>
  </si>
  <si>
    <t>ANDREA FERNANDA ARIAS CORENA</t>
  </si>
  <si>
    <t>ALEJANDRO NAVARRO RINCON</t>
  </si>
  <si>
    <t>https://community.secop.gov.co/Public/Tendering/ContractNoticePhases/View?PPI=CO1.PPI.37497001&amp;isFromPublicArea=True&amp;isModal=False</t>
  </si>
  <si>
    <t>WILLINTON OSPINA MADRIGAL</t>
  </si>
  <si>
    <t>https://community.secop.gov.co/Public/Tendering/ContractNoticePhases/View?PPI=CO1.PPI.37497083&amp;isFromPublicArea=True&amp;isModal=False</t>
  </si>
  <si>
    <t>GASTOS DE DESPLAZAMIENTO</t>
  </si>
  <si>
    <t>013</t>
  </si>
  <si>
    <t>DANIEL ALEJANDRO CUERVO ARANGO</t>
  </si>
  <si>
    <t>https://community.secop.gov.co/Public/Tendering/ContractNoticePhases/View?PPI=CO1.PPI.37498572&amp;isFromPublicArea=True&amp;isModal=False</t>
  </si>
  <si>
    <t xml:space="preserve">FRANCISCO HERNANDO ALVAREZ LONDOÑO </t>
  </si>
  <si>
    <t>https://community.secop.gov.co/Public/Tendering/OpportunityDetail/Index?noticeUID=CO1.NTC.7652771&amp;isFromPublicArea=True&amp;isModal=False</t>
  </si>
  <si>
    <t>NANCY DEL SOCORRO PALACIO RAMIREZ</t>
  </si>
  <si>
    <t>https://community.secop.gov.co/Public/Tendering/OpportunityDetail/Index?noticeUID=CO1.NTC.7651202&amp;isFromPublicArea=True&amp;isModal=False</t>
  </si>
  <si>
    <t>FREDY ALEXANDER URIBE HENAO</t>
  </si>
  <si>
    <t>https://community.secop.gov.co/Public/Tendering/OpportunityDetail/Index?noticeUID=CO1.NTC.7653620&amp;isFromPublicArea=True&amp;isModal=False</t>
  </si>
  <si>
    <t>DIEGO ARMANDO RENDON PARRA</t>
  </si>
  <si>
    <t>GUSTAVO LEON SANCHEZ CADAVID</t>
  </si>
  <si>
    <t>https://community.secop.gov.co/Public/Tendering/OpportunityDetail/Index?noticeUID=CO1.NTC.7648963&amp;isFromPublicArea=True&amp;isModal=False</t>
  </si>
  <si>
    <t>ALEJANDRO RODRIGUEZ HENAO</t>
  </si>
  <si>
    <t>Gastos de Desplazamiento $10.000.000</t>
  </si>
  <si>
    <t>NELSON AUGUSTO HERNANDEZ DIAZ</t>
  </si>
  <si>
    <t>https://community.secop.gov.co/Public/Tendering/OpportunityDetail/Index?noticeUID=CO1.NTC.7672694&amp;isFromPublicArea=True&amp;isModal=False</t>
  </si>
  <si>
    <t>JULIAN DAVID ARANGO VASCO</t>
  </si>
  <si>
    <t>https://community.secop.gov.co/Public/Tendering/OpportunityDetail/Index?noticeUID=CO1.NTC.7660454&amp;isFromPublicArea=True&amp;isModal=False</t>
  </si>
  <si>
    <t xml:space="preserve">ROBINSON DE JESUS RAMIREZ RAMIREZ </t>
  </si>
  <si>
    <t>Gastos de Desplazamiento $18.750.000</t>
  </si>
  <si>
    <t>JUAN MANUEL RAMIREZ CARDENAS</t>
  </si>
  <si>
    <t>LUZ ELENA MARIN OCAMPO</t>
  </si>
  <si>
    <t>https://community.secop.gov.co/Public/Tendering/OpportunityDetail/Index?noticeUID=CO1.NTC.7662790&amp;isFromPublicArea=True&amp;isModal=False</t>
  </si>
  <si>
    <t>JUAN ESTEBAN SILVA ORDOÑEZ</t>
  </si>
  <si>
    <t>SANTIAGO ALFONSO PADILLA LOPEZ</t>
  </si>
  <si>
    <t>https://community.secop.gov.co/Public/Tendering/OpportunityDetail/Index?noticeUID=CO1.NTC.7659668&amp;isFromPublicArea=True&amp;isModal=False</t>
  </si>
  <si>
    <t>JUAN CAMILO HERRERA CANO</t>
  </si>
  <si>
    <t>JHON JAIRO VELASQUEZ BORJA</t>
  </si>
  <si>
    <t>https://community.secop.gov.co/Public/Tendering/OpportunityDetail/Index?noticeUID=CO1.NTC.7660944&amp;isFromPublicArea=True&amp;isModal=False</t>
  </si>
  <si>
    <t xml:space="preserve">ANGEL HORACIO BARRIOS HERNANDEZ </t>
  </si>
  <si>
    <t>https://community.secop.gov.co/Public/Tendering/ContractNoticePhases/View?PPI=CO1.PPI.3751336&amp;isFromPublicArea=True&amp;isModal=False</t>
  </si>
  <si>
    <t>294 DÍAS</t>
  </si>
  <si>
    <t xml:space="preserve">JUAN FERNANDO BONILLA SERNA </t>
  </si>
  <si>
    <t xml:space="preserve">MANUEL SEBASTIAN ARENAS DIAZ </t>
  </si>
  <si>
    <t>https://community.secop.gov.co/Public/Tendering/ContractNoticePhases/View?PPI=CO1.PPI.37590452&amp;isFromPublicArea</t>
  </si>
  <si>
    <t>YEISON ALEJANDRO HINESTROZA PARRA</t>
  </si>
  <si>
    <t>DIEGO ALEXANDER LOPERA GIRALDO</t>
  </si>
  <si>
    <t>LUIS MIGUEL CUENCA MONTOYA</t>
  </si>
  <si>
    <t>https://community.secop.gov.co/Public/Tendering/ContractNoticePhases/View?PPI=CO1.PPI.37581336&amp;isFromPublicArea=True&amp;isModal=False</t>
  </si>
  <si>
    <t>RICARDO PINZON MUÑOZ</t>
  </si>
  <si>
    <t>ANA MARIA LOPERA RINCON</t>
  </si>
  <si>
    <t>DEISY VERONICA MAZO GARCES</t>
  </si>
  <si>
    <t>JUAN DAVID CASTAÑEDA TOBON</t>
  </si>
  <si>
    <t>https://community.secop.gov.co/Public/Tendering/ContractNoticePhases/View?PPI=CO1.PPI.37590452&amp;isFromPublicArea=True&amp;isModal=False</t>
  </si>
  <si>
    <t>MONICA VIVIANA OSPINA OROZCO</t>
  </si>
  <si>
    <t>DAVID ALONSO SANCHEZ POSADA</t>
  </si>
  <si>
    <t>DEIVY JOHAN MEJIA TORRES</t>
  </si>
  <si>
    <t>https://community.secop.gov.co/Public/Tendering/ContractNoticePhases/View?PPI=CO1.PPI.37581336&amp;isFromPublicArea</t>
  </si>
  <si>
    <t>SEBASTIAN DUQUE GOMEZ</t>
  </si>
  <si>
    <t>DIEGO ALEJANDRO MEDINA GOMEZ</t>
  </si>
  <si>
    <t>DORA ALEJANDRA FORERO RAMIREZ</t>
  </si>
  <si>
    <t>JUAN CARLOS MONTOYA URIBE</t>
  </si>
  <si>
    <t>KATISH HIDARI RECALDE CAMPOS</t>
  </si>
  <si>
    <t>LAISY FONSECA RAMIREZ</t>
  </si>
  <si>
    <t>LEONARDO FABIO GONZALEZ GARCIA</t>
  </si>
  <si>
    <t>HERNAN ALONSO OSORIO ESTRADA</t>
  </si>
  <si>
    <t>LUIS ALFONSO VARELA</t>
  </si>
  <si>
    <t>YEFERSON CORREA CANO</t>
  </si>
  <si>
    <t>CARLOS JOVANNY GARCIA CORDOBA</t>
  </si>
  <si>
    <t>DANIEL CHAVERRA CHANCY</t>
  </si>
  <si>
    <t>LIBARDO ANTONIO HOYOS CARMONA</t>
  </si>
  <si>
    <t>LUIS JHONLEY MOSQUERA MURILLO</t>
  </si>
  <si>
    <t>NASLI PEREA</t>
  </si>
  <si>
    <t>RAUL DIAZ QUEJADA</t>
  </si>
  <si>
    <t>LEYSNER ARAGON MENA</t>
  </si>
  <si>
    <t>127 DÍAS</t>
  </si>
  <si>
    <t>JUAN DIEGO DIEZ GONZALEZ</t>
  </si>
  <si>
    <t>OSCAR ALONSO ZULUAGA HERNANDEZ</t>
  </si>
  <si>
    <t>JUAN CAMILO SOTO JARAMILLO</t>
  </si>
  <si>
    <t xml:space="preserve">EDWIN JOVANNY MENESES QUINTERO </t>
  </si>
  <si>
    <t xml:space="preserve">ESTEBAN SERNA MORENO </t>
  </si>
  <si>
    <t>JUAN MANUEL LOPEZ CUERVO</t>
  </si>
  <si>
    <t>EDISON UREY CARDONA GONZALEZ</t>
  </si>
  <si>
    <t>DAVID RIVERA CASTRO</t>
  </si>
  <si>
    <t>JAIR MANUEL GIL DIAZ</t>
  </si>
  <si>
    <t>FELIPE GIL AVENDAÑO</t>
  </si>
  <si>
    <t>DAVID ORLANDO JARAMILLO GOMEZ</t>
  </si>
  <si>
    <t>JORGE WILLIAM BLANDON BOHORQUEZ</t>
  </si>
  <si>
    <t>JUAN SEBASTIAN GIRALDO RAMIREZ</t>
  </si>
  <si>
    <t>DIEGO ANDRES POSADA GIRALDO</t>
  </si>
  <si>
    <t>DANIEL ESTEBAN VILLA SANCHEZ</t>
  </si>
  <si>
    <t xml:space="preserve">SEBASTIAN PARRA BEDOYA </t>
  </si>
  <si>
    <t>IVAN HUMBERTO GERMAN ALVAREZ</t>
  </si>
  <si>
    <t>RUBEN DARIO ARROYAVE RESTREPO</t>
  </si>
  <si>
    <t>PEDRO MANUEL HERNANDEZ LUNA</t>
  </si>
  <si>
    <t>JHONATAN ALBERTO OJEDA LEON</t>
  </si>
  <si>
    <t>CARLOS ALBERTO OJEDA MEJIA</t>
  </si>
  <si>
    <t xml:space="preserve">ALEJANDRO VEGA OSORIO </t>
  </si>
  <si>
    <t>ANGEL AUGUSTO ARRIETA ARTEAGA</t>
  </si>
  <si>
    <t>EDILBERTO JORDAN SALGADO</t>
  </si>
  <si>
    <t>DAVID ARENAS VANEGAS</t>
  </si>
  <si>
    <t>HENRY JHONHADER PANESSO RIVERA</t>
  </si>
  <si>
    <t>WILSON ALEXANDER GARCÍA ARBELAEZ</t>
  </si>
  <si>
    <t>ESTEBAN ALBERTO VALDERRAMA QUICENO</t>
  </si>
  <si>
    <t>DIEGO ALBERTO MONTOYA GOMEZ</t>
  </si>
  <si>
    <t>JUAN DAVID ACEVEDO FLOREZ</t>
  </si>
  <si>
    <t>JOHN ALEXANDER ALCARAZ CERON</t>
  </si>
  <si>
    <t xml:space="preserve">SEBASTIAN GONZALEZ TAMAYO </t>
  </si>
  <si>
    <t>JOHANY ALEJANDRO VERGARA CASTAÑO</t>
  </si>
  <si>
    <t>ALVARO DUBAN MUÑOZ ECHEVERRI</t>
  </si>
  <si>
    <t>JUANA RUEDA VARGAS</t>
  </si>
  <si>
    <t>FREDY JOSE BARON MUÑOZ</t>
  </si>
  <si>
    <t xml:space="preserve">DARLYS PAOLA PEREZ BEGAMBRE </t>
  </si>
  <si>
    <t>JADER CORREA BARON</t>
  </si>
  <si>
    <t>WALTER GABRIEL PINTO VILORIA</t>
  </si>
  <si>
    <t xml:space="preserve">DIANA MARCELA GALLO GIRALDO </t>
  </si>
  <si>
    <t>CARLOS ENRIQUE PLATA BUSTAMANTE</t>
  </si>
  <si>
    <t>MONICA MARIA CORTINEZ BEDOYA</t>
  </si>
  <si>
    <t>CLAUDIA ANDREA ARENAS CASTAÑO</t>
  </si>
  <si>
    <t xml:space="preserve">NESTOR IVAN MOYA ARIAS </t>
  </si>
  <si>
    <t>JOHN ALEJANDRO MACIAS GIL</t>
  </si>
  <si>
    <t>WILBER OXFANDER QUINTERO ROJAS</t>
  </si>
  <si>
    <t>MARIA ISABEL SANCHEZ PATIÑO</t>
  </si>
  <si>
    <t>FABIAN ALBERTO DÍAZ BEDOYA</t>
  </si>
  <si>
    <t>DIONI ESTEBAN SANCHEZ DIOSA</t>
  </si>
  <si>
    <t>JUAN CARLOS MUÑOZ AGUDELO</t>
  </si>
  <si>
    <t>JUAN PABLO PEREZ MEDINA</t>
  </si>
  <si>
    <t>MARIA PATRICIA HENAO ECHEVERRI</t>
  </si>
  <si>
    <t>WILLIAM ALONSO OSORIO SOSA</t>
  </si>
  <si>
    <t xml:space="preserve">MANUEL ARTURO MONCADA BETANCUR </t>
  </si>
  <si>
    <t>JUAN DAVID CORTES AGUDELO</t>
  </si>
  <si>
    <t>MAURICIO GIRALDO VILLA</t>
  </si>
  <si>
    <t>YEFREY ALEXANDER JARAMILLO CEBALLOS</t>
  </si>
  <si>
    <t>CARLOS ALBERTO OROZCO SANCHEZ</t>
  </si>
  <si>
    <t>OSCAR ALIRIO URREGO CARTAGENA</t>
  </si>
  <si>
    <t>EMMANUEL VELASQUEZ ALZATE</t>
  </si>
  <si>
    <t>URIEL GIL RENDON</t>
  </si>
  <si>
    <t>ANYELA MARCELA RIVAS MORENO</t>
  </si>
  <si>
    <t>LUIS ESTEBAN AGUIRRE ESTRADA</t>
  </si>
  <si>
    <t>JUAN FRANCISCO MENDEZ PARDO</t>
  </si>
  <si>
    <t>SANTIAGO MONTOYA ARTEAGA</t>
  </si>
  <si>
    <t>DIEGO ALEJANDRO TORRES TORRES</t>
  </si>
  <si>
    <t xml:space="preserve">DAVID SANTIAGO SANCHEZ PUERTA </t>
  </si>
  <si>
    <t xml:space="preserve">DIEGO ALEJANDRO CUERVO PUERTA </t>
  </si>
  <si>
    <t xml:space="preserve">GIOVANNY RIOS SARMIENTO </t>
  </si>
  <si>
    <t xml:space="preserve">JOHN FREDY ARANGO PANIAGUA </t>
  </si>
  <si>
    <t xml:space="preserve">ALEJANDRO ESTEBAN VALENCIA CALDERON </t>
  </si>
  <si>
    <t>DANIEL JOSE CONTRERAS NAVARRO</t>
  </si>
  <si>
    <t>JOSE MILLER CABANZO ACOSTA</t>
  </si>
  <si>
    <t xml:space="preserve">CAMILO ARTURO HINCAPIE HERNANDEZ </t>
  </si>
  <si>
    <t>LUIS CARLOS SANTAMARIA OSUNA</t>
  </si>
  <si>
    <t xml:space="preserve">JUAN PABLO ROBLEDO PEÑA  </t>
  </si>
  <si>
    <t>BENJAMIN DE JESUS LAVERDE SEGURO</t>
  </si>
  <si>
    <t>CESAR AUGUSTO ACEVEDO ARANGO</t>
  </si>
  <si>
    <t>HECTOR HERNANDO PEREZ MUÑOZ</t>
  </si>
  <si>
    <t>JORGE WILSON JARAMILLO CEBALLOS</t>
  </si>
  <si>
    <t>LUIS FELIPE LAVERDE JIMENEZ</t>
  </si>
  <si>
    <t xml:space="preserve">LEOCADIO DE JESUS VELEZ LOPEZ </t>
  </si>
  <si>
    <t>DIEGO ARMANDO ZULUAGA COGOLLO</t>
  </si>
  <si>
    <t xml:space="preserve">MATEO OTALVARO VAHOZ </t>
  </si>
  <si>
    <t xml:space="preserve">CESAR AUGUSTO LAVERDE RUEDA  </t>
  </si>
  <si>
    <t xml:space="preserve">JORGE LUCIANO FARIAS </t>
  </si>
  <si>
    <t>YESICA ALEJANDRA SALAZAR SOLORZANO</t>
  </si>
  <si>
    <t xml:space="preserve">ZULAY TATIANA GIL ARISTIZABAL </t>
  </si>
  <si>
    <t>CAROLINA ACEVEDO JIMENEZ</t>
  </si>
  <si>
    <t>JULIO YOANDY PEREZ MARTINEZ</t>
  </si>
  <si>
    <t>SHARA STEFANIA MUNERA PULGARIN</t>
  </si>
  <si>
    <t>DIANA MARCELA URAN SALAZAR</t>
  </si>
  <si>
    <t>DIEGO FERNANDO GOMEZ VANEGAS</t>
  </si>
  <si>
    <t>JUAN FERNANDO MESA RIVERA</t>
  </si>
  <si>
    <t>CESAR ARNOLFO DELGADO ALARCON</t>
  </si>
  <si>
    <t>JOSE NEBER ARIAS MENDEZ</t>
  </si>
  <si>
    <t>DIANA CAROLINA SALDARRIAGA BUSTAMANTE</t>
  </si>
  <si>
    <t xml:space="preserve">JOSE JOANY TAMAYO </t>
  </si>
  <si>
    <t>CHARICK ALVAREZ TORRES</t>
  </si>
  <si>
    <t>MARIA CAMILA CRESPO SALAZAR</t>
  </si>
  <si>
    <t>JOSE FERNANDO GOMEZ GIRALDO</t>
  </si>
  <si>
    <t xml:space="preserve">MÓNICA URREGO MONTOYA </t>
  </si>
  <si>
    <t>LIZETH TATIANA MUÑOZ LONDOÑO</t>
  </si>
  <si>
    <t>ENMANUEL HOYOS VICTORIA</t>
  </si>
  <si>
    <t>DAYLON GILBERTO DIAZ ACOSTA</t>
  </si>
  <si>
    <t>JOSE MIGUEL DUQUE ARANGO</t>
  </si>
  <si>
    <t>IVAN DE JESUS DUQUE ARANGO</t>
  </si>
  <si>
    <t>https://community.secop.gov.co/Public/Tendering/ContractNvoticePhases/View?PPI=CO1.PPI.37581336&amp;isFromPublicArea</t>
  </si>
  <si>
    <t>JONATHAN NICOLAS SIERRA RAMIREZ</t>
  </si>
  <si>
    <t xml:space="preserve">DAVID GUTIERREZ PUENTES </t>
  </si>
  <si>
    <t>https://community.secop.gov.co/Public/Tendering/ContractNoticePhases/View?PPI=CO1.PPI.37581336&amp;isFromPublicAr</t>
  </si>
  <si>
    <t>018</t>
  </si>
  <si>
    <t>ABELARDO PARRA LEMOS</t>
  </si>
  <si>
    <t>BEIBIS ANTONIO MENDOZA POLO</t>
  </si>
  <si>
    <t xml:space="preserve">MANUEL ENRIQUE ARBOLEDA PEREZ </t>
  </si>
  <si>
    <t>ANA MARIA RIVERA HENAO</t>
  </si>
  <si>
    <t>008</t>
  </si>
  <si>
    <t>JOHANNA MARCELA POSADA LLANO</t>
  </si>
  <si>
    <t>https://community.secop.gov.co/Public/Tendering/OpportunityDetail/Index?noticeUID=CO1.NTC.7694189&amp;isFromPublicArea=True&amp;isModal=False</t>
  </si>
  <si>
    <t>JUAN CAMILO ZAPATA HERNANDEZ</t>
  </si>
  <si>
    <t>MARGARITA ROSA CASTAÑO MURILLO</t>
  </si>
  <si>
    <t>DAVID FELIPE CONTRERAS CONTRERAS</t>
  </si>
  <si>
    <t xml:space="preserve">OSCAR ALEXANDER RAMOS GARCIA </t>
  </si>
  <si>
    <t>WILMAR ANDRES RUEDA LONDOÑO</t>
  </si>
  <si>
    <t>WALTER SALDARRIAGA MONSALVE</t>
  </si>
  <si>
    <t>JESSICA ALEJANDRA ESTRADA RESTREPO</t>
  </si>
  <si>
    <t>OSCAR WILLINGTON ORTIZ VELASQUEZ</t>
  </si>
  <si>
    <t>ANULADO</t>
  </si>
  <si>
    <t>-</t>
  </si>
  <si>
    <t>IVAN ALEJANDRO VARGAS LOPERA</t>
  </si>
  <si>
    <t>247 DÍAS</t>
  </si>
  <si>
    <t>JUAN CAMILO BERRIO CARDONA</t>
  </si>
  <si>
    <t>SEBASTIAN MONTOYA ARANGO</t>
  </si>
  <si>
    <t>OSCAR ALEJANDRO RIVERA BUITRAGO</t>
  </si>
  <si>
    <t>SULMA SHIRLEY LAGUNA CUBIDES</t>
  </si>
  <si>
    <t xml:space="preserve">JULIANA GIRALDO JARAMILLO </t>
  </si>
  <si>
    <t>EMPRESA DE DESARROLLO URBANO Y RURAL DEL MUNICIPIO DE BELLO "EDUNORTE"</t>
  </si>
  <si>
    <t>https://community.secop.gov.co/Public/Tendering/OpportunityDetail/Index?noticeUID=CO1.NTC.7692944&amp;isFromPublicArea=True&amp;isModal=False</t>
  </si>
  <si>
    <t>OSCAR ALEJANDRO OSPINA BOHORQUEZ</t>
  </si>
  <si>
    <t>Gastos de Desplazamiento $12.500.000</t>
  </si>
  <si>
    <t>https://community.secop.gov.co/Public/Tendering/OpportunityDetail/Index?noticeUID=CO1.NTC.7694895&amp;isFromPublicArea=True&amp;isModal=False</t>
  </si>
  <si>
    <t>SIMON PINEDA DUQUE</t>
  </si>
  <si>
    <t>ARACELLY ARREDONDO PALACIO</t>
  </si>
  <si>
    <t>BEATRIZ ELENA QUICENO GIL</t>
  </si>
  <si>
    <t>https://community.secop.gov.co/Public/Tendering/OpportunityDetail/Index?noticeUID=CO1.NTC.7707666&amp;isFromPublicArea=True&amp;isModal=False</t>
  </si>
  <si>
    <t>WALTER ANDRES AGUDELO TOBON</t>
  </si>
  <si>
    <t>HERNAN MAURICIO VELEZ ALVAREZ</t>
  </si>
  <si>
    <t>https://community.secop.gov.co/Public/Tendering/OpportunityDetail/Index?noticeUID=CO1.NTC.7694215&amp;isFromPublicArea=True&amp;isModal=False</t>
  </si>
  <si>
    <t>JULIAN DAVID OSPINA OSPINA</t>
  </si>
  <si>
    <t>https://community.secop.gov.co/Public/Tendering/OpportunityDetail/Index?noticeUID=CO1.NTC.7695860&amp;isFromPublicArea=True&amp;isModal=False</t>
  </si>
  <si>
    <t>EDER ALEISO SANDOVAL VALENCIA</t>
  </si>
  <si>
    <t>https://community.secop.gov.co/Public/Tendering/OpportunityDetail/Index?noticeUID=CO1.NTC.7695473&amp;isFromPublicArea=True&amp;isModal=False</t>
  </si>
  <si>
    <t>ALEJANDRA JIMENEZ ECHEVERRI</t>
  </si>
  <si>
    <t>Gastos de Desplazamiento $16.250.000</t>
  </si>
  <si>
    <t>https://community.secop.gov.co/Public/Tendering/OpportunityDetail/Index?noticeUID=CO1.NTC.7706863&amp;isFromPublicArea=True&amp;isModal=False</t>
  </si>
  <si>
    <t>HAROLD ALEXANDER LEON ARIAS</t>
  </si>
  <si>
    <t>https://community.secop.gov.co/Public/Tendering/OpportunityDetail/Index?noticeUID=CO1.NTC.7714191&amp;isFromPublicArea=True&amp;isModal=False</t>
  </si>
  <si>
    <t>JHON MARIO NONSOQUE GARCIA</t>
  </si>
  <si>
    <t>https://community.secop.gov.co/Public/Tendering/ContractNoticePhases/View?PPI=CO1.PPI.37624358&amp;isFromPublicArea=True&amp;isModal=False</t>
  </si>
  <si>
    <t>138 DÍAS</t>
  </si>
  <si>
    <t>ERASMO HUMBERTO MUÑOZ GIRALDO</t>
  </si>
  <si>
    <t>HECTOR ABAD CUERVO CAÑOLA</t>
  </si>
  <si>
    <t>https://community.secop.gov.co/Public/Tendering/OpportunityDetail/Index?noticeUID=CO1.NTC.7695577&amp;isFromPublicArea=True&amp;isModal=False</t>
  </si>
  <si>
    <t>PABLO ANDRES URIBE CALLE</t>
  </si>
  <si>
    <t>JULIANA PELAEZ GONZALEZ</t>
  </si>
  <si>
    <t>https://community.secop.gov.co/Public/Tendering/ContractNoticePhases/View?PPI=CO1.PPI.37626559&amp;isFromPublicArea=True&amp;isModal=False</t>
  </si>
  <si>
    <t>240 DÍAS</t>
  </si>
  <si>
    <t>ANDRES FELIPE MUÑOZ PRIETO</t>
  </si>
  <si>
    <t>https://community.secop.gov.co/Public/Tendering/ContractNoticePhases/View?PPI=CO1.PPI.37627524&amp;isFromPublicArea=True&amp;isModal=False</t>
  </si>
  <si>
    <t>300 DÍAS</t>
  </si>
  <si>
    <t>JULIANA JARAMILLO BETANCUR</t>
  </si>
  <si>
    <t>Gastos de Desplazamiento $12.000.000</t>
  </si>
  <si>
    <t>https://community.secop.gov.co/Public/Tendering/OpportunityDetail/Index?noticeUID=CO1.NTC.7691757&amp;isFromPublicArea=True&amp;isModal=False</t>
  </si>
  <si>
    <t>EMPRESA DE PARQUES Y EVENTOS DE ANTIOQUIA - ACTIVA</t>
  </si>
  <si>
    <r>
      <rPr>
        <b/>
        <sz val="8"/>
        <color theme="1"/>
        <rFont val="Arial"/>
        <family val="2"/>
      </rPr>
      <t xml:space="preserve">Supervisión Colegiada 
Financiera: 
</t>
    </r>
    <r>
      <rPr>
        <sz val="8"/>
        <color theme="1"/>
        <rFont val="Arial"/>
        <family val="2"/>
      </rPr>
      <t xml:space="preserve">Sandra Ibarra - Digna Emerita Martinez
</t>
    </r>
    <r>
      <rPr>
        <b/>
        <sz val="8"/>
        <color theme="1"/>
        <rFont val="Arial"/>
        <family val="2"/>
      </rPr>
      <t xml:space="preserve">Juridica: </t>
    </r>
    <r>
      <rPr>
        <sz val="8"/>
        <color theme="1"/>
        <rFont val="Arial"/>
        <family val="2"/>
      </rPr>
      <t xml:space="preserve">
Julian Lopez Londoño
Oscar Mauricio Badillo</t>
    </r>
  </si>
  <si>
    <t>009</t>
  </si>
  <si>
    <t>https://community.secop.gov.co/Public/Tendering/OpportunityDetail/Index?noticeUID=CO1.NTC.7687801&amp;isFromPublicArea=True&amp;isModal=False</t>
  </si>
  <si>
    <t>311 DÍAS</t>
  </si>
  <si>
    <t>CARLOS ANDRES FRANCO SANCHEZ</t>
  </si>
  <si>
    <t>MARY LUZ ARENAS FORONDA</t>
  </si>
  <si>
    <t>https://community.secop.gov.co/Public/Tendering/OpportunityDetail/Index?noticeUID=CO1.NTC.7705473&amp;isFromPublicArea=True&amp;isModal=False</t>
  </si>
  <si>
    <t>CARLOS ALBERTO POSADA ZAPATA</t>
  </si>
  <si>
    <t>https://community.secop.gov.co/Public/Tendering/OpportunityDetail/Index?noticeUID=CO1.NTC.7726572&amp;isFromPublicArea=True&amp;isModal=False</t>
  </si>
  <si>
    <t>JENIFER QUINTERO JIMENEZ</t>
  </si>
  <si>
    <t>https://community.secop.gov.co/Public/Tendering/OpportunityDetail/Index?noticeUID=CO1.NTC.7732167&amp;isFromPublicArea=True&amp;isModal=False</t>
  </si>
  <si>
    <t>RAUL ALERTO MEJIA HINCAPIE</t>
  </si>
  <si>
    <t>https://community.secop.gov.co/Public/Tendering/OpportunityDetail/Index?noticeUID=CO1.NTC.7722300&amp;isFromPublicArea=True&amp;isModal=False</t>
  </si>
  <si>
    <t>https://community.secop.gov.co/Public/Tendering/OpportunityDetail/Index?noticeUID=CO1.NTC.7706572&amp;isFromPublicArea=True&amp;isModal=False</t>
  </si>
  <si>
    <t>UNIVERSIDAD AUTONOMA LATINOAMERICANA UNAULA</t>
  </si>
  <si>
    <t>https://community.secop.gov.co/Public/Tendering/OpportunityDetail/Index?noticeUID=CO1.NTC.7713046&amp;isFromPublicArea=True&amp;isModal=False</t>
  </si>
  <si>
    <t>HECTOR ALONSO MONROY ESCUDERO</t>
  </si>
  <si>
    <t>https://community.secop.gov.co/Public/Tendering/OpportunityDetail/Index?noticeUID=CO1.NTC.7726031&amp;isFromPublicArea=True&amp;isModal=False</t>
  </si>
  <si>
    <t>JUAN CAMILO VELASQUEZ RUEDA</t>
  </si>
  <si>
    <t>MARGARITA MARIA DIAZ ESCOBAR</t>
  </si>
  <si>
    <t>https://community.secop.gov.co/Public/Tendering/OpportunityDetail/Index?noticeUID=CO1.NTC.7726393&amp;isFromPublicArea=True&amp;isModal=False</t>
  </si>
  <si>
    <t>JOHANA PATRICIA RAMIREZ ARGUMEDO</t>
  </si>
  <si>
    <t>https://community.secop.gov.co/Public/Tendering/ContractNoticePhases/View?PPI=CO1.PPI.37726635&amp;isFromPublicArea=True&amp;isModal=False</t>
  </si>
  <si>
    <t xml:space="preserve">MARIA ALEJANDRA GARCES FLOREZ </t>
  </si>
  <si>
    <t>https://community.secop.gov.co/Public/Tendering/ContractNoticePhases/View?PPI=CO1.PPI.37727139&amp;isFromPublicArea=True&amp;isModal=False</t>
  </si>
  <si>
    <t>254 DÍAS</t>
  </si>
  <si>
    <t>MONICA PATRICIA ROMAN GARCES</t>
  </si>
  <si>
    <t>https://community.secop.gov.co/Public/Tendering/OpportunityDetail/Index?noticeUID=CO1.NTC.7741193&amp;isFromPublicArea=True&amp;isModal=False</t>
  </si>
  <si>
    <t>ESTEBAN SANDOVAL VALENCIA</t>
  </si>
  <si>
    <t>https://community.secop.gov.co/Public/Tendering/OpportunityDetail/Index?noticeUID=CO1.NTC.7707198&amp;isFromPublicArea=True&amp;isModal=False</t>
  </si>
  <si>
    <t>https://community.secop.gov.co/Public/Tendering/OpportunityDetail/Index?noticeUID=CO1.NTC.7709040&amp;isFromPublicArea=True&amp;isModal=False</t>
  </si>
  <si>
    <t xml:space="preserve">129 DÍAS </t>
  </si>
  <si>
    <t/>
  </si>
  <si>
    <t xml:space="preserve">JUAN DAVID JARAMILLO RESTREPO </t>
  </si>
  <si>
    <t>010</t>
  </si>
  <si>
    <t>https://community.secop.gov.co/Public/Tendering/ContractNoticePhases/View?PPI=CO1.PPI.37792839&amp;isFromPublicArea=True&amp;isModal=False</t>
  </si>
  <si>
    <t>4 MESES</t>
  </si>
  <si>
    <t>ANA MARIA MARTINEZ OBANDO</t>
  </si>
  <si>
    <t>https://community.secop.gov.co/Public/Tendering/ContractNoticePhases/View?PPI=CO1.PPI.37793631&amp;isFromPublicArea=True&amp;isModal=False</t>
  </si>
  <si>
    <t>UNIVERSIDAD DE ANTIOQUIA</t>
  </si>
  <si>
    <t>https://community.secop.gov.co/Public/Tendering/OpportunityDetail/Index?noticeUID=CO1.NTC.7782544&amp;isFromPublicArea=True&amp;isModal=False</t>
  </si>
  <si>
    <t>GUILLERMO LEON RENDON RENDON</t>
  </si>
  <si>
    <t>https://community.secop.gov.co/Public/Tendering/OpportunityDetail/Index?noticeUID=CO1.NTC.7745591&amp;isFromPublicArea=True&amp;isModal=False</t>
  </si>
  <si>
    <t>ESTUDIO JURIDICO PEREZ &amp; ASOC. S.A.S.</t>
  </si>
  <si>
    <t>DIANA MARCELA DULCEY GUTIERREZ</t>
  </si>
  <si>
    <t>https://community.secop.gov.co/Public/Tendering/OpportunityDetail/Index?noticeUID=CO1.NTC.7758286&amp;isFromPublicArea=True&amp;isModal=False</t>
  </si>
  <si>
    <t>TATIANA LEANY GOMEZ JARAMILLO</t>
  </si>
  <si>
    <t>011</t>
  </si>
  <si>
    <t>CESAR AUGUSTO FRANCO LONDOÑO</t>
  </si>
  <si>
    <t>https://community.secop.gov.co/Public/Tendering/OpportunityDetail/Index?noticeUID=CO1.NTC.7763671&amp;isFromPublicArea=True&amp;isModal=False</t>
  </si>
  <si>
    <t>ASCENSORES SCHINDLER DE COLOMBIA SAS</t>
  </si>
  <si>
    <t>https://community.secop.gov.co/Public/Tendering/OpportunityDetail/Index?noticeUID=CO1.NTC.7792618&amp;isFromPublicArea=True&amp;isModal=False</t>
  </si>
  <si>
    <t>SERVISOFT S.A.</t>
  </si>
  <si>
    <t>https://community.secop.gov.co/Public/Tendering/OpportunityDetail/Index?noticeUID=CO1.NTC.7775890&amp;isFromPublicArea=True&amp;isModal=False</t>
  </si>
  <si>
    <t>ERIKA INES RAMIREZ PEREZ</t>
  </si>
  <si>
    <t>https://community.secop.gov.co/Public/Tendering/OpportunityDetail/Index?noticeUID=CO1.NTC.7801960&amp;isFromPublicArea=True&amp;isModal=False</t>
  </si>
  <si>
    <t>SEBASTIAN DE JESUS MATTOS SOTO</t>
  </si>
  <si>
    <t>https://community.secop.gov.co/Public/Tendering/OpportunityDetail/Index?noticeUID=CO1.NTC.7765708&amp;isFromPublicArea=True&amp;isModal=False</t>
  </si>
  <si>
    <t>YUDI ANDREA CASTAÑEDA VELEZ</t>
  </si>
  <si>
    <t>https://community.secop.gov.co/Public/Tendering/OpportunityDetail/Index?noticeUID=CO1.NTC.7763738&amp;isFromPublicArea=True&amp;isModal=False</t>
  </si>
  <si>
    <t>CLEN DAVID JARAMILLO AGUDELO</t>
  </si>
  <si>
    <t>https://community.secop.gov.co/Public/Tendering/OpportunityDetail/Index?noticeUID=CO1.NTC.7762781&amp;isFromPublicArea=True&amp;isModal=False</t>
  </si>
  <si>
    <t>SARA AGUDELO AGUDELO</t>
  </si>
  <si>
    <t>https://community.secop.gov.co/Public/Tendering/ContractNoticePhases/View?PPI=CO1.PPI.37939854&amp;isFromPublicArea=True&amp;isModal=False</t>
  </si>
  <si>
    <t>LILIANA PATRICIA MARTINEZ</t>
  </si>
  <si>
    <t>012</t>
  </si>
  <si>
    <t>ANA CECILIA JIMENEZ RENGIFO</t>
  </si>
  <si>
    <t>https://community.secop.gov.co/Public/Tendering/OpportunityDetail/Index?noticeUID=CO1.NTC.7792495&amp;isFromPublicArea=True&amp;isModal=False</t>
  </si>
  <si>
    <t>MARIA ADELAYDA PUERTA ZAPATA</t>
  </si>
  <si>
    <t>KARINA SALAZAR ZULUAGA</t>
  </si>
  <si>
    <t>https://community.secop.gov.co/Public/Tendering/ContractNoticePhases/View?PPI=CO1.PPI.37993541&amp;isFromPublicArea=True&amp;isModal=False</t>
  </si>
  <si>
    <t>CINDY PAULINA BUITRAGO ECHEVERRI</t>
  </si>
  <si>
    <t>https://community.secop.gov.co/Public/Tendering/OpportunityDetail/Index?noticeUID=CO1.NTC.7809677&amp;isFromPublicArea=True&amp;isModal=False</t>
  </si>
  <si>
    <t>LUIS ADONIS DURAN PEREIRA</t>
  </si>
  <si>
    <t>MARTHA NURY BOLIVAR</t>
  </si>
  <si>
    <t>https://community.secop.gov.co/Public/Tendering/ContractNoticePhases/View?PPI=CO1.PPI.38016435&amp;isFromPublicArea=True&amp;isModal=False</t>
  </si>
  <si>
    <t>CLAUDIA ELENA MOLINA GONZALEZ</t>
  </si>
  <si>
    <t>ESMERALDA SOLEDAD ROSAS RESTREPO</t>
  </si>
  <si>
    <t>CARLOS ANDRES NIEBLES LOPEZ</t>
  </si>
  <si>
    <t>https://community.secop.gov.co/Public/Tendering/ContractNoticePhases/View?PPI=CO1.PPI.37992304&amp;isFromPublicArea=True&amp;isModal=False</t>
  </si>
  <si>
    <t xml:space="preserve">DIEGO FERNANDO OSORIO JARAMILLO </t>
  </si>
  <si>
    <t>https://community.secop.gov.co/Public/Tendering/ContractNoticePhases/View?PPI=CO1.PPI.38002412&amp;isFromPublicArea=True&amp;isModal=False</t>
  </si>
  <si>
    <t xml:space="preserve">FEDERICO CARDONA SERNA </t>
  </si>
  <si>
    <t>MANUEL ANTONIO RODRIGUEZ PEREZ</t>
  </si>
  <si>
    <t>https://community.secop.gov.co/Public/Tendering/ContractNoticePhases/View?PPI=CO1.PPI.38000269&amp;isFromPublicArea=True&amp;isModal=False</t>
  </si>
  <si>
    <t xml:space="preserve">STEFANIA PUERTA VALENCIA </t>
  </si>
  <si>
    <t>https://community.secop.gov.co/Public/Tendering/ContractNoticePhases/View?PPI=CO1.PPI.37998387&amp;isFromPublicArea=True&amp;isModal=False</t>
  </si>
  <si>
    <t>240 DIAS</t>
  </si>
  <si>
    <t>CRISTINA RAMIREZ MORALES</t>
  </si>
  <si>
    <t>https://community.secop.gov.co/Public/Tendering/ContractN oticePhases/View?PPI=CO1.PPI.37985975&amp;isFromPublicArea =True&amp;isModal=False</t>
  </si>
  <si>
    <t>278 DÍAS</t>
  </si>
  <si>
    <t>RAUL EDGARDO PABON PORRAS</t>
  </si>
  <si>
    <t>194 DÍAS</t>
  </si>
  <si>
    <t>LUIS FERNANDO LOPERA MORALES</t>
  </si>
  <si>
    <t>243 DÍAS</t>
  </si>
  <si>
    <t>MIGUEL ANDRES ZAPATA ALVAREZ</t>
  </si>
  <si>
    <t>277 DÍAS</t>
  </si>
  <si>
    <t xml:space="preserve">JORGE IGNACIO RUIZ GUTIERREZ </t>
  </si>
  <si>
    <t>JOHN ALEXANDER HOYOS OCAMPO</t>
  </si>
  <si>
    <t>PRINCESA MARIA OLIVEROS BOHORQUEZ</t>
  </si>
  <si>
    <t>ANGEL SALCEDO GOMEZ</t>
  </si>
  <si>
    <t>156 DÍAS</t>
  </si>
  <si>
    <t>MANUEL ARTURO OREJUELA MOSQUERA</t>
  </si>
  <si>
    <t>NORALDO PALACIOS RIVAS</t>
  </si>
  <si>
    <t xml:space="preserve">JUAN JIMENEZ PÉREZ </t>
  </si>
  <si>
    <t xml:space="preserve">JUAN CAMILO GIRALDO ALVAREZ </t>
  </si>
  <si>
    <t xml:space="preserve">JUAN DAVID PEÑA JIMENEZ </t>
  </si>
  <si>
    <t>JOHANA MARCELA ARAQUE MEJIA</t>
  </si>
  <si>
    <t>JAIME ALONSO RESTREPO ESTRADA</t>
  </si>
  <si>
    <t>JHON FREDDY GOMEZ GARZON</t>
  </si>
  <si>
    <t xml:space="preserve">ROBERTO GARCIA PANTOJA </t>
  </si>
  <si>
    <t>121 DÍAS</t>
  </si>
  <si>
    <t>LUIS FELIPE JIMENEZ HINCAPIE</t>
  </si>
  <si>
    <t xml:space="preserve">CRISTIAN CAMILO HIGUITA ALVAREZ </t>
  </si>
  <si>
    <t>SEBASTIAN MEJIA GIL</t>
  </si>
  <si>
    <t>LUIS ALBERTO GARCES CARVAJALINO</t>
  </si>
  <si>
    <t xml:space="preserve">JUAN ESTEBAN AGUDELO ZEA </t>
  </si>
  <si>
    <t xml:space="preserve">JORGE MARIO ARBELAEZ AGUILAR </t>
  </si>
  <si>
    <t xml:space="preserve">MIGUEL MAURICIO MACIAS </t>
  </si>
  <si>
    <t>JUAN CARLOS BARCO CARDONA</t>
  </si>
  <si>
    <t>SERGIO ANDRES GIRALDO ARISTIZABAL</t>
  </si>
  <si>
    <t>SEBASTIAN QUINTO RUIZ</t>
  </si>
  <si>
    <t xml:space="preserve">JOSE ALIRIO RODRIGUEZ </t>
  </si>
  <si>
    <t>DIANA MARCELA AGUASACO RABA</t>
  </si>
  <si>
    <t xml:space="preserve">JONATHAN ARLEY NARANJO HURTADO </t>
  </si>
  <si>
    <t>JORGE LEONARDO PALENCIA CORREA</t>
  </si>
  <si>
    <t>JAIRO ANIBAL COSSIO ZAPATA</t>
  </si>
  <si>
    <t>JUAN FRANCISCO RUIZ MORELOS</t>
  </si>
  <si>
    <t>MONICA MARIA PICON VALENCIA</t>
  </si>
  <si>
    <t xml:space="preserve">GABRIEL MENA MARTINEZ </t>
  </si>
  <si>
    <t>JOHN JAIME GONZALEZ JIMENEZ</t>
  </si>
  <si>
    <t>MARTHA CECILIA PEMBERTY MAZO</t>
  </si>
  <si>
    <t xml:space="preserve">JOSE JULIAN SALDARRIAGA ZAPATA </t>
  </si>
  <si>
    <t xml:space="preserve">VALENTINA HIDALGO LÓPEZ </t>
  </si>
  <si>
    <t xml:space="preserve">LINA FERNANDA VARGAS ALZATE </t>
  </si>
  <si>
    <t>SERGIO HERNANDEZ URANGO</t>
  </si>
  <si>
    <t>YOANYS PEREZ MUÑOZ</t>
  </si>
  <si>
    <t>PRESTACIÓN DE SERVICIOS DE UN ENTRENADOR ASISTENTE PARA LA REALIZACIÓN DEL PROCESO DE SELECCIÓN, ENTRENAMIENTO DEPORTIVO Y PARTICIPACIÓN EN COMPETENCIAS EN LA LIGA ANTIOQUEÑA DE JUDO, EN LA MODALIDAD COMBATE, EN CATEGORÍAS DE JUEGOS NACIONALES.</t>
  </si>
  <si>
    <t>YEISON DARIO VARGAS ZAPATA</t>
  </si>
  <si>
    <t>SARA ZAPATA HERNANDEZ</t>
  </si>
  <si>
    <t>JUAN CAMILO CARDENAS ZAPATA</t>
  </si>
  <si>
    <t>HAROLD DAVID CUESTA RIOS</t>
  </si>
  <si>
    <t>NATALI ATEHORTUA ZULUAGA</t>
  </si>
  <si>
    <t>https://community.secop.gov.co/Public/Tendering/ContractNoticePhases/View?PPI=CO1.PPI.38179134&amp;isFromPublicArea=True&amp;isModal=False</t>
  </si>
  <si>
    <t>284 DÍAS</t>
  </si>
  <si>
    <t>JAIME ANDRES LONDOÑO</t>
  </si>
  <si>
    <t>Gastos de Desplazamiento $8.000.000</t>
  </si>
  <si>
    <t>https://community.secop.gov.co/Public/Tendering/OpportunityDetail/Index?noticeUID=CO1.NTC.7850066&amp;isFromPublicArea=True&amp;isModal=False</t>
  </si>
  <si>
    <t>UNIVERSIDAD CATOLICA DE ORIENTE</t>
  </si>
  <si>
    <t>https://community.secop.gov.co/Public/Tendering/OpportunityDetail/Index?noticeUID=CO1.NTC.7866646&amp;isFromPublicArea=True&amp;isModal=False</t>
  </si>
  <si>
    <t>JACKSON DAVID PEREZ BOTERO</t>
  </si>
  <si>
    <t>Gastos de Desplazamiento $9.000.000</t>
  </si>
  <si>
    <t>https://community.secop.gov.co/Public/Tendering/OpportunityDetail/Index?noticeUID=CO1.NTC.7850698&amp;isFromPublicArea=True&amp;isModal=False</t>
  </si>
  <si>
    <t>285 DÍAS</t>
  </si>
  <si>
    <t>OMAR JOSE TANGARIFE VANEGAS</t>
  </si>
  <si>
    <t>https://community.secop.gov.co/Public/Tendering/ContractNoticePhases/View?PPI=CO1.PPI.38145576&amp;isFromPublicArea=True&amp;isModal=False</t>
  </si>
  <si>
    <t>RENTING DE ANTIOQUIA</t>
  </si>
  <si>
    <r>
      <rPr>
        <b/>
        <sz val="8"/>
        <color theme="1"/>
        <rFont val="Arial"/>
        <family val="2"/>
      </rPr>
      <t xml:space="preserve">Supervisión Colegiada 
Financiera: 
</t>
    </r>
    <r>
      <rPr>
        <sz val="8"/>
        <color theme="1"/>
        <rFont val="Arial"/>
        <family val="2"/>
      </rPr>
      <t xml:space="preserve">Digna Emerita Martinez - Fabian Arroyave
</t>
    </r>
    <r>
      <rPr>
        <b/>
        <sz val="8"/>
        <color theme="1"/>
        <rFont val="Arial"/>
        <family val="2"/>
      </rPr>
      <t xml:space="preserve">Juridica: </t>
    </r>
    <r>
      <rPr>
        <sz val="8"/>
        <color theme="1"/>
        <rFont val="Arial"/>
        <family val="2"/>
      </rPr>
      <t xml:space="preserve">
Julian Lopez Londoño
Oscar Mauricio Badillo</t>
    </r>
  </si>
  <si>
    <t>JOHN ALBERTO BETANCUR MAYA</t>
  </si>
  <si>
    <t>https://community.secop.gov.co/Public/Tendering/OpportunityDetail/Index?noticeUID=CO1.NTC.7830275&amp;isFromPublicArea=True&amp;isModal=False</t>
  </si>
  <si>
    <t>GABRIEL JAIME URIBE CADAVID</t>
  </si>
  <si>
    <t>HUGO ALEXANDER OSORIO JARAMILLO</t>
  </si>
  <si>
    <t>https://community.secop.gov.co/Public/Tendering/ContractNoticePhases/View?PPI=CO1.PPI.38160204&amp;isFromPublicArea=True&amp;isModal=False</t>
  </si>
  <si>
    <t>HECTOR ORLANDO  ORTIZ ECHEVERRI</t>
  </si>
  <si>
    <t>https://community.secop.gov.co/Public/Tendering/ContractNoticePhases/View?PPI=CO1.PPI.38146561&amp;isFromPublicArea=True&amp;isModal=False</t>
  </si>
  <si>
    <t>ASOCIACIÓN DE CABILDOS INDIGENAS Y DE AUTORIDADES TRADICIONALES DE ANTIOQUIA OIA</t>
  </si>
  <si>
    <t>https://community.secop.gov.co/Public/Tendering/OpportunityDetail/Index?noticeUID=CO1.NTC.7842129&amp;isFromPublicArea=True&amp;isModal=False</t>
  </si>
  <si>
    <t>1 MES</t>
  </si>
  <si>
    <t>CARLOS ALBERTO HENAO MESA</t>
  </si>
  <si>
    <t>https://community.secop.gov.co/Public/Tendering/OpportunityDetail/Index?noticeUID=CO1.NTC.7836399&amp;isFromPublicArea=True&amp;isModal=False</t>
  </si>
  <si>
    <t>EMMANUEL URREGO CUARTAS</t>
  </si>
  <si>
    <t>014</t>
  </si>
  <si>
    <t>https://community.secop.gov.co/Public/Tendering/OpportunityDetail/Index?noticeUID=CO1.NTC.7847663&amp;isFromPublicArea=True&amp;isModal=False</t>
  </si>
  <si>
    <t>BEATRIZ EUGENIA CHAVERRA CORDOBA</t>
  </si>
  <si>
    <t>https://community.secop.gov.co/Public/Tendering/OpportunityDetail/Index?noticeUID=CO1.NTC.7847772&amp;isFromPublicArea=True&amp;isModal=False</t>
  </si>
  <si>
    <t>208 DÍAS</t>
  </si>
  <si>
    <t>DIANA PATRICIA SUAREZ ARENAS</t>
  </si>
  <si>
    <t>https://community.secop.gov.co/Public/Tendering/OpportunityDetail/Index?noticeUID=CO1.NTC.7879477&amp;isFromPublicArea=True&amp;isModal=False</t>
  </si>
  <si>
    <t>ANA MARIA CASTAÑO OCHOA</t>
  </si>
  <si>
    <t>https://community.secop.gov.co/Public/Tendering/ContractNoticePhases/View?PPI=CO1.PPI.38208971&amp;isFromPublicArea=True&amp;isModal=False</t>
  </si>
  <si>
    <t>VERONICA GONZALEZ ALEMAN</t>
  </si>
  <si>
    <t>https://community.secop.gov.co/Public/Tendering/ContractNoticePhases/View?PPI=CO1.PPI.38209370&amp;isFromPublicArea=True&amp;isModal=False</t>
  </si>
  <si>
    <t>MARIA ALEJANDRA VALDERRAMA GONZALEZ</t>
  </si>
  <si>
    <t>HUGO HERNANDO HOYOS GARCIA</t>
  </si>
  <si>
    <t>OLGA LUCIA QUIROZ BASTIDAS</t>
  </si>
  <si>
    <t>https://community.secop.gov.co/Public/Tendering/ContractNoticePhases/View?PPI=CO1.PPI.38209677&amp;isFromPublicArea=True&amp;isModal=False</t>
  </si>
  <si>
    <t>MIRIAM DEL SOCORRO GOMEZ JIMENEZ</t>
  </si>
  <si>
    <t>https://community.secop.gov.co/Public/Tendering/OpportunityDetail/Index?noticeUID=CO1.NTC.7849615&amp;isFromPublicArea=True&amp;isModal=False</t>
  </si>
  <si>
    <t>JUAN SEBASTIAN MALDONADO ALVAREZ</t>
  </si>
  <si>
    <t>https://community.secop.gov.co/Public/Tendering/OpportunityDetail/Index?noticeUID=CO1.NTC.7862536&amp;isFromPublicArea=True&amp;isModal=False</t>
  </si>
  <si>
    <t>150 DÍAS</t>
  </si>
  <si>
    <t>JORGE LUIS CASTRO GARCIA</t>
  </si>
  <si>
    <t>Gastos de Desplazamiento $7.875.000</t>
  </si>
  <si>
    <t>015</t>
  </si>
  <si>
    <t>CARLOS MARIO FLOREZ PEREIRA</t>
  </si>
  <si>
    <t>https://community.secop.gov.co/Public/Tendering/OpportunityDetail/Index?noticeUID=CO1.NTC.7879086&amp;isFromPublicArea=True&amp;isModal=False</t>
  </si>
  <si>
    <t>9 MESES</t>
  </si>
  <si>
    <t>LIGA DE BEISBOL DE ANTIOQUIA</t>
  </si>
  <si>
    <t>https://community.secop.gov.co/Public/Tendering/ContractNoticePhases/View?PPI=CO1.PPI.38312040&amp;isFromPublicArea=True&amp;isModal=False</t>
  </si>
  <si>
    <t>LIGA DE TENIS DE CAMPO DE ANTIOQUIA -L.A.T.</t>
  </si>
  <si>
    <t>https://community.secop.gov.co/Public/Tendering/ContractNoticePhases/View?PPI=CO1.PPI.38312524&amp;isFromPublicArea=True&amp;isModal=False</t>
  </si>
  <si>
    <t>ASOCIACIÓN DE ENTES DEPORTIVOS DEL SUROESTE ANTIOQUEÑO</t>
  </si>
  <si>
    <t>https://community.secop.gov.co/Public/Tendering/OpportunityDetail/Index?noticeUID=CO1.NTC.7896687&amp;isFromPublicArea=True&amp;isModal=False</t>
  </si>
  <si>
    <t>LIGA ANTIOQUEÑA DE RUGBY FUTBOL</t>
  </si>
  <si>
    <t>https://community.secop.gov.co/Public/Tendering/ContractNoticePhases/View?PPI=CO1.PPI.38375361&amp;isFromPublicArea=True&amp;isModal=False</t>
  </si>
  <si>
    <t>SANDRA JANETH BUSTAMANTE CASTRILLON</t>
  </si>
  <si>
    <t>https://community.secop.gov.co/Public/Tendering/OpportunityDetail/Index?noticeUID=CO1.NTC.7920429&amp;isFromPublicArea=True&amp;isModal=False</t>
  </si>
  <si>
    <t>ISABEL STELLA EUSE VALENCIA</t>
  </si>
  <si>
    <t>016</t>
  </si>
  <si>
    <t>https://community.secop.gov.co/Public/Tendering/OpportunityDetail/Index?noticeUID=CO1.NTC.7898405&amp;isFromPublicArea=True&amp;isModal=False</t>
  </si>
  <si>
    <t>LUDWING ORLANDO LOZANO MUÑOZ</t>
  </si>
  <si>
    <t>Gastos de Desplazamiento $10.233.746</t>
  </si>
  <si>
    <t>MARIA MONICA PUERTA JARAMILLO</t>
  </si>
  <si>
    <t>https://community.secop.gov.co/Public/Tendering/ContractNoticePhases/View?PPI=CO1.PPI.38311474&amp;isFromPublicArea=True&amp;isModal=False</t>
  </si>
  <si>
    <t>250 DÍAS</t>
  </si>
  <si>
    <t>30 DÍAS</t>
  </si>
  <si>
    <t xml:space="preserve">JUAN FELIPE GIRALDO CARDONA </t>
  </si>
  <si>
    <t>https://community.secop.gov.co/Public/Tendering/ContractNoticePhases/View?PPI=CO1.PPI.38496699&amp;isFromPublicArea=True&amp;isModal=False</t>
  </si>
  <si>
    <t>019</t>
  </si>
  <si>
    <t>https://community.secop.gov.co/Public/Tendering/OpportunityDetail/Index?noticeUID=CO1.NTC.7964505&amp;isFromPublicArea=True&amp;isModal=Fals</t>
  </si>
  <si>
    <t xml:space="preserve">8 MESES
11 DÍAS </t>
  </si>
  <si>
    <t>community.secop.gov.co/Public/Tendering/OpportunityDetail/Index?noticeUID=CO1.NTC.7945151&amp;isFromPublicArea=True&amp;isModal=False</t>
  </si>
  <si>
    <t>CLARA EUGENIA GIRALDO AGREDO</t>
  </si>
  <si>
    <t>020</t>
  </si>
  <si>
    <t>https://community.secop.gov.co/Public/Tendering/OpportunityDetail/Index?noticeUID=CO1.NTC.7964962&amp;isFromPublicArea=True&amp;isModal=False</t>
  </si>
  <si>
    <t>INSTITUTO MUNICIPAL DE DEPORTE Y RECREACIÓN "IMDER" DE EL RETIRO</t>
  </si>
  <si>
    <t>Aportes MUNICIPIO
$25.440.000
Total Contrato  $72.960.000</t>
  </si>
  <si>
    <t>https://community.secop.gov.co/Public/Tendering/OpportunityDetail/Index?noticeUID=CO1.NTC.7972300&amp;isFromPublicArea=True&amp;isModal=False</t>
  </si>
  <si>
    <t>261 DIAS</t>
  </si>
  <si>
    <t>SOCIEDAD TELEVISIÓN DE ANTIOQUIA LIMITADA</t>
  </si>
  <si>
    <t>021</t>
  </si>
  <si>
    <t>SANTIAGO DIAZ MONTOYA</t>
  </si>
  <si>
    <t>https://community.secop.gov.co/Public/Tendering/OpportunityDetail/Index?noticeUID=CO1.NTC.7966348&amp;isFromPublicArea=True&amp;isModal=False</t>
  </si>
  <si>
    <t>LIGA ANTIOQUEÑA DE TAEKWONDO</t>
  </si>
  <si>
    <t>https://community.secop.gov.co/Public/Tendering/ContractNoticePhases/View?PPI=CO1.PPI.38707383&amp;isFromPublicArea=True&amp;isModal=False</t>
  </si>
  <si>
    <t>JUAN CAMILO DUQUE HIDALGO</t>
  </si>
  <si>
    <t>022</t>
  </si>
  <si>
    <t>https://community.secop.gov.co/Public/Tendering/OpportunityDetail/Index?noticeUID=CO1.NTC.7995766&amp;isFromPublicArea=True&amp;isModal=False</t>
  </si>
  <si>
    <t>JAVIER FELIPE PEREZ FORERO</t>
  </si>
  <si>
    <t>Gastos de Desplazamiento $14.000.000</t>
  </si>
  <si>
    <t>023</t>
  </si>
  <si>
    <t>260 DÍAS</t>
  </si>
  <si>
    <t>LIGA DE PATINAJE DE ANTIOQUIA</t>
  </si>
  <si>
    <t>https://community.secop.gov.co/Public/Tendering/ContractNoticePhases/View?PPI=CO1.PPI.38945085&amp;isFromPublicArea=True&amp;isModal=False</t>
  </si>
  <si>
    <t xml:space="preserve">INSTITUTO PARA EL FOMENTO DE LA RECREACION Y EL DEPORTE DE EL SANTUARIO </t>
  </si>
  <si>
    <t>Aportes MUNICIPIO
$212.500.000
Total Contrato  $996.707.183</t>
  </si>
  <si>
    <t>WILLIAM FERNANDO GOMEZ CORREA</t>
  </si>
  <si>
    <t>https://community.secop.gov.co/Public/Tendering/OpportunityDetail/Index?noticeUID=CO1.NTC.7995184&amp;isFromPublicArea=True&amp;isModal=False</t>
  </si>
  <si>
    <t>MUNICIPIO DE ENTRERRIOS</t>
  </si>
  <si>
    <t>Aportes MUNICIPIO
$64.000.000
Total Contrato  $669.015.050</t>
  </si>
  <si>
    <t>https://community.secop.gov.co/Public/Tendering/OpportunityDetail/Index?noticeUID=CO1.NTC.7995320&amp;isFromPublicArea=True&amp;isModal=False</t>
  </si>
  <si>
    <t xml:space="preserve"> 4 MESES </t>
  </si>
  <si>
    <t xml:space="preserve">JOHN JADER FIGUEROA ORLAS </t>
  </si>
  <si>
    <t>https://community.secop.gov.co/Public/Tendering/ContractNoticePhases/View?PPI=CO1.PPI.38947651&amp;isFromPublicArea=True&amp;isModal=False</t>
  </si>
  <si>
    <t>236 DÍAS</t>
  </si>
  <si>
    <t>MIGUEL ANGEL TOBON ARISTIZABAL</t>
  </si>
  <si>
    <t>https://community.secop.gov.co/Public/Tendering/ContractNoticePhases/View?PPI=CO1.PPI.38949607&amp;isFromPublicArea=True&amp;isModal=False</t>
  </si>
  <si>
    <t>NICOLAS BAYRON LOPEZ CARMONA</t>
  </si>
  <si>
    <t>https://community.secop.gov.co/Public/Tendering/ContractNoticePhases/View?PPI=CO1.PPI.38949845&amp;isFromPublicArea=True&amp;isModal=False</t>
  </si>
  <si>
    <t>VALERIA JULIETH GAVIRIA HERRERA</t>
  </si>
  <si>
    <t>https://community.secop.gov.co/Public/Tendering/ContractNoticePhases/View?PPI=CO1.PPI.38950616&amp;isFromPublicArea=True&amp;isModal=False</t>
  </si>
  <si>
    <t>LIGA DE AJEDREZ DE ANTIOQUIA</t>
  </si>
  <si>
    <t>https://community.secop.gov.co/Public/Tendering/ContractNoticePhases/View?PPI=CO1.PPI.38952940&amp;isFromPublicArea=True&amp;isModal=False</t>
  </si>
  <si>
    <t>ALEJANDRO MEJIA CASTAÑEDA</t>
  </si>
  <si>
    <t>Gastos de Desplazamiento $6.755.087</t>
  </si>
  <si>
    <t xml:space="preserve">https://community.secop.gov.co/Public/Tendering/ContractNoticePhases/View?PPI=CO1.PPI.38981235&amp;isFromPublicArea </t>
  </si>
  <si>
    <t>257 DÍAS</t>
  </si>
  <si>
    <t>CAJA DE COMPENSACIÓN FAMILIAR DE ANTIOQUIA COMFAMA</t>
  </si>
  <si>
    <t>PRESTACIÓN DE SERVICIOS PROFESIONALES ESPECIALIZADOS PARA ACOMPAÑAR LA ARTICULACIÓN DE LAS POLÍTICAS PÚBLICAS Y LOS PLANES INSTITUCIONALES DE INDEPORTES ANTIOQUIA EN EL MARCO DEL PROYECTO DE FORTALECIMIENTO DE LOS SISTEMAS DE INFORMACIÓN Y LA GESTIÓN ESTRATÉGICA PARA EL DEPORTE, LA RECREACIÓN Y LA ACTIVIDAD FÍSICA</t>
  </si>
  <si>
    <t>OFICINA ASESORA DE PLANEACIÓN</t>
  </si>
  <si>
    <t>MANUEL STEFANO GÓMEZ CASTAÑO</t>
  </si>
  <si>
    <t>https://community.secop.gov.co/Public/Tendering/OpportunityDetail/Index?noticeUID=CO1.NTC.8033718&amp;isFromPublicArea=True&amp;isModal=False</t>
  </si>
  <si>
    <t>195 DÍAS</t>
  </si>
  <si>
    <t>LIGA DEPORTIVA DE PERSONAS SORDAS DE ANTIOQUIA -LISANT</t>
  </si>
  <si>
    <t>024</t>
  </si>
  <si>
    <t>CONVENIO CON LA LIGA ANTIOQUEÑA DE JUDO PARA FORTALECER EL PROCESO DE ALTO RENDIMIENTO DE LOS ATLETAS QUE REPRESENTARÁN AL DEPARTAMENTO ANTIOQUIA EN LOS PRÓXIMOS JUEGOS NACIONALES 2027, CONTRIBUYENDO A LA EJECUCIÓN DEL PROGRAMA DESARROLLO DEPORTIVO PARA LA COMPETENCIA.</t>
  </si>
  <si>
    <t>LIGA ANTIOQUEÑA DE JUDO</t>
  </si>
  <si>
    <t>MUNICIPIO DE SAN ROQUE</t>
  </si>
  <si>
    <t>Aportes MUNICIPIO
$72.200.000
Total Contrato  $325.442.242</t>
  </si>
  <si>
    <t>CONVENIO INTERADMINISTRATIVO PARA EL APOYO EN EL DESARROLLO DE LOS JUEGOS DEPORTIVOS ESCOLARES DE INDEPORTES ANTIOQUIA, EN LA SUBREGIÓN DEL URABÁ.</t>
  </si>
  <si>
    <t xml:space="preserve">MUNICIPIO DE SAN PEDRO DE URABÁ </t>
  </si>
  <si>
    <t>Aportes MUNICIPIO
$ 66.560.000
Total Contrato  $ 702.595.857</t>
  </si>
  <si>
    <t>MC 002 DE 2025</t>
  </si>
  <si>
    <t>TEAM IT SAS</t>
  </si>
  <si>
    <t>https://community.secop.gov.co/Public/Tendering/ContractNoticePhases/View?PPI=CO1.PPI.38558147&amp;isFromPublicArea=True&amp;isModal=False</t>
  </si>
  <si>
    <t>3 MESES</t>
  </si>
  <si>
    <t>APOYAR LOS PROCESOS DE FORTALECIMIENTO, DESARROLLO TÉCNICO Y DEPORTIVO DE LAS LIGAS DEPORTIVAS DE ANTIOQUIA QUE IMPACTEN DE FORMA DIRECTA A LOS DEPORTISTAS QUE CONFORMAN LA SELECCIÓN ANTIOQUIA Y QUE SE ASOCIAN A LA PARTICIPACIÓN DE ESTOS EN EVENTOS DEPORTIVOS REGIONALES, NACIONALES O INTERNACIONALES, QUE APORTEN A LOS PROCESOS METODOLÓGICOS PARA EL FORTALECIMIENTO DEL ALTO RENDIMIENTO Y PROMUEVAN UNA PARTICIPACIÓN DESTACADA DE ANTIOQUIA EN LOS JUEGOS DEPORTIVOS NACIONALES Y PARANACIONALES.</t>
  </si>
  <si>
    <t>LIGA DE SOFTBOL DE ANTIOQUIA</t>
  </si>
  <si>
    <t>025</t>
  </si>
  <si>
    <t>cla</t>
  </si>
  <si>
    <t>CONVENIO CON EL CLUB ESCUELA DE CICLISMO ORGULLO PAISA PARA LA PREPARACIÓN Y PARTICIPACIÓN DE LOS CICLISTAS ANTIOQUEÑOS DE ALTO RENDIMIENTO, EN COMPETENCIAS DEPORTIVAS DE CARÁCTER NACIONAL E INTERNACIONAL, SUB 23 Y ÉLITES.</t>
  </si>
  <si>
    <t>CLUB ESCUELA DE CICLISMO ORGULLO PAISA</t>
  </si>
  <si>
    <t>https://community.secop.gov.co/Public/Tendering/Cont ractNoticePhases/View?PPI=CO1.PPI.39099535&amp;isFromPublicArea=True&amp;isModal=False</t>
  </si>
  <si>
    <t>CONVENIO INTERADMINISTRATIVO PARA EL APOYO EN EL DESARROLLO DE LOS JUEGOS DEPORTIVOS ESCOLARES DE INDEPORTES ANTIOQUIA, EN EL VALLE DE ABURRÁ.</t>
  </si>
  <si>
    <t>INSTITUTO DE DEPORTE, RECREACIÓN Y ACTIVIDAD FÍSICA DE BARBOSA</t>
  </si>
  <si>
    <t>Aportes Istituto 
$ 51.400.000
Total Contrato  $ 503.744.817</t>
  </si>
  <si>
    <t>CONVENIO INTERADMINISTRATIVO PARA EL APOYO EN EL DESARROLLO DE LOS   JUEGOS   DEPORTIVOS   ESCOLARES   DE   INDEPORTES   ANTIOQUIA,   EN   LA SUBREGIÓN DEL OCCIDENTE.</t>
  </si>
  <si>
    <t xml:space="preserve">JUNTA MUNICIPAL DE DEPORTES DE FRONTINO </t>
  </si>
  <si>
    <t>Aportes Municipio
$28.200.000
Total Contrato  $ 486.836.594</t>
  </si>
  <si>
    <t>CONVENIO INTERADMINISTRATIVO PARA EL APOYO EN EL DESARROLLO DE LOS JUEGOS DEPORTIVOS ESCOLARES DE INDEPORTES ANTIOQUIA, EN LA SUBREGIÓN DEL SUROESTE.</t>
  </si>
  <si>
    <t>MUNICIPIO DE CIUDAD BOLIVAR</t>
  </si>
  <si>
    <t>Aportes Municipio
$34.400.000
Total Contrato  $ 468.924.570</t>
  </si>
  <si>
    <t>CONTRATO DE PRESTACIÓN DE SERVICIOS DE APOYO A LA GESTIÓN EN LA PLATAFORMA DEPORTESANT Y APOYO LOGÍSTICO Y OPERATIVO EN LA EJECUCIÓN DE LOS JUEGOS DEPORTIVOS INSTITUCIONALES DE LA SUBGERENCIA DE FOMENTO Y DESARROLLO DEPORTIVO</t>
  </si>
  <si>
    <t>PRESTACION DE SERVICIOS PROFESIONALES Y DE APOYO A LA GESTIÓN</t>
  </si>
  <si>
    <t>JULIAN ESCOBAR VALLEJO</t>
  </si>
  <si>
    <t>JUAN PABLO OTALVARO BEDOYA</t>
  </si>
  <si>
    <t>MANTENIMIENTO PREVENTIVO Y CORRECTIVO DE LOS VEHÍCULOS DE INDEPORTES ANTIOQUIA</t>
  </si>
  <si>
    <t>AUTOAMÉRICA S.A.</t>
  </si>
  <si>
    <t>557-MODIFICACIÓN 2, Y ADICIÓN 1 AL CONTRATO 653 DE 2023 CON OBJETO: AUNAR ESFUERZOS
PARA COFINANCIAR LAS OBRAS DE ADECUACIÓN DE LA PISCINA Y EL COLISEO MUNICIPAL EN EL
MUNICIPIO DE SAN ANDRÉS DE CUERQUIA, ANTIOQUIA</t>
  </si>
  <si>
    <t>MUNICIPIO DE SAN ANDRÉS DE CUERQUIA</t>
  </si>
  <si>
    <t>VALOR TOTAL ADICION  $464.209.826 - $90.000.000 SAN ANDRES DE CUERQUIA</t>
  </si>
  <si>
    <t>NA</t>
  </si>
  <si>
    <t>3302024 (O.C. 127577)</t>
  </si>
  <si>
    <t>SUMINISTRO DE COMBUSTIBLE PARA LOS VEHÍCULOS Y    MOTOS DE  PROPIEDAD DEL INSTITUTO  DEPARTAMENTAL DE DEPORTES DE ANTIOQUIA Y   PARA AQUELLOS VEHÍCULOS QUE POR VÍNCULO CONTRACTUAL ESTÉN AL SERVICIO DE LA  ENTIDAD</t>
  </si>
  <si>
    <t>DISTRACOM S.A.</t>
  </si>
  <si>
    <t>PRÓRROGA</t>
  </si>
  <si>
    <t>CONVENIO INTERADMINISTRATIVO PARA EL APOYO EN EL DESARROLLO DE LOS JUEGOS DEPORTIVOS ESCOLARES DE INDEPORTES ANTIOQUIA, EN LA SUBREGIÓN DEL NORDESTE Y MAGDALENA MEDIO SUBSEDE YOLOMBÓ</t>
  </si>
  <si>
    <t>INSTITUTO MUNICIPAL DEL DEPORTE Y LA RECREACION.APROVECHAMIENTO DEL TIEMPO LIBRE Y LA EDUCACION FISICA - INDERYOL</t>
  </si>
  <si>
    <t>Aportes INDERYOL
$85.100.000
Total Contrato  $340.722.548</t>
  </si>
  <si>
    <t>026</t>
  </si>
  <si>
    <t>LIGA ANTIOQUEÑA DE LUCHA</t>
  </si>
  <si>
    <t>CONTRATO INTERADMINISTRATIVO DE MANDATO SIN REPRESENTACIÓN PARA LA INTERVENTORÍA TÉCNICA, ADMINISTRATIVA, SOCIAL, FINANCIERA, AMBIENTAL Y LEGAL PARA LOS CONTRATOS DE OBRA, QUE SE DERIVEN DE LOS CONVENIOS CELEBRADOS ENTRE INDEPORTES ANTIOQUIA Y LOS MUNICIPIOS VIABILIZADOS MEDIANTE LA CONVOCATORIA REALIZADA EN LA VIGENCIA 2024 PARA LA ADECUACIÓN Y MANTENIMIENTO DE ESCENARIOS DEPORTIVOS, EN EL DEPARTAMENTO DE ANTIOQUIA.</t>
  </si>
  <si>
    <t>MODIFICACION</t>
  </si>
  <si>
    <t xml:space="preserve">EMPRESA DE DESARROLLO SOSTENIBLE DEL ORIENTE “EDESO” </t>
  </si>
  <si>
    <t xml:space="preserve">VALOR </t>
  </si>
  <si>
    <t xml:space="preserve">DECRETO </t>
  </si>
  <si>
    <t xml:space="preserve">FECHA </t>
  </si>
  <si>
    <t xml:space="preserve">RESOLUCION </t>
  </si>
  <si>
    <t>FECHA</t>
  </si>
  <si>
    <t>2025070000919</t>
  </si>
  <si>
    <t xml:space="preserve">presupeusto inicial </t>
  </si>
  <si>
    <t xml:space="preserve">Incorporaciones </t>
  </si>
  <si>
    <t xml:space="preserve">PPTO TOTAL </t>
  </si>
  <si>
    <t>consecutivo</t>
  </si>
  <si>
    <t>fecha_aprobacion</t>
  </si>
  <si>
    <t>descripcion</t>
  </si>
  <si>
    <t>codigo_resumido</t>
  </si>
  <si>
    <t>valor_total_rubro</t>
  </si>
  <si>
    <t>descripcion_1</t>
  </si>
  <si>
    <t>ano</t>
  </si>
  <si>
    <t>rubro</t>
  </si>
  <si>
    <t>nombre_proyecto</t>
  </si>
  <si>
    <t>nombre_empresa</t>
  </si>
  <si>
    <t>nombre_dependencia</t>
  </si>
  <si>
    <t>reintegros</t>
  </si>
  <si>
    <t>total_compromisos</t>
  </si>
  <si>
    <t>total_cancelado</t>
  </si>
  <si>
    <t>Saldo</t>
  </si>
  <si>
    <t>15/01/2025 12:09</t>
  </si>
  <si>
    <t>Pago de NOMINA EMPLEADOS del día 1/01/2025 a 15/01/2025</t>
  </si>
  <si>
    <t>PRESUPUESTO</t>
  </si>
  <si>
    <t>Sueldo básico</t>
  </si>
  <si>
    <t>INDEPORTES</t>
  </si>
  <si>
    <t>30/01/2025 7:27</t>
  </si>
  <si>
    <t>Pago de NOMINA EMPLEADOS del día 16/01/2025 a 30/01/2025</t>
  </si>
  <si>
    <t>13/02/2025 10:52</t>
  </si>
  <si>
    <t>Pago de NOMINA EMPLEADOS del día 1/02/2025 a 15/02/2025</t>
  </si>
  <si>
    <t>26/02/2025 13:06</t>
  </si>
  <si>
    <t>Pago de NOMINA RETROACTIVA del día 16/02/2025 a 28/02/2025</t>
  </si>
  <si>
    <t>27/02/2025 15:22</t>
  </si>
  <si>
    <t>Pago de NOMINA EMPLEADOS del día 16/02/2025 a 28/02/2025</t>
  </si>
  <si>
    <t>13/03/2025 11:57</t>
  </si>
  <si>
    <t>Pago de NOMINA EMPLEADOS del día 1/03/2025 a 15/03/2025</t>
  </si>
  <si>
    <t>27/03/2025 17:15</t>
  </si>
  <si>
    <t>Pago de NOMINA EMPLEADOS del día 16/03/2025 a 30/03/2025</t>
  </si>
  <si>
    <t>Horas extras, dominicales, festivos y recargos</t>
  </si>
  <si>
    <t>13/02/2025 11:53</t>
  </si>
  <si>
    <t>Pago de LIQUIDACION DEFINITIVA del día 30/12/2024 a 30/12/2024</t>
  </si>
  <si>
    <t>Prima de servicios</t>
  </si>
  <si>
    <t>7/03/2025 14:09</t>
  </si>
  <si>
    <t>Pago de LIQUIDACION DEFINITIVA del día 7/03/2025 a 7/03/2025</t>
  </si>
  <si>
    <t>7/03/2025 14:14</t>
  </si>
  <si>
    <t>31/03/2025 7:58</t>
  </si>
  <si>
    <t>Pago de LIQUIDACION DEFINITIVA del día 4/02/2025 a 4/02/2025</t>
  </si>
  <si>
    <t>Bonificación por servicios prestados</t>
  </si>
  <si>
    <t>Prima de navidad</t>
  </si>
  <si>
    <t>Prima de vacaciones</t>
  </si>
  <si>
    <t>16/01/2025 14:39</t>
  </si>
  <si>
    <t xml:space="preserve">4-GASTOS DE VIAJES Y COMISIONES DE SERVIDORES PÚBLICOS Y MIEMBROS DE LA JUNTA DIRECTIVA </t>
  </si>
  <si>
    <t>Viáticos de los funcionarios en comisión</t>
  </si>
  <si>
    <t>17/03/2025 13:50</t>
  </si>
  <si>
    <t xml:space="preserve">4-GASTOS DE VIAJES Y COMISIONES DE SERVIDORES PÚBLICOS Y MIEMBROS DE LA JUNTA DIRECTIVA _x000D_
</t>
  </si>
  <si>
    <t>17/03/2025 15:31</t>
  </si>
  <si>
    <t>6/02/2025 14:46</t>
  </si>
  <si>
    <t>Pago de la autoliquidación periodo 202501</t>
  </si>
  <si>
    <t>Aportes a la seguridad social en pensiones</t>
  </si>
  <si>
    <t>6/03/2025 14:08</t>
  </si>
  <si>
    <t>Pago de la autoliquidación periodo 202502</t>
  </si>
  <si>
    <t>Aportes a la seguridad social en salud</t>
  </si>
  <si>
    <t>11/02/2025 8:19</t>
  </si>
  <si>
    <t>10-APORTES DE CESANTÍAS</t>
  </si>
  <si>
    <t>Aportes de cesantías</t>
  </si>
  <si>
    <t>11/02/2025 8:20</t>
  </si>
  <si>
    <t>13/02/2025 15:20</t>
  </si>
  <si>
    <t>Pago de CESANTIAS del día 12/02/2025 a 12/02/2025</t>
  </si>
  <si>
    <t>14/02/2025 15:32</t>
  </si>
  <si>
    <t>Pago de INTERESES A LAS CESANTIAS del día 12/02/2025 a 12/02/2025</t>
  </si>
  <si>
    <t>6/02/2025 14:50</t>
  </si>
  <si>
    <t>Pago de  Parafiscales 202501</t>
  </si>
  <si>
    <t>Aportes a cajas de compensación familiar</t>
  </si>
  <si>
    <t>6/03/2025 14:09</t>
  </si>
  <si>
    <t>Pago de  Parafiscales 202502</t>
  </si>
  <si>
    <t>Aportes generales al sistema de riesgos laborales</t>
  </si>
  <si>
    <t>Aportes al ICBF</t>
  </si>
  <si>
    <t>Aportes al SENA</t>
  </si>
  <si>
    <t>Vacaciones</t>
  </si>
  <si>
    <t>Bonificación Especial por Recreación</t>
  </si>
  <si>
    <t>23/01/2025 15:13</t>
  </si>
  <si>
    <t>19-APOYO SALUD Y LENTES, 23-APROVECHAMIENTO DEL TIEMPO LIBRE</t>
  </si>
  <si>
    <t>Auxilios Médicos</t>
  </si>
  <si>
    <t>17/02/2025 8:55</t>
  </si>
  <si>
    <t>19-APOYO SALUD Y LENTES</t>
  </si>
  <si>
    <t>17/02/2025 8:56</t>
  </si>
  <si>
    <t>18/03/2025 11:38</t>
  </si>
  <si>
    <t>19-APOYO SALUD Y LENTES             23-APROVECHAMIENTO DEL TIEMPO LIBRE</t>
  </si>
  <si>
    <t>26/02/2025 7:45</t>
  </si>
  <si>
    <t>20-CAPACITACIÓN POR DEMANDA</t>
  </si>
  <si>
    <t>Auxilios Educativos - Capacitación por demanda</t>
  </si>
  <si>
    <t>17/03/2025 16:00</t>
  </si>
  <si>
    <t>31/03/2025 11:08</t>
  </si>
  <si>
    <t>Auxilios para Recreación</t>
  </si>
  <si>
    <t>17/02/2025 8:53</t>
  </si>
  <si>
    <t>23-APROVECHAMIENTO DEL TIEMPO LIBRE</t>
  </si>
  <si>
    <t>26/03/2025 11:20</t>
  </si>
  <si>
    <t>23- APROVECHAMIENTO DEL TIEMPO LIBRE</t>
  </si>
  <si>
    <t>27/03/2025 8:04</t>
  </si>
  <si>
    <t>47-CONTRATO INTERADMINISTRATIVO DE MANDATO SIN REPRESENTACIÓN PARA LA ADMINISTRACIÓN DELEGADA DE RECURSOS PARA OPERAR EL SERVICIO INTEGRAL DE ASEO, SUMINISTRO DE INSUMOS Y SERVICIOS COMPLEMENTARIOS PARA INDEPORTES ANTIOQUIA</t>
  </si>
  <si>
    <t>Productos alimenticios, bebidas y tabaco; textiles, prendas de vestir y productos de cuero</t>
  </si>
  <si>
    <t>Otros bienes transportables (excepto productos metálicos, maquinaria y equipo)</t>
  </si>
  <si>
    <t>21/01/2025 10:42</t>
  </si>
  <si>
    <t>26-CAJA MENOR - OTROS BIENES TRANSPORTABLES (EXCEPTO PRODUCTOS METÁLICOS, MAQUINARIA Y EQUIPO)                                                                            27-CAJA MENOR - SERVICIOS DE ALOJAMIENTO; SERVICIOS DE SUMINISTRO DE COMIDAS Y BEBIDA</t>
  </si>
  <si>
    <t>Caja Menor - Otros bienes transportables (excepto productos metálicos, maquinaria y equipo)</t>
  </si>
  <si>
    <t>17/01/2025 10:36</t>
  </si>
  <si>
    <t>42-SERVICIOS PUBLICOS ELECTRICIDAD, GAS Y AGUA</t>
  </si>
  <si>
    <t>Servicios de alojamiento; servicios de suministro de comidas y bebidas; servicios de transporte; y servicios de distribución de electricidad, gas y agua</t>
  </si>
  <si>
    <t>18/02/2025 11:38</t>
  </si>
  <si>
    <t>43-PRESTACIÓN DE SERVICIOS PARA LA ADQUISICIÓN DE TIQUETES AEREOS NACIONALES E INTERNACIONALES PARA  LOS FUNCIONARIOS Y MIEMBROS DE LA JUNTA DIRECTIVA DE INDEPORTES ANTIOQUIA</t>
  </si>
  <si>
    <t>27/02/2025 15:28</t>
  </si>
  <si>
    <t>561-CONTRATO INTERADMINISTRATIVO DE MANDATO SIN REPRESENTACIÓN PARA LA PRESTACIÓN DEL SERVICIO DE TRANSPORTE TERRESTRE Y EL ALQUILER DE VEHÍCULOS PARA INDEPORTES ANTIOQUIA</t>
  </si>
  <si>
    <t>SUBGERENCIA FOMENTO Y DESARROLLO DEPORTIVO</t>
  </si>
  <si>
    <t>Caja Menor - Servicios de alojamiento; servicios de suministro de comidas y bebidas; servicios de transporte; y servicios de distribución de electricidad, gas y agua</t>
  </si>
  <si>
    <t>Caja Menor - Servicios financieros y servicios conexos, servicios inmobiliarios y servicios de leasing</t>
  </si>
  <si>
    <t>23/01/2025 13:38</t>
  </si>
  <si>
    <t>504-PRESTACIÓN DE SERVICIOS PROFESIONALES ESPECIALIZADOS EN CONTADURÍA PÚBLICA PARA LLEVAR A CABO LA VERIFICACIÓN Y EVALUACIÓN CONTINUA DEL SISTEMA DE CONTROL INTERNO DE INDEPORTES ANTIOQUIA.</t>
  </si>
  <si>
    <t xml:space="preserve">Servicios prestados a las empresas y servicios de producción </t>
  </si>
  <si>
    <t>23/01/2025 14:24</t>
  </si>
  <si>
    <t>494- PRESTACIÓN DE SERVICIOS PROFESIONALES ESPECIALIZADOS EN ESTRATEGIA GERENCIAL, PROSPECTIVA, ADMINISTRATIVA Y FINANCIERA PARA EL APOYO, ASESORÍA Y ACOMPAÑAMIENTO EN LAS ACTIVIDADES RELACIONADAS CON LA ESTRUCTURACIÓN Y PLANIFICACIÓN TÉCNICA Y ADMINISTRA</t>
  </si>
  <si>
    <t>24/01/2025 12:11</t>
  </si>
  <si>
    <t>493-PRESTACIÓN DE SERVICIOS PROFESIONALES ESPECIALIZADOS, PARA APOYAR LOS PROCESOS ADMINISTRATIVOS, FINANCIERO Y DE GESTIÓN  CALIDAD DE INDEPORTES ANTIOQUIA.</t>
  </si>
  <si>
    <t>24/01/2025 12:13</t>
  </si>
  <si>
    <t>491-PRESTACIÓN DE SERVICIOS DE APOYO A LA GESTIÓN PARA LA IMPLEMENTACIÓN DEL PROCESO DE SERVICIO AL CIUDADANO DE INDEPORTES ANTIOQUIA.</t>
  </si>
  <si>
    <t>24/01/2025 12:14</t>
  </si>
  <si>
    <t>497-PRESTACIÓN DE SERVICIOS DE APOYO A LA GESTIÓN PARA LAS LABORES OPERATIVAS Y DEL PLAN DE MANTENIMIENTO DE INDEPORTES ANTIOQUIA.</t>
  </si>
  <si>
    <t>24/01/2025 12:16</t>
  </si>
  <si>
    <t>495-PRESTACIÓN DE SERVICIOS PROFESIONALES PARA APOYAR LOS PROCESOS ADMINISTRATIVOS Y FINANCIEROS DE INDEPORTES ANTIOQUIA.</t>
  </si>
  <si>
    <t>24/01/2025 12:17</t>
  </si>
  <si>
    <t>492-PRESTACIÓN DE SERVICIOS PROFESIONALES ESPECIALIZADOS, PARA APOYAR LOS PROCESOS ADMINISTRATIVOS, FINANCIERO Y DE GESTIÓN CONTRACTUAL DE INDEPORTES ANTIOQUIA.</t>
  </si>
  <si>
    <t>27/01/2025 9:34</t>
  </si>
  <si>
    <t>33-PRESTACIÓN DE SERVICIOS PROFESIONALES PARA APOYAR LOS PROCESOS FINANCIEROS Y CONTABLES DE INDEPORTES ANTIOQUIA.</t>
  </si>
  <si>
    <t>27/01/2025 16:27</t>
  </si>
  <si>
    <t>503-PRESTACIÓN DE SERVICIOS PROFESIONALES PARA APOYAR LOS PROCESOS ADMINISTRATIVOS DE LA OFICINA ASESORA JURIDICA</t>
  </si>
  <si>
    <t>27/01/2025 16:29</t>
  </si>
  <si>
    <t>494-PRESTACIÓN DE SERVICIOS PROFESIONALES ESPECIALIZADOS EN ESTRATEGIA GERENCIAL, PROSPECTIVA, ADMINISTRATIVA Y FINANCIERA PARA EL APOYO, ASESORÍA Y ACOMPAÑAMIENTO EN LAS ACTIVIDADES RELACIONADAS CON LA ESTRUCTURACIÓN Y PLANIFICACIÓN TÉCNICA Y ADMINISTRAT</t>
  </si>
  <si>
    <t>27/01/2025 16:30</t>
  </si>
  <si>
    <t>496-PRESTACIÓN DE SERVICIOS PROFESIONALES PARA EL ACOMPAÑAMIENTO A LOS PROCESOS ADMINISTRATIVOS, TRIBUTARIOS Y FINANCIEROS DE INDEPORTES ANTIOQUIA.</t>
  </si>
  <si>
    <t>28/01/2025 11:15</t>
  </si>
  <si>
    <t>501-PRESTACIÓN DE SERVICIOS PROFESIONALES JURÍDICOS PARA INDEPORTES ANTIOQUIA</t>
  </si>
  <si>
    <t>28/01/2025 11:18</t>
  </si>
  <si>
    <t>513-PRESTACIÓN DE SERVICIOS DE APOYO A LA GESTIÓN EN LA ORGANIZACIÓN DEL ARCHIVO DE INDEPORTES ANTIOQUIA</t>
  </si>
  <si>
    <t>514-PRESTACIÓN DE SERVICIOS PROFESIONALES EN INGENIERÍA CIVIL PARA REALIZAR LAS EVALUACIONES Y SEGUIMIENTO TÉCNICO EN EL MARCO DE LAS POLÍTICAS DE VIGILANCIA Y CONTROL IMPLEMENTADAS POR LA OFICINA DE CONTROL INTERNO A LOS PROCESOS DE COFINANCIACIÓN E INFR</t>
  </si>
  <si>
    <t>28/01/2025 12:58</t>
  </si>
  <si>
    <t>37-PRESTACIÓN DE SERVICIOS DE APOYO A LA GESTIÓN EN LOS PROCESOS ADMINISTRATIVOS Y FINANCIEROS DE INDEPORTES ANTIOQUIA.</t>
  </si>
  <si>
    <t>29/01/2025 7:47</t>
  </si>
  <si>
    <t>502-PRESTACIÓN DE SERVICIOS PROFESIONALES JURÍDICOS PARA INDEPORTES ANTIOQUIA</t>
  </si>
  <si>
    <t>29/01/2025 16:11</t>
  </si>
  <si>
    <t>498-PRESTACIÓN DE SERVICIOS PROFESIONALES PARA APOYAR LA IMPLEMENTACIÓN DE PROCEDIMIENTOS ADMINISTRATIVOS Y/O FINANCIEROS DE LA OFICINA DE TALENTO HUMANO</t>
  </si>
  <si>
    <t>29/01/2025 16:14</t>
  </si>
  <si>
    <t>499-PRESTACIÓN DE SERVICIOS DE APOYO A LA GESTIÓN EN EL SISTEMA DE GESTIÓN DE SEGURIDAD Y SALUD EN EL TRABAJO (SGSST) QUE SE REALIZAN DESDE LA OFICINA DE TALENTO HUMANO DE INDEPORTES ANTIOQUIA</t>
  </si>
  <si>
    <t>30/01/2025 16:05</t>
  </si>
  <si>
    <t>6/02/2025 15:34</t>
  </si>
  <si>
    <t>536-PRESTACIÓN DE SERVICIOS PROFESIONALES DE APOYO A LOS PROCESOS ADMINISTRATIVOS Y GESTIÓN DE PAGOS DE INDEPORTES ANTIOQUIA</t>
  </si>
  <si>
    <t>10/02/2025 8:26</t>
  </si>
  <si>
    <t>38-PRESTACIÓN DE SERVICIOS DE APOYO A LA GESTIÓN, COMO TECNÓLOGO EN LAS ACTIVIDADES DE GESTIÓN DOCUMENTAL EN INDEPORTES ANTIOQUIA</t>
  </si>
  <si>
    <t>10/02/2025 14:17</t>
  </si>
  <si>
    <t>499-PRESTACIÓN DE SERVICIOS DE APOYO A LA GESTIÓN EN EL SISTEMA DE GESTIÓN DE SEGURIDAD Y SALUD EN EL TRABAJO (SGSST) Y APOYO A LAS ACTIVIDADES QUE SE REALIZAN DESDE LA OFICINA DE TALENTO HUMANO DE INDEPORTES ANTIOQUIA.</t>
  </si>
  <si>
    <t>10/02/2025 16:51</t>
  </si>
  <si>
    <t>546-PRESTACIÓN DE SERVICIOS DE APOYO A LA GESTIÓN EN ACTIVIDADES ADMINISTRATIVAS Y OPERATIVAS DE INDEPORTES ANTIOQUIA, EN ESPECIAL EN LA SUBGERENCIA ADMINISTRATIVA Y FINANCIERA</t>
  </si>
  <si>
    <t>11/02/2025 13:08</t>
  </si>
  <si>
    <t xml:space="preserve">549-PRESTACIÓN DE SERVICIOS PROFESIONALES COMO ABOGADO PARA APOYAR EL PROCESO DE CONTRATACIÓN Y EL PROCESO LEGAL DE INDEPORTES ANTIOQUIA, EN ESPECIAL DE LA SUBGERENCIA DE ESCENARIOS._x000D_
</t>
  </si>
  <si>
    <t>12/02/2025 8:47</t>
  </si>
  <si>
    <t>547-PRESTACIÓN DE SERVICIOS PROFESIONALES COMO ABOGADO, PARA APOYAR LOS PROCESOS DISCIPLINARIOS Y JURÍDICOS DE LA OFICINA DE TALENTO HUMANO PARA INDEPORTES ANTIOQUIA.</t>
  </si>
  <si>
    <t>18/02/2025 11:28</t>
  </si>
  <si>
    <t xml:space="preserve">550-CONTRATO DE PRESTACIÓN DE SERVICIOS PROFESIONALES PARA REPRESENTAR JUDICIAL Y EXTRAJUDICIALMENTE A INDEPORTES ANTIOQUIA, PRESTAR ASESORÍA JURÍDICA Y RENDIR CONCEPTOS_x000D_
</t>
  </si>
  <si>
    <t>18/02/2025 16:24</t>
  </si>
  <si>
    <t xml:space="preserve">549-PRESTACIÓN DE SERVICIOS DE APOYO A LA GESTIÓN EN LA ORGANIZACIÓN DEL ARCHIVO DE INDEPORTES ANTIOQUIA, EN ESPECIAL EN LA OFICINA DE TALENTO HUMANO_x000D_
</t>
  </si>
  <si>
    <t>20/02/2025 10:15</t>
  </si>
  <si>
    <t>548-PRESTACIÓN DE SERVICIOS PROFESIONALES PARA REALIZAR ACTIVIDADES DE DIAGNÓSTICO, ASESORAMIENTO, INTERVENCIÓN Y DESARROLLO ORGANIZACIONAL EN INDEPORTES ANTIOQUIA</t>
  </si>
  <si>
    <t>20/02/2025 10:17</t>
  </si>
  <si>
    <t>50-REALIZAR EL SERVICIO DE FUMIGACIÓN Y CONTROL DE PLAGAS EN_x000D_
LAS SEDES DE INDEPORTES ANTIOQUIA.</t>
  </si>
  <si>
    <t>20/02/2025 10:19</t>
  </si>
  <si>
    <t>28/02/2025 7:54</t>
  </si>
  <si>
    <t>49-MANTENIMIENTO PREVENTIVO Y CORRECTIVO DE LOS VEHÍCULOS DE INDEPORTES ANTIOQUIA.</t>
  </si>
  <si>
    <t>4/03/2025 13:36</t>
  </si>
  <si>
    <t>54-PRESTACIÓN DE SERVICIOS DE APOYO COMO TECNÓLOGO A LA GESTIÓN DEL CADA Y DEL PROCESO DE GESTIÓN DOCUMENTAL DE INDEPORTES ANTIOQUIA</t>
  </si>
  <si>
    <t>6/03/2025 16:43</t>
  </si>
  <si>
    <t>567-PRESTACIÓN DE SERVICIOS DE APOYO A LA GESTIÓN EN LA INTERVENCIÓN DEL ACERVO DOCUMENTAL DE INDEPORTES ANTIOQUIA.</t>
  </si>
  <si>
    <t>10/03/2025 15:15</t>
  </si>
  <si>
    <t>50-REALIZAR EL SERVICIO DE FUMIGACIÓN Y CONTROL DE PLAGAS EN LAS SEDES DE INDEPORTES ANTIOQUIA.</t>
  </si>
  <si>
    <t>10/03/2025 15:25</t>
  </si>
  <si>
    <t>571-PRESTACIÓN DE SERVICIOS DE APOYO A LA GESTIÓN EN LA ORGANIZACIÓN DEL ARCHIVO DE INDEPORTES ANTIOQUIA.</t>
  </si>
  <si>
    <t>11/03/2025 10:57</t>
  </si>
  <si>
    <t>500-PRESTACIÓN DE SERVICIOS DE APOYO PARA EL ACOMPAÑAMIENTO EN LA PLANIFICACIÓN, APLICACIÓN, DESARROLLO, EVALUACIÓN, AUDITORIA Y ACCIONES DE MEJORA DEL SISTEMA DE GESTIÓN DE SEGURIDAD Y SALUD EN EL TRABAJO (SG-SST) Y SISTEMA INTEGRADO DE GESTIÓN (SIG).</t>
  </si>
  <si>
    <t>11/03/2025 16:43</t>
  </si>
  <si>
    <t>572-PRESTACIÓN DE SERVICIOS PROFESIONALES JURÍDICOS PARA REALIZAR LA VERIFICACIÓN Y EVALUACIÓN CONTINUA DEL SISTEMA DE CONTROL INTERNO DE INDEPORTES ANTIOQUIA DESDE UNA PERSPECTIVA JURÍDICA.</t>
  </si>
  <si>
    <t>26/03/2025 11:06</t>
  </si>
  <si>
    <t>48-CONTRATO INTERADMINISTRATIVO DE MANDATO SIN REPRESENTACIÓN PARA LA PRESTACIÓN DE LOS SERVICIOS DE VIGILANCIA Y SEGURIDAD PRIVADA PARA LAS SEDES DE INDEPORTES ANTIOQUIA.</t>
  </si>
  <si>
    <t xml:space="preserve">Caja Menor - Servicios prestados a las empresas y servicios de producción </t>
  </si>
  <si>
    <t>17/01/2025 10:06</t>
  </si>
  <si>
    <t xml:space="preserve">44-SERVICIOS PÚBLICOS - TELECOMUNICACIONES (TV, CELULAR, INTERNET) </t>
  </si>
  <si>
    <t xml:space="preserve">Servicios Publicos - Servicios prestados a las empresas y servicios de producción </t>
  </si>
  <si>
    <t>15/01/2025 9:21</t>
  </si>
  <si>
    <t>46-MODIFICACION NO.7  AL  CONTRATO: 552 DE 2020, CUYO OBJETO ES CONTRATO INTERADMINISTRATIVO DE ADMINISTRACIÓN DELEGADA PARA PRESTACIÓN DE LOS SERVICIOS DE VIGILANCIA Y SEGURIDAD PRIVADA REQUERIDOS PARA EL PERSONAL DE INDEPORTES ANTIOQUIA, SUS SEDES Y LOS</t>
  </si>
  <si>
    <t xml:space="preserve">VF-Servicios prestados a las empresas y servicios de producción </t>
  </si>
  <si>
    <t>15/01/2025 9:24</t>
  </si>
  <si>
    <t>45-MODIFICACIÓN 1 ADICIÓN Y PRÓRROGA AL CONTRATO 365 DE 2024, CUYO OBJETO ES: PRESTACIÓN DEL SERVICIO DE ASEO, OFICIOS VARIOS, MANTENIMIENTOS Y OTROS  PARA  INDEPORTES ANTIOQUIA - VF</t>
  </si>
  <si>
    <t>12/03/2025 15:27</t>
  </si>
  <si>
    <t>52-PRESTACIÓN DE SERVICIOS DE APOYO LOGÍSTICO Y OPERATIVO A LA GESTIÓN, EN EL DESARROLLO Y EJECUCIÓN DEL PLAN DE BIENESTAR LABORAL DE LOS SERVIDORES DE INDEPORTES ANTIOQUIA.</t>
  </si>
  <si>
    <t>Operación logistica bienestar - Servicios para la comunidad, sociales y personales</t>
  </si>
  <si>
    <t>Incapacidades (no de pensiones)</t>
  </si>
  <si>
    <t>31/01/2025 22:24</t>
  </si>
  <si>
    <t>35-IMPUESTO PREDIAL UNIFICADO</t>
  </si>
  <si>
    <t>Impuesto predial unificado</t>
  </si>
  <si>
    <t>13/02/2025 8:28</t>
  </si>
  <si>
    <t>32-CUOTA DE FISCALIZACIÓN Y AUDITAJE</t>
  </si>
  <si>
    <t>Cuota de fiscalización y auditaje</t>
  </si>
  <si>
    <t>12/02/2025 8:46</t>
  </si>
  <si>
    <t xml:space="preserve">62-REALIZAR EL MANTENIMIENTO PREVENTIVO Y CORRECTIVO DE LOS ASCENSORES DE INDEPORTES ANTIOQUIA _x000D_
</t>
  </si>
  <si>
    <t xml:space="preserve">Mantenimiento de la infraestructura de las sedes operativas para la prestación de servicios deportivos, recreativos y de actividad física en las regiones de Antioquia -Servicios prestados a las empresas y servicios de producción </t>
  </si>
  <si>
    <t>13/02/2025 7:43</t>
  </si>
  <si>
    <t>59-CONTRATO INTERADMINISTRATIVO DE MANDATO SIN REPRESENTACIÓN PARA REALIZAR EL MANTENIMIENTO PREVENTIVO Y CORRECTIVO DEL SISTEMA DE AIRE ACONDICIONADO DE INDEPORTES ANTIOQUIA</t>
  </si>
  <si>
    <t>29/01/2025 16:15</t>
  </si>
  <si>
    <t>79-PRESTACIÓN DE SERVICIOS PROFESIONALES PARA EL SEGUIMIENTO Y  MONITOREO AL SISTEMA DE GESTIÓN DE INDEPORTES ANTIOQUIA</t>
  </si>
  <si>
    <t xml:space="preserve">Fortalecimiento de los sistemas de información y la gestión estratégica para el deporte, la recreación y la actividad física de Antioquia (Planeación) -Servicios prestados a las empresas y servicios de producción </t>
  </si>
  <si>
    <t>29/01/2025 16:16</t>
  </si>
  <si>
    <t xml:space="preserve">80-PRESTACIÓN DE SERVICIOS PROFESIONALES PARA APOYAR LA ACTUALIZACIÓN Y SEGUIMIENTO DE LOS PLANES Y PROGRAMAS DEL PLAN  DE DESARROLLO DEPARTAMENTAL EN LOS PROGRAMAS DE  INDEPORTES ANTIOQUIA_x000D_
</t>
  </si>
  <si>
    <t>10/03/2025 16:23</t>
  </si>
  <si>
    <t xml:space="preserve">87-PRESTACIÓN DE SERVICIOS PROFESIONAL PARA APOYAR LA GENERACIÓN DE INFORMACIÓN RELACIONADA CON EL ALTO LOGRO Y LAS ACTIVIDADES DRAF EN EL MARCO DEL OBSERVATORIO DEL DEPORTE_x000D_
</t>
  </si>
  <si>
    <t>29/01/2025 16:20</t>
  </si>
  <si>
    <t>83-PRESTACIÓN DE SERVICIOS PROFESIONALES EN LA GENERACIÓN Y CONSOLIDACIÓN DE LA INFORMACIÓN ESTADISTICA DE INDEPORTES ANTIOQUIA</t>
  </si>
  <si>
    <t xml:space="preserve">Fortalecimiento de los sistemas de información y la gestión estratégica para el deporte, la recreación y la actividad física de Antioquia (Planeación)  -Servicios prestados a las empresas y servicios de producción </t>
  </si>
  <si>
    <t>84-PRESTACIÓN DE SERVICIOS PROFESIONALES ESPECIALIZADOS PARA LA GESTIÓN, ADMINISTRACIÓN, Y CONSOLIDACIÓN DE INFORMACIÓN INSTITUCIONAL PARA REALIZAR LA ANALÍTICA DE DATOS DEL OBSERVATORIO DEL DEPORTE DE ANTIOQUIA.</t>
  </si>
  <si>
    <t>21/01/2025 16:41</t>
  </si>
  <si>
    <t>486-PRESTACIÓN DE SERVICIOS DE APOYO PARA EL SOPORTE TÉCNICO Y LA GESTIÓN DE LA OFICINA DE SISTEMAS E INFORMÁTICA DE INDEPORTES ANTIOQUIA.</t>
  </si>
  <si>
    <t xml:space="preserve">Fortalecimiento de los sistemas de información y la gestión estratégica para el deporte, la recreación y la actividad física de Antioquia (sistemas) - Servicios prestados a las empresas y servicios de producción </t>
  </si>
  <si>
    <t>21/01/2025 16:42</t>
  </si>
  <si>
    <t>481-PRESTACIÓN DE SERVICIOS PROFESIONALES PARA LA GESTIÓN DE LA POLÍTICA DE GOBIERNO DIGITAL EN INDEPORTES ANTIOQUIA</t>
  </si>
  <si>
    <t>482-PRESTACIÓN DE SERVICIOS DE APOYO A LA GESTIÓN PARA LA ADMINISTRACIÓN DE LA PLATAFORMA DEPORTESANT DE INDEPORTES ANTIOQUIA.</t>
  </si>
  <si>
    <t>31/01/2025 10:48</t>
  </si>
  <si>
    <t>476-PRESTACIÓN DE SERVICIOS DE SICOF ERP EN MODALIDAD CLOUD COMPUTING INCLUYENDO EL MODULO DE CONTRATISTAS, ASI COMO EL SOPORTE Y MANTENIMIENTO, ACOMPAÑAMIENTO EN SITIO Y HORAS DE DESARROLLO</t>
  </si>
  <si>
    <t>31/01/2025 10:56</t>
  </si>
  <si>
    <t>475-PRESTACIÓN DE SERVICIOS DE INFRAESTRUCTURA TECNOLOGICA  PARA INDEPORTES ANTIOQUIA</t>
  </si>
  <si>
    <t>31/01/2025 10:57</t>
  </si>
  <si>
    <t>477-SOPORTE TÉCNICO, ACTUALIZACIÓN Y MANTENIMIENTO DEL SISTEMA DE GESTIÓN DOCUMENTAL MERCURIO</t>
  </si>
  <si>
    <t>12/02/2025 8:24</t>
  </si>
  <si>
    <t xml:space="preserve">476-PRESTACIÓN DE SERVICIOS DE SICOF ERP EN MODALIDAD CLOUD COMPUTING  PARA INDEPORTES ANTIOQUIA, ASI COMO EL SOPORTE Y MANTENIMIENTO, ACOMPAÑAMIENTO EN SITIO Y HORAS DE DESARROLLO_x000D_
</t>
  </si>
  <si>
    <t>12/02/2025 11:26</t>
  </si>
  <si>
    <t xml:space="preserve">483-PRESTACIÓN DE SERVICIOS PROFESIONALES COMO DESARROLLADOR WEB DE INDEPORTES ANTIOQUIA._x000D_
</t>
  </si>
  <si>
    <t xml:space="preserve">484-PRESTACIÓN DE SERVICIOS PROFESIONALES PARA APOYAR LA EJECUCIÓN DE ACTIVIDADES RELACIONADAS CON  DESARROLLOS WEB EN INDEPORTES ANTIOQUIA._x000D_
</t>
  </si>
  <si>
    <t>6/03/2025 17:00</t>
  </si>
  <si>
    <t xml:space="preserve">487-PRESTACIÓN DE SERVICIOS PROFESIONALES PARA APOYAR LA GESTIÓN DE SEGURIDAD DE LA INFORMACIÓN EN  INDEPORTES ANTIOQUIA._x000D_
</t>
  </si>
  <si>
    <t>17/03/2025 16:02</t>
  </si>
  <si>
    <t xml:space="preserve">479-LICENCIAMIENTO DE SOFTWARE DE MESA DE AYUDA  PARA INDEPORTES ANTIOQUIA EN MODALIDAD DE SOFTWARE COMO SERVICIO (SAAS). _x000D_
</t>
  </si>
  <si>
    <t>26/03/2025 11:19</t>
  </si>
  <si>
    <t xml:space="preserve">479-LICENCIAMIENTO DE SOFTWARE DE MESA DE AYUDA  PARA INDEPORTES ANTIOQUIA EN MODALIDAD DE SOFTWARE COMO SERVICIO (SAAS). </t>
  </si>
  <si>
    <t>27/03/2025 13:16</t>
  </si>
  <si>
    <t>478-SUMINISTRO Y SERVICIO DE MANTENIMIENTO DE EQUIPOS DE IMPRESIÓN, ESCÁNERES Y/O MULTIMEDIA DE INDEPORTES ANTIOQUIA</t>
  </si>
  <si>
    <t>15/01/2025 9:15</t>
  </si>
  <si>
    <t>488-PRESTACIÓN DE SERVICIOS DE INFRAESTRUCTURA TECNOLOGICA  PARA INDEPORTES ANTIOQUIA VF</t>
  </si>
  <si>
    <t xml:space="preserve">VF-Fortalecimiento de los sistemas de información y la gestión estratégica para el deporte, la recreación y la actividad física de Antioquia (sistemas) -Servicios prestados a las empresas y servicios de producción </t>
  </si>
  <si>
    <t>15/01/2025 9:29</t>
  </si>
  <si>
    <t>489-PRESTACIÓN DE SERVICIOS DE SICOF ERP EN MODALIDAD CLOUD COMPUTING INCLUYENDO EL MODULO DE CONTRATISTAS, ASI COMO EL SOPORTE Y MANTENIMIENTO, ACOMPAÑAMIENTO EN SITIO Y HORAS DE DESARROLLO VF</t>
  </si>
  <si>
    <t>15/01/2025 11:48</t>
  </si>
  <si>
    <t>489-PRESTACIÓN DE SERVICIOS DE SICOF ERP EN MODALIDAD CLOUD COMPUTING, SOPORTE Y MANTENIMIENTO, ACOMPAÑAMIENTO EN SITIO Y HORAS DE DESARROLLO VF</t>
  </si>
  <si>
    <t>28/01/2025 11:20</t>
  </si>
  <si>
    <t>515-PRESTACIÓN DE SERVICIOS PROFESIONALES PARA APOYAR LAS ACTIVIDADES COMUNICATIVAS   Y   PERIODÍSTICAS CON EL FIN DE DIVULGAR LAS ACCIONES MISIONALES DE INDEPORTES ANTIOQUIA.</t>
  </si>
  <si>
    <t xml:space="preserve">Fortalecimiento de los sistemas de información y la gestión estratégica para el deporte, la recreación y la actividad física de Antioquia (Comunicaciones) -Servicios prestados a las empresas y servicios de producción </t>
  </si>
  <si>
    <t>516-PRESTACIÓN DE SERVICIOS DE APOYO A LA GESTIÓN PARA DISEÑO GRÁFICO Y PRODUCCIÓN AUDIO VISUAL EN INDEPORTES ANTIOQUIA.</t>
  </si>
  <si>
    <t>20/02/2025 15:08</t>
  </si>
  <si>
    <t>560-PRESTACIÓN DE SERVICIOS PROFESIONALES PARA EL APOYO A_x000D_
LA PLANIFICACIÓN ADMINISTRATIVA DE LOS DIFERENTES_x000D_
PROYECTOS, PROGRAMAS Y PROCESOS DE LA OFICINA ASESORA_x000D_
DE COMUNICACIONES.</t>
  </si>
  <si>
    <t>20/03/2025 8:24</t>
  </si>
  <si>
    <t>70-PRESTACIÓN DE SERVICIOS PROFESIONALES PARA APOYAR LA_x000D_
PRODUCCIÓN DE CONTENIDOS Y EL RELACIONAMIENTO CON LAS_x000D_
DEMÁS ENTIDADES PÚBLICAS POR PARTE DE LA OFICINA_x000D_
ASESORA DE COMUNICACIONES DE INDEPORTES ANTIOQUIA.</t>
  </si>
  <si>
    <t>27/01/2025 16:26</t>
  </si>
  <si>
    <t>490-PRESTACIÓN DE SERVICIOS PARA LA REALIZACIÓN DE LA CELEBRACIÓN ESPECIAL DEL DÍA DEPARTAMENTAL DEL DEPORTISTA ANTIOQUEÑO 2024.</t>
  </si>
  <si>
    <t>Fortalecimiento de los sistemas de información y la gestión estratégica para el deporte, la recreación y la actividad física de Antioquia (comunicaciones) -Servicios para la comunidad, sociales y personales</t>
  </si>
  <si>
    <t>14/02/2025 11:28</t>
  </si>
  <si>
    <t>56-CONTRATO INTERADMINISTRATIVO DE MANDATO SIN_x000D_
REPRESENTACIÓN PARA LA OPERACIÓN LOGÍSTICA DE EVENTOS;_x000D_
Y LA PRODUCCIÓN, ACTIVACIÓN Y FORTALECIMIENTO DE LA_x000D_
MARCA Y LA IMAGEN INSTITUCIONAL DE INDEPORTES ANTIOQUIA.</t>
  </si>
  <si>
    <t>17/03/2025 13:42</t>
  </si>
  <si>
    <t>55-CONTRATO INTERADMINISTRATIVO DE MANDATO, SIN REPRESENTACIÓN, PARA EL DESARROLLO, EJECUCIÓN Y DIFUSIÓN DEL PLAN DE MEDIOS Y LAS ESTRATEGIAS COMUNICACIONALES DE INDEPORTES ANTIOQUIA, INCLUYENDO LA REALIZACIÓN, PRODUCCIÓN, POSTPRODUCCIÓN Y EMISIÓN DE CONT</t>
  </si>
  <si>
    <t>23/01/2025 16:20</t>
  </si>
  <si>
    <t>219-PRESTACIÓN DE SERVICIOS DE APOYO A LA GESTIÓN PARA EL ACOMPAÑAMIENTO ADMINISTRATIVO EN LOS PROGRAMAS,  PROYECTOS Y MANEJO DE LAS DIFERENTES PLATAFORMAS UTILIZADAS EN LA SUBGERENCIA DE DEPORTE ASOCIADO Y ALTOS LOGROS DE INDEPORTES ANTIOQUIA</t>
  </si>
  <si>
    <t>SUBGERENCIA ALTOS LOGROS</t>
  </si>
  <si>
    <t xml:space="preserve">Apoyo económico a las organizaciones deportivas que representan en competencias al departamento de Antioquia - Servicios prestados a las empresas y servicios de producción </t>
  </si>
  <si>
    <t>23/01/2025 16:22</t>
  </si>
  <si>
    <t xml:space="preserve">222-PRESTACIÓN DE SERVICIOS PROFESIONALES  JURÍDICOS EN LOS PROCESOS DE CONTRATACIÓN DE INDEPORTES ANTIOQUIA, EN ESPECIAL LOS DE LA OFICINA DE MEDICINA DEPORTIVA Y EN LA SUBGERENCIA DE DEPORTE ASOCIADO Y ALTOS LOGROS </t>
  </si>
  <si>
    <t>23/01/2025 16:29</t>
  </si>
  <si>
    <t>211-PRESTACIÓN DE SERVICIOS PROFESIONALES JURÍDICOS ESPECIALIZADOS PARA APOYAR LOS PROCESOS ADMINISTRATIVOS Y DE CONTRATACIÓN DE INDEPORTES ANTIOQUIA, EN ESPECIAL DE LA SUBGERENCIA DE DEPORTE ASOCIADO Y ALTOS LOGROS</t>
  </si>
  <si>
    <t>23/01/2025 16:47</t>
  </si>
  <si>
    <t>212-PRESTACIÓN DE SERVICIOS PROFESIONALES ESPECIALIZADOS  PARA EL APOYO EN LA PLANIFICACIÓN ADMINISTRATIVA Y EJECUCIÓN FINANCIERA DE LOS DIFERENTES PROYECTOS, PROGRMAS Y PROCESOS DE LA SUBGERENCIA DE DEPORTE ASOCIADO Y DE ALTOS LOGROS DE INDEPORTES ANTIOQ</t>
  </si>
  <si>
    <t>31/01/2025 11:00</t>
  </si>
  <si>
    <t>215-PRESTACIÓN DE SERVICIOS PROFESIONALES PARA EL APOYO ADMINISTRATIVO Y FINANCIERO  A LOS PROGRAMAS Y PROYECTOS DE LA SUBGERENCIA DE DEPORTE ASOCIADO Y ALTOS LOGROS DE INDEPORTES ANTIOQUIA</t>
  </si>
  <si>
    <t>31/01/2025 11:01</t>
  </si>
  <si>
    <t>217-PRESTACIÓN DE SERVICIOS PROFESIONALES PARA APOYAR LA GESTIÓN ADMINISTRATIVA DE LOS PROCESOS DE LA SUBGERENCIA DE DEPORTE ASOCIADO Y ALTOS LOGROS DE INDEPORTES ANTIOQUIA</t>
  </si>
  <si>
    <t>31/01/2025 11:03</t>
  </si>
  <si>
    <t>218-PRESTACIÓN DE SERVICIOS PROFESIONALES PARA EL APOYO ADMINISTRATIVO Y FINANCIERO A LOS PROYECTOS, PROCESOS, PROGRAMAS, CONTRATOS Y CONVENIOS DE LA SUBGERENCIA DE DEPORTE ASOCIADO Y ALTOS LOGROS DE INDEPORTES ANTIOQUIA</t>
  </si>
  <si>
    <t>10/02/2025 9:23</t>
  </si>
  <si>
    <t>545-PRESTACIÓN DE SERVICIOS PROFESIONALES ESPECIALIZADOS, PARA APOYAR EL SEGUIMIENTO A LA EJECUCIÓN DE LOS PLANES, PROGRAMAS Y PROYECTOS ENMARCADOS DEL PLAN DE DESARROLLO 2024 - 2027 Y LA IMPLEMENTACIÓN DE POLÍTICAS PÚBLICAS PARA PROMOVER LA RECREACIÓN, L</t>
  </si>
  <si>
    <t>20/02/2025 15:42</t>
  </si>
  <si>
    <t>220-PRESTACIÓN DE SERVICIOS PROFESIONALES PARA EL APOYO ADMINISTRATIVO Y SEGUIMIENTO FINANCIERO  EN LA PLANEACION, EJECUCION Y LIQUIDACION DE LOS DIFERENTES PROCESOS DE LA SUBGERENCIA DE DEPORTE ASOCIADO Y ALTOS LOGROS</t>
  </si>
  <si>
    <t>20/02/2025 16:11</t>
  </si>
  <si>
    <t>213-PRESTACIÓN DE SERVICIOS PROFESIONALES PARA EL APOYO A LA PLANEACIÓN Y  EJECUCION DESDE EL COMPONENTE ADMINISTRATIVO Y FINANCIERO A LOS  CONVENIOS Y CONTRATOS SUSCRITOS POR LA SUBGERENCIA DE DEPORTE ASOCIADO Y ALTOS LOGROS DE INDEPORTES ANTIOQUIA</t>
  </si>
  <si>
    <t>7/03/2025 14:18</t>
  </si>
  <si>
    <t>568-ADICIÓN 1 AL CONTRATO 061 DE 2025 CUYO OBJETO ES: PRESTACIÓN DE SERVICIOS PROFESIONALES ESPECIALIZADOS, PARA APOYAR EL SEGUIMIENTO A LA EJECUCIÓN DE LOS PLANES, PROGRAMAS Y PROYECTOS ENMARCADOS DEL PLAN DE DESARROLLO 2024 - 2027 Y LA IMPLEMENTACIÓN DE</t>
  </si>
  <si>
    <t>7/03/2025 13:55</t>
  </si>
  <si>
    <t xml:space="preserve">187-CONVENIO CON LA LIGA DE TENIS DE CAMPO DE ANTIOQUIA PARA FORTALECER EL PROCESO DE ALTO RENDIMIENTO DE LOS ATLETAS QUE REPRESENTARÁN AL DEPARTAMENTO ANTIOQUIA EN LOS PRÓXIMOS JUEGOS NACIONALES 2027, CONTRIBUYENDO A LA EJECUCIÓN DEL PROGRAMA DESARROLLO </t>
  </si>
  <si>
    <t>Apoyo económico a las organizaciones deportivas que representan en competencias al departamento de Antioquia -Actividades de promoción y desarrollo del Deporte</t>
  </si>
  <si>
    <t>7/03/2025 13:59</t>
  </si>
  <si>
    <t>188-CONVENIO CON LA LIGA ANTIOQUEÑA DE RUGBY FÚTBOL PARA FORTALECER EL PROCESO DE ALTO RENDIMIENTO DE LOS ATLETAS QUE REPRESENTARÁN AL DEPARTAMENTO ANTIOQUIA EN LOS PRÓXIMOS JUEGOS NACIONALES 2027, CONTRIBUYENDO A LA EJECUCIÓN DEL PROGRAMA DESARROLLO DEPO</t>
  </si>
  <si>
    <t>7/03/2025 14:02</t>
  </si>
  <si>
    <t>196-CONVENIO CON LA LIGA DE BÉISBOL DE ANTIOQUIA PARA FORTALECER EL PROCESO DE ALTO RENDIMIENTO DE LOS ATLETAS QUE REPRESENTARÁN AL DEPARTAMENTO ANTIOQUIA EN LOS PRÓXIMOS JUEGOS NACIONALES 2027, CONTRIBUYENDO A LA EJECUCIÓN DEL PROGRAMA DESARROLLO DEPORTI</t>
  </si>
  <si>
    <t>7/03/2025 14:28</t>
  </si>
  <si>
    <t>168-CONVENIO CON LA LIGA DE AJEDREZ DE ANTIOQUIA PARA FORTALECER EL PROCESO DE ALTO RENDIMIENTO DE LOS ATLETAS QUE REPRESENTARÁN AL DEPARTAMENTO ANTIOQUIA EN LOS PRÓXIMOS JUEGOS NACIONALES 2027, CONTRIBUYENDO A LA EJECUCIÓN DEL PROGRAMA DESARROLLO DEPORTI</t>
  </si>
  <si>
    <t>31/03/2025 8:49</t>
  </si>
  <si>
    <t>170-CONVENIO CON LA LIGA ANTIOQUEÑA DE LUCHA PARA FORTALECER EL PROCESO DE ALTO RENDIMIENTO DE LOS ATLETAS QUE REPRESENTARÁN AL DEPARTAMENTO ANTIOQUIA EN LOS PRÓXIMOS JUEGOS NACIONALES 2027, CONTRIBUYENDO A LA EJECUCIÓN DEL PROGRAMA DESARROLLO DEPORTIVO P</t>
  </si>
  <si>
    <t>31/03/2025 9:01</t>
  </si>
  <si>
    <t>167-CONVENIO CON LA LIGA DE PATINAJE DE ANTIOQUIA PARA FORTALECER EL PROCESO DE ALTO RENDIMIENTO DE LOS ATLETAS QUE REPRESENTARÁN AL DEPARTAMENTO ANTIOQUIA EN LOS PRÓXIMOS JUEGOS NACIONALES 2027, CONTRIBUYENDO A LA EJECUCIÓN DEL PROGRAMA DESARROLLO DEPORT</t>
  </si>
  <si>
    <t>31/03/2025 21:57</t>
  </si>
  <si>
    <t>181-CONVENIO CON LA LIGA ANTIOQUEÑA DE TAEKWONDO PARA FORTALECER EL PROCESO DE ALTO RENDIMIENTO DE LOS ATLETAS QUE REPRESENTARÁN AL DEPARTAMENTO ANTIOQUIA EN LOS PRÓXIMOS JUEGOS NACIONALES 2027, CONTRIBUYENDO A LA EJECUCIÓN DEL PROGRAMA DESARROLLO DEPORTI</t>
  </si>
  <si>
    <t>Apoyo Económico A Las Organizaciones Deportivas Que Representen Competencias Al Departamento De Antioquia -Actividades De Promoción Y   Desarrollo Del Deporte</t>
  </si>
  <si>
    <t>31/03/2025 8:54</t>
  </si>
  <si>
    <t>585-CONVENIO CON LA LIGA DE LIMITACIÓN MENTAL DE ANTIOQUIA LIDIMANT PARA FORTALECER EL PROCESO DE ALTO RENDIMIENTO DE LOS ATLETAS QUE REPRESENTARÁN AL DEPARTAMENTO ANTIOQUIA EN LOS PRÓXIMOS JUEGOS PARANACIONALES 2027, CONTRIBUYENDO A LA EJECUCIÓN DEL PROG</t>
  </si>
  <si>
    <t>31/03/2025 8:59</t>
  </si>
  <si>
    <t>584-CONVENIO CON LA LIGA DEPORTIVA DE PERSONAS SORDAS DE ANTIOQUIA -LISANT PARA FORTALECER EL PROCESO DE ALTO RENDIMIENTO DE LOS ATLETAS QUE REPRESENTARÁN AL DEPARTAMENTO ANTIOQUIA EN LOS PRÓXIMOS JUEGOS PARANACIONALES 2027, CONTRIBUYENDO A LA EJECUCIÓN D</t>
  </si>
  <si>
    <t>7/02/2025 13:48</t>
  </si>
  <si>
    <t>236-PRESTACIÓN DE SERVICIOS PROFESIONALES COMO ADMINISTRADOR EN SALUD PARA INDEPORTES ANTIOQUIA EN ESPECIAL PARA LA OFICINA DE MEDICINA DEPORTIVA</t>
  </si>
  <si>
    <t xml:space="preserve">Asesoria médica y de ciencias aplicadas al desarrollo del rendimiento deportivo de atletas y para-atletas de Antioquia -Servicios prestados a las empresas y servicios de producción </t>
  </si>
  <si>
    <t>7/02/2025 13:51</t>
  </si>
  <si>
    <t>239-PRESTACIÓN DE SERVICIOS PROFESIONALES COMO PSICÓLOGO CLÍNICO PARA INDEPORTES ANTIOQUIA EN ESPECIAL PARA LA OFICINA DE MEDICINA DEPORTIVA.</t>
  </si>
  <si>
    <t>Asesoria médica y de ciencias aplicadas al desarrollo del rendimiento deportivo de atletas y para-atletas de Antioquia -Servicios para la comunidad, sociales y personales</t>
  </si>
  <si>
    <t>13/02/2025 15:31</t>
  </si>
  <si>
    <t>238-PRESTACIÓN DE SERVICIOS PROFESIONALES COMO FISIOTERAPEUTA PARA INDEPORTES ANTIOQUIA EN LOS DEPORTES: VOLEIBOL PISO, VOLEIBOL PLAYA, PATINAJE, ESGRIMA, GIMNASIA, TENIS DE MESA Y CICLISMO</t>
  </si>
  <si>
    <t>13/02/2025 15:33</t>
  </si>
  <si>
    <t>240-PRESTACIÓN DE SERVICIOS PROFESIONALES COMO FISIOTERAPEUTA PARA INDEPORTES ANTIOQUIA EN LOS DEPORTES: FÚTBOL DE SALÓN, CANOTAJE, ARQUERÍA, TAEKWONDO, BÁDMINTON, LUCHA, ESQUÍ NÁUTICO, ESQUÍ BOARD, WAKE BOARD Y REMO.</t>
  </si>
  <si>
    <t>13/02/2025 15:37</t>
  </si>
  <si>
    <t>241-PRESTACIÓN DE SERVICIOS DE APOYO A LA GESTIÓN EN EL ÁREA DE MASOTERAPIA DE INDEPORTES ANTIOQUIA EN LOS DEPORTES CONVENCIONALES.</t>
  </si>
  <si>
    <t>13/02/2025 15:38</t>
  </si>
  <si>
    <t>244-PRESTACIÓN DE SERVICIOS PROFESIONALES COMO FISIOTERAPEUTA PARA INDEPORTES ANTIOQUIA EN LOS  DEPORTES: DE DISCAPACIDAD INTELECTUALES, AUDITIVOS, FÍSICOS SILLA DE RUEDAS, RUGBY EN SILLA DE RUEDAS YPARACYCLING.</t>
  </si>
  <si>
    <t>13/02/2025 15:40</t>
  </si>
  <si>
    <t>245-PRESTACIÓN DE SERVICIOS DE APOYO A LA GESTIÓN EN EL ÁREA DE MASOTERAPIA DE INDEPORTES ANTIOQUIA EN LOS DEPORTES DE DISCAPACIDAD.</t>
  </si>
  <si>
    <t>27/02/2025 9:55</t>
  </si>
  <si>
    <t>246-PRESTACIÓN DE SERVICIOS PROFESIONALES COMO FISIOTERAPEUTA PARA LA OFICINA DE MEDICINA DEPORTIVA DE INDEPORTES ANTIOQUIA, APOYANDO LAS DISCIPLINAS DE JUEGO CON PELOTA Y EL ÁREA DE RECOVERY.</t>
  </si>
  <si>
    <t>27/02/2025 9:56</t>
  </si>
  <si>
    <t>252-PRESTACIÓN DE SERVICIOS PROFESIONALES ESPECIALIZADOS COMO MÉDICO ECOGRAFISTA PARA LA OFICINA DE MEDICINA DEPORTIVA DE INDEPORTES ANTIOQUIA.</t>
  </si>
  <si>
    <t>27/02/2025 9:58</t>
  </si>
  <si>
    <t>242-PRESTACIÓN DE SERVICIOS PROFESIONALES COMO PSICÓLOGO DEPORTIVO PARA LA OFICINA DE MEDICINA DEPORTIVA DE INDEPORTES ANTIOQUIA</t>
  </si>
  <si>
    <t>27/02/2025 10:01</t>
  </si>
  <si>
    <t xml:space="preserve">251-PRESTACIÓN DE SERVICIOS PROFESIONALES ESPECIALIZADOS COMO MÉDICO DE ORTOPEDIA Y TRAUMATOLOGÍA PARA LA OFICINA DE MEDICINA DEPORTIVA DE INDEPORTES ANTIOQUIA. </t>
  </si>
  <si>
    <t>27/02/2025 13:23</t>
  </si>
  <si>
    <t>243-PRESTACIÓN DE SERVICIOS PROFESIONALES COMO FISIOTERAPEUTA PARA INDEPORTES ANTIOQUIA EN LOS DEPORTES: BALONCESTO, KARATE, TENIS DE CAMPO, RUGBY, TIRO DEPORTIVO Y ACTIVIDADES SUBACUÁTICAS.</t>
  </si>
  <si>
    <t>27/02/2025 13:33</t>
  </si>
  <si>
    <t>247-PRESTACIÓN DE SERVICIOS PROFESIONALES COMO AUXILIAR DE ODONTOLOGÍA PARA ACOMPAÑAR LA ATENCION DE USUARIOS DE LA OFICINA DE MEDICINA DEPORTIVA DE INDEPORTES ANTIOQUIA.</t>
  </si>
  <si>
    <t>27/02/2025 13:35</t>
  </si>
  <si>
    <t>248-PRESTACIÓN DE SERVICIOS PROFESIONALES COMO ODONTOLOGA PARA ACOMPAÑAR LA ATENCION DE USUARIOS DE LA OFICINA DE MEDICINA DEPORTIVA DE INDEPORTES ANTIOQUIA.</t>
  </si>
  <si>
    <t>10/03/2025 15:51</t>
  </si>
  <si>
    <t xml:space="preserve">247-PRESTACIÓN DE SERVICIOS COMO AUXILIAR DE ODONTOLOGÍA PARA ACOMPAÑAR LA ATENCIÓN DE USUARIOS DE LA OFICINA DE MEDICINA DEPORTIVA DE INDEPORTES ANTIOQUIA._x000D_
</t>
  </si>
  <si>
    <t>10/03/2025 15:55</t>
  </si>
  <si>
    <t>253-PRESTACIÓN DE SERVICIOS PROFESIONALES COMO FISIOTERAPEUTA PARA INDEPORTES ANTIOQUIA EN LOS SIGUIENTES DEPORTES: PARA ATLETISMO, PARA NATACIÓN, BOCCIA, PARAPOWERLIFTING, PARA TENIS DE MESA, PARA JUDO VISUAL.</t>
  </si>
  <si>
    <t>10/03/2025 16:15</t>
  </si>
  <si>
    <t>250-PRESTACIÓN DE SERVICIOS PROFESIONALES COMO NUTRICIONISTA PARA INDEPORTES ANTIOQUIA</t>
  </si>
  <si>
    <t>17/03/2025 13:44</t>
  </si>
  <si>
    <t>249-PRESTACIÓN DE SERVICIOS PROFESIONALES COMO MÉDICO ESPECIALIZADO PARA LA ATENCIÓN DE DEPORTES CONVENCIONALES Y ADAPTADOS PARA INDEPORTES ANTIOQUIA.</t>
  </si>
  <si>
    <t>6/02/2025 11:24</t>
  </si>
  <si>
    <t>435-PRESTACIÓN DE SERVICIOS DE UN ENTRENADOR PRINCIPAL PARA LA REALIZACIÓN DEL PROCESO DE SELECCIÓN, ENTRENAMIENTO DEPORTIVO Y PARTICIPACIÓN EN COMPETENCIAS EN LA LIGA ANTIOQUEÑA DE KARATE -DO, MODALIDAD KATA, EN CATEGORÍAS DE JUEGOS NACIONALES.</t>
  </si>
  <si>
    <t>Apoyo técnico a atletas y para-atletas que representan en alto rendimiento deportivo al departamento de Antioquia. - Servicios para la comunidad, sociales y personales</t>
  </si>
  <si>
    <t>436-PRESTACIÓN DE SERVICIOS DE UN ENTRENADOR ASISTENTE PARA LA REALIZACIÓN DEL PROCESO DE SELECCIÓN, ENTRENAMIENTO DEPORTIVO Y PARTICIPACIÓN EN COMPETENCIAS EN LA LIGA ANTIOQUEÑA DE KARATE -DO, MODALIDAD COMBATE CON JUVENILES Y MAYORES, EN CATEGORÍAS DE J</t>
  </si>
  <si>
    <t>437-PRESTACIÓN DE SERVICIOS DE UN ENTRENADOR ASISTENTE PARA LA REALIZACIÓN DEL PROCESO DE SELECCIÓN, ENTRENAMIENTO DEPORTIVO Y PARTICIPACIÓN EN COMPETENCIAS EN LA LIGA ANTIOQUEÑA DE TAEKWONDO, MODALIDAD COMBATE, EN CATEGORÍAS DE JUEGOS NACIONALES.</t>
  </si>
  <si>
    <t xml:space="preserve">438-PRESTACIÓN DE SERVICIOS DE UN ENTRENADOR PRINCIPAL PARA LA REALIZACIÓN DEL PROCESO DE SELECCIÓN, ENTRENAMIENTO DEPORTIVO Y PARTICIPACIÓN EN COMPETENCIAS EN LA LIGA ANTIOQUEÑA DE TAEKWONDO, EN LA MODALIDAD COMBATE JUVENILES Y MAYORES, EN CATEGORÍAS DE </t>
  </si>
  <si>
    <t>439-PRESTACIÓN DE SERVICIOS DE UN ENTRENADOR DE INICIACIÓN EN ATLETAS JUNIORS DE LA LIGA ANTIOQUEÑA DE TAEKWONDO, EN CATEGORÍAS DE JUEGOS NACIONALES.</t>
  </si>
  <si>
    <t>440-PRESTACIÓN DE SERVICIOS DE UN ENTRENADOR PRINCIPAL PARA LA REALIZACIÓN DEL PROCESO DE SELECCIÓN, ENTRENAMIENTO DEPORTIVO Y PARTICIPACIÓN EN COMPETENCIAS EN LA LIGA ANTIOQUEÑA DE TAEKWONDO, EN LA MODALIDAD POOMSAE, EN CATEGORÍAS DE JUEGOS NACIONALES.</t>
  </si>
  <si>
    <t>441-PRESTACIÓN DE SERVICIOS DE UN ENTRENADOR ASISTENTE PARA LA REALIZACIÓN DEL PROCESO DE SELECCIÓN, ENTRENAMIENTO DEPORTIVO Y PARTICIPACIÓN EN COMPETENCIAS EN LA LIGA ANTIOQUEÑA DE TAEKWONDO, EN LA MODALIDAD FREESTYLE, EN CATEGORÍAS DE JUEGOS NACIONALES.</t>
  </si>
  <si>
    <t>442-PRESTACIÓN DE SERVICIOS DE UN ENTRENADOR DE INICIACIÓN Y DESARROLLO DEPORTIVO EN LA LIGA ANTIOQUEÑA DE TAEKWONDO, EN LA MODALIDAD POOMSAES, EN CATEGORÍAS DE JUEGOS NACIONALES.</t>
  </si>
  <si>
    <t>443-PRESTACIÓN DE SERVICIOS DE UN ENTRENADOR PRINCIPAL PARA LA PREPARACIÓN Y PROCESO DE SELECCIÓN, ENTRENAMIENTO DEPORTIVO Y PARTICIPACIÓN EN COMPETENCIAS EN LA LIGA DE PATINAJE DE ANTIOQUIA, MODALIDAD VELOCIDAD, EN CATEGORÍAS DE JUEGOS NACIONALES.</t>
  </si>
  <si>
    <t>444-PRESTACIÓN DE SERVICIOS DE UN ENTRENADOR PRINCIPAL PARA LA PREPARACIÓN DE LOS ATLETAS DE LAS CATEGORÍAS JUNIOR, PREJUVENILES Y JUVENILES DE LA LIGA DE PATINAJE DE ANTIOQUIA EN LA MODALIDAD VELOCIDAD.</t>
  </si>
  <si>
    <t>445-PRESTACIÓN DE SERVICIOS DE UN ENTRENADOR PRINCIPAL PARA LA REALIZACIÓN DEL PROCESO DE SELECCIÓN, ENTRENAMIENTO DEPORTIVO Y PARTICIPACIÓN EN COMPETENCIAS EN LA LIGA DE PATINAJE DE ANTIOQUIA, MODALIDAD SKATEBOARDING, EN CATEGORÍAS DE JUEGOS NACIONALES.</t>
  </si>
  <si>
    <t xml:space="preserve">446-PRESTACIÓN DE SERVICIOS DE UN ENTRENADOR PRINCIPAL PARA LA REALIZACIÓN DEL PROCESO DE SELECCIÓN, ENTRENAMIENTO DEPORTIVO Y PARTICIPACIÓN EN COMPETENCIAS EN LA LIGA DE PATINAJE DE ANTIOQUIA, MODALIDAD ARTÍSTICO FIGURAS Y LIBRE, EN CATEGORÍAS DE JUEGOS </t>
  </si>
  <si>
    <t>447-PRESTACIÓN DE SERVICIOS DE UN ENTRENADOR PRINCIPAL PARA LA REALIZACIÓN DEL PROCESO DE SELECCIÓN, ENTRENAMIENTO DEPORTIVO Y PARTICIPACIÓN EN COMPETENCIAS EN LA LIGA DE PATINAJE DE ANTIOQUIA, MODALIDAD ARTÍSTICO SOLO DANZA, EN CATEGORÍAS DE JUEGOS NACIO</t>
  </si>
  <si>
    <t xml:space="preserve">448-PRESTACIÓN DE SERVICIOS DE UN ENTRENADOR DE INICIACIÓN Y DESARROLLO PARA LA REALIZACIÓN DEL PROCESO DE SELECCIÓN, ENTRENAMIENTO DEPORTIVO Y PARTICIPACIÓN EN COMPETENCIAS DE LA LIGA DE PATINAJE DE ANTIOQUIA, EN LA MODALIDAD DE PATINAJE ARTÍSTICO. </t>
  </si>
  <si>
    <t>10/02/2025 9:26</t>
  </si>
  <si>
    <t>461-PRESTACIÓN DE SERVICIOS PROFESIONALES PARA EL ACOMPAÑAMIENTO DE LOS PROCESOS METODOLÓGICOS PARA LA PREPARACIÓN, PARTICIPACIÓN Y FORTALECIMIENTO TÉCNICO DE LOS ATLETAS QUE APOYA INDEPORTES ANTIOQUIA</t>
  </si>
  <si>
    <t>13/02/2025 13:26</t>
  </si>
  <si>
    <t>460-PRESTACIÓN DE SERVICIOS PROFESIONALES ESPECIALIZADOS PARA EL ACOMPAÑAMIENTO DE LOS PROCESOS METODOLÓGICOS PARA LA PREPARACIÓN, PARTICIPACIÓN Y FORTALECIMIENTO TÉCNICO  DE LOS PARA-ATLETAS Y DE LOS ORGANISMOS DEPORTIVOS QUE APOYA INDEPORTES ANTIOQUIA</t>
  </si>
  <si>
    <t>26/02/2025 16:58</t>
  </si>
  <si>
    <t>451-PRESTACIÓN DE SERVICIOS DE UN ENTRENADOR ASISTENTE PARA LA REALIZACIÓN DEL PROCESO SELECCIÓN, ENTRENAMIENTO DEPORTIVO Y PARTICIPACIÓN EN COMPETENCIAS EN LA LIGA ANTIOQUEÑA DE VOLEIBOL, EN LA MODALIDAD VOLEIBOL PISO, RAMA FEMENINA, EN CATEGORÍAS DE JUE</t>
  </si>
  <si>
    <t>26/02/2025 17:00</t>
  </si>
  <si>
    <t>450-PRESTACIÓN DE SERVICIOS DE UN ENTRENADOR PARA LA REALIZACIÓN DEL PROCESO DE PREPARACIÓN FÍSICA  EN EL DEPORTE DE FUTBOL FEMENINO EN LAS MODALIDADES Y CATEGORÍAS DE JUEGOS NACIONALES.</t>
  </si>
  <si>
    <t>26/02/2025 17:02</t>
  </si>
  <si>
    <t>452-PRESTACIÓN DE SERVICIOS DE UN ENTRENADOR ASISTENTE EN DESARROLLO DEPORTIVO DE LOS ATLETAS EN LAS CATEGORÍAS INFANTIL Y JUNIOR EN LA MODALIDAD DE VELOCIDAD DEL CENTRO DE DESARROLLO DE LA LIGA DE ATLETISMO DE ANTIOQUIA</t>
  </si>
  <si>
    <t>26/02/2025 17:04</t>
  </si>
  <si>
    <t>453-PRESTACIÓN DE SERVICIOS DE UN ENTRENADOR ASISTENTE PARA LA REALIZACIÓN DE PROCESOS DE SELECCIÓN SUBREGIONALES Y PARTICIPACIÓN EN COMPETENCIAS EN LA LIGA DE TENIS DE MESA DE ANTIOQUIA, EN LAS CATEGORÍAS DE FORMACIÓN DEPORTIVA Y CATEGORÍAS DE JUEGOS NAC</t>
  </si>
  <si>
    <t>26/02/2025 17:05</t>
  </si>
  <si>
    <t>454-PRESTACIÓN DE SERVICIOS DE UN ENTRENADOR DE INICIACIÓN Y DESARROLLO DEPORTIVO PARA LA CONSECUCIÓN DE NUEVOS TALENTOS PARA DEPORTES DE CONJUNTO EN LA SUBREGIÓN DEL SUROESTE ANTIOQUEÑO, EN CATEGORÍAS DE JUEGOS NACIONALES.</t>
  </si>
  <si>
    <t>27/02/2025 9:11</t>
  </si>
  <si>
    <t>458-PRESTACIÓN DE SERVICIOS DE UN ENTRENADOR PARA LA REALIZACIÓN DEL PROCESO DE SELECCIÓN, ENTRENAMIENTO DEPORTIVO Y PARTICIPACIÓN EN COMPETENCIAS EN LA LIGA ANTIOQUEÑA DE TEJO, EN LA RAMA MASCULINA, EN CATEGORÍAS DE JUEGOS NACIONALES.</t>
  </si>
  <si>
    <t>27/02/2025 9:13</t>
  </si>
  <si>
    <t>455-PRESTACIÓN DE SERVICIOS DE UN ENTRENADOR PRINCIPAL PARA LA REALIZACIÓN DEL PROCESO DE SELECCIÓN, ENTRENAMIENTO DEPORTIVO Y PARTICIPACIÓN EN COMPETENCIAS EN LA LIGA ANTIOQUEÑA DE RUGBY, EN LA MODALIDAD QUINCES RAMA FEMENINA Y MASCULINA, EN CATEGORÍAS M</t>
  </si>
  <si>
    <t>27/02/2025 9:14</t>
  </si>
  <si>
    <t>459-PRESTACIÓN DE SERVICIOS DE UN ENTRENADOR ASISTENTE PARA EL DESARROLLO DEPORTIVO DE LOS ATLETAS DE LA LIGA ANTIOQUEÑA DE ACTIVIDADES SUBACUÁTICAS EN LA MODALIDAD NATACIÓN CON ALETAS DEL CENTRO DE DESARROLLO DEPORTIVO.</t>
  </si>
  <si>
    <t>27/02/2025 9:29</t>
  </si>
  <si>
    <t>563-PRESTACIÓN DE SERVICIOS DE UN ENTRENADOR PARA EL DESARROLLO DEPORTIVO DE LOS ATLETAS DE LA LIGA DE CANOTAJE DE ANTIOQUIA  DEL CENTRO DE DESARROLLO DEPORTIVO EN LA SUBREGIÓN ORIENTE.</t>
  </si>
  <si>
    <t>27/02/2025 9:37</t>
  </si>
  <si>
    <t xml:space="preserve">456-PRESTACIÓN DE SERVICIOS DE UN ENTRENADOR DE INICIACIÓN Y DESARROLLO DEPORTIVO PARA LA CONSECUCIÓN DE NUEVOS TALENTOS PARA LA LIGA ANTIOQUEÑA DE TEJO, QUE PUEDAN LLEGAR A LAS SELECCIONES DE ANTIOQUIA. </t>
  </si>
  <si>
    <t>27/02/2025 9:43</t>
  </si>
  <si>
    <t>564-PRESTACIÓN DE SERVICIOS DE UN ENTRENADOR PARA LA REALIZACIÓN DEL PROCESO DE PREPARACIÓN FÍSICA Y CONDICIONAL EN LOS DEPORTES DE JUDO, LUCHA, KARATE, ESGRIMA Y TAEKWONDO EN LAS MODALIDADES Y CATEGORÍAS DE JUEGOS NACIONALES.</t>
  </si>
  <si>
    <t>27/02/2025 9:47</t>
  </si>
  <si>
    <t>457-PRESTACIÓN DE SERVICIOS DE UN ENTRENADOR PARA LA REALIZACIÓN DEL PROCESO DE SELECCIÓN, ENTRENAMIENTO DEPORTIVO Y PARTICIPACIÓN EN COMPETENCIAS EN LA LIGA ANTIOQUEÑA DE TEJO, EN LA RAMA FEMENINA, EN CATEGORÍAS DE JUEGOS NACIONALES.</t>
  </si>
  <si>
    <t>27/02/2025 9:53</t>
  </si>
  <si>
    <t>565-PRESTACIÓN DE SERVICIOS DE UN ENTRENADOR PRINCIPAL PARA LA REALIZACIÓN DEL PROCESO DE SELECCIÓN, ENTRENAMIENTO DEPORTIVO Y PARTICIPACIÓN EN COMPETENCIAS EN LA LIGA ANTIOQUEÑA DE ESGRIMA, EN LA MODALIDAD FLORETE, EN CATEGORÍAS DE JUEGOS NACIONALES.</t>
  </si>
  <si>
    <t>21/03/2025 14:55</t>
  </si>
  <si>
    <t>579 - ADICIÓN 1 AL CONTRATO 210 DE 2025 CUYO OBJETO ES: PRESTACIÓN DE SERVICIOS DE UN ENTRENADOR PRINCIPAL PARA LA REALIZACIÓN DEL PROCESO DE SELECCIÓN, ENTRENAMIENTO DEPORTIVO Y PARTICIPACIÓN EN COMPETENCIAS EN LA LIGA ANTIOQUEÑA DE LUCHA EN LA MODALIDAD</t>
  </si>
  <si>
    <t>6/02/2025 11:15</t>
  </si>
  <si>
    <t>254-PRESTACIÓN DE SERVICIOS DE UN ENTRENADOR PRINCIPAL PARA LA REALIZACIÓN DEL PROCESO DE SELECCIÓN, ENTRENAMIENTO DEPORTIVO Y PARTICIPACIÓN EN COMPETENCIAS EN LA LIGA ANTIOQUEÑA DE ARQUERÍA, EN LA MODALIDAD ARCO RECURVO, EN CATEGORÍAS DE JUEGOS NACIONALE</t>
  </si>
  <si>
    <t>255-PRESTACIÓN DE SERVICIOS DE UN ENTRENADOR PRINCIPAL PARA LA REALIZACIÓN DEL PROCESO DE SELECCIÓN, ENTRENAMIENTO DEPORTIVO Y PARTICIPACIÓN EN COMPETENCIAS EN LA LIGA ANTIOQUEÑA DE ARQUERÍA, EN LA MODALIDAD ARCO COMPUESTO, EN CATEGORÍAS DE JUEGOS NACIONA</t>
  </si>
  <si>
    <t>256-PRESTACIÓN DE SERVICIOS DE UN ENTRENADOR ASISTENTE PARA LA REALIZACIÓN DEL PROCESO DE SELECCIÓN, ENTRENAMIENTO DEPORTIVO Y PARTICIPACIÓN EN COMPETENCIAS EN LA LIGA ANTIOQUEÑA DE ARQUERÍA, EN LA MODALIDAD ARCO COMPUESTO, EN CATEGORÍAS DE JUEGOS NACIONA</t>
  </si>
  <si>
    <t>257-PRESTACIÓN DE SERVICIOS DE UN ENTRENADOR ASISTENTE PARA LA REALIZACIÓN DEL PROCESO DE SELECCIÓN, ENTRENAMIENTO DEPORTIVO Y PARTICIPACIÓN EN COMPETENCIAS EN LA LIGA ANTIOQUEÑA DE ARQUERÍA, EN LA MODALIDAD ARCO RECURVO, EN CATEGORÍAS DE JUEGOS NACIONALE</t>
  </si>
  <si>
    <t>258-PRESTACIÓN DE SERVICIOS DE UN ENTRENADOR ASISTENTE PARA LA REALIZACIÓN DEL PROCESO SELECCIÓN, ENTRENAMIENTO DEPORTIVO Y PARTICIPACIÓN EN COMPETENCIAS EN LA LIGA ANTIOQUEÑA DE BÁDMINTON, EN CATEGORÍAS DE JUEGOS NACIONALES.</t>
  </si>
  <si>
    <t>259-PRESTACIÓN DE SERVICIOS DE UN ENTRENADOR PRINCIPAL PARA LA REALIZACIÓN DEL PROCESO DE SELECCIÓN, ENTRENAMIENTO DEPORTIVO Y PARTICIPACIÓN EN COMPETENCIAS EN LA LIGA ANTIOQUEÑA DE BÁDMINTON, EN CATEGORÍAS DE JUEGOS NACIONALES.</t>
  </si>
  <si>
    <t>260-PRESTACIÓN DE SERVICIOS DE UN ENTRENADOR ASISTENTE PARA LA REALIZACIÓN DEL PROCESO SELECCIÓN, ENTRENAMIENTO DEPORTIVO Y PARTICIPACIÓN EN COMPETENCIAS EN LA LIGA ANTIOQUEÑA DE BALONCESTO, EN LA RAMA MASCULINA, EN CATEGORÍAS DE JUEGOS NACIONALES.</t>
  </si>
  <si>
    <t>261-PRESTACIÓN DE SERVICIOS DE UN ENTRENADOR PRINCIPAL PARA LA REALIZACIÓN DEL PROCESO DE SELECCIÓN, ENTRENAMIENTO DEPORTIVO Y PARTICIPACIÓN EN COMPETENCIAS EN LA LIGA ANTIOQUEÑA DE BALONCESTO, RAMA MASCULINA, EN CATEGORÍAS DE JUEGOS NACIONALES.</t>
  </si>
  <si>
    <t>262-PRESTACIÓN DE SERVICIOS DE UN ENTRENADOR PRINCIPAL PARA LA REALIZACIÓN DEL PROCESO DE SELECCIÓN, ENTRENAMIENTO DEPORTIVO Y PARTICIPACIÓN EN COMPETENCIAS EN LA LIGA ANTIOQUEÑA DE BALONCESTO, EN LA RAMA FEMENINA, EN CATEGORÍAS DE JUEGOS NACIONALES.</t>
  </si>
  <si>
    <t>263-PRESTACIÓN DE SERVICIOS DE UN ENTRENADOR ASISTENTE PARA LA REALIZACIÓN DEL PROCESO SELECCIÓN, ENTRENAMIENTO DEPORTIVO Y PARTICIPACIÓN EN COMPETENCIAS EN LA LIGA ANTIOQUEÑA DE BALONCESTO, EN LA RAMA FEMENINA, EN CATEGORÍAS DE JUEGOS NACIONALES.</t>
  </si>
  <si>
    <t>264-PRESTACIÓN DE SERVICIOS DE UN ENTRENADOR PRINCIPAL PARA LA REALIZACIÓN DEL PROCESO DE SELECCIÓN, ENTRENAMIENTO DEPORTIVO Y PARTICIPACIÓN EN COMPETENCIAS EN LA LIGA ANTIOQUEÑA DE BALONMANO, EN LA RAMA MASCULINA, EN CATEGORÍAS DE JUEGOS NACIONALES.</t>
  </si>
  <si>
    <t>265-PRESTACIÓN DE SERVICIOS DE UN ENTRENADOR ASISTENTE PARA LA REALIZACIÓN DEL PROCESO SELECCIÓN, ENTRENAMIENTO DEPORTIVO Y PARTICIPACIÓN EN COMPETENCIAS EN LA LIGA ANTIOQUEÑA DE BALONMANO, EN LA RAMA FEMENINA, EN CATEGORÍAS DE JUEGOS NACIONALES.</t>
  </si>
  <si>
    <t>266-PRESTACIÓN DE SERVICIOS DE UN ENTRENADOR ASISTENTE PARA LA REALIZACIÓN DEL PROCESO SELECCIÓN, ENTRENAMIENTO DEPORTIVO Y PARTICIPACIÓN EN COMPETENCIAS EN LA LIGA ANTIOQUEÑA DE BALONMANO, EN LA RAMA MASCULINA, EN CATEGORÍAS DE JUEGOS NACIONALES.</t>
  </si>
  <si>
    <t>267-PRESTACIÓN DE SERVICIOS DE UN ENTRENADOR PRINCIPAL PARA LA REALIZACIÓN DEL PROCESO DE SELECCIÓN, ENTRENAMIENTO DEPORTIVO Y PARTICIPACIÓN EN COMPETENCIAS EN LA LIGA ANTIOQUEÑA DE BALONMANO, EN LA RAMA FEMENINA, EN CATEGORÍAS DE JUEGOS NACIONALES.</t>
  </si>
  <si>
    <t>268-PRESTACIÓN DE SERVICIOS DE UN ENTRENADOR PRINCIPAL PARA LA REALIZACIÓN DEL PROCESO DE SELECCIÓN, ENTRENAMIENTO DEPORTIVO Y PARTICIPACIÓN EN COMPETENCIAS EN LA LIGA ANTIOQUEÑA DE FÚTBOL, EN LA MODALIDAD FÚTBOL SALA EN LAS RAMAS FEMENINA Y MASCULINA, EN</t>
  </si>
  <si>
    <t>269-PRESTACIÓN DE SERVICIOS DE UN ENTRENADOR PRINCIPAL PARA LA REALIZACIÓN DEL PROCESO DE SELECCIÓN, ENTRENAMIENTO DEPORTIVO Y PARTICIPACIÓN EN COMPETENCIAS EN LA LIGA ANTIOQUEÑA DE FÚTBOL, EN LA MODALIDAD FÚTBOL CÉSPED RAMA FEMENINA, EN CATEGORÍAS DE JUE</t>
  </si>
  <si>
    <t>270-PRESTACIÓN DE SERVICIOS DE UN ENTRENADOR PRINCIPAL PARA LA REALIZACIÓN DEL PROCESO DE SELECCIÓN, ENTRENAMIENTO DEPORTIVO Y PARTICIPACIÓN EN COMPETENCIAS EN LA LIGA ANTIOQUEÑA DE FÚTBOL, EN LA MODALIDAD FÚTBOL CÉSPED RAMA MASCULINA, EN CATEGORÍAS DE JU</t>
  </si>
  <si>
    <t>6/02/2025 11:16</t>
  </si>
  <si>
    <t>271-PRESTACIÓN DE SERVICIOS DE UN ENTRENADOR ASISTENTE PARA LA REALIZACIÓN DEL PROCESO SELECCIÓN, ENTRENAMIENTO DEPORTIVO Y PARTICIPACIÓN EN COMPETENCIAS EN LA LIGA ANTIOQUEÑA DE FÚTBOL, EN LA MODALIDAD FÚTBOL CÉSPED, RAMA MASCULINA, EN CATEGORÍAS DE JUEG</t>
  </si>
  <si>
    <t>272-PRESTACIÓN DE SERVICIOS DE UN ENTRENADOR PRINCIPAL PARA LA REALIZACIÓN DEL PROCESO DE SELECCIÓN, ENTRENAMIENTO DEPORTIVO Y PARTICIPACIÓN EN COMPETENCIAS EN LA LIGA ANTIOQUEÑA DE GIMNASIA, EN LA MODALIDAD ARTÍSTICA FEMENINA, EN CATEGORÍAS DE JUEGOS NAC</t>
  </si>
  <si>
    <t>273-PRESTACIÓN DE SERVICIOS DE UN ENTRENADOR PRINCIPAL PARA LA REALIZACIÓN DEL PROCESO DE SELECCIÓN, ENTRENAMIENTO DEPORTIVO Y PARTICIPACIÓN EN COMPETENCIAS EN LA LIGA ANTIOQUEÑA DE GIMNASIA, EN LA MODALIDAD RÍTMICA, EN CATEGORÍAS DE JUEGOS NACIONALES.</t>
  </si>
  <si>
    <t>274-PRESTACIÓN DE SERVICIOS DE UN ENTRENADOR ASISTENTE PARA LA REALIZACIÓN DEL PROCESO SELECCIÓN, ENTRENAMIENTO DEPORTIVO Y PARTICIPACIÓN EN COMPETENCIAS EN LA LIGA ANTIOQUEÑA DE GIMNASIA, EN LA MODALIDAD RÍTMICA Y COREOGRAFÍA, EN CATEGORÍAS DE JUEGOS NAC</t>
  </si>
  <si>
    <t>275-PRESTACIÓN DE SERVICIOS DE UN ENTRENADOR PRINCIPAL PARA LA REALIZACIÓN DEL PROCESO DE SELECCIÓN, ENTRENAMIENTO DEPORTIVO Y PARTICIPACIÓN EN COMPETENCIAS EN LA LIGA ANTIOQUEÑA DE GIMNASIA, MODALIDAD TRAMPOLÍN, EN CATEGORÍAS DE JUEGOS NACIONALES.</t>
  </si>
  <si>
    <t>276-PRESTACIÓN DE SERVICIOS DE UN ENTRENADOR PRINCIPAL PARA LA REALIZACIÓN DEL PROCESO DE SELECCIÓN, ENTRENAMIENTO DEPORTIVO Y PARTICIPACIÓN EN COMPETENCIAS EN LA LIGA ANTIOQUEÑA DE GIMNASIA, EN LA MODALIDAD ARTÍSTICA FEMENINA Y COREOGRAFÍA, EN CATEGORÍAS</t>
  </si>
  <si>
    <t>277-PRESTACIÓN DE SERVICIOS DE UN ENTRENADOR PRINCIPAL PARA LA REALIZACIÓN DEL PROCESO DE SELECCIÓN, ENTRENAMIENTO DEPORTIVO Y PARTICIPACIÓN EN COMPETENCIAS EN LA LIGA ANTIOQUEÑA DE GIMNASIA, MODALIDAD ARTÍSTICA MASCULINA, EN CATEGORÍAS DE JUEGOS NACIONAL</t>
  </si>
  <si>
    <t xml:space="preserve">278-PRESTACIÓN DE SERVICIOS DE UN ENTRENADOR PRINCIPAL PARA LA REALIZACIÓN DEL PROCESO DE SELECCIÓN, ENTRENAMIENTO DEPORTIVO Y PARTICIPACIÓN EN COMPETENCIAS EN LA LIGA ANTIOQUEÑA DE VOLEIBOL, EN LA MODALIDAD VOLEIBOL PISO RAMA MASCULINA, EN CATEGORÍAS DE </t>
  </si>
  <si>
    <t>279-PRESTACIÓN DE SERVICIOS DE UN ENTRENADOR PRINCIPAL PARA LA REALIZACIÓN DEL PROCESO DE SELECCIÓN, ENTRENAMIENTO DEPORTIVO Y PARTICIPACIÓN EN COMPETENCIAS EN LA LIGA ANTIOQUEÑA DE VOLEIBOL, EN LA MODALIDAD VOLEIBOL PLAYA, EN CATEGORÍAS DE JUEGOS NACIONA</t>
  </si>
  <si>
    <t>280-PRESTACIÓN DE SERVICIOS DE UN ENTRENADOR ASISTENTE PARA LA REALIZACIÓN DEL PROCESO SELECCIÓN, ENTRENAMIENTO DEPORTIVO Y PARTICIPACIÓN EN COMPETENCIAS EN LA LIGA ANTIOQUEÑA DE VOLEIBOL, EN LA MODALIDAD VOLEIBOL PISO, RAMA MASCULINA, EN CATEGORÍAS DE JU</t>
  </si>
  <si>
    <t xml:space="preserve">281-PRESTACIÓN DE SERVICIOS DE UN ENTRENADOR PRINCIPAL PARA LA REALIZACIÓN DEL PROCESO DE SELECCIÓN, ENTRENAMIENTO DEPORTIVO Y PARTICIPACIÓN EN COMPETENCIAS EN LA LIGA DE ATLETISMO DE ANTIOQUIA, EN LA MODALIDAD DE LANZAMIENTO DE BALA Y DE MARTILLO EN LAS </t>
  </si>
  <si>
    <t>282-PRESTACIÓN DE SERVICIOS DE UN ENTRENADOR PRINCIPAL PARA LA REALIZACIÓN DEL PROCESO DE SELECCIÓN, ENTRENAMIENTO DEPORTIVO Y PARTICIPACIÓN EN COMPETENCIAS EN LA LIGA DE ATLETISMO DE ANTIOQUIA, EN LA MODALIDAD DE LANZAMIENTO DE DISCO Y JABALINA, EN CATEG</t>
  </si>
  <si>
    <t xml:space="preserve">283-PRESTACIÓN DE SERVICIOS DE UN ENTRENADOR ASISTENTE PARA LA REALIZACIÓN DEL PROCESO SELECCIÓN, ENTRENAMIENTO DEPORTIVO Y PARTICIPACIÓN EN COMPETENCIAS EN LA LIGA DE ATLETISMO DE ANTIOQUIA, EN LAS MODALIDADES DE FONDO, SEMIFONDO Y MARCHA, EN CATEGORÍAS </t>
  </si>
  <si>
    <t xml:space="preserve">284-PRESTACIÓN DE SERVICIOS DE UN ENTRENADOR PRINCIPAL PARA LA REALIZACIÓN DEL PROCESO DE SELECCIÓN, ENTRENAMIENTO DEPORTIVO Y PARTICIPACIÓN EN COMPETENCIAS EN LA LIGA DE ATLETISMO DE ANTIOQUIA, EN LAS MODALIDADES FONDO, SEMIFONDO Y MARCHA, EN CATEGORÍAS </t>
  </si>
  <si>
    <t xml:space="preserve">285-PRESTACIÓN DE SERVICIOS DE UN ENTRENADOR ASISTENTE PARA LA REALIZACIÓN DEL PROCESO SELECCIÓN, ENTRENAMIENTO DEPORTIVO Y PARTICIPACIÓN EN COMPETENCIAS EN LA LIGA DE ATLETISMO DE ANTIOQUIA, EN LA MODALIDAD DE VELOCIDAD EN CATEGORÍAS JUVENILES DE JUEGOS </t>
  </si>
  <si>
    <t>286-PRESTACIÓN DE SERVICIOS DE UN ENTRENADOR ASISTENTE EN DESARROLLO DEPORTIVO DE LOS ATLETAS EN LAS CATEGORÍAS JUNIOR, JUVENILES Y SUB 23 EN LA MODALIDAD DE SALTO DEL CENTRO DE DESARROLLO DE LA LIGA DE ATLETISMO DE ANTIOQUIA</t>
  </si>
  <si>
    <t>287-PRESTACIÓN DE SERVICIOS DE UN ENTRENADOR PRINCIPAL PARA LA REALIZACIÓN DEL PROCESO DE SELECCIÓN, ENTRENAMIENTO DEPORTIVO Y PARTICIPACIÓN EN COMPETENCIAS EN LA LIGA DE ATLETISMO DE ANTIOQUIA, EN LA MODALIDAD DE PRUEBAS MÚLTIPLES, EN CATEGORÍAS DE JUEGO</t>
  </si>
  <si>
    <t>288-PRESTACIÓN DE SERVICIOS DE UN ENTRENADOR ASISTENTE EN DESARROLLO DEPORTIVO DE LOS ATLETAS EN LAS CATEGORÍAS JUNIOR, JUVENILES Y SUB 23 EN LA MODALIDAD DE LANZAMIENTO DEL CENTRO DE DESARROLLO DE LA LIGA DE ATLETISMO DE ANTIOQUIA</t>
  </si>
  <si>
    <t>289-PRESTACIÓN DE SERVICIOS DE UN ENTRENADOR PRINCIPAL PARA LA REALIZACIÓN DEL PROCESO DE SELECCIÓN, ENTRENAMIENTO DEPORTIVO Y PARTICIPACIÓN EN COMPETENCIAS EN LA LIGA DE ATLETISMO DE ANTIOQUIA, EN LA MODALIDAD DE VELOCIDAD, EN CATEGORÍAS DE JUEGOS NACION</t>
  </si>
  <si>
    <t>290-PRESTACIÓN DE SERVICIOS DE UN ENTRENADOR PRINCIPAL PARA LA REALIZACIÓN DEL PROCESO DE SELECCIÓN, ENTRENAMIENTO DEPORTIVO Y PARTICIPACIÓN EN COMPETENCIAS EN LA LIGA DE ATLETISMO DE ANTIOQUIA, EN LA MODALIDAD DE SALTOS, EN CATEGORÍAS DE JUEGOS NACIONALE</t>
  </si>
  <si>
    <t>6/02/2025 11:17</t>
  </si>
  <si>
    <t>291-PRESTACIÓN DE SERVICIOS DE UN ENTRENADOR PRINCIPAL PARA LA REALIZACIÓN DEL PROCESO SELECCIÓN, ENTRENAMIENTO DEPORTIVO Y PARTICIPACIÓN EN COMPETENCIAS EN LA LIGA DE TENIS DE MESA DE ANTIOQUIA, EN LAS CATEGORÍAS DE FORMACIÓN DEPORTIVA Y CATEGORÍAS DE JU</t>
  </si>
  <si>
    <t>292-PRESTACIÓN DE SERVICIOS DE UN ENTRENADOR ASISTENTE PARA LA REALIZACIÓN DEL PROCESO SELECCIÓN, ENTRENAMIENTO DEPORTIVO Y PARTICIPACIÓN EN COMPETENCIAS EN LA LIGA DE TENIS DE MESA DE ANTIOQUIA, EN LOS DEPORTES Y CATEGORÍAS DE JUEGOS NACIONALES.</t>
  </si>
  <si>
    <t>293-PRESTACIÓN DE SERVICIOS DE UN ENTRENADOR ASISTENTE PARA LA REALIZACIÓN DEL PROCESO SELECCIÓN, ENTRENAMIENTO DEPORTIVO Y PARTICIPACIÓN EN COMPETENCIAS EN LA LIGA DE TENIS DE MESA DE ANTIOQUIA, EN LAS CATEGORÍAS DE FORMACIÓN DEPORTIVA Y CATEGORÍAS DE JU</t>
  </si>
  <si>
    <t>294-PRESTACIÓN DE SERVICIOS DE UN ENTRENADOR  PARA  EL PROCESO DE  ENTRENAMIENTO DEPORTIVO  INTERNACIONAL DE LOS ATLETAS DE LA LIGA DE TENIS DE MESA DE ANTIOQUIA, EN LAS CATEGORÍAS DE JUEGOS NACIONALES.</t>
  </si>
  <si>
    <t>295-PRESTACIÓN DE SERVICIOS DE UN ENTRENADOR PARA LA REALIZACIÓN DEL PROCESO DE PREPARACIÓN FÍSICA Y CONDICIONAL EN LOS DEPORTES DE ATLETISMO, BALONMANO Y TENIS DE MESA EN LAS MODALIDADES Y CATEGORÍAS DE JUEGOS NACIONALES.</t>
  </si>
  <si>
    <t>296-PRESTACIÓN DE SERVICIOS DE UN ENTRENADOR PARA LA REALIZACIÓN DEL PROCESO DE PREPARACIÓN FÍSICA Y CONDICIONAL EN LOS DEPORTES DE BÁDMINTON, GIMNASIA Y ATLETISMO EN LAS MODALIDADES Y CATEGORÍAS DE JUEGOS NACIONALES.</t>
  </si>
  <si>
    <t>297-PRESTACIÓN DE SERVICIOS DE UN ENTRENADOR PARA LA REALIZACIÓN DEL PROCESO DE PREPARACIÓN FÍSICA Y CONDICIONAL EN LOS DEPORTES DE ATLETISMO, VOLEIBOL Y ARQUERÍA EN LAS MODALIDADES Y CATEGORÍAS DE JUEGOS NACIONALES.</t>
  </si>
  <si>
    <t>298-PRESTACIÓN DE SERVICIOS DE UN ENTRENADOR PARA LA REALIZACIÓN DEL PROCESO DE PREPARACIÓN FÍSICA Y CONDICIONAL EN LOS DEPORTES DE ATLETISMO, BALONCESTO Y ARQUERÍA EN LAS MODALIDADES Y CATEGORÍAS DE JUEGOS NACIONALES.</t>
  </si>
  <si>
    <t>299-PRESTACIÓN DE SERVICIOS DE UN ENTRENADOR PARA LA REALIZACIÓN DEL PROCESO DE PREPARACIÓN FÍSICA Y CONDICIONAL EN LOS DEPORTES DE CONJUNTO EN LAS MODALIDADES Y CATEGORÍAS DE JUEGOS NACIONALES.</t>
  </si>
  <si>
    <t>300-PRESTACIÓN DE SERVICIOS DE UN ENTRENADOR PRINCIPAL PARA LA REALIZACIÓN DEL PROCESO DE SELECCIÓN, ENTRENAMIENTO DEPORTIVO Y PARTICIPACIÓN EN COMPETENCIAS EN LA LIGA ANTIOQUEÑA DE BOLO, EN LAS CATEGORÍAS JUVENILES Y MAYORES DE JUEGOS NACIONALES.</t>
  </si>
  <si>
    <t>301-PRESTACIÓN DE SERVICIOS DE UN ENTRENADOR DE INICIACIÓN Y DESARROLLO PARA LA REALIZACIÓN DEL PROCESO DE SELECCIÓN, ENTRENAMIENTO DEPORTIVO Y PARTICIPACIÓN EN COMPETENCIAS DE LA LIGA ANTIOQUEÑA DE BOLO, EN CATEGORÍAS MENORES.</t>
  </si>
  <si>
    <t>302-PRESTACIÓN DE SERVICIOS DE UN ENTRENADOR ASISTENTE ENLACE ENTRE LA BASE DEPORTIVA Y EL ALTO RENDIMIENTO PARA LA REALIZACIÓN DEL PROCESO DE SELECCIÓN, ENTRENAMIENTO DEPORTIVO Y PARTICIPACIÓN EN COMPETENCIAS EN LA LIGA ANTIOQUEÑA DE BOLO, EN LAS CATEGOR</t>
  </si>
  <si>
    <t xml:space="preserve">303-PRESTACIÓN DE SERVICIOS DE UN ENTRENADOR PRINCIPAL PARA LA REALIZACIÓN DEL PROCESO DE SELECCIÓN, ENTRENAMIENTO DEPORTIVO Y PARTICIPACIÓN EN COMPETENCIAS EN LA LIGA ANTIOQUEÑA DE RUGBY, EN LA MODALIDAD SEVENS Y QUINCES RAMA MASCULINA, EN CATEGORÍAS DE </t>
  </si>
  <si>
    <t>304-PRESTACIÓN DE SERVICIOS DE UN ENTRENADOR DE INICIACIÓN Y DESARROLLO DEPORTIVO EN LA SUBREGIÓN DE URABÁ PARA LA CONSECUCIÓN DE NUEVOS TALENTOS PARA LA LIGA ANTIOQUEÑA DE RUGBY FÚTBOL, EN CATEGORÍAS DE JUEGOS NACIONALES.</t>
  </si>
  <si>
    <t>305-PRESTACIÓN DE SERVICIOS DE UN ENTRENADOR PRINCIPAL PARA LA REALIZACIÓN DEL PROCESO DE SELECCIÓN, ENTRENAMIENTO DEPORTIVO Y PARTICIPACIÓN EN COMPETENCIAS EN LA LIGA ANTIOQUEÑA DE RUGBY, EN LA MODALIDAD SEVENS Y QUINCES RAMA FEMENINA, EN CATEGORÍAS DE J</t>
  </si>
  <si>
    <t xml:space="preserve">306-PRESTACIÓN DE SERVICIOS DE UN ENTRENADOR ASISTENTE PARA LA REALIZACIÓN DEL PROCESO DE SELECCIÓN, ENTRENAMIENTO DEPORTIVO Y PARTICIPACIÓN EN COMPETENCIAS EN LA LIGA ANTIOQUEÑA DE RUGBY, EN LA MODALIDAD SEVENS Y QUINCES RAMA MASCULINA, EN CATEGORÍAS DE </t>
  </si>
  <si>
    <t>307-PRESTACIÓN DE SERVICIOS DE UN ENTRENADOR ASISTENTE PARA LA REALIZACIÓN DEL PROCESO DE SELECCIÓN, ENTRENAMIENTO DEPORTIVO Y PARTICIPACIÓN EN COMPETENCIAS EN LA LIGA ANTIOQUEÑA DE RUGBY, EN LA MODALIDAD SEVENS Y QUINCES RAMA FEMENINA, EN CATEGORÍAS DE J</t>
  </si>
  <si>
    <t>308-PRESTACIÓN DE SERVICIOS DE UN ENTRENADOR ASISTENTE  PARA LA REALIZACIÓN DEL PROCESO DE SELECCIÓN, RESERVA DEPORTIVA, ENTRENAMIENTO Y PARTICIPACIÓN EN COMPETENCIAS EN LA LIGA DE TENIS DE CAMPO DE ANTIOQUIA, EN CATEGORÍAS DE JUEGOS NACIONALES.</t>
  </si>
  <si>
    <t>309-PRESTACIÓN DE SERVICIOS DE UN ENTRENADOR PARA EL PROCESO DE SELECCIÓN, ACOMPAÑAMIENTO DEPORTIVO Y PARTICIPACIÓN EN COMPETENCIAS DE LOS ATLETAS QUE SE PREPARAN EN EL EXTRANJERO EN LA LIGA ANTIOQUEÑA DE TENIS DE CAMPO, EN MODALIDADES Y CATEGORÍAS DE JUE</t>
  </si>
  <si>
    <t>310-PRESTACIÓN DE SERVICIOS DE UN ENTRENADOR PRINCIPAL PARA LA REALIZACIÓN DEL PROCESO DE SELECCIÓN, ENTRENAMIENTO DEPORTIVO Y PARTICIPACIÓN EN COMPETENCIAS EN LA LIGA ANTIOQUEÑA DE TENIS DE CAMPO, EN MODALIDADES Y CATEGORÍAS DE JUEGOS NACIONALES.</t>
  </si>
  <si>
    <t>6/02/2025 11:18</t>
  </si>
  <si>
    <t>311-PRESTACIÓN DE SERVICIOS DE UN ENTRENADOR DE INICIACIÓN Y DESARROLLO DEPORTIVO PARA LA CONSECUCIÓN DE NUEVOS TALENTOS PARA LA LIGA DE TENIS DE CAMPO DE ANTIOQUIA, EN CATEGORÍAS DE JUEGOS NACIONALES.</t>
  </si>
  <si>
    <t>312-PRESTACIÓN DE SERVICIOS DE UN ENTRENADOR ASISTENTE PARA LA REALIZACIÓN DEL PROCESO DE SELECCIÓN, ENTRENAMIENTO DEPORTIVO Y PARTICIPACIÓN EN COMPETENCIAS EN LA LIGA ANTIOQUEÑA DE SQUASH, EN LAS MODALIDADES Y CATEGORÍAS DE JUEGOS NACIONALES.</t>
  </si>
  <si>
    <t>313-PRESTACIÓN DE SERVICIOS DE UN ENTRENADOR PRINCIPAL PARA LA REALIZACIÓN DEL PROCESO DE SELECCIÓN, ENTRENAMIENTO DEPORTIVO Y PARTICIPACIÓN EN COMPETENCIAS EN LA LIGA ANTIOQUEÑA DE SQUASH, EN LAS MODALIDADES Y CATEGORÍAS DE JUEGOS NACIONALES.</t>
  </si>
  <si>
    <t>314-PRESTACIÓN DE SERVICIOS DE UN ENTRENADOR ASISTENTE PARA LA REALIZACIÓN DEL PROCESO DE SELECCIÓN, ENTRENAMIENTO DEPORTIVO Y PARTICIPACIÓN EN COMPETENCIAS EN LA LIGA ANTIOQUEÑA DE BÉISBOL, EN LA MODALIDAD BATEO EN CATEGORÍAS DE JUEGOS NACIONALES.</t>
  </si>
  <si>
    <t>6/02/2025 11:19</t>
  </si>
  <si>
    <t>315-PRESTACIÓN DE SERVICIOS DE UN ENTRENADOR PRINCIPAL PARA LA REALIZACIÓN DEL PROCESO DE SELECCIÓN, ENTRENAMIENTO DEPORTIVO Y PARTICIPACIÓN EN COMPETENCIAS EN LA LIGA ANTIOQUEÑA DE BÉISBOL, EN LAS MODALIDADES Y CATEGORÍAS DE JUEGOS NACIONALES.</t>
  </si>
  <si>
    <t>316-PRESTACIÓN DE SERVICIOS DE UN ENTRENADOR ASISTENTE PARA LA REALIZACIÓN DEL PROCESO DE SELECCIÓN, ENTRENAMIENTO DEPORTIVO Y PARTICIPACIÓN EN COMPETENCIAS EN LA LIGA ANTIOQUEÑA DE BÉISBOL, EN LA MODALIDAD PITHEO EN CATEGORÍAS DE JUEGOS NACIONALES.</t>
  </si>
  <si>
    <t>317-PRESTACIÓN DE SERVICIOS DE UN ENTRENADOR ASISTENTE PARA LA REALIZACIÓN DEL PROCESO DE SELECCIÓN, ENTRENAMIENTO DEPORTIVO Y PARTICIPACIÓN EN COMPETENCIAS EN LA LIGA ANTIOQUEÑA DE BÉISBOL, EN LAS MODALIDADES PREPARADOR DE TERCERA Y PREPARADOR DE INFILDE</t>
  </si>
  <si>
    <t>318-PRESTACIÓN DE SERVICIOS DE UN ENTRENADOR PARA LA REALIZACIÓN DEL PROCESO DE SELECCIÓN, ENTRENAMIENTO DEPORTIVO EN LA SUBREGIÓN DE URABÁ ZONA NORTE Y PARTICIPACIÓN EN COMPETENCIAS EN LA LIGA ANTIOQUEÑA DE BÉISBOL, EN LOS DEPORTES Y CATEGORÍAS DE JUEGOS</t>
  </si>
  <si>
    <t>319-PRESTACIÓN DE SERVICIOS DE UN ENTRENADOR PARA LA REALIZACIÓN DEL PROCESO DE SELECCIÓN, ENTRENAMIENTO DEPORTIVO EN LA SUBREGIÓN DE URABÁ ZONA SUR Y PARTICIPACIÓN EN COMPETENCIAS EN LA LIGA ANTIOQUEÑA DE BÉISBOL, EN LOS DEPORTES Y CATEGORÍAS DE JUEGOS N</t>
  </si>
  <si>
    <t>320-PRESTACIÓN DE SERVICIOS DE UN ENTRENADOR PRINCIPAL PARA LA REALIZACIÓN DEL PROCESO DE SELECCIÓN, ENTRENAMIENTO DEPORTIVO Y PARTICIPACIÓN EN COMPETENCIAS EN LA LIGA DE AJEDREZ DE ANTIOQUIA, EN LA RAMA MASCULINA, EN CATEGORÍAS DE JUEGOS NACIONALES.</t>
  </si>
  <si>
    <t>321-PRESTACIÓN DE SERVICIOS DE UN ENTRENADOR PRINCIPAL PARA LA REALIZACIÓN DEL PROCESO DE SELECCIÓN, ENTRENAMIENTO DEPORTIVO Y PARTICIPACIÓN EN COMPETENCIAS EN LA LIGA DE AJEDREZ DE ANTIOQUIA, EN LA RAMA FEMENINA, EN CATEGORÍAS DE JUEGOS NACIONALES.</t>
  </si>
  <si>
    <t>322-PRESTACIÓN DE SERVICIOS DE UN ENTRENADOR DE INICIACIÓN Y DESARROLLO DEPORTIVO PARA LA CONSECUCIÓN DE NUEVOS TALENTOS PARA LA  LIGA DE AJEDREZ DE ANTIOQUIA, EN CATEGORÍAS DE JUEGOS NACIONALES.</t>
  </si>
  <si>
    <t>323-PRESTACIÓN DE SERVICIOS DE UN ENTRENADOR ASISTENTE PARA LA REALIZACIÓN DEL PROCESO DE SELECCIÓN, ENTRENAMIENTO DEPORTIVO Y PARTICIPACIÓN EN COMPETENCIAS EN LA LIGA DE AJEDREZ DE ANTIOQUIA, EN LA RAMA FEMENINA, EN CATEGORÍAS DE JUEGOS NACIONALES.</t>
  </si>
  <si>
    <t>324-PRESTACIÓN DE SERVICIOS DE UN ENTRENADOR ASISTENTE PARA LA REALIZACIÓN DEL PROCESO DE SELECCIÓN, ENTRENAMIENTO DEPORTIVO Y PARTICIPACIÓN EN COMPETENCIAS EN LA LIGA DE AJEDREZ DE ANTIOQUIA, EN LA RAMA MASCULINA, EN CATEGORÍAS DE JUEGOS NACIONALES.</t>
  </si>
  <si>
    <t>325-PRESTACIÓN DE SERVICIOS DE UN ENTRENADOR PRINCIPAL PARA LA REALIZACIÓN DEL PROCESO DE SELECCIÓN, ENTRENAMIENTO DEPORTIVO Y PARTICIPACIÓN EN COMPETENCIAS EN LA LIGA ANTIOQUEÑA DE FUTBOL DE SALÓN, EN LA RAMA FEMENINA, EN CATEGORÍAS DE JUEGOS NACIONALES.</t>
  </si>
  <si>
    <t>326-PRESTACIÓN DE SERVICIOS DE UN ENTRENADOR PRINCIPAL PARA LA REALIZACIÓN DEL PROCESO DE SELECCIÓN, ENTRENAMIENTO DEPORTIVO Y PARTICIPACIÓN EN COMPETENCIAS EN LA LIGA ANTIOQUEÑA DE FUTBOL DE SALÓN, EN LA RAMA MASCULINA, EN CATEGORÍAS DE JUEGOS NACIONALES</t>
  </si>
  <si>
    <t>327-PRESTACIÓN DE SERVICIOS DE UN ENTRENADOR ASISTENTE PARA LA REALIZACIÓN DEL PROCESO DE SELECCIÓN, ENTRENAMIENTO DEPORTIVO Y PARTICIPACIÓN EN COMPETENCIAS EN LA LIGA ANTIOQUEÑA DE FUTBOL DE SALÓN, EN LA RAMA MASCULINA, EN CATEGORÍAS DE JUEGOS NACIONALES</t>
  </si>
  <si>
    <t>328-PRESTACIÓN DE SERVICIOS DE UN ENTRENADOR ASISTENTE PARA LA REALIZACIÓN DEL PROCESO DE SELECCIÓN, ENTRENAMIENTO DEPORTIVO Y PARTICIPACIÓN EN COMPETENCIAS EN LA LIGA ANTIOQUEÑA DE FUTBOL DE SALÓN, EN LA RAMA FEMENINA, EN CATEGORÍAS DE JUEGOS NACIONALES.</t>
  </si>
  <si>
    <t>329-PRESTACIÓN DE SERVICIOS DE UN ENTRENADOR DE INICIACIÓN Y DESARROLLO DEPORTIVO PARA LA CONSECUCIÓN DE NUEVOS TALENTOS PARA LA LIGA ANTIOQUEÑA DE FÚTBOL DE SALÓN, EN CATEGORÍAS DE JUEGOS NACIONALES.</t>
  </si>
  <si>
    <t>330-PRESTACIÓN DE SERVICIOS DE UN ENTRENADOR DE DESARROLLO DEPORTIVO PARA LA CONSECUCIÓN DE NUEVOS TALENTOS PARA LA LIGA ANTIOQUEÑA DE FÚTBOL DE SALÓN, EN CATEGORÍAS DE JUNIORS Y JUVENILES.</t>
  </si>
  <si>
    <t>331-PRESTACIÓN DE SERVICIOS DE UN ENTRENADOR PRINCIPAL PARA LA REALIZACIÓN DEL PROCESO DE SELECCIÓN, ENTRENAMIENTO DEPORTIVO Y PARTICIPACIÓN EN COMPETENCIAS EN LA LIGA ANTIOQUEÑA DE TIRO DEPORTIVO, EN LA MODALIDAD RIFLE, EN CATEGORÍAS DE JUEGOS NACIONALES</t>
  </si>
  <si>
    <t>332-PRESTACIÓN DE SERVICIOS DE UN ENTRENADOR PRINCIPAL PARA LA REALIZACIÓN DEL PROCESO DE SELECCIÓN, ENTRENAMIENTO DEPORTIVO Y PARTICIPACIÓN EN COMPETENCIAS EN LA LIGA ANTIOQUEÑA DE TIRO DEPORTIVO, EN LA MODALIDAD PISTOLA, EN CATEGORÍAS DE JUEGOS NACIONAL</t>
  </si>
  <si>
    <t>333-PRESTACIÓN DE SERVICIOS DE UN ENTRENADOR PRINCIPAL PARA LA REALIZACIÓN DEL PROCESO DE SELECCIÓN, ENTRENAMIENTO DEPORTIVO Y PARTICIPACIÓN EN COMPETENCIAS EN LA LIGA DE SOFTBOL DE ANTIOQUIA, EN LA RAMA FEMENINA, EN DEPORTES Y CATEGORÍAS DE JUEGOS NACION</t>
  </si>
  <si>
    <t>334-PRESTACIÓN DE SERVICIOS DE UN ENTRENADOR ASISTENTE PARA LA REALIZACIÓN DEL PROCESO DE SELECCIÓN, ENTRENAMIENTO DEPORTIVO Y PARTICIPACIÓN EN COMPETENCIAS EN LA LIGA DE SOFTBOL DE ANTIOQUIA, EN LA RAMA FEMENINA, EN DEPORTES Y CATEGORÍAS DE JUEGOS NACION</t>
  </si>
  <si>
    <t>335-PRESTACIÓN DE SERVICIOS DE UN ENTRENADOR PRINCIPAL PARA LA REALIZACIÓN DEL PROCESO DE SELECCIÓN, ENTRENAMIENTO DEPORTIVO Y PARTICIPACIÓN EN COMPETENCIAS EN LA LIGA DE SOFTBOL DE ANTIOQUIA, EN LA RAMA MASCULINA EN CATEGORÍAS DE JUEGOS NACIONALES.</t>
  </si>
  <si>
    <t>336-PRESTACIÓN DE SERVICIOS DE UN ENTRENADOR ASISTENTE PARA LA REALIZACIÓN DEL PROCESO DE SELECCIÓN, ENTRENAMIENTO DEPORTIVO Y PARTICIPACIÓN EN COMPETENCIAS EN LA LIGA DE SOFTBOL DE ANTIOQUIA, RAMA MASCULINA, EN DEPORTES Y CATEGORÍAS DE JUEGOS NACIONALES.</t>
  </si>
  <si>
    <t>337-PRESTACIÓN DE SERVICIOS DE UN ENTRENADOR DE INICIACIÓN Y DESARROLLO DEPORTIVO EN LA SUBREGIÓN DE URABÁ PARA LA CONSECUCIÓN DE NUEVOS TALENTOS PARA LA LIGA DE SÓFTBOL DE ANTIOQUIA, EN CATEGORÍAS DE JUEGOS NACIONALES.</t>
  </si>
  <si>
    <t>338-PRESTACIÓN DE SERVICIOS DE UN ENTRENADOR PARA LA REALIZACIÓN DEL PROCESO DE PREPARACIÓN FÍSICA Y CONDICIONAL EN LOS DEPORTES DE BOLO, BÉISBOL, SQUASH Y RUGBY O EN LAS MODALIDADES Y CATEGORÍAS DE JUEGOS NACIONALES.</t>
  </si>
  <si>
    <t>339-PRESTACIÓN DE SERVICIOS DE UN ENTRENADOR DE INICIACIÓN Y DESARROLLO EN LOS MUNICIPIOS DEL ÁREA METROPOLITANA PARA LA REALIZACIÓN DEL PROCESO DE SELECCIÓN, ENTRENAMIENTO DEPORTIVO Y PARTICIPACIÓN EN COMPETENCIAS DE LA LIGA DE BILLAR DE ANTIOQUIA.</t>
  </si>
  <si>
    <t>340-PRESTACIÓN DE SERVICIOS DE UN ENTRENADOR PRINCIPAL PARA LA REALIZACIÓN DEL PROCESO DE SELECCIÓN, ENTRENAMIENTO DEPORTIVO Y PARTICIPACIÓN EN COMPETENCIAS DE LOS ATLETAS DE PARA-NATACIÓN CARRERAS CON DISCAPACIDAD FÍSICA, EN CATEGORÍAS DE JUEGOS PARANACI</t>
  </si>
  <si>
    <t>6/02/2025 11:20</t>
  </si>
  <si>
    <t>341-PRESTACIÓN DE SERVICIOS DE UN ENTRENADOR PRINCIPAL PARA LA REALIZACIÓN DEL PROCESO DE SELECCIÓN, ENTRENAMIENTO DEPORTIVO Y PARTICIPACIÓN EN COMPETENCIAS EN LA LIGA DEPORTIVA DE PERSONAS SORDAS DE ANTIOQUIA, EN LA MODALIDAD PARA NATACIÓN CARRERAS CON D</t>
  </si>
  <si>
    <t>342-PRESTACIÓN DE SERVICIOS DE UN ENTRENADOR PRINCIPAL PARA LA REALIZACIÓN DEL PROCESO DE SELECCIÓN, ENTRENAMIENTO DEPORTIVO Y PARTICIPACIÓN EN COMPETENCIAS EN LA LIGA DE LIMITACIÓN MENTAL DE ANTIOQUIA - LIDIMANT, EN LA MODALIDAD PARA NATACIÓN CARRERAS, E</t>
  </si>
  <si>
    <t>343-PRESTACIÓN DE SERVICIOS DE UN ENTRENADOR ASISTENTE PARA LA REALIZACIÓN DEL PROCESO DE SELECCIÓN, ENTRENAMIENTO DEPORTIVO Y PARTICIPACIÓN EN COMPETENCIAS, EN LA MODALIDAD DE PARA NATACIÓN EN LAS DIFERENTES DISCAPACIDADES EN LA SUBREGIÓN DE URABÁ EN CAT</t>
  </si>
  <si>
    <t>6/02/2025 11:21</t>
  </si>
  <si>
    <t>344-PRESTACIÓN DE SERVICIOS DE UN ENTRENADOR PRINCIPAL PARA LA REALIZACIÓN DEL PROCESO DE SELECCIÓN, ENTRENAMIENTO DEPORTIVO Y PARTICIPACIÓN EN COMPETENCIAS DE LOS ATLETAS DE PARA-NATACIÓN CARRERAS CON DISCAPACIDAD VISUAL, EN CATEGORÍAS DE JUEGOS PARANACI</t>
  </si>
  <si>
    <t>345-PRESTACIÓN DE SERVICIOS DE UN ENTRENADOR PRINCIPAL PARA LA REALIZACIÓN DEL PROCESO DE SELECCIÓN, ENTRENAMIENTO DEPORTIVO Y PARTICIPACIÓN EN COMPETENCIAS EN LA LIGA DE LIMITACIÓN MENTAL DE ANTIOQUIA - LIDIMANT, EN LA MODALIDAD PARA FÚTBOL SALA, EN CATE</t>
  </si>
  <si>
    <t>346-PRESTACIÓN DE SERVICIOS DE UN ENTRENADOR PRINCIPAL PARA LA REALIZACIÓN DEL PROCESO DE SELECCIÓN, ENTRENAMIENTO DEPORTIVO Y PARTICIPACIÓN EN COMPETENCIAS EN LA LIGA DE DEPORTISTAS CON DISCAPACIDAD VISUAL DE ANTIOQUIA -DIVISA, EN LA MODALIDAD PARA JUDO,</t>
  </si>
  <si>
    <t>347-PRESTACIÓN DE SERVICIOS DE UN ENTRENADOR ASISTENTE PARA LA REALIZACIÓN DEL PROCESO DE SELECCIÓN, ENTRENAMIENTO DEPORTIVO Y PARTICIPACIÓN EN COMPETENCIAS EN LA LIGA DE DEPORTISTAS CON DISCAPACIDAD VISUAL DE ANTIOQUIA -DIVISA, EN LA MODALIDAD PARA JUDO,</t>
  </si>
  <si>
    <t>348-PRESTACIÓN DE SERVICIOS DE UN INTÉRPRETE EN LENGUA DE SEÑAS PARA APOYAR A LOS PARA ATLETAS DE LA LIGA DEPORTIVA DE PERSONAS SORDAS DE ANTIOQUIA LISANT, EN LOS ENTRENAMIENTOS, LAS COMPETENCIAS Y ACOMPAÑAMIENTO EN EVENTOS PROPIOS DE LOS ATLETAS.</t>
  </si>
  <si>
    <t>349-PRESTACIÓN DE SERVICIOS DE UN ENTRENADOR PRINCIPAL PARA LA REALIZACIÓN DEL PROCESO DE SELECCIÓN, ENTRENAMIENTO DEPORTIVO Y PARTICIPACIÓN EN COMPETENCIAS DE LOS ATLETAS DE PARA-POWERLIFTING CON DISCAPACIDAD FÍSICA, EN CATEGORÍAS DE JUEGOS PARANACIONALE</t>
  </si>
  <si>
    <t xml:space="preserve">350-PRESTACIÓN DE SERVICIOS DE UN ENTRENADOR PRINCIPAL PARA LA REALIZACIÓN DEL PROCESO DE SELECCIÓN, ENTRENAMIENTO DEPORTIVO Y PARTICIPACIÓN EN COMPETENCIAS EN LA LIGA DE TENIS DE MESA DE ANTIOQUIA, EN LA MODALIDAD PARA TENIS DE MESA DISCAPACIDAD FÍSICA, </t>
  </si>
  <si>
    <t>351-PRESTACIÓN DE SERVICIOS DE UN ENTRENADOR PRINCIPAL PARA LA REALIZACIÓN DEL PROCESO DE SELECCIÓN, ENTRENAMIENTO DEPORTIVO Y PARTICIPACIÓN EN COMPETENCIAS EN LA LIGA DEPORTIVA DE PERSONAS SORDAS DE ANTIOQUIA, EN LA MODALIDAD PARA ATLETISMO CON DISCAPACI</t>
  </si>
  <si>
    <t>352-PRESTACIÓN DE SERVICIOS DE UN ENTRENADOR PRINCIPAL PARA LA REALIZACIÓN DEL PROCESO DE SELECCIÓN, ENTRENAMIENTO DEPORTIVO Y PARTICIPACIÓN EN COMPETENCIAS EN LA LIGA DEPORTIVA DE PERSONAS SORDAS DE ANTIOQUIA, EN LA MODALIDAD PARA FÚTBOL SALA RAMA MASCUL</t>
  </si>
  <si>
    <t>353-PRESTACIÓN DE SERVICIOS DE UN ENTRENADOR PRINCIPAL PARA LA REALIZACIÓN DEL PROCESO DE SELECCIÓN, ENTRENAMIENTO DEPORTIVO Y PARTICIPACIÓN EN COMPETENCIAS EN LA LIGA DEPORTIVA DE PERSONAS SORDAS DE ANTIOQUIA, EN LA MODALIDAD PARA FÚTBOL SALA RAMA FEMENI</t>
  </si>
  <si>
    <t>354-PRESTACIÓN DE SERVICIOS DE UN ENTRENADOR PRINCIPAL PARA LA REALIZACIÓN DEL PROCESO DE SELECCIÓN, ENTRENAMIENTO DEPORTIVO Y PARTICIPACIÓN EN COMPETENCIAS EN LA LIGA DEPORTIVA DE PERSONAS SORDAS DE ANTIOQUIA, EN LA MODALIDAD PARA TENIS DE MESA CON DISCA</t>
  </si>
  <si>
    <t>355-PRESTACIÓN DE SERVICIOS DE UN ENTRENADOR ASISTENTE PARA LA REALIZACIÓN DEL PROCESO DE SELECCIÓN, ENTRENAMIENTO DEPORTIVO Y PARTICIPACIÓN EN COMPETENCIAS, EN LA MODALIDAD DE PARA ATLETISMO EN LAS DIFERENTES DISCAPACIDADES EN LA SUBREGIÓN DE URABÁ EN CA</t>
  </si>
  <si>
    <t>356-PRESTACIÓN DE SERVICIOS DE UN ENTRENADOR PRINCIPAL PARA LA REALIZACIÓN DEL PROCESO DE SELECCIÓN, ENTRENAMIENTO DEPORTIVO Y PARTICIPACIÓN EN COMPETENCIAS EN LA LIGA DEPORTIVA DE PERSONAS SORDAS DE ANTIOQUIA, EN LA MODALIDAD PARA FÚTBOL   RAMA MASCULINA</t>
  </si>
  <si>
    <t>357-PRESTACIÓN DE SERVICIOS DE UN ENTRENADOR PRINCIPAL PARA LA REALIZACIÓN DEL PROCESO DE SELECCIÓN, ENTRENAMIENTO DEPORTIVO Y PARTICIPACIÓN EN COMPETENCIAS EN LA LIGA DEPORTIVA DE PERSONAS SORDAS DE ANTIOQUIA, EN LA MODALIDAD PARA BALONCESTO CON DISCAPAC</t>
  </si>
  <si>
    <t>358-PRESTACIÓN DE SERVICIOS DE UN ENTRENADOR PRINCIPAL PARA LA REALIZACIÓN DEL PROCESO DE SELECCIÓN, ENTRENAMIENTO DEPORTIVO Y PARTICIPACIÓN EN COMPETENCIAS EN LA LIGA ANTIOQUEÑA DE PARAATLETISMO DE LOS DEPORTISTAS CON PARÁLISIS CEREBRAL EN LAS PRUEBAS DE</t>
  </si>
  <si>
    <t>359-PRESTACIÓN DE SERVICIOS DE UN ENTRENADOR PRINCIPAL PARA LA REALIZACIÓN DEL PROCESO DE SELECCIÓN, ENTRENAMIENTO DEPORTIVO Y PARTICIPACIÓN EN COMPETENCIAS EN LA LIGA ANTIOQUEÑA DE BOCCIA LABC, EN LAS CATEGORÍAS DE JUEGOS PARANACIONALES.</t>
  </si>
  <si>
    <t>360-PRESTACIÓN DE SERVICIOS DE UN ENTRENADOR PRINCIPAL PARA LA REALIZACIÓN DEL PROCESO DE SELECCIÓN, ENTRENAMIENTO DEPORTIVO Y PARTICIPACIÓN EN COMPETENCIAS DE LOS ATLETAS DE PARA- FÚTBOL 7 CON PARÁLISIS CEREBRAL, EN CATEGORÍAS DE JUEGOS PARANACIONALES.</t>
  </si>
  <si>
    <t>361-PRESTACIÓN DE SERVICIOS DE UN ENTRENADOR PRINCIPAL PARA LA REALIZACIÓN DEL PROCESO DE SELECCIÓN, ENTRENAMIENTO DEPORTIVO Y PARTICIPACIÓN EN COMPETENCIAS EN LA LIGA DE LIMITACIÓN MENTAL DE ANTIOQUIA - LIDIMANT, EN LA MODALIDAD PARA CYCLING, EN CATEGORÍ</t>
  </si>
  <si>
    <t>362-PRESTACIÓN DE SERVICIOS DE UN ENTRENADOR PRINCIPAL PARA LA REALIZACIÓN DEL PROCESO DE SELECCIÓN, ENTRENAMIENTO DEPORTIVO Y PARTICIPACIÓN EN COMPETENCIAS EN LA LIGA DE LIMITACIÓN MENTAL DE ANTIOQUIA - LIDIMANT, EN LA MODALIDAD PARA ATLETISMO, EN CATEGO</t>
  </si>
  <si>
    <t>363-PRESTACIÓN DE SERVICIOS DE UN ENTRENADOR PRINCIPAL PARA LA REALIZACIÓN DEL PROCESO DE SELECCIÓN, ENTRENAMIENTO DEPORTIVO Y PARTICIPACIÓN EN COMPETENCIAS EN LA LIGA DE LIMITACIÓN MENTAL DE ANTIOQUIA - LIDIMANT, EN LA MODALIDAD PARA BALONCESTO, EN CATEG</t>
  </si>
  <si>
    <t>364-PRESTACIÓN DE SERVICIOS DE UN ENTRENADOR PRINCIPAL PARA LA REALIZACIÓN DEL PROCESO DE SELECCIÓN, ENTRENAMIENTO DEPORTIVO Y PARTICIPACIÓN EN COMPETENCIAS DE LOS ATLETAS DE TIRO PARADEPORTIVO CON DISCAPACIDAD FÍSICA, EN CATEGORÍAS DE JUEGOS PARANACIONAL</t>
  </si>
  <si>
    <t>365-PRESTACIÓN DE SERVICIOS DE UN ENTRENADOR PRINCIPAL PARA LA REALIZACIÓN DEL PROCESO DE SELECCIÓN, ENTRENAMIENTO DEPORTIVO Y PARTICIPACIÓN EN COMPETENCIAS EN LA LIGA ANTIOQUEÑA DE PARAATLETISMO DE LOS ATLETAS CON DISCAPACIDAD FÍSICA Y PARÁLISIS CEREBRAL</t>
  </si>
  <si>
    <t>366-PRESTACIÓN DE SERVICIOS DE UN ENTRENADOR PRINCIPAL PARA LA REALIZACIÓN DEL PROCESO DE SELECCIÓN, ENTRENAMIENTO DEPORTIVO Y PARTICIPACIÓN EN COMPETENCIAS EN LA LIGA ANTIOQUEÑA DE PARAATLETISMO DE LOS ATLETAS CON DISCAPACIDAD VISUAL EN LAS PRUEBAS DE PI</t>
  </si>
  <si>
    <t>367-PRESTACIÓN DE SERVICIOS DE UN ENTRENADOR PRINCIPAL PARA LA REALIZACIÓN DEL PROCESO DE SELECCIÓN, ENTRENAMIENTO DEPORTIVO Y PARTICIPACIÓN EN COMPETENCIAS EN LA LIGA DE DEPORTISTAS CON DISCAPACIDAD VISUAL DE ANTIOQUIA -DIVISA, EN LA MODALIDAD PARA AJEDR</t>
  </si>
  <si>
    <t>368-PRESTACIÓN DE SERVICIOS DE UN ENTRENADOR PRINCIPAL PARA LA REALIZACIÓN DEL PROCESO DE SELECCIÓN, ENTRENAMIENTO DEPORTIVO Y PARTICIPACIÓN EN COMPETENCIAS EN LA LIGA DE DEPORTISTAS CON DISCAPACIDAD VISUAL DE ANTIOQUIA -DIVISA, EN LA MODALIDAD PARA BOWLI</t>
  </si>
  <si>
    <t>369-PRESTACIÓN DE SERVICIOS DE UN ENTRENADOR PRINCIPAL PARA LA REALIZACIÓN DEL PROCESO DE SELECCIÓN, ENTRENAMIENTO DEPORTIVO Y PARTICIPACIÓN EN COMPETENCIAS DE LOS ATLETAS DE RUGBY EN SILLA DE RUEDAS CON DISCAPACIDAD FÍSICA, EN CATEGORÍAS DE JUEGOS PARANA</t>
  </si>
  <si>
    <t>370-PRESTACIÓN DE SERVICIOS DE UN ENTRENADOR PRINCIPAL PARA LA REALIZACIÓN DEL PROCESO DE SELECCIÓN, ENTRENAMIENTO DEPORTIVO Y PARTICIPACIÓN EN COMPETENCIAS DE LOS ATLETAS DE BALONCESTO EN SILLA DE RUEDAS CON DISCAPACIDAD FÍSICA, EN CATEGORÍAS DE JUEGOS P</t>
  </si>
  <si>
    <t>371-PRESTACIÓN DE SERVICIOS DE UN ENTRENADOR PRINCIPAL PARA LA REALIZACIÓN DEL PROCESO DE SELECCIÓN, ENTRENAMIENTO DEPORTIVO Y PARTICIPACIÓN EN COMPETENCIAS EN LA LIGA DE DEPORTISTAS CON DISCAPACIDAD VISUAL DE ANTIOQUIA -DIVISA, EN LA MODALIDAD PARA FÚTBO</t>
  </si>
  <si>
    <t>373-PRESTACIÓN DE SERVICIOS DE UN ENTRENADOR PRINCIPAL PARA LA REALIZACIÓN DEL PROCESO DE SELECCIÓN, ENTRENAMIENTO DEPORTIVO Y PARTICIPACIÓN EN COMPETENCIAS DE LOS ATLETAS DE TENIS EN SILLA DE RUEDAS CON DISCAPACIDAD FÍSICA, EN CATEGORÍAS DE JUEGOS PARANA</t>
  </si>
  <si>
    <t>374-PRESTACIÓN DE SERVICIOS DE UN ENTRENADOR PARA LA REALIZACIÓN DEL PROCESO DE PREPARACIÓN FÍSICA Y CONDICIONAL EN LOS DEPORTES DE PARA FÚTBOL SALA, PARA BALONCESTO Y RUGBY EN SILLA DE RUEDAS EN LAS MODALIDADES Y CATEGORÍAS DE JUEGOS PARANACIONALES.</t>
  </si>
  <si>
    <t>375-PRESTACIÓN DE SERVICIOS DE UN ENTRENADOR PARA LA REALIZACIÓN DEL PROCESO DE PREPARACIÓN FÍSICA Y CONDICIONAL EN LOS DEPORTES DE PARA POWERLIFTING, TIRO PARADEPORTIVO Y PARATENIS DE MESA EN LAS MODALIDADES Y CATEGORÍAS DE JUEGOS PARANACIONALES.</t>
  </si>
  <si>
    <t>376-PRESTACIÓN DE SERVICIOS DE UN ENTRENADOR PARA LA REALIZACIÓN DEL PROCESO DE PREPARACIÓN FÍSICA Y CONDICIONAL EN EL DEPORTE DE PARA ATLETISMO EN LAS MODALIDADES Y CATEGORÍAS DE JUEGOS PARANACIONALES.</t>
  </si>
  <si>
    <t>377-PRESTACIÓN DE SERVICIOS DE UN ENTRENADOR PARA LA REALIZACIÓN DEL PROCESO DE PREPARACIÓN FÍSICA Y CONDICIONAL EN LOS DEPORTES DE PARA NATACIÓN Y PARA AJEDREZ EN LAS MODALIDADES Y CATEGORÍAS DE JUEGOS PARANACIONALES.</t>
  </si>
  <si>
    <t>378-PRESTACIÓN DE SERVICIOS DE UN ENTRENADOR PRINCIPAL PARA LA REALIZACIÓN DEL PROCESO DE DESARROLLO, SELECCIÓN, ENTRENAMIENTO DEPORTIVO Y PARTICIPACIÓN EN COMPETENCIAS DE ESQUÍ NÁUTICO, EN MODALIDADES Y CATEGORÍAS DE JUEGOS NACIONALES.</t>
  </si>
  <si>
    <t>379-PRESTACIÓN DE SERVICIOS DE UN ENTRENADOR PRINCIPAL PARA LA REALIZACIÓN DEL PROCESO DE DESARROLLO, SELECCIÓN, ENTRENAMIENTO DEPORTIVO Y PARTICIPACIÓN EN COMPETENCIAS EN LA LIGA DE CANOTAJE DE ANTIOQUIA, EN LA MODALIDAD CANOA, EN CATEGORÍAS DE JUEGOS NA</t>
  </si>
  <si>
    <t>380-PRESTACIÓN DE SERVICIOS DE UN ENTRENADOR PRINCIPAL PARA LA REALIZACIÓN DEL PROCESO DE DESARROLLO, SELECCIÓN, ENTRENAMIENTO DEPORTIVO Y PARTICIPACIÓN EN COMPETENCIAS EN LA LIGA DE CANOTAJE DE ANTIOQUIA, EN LA MODALIDAD KAYAK, EN CATEGORÍAS DE JUEGOS NA</t>
  </si>
  <si>
    <t>381-PRESTACIÓN DE SERVICIOS DE UN ENTRENADOR DE INICIACIÓN Y DESARROLLO DEPORTIVO PARA LA CONSECUCIÓN DE NUEVOS TALENTOS PARA LA LIGA DE CANOTAJE DE ANTIOQUIA, EN CATEGORÍAS DE JUEGOS NACIONALES.</t>
  </si>
  <si>
    <t>382-PRESTACIÓN DE SERVICIOS DE UN ENTRENADOR PARA EL DESARROLLO DEPORTIVO DE LOS ATLETAS DE LA LIGA DE CANOTAJE DE ANTIOQUIA DEL CENTRO DE DESARROLLO DEPORTIVO EN LA SUBREGIÓN DE URABÁ.</t>
  </si>
  <si>
    <t xml:space="preserve">383-PRESTACIÓN DE SERVICIOS DE UN ENTRENADOR ASISTENTE PARA LA REALIZACIÓN DEL PROCESO DE DESARROLLO, SELECCIÓN, ENTRENAMIENTO DEPORTIVO Y PARTICIPACIÓN EN COMPETENCIAS EN LA LIGA ANTIOQUEÑA DE LEVANTAMIENTO DE PESAS, RAMA MASCULINA, EN LAS MODALIDADES Y </t>
  </si>
  <si>
    <t>384-RESTACIÓN DE SERVICIOS DE UN ENTRENADOR PRINCIPAL PARA LA REALIZACIÓN DEL PROCESO DE SELECCIÓN, ENTRENAMIENTO DEPORTIVO Y PARTICIPACIÓN EN COMPETENCIAS EN LA LIGA ANTIOQUEÑA DE LEVANTAMIENTO DE PESAS, RAMA MASCULINA, EN LAS MODALIDADES Y CATEGORÍAS DE</t>
  </si>
  <si>
    <t>385-PRESTACIÓN DE SERVICIOS DE UN ENTRENADOR ASISTENTE PARA LA REALIZACIÓN DEL PROCESO DE DESARROLLO, SELECCIÓN, ENTRENAMIENTO DEPORTIVO Y PARTICIPACIÓN EN COMPETENCIAS EN LA LIGA ANTIOQUEÑA DE LEVANTAMIENTO DE PESAS, RAMA FEMENINA, EN LAS MODALIDADES Y C</t>
  </si>
  <si>
    <t xml:space="preserve">386-PRESTACIÓN DE SERVICIOS DE UN ENTRENADOR PRINCIPAL PARA LA REALIZACIÓN DEL PROCESO DE SELECCIÓN, ENTRENAMIENTO DEPORTIVO Y PARTICIPACIÓN EN COMPETENCIAS EN LA LIGA ANTIOQUEÑA DE LEVANTAMIENTO DE PESAS, EN LA RAMA FEMENINA, EN DEPORTES Y CATEGORÍAS DE </t>
  </si>
  <si>
    <t>387-PRESTACIÓN DE SERVICIOS DE UN ENTRENADOR PRINCIPAL PARA EL DESARROLLO DEPORTIVO DE LOS ATLETAS DE LA LIGA ANTIOQUEÑA DE LEVANTAMIENTO DE PESAS DEL CENTRO DE DESARROLLO DEPORTIVO EN LA SUBREGIÓN DE URABÁ.</t>
  </si>
  <si>
    <t>388-PRESTACIÓN DE SERVICIOS DE UN ENTRENADOR ASISTENTE PARA EL DESARROLLO DEPORTIVO DE LOS ATLETAS DE LA LIGA ANTIOQUEÑA DE LEVANTAMIENTO DE PESAS DEL CENTRO DE DESARROLLO DEPORTIVO EN LA SUBREGIÓN DE URABÁ.</t>
  </si>
  <si>
    <t>389-PRESTACIÓN DE SERVICIOS DE UN ENTRENADOR PRINCIPAL PARA LA REALIZACIÓN DEL PROCESO DE DESARROLLO, SELECCIÓN, ENTRENAMIENTO DEPORTIVO Y PARTICIPACIÓN EN COMPETENCIAS EN LA LIGA DE CICLISMO DE ANTIOQUIA, EN LA MODALIDAD PISTA, FONDO Y SEMIFONDO, EN CATE</t>
  </si>
  <si>
    <t>390-PRESTACIÓN DE SERVICIOS DE UN ENTRENADOR ASISTENTE PARA LA REALIZACIÓN DEL PROCESO DE DESARROLLO, SELECCIÓN, ENTRENAMIENTO DEPORTIVO Y PARTICIPACIÓN EN COMPETENCIAS EN LA LIGA DE CICLISMO DE ANTIOQUIA, EN LA MODALIDAD BMX Y CATEGORÍAS DE JUEGOS NACION</t>
  </si>
  <si>
    <t>6/02/2025 11:22</t>
  </si>
  <si>
    <t>391-PRESTACIÓN DE SERVICIOS DE UN ENTRENADOR PRINCIPAL PARA LA REALIZACIÓN DEL PROCESO DE DESARROLLO, SELECCIÓN, ENTRENAMIENTO DEPORTIVO Y PARTICIPACIÓN EN COMPETENCIAS EN LA LIGA DE CICLISMO DE ANTIOQUIA, EN LA MODALIDAD MTB, EN CATEGORÍAS DE JUEGOS NACI</t>
  </si>
  <si>
    <t>392-PRESTACIÓN DE SERVICIOS DE UN ENTRENADOR PRINCIPAL PARA LA REALIZACIÓN DEL PROCESO DE DESARROLLO, SELECCIÓN, ENTRENAMIENTO DEPORTIVO Y PARTICIPACIÓN EN COMPETENCIAS EN LA LIGA DE CICLISMO DE ANTIOQUIA, EN LA MODALIDAD PISTA VELOCIDAD, EN CATEGORÍAS DE</t>
  </si>
  <si>
    <t>393-PRESTACIÓN DE SERVICIOS DE UN ENTRENADOR PRINCIPAL PARA LA REALIZACIÓN DEL PROCESO DE DESARROLLO, SELECCIÓN, ENTRENAMIENTO DEPORTIVO Y PARTICIPACIÓN EN COMPETENCIAS EN LA LIGA DE CICLISMO DE ANTIOQUIA, EN LA MODALIDAD BMX, EN CATEGORÍAS DE JUEGOS NACI</t>
  </si>
  <si>
    <t xml:space="preserve">394-PRESTACIÓN DE SERVICIOS DE UN ENTRENADOR PRINCIPAL PARA EL DESARROLLO DEPORTIVO DE LOS ATLETAS DE LA LIGA DE CICLISMO DE ANTIOQUIA EN LA MODALIDAD DE PISTA Y RUTA DEL CENTRO DE DESARROLLO. </t>
  </si>
  <si>
    <t xml:space="preserve">395-PRESTACIÓN DE SERVICIOS DE UN ENTRENADOR ASISTENTE PARA EL DESARROLLO DEPORTIVO DE LOS ATLETAS DE LA LIGA DE CICLISMO DE ANTIOQUIA EN LA MODALIDAD DE PISTA Y RUTA DEL CENTRO DE DESARROLLO. </t>
  </si>
  <si>
    <t>396-PRESTACIÓN DE SERVICIOS DE UN ENTRENADOR PARA EL DESARROLLO DEPORTIVO DE LOS ATLETAS DE LA LIGA DE CICLISMO DE ANTIOQUIA EN LA MODALIDAD BMX DEL CENTRO DE DESARROLLO.</t>
  </si>
  <si>
    <t xml:space="preserve">397-PRESTACIÓN DE SERVICIOS DE UN ENTRENADOR PARA EL DESARROLLO DEPORTIVO DE LOS ATLETAS DE LA LIGA DE CICLISMO DE ANTIOQUIA EN LA MODALIDAD DE PISTA Y RUTA DEL CENTRO DE DESARROLLO. </t>
  </si>
  <si>
    <t xml:space="preserve">398-PRESTACIÓN DE SERVICIOS DE UN ENTRENADOR PARA EL DESARROLLO DEPORTIVO DE LOS ATLETAS DE LA LIGA DE CICLISMO DE ANTIOQUIA EN LA MODALIDAD DE PISTA DEL CENTRO DE DESARROLLO. </t>
  </si>
  <si>
    <t>399-PRESTACIÓN DE SERVICIOS DE UN ENTRENADOR PRINCIPAL PARA LA REALIZACIÓN DEL PROCESO DE DESARROLLO, SELECCIÓN, ENTRENAMIENTO DEPORTIVO Y PARTICIPACIÓN EN COMPETENCIAS EN LA LIGA ANTIOQUEÑA DE TRIATLÓN, EN LA MODALIDADES Y CATEGORÍAS DE JUEGOS NACIONALES</t>
  </si>
  <si>
    <t>6/02/2025 11:23</t>
  </si>
  <si>
    <t>400-PRESTACIÓN DE SERVICIOS DE UN ENTRENADOR ASISTENTE PARA LA REALIZACIÓN DEL PROCESO DE DESARROLLO, SELECCIÓN, ENTRENAMIENTO DEPORTIVO Y PARTICIPACIÓN EN COMPETENCIAS EN LA LIGA ANTIOQUEÑA DE TRIATLÓN, EN LAS MODALIDADES Y CATEGORÍAS DE JUEGOS NACIONALE</t>
  </si>
  <si>
    <t>401-PRESTACIÓN DE SERVICIOS DE UN ENTRENADOR PRINCIPAL PARA LA REALIZACIÓN DEL PROCESO DE DESARROLLO, SELECCIÓN, ENTRENAMIENTO DEPORTIVO Y PARTICIPACIÓN EN COMPETENCIAS DE LA LIGA ANTIOQUEÑA DE ACTIVIDADES SUBACUÁTICAS, EN CATEGORÍAS DE JUEGOS NACIONALES.</t>
  </si>
  <si>
    <t>402-PRESTACIÓN DE SERVICIOS DE UN ENTRENADOR DE INICIACIÓN Y DESARROLLO DEPORTIVO PARA LA REALIZACIÓN DE ENTRENAMIENTO Y PARTICIPACIÓN EN COMPETENCIAS DE LA LIGA DE REMO DE ANTIOQUIA.</t>
  </si>
  <si>
    <t>403-PRESTACIÓN DE SERVICIOS DE UN ENTRENADOR ASISTENTE PARA LA REALIZACIÓN DEL PROCESO DE DESARROLLO, SELECCIÓN, ENTRENAMIENTO DEPORTIVO Y PARTICIPACIÓN EN COMPETENCIAS EN LA LIGA DE NATACIÓN DE ANTIOQUIA, EN LA MODALIDAD ARTÍSTICA, EN CATEGORÍAS DE JUEGO</t>
  </si>
  <si>
    <t>404-PRESTACIÓN DE SERVICIOS DE UN ENTRENADOR ASISTENTE PARA LA REALIZACIÓN DEL PROCESO DE DESARROLLO, SELECCIÓN, ENTRENAMIENTO DEPORTIVO Y PARTICIPACIÓN EN COMPETENCIAS EN LA LIGA DE NATACIÓN DE ANTIOQUIA, EN LA MODALIDAD CARRERAS, EN CATEGORÍAS DE JUEGOS</t>
  </si>
  <si>
    <t>405-PRESTACIÓN DE SERVICIOS DE UN ENTRENADOR PRINCIPAL PARA LA REALIZACIÓN DEL PROCESO DE DESARROLLO, SELECCIÓN, ENTRENAMIENTO DEPORTIVO Y PARTICIPACIÓN EN COMPETENCIAS EN LA LIGA DE NATACIÓN DE ANTIOQUIA, EN LA MODALIDAD DE NATACIÓN ARTÍSTICA, EN CATEGOR</t>
  </si>
  <si>
    <t>406-PRESTACIÓN DE SERVICIOS DE UN ENTRENADOR ASISTENTE PARA LA REALIZACIÓN DEL PROCESO DE DESARROLLO, SELECCIÓN, ENTRENAMIENTO DEPORTIVO Y PARTICIPACIÓN EN COMPETENCIAS EN LA LIGA DE NATACIÓN DE ANTIOQUIA, EN LA MODALIDAD CLAVADOS, EN CATEGORÍAS DE JUEGOS</t>
  </si>
  <si>
    <t>407-PRESTACIÓN DE SERVICIOS DE UN ENTRENADOR ASISTENTE PARA LA REALIZACIÓN DEL PROCESO DE DESARROLLO, SELECCIÓN, ENTRENAMIENTO DEPORTIVO Y PARTICIPACIÓN EN COMPETENCIAS EN LA LIGA DE NATACIÓN DE ANTIOQUIA, EN LA MODALIDAD POLO ACUÁTICO, EN CATEGORÍAS DE J</t>
  </si>
  <si>
    <t>408-PRESTACIÓN DE SERVICIOS DE UN ENTRENADOR ASISTENTE PARA LA REALIZACIÓN DEL PROCESO DE DESARROLLO, SELECCIÓN Y RECLUTAMIENTO DE ATLETAS, ENTRENAMIENTO DEPORTIVO Y PARTICIPACIÓN EN COMPETENCIAS EN LA LIGA DE NATACIÓN DE ANTIOQUIA, EN LA MODALIDAD POLO A</t>
  </si>
  <si>
    <t>409-PRESTACIÓN DE SERVICIOS DE UN ENTRENADOR PRINCIPAL PARA LA REALIZACIÓN DEL PROCESO DE DESARROLLO, SELECCIÓN, ENTRENAMIENTO DEPORTIVO Y PARTICIPACIÓN EN COMPETENCIAS EN LA LIGA DE NATACIÓN DE ANTIOQUIA, EN LA MODALIDAD NATACIÓN CARRERAS SEMIFONDO, EN C</t>
  </si>
  <si>
    <t>410-PRESTACIÓN DE SERVICIOS DE UN ENTRENADOR PRINCIPAL PARA LA REALIZACIÓN DEL PROCESO DE DESARROLLO, SELECCIÓN, ENTRENAMIENTO DEPORTIVO Y PARTICIPACIÓN EN COMPETENCIAS EN LA LIGA DE NATACIÓN DE ANTIOQUIA, EN LA MODALIDAD NATACIÓN CARRERAS FONDO, EN CATEG</t>
  </si>
  <si>
    <t>411-PRESTACIÓN DE SERVICIOS DE UN ENTRENADOR PRINCIPAL PARA LA REALIZACIÓN DEL PROCESO DE DESARROLLO, SELECCIÓN, ENTRENAMIENTO DEPORTIVO Y PARTICIPACIÓN EN COMPETENCIAS EN LA LIGA DE NATACIÓN DE ANTIOQUIA, EN LA MODALIDAD DE NATACIÓN CLAVADOS, EN CATEGORÍ</t>
  </si>
  <si>
    <t>412-PRESTACIÓN DE SERVICIOS DE UN ENTRENADOR PARA LA REALIZACIÓN DEL PROCESO DE PREPARACIÓN FÍSICA Y CONDICIONAL EN EL DEPORTE DE NATACIÓN CLAVADOS EN LAS MODALIDADES Y CATEGORÍAS DE JUEGOS NACIONALES.</t>
  </si>
  <si>
    <t>413-PRESTACIÓN DE SERVICIOS DE UN ENTRENADOR PARA LA REALIZACIÓN DEL PROCESO DE PREPARACIÓN FÍSICA Y CONDICIONAL EN EL DEPORTE DE NATACIÓN, MODALIDADES CARRERAS Y POLO ACUÁTICO EN CATEGORÍAS DE JUEGOS NACIONALES.</t>
  </si>
  <si>
    <t>414-PRESTACIÓN DE SERVICIOS DE UN ENTRENADOR PARA LA REALIZACIÓN DEL PROCESO DE PREPARACIÓN FÍSICA Y CONDICIONAL EN EL DEPORTE DE NATACIÓN MODALIDAD ARTÍSTICA EN CATEGORÍAS DE JUEGOS NACIONALES.</t>
  </si>
  <si>
    <t>415-PRESTACIÓN DE SERVICIOS DE UN ENTRENADOR DE INICIACIÓN Y DESARROLLO DEPORTIVO PARA LA REALIZACIÓN DE ENTRENAMIENTO Y PARTICIPACIÓN EN COMPETENCIAS DE LA LIGA DE VELA DE ANTIOQUIA EN LA MODALIDAD BARCOS</t>
  </si>
  <si>
    <t>416-PRESTACIÓN DE SERVICIOS DE UN ENTRENADOR DE INICIACIÓN Y DESARROLLO DEPORTIVO PARA LA REALIZACIÓN DE ENTRENAMIENTO Y PARTICIPACIÓN EN COMPETENCIAS DE LA LIGA DE VELA DE ANTIOQUIA EN LA MODALIDAD DE TABLAS Y COMETA</t>
  </si>
  <si>
    <t>417-PRESTACIÓN DE SERVICIOS DE UN ENTRENADOR PARA LA REALIZACIÓN DEL PROCESO DE PLANIFICACIÓN Y PREPARACIÓN FÍSICA Y CONDICIONAL EN LOS DEPORTES DE CICLISMO, LEVANTAMIENTO DE PESAS Y ACTIVIDADES SUBACUÁTICAS EN LAS MODALIDADES Y CATEGORÍAS DE JUEGOS NACIO</t>
  </si>
  <si>
    <t>418-PRESTACIÓN DE SERVICIOS DE UN ENTRENADOR PARA LA REALIZACIÓN DEL PROCESO DE PLANIFICACIÓN Y PREPARACIÓN FÍSICA Y CONDICIONAL EN LOS DEPORTES DE CANOTAJE Y TRIATLÓN EN LAS MODALIDADES Y CATEGORÍAS DE JUEGOS NACIONALES.</t>
  </si>
  <si>
    <t>419-PRESTACIÓN DE SERVICIOS DE UN ENTRENADOR PRINCIPAL PARA LA REALIZACIÓN DEL PROCESO DE SELECCIÓN, ENTRENAMIENTO DEPORTIVO Y PARTICIPACIÓN EN COMPETENCIAS EN LA LIGA ANTIOQUEÑA DE ESGRIMA, EN LA MODALIDAD ESPADA, EN CATEGORÍAS DE JUEGOS NACIONALES.</t>
  </si>
  <si>
    <t>420-PRESTACIÓN DE SERVICIOS DE UN ENTRENADOR PRINCIPAL PARA LA REALIZACIÓN DEL PROCESO DE SELECCIÓN, ENTRENAMIENTO DEPORTIVO Y PARTICIPACIÓN EN COMPETENCIAS EN LA LIGA ANTIOQUEÑA DE ESGRIMA, EN LA MODALIDAD SABLE, EN CATEGORÍAS DE JUEGOS NACIONALES.</t>
  </si>
  <si>
    <t>421-PRESTACIÓN DE SERVICIOS DE UN ENTRENADOR DE INICIACIÓN Y DESARROLLO DEPORTIVO PARA LA CONSECUCIÓN DE NUEVOS TALENTOS PARA LA LIGA ANTIOQUEÑA DE ESGRIMA, EN CATEGORÍAS MENORES DE JUEGOS NACIONALES.</t>
  </si>
  <si>
    <t>422-PRESTACIÓN DE SERVICIOS DE UN ENTRENADOR ASISTENTE PARA LA REALIZACIÓN DEL PROCESO DE SELECCIÓN, ENTRENAMIENTO DEPORTIVO Y PARTICIPACIÓN EN COMPETENCIAS EN LA LIGA ANTIOQUEÑA DE LUCHA EN LA MODALIDAD LIBRE, EN CATEGORÍAS DE JUEGOS NACIONALES.</t>
  </si>
  <si>
    <t>423-PRESTACIÓN DE SERVICIOS DE UN ENTRENADOR PRINCIPAL PARA LA REALIZACIÓN DEL PROCESO DE SELECCIÓN, ENTRENAMIENTO DEPORTIVO Y PARTICIPACIÓN EN COMPETENCIAS EN LA LIGA ANTIOQUEÑA DE LUCHA EN LA MODALIDAD GRECO, EN CATEGORÍAS DE JUEGOS NACIONALES.</t>
  </si>
  <si>
    <t>424-PRESTACIÓN DE SERVICIOS DE UN ENTRENADOR ASISTENTE PARA LA REALIZACIÓN DEL PROCESO DE SELECCIÓN, ENTRENAMIENTO DEPORTIVO Y PARTICIPACIÓN EN COMPETENCIAS EN LA LIGA ANTIOQUEÑA DE LUCHA EN LAS MODALIDADES LIBRE Y GRECO, EN CATEGORÍAS DE JUEGOS NACIONALE</t>
  </si>
  <si>
    <t>425-PRESTACIÓN DE SERVICIOS DE UN ENTRENADOR PRINCIPAL PARA LA REALIZACIÓN DEL PROCESO DE SELECCIÓN, ENTRENAMIENTO DEPORTIVO Y PARTICIPACIÓN EN COMPETENCIAS EN LA LIGA ANTIOQUEÑA DE LUCHA EN LA MODALIDAD LIBRE, EN CATEGORÍAS DE JUEGOS NACIONALES.</t>
  </si>
  <si>
    <t>426-PRESTACIÓN DE SERVICIOS DE UN ENTRENADOR PRINCIPAL PARA LA REALIZACIÓN DEL PROCESO DE SELECCIÓN, ENTRENAMIENTO DEPORTIVO Y PARTICIPACIÓN EN COMPETENCIAS EN LA LIGA DE BOXEO DE ANTIOQUIA, EN CATEGORÍAS DE JUEGOS NACIONALES.</t>
  </si>
  <si>
    <t>427-PRESTACIÓN DE SERVICIOS DE UN ENTRENADOR PRINCIPAL PARA LA REALIZACIÓN DEL PROCESO SELECCIÓN, ENTRENAMIENTO DEPORTIVO Y PARTICIPACIÓN EN COMPETENCIAS, EN EL VALLE DE ABURRÁ DE LA LIGA DE BOXEO DE ANTIOQUIA, EN CATEGORÍAS DE JUEGOS NACIONALES.</t>
  </si>
  <si>
    <t>428-PRESTACIÓN DE SERVICIOS DE UN ENTRENADOR ASISTENTE PARA LA REALIZACIÓN DEL PROCESO DE SELECCIÓN, ENTRENAMIENTO DEPORTIVO Y PARTICIPACIÓN EN COMPETENCIAS EN LA LIGA DE BOXEO DE ANTIOQUIA, EN CATEGORÍAS DE JUEGOS NACIONALES.</t>
  </si>
  <si>
    <t>429-PRESTACIÓN DE SERVICIOS DE UN ENTRENADOR PRINCIPAL PARA LA REALIZACIÓN DEL PROCESO DE SELECCIÓN, ENTRENAMIENTO DEPORTIVO Y PARTICIPACIÓN EN COMPETENCIAS EN LA LIGA ANTIOQUEÑA DE JUDO, EN LA MODALIDAD COMBATE, EN CATEGORÍAS DE JUEGOS NACIONALES.</t>
  </si>
  <si>
    <t>430-PRESTACIÓN DE SERVICIOS DE UN ENTRENADOR DE INICIACIÓN Y DESARROLLO DEPORTIVO DE LA LIGA ANTIOQUEÑA DE JUDO, EN LAS MODALIDADES DE JUEGOS NACIONALES.</t>
  </si>
  <si>
    <t>431-PRESTACIÓN DE SERVICIOS DE UN ENTRENADOR PRINCIPAL PARA LA REALIZACIÓN DEL PROCESO SELECCIÓN, ENTRENAMIENTO DEPORTIVO Y PARTICIPACIÓN EN COMPETENCIAS DE LA LIGA ANTIOQUEÑA DE JUDO, EN LA MODALIDAD KATAS, EN CATEGORÍAS DE JUEGOS NACIONALES.</t>
  </si>
  <si>
    <t>432-PRESTACIÓN DE SERVICIOS DE UN ENTRENADOR PARA DESARROLLAR Y FORTALECER LAS TÉCNICAS DE PISO EN COMBATE PARA LA LIGA ANTIOQUEÑA DE JUDO, EN CATEGORÍAS DE JUEGOS NACIONALES.</t>
  </si>
  <si>
    <t>433-PRESTACIÓN DE SERVICIOS DE UN ENTRENADOR DE INICIACIÓN Y DESARROLLO DEPORTIVO EN LA MODALIDAD DE KATA DE LA LIGA ANTIOQUEÑA DE JUDO, EN LAS MODALIDADES DE JUEGOS NACIONALES.</t>
  </si>
  <si>
    <t>434-PRESTACIÓN DE SERVICIOS DE UN ENTRENADOR PRINCIPAL PARA LA REALIZACIÓN DEL PROCESO DE SELECCIÓN, ENTRENAMIENTO DEPORTIVO Y PARTICIPACIÓN EN COMPETENCIAS EN LA LIGA ANTIOQUEÑA DE KARATE -DO, MODALIDAD COMBATE CON JUNIORS   JUVENILES, CATEGORÍAS DE JUEG</t>
  </si>
  <si>
    <t>6/02/2025 11:31</t>
  </si>
  <si>
    <t>372-PRESTACIÓN DE SERVICIOS DE UN ENTRENADOR PRINCIPAL PARA LA REALIZACIÓN DEL PROCESO DE SELECCIÓN, ENTRENAMIENTO DEPORTIVO Y PARTICIPACIÓN EN COMPETENCIAS EN LA LIGA DE DEPORTISTAS CON DISCAPACIDAD VISUAL DE ANTIOQUIA -DIVISA, EN LA MODALIDAD GOALLBALL,</t>
  </si>
  <si>
    <t>11/03/2025 10:55</t>
  </si>
  <si>
    <t xml:space="preserve">573-ENTREGAR ESTÍMULO ECONÓMICO PARA LOS ATLETAS Y PARA-ATLETAS </t>
  </si>
  <si>
    <t xml:space="preserve">Apoyo Y   Subvención Para Satisfacer Necesidades Propias Del Proceso De Preparación Y   Competencia De Los Atletas Y   Para-Atletas De Alto Rendimiento Del Departamento De Antioquia-Estímulos Y   Beneficios A Los Deportistas </t>
  </si>
  <si>
    <t>31/01/2025 11:04</t>
  </si>
  <si>
    <t>465-PRESTACIÓN DE SERVICIOS DE APOYO A LA GESTIÓN EN LOS PROCESOS ADMINISTRATIVOS Y DE OPERACIÓN PARA EL FUNCIONAMIENTO DE LAS DIFERENTES SEDES DE INDEPORTES ANTIOQUIA</t>
  </si>
  <si>
    <t xml:space="preserve">Apoyo y subvención para satisfacer necesidades propias del proceso de preparación y competencia de los Atletas y Para-atletas de alto rendimiento del departamento de Antioquia - Servicios prestados a las empresas y servicios de producción </t>
  </si>
  <si>
    <t>464-PRESTACIÓN DE SERVICIOS DE APOYO A LA GESTIÓN ADMINISTRATIVA  DE LOS DIFERENTES PROGRAMAS DE LA SUBGERENCIA DE DEPORTE ASOCIADO Y ALTOS LOGROS DE INDEPORTES ANTIOQUIA</t>
  </si>
  <si>
    <t>13/02/2025 15:36</t>
  </si>
  <si>
    <t>466-PRESTACIÓN DE SERVICIOS DE APOYO A LA GESTIÓN OPERATIVA Y DE MANTENIMIENTO DE LA SEDE VILLA DEPORTIVA DE INDEPORTES ANTIOQUIA</t>
  </si>
  <si>
    <t>17/03/2025 13:48</t>
  </si>
  <si>
    <t>578-PRESTACIÓN DE SERVICIOS DE APOYO A LA GESTIÓN EN EL DESARROLLO DE ACTIVIDADES NECESARIAS PARA EL FUNCIONAMIENTO DE LAS INSTALACIONES DE LA VILLA DEPORTIVA ANTONIO ROLDÁN BETANCUR DE INDEPORTES ANTIOQUIA.</t>
  </si>
  <si>
    <t>12/02/2025 8:28</t>
  </si>
  <si>
    <t>467-PRESTACIÓN DE SERVICIOS PROFESIONALES PARA EL ACOMPAÑAMIENTO PSICOSOCIAL Y PARA LA CLASIFICACIÓN FUNCIONAL DE LOS PARA-ATLETAS ATENDIDOS POR LA SUBGERENCIA DE DEPORTE ASOCIADO Y ALTOS LOGROS DE INDEPORTES ANTIOQUIA</t>
  </si>
  <si>
    <t>Apoyo y subvención para satisfacer necesidades propias del proceso de preparación y competencia de los Atletas y Para-atletas de alto rendimiento del departamento de Antioquia - Servicios para la comunidad, sociales y personales</t>
  </si>
  <si>
    <t>26/02/2025 14:36</t>
  </si>
  <si>
    <t xml:space="preserve">462-ENTREGAR ESTÍMULO ALIMENTACIÓN PARA LOS ATLETAS Y PARA-ATLETAS </t>
  </si>
  <si>
    <t>Apoyo y subvención para satisfacer necesidades propias del proceso de preparación y competencia de los Atletas y Para-atletas de alto rendimiento del departamento de Antioquia-Estímulos y beneficios a los deportistas</t>
  </si>
  <si>
    <t>26/02/2025 14:37</t>
  </si>
  <si>
    <t xml:space="preserve">462-ENTREGAR ESTÍMULO ALIMENTACIÓN PARA LOS ATLETAS Y PARA-ATLETAS _x000D_
</t>
  </si>
  <si>
    <t>13/03/2025 17:23</t>
  </si>
  <si>
    <t>17/03/2025 8:22</t>
  </si>
  <si>
    <t>26/03/2025 14:58</t>
  </si>
  <si>
    <t>26/03/2025 15:43</t>
  </si>
  <si>
    <t>28/03/2025 15:23</t>
  </si>
  <si>
    <t>31/03/2025 21:55</t>
  </si>
  <si>
    <t>Apoyo Y Subvención Para Satisfacer Necesidades Propias Del Proceso De Preparación Y   Competencia De Los Atletas Y   Para-Atletas De Alto Rendimiento Del Departamento De Antioquia -Estímulos Y   Beneficios A Los Deportistas</t>
  </si>
  <si>
    <t xml:space="preserve">Fortalecimiento del desarrollo deportivo con miras al alto rendimiento competitivo de los atletas del departamento de Antioquia - Servicios prestados a las empresas y servicios de producción </t>
  </si>
  <si>
    <t>20/02/2025 15:45</t>
  </si>
  <si>
    <t>474-PRESTACIÓN DE SERVICIOS DE APOYO A LA GESTIÓN EN LOS PROCESOS ADMINISTRATIVOS DE LA SUBGERENCIA DE DEPORTE ASOCIADO Y ALTOS LOGROS, NECESARIOS PARA ACOMPAÑAR LA OPERACIÓN Y DESARROLLO DE LAS ACTIVIDADES EN LAS INSTALACIONES DEPORTIVAS DE LA VILLA NÁUT</t>
  </si>
  <si>
    <t>26/02/2025 14:24</t>
  </si>
  <si>
    <t>473-PRESTACIÓN DE SERVICIOS DE APOYO A LA GESTIÓN EN LOS PROCESOS ADMINISTRATIVOS Y DE OPERACIÓN NECESARIOS PARA EL DESARROLLO Y FUNCIONAMIENTO DEL CENTRO DE DESARROLLO DEPORTIVO "CEDEP" DE URABÁ DE INDEPORTES ANTIOQUIA</t>
  </si>
  <si>
    <t>13/02/2025 15:34</t>
  </si>
  <si>
    <t>551-PRESTACIÓN DE SERVICIOS DE APOYO A LA GESTIÓN EN EL DESARROLLO DE LOS EVENTOS DEPORTIVOS DE INDEPORTES ANTIOQUIA.</t>
  </si>
  <si>
    <t>28/01/2025 17:14</t>
  </si>
  <si>
    <t>114-PRESTACIÓN DE SERVICIOS PROFESIONALES JURÍDICOS ESPECIALIZADOS PARA APOYAR LOS PROCESOS ADMINISTRATIVOS Y DE CONTRATACIÓN DE INDEPORTES ANTIOQUIA, EN ESPECIAL DE LA SUBGERENCIA DE FOMENTO Y DESARROLLO DEPORTIVO</t>
  </si>
  <si>
    <t xml:space="preserve">Desarrollo y promoción del deporte formativo, la recreación y la actividad física en el departamento Antioquia - Servicios prestados a las empresas y servicios de producción </t>
  </si>
  <si>
    <t>29/01/2025 9:41</t>
  </si>
  <si>
    <t>107-PRESTACIÓN DE SERVICIOS PROFESIONALES PARA APOYAR LA GESTIÓN TÉCNICA Y ADMINISTRATIVA DE LOS PROYECTOS DE LA SUBGERENCIA DE FOMENTO Y DESARROLLO DEPORTIVO DE INDEPORTES ANTIOQUIA</t>
  </si>
  <si>
    <t>29/01/2025 9:43</t>
  </si>
  <si>
    <t>108-PRESTACIÓN DE SERVICIOS PROFESIONALES PARA APOYAR LOS PROCEDIMIENTOS ADMINISTRATIVOS Y FINANCIEROS DE LOS PROYECTOS DE LA SUBGERENCIA DE FOMENTO Y DESARROLLO DEPORTIVO DE INDEPORTES ANTIOQUIA</t>
  </si>
  <si>
    <t>29/01/2025 9:45</t>
  </si>
  <si>
    <t>109-PRESTACIÓN DE SERVICIOS PROFESIONALES PARA APOYAR ADMINISTRATIVA Y FINANCIERAMENTE LA SUBGERENCIA DE FOMENTO Y DESARROLLO DEPORTIVO DE INDEPORTES ANTIOQUIA ESPECIALMENTE EL PROYECTO DE COFINANCIACIÓN DE DOTACIÓN DE IMPLEMENTACIÓN PARA EL DEPORTE, LA R</t>
  </si>
  <si>
    <t>29/01/2025 9:48</t>
  </si>
  <si>
    <t>110-PRESTACIÓN DE SERVICIOS PROFESIONALES PARA APOYAR LOS PROCEDIMIENTOS TÉCNICOS, ADMINISTRATIVOS Y FINANCIEROS DE LOS PROYECTOS DE LA SUBGERENCIA DE FOMENTO Y DESARROLLO DEPORTIVO DE INDEPORTES ANTIOQUIA</t>
  </si>
  <si>
    <t>29/01/2025 9:50</t>
  </si>
  <si>
    <t>111-PRESTACIÓN DE SERVICIOS PROFESIONALES PARA APOYAR LA GESTIÓN ADMINISTRATIVA Y FINANCIERA DE LA SUBGERENCIA DE FOMENTO Y DESARROLLO DEPORTIVO DE INDEPORTES ANTIOQUIA</t>
  </si>
  <si>
    <t>29/01/2025 9:52</t>
  </si>
  <si>
    <t>518-PRESTACION DE SERVICIOS DE APOYO A LA GESTION ADMINISTRATIVA, JURIDICA Y CONTRACTUAL PARA LOS PROYECTOS DE LA SUBGERENCIA DE FOMENTO Y DESARROLLO DEPORTIVO</t>
  </si>
  <si>
    <t>29/01/2025 9:53</t>
  </si>
  <si>
    <t>519-PRESTACIÓN DE SERVICIOS PROFESIONALES PARA LA GESTIÓN ESTRATÉGICA Y TÁCTICA Y EL SEGUIMIENTO A LOS PLANES INDICATIVOS Y DE ACCIÓN DE LOS PROYECTOS DE LA SUBGERENCIA DE FOMENTO Y DESARROLLO DEPORTIVO DE INDEPORTES ANTIOQUIA</t>
  </si>
  <si>
    <t>7/02/2025 14:24</t>
  </si>
  <si>
    <t>544-PRESTACIÓN DE SERVICIOS PROFESIONALES PARA LA PROMOCIÓN Y DIVULGACIÓN DE LAS ACTIVIDADES DE LOS PROGRAMAS DE LA SUBGERENCIA DE FOMENTO Y DESARROLLO DEPORTIVO DE INDEPORTES ANTIOQUIA</t>
  </si>
  <si>
    <t>10/02/2025 11:47</t>
  </si>
  <si>
    <t>116-PRESTACIÓN DE SERVICIOS PROFESIONALES JURÍDICOS ESPECIALIZADOS PARA APOYAR LOS PROCESOS ADMINISTRATIVOS Y DE CONTRATACIÓN DE INDEPORTES ANTIOQUIA, EN ESPECIAL DE LA SUBGERENCIA DE FOMENTO Y DESARROLLO DEPORTIVO</t>
  </si>
  <si>
    <t>7/02/2025 13:35</t>
  </si>
  <si>
    <t>537-PRESTACIÓN DE SERVICIOS PROFESIONALES PARA LA PROMOCIÓN Y EJECUCIÓN DEL PROGRAMA DEPARTAMENTAL DE ACTIVIDAD FÍSICA, DESDE EL COMPONENTE DE LA FUERZA EN EL CICLO VITAL.</t>
  </si>
  <si>
    <t>Desarrollo y promoción del deporte formativo, la recreación y la actividad física en el departamento Antioquia-Servicios para la comunidad, sociales y personales</t>
  </si>
  <si>
    <t>7/02/2025 13:42</t>
  </si>
  <si>
    <t>538-PRESTACIÓN DE SERVICIOS PROFESIONALES PARA LA PROMOCIÓN Y EJECUCIÓN DEL PROGRAMA DEPARTAMENTAL DE ACTIVIDAD FÍSICA, DESDE EL COMPONENTE NUTRICIONAL, PARA PROMOVER HABITOS DE VIDA ALIMENTARIOS SALUDABLES EN LA POBLACIÓN ANTIOQUEÑA.</t>
  </si>
  <si>
    <t>7/02/2025 14:01</t>
  </si>
  <si>
    <t>539-PRESTACIÓN DE SERVICIOS PROFESIONALES PARA LA PLANEACIÓN TÉCNICA Y EJECUCIÓN DEL PROYECTO DE DESARROLLO Y PROMOCIÓN DE LA SUBGERENCIA DE FOMENTO Y DESARROLLO DEPORTIVO DE INDEPORTES ANTIOQUIA</t>
  </si>
  <si>
    <t>7/02/2025 14:05</t>
  </si>
  <si>
    <t>540-PRESTACIÓN DE SERVICIOS DE APOYO A LA GESTIÓN PARA LA ACTIVACIÓN EN TERRITORIO DEL PROGRAMA DE RECREACIÓN DE LA SUBGERENCIA DE FOMENTO Y DESARROLLO DEPORTIVO.</t>
  </si>
  <si>
    <t>7/02/2025 14:12</t>
  </si>
  <si>
    <t>542-PRESTACIÓN DE SERVICIOS PROFESIONALES PARA LA PROMOCIÓN Y EJECUCIÓN DEL PROGRAMA DEPARTAMENTAL DE ACTIVIDAD FÍSICA, DESDE EL COMPONENTE DEL USO DE LA BICICLETA.</t>
  </si>
  <si>
    <t>7/02/2025 14:15</t>
  </si>
  <si>
    <t>543-PRESTACIÓN DE SERVICIOS PROFESIONALES PARA LA PROMOCIÓN Y EJECUCIÓN DEL PROGRAMA DE DEPORTE FORMATIVO EN LAS SUBREGIONES DEL DEPARTAMENTO DE ANTIOQUIA.</t>
  </si>
  <si>
    <t>12/02/2025 8:40</t>
  </si>
  <si>
    <t>144- PRESTACIÓN DE SERVICIOS PROFESIONALES PARA APOYAR LA GESTIÓN DE LA INFORMACIÓN DEL DEPORTE, LA ACTIVIDAD FÍSICA Y LA RECREACIÓN DEL DEPARTAMENTO  EN LA PLATAFORMA DEPORTESANT, Y APOYO A  LOS PROCESOS ADMINSITRATIVOS DE LA SUBGERENCIA DE FOMENTO Y DES</t>
  </si>
  <si>
    <t>20/02/2025 12:58</t>
  </si>
  <si>
    <t>558-PRESTACIÓN DE SERVICIOS PROFESIONALES PARA LA PROMOCIÓN Y EJECUCIÓN DEL PROGRAMA DEPARTAMENTAL DE ACTIVIDAD FÍSICA, DESDE EL COMPONENTE DE LA DISCAPACIDAD.</t>
  </si>
  <si>
    <t>20/02/2025 13:00</t>
  </si>
  <si>
    <t>559-PRESTACIÓN DE SERVICIOS DE APOYO A LA GESTIÓN PARA LA PROMOCIÓN DEL USO DE LA BICICLETA EN EL DEPARTAMENTO DE ANTIOQUIA.</t>
  </si>
  <si>
    <t>24/02/2025 14:02</t>
  </si>
  <si>
    <t>128-PRESTACIÓN DE SERVICIOS DE APOYO A LA GESTIÓN PARA LA PROMOCIÓN DE LA ACTIVIDAD FÍSICA EN EL DEPARTAMENTO DE ANTIOQUIA</t>
  </si>
  <si>
    <t>Desarrollo y promoción del deporte formativo, la recreación y la actividad física en el departamento Antioquia - Comercio y distribución; alojamiento; servicios de suministro de comidas y bebidas; servicios de transporte; y servicios de distribución de el</t>
  </si>
  <si>
    <t>6/02/2025 9:22</t>
  </si>
  <si>
    <t>524-PRESTACIÓN DE SERVICIOS PROFESIONALES PARA LA PROMOCIÓN Y EJECUCIÓN DEL PROGRAMA DE DEPORTE FORMATIVO EN LAS SUBREGIONES DEL DEPARTAMENTO DE ANTIOQUIA.</t>
  </si>
  <si>
    <t>Desarrollo y promoción del deporte formativo, la recreación y la actividad física en el departamento Antioquia. - Servicios para la comunidad, sociales y personales</t>
  </si>
  <si>
    <t>6/02/2025 9:32</t>
  </si>
  <si>
    <t>525-PRESTACIÓN DE SERVICIOS PROFESIONALES ESPECIALIZADO PARA EL ASESORAMIENTO METODOLÓGICO, LA PROMOCIÓN Y EJECUCIÓN DEL PROGRAMA DE DEPORTE FORMATIVO EN LAS SUBREGIONES DEL DEPARTAMENTO DE ANTIOQUIA.</t>
  </si>
  <si>
    <t>6/02/2025 9:33</t>
  </si>
  <si>
    <t>526-PRESTACIÓN DE SERVICIOS PROFESIONALES PARA LA PROMOCIÓN Y EJECUCIÓN DEL PROGRAMA DE RECREACIÓN EN LAS SUBREGIONES DEL DEPARTAMENTO DE ANTIOQUIA.</t>
  </si>
  <si>
    <t>6/02/2025 9:41</t>
  </si>
  <si>
    <t>527-PRESTACIÓN DE SERVICIOS DE APOYO A LA GESTIÓN PARA LA ACTIVACIÓN EN TERRITORIO DEL PROGRAMA DE RECREACIÓN DE LA SUBGERENCIA DE FOMENTO Y DESARROLLO DEPORTIVO.</t>
  </si>
  <si>
    <t>12/02/2025 8:42</t>
  </si>
  <si>
    <t>121- PRESTACIÓN DE SERVICIOS PROFESIONALES PARA LA PROMOCIÓN Y EJECUCIÓN DEL PROGRAMA DE RECREACIÓN EN LAS SUBREGIONES DEL DEPARTAMENTO DE ANTIOQUIA.</t>
  </si>
  <si>
    <t>18/02/2025 11:25</t>
  </si>
  <si>
    <t>555-CONVENIO INTERADMINISTRATIVO PARA PROMOVER LA LUCHA OLÍMPICA EN EL MUNICIPIO DE ENVIGADO</t>
  </si>
  <si>
    <t>24/02/2025 10:20</t>
  </si>
  <si>
    <t>562-CONVENIO INTERADMINISTRATIVO PARA FOMENTAR LA ACTIVIDAD FÍSICA EN EL MUNICIPIO DE EL RETIRO</t>
  </si>
  <si>
    <t>27/02/2025 13:50</t>
  </si>
  <si>
    <t>566-PRESTACIÓN DE SERVICIOS PROFESIONALES PARA LA PROMOCIÓN Y EJECUCIÓN DEL PROGRAMA DE DEPORTE FORMATIVO EN LAS SUBREGIONES DEL DEPARTAMENTO DE ANTIOQUIA.</t>
  </si>
  <si>
    <t>569-PRESTACIÓN DE SERVICIOS DE APOYO A LA GESTIÓN PARA LA ACTIVACIÓN EN TERRITORIO DEL PROGRAMA DE RECREACIÓN DE LA SUBGERENCIA DE FOMENTO Y DESARROLLO DEPORTIVO.</t>
  </si>
  <si>
    <t>13/03/2025 9:07</t>
  </si>
  <si>
    <t>576-CONTRATO INTERADMINISTRATIVO PARA LA REALIZACIÓN DEL ENCUENTRO DEPARTAMENTAL DE GERENTES, DIRECTORES O COORDINADORES DE ENTES DEPORTIVOS MUNICIPALES 2025</t>
  </si>
  <si>
    <t>26/03/2025 15:05</t>
  </si>
  <si>
    <t>582 CONTRATO DE PRESTACIÓN DE SERVICIOS DE APOYO LOGÍSTICO PARA LAS ATIVIDADES EN TERRITORIO DEL PROGRAMA DE RECREACIÓN DE LA SUBGERENCIA DE FOMENTO Y DESARROLLO DEPORTIVO.</t>
  </si>
  <si>
    <t xml:space="preserve">Asesoria y acompañamiento institucional para el deporte formativo, la recreación y la actividad física en el departamento de Antioquia. - Servicios prestados a las empresas y servicios de producción </t>
  </si>
  <si>
    <t>6/02/2025 9:10</t>
  </si>
  <si>
    <t>535-PRESTACIÓN DE SERVICIOS DE APOYO PARA LA PARAMETRIZACIÓN Y SISTEMATIZACIÓN DE LA INFORMACIÓN, PRODUCTO DEL ACOMPAÑAMIENTO INSTITUCIONAL DE LA SUBGERENCIA DE FOMENTO Y DESARROLLO DEPORTIVO</t>
  </si>
  <si>
    <t>Asesoria y acompañamiento institucional para el deporte formativo, la recreación y la actividad física en el departamento de Antioquia. - Servicios para la comunidad, sociales y personales</t>
  </si>
  <si>
    <t>Capacitación para el sector del deporte, la recreación y la actividad física en el Departamento de   Antioquia -Comercio y distribución; alojamiento; servicios de suministro de comidas y bebidas; servicios de transporte; y servicios de distribución de ele</t>
  </si>
  <si>
    <t xml:space="preserve">Capacitación para el sector del deporte, la recreación y la actividad física en el Departamento de   Antioquia - Servicios prestados a las empresas y servicios de producción </t>
  </si>
  <si>
    <t>6/02/2025 8:41</t>
  </si>
  <si>
    <t>521-PRESTACIÓN DE SERVICIOS PROFESIONALES PARA LA PLANEACIÓN E IMPLEMENTACIÓN DEL PLAN DE CAPACITACIONES Y DE LA ESTRATEGIA DE FORMACIÓN Y CAPACITACIÓN DE INDEPORTES ANTIOQUIA PARA LA VIGENCIA 2025</t>
  </si>
  <si>
    <t>Capacitación para el sector del deporte, la recreación y la actividad física en el Departamento de   Antioquia -Servicios para la comunidad, sociales y personales</t>
  </si>
  <si>
    <t>6/02/2025 8:44</t>
  </si>
  <si>
    <t>523-PRESTACIÓN DE SERVICIOS PROFESIONALES PARA LA PLANEACIÓN, EJECUCIÓN Y SEGUIMIENTO DEL PLAN DE CAPACITACIÓN EN DEPORTE, RECREACIÓN Y ACTIVIDAD FÍSICA DE INDEPORTES ANTIOQUIA PARA LA VIGENCIA 2025</t>
  </si>
  <si>
    <t>6/02/2025 8:55</t>
  </si>
  <si>
    <t>522-PRESTACIÓN DE SERVICIOS PROFESIONALES PARA LA IMPLEMENTACIÓN Y SISTEMATIZACIÓN DEL PLAN DE CAPACITACIONES Y DE LA ESTRATEGIA DE FORMACIÓN Y CAPACITACIÓN DE INDEPORTES ANTIOQUIA PARA LA VIGENCIA 2025</t>
  </si>
  <si>
    <t>12/02/2025 8:38</t>
  </si>
  <si>
    <t>138- PRESTACIÓN DE SERVICIOS PROFESIONALES PARA EL APOYO A LA FORMULACIÓN Y EJECUCIÓN DEL PLAN DE CAPACITACIONES Y DE LA ESTRATEGIA DE FORMACIÓN Y CAPACITACIÓN DE INDEPORTES ANTIOQUIA PARA LA VIGENCIA 2025.</t>
  </si>
  <si>
    <t>14/02/2025 11:26</t>
  </si>
  <si>
    <t xml:space="preserve">554-PRESTACIÓN DE SERVICIOS PARA CAPACITACIONES PARA EL FORTALECIMIENTO DE COMPETENCIAS Y DESARROLLO HUMANO Y COMPETENCIAS DIRIGIDA A LOS ACTORES DEL SECTOR DEPORTE, RECREACIÓN Y ACTIVIDAD FÍSICA EN EL DEPARTAMENTO DE ANTIOQUIA </t>
  </si>
  <si>
    <t>14/02/2025 11:35</t>
  </si>
  <si>
    <t>552-PRESTACIÓN DE SERVICIOS PARA CAPACITACIONES VIRTUALES EN ADMINISTRACIÓN, MARKETING, GESTIÓN Y PLANIFICACIÓN DEPORTIVA</t>
  </si>
  <si>
    <t>14/02/2025 11:36</t>
  </si>
  <si>
    <t>553-PRESTACIÓN DE SERVICIOS PARA CAPACITACIONES E INICIACIÓN Y DESARROLLO DEPORTIVO, MOTRICIDAD Y NUTRICIÓN EN EL DEPARTAMENTO DE ANTIOQUIA</t>
  </si>
  <si>
    <t>Fortalecimiento de los juegos deportivos institucionales en los municipios del departamento de Antioquia -Comercio y distribución; alojamiento; servicios de suministro de comidas y bebidas; servicios de transporte; y servicios de distribución de electrici</t>
  </si>
  <si>
    <t xml:space="preserve">Fortalecimiento de los juegos deportivos institucionales en los municipios del departamento de Antioquia - Servicios prestados a las empresas y servicios de producción </t>
  </si>
  <si>
    <t>5/02/2025 14:09</t>
  </si>
  <si>
    <t>532-PRESTACIÓN DE SERVICIOS DE APOYO A LA GESTIÓN EN EL DESARROLLO DE ACTIVIDADES LOGÍSTICAS Y OPERATIVAS DE LOS JUEGOS DEPORTIVOS INSTITUCIONALES.</t>
  </si>
  <si>
    <t>Fortalecimiento de los juegos deportivos institucionales en los municipios del departamento de Antioquia - Servicios para la comunidad, sociales y personales</t>
  </si>
  <si>
    <t>6/02/2025 9:42</t>
  </si>
  <si>
    <t>528-PRESTACIÓN DE SERVICIOS PROFESIONALES COMO PROMOTOR EN LA SUBREGIÓN DEL ORIENTE, PARA LA PLANEACIÓN Y ACOMPAÑAMIENTO EN LA EJECUCIÓN DE LOS JUEGOS DEPORTIVOS INSTITUCIONALES DE INDEPORTES ANTIOQUIA Y EL ACOMPAÑAMIENTO A LA PARTICIPACIÓN A NIVEL NACION</t>
  </si>
  <si>
    <t>6/02/2025 9:43</t>
  </si>
  <si>
    <t>529-PRESTACIÓN DE SERVICIOS PROFESIONALES COMO PROMOTOR EN LA SUBREGIÓN DEL OCCIDENTE, PARA LA PLANEACIÓN Y ACOMPAÑAMIENTO EN LA EJECUCIÓN DE LOS JUEGOS DEPORTIVOS INSTITUCIONALES DE INDEPORTES ANTIOQUIA Y EL ACOMPAÑAMIENTO A LA PARTICIPACIÓN A NIVEL NACI</t>
  </si>
  <si>
    <t>6/02/2025 9:45</t>
  </si>
  <si>
    <t>530-PRESTACIÓN DE SERVICIOS PROFESIONALES COMO PROMOTOR EN LAS SUBREGIONES DEL NORTE Y DEL BAJO CAUCA, PARA LA PLANEACIÓN Y ACOMPAÑAMIENTO EN LA EJECUCIÓN DE LOS JUEGOS DEPORTIVOS INSTITUCIONALES DE INDEPORTES ANTIOQUIA Y EL ACOMPAÑAMIENTO A LA PARTICIPAC</t>
  </si>
  <si>
    <t>6/02/2025 9:54</t>
  </si>
  <si>
    <t>531-PRESTACIÓN DE SERVICIOS PROFESIONALES COMO PROMOTOR EN LA SUBREGIÓN DEL SUROESTE, PARA LA PLANEACIÓN Y ACOMPAÑAMIENTO EN LA EJECUCIÓN DE LOS JUEGOS DEPORTIVOS INSTITUCIONALES DE INDEPORTES ANTIOQUIA Y EL ACOMPAÑAMIENTO A LA PARTICIPACIÓN A NIVEL NACIO</t>
  </si>
  <si>
    <t>6/02/2025 10:05</t>
  </si>
  <si>
    <t>533-PRESTACIÓN DE SERVICIOS DE APOYO A LA GESTIÓN EN EL DESARROLLO DE ACTIVIDADES RELACIONADAS CON LA IMAGEN INSTITUCIONAL Y PROTOCOLARIA EN LA EJECUCIÓN DE LOS JUEGOS DEPORTIVOS INSTITUCIONALES.</t>
  </si>
  <si>
    <t>6/02/2025 10:11</t>
  </si>
  <si>
    <t>534-PRESTACIÓN DE SERVICIOS DE APOYO A LA GESTIÓN EN LA PLATAFORMA DEPORTESANT Y APOYO LOGÍSTICO Y OPERATIVO EN LA EJECUCIÓN DE LOS JUEGOS DEPORTIVOS INSTITUCIONALES DE LA SUBGERENCIA DE FOMENTO Y DESARROLLO DEPORTIVO.</t>
  </si>
  <si>
    <t>7/02/2025 13:45</t>
  </si>
  <si>
    <t>541-PRESTACIÓN DE SERVICIOS PROFESIONALES COMO PROMOTOR EN LA SUBREGIÓN DEL VALLE DE ABURRÁ, PARA LA PLANEACIÓN Y ACOMPAÑAMIENTO EN LA EJECUCIÓN DE LOS JUEGOS DEPORTIVOS INSTITUCIONALES DE INDEPORTES ANTIOQUIA Y EL ACOMPAÑAMIENTO A LA PARTICIPACIÓN A NIVE</t>
  </si>
  <si>
    <t>12/02/2025 8:30</t>
  </si>
  <si>
    <t>145- PRESTACIÓN DE SERVICIOS PROFESIONALES ESPECIALIZADOS DE APOYO A LA EJECUCION DEL PROGRAMA JUEGOS DEPORTIVOS INSTITUCIONALES DE LA SUBGERENCIA DE FOMENTO Y DESARROLLO DEPORTIVO.</t>
  </si>
  <si>
    <t>12/02/2025 8:32</t>
  </si>
  <si>
    <t>147- PRESTACION DE SERVICIOS PROFESIONALES DE APOYO A LA PARAMETRIZACIÓN Y MANEJO DE LA PLATAFORMA DEPORTESANT EN LA EJECUCIÓN DE LOS JUEGOS DEPORTIVOS INSTITUCIONALES DE LA SUBGERENCIA DE FOMENTO Y DESARROLLO DEPORTIVO</t>
  </si>
  <si>
    <t>12/02/2025 8:35</t>
  </si>
  <si>
    <t xml:space="preserve">146- PRESTACIÓN DE SERVICIOS PROFESIONALES ESPECIALIZADOS EN GERENCIA DEPORTIVA COMO PROMOTOR EN LAS SUBREGIONES DEL NORDESTE Y DEL MAGDALENA MEDIO, PARA LA PLANEACIÓN, ACOMPAÑAMIENTO Y EVALUACIÓN EN  LA EJECUCIÓN DE LOS JUEGOS DEPORTIVOS INSTITUCIONALES </t>
  </si>
  <si>
    <t>12/02/2025 8:44</t>
  </si>
  <si>
    <t>154- PRESTACIÓN DE SERVICIOS PROFESIONALES COMO PROMOTOR EN LA SUBREGIÓN DEL URABÁ, PARA LA PLANEACIÓN Y ACOMPAÑAMIENTO EN LA EJECUCIÓN DE LOS JUEGOS DEPORTIVOS INSTITUCIONALES DE INDEPORTES ANTIOQUIA Y EL ACOMPAÑAMIENTO A LA PARTICIPACIÓN A NIVEL NACIONA</t>
  </si>
  <si>
    <t>570-REALIZAR LOS JUEGOS DEPORTIVOS INDÍGENAS DEL DEPARTAMENTO DE ANTIOQUIA VERSIÓN 2025 EN EL MARCO DEL PLAN DE DESARROLLO “POR ANTIOQUIA FIRME 2024-2027” PARA PROMOVER LA IDENTIDAD CULTURAL, EL DEPORTE SOCIAL COMUNITARIO Y LAS PRÁCTICAS AUTÓCTONAS TRADIC</t>
  </si>
  <si>
    <t>26/03/2025 14:59</t>
  </si>
  <si>
    <t>580 CONTRATO DE PRESTACIÓN DE SERVICIOS DE APOYO A LA GESTIÓN EN EL DESARROLLO DE ACTIVIDADES LOGÍSTICAS Y OPERATIVAS DE LOS JUEGOS DEPORTIVOS INSTITUCIONALES.</t>
  </si>
  <si>
    <t>26/03/2025 15:03</t>
  </si>
  <si>
    <t>581 CONTRATO DE PRESTACIÓN DE SERVICIOS DE APOYO A LA GESTIÓN EN LA PLATAFORMA DEPORTESANT Y APOYO LOGÍSTICO Y OPERATIVO EN LA EJECUCIÓN DE LOS JUEGOS DEPORTIVOS INSTITUCIONALES DE LA SUBGERENCIA DE FOMENTO Y DESARROLLO DEPORTIVO.</t>
  </si>
  <si>
    <t>29/01/2025 9:55</t>
  </si>
  <si>
    <t>520-AUNAR ESFUERZOS TÉCNICOS, ADMINISTRATIVOS Y FINANCIEROS ENTRE EL MINISTERIO DEL DEPORTE Y EL ENTE DEPORTIVO TERRITORIAL PARA LA EJECUCIÓN DEL PROGRAMA JUEGOS INTERCOLEGIADOS.</t>
  </si>
  <si>
    <t xml:space="preserve">Cofinanciación de dotación de implementación para el deporte la recreación y a la actividad física en el departamento de Antioquia - Servicios prestados a las empresas y servicios de producción </t>
  </si>
  <si>
    <t>24/01/2025 12:20</t>
  </si>
  <si>
    <t>505-PRESTACIÓN DE SERVICIOS PROFESIONALES ESPECIALIZADOS FINANCIEROS PARA APOYAR LOS PROCEDIMIENTOS ADMINISTRATIVOS Y FINANCIEROS DE LOS PROYECTOS DE LA SUBGERENCIA DE ESCENARIOS DEPORTIVOS Y EQUIPAMIENTOS DE INDEPORTES ANTIOQUIA</t>
  </si>
  <si>
    <t>SUBGERENCIA DE ESCENARIOS DEPORTIVOS Y EQUIPAMIENT</t>
  </si>
  <si>
    <t xml:space="preserve">Mantenimiento, adecuación, mejoras de escenarios deportivos o equipamientos en el departamento de Antioquia.. - Servicios prestados a las empresas y servicios de producción </t>
  </si>
  <si>
    <t>28/01/2025 14:23</t>
  </si>
  <si>
    <t>506-PRESTACIÓN DE SERVICIOS PROFESIONALES EN MATERIA AMBIENTAL  PARA APOYAR LOS TEMAS AMBIENTALES DE LOS PROYECTOS DE INFRAESTRUCTURA  LA SUBGERENCIA DE ESCENARIOS DEPORTIVOS Y EQUIPAMIENTOS DE INDEPORTES ANTIOQUIA</t>
  </si>
  <si>
    <t>31/01/2025 11:05</t>
  </si>
  <si>
    <t>517-PRESTACIÓN DE SERVICIOS PROFESIONALES ESPECIALIZADOS JURÍDICOS PARA APOYAR LOS PROCESOS DE CONTRATACIÓN DE INDEPORTES ANTIOQUIA EN ESPECIAL DE LA SUBGERENCIA DE ESCENARIOS DEPORTIVOS Y EQUIPAMIENTO DE INDEPORTES ANTIOQUIA.</t>
  </si>
  <si>
    <t>18/02/2025 11:24</t>
  </si>
  <si>
    <t>556-PRESTACIÓN DE SERVICIOS PROFESIONALES COMO ABOGADO PARA APOYAR EL PROCESO DE CONTRATACIÓN Y EL PROCESO LEGAL DE INDEPORTES ANTIOQUIA, EN ESPECIAL DE LA SUBGERENCIA DE ESCENARIOS DEPORTIVOS Y DE EQUIPAMIENTO</t>
  </si>
  <si>
    <t>18/02/2025 16:22</t>
  </si>
  <si>
    <t>557-MODIFICACIÓN 2, Y ADICIÓN 1 AL CONTRATO 653 DE 2023 CON OBJETO: AUNAR ESFUERZOS PARA COFINANCIAR LAS OBRAS DE ADECUACIÓN DE LA PISCINA Y EL COLISEO MUNICIPAL EN EL MUNICIPIO DE SAN ANDRÉS DE CUERQUIA, ANTIOQUIA</t>
  </si>
  <si>
    <t>Mantenimiento, adecuación, mejoras de escenarios deportivos o equipamientos en el departamento de Antioquia -Construcción y servicios de la construcción</t>
  </si>
  <si>
    <t>Mantenimiento, Adecuación, Mejoras De Escenarios   Deportivos O Equipamientos En El Departamento De Antioquia - Comercio Y Distribución; Alojamiento; Servicios De Suministro De Comidas Y   Bebidas; Servicios De Transporte; Y   Servicios De Distribución De</t>
  </si>
  <si>
    <t>13/03/2025 8:54</t>
  </si>
  <si>
    <t>575-RENOVACIÓN LICENCIAMIENTO ARCGIS PARA INDEPORTES ANTIOQUIA</t>
  </si>
  <si>
    <t>27/01/2025 9:40</t>
  </si>
  <si>
    <t>507-PRESTACIÓN DE SERVICIOS PROFESIONALES PARA APOYAR LA GESTIÓN TÉCNICA  DE LOS PROYECTOS DE INFRAESTRUCTURA DE LA SUBGERENCIA DE ESCENARIOS DEPORTIVOS Y EQUIPAMIENTOS DE INDEPORTES ANTIOQUIA</t>
  </si>
  <si>
    <t xml:space="preserve">Construcción de escenarios deportivos en el departamento de Antioquia - Servicios prestados a las empresas y servicios de producción </t>
  </si>
  <si>
    <t>28/01/2025 14:00</t>
  </si>
  <si>
    <t>511-PRESTACIÓN DE SERVICIOS PROFESIONALES PARA APOYAR LA GESTIÓN TÉCNICA  DE LOS PROYECTOS DE INFRAESTRUCTURA DE LA SUBGERENCIA DE ESCENARIOS DEPORTIVOS Y EQUIPAMIENTOS DE INDEPORTES ANTIOQUIA</t>
  </si>
  <si>
    <t>28/01/2025 14:02</t>
  </si>
  <si>
    <t>512-PRESTACIÓN DE SERVICIOS PROFESIONALES PARA APOYAR LA GESTIÓN TÉCNICA  DE LOS PROYECTOS DE INFRAESTRUCTURA DE LA SUBGERENCIA DE ESCENARIOS DEPORTIVOS Y EQUIPAMIENTOS DE INDEPORTES ANTIOQUIA</t>
  </si>
  <si>
    <t>28/01/2025 14:20</t>
  </si>
  <si>
    <t>509-PRESTACIÓN DE SERVICIOS PROFESIONALES PARA APOYAR LA GESTIÓN TÉCNICA  DE LOS PROYECTOS DE INFRAESTRUCTURA DE LA SUBGERENCIA DE ESCENARIOS DEPORTIVOS Y EQUIPAMIENTOS DE INDEPORTES ANTIOQUIA</t>
  </si>
  <si>
    <t>28/01/2025 14:22</t>
  </si>
  <si>
    <t>510-PRESTACIÓN DE SERVICIOS PROFESIONALES PARA APOYAR LA GESTIÓN TÉCNICA  DE LOS PROYECTOS DE INFRAESTRUCTURA DE LA SUBGERENCIA DE ESCENARIOS DEPORTIVOS Y EQUIPAMIENTOS DE INDEPORTES ANTIOQUIA</t>
  </si>
  <si>
    <t>28/01/2025 14:24</t>
  </si>
  <si>
    <t>508-PRESTACIÓN DE SERVICIOS PROFESIONALES PARA APOYAR LA GESTIÓN TÉCNICA  DE LOS PROYECTOS DE INFRAESTRUCTURA DE LA SUBGERENCIA DE ESCENARIOS DEPORTIVOS Y EQUIPAMIENTOS DE INDEPORTES ANTIOQUIA</t>
  </si>
  <si>
    <t>IDContrato</t>
  </si>
  <si>
    <t>AnnoCargue</t>
  </si>
  <si>
    <t>MesCargue</t>
  </si>
  <si>
    <t>Fechacargue</t>
  </si>
  <si>
    <t>FechaFirma</t>
  </si>
  <si>
    <t>FechaIniciodelContrato</t>
  </si>
  <si>
    <t>FechaFindelContrato</t>
  </si>
  <si>
    <t>OrdenEntidad</t>
  </si>
  <si>
    <t>DepartamentoEntidad</t>
  </si>
  <si>
    <t>MunicipioEntidad</t>
  </si>
  <si>
    <t>NITdelaEntidad</t>
  </si>
  <si>
    <t>NombredelaEntidad</t>
  </si>
  <si>
    <t>ModalidadContratacion</t>
  </si>
  <si>
    <t>TipodeContrato</t>
  </si>
  <si>
    <t>Justificacionmodalidad</t>
  </si>
  <si>
    <t>IDClase</t>
  </si>
  <si>
    <t>NumerodeProceso</t>
  </si>
  <si>
    <t>NumerodelContrato</t>
  </si>
  <si>
    <t>Objetocontractual</t>
  </si>
  <si>
    <t>Valorconadiciones</t>
  </si>
  <si>
    <t>NomRazSocialContratista</t>
  </si>
  <si>
    <t>TipoIdentifidelContratista</t>
  </si>
  <si>
    <t>IdentificaciondelContratista</t>
  </si>
  <si>
    <t>EstadodelProceso</t>
  </si>
  <si>
    <t>OrigendelosRecursos</t>
  </si>
  <si>
    <t>DestinoGasto</t>
  </si>
  <si>
    <t>Link</t>
  </si>
  <si>
    <t>IDEntidad</t>
  </si>
  <si>
    <t>Fuente</t>
  </si>
  <si>
    <t>Contrato</t>
  </si>
  <si>
    <t>num_contrato</t>
  </si>
  <si>
    <t>disponibilidad</t>
  </si>
  <si>
    <t>valor_total</t>
  </si>
  <si>
    <t>nit</t>
  </si>
  <si>
    <t>nombre</t>
  </si>
  <si>
    <t>total_ordenes</t>
  </si>
  <si>
    <t>concatenado</t>
  </si>
  <si>
    <t>Indicador Principal</t>
  </si>
  <si>
    <t>P</t>
  </si>
  <si>
    <t>Total Comprometido</t>
  </si>
  <si>
    <t>Total pagado</t>
  </si>
  <si>
    <t>Actividad1</t>
  </si>
  <si>
    <t>15/01/2025 0:00</t>
  </si>
  <si>
    <t xml:space="preserve">INSTITUTO DEPARTAMENTAL DE DEPORTES DE ANTIOQUIA   </t>
  </si>
  <si>
    <t>41080101-Brindar apoyo técnico a atletas</t>
  </si>
  <si>
    <t>30/01/2025 0:00</t>
  </si>
  <si>
    <t>41080105-Entregar apoyo alimentación a los atletas</t>
  </si>
  <si>
    <t>13/02/2025 0:00</t>
  </si>
  <si>
    <t>41080110-Entregar apoyo alimentación a para-atletas</t>
  </si>
  <si>
    <t>26/02/2025 0:00</t>
  </si>
  <si>
    <t>41080104-Entregar apoyo educativo a los atletas</t>
  </si>
  <si>
    <t>27/02/2025 0:00</t>
  </si>
  <si>
    <t>41080109-Entregar apoyo educativo a para-atletas</t>
  </si>
  <si>
    <t>13/03/2025 0:00</t>
  </si>
  <si>
    <t>41080102-Entregar apoyo económico a los atletas-</t>
  </si>
  <si>
    <t>27/03/2025 0:00</t>
  </si>
  <si>
    <t>41080107-Entregar apoyo económico a para-atletas</t>
  </si>
  <si>
    <t>41080101-Entregar póliza a los atletas</t>
  </si>
  <si>
    <t>41080106-Entregar póliza a para-atletas</t>
  </si>
  <si>
    <t>BONILLA MORALES GLORIA INES</t>
  </si>
  <si>
    <t>41080106-Brindar apoyo técnico a para-atletas</t>
  </si>
  <si>
    <t>7/03/2025 0:00</t>
  </si>
  <si>
    <t>BEGUE TRUJILLO LUIS FERNANDO FRANCISCO</t>
  </si>
  <si>
    <t xml:space="preserve">TORO SIERRA SANTIAGO </t>
  </si>
  <si>
    <t>41080102-Entregar apoyo económico a los atletas</t>
  </si>
  <si>
    <t>31/03/2025 0:00</t>
  </si>
  <si>
    <t>HIGUITA ECHEVERRI ANDRES RENE</t>
  </si>
  <si>
    <t>41080101-Realizar Control Técnico</t>
  </si>
  <si>
    <t>41080111-Participar en eventos deportiv Nal e Int</t>
  </si>
  <si>
    <t>Transferir recursos a 125 municipios</t>
  </si>
  <si>
    <t>16/01/2025 15:55</t>
  </si>
  <si>
    <t>19/03/2025 14:57</t>
  </si>
  <si>
    <t>GOMEZ CASTAÑO ANDRES ROBERTO</t>
  </si>
  <si>
    <t>6/02/2025 14:48</t>
  </si>
  <si>
    <t xml:space="preserve">ADMINISTRADORA COLOMBIANA DE PENSIONES COLPENSIONES   </t>
  </si>
  <si>
    <t xml:space="preserve">COLFONDOS   </t>
  </si>
  <si>
    <t xml:space="preserve">PORVENIR   </t>
  </si>
  <si>
    <t xml:space="preserve">PROTECCION   </t>
  </si>
  <si>
    <t>SKANDIA PENSIONES Y CESANTIAS S.A.</t>
  </si>
  <si>
    <t>6/02/2025 14:47</t>
  </si>
  <si>
    <t xml:space="preserve">EPS SANITAS   </t>
  </si>
  <si>
    <t>EPS Y MEDICINA PREPAGADA SURAMERICANA S.A.</t>
  </si>
  <si>
    <t xml:space="preserve">NUEVA EPS   </t>
  </si>
  <si>
    <t xml:space="preserve">SALUD TOTAL   </t>
  </si>
  <si>
    <t xml:space="preserve">UNIVERSIDAD DE ANTIOQUIA   </t>
  </si>
  <si>
    <t xml:space="preserve">PROTECCION S.A CESANTIAS   </t>
  </si>
  <si>
    <t>14/02/2025 0:00</t>
  </si>
  <si>
    <t xml:space="preserve">COMFAMA   </t>
  </si>
  <si>
    <t>COMPAÑIA DE SEGUROS DE VIDA COLMENA S.A., COLMENA COMPAÑIA DE SEGUROS DE VIDA S.A. O COLMENA SEGUROS S.A. O RIESGOS LA</t>
  </si>
  <si>
    <t>6/02/2025 14:51</t>
  </si>
  <si>
    <t xml:space="preserve">INSTITUTO COLOMBIANO DE BIENESTAR FAMILIAR ICBF   </t>
  </si>
  <si>
    <t xml:space="preserve">SENA   </t>
  </si>
  <si>
    <t>29/01/2025 0:00</t>
  </si>
  <si>
    <t>Reconocimiento del beneficio plan voluntario de salud definido en el programa de Bienestar Laboral para los funcionarios de Indeportes Antioquia.  Resolución 2025000054 del 27 enero 2025</t>
  </si>
  <si>
    <t xml:space="preserve">TORRES MUÑOZ DAVID </t>
  </si>
  <si>
    <t xml:space="preserve">CARDONA ECHEVERRI FERNEY </t>
  </si>
  <si>
    <t>VALENCIA CARMONA LUZ ADRIANA</t>
  </si>
  <si>
    <t>GONZALEZ CASTILLO LUZ MIRELLA</t>
  </si>
  <si>
    <t>PALACIO MORALES CLAUDIA MARIA</t>
  </si>
  <si>
    <t>ARENAS SOSA MONICA MARIA</t>
  </si>
  <si>
    <t>ORREGO LONDOÑO MARTHA LUCIA</t>
  </si>
  <si>
    <t>LONDOÑO TORO JUAN DIEGO</t>
  </si>
  <si>
    <t>SIERRA RESTREPO GABRIEL GUILLERMO</t>
  </si>
  <si>
    <t>LONDOÑO ZAPATA ANDRES JULIAN</t>
  </si>
  <si>
    <t>Reconocimiento del beneficio “auxilio para lentes formulados” definido en el programa de Bienestar Laboral para los funcionarios de Indeportes Antioquia. Resolución 2025000054 del 27 de enero de 2025</t>
  </si>
  <si>
    <t xml:space="preserve">RODRIGUEZ URIBE MARYLUZ </t>
  </si>
  <si>
    <t>NIEBLES LOPEZ CARLOS ANDRES</t>
  </si>
  <si>
    <t>HOYOS GARCIA HUGO HERNANDO</t>
  </si>
  <si>
    <t>21/02/2025 0:00</t>
  </si>
  <si>
    <t>Reconocimiento del beneficio plan voluntario de salud definido en el programa de Bienestar Laboral para los funcionarios de Indeportes Antioquia.  Resolución 2025000121 del 19 de febrero de 2025</t>
  </si>
  <si>
    <t>PALACIO ARANGO JOSE RAMIRO</t>
  </si>
  <si>
    <t>JIMENEZ MORENO JAIRO DE JESUS</t>
  </si>
  <si>
    <t>HERNANDEZ DIAZ NELSON AUGUSTO</t>
  </si>
  <si>
    <t>RODRIGUEZ PEREZ MANUEL ANTONIO</t>
  </si>
  <si>
    <t>MARIN OCAMPO LUZ ELENA</t>
  </si>
  <si>
    <t>ALVAREZ RUEDA ILDA BIBIANA</t>
  </si>
  <si>
    <t>ROLDAN SEPULVEDA DIANA ISABEL</t>
  </si>
  <si>
    <t>LOPEZ GALVIS MAGDA YAMILE</t>
  </si>
  <si>
    <t xml:space="preserve">SALAZAR ZULUAGA KARINA </t>
  </si>
  <si>
    <t>ARENAS FORONDA MARY LUZ</t>
  </si>
  <si>
    <t>AVENDAÑO BERNAL YENIFER MARCELA</t>
  </si>
  <si>
    <t>VADOS CORAL GLADIS MARGOT</t>
  </si>
  <si>
    <t>TOVAR AMADOR JAINE ESTHER</t>
  </si>
  <si>
    <t>PALACIO ARANGO SANDRA YULIETH</t>
  </si>
  <si>
    <t>MEDINA  CLARA INES</t>
  </si>
  <si>
    <t>POSADA LLANO JOHANNA MARCELA</t>
  </si>
  <si>
    <t>BECERRA MARTINEZ MARIA MERCEDES</t>
  </si>
  <si>
    <t>BELTRAN ZAMBRANO LUCY AUDREY</t>
  </si>
  <si>
    <t>MARTINEZ GARCIA DIGNA EMERITA</t>
  </si>
  <si>
    <t>CANO GONZALEZ LICETH CATALINA</t>
  </si>
  <si>
    <t>MONSALVE LOPEZ DIANA CATALINA</t>
  </si>
  <si>
    <t>MONTOYA MONTOYA GLORIA CECILIA</t>
  </si>
  <si>
    <t>VELEZ ESCOBAR CLAUDIA PATRICIA</t>
  </si>
  <si>
    <t>DIAZ OSORIO CLAUDIA LILIANA</t>
  </si>
  <si>
    <t>ARBOLEDA GOMEZ LUZ VERONICA</t>
  </si>
  <si>
    <t>BOLIVAR  MARTHA NURY</t>
  </si>
  <si>
    <t>JIMENEZ RENGIFO ANA CECILIA</t>
  </si>
  <si>
    <t>SALAZAR ARANGO CLAUDIA JANNET</t>
  </si>
  <si>
    <t>MUÑOZ JARAMILLO MARIA TERESA DE GUADALUPE</t>
  </si>
  <si>
    <t xml:space="preserve">RIOS MONTOYA TATIANA </t>
  </si>
  <si>
    <t>VALENCIA RENDON ORFILIA DEL SOCORRO</t>
  </si>
  <si>
    <t>CASTRO VELASQUEZ LISSINIA AIDE</t>
  </si>
  <si>
    <t>RESTREPO MAYA MARIA EUGENIA</t>
  </si>
  <si>
    <t>IBARRA HEREDIA SANDRA MILENA</t>
  </si>
  <si>
    <t>BETANCUR ZAPATA ROSALBA YANET</t>
  </si>
  <si>
    <t>OSPINA SANCHEZ VANESA ELIANA</t>
  </si>
  <si>
    <t>MENDEZ GIL PAULA ANDREA</t>
  </si>
  <si>
    <t>GIRALDO CANO LINA MARCELA</t>
  </si>
  <si>
    <t>CALLE BEDOYA SANDRA MILENA</t>
  </si>
  <si>
    <t>FRANCO LONDOÑO CESAR AUGUSTO</t>
  </si>
  <si>
    <t>GOMEZ OSPINA JOHN DARIO</t>
  </si>
  <si>
    <t>MARIN MARIN ANDRES ESTEBAN</t>
  </si>
  <si>
    <t>ARANGO LOPEZ FABIAN DARIO</t>
  </si>
  <si>
    <t xml:space="preserve">MORA QUIROZ RODRIGO </t>
  </si>
  <si>
    <t>PESTANA RIVERA JOSE JULIAN</t>
  </si>
  <si>
    <t>VELEZ ALVAREZ HERNAN MAURICIO</t>
  </si>
  <si>
    <t xml:space="preserve">NAVARRO RINCON ALEJANDRO </t>
  </si>
  <si>
    <t>GRAJALES VELEZ IVAN DARIO</t>
  </si>
  <si>
    <t>JIMENEZ PEÑA LIBIER DARIO</t>
  </si>
  <si>
    <t xml:space="preserve">MARTINEZ RESTREPO HERBERT </t>
  </si>
  <si>
    <t>LOPEZ VALENCIA LUIS FERNANDO</t>
  </si>
  <si>
    <t xml:space="preserve">VASQUEZ RAMIREZ CATALINA </t>
  </si>
  <si>
    <t xml:space="preserve">ZULUAGA MORA ALEJANDRO </t>
  </si>
  <si>
    <t xml:space="preserve">URREA GALLO VERONICA </t>
  </si>
  <si>
    <t xml:space="preserve">PEÑA MORA CAMILO </t>
  </si>
  <si>
    <t xml:space="preserve">GARZON ZAPATA YESICA </t>
  </si>
  <si>
    <t>FLOREZ PEREIRA CARLOS MARIO</t>
  </si>
  <si>
    <t>ARIZA ZAPATA LEIDY SANDRIT</t>
  </si>
  <si>
    <t xml:space="preserve">LOPEZ LONDOÑO JULIAN </t>
  </si>
  <si>
    <t>GARCIA FLOREZ DIANA CRISTINA</t>
  </si>
  <si>
    <t>MENDOZA HERNANDEZ YESSICA YULIETH</t>
  </si>
  <si>
    <t>BADILLO LIZARRALDE OSCAR MAURICIO</t>
  </si>
  <si>
    <t>CALVO MARTINEZ SONIA LISLLEY</t>
  </si>
  <si>
    <t>SALAZAR LOPEZ ANDRES FELIPE</t>
  </si>
  <si>
    <t>ARIAS TOBON LUIS GIOVANY</t>
  </si>
  <si>
    <t>Reconocimiento del beneficio Suministro de lentes definido en el programa de Bienestar Laboral para los funcionarios de Indeportes Antioquia.  Resolución 2025000121 del 19 de febrero de 2025</t>
  </si>
  <si>
    <t>BETANCUR MAYA JOHN ALBERTO</t>
  </si>
  <si>
    <t xml:space="preserve">PELAEZ GONZALEZ JULIANA </t>
  </si>
  <si>
    <t>MIRANDA CIFUENTES SANDRA MARIZA</t>
  </si>
  <si>
    <t xml:space="preserve">ARREDONDO PALACIO ARACELLY </t>
  </si>
  <si>
    <t>OROZCO VALENCIA GLENYS MARIEN</t>
  </si>
  <si>
    <t>25/03/2025 0:00</t>
  </si>
  <si>
    <t>Reconocimiento del beneficio plan voluntario de salud definido en el programa de Bienestar Laboral para los funcionarios de Indeportes Antioquia.  Resolución 2025000224 del 19 de marzo de 2025</t>
  </si>
  <si>
    <t>DULCEY GUTIERREZ DIANA MARCELA</t>
  </si>
  <si>
    <t>RAMIREZ TANGARIFE LUZ MARY</t>
  </si>
  <si>
    <t xml:space="preserve">BEDOYA LONDOÑO MAXIMILIANO </t>
  </si>
  <si>
    <t xml:space="preserve">BERMUDEZ HENAO JULIANA </t>
  </si>
  <si>
    <t>Reconocimiento del beneficio suministro de lentes  definido en el programa de Bienestar Laboral para los funcionarios de Indeportes Antioquia.  Resolución 2025000224 del 19 de marzo de 2025</t>
  </si>
  <si>
    <t>FRANCO MONTOYA RAMON EDUARDO</t>
  </si>
  <si>
    <t>OCAMPO MILLAN BETSY JOHANNA</t>
  </si>
  <si>
    <t>27/02/2025 18:00</t>
  </si>
  <si>
    <t>2025000151-2025</t>
  </si>
  <si>
    <t>20/03/2025 8:16</t>
  </si>
  <si>
    <t>2025000225-2025</t>
  </si>
  <si>
    <t>21/03/2025 16:47</t>
  </si>
  <si>
    <t xml:space="preserve">F &amp; C CONSULTORES S.A.S   </t>
  </si>
  <si>
    <t>Reconocimiento del beneficio “aprovechamiento del tiempo libre” definido en el programa de Bienestar Laboral y que va dirigido al servidor y a su grupo familiar.  Resolución 2025000054 del 27 enero 2025</t>
  </si>
  <si>
    <t>Reconocimiento del beneficio “aprovechamiento del tiempo libre” definido en el programa de Bienestar Laboral y que va dirigido al servidor y a su grupo familiar.  Resolución 2024000121 del 19 de febrebro de 2025</t>
  </si>
  <si>
    <t>OSORIO JARAMILLO HUGO ALEXANDER</t>
  </si>
  <si>
    <t>ROSAS RESTREPO ESMERALDA SOLEDAD</t>
  </si>
  <si>
    <t>econocimiento del beneficio aprovechamiento del tiempo libre definido en el programa de Bienestar Laboral y que va dirigido al servidor y a su grupo familiar.  Resolución 2025000224 del 19 de marzo de 2025</t>
  </si>
  <si>
    <t>QUINTERO RESTREPO LEON DAVID</t>
  </si>
  <si>
    <t>24/01/2025 8:38</t>
  </si>
  <si>
    <t>26-CAJA MENOR - OTROS BIENES TRANSPORTABLES (EXCEPTO PRODUCTOS METÁLICOS, MAQUINARIA Y EQUIPO) 27-CAJA MENOR - SERVICIOS DE ALOJAMIENTO; SERVICIOS DE SUMINISTRO DE COMIDAS Y BEBIDAS; SERVICIOS DE TRANSPORTE; Y SERVICIOS DE DISTRIBUCIÓN DE ELECTRICIDAD, GA</t>
  </si>
  <si>
    <t xml:space="preserve"> 2025000046</t>
  </si>
  <si>
    <t>ARROYAVE SANCHEZ HECTOR FABIAN</t>
  </si>
  <si>
    <t>28/02/2025 16:11</t>
  </si>
  <si>
    <t>26-REEMBOLSO CAJA MENOR MES DE FEBRERO DE 2025</t>
  </si>
  <si>
    <t>2025000156-2025</t>
  </si>
  <si>
    <t>4/03/2025 20:59</t>
  </si>
  <si>
    <t>REEMBOLSO CAJA MENOR MES DE FEBRERO 2025</t>
  </si>
  <si>
    <t>2025000156 MD2025000162</t>
  </si>
  <si>
    <t>2025000253-2025</t>
  </si>
  <si>
    <t>17/01/2025 15:10</t>
  </si>
  <si>
    <t>1430945139-2025</t>
  </si>
  <si>
    <t xml:space="preserve">EMPRESAS PUBLICAS DE MEDELLIN   </t>
  </si>
  <si>
    <t>17/01/2025 15:31</t>
  </si>
  <si>
    <t>791197-2025</t>
  </si>
  <si>
    <t xml:space="preserve">EMPRESA DE SERVICIOS PUBLICOS DOMICILIARIOS DEL MUNICIPIO DE GUATAPE E.S.P.   </t>
  </si>
  <si>
    <t>20/01/2025 15:17</t>
  </si>
  <si>
    <t>1433011053-2025</t>
  </si>
  <si>
    <t>20/01/2025 15:19</t>
  </si>
  <si>
    <t>1433021304-2025</t>
  </si>
  <si>
    <t>22/01/2025 15:55</t>
  </si>
  <si>
    <t>1433708782-2025</t>
  </si>
  <si>
    <t>22/01/2025 15:57</t>
  </si>
  <si>
    <t>1433710961-2025</t>
  </si>
  <si>
    <t>28/01/2025 14:44</t>
  </si>
  <si>
    <t>143 4197264-2025</t>
  </si>
  <si>
    <t>4/02/2025 8:28</t>
  </si>
  <si>
    <t>1435461149_x000D_-2025</t>
  </si>
  <si>
    <t>5/02/2025 15:52</t>
  </si>
  <si>
    <t>1435717025-2025</t>
  </si>
  <si>
    <t>10/02/2025 16:07</t>
  </si>
  <si>
    <t>796124-2025</t>
  </si>
  <si>
    <t>19/02/2025 11:27</t>
  </si>
  <si>
    <t>1437713111-2025</t>
  </si>
  <si>
    <t>19/02/2025 15:04</t>
  </si>
  <si>
    <t>1437703187-2025</t>
  </si>
  <si>
    <t>20/02/2025 17:04</t>
  </si>
  <si>
    <t>11/03/2025 10:06</t>
  </si>
  <si>
    <t>1440601832-2025</t>
  </si>
  <si>
    <t>13/03/2025 8:48</t>
  </si>
  <si>
    <t>800634-2025</t>
  </si>
  <si>
    <t>14/03/2025 15:13</t>
  </si>
  <si>
    <t>329-2025</t>
  </si>
  <si>
    <t>RENTING DE ANTIOQUIA S.A.S.</t>
  </si>
  <si>
    <t>17/03/2025 9:52</t>
  </si>
  <si>
    <t>1440327204-2025</t>
  </si>
  <si>
    <t>27/01/2025 16:49</t>
  </si>
  <si>
    <t>001-2025</t>
  </si>
  <si>
    <t xml:space="preserve">CASTAÑO CATAÑO ANDERSON DE JESUS </t>
  </si>
  <si>
    <t>4/02/2025 9:56</t>
  </si>
  <si>
    <t>013-2025</t>
  </si>
  <si>
    <t>PATIÑO CAMPUZANO ADRIANA MARIA</t>
  </si>
  <si>
    <t>4/02/2025 10:02</t>
  </si>
  <si>
    <t>004-2025</t>
  </si>
  <si>
    <t>BERNAL GOMEZ ANA MILENA</t>
  </si>
  <si>
    <t>4/02/2025 15:19</t>
  </si>
  <si>
    <t>005-2025</t>
  </si>
  <si>
    <t xml:space="preserve">ALZATE GOMEZ CECILIA </t>
  </si>
  <si>
    <t>4/02/2025 15:23</t>
  </si>
  <si>
    <t>007-2025</t>
  </si>
  <si>
    <t xml:space="preserve">LOPEZ HERNANDEZ SEBASTIAN </t>
  </si>
  <si>
    <t>4/02/2025 16:19</t>
  </si>
  <si>
    <t>025-2025</t>
  </si>
  <si>
    <t>GALLEGO RESTREPO CARLOS FELIPE</t>
  </si>
  <si>
    <t>4/02/2025 16:43</t>
  </si>
  <si>
    <t>006-2025</t>
  </si>
  <si>
    <t>ARBELAEZ ZAPATA JULIAN ESTEBAN</t>
  </si>
  <si>
    <t>4/02/2025 19:09</t>
  </si>
  <si>
    <t>017-2025</t>
  </si>
  <si>
    <t xml:space="preserve">MEJIA HERRERA MATEO </t>
  </si>
  <si>
    <t>5/02/2025 17:16</t>
  </si>
  <si>
    <t>028-2025</t>
  </si>
  <si>
    <t>OQUENDO HERNANDEZ ANGELA MARIA</t>
  </si>
  <si>
    <t>6/02/2025 15:55</t>
  </si>
  <si>
    <t>015-2025</t>
  </si>
  <si>
    <t>GOMEZ BERNAL GLADYS PATRICIA</t>
  </si>
  <si>
    <t>6/02/2025 16:03</t>
  </si>
  <si>
    <t>016-2025</t>
  </si>
  <si>
    <t>RODRIGUEZ  ANYI DANIELA</t>
  </si>
  <si>
    <t>10/02/2025 9:17</t>
  </si>
  <si>
    <t>034-2025</t>
  </si>
  <si>
    <t>OSORIO FRANCO MARIA CRISTINA</t>
  </si>
  <si>
    <t>11/02/2025 13:49</t>
  </si>
  <si>
    <t>033-2025</t>
  </si>
  <si>
    <t xml:space="preserve">ARBELAEZ PEREZ NATALIA ANDREA </t>
  </si>
  <si>
    <t>12/02/2025 14:25</t>
  </si>
  <si>
    <t>040-2025</t>
  </si>
  <si>
    <t>ECHAVARRIA MUÑOZ DIEGO RAFAEL</t>
  </si>
  <si>
    <t>13/02/2025 9:18</t>
  </si>
  <si>
    <t>045-2025</t>
  </si>
  <si>
    <t>TORO ECHEVERRI MARIA CAMILA</t>
  </si>
  <si>
    <t>13/02/2025 14:10</t>
  </si>
  <si>
    <t>039-2025</t>
  </si>
  <si>
    <t>LOPEZ LOPEZ YENNY PATRICIA</t>
  </si>
  <si>
    <t>13/02/2025 17:28</t>
  </si>
  <si>
    <t>046-2025</t>
  </si>
  <si>
    <t xml:space="preserve">ROLDAN ESPINAL MAGDALENA </t>
  </si>
  <si>
    <t>18/02/2025 16:23</t>
  </si>
  <si>
    <t>064-2025</t>
  </si>
  <si>
    <t>PALACIO RAMIREZ NANCY DEL SOCORRO</t>
  </si>
  <si>
    <t>24/02/2025 13:58</t>
  </si>
  <si>
    <t>233-2025</t>
  </si>
  <si>
    <t>AGUDELO TOBON WALTER ANDRES</t>
  </si>
  <si>
    <t>24/02/2025 14:00</t>
  </si>
  <si>
    <t>214-2025</t>
  </si>
  <si>
    <t>RIVERA HENAO ANA MARIA</t>
  </si>
  <si>
    <t>26/02/2025 16:09</t>
  </si>
  <si>
    <t>237-2025</t>
  </si>
  <si>
    <t>LEON ARIAS HAROLD ALEXANDER</t>
  </si>
  <si>
    <t>5/03/2025 15:07</t>
  </si>
  <si>
    <t>261-2025</t>
  </si>
  <si>
    <t>ESTUDIO JURIDICO PEREZ &amp; ASOC. S.A.S</t>
  </si>
  <si>
    <t>6/03/2025 11:57</t>
  </si>
  <si>
    <t>267-2025</t>
  </si>
  <si>
    <t>CASTAÑEDA VELEZ YUDI ANDREA</t>
  </si>
  <si>
    <t>11/03/2025 11:00</t>
  </si>
  <si>
    <t>270-2025</t>
  </si>
  <si>
    <t>MARTINEZ  LILIANA PATRICIA</t>
  </si>
  <si>
    <t>18/03/2025 16:51</t>
  </si>
  <si>
    <t>340-2025</t>
  </si>
  <si>
    <t>GOMEZ JIMENEZ MIRIAM DEL SOCORRO</t>
  </si>
  <si>
    <t>19/03/2025 14:44</t>
  </si>
  <si>
    <t>334-2025</t>
  </si>
  <si>
    <t xml:space="preserve">URREGO CUARTAS EMMANUEL </t>
  </si>
  <si>
    <t>26/03/2025 10:50</t>
  </si>
  <si>
    <t>336-2025</t>
  </si>
  <si>
    <t>SUAREZ ARENAS DIANA PATRICIA</t>
  </si>
  <si>
    <t>22/01/2025 17:29</t>
  </si>
  <si>
    <t>BOPE 7574683-2025</t>
  </si>
  <si>
    <t xml:space="preserve">E.S.P. EDATEL S.A.   </t>
  </si>
  <si>
    <t>29/01/2025 7:34</t>
  </si>
  <si>
    <t xml:space="preserve"> BOPU115665420-2025</t>
  </si>
  <si>
    <t xml:space="preserve">UNE EPM TELECOMUNICACIONES S.A.   </t>
  </si>
  <si>
    <t>29/01/2025 7:42</t>
  </si>
  <si>
    <t>BOPU115668962-2025</t>
  </si>
  <si>
    <t>29/01/2025 9:08</t>
  </si>
  <si>
    <t xml:space="preserve"> BOPU115603929-2025</t>
  </si>
  <si>
    <t>29/01/2025 9:59</t>
  </si>
  <si>
    <t>E5897826989-2025</t>
  </si>
  <si>
    <t xml:space="preserve">COMCEL S.A.   </t>
  </si>
  <si>
    <t>3/02/2025 15:33</t>
  </si>
  <si>
    <t>BCPT112345556-2025</t>
  </si>
  <si>
    <t>COLOMBIA MOVIL S.A. ESP</t>
  </si>
  <si>
    <t>6/02/2025 16:10</t>
  </si>
  <si>
    <t>135712646-2025</t>
  </si>
  <si>
    <t xml:space="preserve">DIRECTV COLOMBIA LTDA   </t>
  </si>
  <si>
    <t>10/02/2025 14:30</t>
  </si>
  <si>
    <t>135791800-2025</t>
  </si>
  <si>
    <t>18/02/2025 8:30</t>
  </si>
  <si>
    <t>7648485-2025</t>
  </si>
  <si>
    <t>5907753975-2025</t>
  </si>
  <si>
    <t>4/03/2025 20:58</t>
  </si>
  <si>
    <t>116997654-2025</t>
  </si>
  <si>
    <t>117008145-2025</t>
  </si>
  <si>
    <t>117004880-2025</t>
  </si>
  <si>
    <t>116946616-2025</t>
  </si>
  <si>
    <t>11/03/2025 15:06</t>
  </si>
  <si>
    <t>136100889-2025</t>
  </si>
  <si>
    <t>11/03/2025 15:10</t>
  </si>
  <si>
    <t>136025491-2025</t>
  </si>
  <si>
    <t>19/03/2025 14:54</t>
  </si>
  <si>
    <t>8107898-2025</t>
  </si>
  <si>
    <t>26/03/2025 10:26</t>
  </si>
  <si>
    <t>136327455-2025</t>
  </si>
  <si>
    <t>118326465-2025</t>
  </si>
  <si>
    <t>27/03/2025 8:15</t>
  </si>
  <si>
    <t>118267984</t>
  </si>
  <si>
    <t>27/03/2025 8:18</t>
  </si>
  <si>
    <t>118329504-2025</t>
  </si>
  <si>
    <t>31/03/2025 8:39</t>
  </si>
  <si>
    <t>136400384-2025</t>
  </si>
  <si>
    <t>31/03/2025 8:42</t>
  </si>
  <si>
    <t>5917719545-2025</t>
  </si>
  <si>
    <t>15/01/2025 10:48</t>
  </si>
  <si>
    <t>AD7-552-2020</t>
  </si>
  <si>
    <t>EMPRESA PARA LA SEGURIDAD Y SOLUCIONES URBANAS - ESU</t>
  </si>
  <si>
    <t>15/01/2025 10:52</t>
  </si>
  <si>
    <t>AD1-365-2024</t>
  </si>
  <si>
    <t>GRUPO EMPRESARIAL SEISO SAS</t>
  </si>
  <si>
    <t>3/02/2025 16:00</t>
  </si>
  <si>
    <t>1125995407300-2025</t>
  </si>
  <si>
    <t xml:space="preserve">MUNICIPIO DE MEDELLIN   </t>
  </si>
  <si>
    <t>3/02/2025 16:01</t>
  </si>
  <si>
    <t>1125995407258-2025</t>
  </si>
  <si>
    <t>3/02/2025 16:02</t>
  </si>
  <si>
    <t>1125995407678-2025</t>
  </si>
  <si>
    <t>17/02/2025 15:39</t>
  </si>
  <si>
    <t>2025000103-2025</t>
  </si>
  <si>
    <t>CONTRALORIA GENERAL DE ANTIOQUIA</t>
  </si>
  <si>
    <t>26/02/2025 10:42</t>
  </si>
  <si>
    <t>230-2025</t>
  </si>
  <si>
    <t>11/03/2025 10:14</t>
  </si>
  <si>
    <t>263-2025</t>
  </si>
  <si>
    <t xml:space="preserve">ASCENSORES SCHINDLER S.A.S   </t>
  </si>
  <si>
    <t>7/02/2025 16:30</t>
  </si>
  <si>
    <t>037-2025</t>
  </si>
  <si>
    <t xml:space="preserve">GOMEZ MARIN CAMILA </t>
  </si>
  <si>
    <t>10/02/2025 9:09</t>
  </si>
  <si>
    <t>035-2025</t>
  </si>
  <si>
    <t>ECHEVERRI ESCOBAR LEDY JULIETH</t>
  </si>
  <si>
    <t>21/03/2025 16:29</t>
  </si>
  <si>
    <t>341-2025</t>
  </si>
  <si>
    <t>MALDONADO ALVAREZ JUAN SEBASTIAN</t>
  </si>
  <si>
    <t>7/02/2025 16:40</t>
  </si>
  <si>
    <t>038-2025</t>
  </si>
  <si>
    <t>VALENCIA RUIZ ANDRES MAURICIO</t>
  </si>
  <si>
    <t>10/02/2025 15:43</t>
  </si>
  <si>
    <t>036-2025</t>
  </si>
  <si>
    <t xml:space="preserve">MARTINEZ RENDON SARA </t>
  </si>
  <si>
    <t>10/02/2025 13:33</t>
  </si>
  <si>
    <t>014-2025</t>
  </si>
  <si>
    <t xml:space="preserve">BEDOYA GIRALDO SEBASTIAN </t>
  </si>
  <si>
    <t>13/02/2025 17:24</t>
  </si>
  <si>
    <t>055-2025</t>
  </si>
  <si>
    <t>HENAO  YEYSON NOLBERTO</t>
  </si>
  <si>
    <t>20/02/2025 21:18</t>
  </si>
  <si>
    <t>238-2025</t>
  </si>
  <si>
    <t>NONSOQUE GARCIA JHON MARIO</t>
  </si>
  <si>
    <t>27/02/2025 17:48</t>
  </si>
  <si>
    <t>248-2025</t>
  </si>
  <si>
    <t>ADA S.A.S</t>
  </si>
  <si>
    <t>28/02/2025 16:20</t>
  </si>
  <si>
    <t>256-2025</t>
  </si>
  <si>
    <t>10/03/2025 16:41</t>
  </si>
  <si>
    <t>264-2025</t>
  </si>
  <si>
    <t xml:space="preserve">SERVISOFT S.A.   </t>
  </si>
  <si>
    <t>17/03/2025 11:45</t>
  </si>
  <si>
    <t>333-2025</t>
  </si>
  <si>
    <t>HENAO MESA CARLOS ALBERTO</t>
  </si>
  <si>
    <t>19/03/2025 0:00</t>
  </si>
  <si>
    <t>335-2025</t>
  </si>
  <si>
    <t>CHAVERRA CORDOBA BEATRIZ EUGENIA</t>
  </si>
  <si>
    <t>15/01/2025 11:04</t>
  </si>
  <si>
    <t>AD1-605-2024</t>
  </si>
  <si>
    <t>15/01/2025 12:02</t>
  </si>
  <si>
    <t>AD1-612-2024</t>
  </si>
  <si>
    <t>13/02/2025 17:19</t>
  </si>
  <si>
    <t>056-2025</t>
  </si>
  <si>
    <t xml:space="preserve">HENRIQUEZ ARANGO SARA </t>
  </si>
  <si>
    <t>26/02/2025 15:58</t>
  </si>
  <si>
    <t>232-2025</t>
  </si>
  <si>
    <t xml:space="preserve">PINEDA DUQUE SIMON </t>
  </si>
  <si>
    <t>12/03/2025 10:34</t>
  </si>
  <si>
    <t>272-2025</t>
  </si>
  <si>
    <t>BUITRAGO ECHEVERRI CINDY PAULINA</t>
  </si>
  <si>
    <t>30/01/2025 22:38</t>
  </si>
  <si>
    <t>011-2025</t>
  </si>
  <si>
    <t xml:space="preserve">ACORD ANTIOQUIA   </t>
  </si>
  <si>
    <t>21/02/2025 20:38</t>
  </si>
  <si>
    <t>243-2025</t>
  </si>
  <si>
    <t>30/01/2025 16:10</t>
  </si>
  <si>
    <t>009-2025</t>
  </si>
  <si>
    <t>CASTAÑO ALZATE ASTRID ELENA</t>
  </si>
  <si>
    <t>30/01/2025 19:10</t>
  </si>
  <si>
    <t>003-2025</t>
  </si>
  <si>
    <t xml:space="preserve">VELASQUEZ CUADROS MAURICIO </t>
  </si>
  <si>
    <t>31/01/2025 10:45</t>
  </si>
  <si>
    <t>010-2025</t>
  </si>
  <si>
    <t>URREGO VILLA SARA LUCIANA</t>
  </si>
  <si>
    <t>7/02/2025 10:33</t>
  </si>
  <si>
    <t>012-2025</t>
  </si>
  <si>
    <t>RIVERA  WALTER FLORO</t>
  </si>
  <si>
    <t>7/02/2025 20:13</t>
  </si>
  <si>
    <t>031-2025</t>
  </si>
  <si>
    <t>HOLGUIN FRANCO JOHAN STEVEN</t>
  </si>
  <si>
    <t>7/02/2025 20:32</t>
  </si>
  <si>
    <t>029-2025</t>
  </si>
  <si>
    <t>HIGUITA HERNANDEZ LEONARDO ALEXIS</t>
  </si>
  <si>
    <t>7/02/2025 20:55</t>
  </si>
  <si>
    <t>032-2025</t>
  </si>
  <si>
    <t>GALLEGO GALLEGO LEIDY JOHANA</t>
  </si>
  <si>
    <t>17/02/2025 15:43</t>
  </si>
  <si>
    <t>061-2025</t>
  </si>
  <si>
    <t>OSPINA MADRIGAL WILLINTON ANDRES</t>
  </si>
  <si>
    <t>258-2025</t>
  </si>
  <si>
    <t>MARTINEZ OBANDO ANA MARIA</t>
  </si>
  <si>
    <t>3/03/2025 17:44</t>
  </si>
  <si>
    <t>257-2025</t>
  </si>
  <si>
    <t>JARAMILLO RESTREPO JUAN DAVID</t>
  </si>
  <si>
    <t>13/03/2025 14:46</t>
  </si>
  <si>
    <t>ADI1-061-2025</t>
  </si>
  <si>
    <t>26/03/2025 10:23</t>
  </si>
  <si>
    <t>343-2025</t>
  </si>
  <si>
    <t xml:space="preserve">LIGA DE BEISBOL DE ANTIOQUIA   </t>
  </si>
  <si>
    <t>26/03/2025 10:31</t>
  </si>
  <si>
    <t>346-2025</t>
  </si>
  <si>
    <t>LIGA ANTIOQUEÑA DE RUGBY  FUTBOL</t>
  </si>
  <si>
    <t>27/03/2025 8:01</t>
  </si>
  <si>
    <t>344-2025</t>
  </si>
  <si>
    <t xml:space="preserve">LIGA ANTIOQUEÑA DE TENIS DE CAMPO   </t>
  </si>
  <si>
    <t>17/02/2025 15:38</t>
  </si>
  <si>
    <t>066-2025</t>
  </si>
  <si>
    <t>RENDON PARRA DIEGO ARMANDO</t>
  </si>
  <si>
    <t>18/02/2025 11:46</t>
  </si>
  <si>
    <t>052-2025</t>
  </si>
  <si>
    <t>COLORADO NAVARRO LAURA VICTORIA</t>
  </si>
  <si>
    <t>20/02/2025 21:13</t>
  </si>
  <si>
    <t>240-2025</t>
  </si>
  <si>
    <t>URIBE CALLE PABLO ANDRES</t>
  </si>
  <si>
    <t>26/02/2025 9:23</t>
  </si>
  <si>
    <t>253-2025</t>
  </si>
  <si>
    <t>GARCES FLORES MARIA ALEJANDRA</t>
  </si>
  <si>
    <t>26/02/2025 9:27</t>
  </si>
  <si>
    <t>252-2025</t>
  </si>
  <si>
    <t>RAMIREZ ARGUMEDO JOHANA PATRICIA</t>
  </si>
  <si>
    <t>6/03/2025 11:53</t>
  </si>
  <si>
    <t>269-2025</t>
  </si>
  <si>
    <t xml:space="preserve">AGUDELO AGUDELO SARA </t>
  </si>
  <si>
    <t>7/03/2025 8:28</t>
  </si>
  <si>
    <t>274-2025</t>
  </si>
  <si>
    <t>MOLINA GONZALEZ CLAUDIA ELENA</t>
  </si>
  <si>
    <t>7/03/2025 11:51</t>
  </si>
  <si>
    <t>275-2025</t>
  </si>
  <si>
    <t>OSORIO JARAMILLO DIEGO FERNANDO</t>
  </si>
  <si>
    <t>7/03/2025 11:54</t>
  </si>
  <si>
    <t>276-2025</t>
  </si>
  <si>
    <t xml:space="preserve">SERNA CARDONA FEDERICO </t>
  </si>
  <si>
    <t>10/03/2025 8:58</t>
  </si>
  <si>
    <t>271-2025</t>
  </si>
  <si>
    <t>PUERTA ZAPATA MARIA ADELAYDA</t>
  </si>
  <si>
    <t>10/03/2025 14:25</t>
  </si>
  <si>
    <t>277-2025</t>
  </si>
  <si>
    <t xml:space="preserve">PUERTA VALENCIA STEFANIA </t>
  </si>
  <si>
    <t>14/03/2025 15:52</t>
  </si>
  <si>
    <t>330-2025</t>
  </si>
  <si>
    <t>URIBE CADAVID GABRIEL JAIME</t>
  </si>
  <si>
    <t>17/03/2025 11:41</t>
  </si>
  <si>
    <t>338-2025</t>
  </si>
  <si>
    <t xml:space="preserve">GONZALEZ ALEMAN VERONICA </t>
  </si>
  <si>
    <t>17/03/2025 11:51</t>
  </si>
  <si>
    <t>339-2025</t>
  </si>
  <si>
    <t>VALDERRAMA GONZALEZ MARIA ALEJANDRA</t>
  </si>
  <si>
    <t>17/03/2025 11:55</t>
  </si>
  <si>
    <t>337-2025</t>
  </si>
  <si>
    <t>CASTAÑO OCHOA ANA MARIA</t>
  </si>
  <si>
    <t>26/03/2025 10:45</t>
  </si>
  <si>
    <t>349-2025</t>
  </si>
  <si>
    <t>LOZANO MUÑOZ LUDWING ORLANDO</t>
  </si>
  <si>
    <t>31/03/2025 22:05</t>
  </si>
  <si>
    <t>352-2025</t>
  </si>
  <si>
    <t>GIRALDO CARDONA JUAN FELIPE</t>
  </si>
  <si>
    <t>17/02/2025 15:52</t>
  </si>
  <si>
    <t>062-2025</t>
  </si>
  <si>
    <t>CUERVO ARANGO DANIEL ALEJANDRO</t>
  </si>
  <si>
    <t>20/02/2025 21:24</t>
  </si>
  <si>
    <t>241-2025</t>
  </si>
  <si>
    <t>MUÑOZ PRIETO ANDRES FELIPE</t>
  </si>
  <si>
    <t>21/02/2025 9:04</t>
  </si>
  <si>
    <t>226-2025</t>
  </si>
  <si>
    <t xml:space="preserve">MONTOYA ARANGO SEBASTIAN </t>
  </si>
  <si>
    <t>21/02/2025 9:07</t>
  </si>
  <si>
    <t>225-2025</t>
  </si>
  <si>
    <t>BERRIO CARDONA JUAN CAMILO</t>
  </si>
  <si>
    <t>21/02/2025 9:15</t>
  </si>
  <si>
    <t>224-2025</t>
  </si>
  <si>
    <t>VARGAS LOPERA IVAN ALEJANDRO</t>
  </si>
  <si>
    <t>21/02/2025 9:19</t>
  </si>
  <si>
    <t>222-2025</t>
  </si>
  <si>
    <t>ORTIZ VELASQUEZ OSCAR WILLINGTON</t>
  </si>
  <si>
    <t>21/02/2025 9:22</t>
  </si>
  <si>
    <t>217-2025</t>
  </si>
  <si>
    <t>CONTRERAS CONTRERAS DAVID FELIPE</t>
  </si>
  <si>
    <t>21/02/2025 11:19</t>
  </si>
  <si>
    <t>218-2025</t>
  </si>
  <si>
    <t>RAMOS GARCIA OSCAR ALEXANDER</t>
  </si>
  <si>
    <t>21/02/2025 11:49</t>
  </si>
  <si>
    <t>220-2025</t>
  </si>
  <si>
    <t xml:space="preserve">WALTER  SALDARRIAGA MONSALVE </t>
  </si>
  <si>
    <t>21/02/2025 11:53</t>
  </si>
  <si>
    <t>221-2025</t>
  </si>
  <si>
    <t>ESTRADA RESTREPO JESSICA ALEJANDRA</t>
  </si>
  <si>
    <t>21/02/2025 13:39</t>
  </si>
  <si>
    <t>219-2025</t>
  </si>
  <si>
    <t>RUEDA LONOÑO WILMAR ANDRES</t>
  </si>
  <si>
    <t>24/02/2025 15:41</t>
  </si>
  <si>
    <t>229-2025</t>
  </si>
  <si>
    <t xml:space="preserve">GIRALDO JARAMILLO JULIANA </t>
  </si>
  <si>
    <t>24/02/2025 15:45</t>
  </si>
  <si>
    <t>228-2025</t>
  </si>
  <si>
    <t>LAGUNA CUBIDES SULMA SHIRLEY</t>
  </si>
  <si>
    <t>24/02/2025 15:47</t>
  </si>
  <si>
    <t>227-2025</t>
  </si>
  <si>
    <t>RIVERA BUITRAGO ÓSCAR ALEJANDRO</t>
  </si>
  <si>
    <t>7/03/2025 11:58</t>
  </si>
  <si>
    <t>297-2025</t>
  </si>
  <si>
    <t xml:space="preserve">MEJIA GIL SEBASTIAN </t>
  </si>
  <si>
    <t>7/03/2025 13:46</t>
  </si>
  <si>
    <t>296-2025</t>
  </si>
  <si>
    <t>HIGUITA ALVAREZ CRISTIAN CAMILO</t>
  </si>
  <si>
    <t>10/03/2025 14:04</t>
  </si>
  <si>
    <t>307 - 2025</t>
  </si>
  <si>
    <t>NARANJO HURTADO JONATHAN ARLEY</t>
  </si>
  <si>
    <t>10/03/2025 14:09</t>
  </si>
  <si>
    <t>306 - 2025_x000D_</t>
  </si>
  <si>
    <t>AGUASACO RABA DIANA MARCELA</t>
  </si>
  <si>
    <t>10/03/2025 14:14</t>
  </si>
  <si>
    <t>305 - 2025</t>
  </si>
  <si>
    <t xml:space="preserve">RODRIGUEZ JOSE ALIRIO </t>
  </si>
  <si>
    <t>10/03/2025 15:02</t>
  </si>
  <si>
    <t>316-2025</t>
  </si>
  <si>
    <t xml:space="preserve">HIDALGO LOPEZ VALENTINA </t>
  </si>
  <si>
    <t>10/03/2025 15:14</t>
  </si>
  <si>
    <t>317-2025</t>
  </si>
  <si>
    <t>VARGAS ALZATE LINA FENANDA</t>
  </si>
  <si>
    <t>10/03/2025 15:38</t>
  </si>
  <si>
    <t>284-2025</t>
  </si>
  <si>
    <t>OLIVEROS BOHORQUEZ PRINCESA MARIA</t>
  </si>
  <si>
    <t>10/03/2025 15:39</t>
  </si>
  <si>
    <t>283-2025</t>
  </si>
  <si>
    <t>HOYOS OCAMPO JOHN ALEXANDER</t>
  </si>
  <si>
    <t>10/03/2025 15:43</t>
  </si>
  <si>
    <t>282-2025</t>
  </si>
  <si>
    <t>RUIZ GUTIERREZ JORGE IGNACIO</t>
  </si>
  <si>
    <t>11/03/2025 15:15</t>
  </si>
  <si>
    <t>319-2025</t>
  </si>
  <si>
    <t xml:space="preserve">PEREZ MUÑOZ YOANYS </t>
  </si>
  <si>
    <t>11/03/2025 15:20</t>
  </si>
  <si>
    <t>288-2025</t>
  </si>
  <si>
    <t xml:space="preserve">JIMENEZ PEREZ JUAN </t>
  </si>
  <si>
    <t>11/03/2025 16:48</t>
  </si>
  <si>
    <t>323-2025</t>
  </si>
  <si>
    <t>CUESTA RIOS HAROLD DAVID</t>
  </si>
  <si>
    <t>31/03/2025 22:17</t>
  </si>
  <si>
    <t>AD1-210-2025</t>
  </si>
  <si>
    <t xml:space="preserve">GUTIERREZ PUENTES DAVID </t>
  </si>
  <si>
    <t>20/02/2025 16:31</t>
  </si>
  <si>
    <t>099-2025</t>
  </si>
  <si>
    <t xml:space="preserve">PEREA  NASLI </t>
  </si>
  <si>
    <t>20/02/2025 16:38</t>
  </si>
  <si>
    <t>147-2025</t>
  </si>
  <si>
    <t>QUINTERO ROJAS WILBER OXFANDER</t>
  </si>
  <si>
    <t>20/02/2025 16:42</t>
  </si>
  <si>
    <t>109 - 2025</t>
  </si>
  <si>
    <t xml:space="preserve">RIVERA CASTRO DAVID </t>
  </si>
  <si>
    <t>20/02/2025 16:45</t>
  </si>
  <si>
    <t>149-2025</t>
  </si>
  <si>
    <t>DIAZ BEDOYA FABIAN ALBERTO</t>
  </si>
  <si>
    <t>21/02/2025 8:16</t>
  </si>
  <si>
    <t>195-2025</t>
  </si>
  <si>
    <t>MESA RIVERA JUAN FERNANDO</t>
  </si>
  <si>
    <t>21/02/2025 9:06</t>
  </si>
  <si>
    <t>072- 2025</t>
  </si>
  <si>
    <t>BARRIOS HERNANDEZ ANGEL HORACIO</t>
  </si>
  <si>
    <t>073-2025</t>
  </si>
  <si>
    <t>BONILLA SERNA JUAN FERNANDO</t>
  </si>
  <si>
    <t>074-2025</t>
  </si>
  <si>
    <t>ARENAS DIAZ MANUEL SEBASTIAN</t>
  </si>
  <si>
    <t>21/02/2025 9:25</t>
  </si>
  <si>
    <t>075-2025</t>
  </si>
  <si>
    <t>HINESTROZA PARRA YEISON ALEJANDRO</t>
  </si>
  <si>
    <t>216-2025</t>
  </si>
  <si>
    <t>CASTAÑO MURILLO MARGARITA ROSA</t>
  </si>
  <si>
    <t>21/02/2025 9:28</t>
  </si>
  <si>
    <t>212- 2025</t>
  </si>
  <si>
    <t>MENDOZA POLO BEIBIS ANTONIO</t>
  </si>
  <si>
    <t>076-2025</t>
  </si>
  <si>
    <t>LOPERA GIRALDO DIEGO ALEXANDER</t>
  </si>
  <si>
    <t>21/02/2025 9:31</t>
  </si>
  <si>
    <t>211-2025</t>
  </si>
  <si>
    <t xml:space="preserve">PARRA LEMOS ABELARDO </t>
  </si>
  <si>
    <t>077- 2025</t>
  </si>
  <si>
    <t>CUENCA MONTOYA LUIS MIGUEL</t>
  </si>
  <si>
    <t>21/02/2025 9:34</t>
  </si>
  <si>
    <t>078-2025_x000D_</t>
  </si>
  <si>
    <t xml:space="preserve">PINZON MUÑOZ RICARDO </t>
  </si>
  <si>
    <t>21/02/2025 9:36</t>
  </si>
  <si>
    <t>079-2025</t>
  </si>
  <si>
    <t>LOPERA RINCÓN ANA MARÍA</t>
  </si>
  <si>
    <t>21/02/2025 9:38</t>
  </si>
  <si>
    <t>080-2025</t>
  </si>
  <si>
    <t>MAZO GARCES DEISY VERONICA</t>
  </si>
  <si>
    <t>208-2025</t>
  </si>
  <si>
    <t>DUQUE ARANGO IVAN DE JESUS</t>
  </si>
  <si>
    <t>21/02/2025 9:39</t>
  </si>
  <si>
    <t>081-2025</t>
  </si>
  <si>
    <t>CASTAÑEDA TOBON JUAN DAVID</t>
  </si>
  <si>
    <t>21/02/2025 9:41</t>
  </si>
  <si>
    <t>082-2025</t>
  </si>
  <si>
    <t>OSPINA OROZCO MONICA VIVIANA</t>
  </si>
  <si>
    <t>206-2025</t>
  </si>
  <si>
    <t>ACOSTA DIAZ DYLON GILBERTO</t>
  </si>
  <si>
    <t>21/02/2025 9:43</t>
  </si>
  <si>
    <t>083-2025</t>
  </si>
  <si>
    <t>SANCHEZ POSADA DAVID ALONSO</t>
  </si>
  <si>
    <t>21/02/2025 9:46</t>
  </si>
  <si>
    <t>084-2025</t>
  </si>
  <si>
    <t>MEJIA TORRES DEIVY JOHAN</t>
  </si>
  <si>
    <t>21/02/2025 9:47</t>
  </si>
  <si>
    <t>202-2025</t>
  </si>
  <si>
    <t>GOMEZ GIRALDO JOSE FERNANDO</t>
  </si>
  <si>
    <t>21/02/2025 9:49</t>
  </si>
  <si>
    <t>085-2025</t>
  </si>
  <si>
    <t xml:space="preserve">DUQUE GOMEZ SEBASTIAN </t>
  </si>
  <si>
    <t>21/02/2025 9:50</t>
  </si>
  <si>
    <t>086- 2025</t>
  </si>
  <si>
    <t>MEDINA GOMEZ DIEGO ALEJANDRO</t>
  </si>
  <si>
    <t>201-2025</t>
  </si>
  <si>
    <t>CRESPO SALAZAR MARIA CAMILA</t>
  </si>
  <si>
    <t>21/02/2025 9:52</t>
  </si>
  <si>
    <t>087 - 2025</t>
  </si>
  <si>
    <t>FORERO RAMIREZ DORA ALEJANDRA</t>
  </si>
  <si>
    <t>21/02/2025 9:54</t>
  </si>
  <si>
    <t>088-2025</t>
  </si>
  <si>
    <t>MONTOYA URIBE JUAN CARLOS</t>
  </si>
  <si>
    <t>21/02/2025 9:55</t>
  </si>
  <si>
    <t>089-2025_x000D_</t>
  </si>
  <si>
    <t>RECALDE CAMPOS KATISH HIDARI</t>
  </si>
  <si>
    <t>21/02/2025 9:58</t>
  </si>
  <si>
    <t>090-2025</t>
  </si>
  <si>
    <t xml:space="preserve">FONSECA RAMIREZ LAISY </t>
  </si>
  <si>
    <t>21/02/2025 10:00</t>
  </si>
  <si>
    <t>091-2025</t>
  </si>
  <si>
    <t>GONZALEZ GARCIA LEONARDO FABIO</t>
  </si>
  <si>
    <t>21/02/2025 10:04</t>
  </si>
  <si>
    <t>092-2025_x000D_</t>
  </si>
  <si>
    <t>OSORIO ESTRADA HERNAN ALONSO</t>
  </si>
  <si>
    <t>21/02/2025 10:07</t>
  </si>
  <si>
    <t>093-2025</t>
  </si>
  <si>
    <t>VARELA  LUIS ALFONSO</t>
  </si>
  <si>
    <t>21/02/2025 10:11</t>
  </si>
  <si>
    <t>200-2025</t>
  </si>
  <si>
    <t xml:space="preserve">ALVAREZ TORRES CHARICK </t>
  </si>
  <si>
    <t>21/02/2025 10:15</t>
  </si>
  <si>
    <t>094-2025</t>
  </si>
  <si>
    <t xml:space="preserve">CORREA CANO YEFERSON </t>
  </si>
  <si>
    <t>21/02/2025 10:22</t>
  </si>
  <si>
    <t>095- 2025</t>
  </si>
  <si>
    <t>GARCIA CORDOBA CARLOS JOVANNY</t>
  </si>
  <si>
    <t>21/02/2025 10:27</t>
  </si>
  <si>
    <t>096 - 2025</t>
  </si>
  <si>
    <t xml:space="preserve">CHAVERRA CHANCY DANIEL </t>
  </si>
  <si>
    <t>21/02/2025 10:32</t>
  </si>
  <si>
    <t>097- 2025</t>
  </si>
  <si>
    <t>HOYOS CARMONA LIBARDO ANTONIO</t>
  </si>
  <si>
    <t>21/02/2025 10:34</t>
  </si>
  <si>
    <t>098 - 2025</t>
  </si>
  <si>
    <t>MOSQUERA MURILLO LUIS JHONLEY</t>
  </si>
  <si>
    <t>21/02/2025 10:50</t>
  </si>
  <si>
    <t>100-2025</t>
  </si>
  <si>
    <t xml:space="preserve">DIAZ QUEJADA RAUL </t>
  </si>
  <si>
    <t>21/02/2025 11:02</t>
  </si>
  <si>
    <t>102 - 2025_x000D_</t>
  </si>
  <si>
    <t>DIEZ GONZALEZ JUAN DIEGO</t>
  </si>
  <si>
    <t>21/02/2025 11:04</t>
  </si>
  <si>
    <t>103 - 2025</t>
  </si>
  <si>
    <t>ZULUAGA HERNANDEZ OSCAR ALONSO</t>
  </si>
  <si>
    <t>21/02/2025 11:08</t>
  </si>
  <si>
    <t>101 - 2025</t>
  </si>
  <si>
    <t xml:space="preserve">ARAGON MENA LEYSNER </t>
  </si>
  <si>
    <t>21/02/2025 11:09</t>
  </si>
  <si>
    <t>130-2025</t>
  </si>
  <si>
    <t>MONTOYA GOMEZ DIEGO ALBERTO</t>
  </si>
  <si>
    <t>21/02/2025 11:12</t>
  </si>
  <si>
    <t>131-2025</t>
  </si>
  <si>
    <t>ACEVEDO FLOREZ JUAN DAVID</t>
  </si>
  <si>
    <t>21/02/2025 11:22</t>
  </si>
  <si>
    <t>215-2025</t>
  </si>
  <si>
    <t>ZAPATA HERNANDEZ JUAN CAMILO</t>
  </si>
  <si>
    <t>21/02/2025 11:39</t>
  </si>
  <si>
    <t>111 - 2025</t>
  </si>
  <si>
    <t xml:space="preserve">GIL AVENDAÑO FELIPE </t>
  </si>
  <si>
    <t>21/02/2025 11:41</t>
  </si>
  <si>
    <t>112 - 2025</t>
  </si>
  <si>
    <t>JARAMILLO GOMEZ DAVID ORLANDO</t>
  </si>
  <si>
    <t>21/02/2025 11:43</t>
  </si>
  <si>
    <t>114 - 2025</t>
  </si>
  <si>
    <t>GIRALDO RAMIREZ JUAN SEBASTIAN</t>
  </si>
  <si>
    <t>21/02/2025 11:46</t>
  </si>
  <si>
    <t>115 - 2025</t>
  </si>
  <si>
    <t>POSADA GIRALDO DIEGO ANDRES</t>
  </si>
  <si>
    <t>21/02/2025 11:47</t>
  </si>
  <si>
    <t>116 - 2025</t>
  </si>
  <si>
    <t>VILLA SANCHEZ DANIEL ESTEBAN</t>
  </si>
  <si>
    <t>117 - 2025</t>
  </si>
  <si>
    <t xml:space="preserve">PARRA BEDOYA SEBASTIAN </t>
  </si>
  <si>
    <t>21/02/2025 11:50</t>
  </si>
  <si>
    <t>118 - 2025_x000D_</t>
  </si>
  <si>
    <t>GERMAN ALVAREZ IVAN HUMBERTO</t>
  </si>
  <si>
    <t>21/02/2025 11:51</t>
  </si>
  <si>
    <t>119 - 2025</t>
  </si>
  <si>
    <t>ARROYAVE RESTREPO RUBEN DARIO</t>
  </si>
  <si>
    <t>120 - 2025_x000D_</t>
  </si>
  <si>
    <t>HERNANDEZ LUNA PEDRO MANUEL</t>
  </si>
  <si>
    <t>21/02/2025 11:56</t>
  </si>
  <si>
    <t>121 - 2025</t>
  </si>
  <si>
    <t>OJEDA LEON JHONATAN ALBERTO</t>
  </si>
  <si>
    <t>21/02/2025 12:05</t>
  </si>
  <si>
    <t>122 - 2025</t>
  </si>
  <si>
    <t>OJEDA MEJIA CARLOS ALBERTO</t>
  </si>
  <si>
    <t>21/02/2025 13:09</t>
  </si>
  <si>
    <t>123- 2025_x000D_</t>
  </si>
  <si>
    <t xml:space="preserve">VEGA OSORIO ALEJANDRO </t>
  </si>
  <si>
    <t>21/02/2025 13:16</t>
  </si>
  <si>
    <t>135-2025</t>
  </si>
  <si>
    <t>MUÑOZ ECHEVERRI ALVARO DUBAN</t>
  </si>
  <si>
    <t>21/02/2025 13:19</t>
  </si>
  <si>
    <t>136-2025</t>
  </si>
  <si>
    <t xml:space="preserve">RUEDA VARGAS JUANA </t>
  </si>
  <si>
    <t>21/02/2025 13:45</t>
  </si>
  <si>
    <t>213-2025</t>
  </si>
  <si>
    <t>ARBOLEDA PEREZ MANUEL ENRIQUE</t>
  </si>
  <si>
    <t>21/02/2025 13:48</t>
  </si>
  <si>
    <t>210-2025</t>
  </si>
  <si>
    <t>21/02/2025 13:51</t>
  </si>
  <si>
    <t>209-2025</t>
  </si>
  <si>
    <t>SIERRA RAMÍREZ JONATHAN NICOLAS</t>
  </si>
  <si>
    <t>21/02/2025 13:53</t>
  </si>
  <si>
    <t>207-2025</t>
  </si>
  <si>
    <t>DUQUE ARANGO JOSE MIGUEL</t>
  </si>
  <si>
    <t>21/02/2025 13:55</t>
  </si>
  <si>
    <t>132-2025</t>
  </si>
  <si>
    <t>ALCARAZ CERON JOHN ALEXANDER</t>
  </si>
  <si>
    <t>21/02/2025 13:56</t>
  </si>
  <si>
    <t>205-2025</t>
  </si>
  <si>
    <t xml:space="preserve">HOYOS VICTORIA ENMANUEL </t>
  </si>
  <si>
    <t>21/02/2025 13:59</t>
  </si>
  <si>
    <t>137-2025</t>
  </si>
  <si>
    <t>BARON MUÑOZ FREDY JOSE</t>
  </si>
  <si>
    <t>21/02/2025 14:00</t>
  </si>
  <si>
    <t>204-2025</t>
  </si>
  <si>
    <t>MUÑOZ LONDOÑO LIZETH TATIANA</t>
  </si>
  <si>
    <t>21/02/2025 14:11</t>
  </si>
  <si>
    <t>203-2025</t>
  </si>
  <si>
    <t xml:space="preserve">URREGO MONTOYA MONICA </t>
  </si>
  <si>
    <t>21/02/2025 14:13</t>
  </si>
  <si>
    <t>138-2025</t>
  </si>
  <si>
    <t>PEREZ BEGAMBRE DARLYS PAOLA</t>
  </si>
  <si>
    <t>21/02/2025 14:14</t>
  </si>
  <si>
    <t>199-2025</t>
  </si>
  <si>
    <t>TAMAYO  JOSE JOANY</t>
  </si>
  <si>
    <t>21/02/2025 14:18</t>
  </si>
  <si>
    <t>198-2025</t>
  </si>
  <si>
    <t>SALDARRIAGA BUSTAMANTE DIANA CAROLINA</t>
  </si>
  <si>
    <t>21/02/2025 14:26</t>
  </si>
  <si>
    <t>196-2025</t>
  </si>
  <si>
    <t>DELGADO ALARCON CESAR ARNOLFO</t>
  </si>
  <si>
    <t>21/02/2025 14:30</t>
  </si>
  <si>
    <t>194-2025</t>
  </si>
  <si>
    <t>GOMEZ VANEGAS DIEGO FERNANDO</t>
  </si>
  <si>
    <t>139-2025</t>
  </si>
  <si>
    <t xml:space="preserve">CORREA BARON JADER </t>
  </si>
  <si>
    <t>21/02/2025 14:31</t>
  </si>
  <si>
    <t>150-2025</t>
  </si>
  <si>
    <t>SANCHEZ DIOSA DIONI ESTEBAN</t>
  </si>
  <si>
    <t>21/02/2025 14:33</t>
  </si>
  <si>
    <t>193-2025</t>
  </si>
  <si>
    <t>URAN SALAZAR DIANA MARCELA</t>
  </si>
  <si>
    <t>21/02/2025 14:36</t>
  </si>
  <si>
    <t>192-2025</t>
  </si>
  <si>
    <t>MUNERA PULGARIN SHARA STEFANIA</t>
  </si>
  <si>
    <t>151-2025</t>
  </si>
  <si>
    <t>MUÑOZ AGUDELO JUAN CARLOS</t>
  </si>
  <si>
    <t>21/02/2025 14:39</t>
  </si>
  <si>
    <t>191-2025</t>
  </si>
  <si>
    <t>PEREZ MARTINEZ JULIO YOANDY</t>
  </si>
  <si>
    <t>21/02/2025 14:40</t>
  </si>
  <si>
    <t>152-2024</t>
  </si>
  <si>
    <t>PEREZ MEDINA JUAN PABLO</t>
  </si>
  <si>
    <t>21/02/2025 14:42</t>
  </si>
  <si>
    <t>190-2025</t>
  </si>
  <si>
    <t xml:space="preserve">ACEVEDO JIMENEZ CAROLINA </t>
  </si>
  <si>
    <t>143-2025</t>
  </si>
  <si>
    <t>CORTINEZ BEDOYA MONICA MARIA</t>
  </si>
  <si>
    <t>21/02/2025 14:43</t>
  </si>
  <si>
    <t>153-2025</t>
  </si>
  <si>
    <t>HENAO ECHEVERRI MARIA PATRICIA</t>
  </si>
  <si>
    <t>21/02/2025 14:46</t>
  </si>
  <si>
    <t>144-2025</t>
  </si>
  <si>
    <t>ARENAS CASTAÑO CLAUDIA ANDREA</t>
  </si>
  <si>
    <t>21/02/2025 14:47</t>
  </si>
  <si>
    <t>188-2025</t>
  </si>
  <si>
    <t>SALAZAR SOLORZANO YESICA ALEJANDRA</t>
  </si>
  <si>
    <t>21/02/2025 14:50</t>
  </si>
  <si>
    <t>145-2025</t>
  </si>
  <si>
    <t>MOYA ARIAS NESTOR IVAN</t>
  </si>
  <si>
    <t>21/02/2025 14:53</t>
  </si>
  <si>
    <t>154-2025</t>
  </si>
  <si>
    <t>OSORIO SOSA WILLIAM ALONSO</t>
  </si>
  <si>
    <t>21/02/2025 14:54</t>
  </si>
  <si>
    <t>187-2025</t>
  </si>
  <si>
    <t>FARIAS  JORGE LUCIANO</t>
  </si>
  <si>
    <t>146-2025</t>
  </si>
  <si>
    <t>MACIAS GIL JHON ALEJANDRO</t>
  </si>
  <si>
    <t>21/02/2025 14:57</t>
  </si>
  <si>
    <t>186-2025</t>
  </si>
  <si>
    <t>LAVERDE RUEDA CESAR AUGUSTO</t>
  </si>
  <si>
    <t>148-2025</t>
  </si>
  <si>
    <t>SANCHEZ PATIÑO MARIA ISABEL</t>
  </si>
  <si>
    <t>155-2025</t>
  </si>
  <si>
    <t>MONCADA BETANCUR MANUEL ARTURO</t>
  </si>
  <si>
    <t>21/02/2025 14:59</t>
  </si>
  <si>
    <t>185-2025</t>
  </si>
  <si>
    <t xml:space="preserve">OTALVARO VAHOS MATEO </t>
  </si>
  <si>
    <t>21/02/2025 15:02</t>
  </si>
  <si>
    <t>184-2025</t>
  </si>
  <si>
    <t>ZULUAGA COGOLLO DIEGO ARMANDO</t>
  </si>
  <si>
    <t>21/02/2025 15:03</t>
  </si>
  <si>
    <t>156-2025</t>
  </si>
  <si>
    <t>CORTES AGUDELO JUAN DAVID</t>
  </si>
  <si>
    <t>21/02/2025 15:05</t>
  </si>
  <si>
    <t>183-2025</t>
  </si>
  <si>
    <t>VELEZ LOPEZ LEOCADIO DE JESUS</t>
  </si>
  <si>
    <t>21/02/2025 15:06</t>
  </si>
  <si>
    <t>159-2025</t>
  </si>
  <si>
    <t>OROZCO SANCHEZ CARLOS ALBERTO</t>
  </si>
  <si>
    <t>21/02/2025 15:08</t>
  </si>
  <si>
    <t>160-2025</t>
  </si>
  <si>
    <t>URREGO CARTAGENA OSCAR ALIRIO</t>
  </si>
  <si>
    <t>21/02/2025 15:10</t>
  </si>
  <si>
    <t>182-2025</t>
  </si>
  <si>
    <t>LAVERDE JIMENEZ LUIS FELIPE</t>
  </si>
  <si>
    <t>21/02/2025 15:12</t>
  </si>
  <si>
    <t>157-2025</t>
  </si>
  <si>
    <t xml:space="preserve">GIRALDO VILLA MAURICIO </t>
  </si>
  <si>
    <t>181-2025</t>
  </si>
  <si>
    <t>JARAMILLO CEBALLOS JORGE WILSON</t>
  </si>
  <si>
    <t>21/02/2025 15:14</t>
  </si>
  <si>
    <t>161-2025</t>
  </si>
  <si>
    <t xml:space="preserve">VELASQUEZ ALZATE EMMANUEL </t>
  </si>
  <si>
    <t>21/02/2025 15:15</t>
  </si>
  <si>
    <t>180-2025</t>
  </si>
  <si>
    <t>PEREZ MUÑOZ HECTOR HERNANDO</t>
  </si>
  <si>
    <t>21/02/2025 15:16</t>
  </si>
  <si>
    <t>162-2025</t>
  </si>
  <si>
    <t xml:space="preserve">GIL RENDON URIEL </t>
  </si>
  <si>
    <t>158-2025</t>
  </si>
  <si>
    <t>JARAMILLO CEBALLOS YEFREY ALEXANDER</t>
  </si>
  <si>
    <t>21/02/2025 15:17</t>
  </si>
  <si>
    <t>179-2025</t>
  </si>
  <si>
    <t>ACEVEDO ARANGO CESAR AUGUSTO</t>
  </si>
  <si>
    <t>21/02/2025 15:21</t>
  </si>
  <si>
    <t>163-2025</t>
  </si>
  <si>
    <t>RIVAS MORENO ANYELA MARCELA</t>
  </si>
  <si>
    <t>178-2025</t>
  </si>
  <si>
    <t>LAVERDE SEGURO BENJAMIN DE JESUS</t>
  </si>
  <si>
    <t>21/02/2025 15:22</t>
  </si>
  <si>
    <t>168-2025</t>
  </si>
  <si>
    <t>SANCHEZ PUERTA DAVID SANTIAGO</t>
  </si>
  <si>
    <t>21/02/2025 15:24</t>
  </si>
  <si>
    <t>176-2025</t>
  </si>
  <si>
    <t>SANTAMARIA OSUNA LUIS CARLOS</t>
  </si>
  <si>
    <t>21/02/2025 15:26</t>
  </si>
  <si>
    <t>175-2025</t>
  </si>
  <si>
    <t>HINCAPIE HERNANDEZ CAMILO ARTURO</t>
  </si>
  <si>
    <t>21/02/2025 15:30</t>
  </si>
  <si>
    <t>164-2025</t>
  </si>
  <si>
    <t>AGUIRRE ESTRADA LUIS ESTEBAN</t>
  </si>
  <si>
    <t>21/02/2025 15:33</t>
  </si>
  <si>
    <t>174 - 2025</t>
  </si>
  <si>
    <t>CABANZO ACOSTA JOSE MILLER</t>
  </si>
  <si>
    <t>21/02/2025 15:34</t>
  </si>
  <si>
    <t>165-2025</t>
  </si>
  <si>
    <t>MENDEZ PARDO JUAN FRANCISCO</t>
  </si>
  <si>
    <t>21/02/2025 15:35</t>
  </si>
  <si>
    <t>166-2025</t>
  </si>
  <si>
    <t xml:space="preserve">MONTOYA ARTEAGA SANTIAGO </t>
  </si>
  <si>
    <t>21/02/2025 15:36</t>
  </si>
  <si>
    <t>197-2025</t>
  </si>
  <si>
    <t>ARIAS MENDEZ JOSE NEBER</t>
  </si>
  <si>
    <t>21/02/2025 15:37</t>
  </si>
  <si>
    <t>167-2025</t>
  </si>
  <si>
    <t>TORRES TORRES DIEGO ALEJANDRO</t>
  </si>
  <si>
    <t>21/02/2025 15:38</t>
  </si>
  <si>
    <t>189-2025</t>
  </si>
  <si>
    <t>GIL ARISTIZABAL ZULAY TATIANA</t>
  </si>
  <si>
    <t>173 - 2025</t>
  </si>
  <si>
    <t>CONTRERAS NAVARRO DANIEL JOSE</t>
  </si>
  <si>
    <t>21/02/2025 16:17</t>
  </si>
  <si>
    <t>126 - 2025</t>
  </si>
  <si>
    <t xml:space="preserve">ARENAS VANEGAS DAVID </t>
  </si>
  <si>
    <t>21/02/2025 16:21</t>
  </si>
  <si>
    <t>177-2025</t>
  </si>
  <si>
    <t>ROBLEDO PEÑA JUAN PABLO</t>
  </si>
  <si>
    <t>21/02/2025 16:28</t>
  </si>
  <si>
    <t>113-2025</t>
  </si>
  <si>
    <t>BLANDON BOHORQUEZ JORGE WILLIAM</t>
  </si>
  <si>
    <t>21/02/2025 16:33</t>
  </si>
  <si>
    <t>125 - 2025</t>
  </si>
  <si>
    <t xml:space="preserve">JORDAN SALGADO EDILBERTO </t>
  </si>
  <si>
    <t>21/02/2025 17:09</t>
  </si>
  <si>
    <t>105 - 2025_x000D_</t>
  </si>
  <si>
    <t>MENESES QUINTERO EDWIN JOVANNY</t>
  </si>
  <si>
    <t>21/02/2025 17:15</t>
  </si>
  <si>
    <t>106 - 2025</t>
  </si>
  <si>
    <t xml:space="preserve">SERNA MORENO ESTEBAN </t>
  </si>
  <si>
    <t>21/02/2025 17:24</t>
  </si>
  <si>
    <t>134-2025</t>
  </si>
  <si>
    <t>VERGARA CASTAÑO JOHANY ALEJANDRO</t>
  </si>
  <si>
    <t>21/02/2025 17:30</t>
  </si>
  <si>
    <t>133-2025</t>
  </si>
  <si>
    <t xml:space="preserve">GONZALEZ TAMAYO SEBASTIAN </t>
  </si>
  <si>
    <t>21/02/2025 17:36</t>
  </si>
  <si>
    <t>141-2025</t>
  </si>
  <si>
    <t>GALLO GIRALDO DIANA MARCELA</t>
  </si>
  <si>
    <t>21/02/2025 17:40</t>
  </si>
  <si>
    <t>128 - 2025</t>
  </si>
  <si>
    <t>GARCIA ARBELAEZ WILSON ALEXANDER</t>
  </si>
  <si>
    <t>21/02/2025 17:43</t>
  </si>
  <si>
    <t>107 - 2025</t>
  </si>
  <si>
    <t>LOPEZ CUERVO JUAN MANUEL</t>
  </si>
  <si>
    <t>21/02/2025 17:50</t>
  </si>
  <si>
    <t>104-2025</t>
  </si>
  <si>
    <t>SOTO JARAMILLO JUAN CAMILO</t>
  </si>
  <si>
    <t>21/02/2025 18:08</t>
  </si>
  <si>
    <t>129 - 2025_x000D_</t>
  </si>
  <si>
    <t>VALDERRAMA QUICENO ESTEBAN ALBERTO</t>
  </si>
  <si>
    <t>21/02/2025 18:18</t>
  </si>
  <si>
    <t>127 - 2025</t>
  </si>
  <si>
    <t>PANESSO RIVERA HENRY JHONHADER</t>
  </si>
  <si>
    <t>21/02/2025 18:22</t>
  </si>
  <si>
    <t>172 - 2025</t>
  </si>
  <si>
    <t>VALENCIA CALDERON ALEJANDRO ESTEBAN</t>
  </si>
  <si>
    <t>21/02/2025 18:33</t>
  </si>
  <si>
    <t>169-2025</t>
  </si>
  <si>
    <t>CUERVO PUERTA DIEGO ALEJANDRO</t>
  </si>
  <si>
    <t>21/02/2025 18:38</t>
  </si>
  <si>
    <t>170-2025</t>
  </si>
  <si>
    <t xml:space="preserve">RIOS SARMIENTO GIOVANNY </t>
  </si>
  <si>
    <t>21/02/2025 18:41</t>
  </si>
  <si>
    <t>124 - 2025</t>
  </si>
  <si>
    <t>ARRIETA ARTEAGA ANGEL AUGUSTO</t>
  </si>
  <si>
    <t>21/02/2025 18:48</t>
  </si>
  <si>
    <t>110 - 2025</t>
  </si>
  <si>
    <t>GIL DIAZ JAIR MANUEL</t>
  </si>
  <si>
    <t>21/02/2025 18:51</t>
  </si>
  <si>
    <t>142-2025</t>
  </si>
  <si>
    <t>PLATA BUSTAMANTE CARLOS ENRIQUE</t>
  </si>
  <si>
    <t>21/02/2025 18:55</t>
  </si>
  <si>
    <t>171 - 2025_x000D_</t>
  </si>
  <si>
    <t>ARANGO PANIAGUA JOHN FREDY</t>
  </si>
  <si>
    <t>21/02/2025 18:59</t>
  </si>
  <si>
    <t>108 - 2025</t>
  </si>
  <si>
    <t>CARDONA GONZALEZ EDISON UREY</t>
  </si>
  <si>
    <t>21/02/2025 19:04</t>
  </si>
  <si>
    <t>140-2025</t>
  </si>
  <si>
    <t>PINTO VILORIA WALTER GABRIEL</t>
  </si>
  <si>
    <t>7/03/2025 12:01</t>
  </si>
  <si>
    <t>299-2025</t>
  </si>
  <si>
    <t>AGUDELO ZEA JUAN ESTEBAN</t>
  </si>
  <si>
    <t>7/03/2025 13:17</t>
  </si>
  <si>
    <t>300-2025</t>
  </si>
  <si>
    <t>ARBELAEZ AGUILAR JORGE MARIO</t>
  </si>
  <si>
    <t>7/03/2025 13:20</t>
  </si>
  <si>
    <t>298-2025</t>
  </si>
  <si>
    <t>GARCES CARVAJALINO LUIS ALBERTO</t>
  </si>
  <si>
    <t>7/03/2025 13:23</t>
  </si>
  <si>
    <t>291-2025</t>
  </si>
  <si>
    <t>ARAQUE MEJIA JOHANA MARCELA</t>
  </si>
  <si>
    <t>7/03/2025 13:26</t>
  </si>
  <si>
    <t>293-2025</t>
  </si>
  <si>
    <t>GOMEZ GARZON JHON FREDDY</t>
  </si>
  <si>
    <t>7/03/2025 13:34</t>
  </si>
  <si>
    <t>294-2025</t>
  </si>
  <si>
    <t xml:space="preserve">GARCIA PANTOJA ROBERTO </t>
  </si>
  <si>
    <t>10/03/2025 11:55</t>
  </si>
  <si>
    <t>309 - 2025</t>
  </si>
  <si>
    <t>COSSIO ZAPATA JAIRO ANIBAL</t>
  </si>
  <si>
    <t>10/03/2025 11:59</t>
  </si>
  <si>
    <t>308 - 2025</t>
  </si>
  <si>
    <t>PALENCIA CORREA JORGE LEONARDO</t>
  </si>
  <si>
    <t>10/03/2025 14:00</t>
  </si>
  <si>
    <t>322-2025</t>
  </si>
  <si>
    <t>CARDENAS ZAPATA JUAN CAMILO</t>
  </si>
  <si>
    <t>10/03/2025 14:06</t>
  </si>
  <si>
    <t>310-2025</t>
  </si>
  <si>
    <t>RUIZ MORELOS JUAN FRANCISCO</t>
  </si>
  <si>
    <t>10/03/2025 14:18</t>
  </si>
  <si>
    <t>311-2025</t>
  </si>
  <si>
    <t>PICON VALENCIA MONICA MARIA</t>
  </si>
  <si>
    <t>10/03/2025 14:21</t>
  </si>
  <si>
    <t>312-2025</t>
  </si>
  <si>
    <t xml:space="preserve">MENA MARTINEZ GABRIEL </t>
  </si>
  <si>
    <t>10/03/2025 14:43</t>
  </si>
  <si>
    <t>313-2025</t>
  </si>
  <si>
    <t>GONZALEZ JIMENEZ JOHN JAIME</t>
  </si>
  <si>
    <t>10/03/2025 14:57</t>
  </si>
  <si>
    <t>314-2025</t>
  </si>
  <si>
    <t>PEMBERTY MAZO MARTHA CECILIA</t>
  </si>
  <si>
    <t>10/03/2025 15:00</t>
  </si>
  <si>
    <t>315-2025</t>
  </si>
  <si>
    <t>SALDARRIAGA ZAPATA JOSE JULIAN</t>
  </si>
  <si>
    <t>10/03/2025 15:16</t>
  </si>
  <si>
    <t>318-2025</t>
  </si>
  <si>
    <t xml:space="preserve">HERNANDEZ URANGO SERGIO </t>
  </si>
  <si>
    <t>10/03/2025 15:18</t>
  </si>
  <si>
    <t>304 - 2025</t>
  </si>
  <si>
    <t xml:space="preserve">QUINTO RUIZ SEBASTIAN </t>
  </si>
  <si>
    <t>10/03/2025 15:22</t>
  </si>
  <si>
    <t>320-2025</t>
  </si>
  <si>
    <t>VARGAS ZAPATA YEISON DARIO</t>
  </si>
  <si>
    <t>10/03/2025 15:24</t>
  </si>
  <si>
    <t>303 - 2025_x000D_</t>
  </si>
  <si>
    <t>GIRALDO ARISTIZABAL SERGIO ANDRES</t>
  </si>
  <si>
    <t>289-2025</t>
  </si>
  <si>
    <t>GIRALDO ALVAREZ JUAN CAMILO</t>
  </si>
  <si>
    <t>10/03/2025 15:27</t>
  </si>
  <si>
    <t>321-2025</t>
  </si>
  <si>
    <t xml:space="preserve">ZAPATA HERNANDEZ SARA </t>
  </si>
  <si>
    <t>10/03/2025 15:28</t>
  </si>
  <si>
    <t>302 - 2025</t>
  </si>
  <si>
    <t>BARCO CARDONA JUAN CARLOS</t>
  </si>
  <si>
    <t>10/03/2025 15:30</t>
  </si>
  <si>
    <t>287-2025</t>
  </si>
  <si>
    <t xml:space="preserve">PALACIOS RIVAS NORALDO </t>
  </si>
  <si>
    <t>10/03/2025 15:32</t>
  </si>
  <si>
    <t>301 - 2025</t>
  </si>
  <si>
    <t>MACIAS  MIGUEL MAURICIO</t>
  </si>
  <si>
    <t>10/03/2025 15:34</t>
  </si>
  <si>
    <t>286-2025</t>
  </si>
  <si>
    <t>OREJUELA MOSQUERA MANUEL ARTURO</t>
  </si>
  <si>
    <t>10/03/2025 15:36</t>
  </si>
  <si>
    <t>295 - 2025</t>
  </si>
  <si>
    <t>JIMENEZ HINCAPIE LUIS FELIPE</t>
  </si>
  <si>
    <t>10/03/2025 15:41</t>
  </si>
  <si>
    <t>292 - 2025</t>
  </si>
  <si>
    <t>RESTREPO ESTRADA JAIME ALONSO</t>
  </si>
  <si>
    <t>10/03/2025 15:46</t>
  </si>
  <si>
    <t>280-2025</t>
  </si>
  <si>
    <t>LOPERA MORALES LUIS FERNANDO</t>
  </si>
  <si>
    <t>10/03/2025 16:50</t>
  </si>
  <si>
    <t>278-2025</t>
  </si>
  <si>
    <t xml:space="preserve">RAMÍREZ MORALES CRISTINA </t>
  </si>
  <si>
    <t>11/03/2025 15:18</t>
  </si>
  <si>
    <t>290-2025</t>
  </si>
  <si>
    <t>PEÑA JIMENEZ JUAN DAVID</t>
  </si>
  <si>
    <t>11/03/2025 15:22</t>
  </si>
  <si>
    <t>281-2025</t>
  </si>
  <si>
    <t>ZAPATA ALVAREZ MIGUEL ANDRES</t>
  </si>
  <si>
    <t>11/03/2025 15:25</t>
  </si>
  <si>
    <t>279-2025</t>
  </si>
  <si>
    <t>PABON PORRAS RAUL EDGARDO</t>
  </si>
  <si>
    <t>11/03/2025 16:44</t>
  </si>
  <si>
    <t>285-2025</t>
  </si>
  <si>
    <t xml:space="preserve">SALCEDO GOMEZ ANGEL </t>
  </si>
  <si>
    <t>APOYO SOCIAL ECONOMICO A ATLETAS Y PARA ATLETAS BENEFICIARIOS DEL PROGRAMA APOYO TECNICO, CIENTIFICO Y SOCIAL ANTIOQUIA FIRME POR EL DEPORTE  Resolucion 2025000197 del 12 de Marzo del 2025</t>
  </si>
  <si>
    <t>HIDROBO ESCALONA RUBEN ANDRES</t>
  </si>
  <si>
    <t>RAMIREZ LARES MARIAN ARLENES</t>
  </si>
  <si>
    <t>FAJARDO ANTEQUERA KEVIN JOSUE</t>
  </si>
  <si>
    <t xml:space="preserve">MARTINEZ NAVAS JOSUE LEONARDO </t>
  </si>
  <si>
    <t>PINEDA ZULETA DIANA ISABEL</t>
  </si>
  <si>
    <t>ROLDAN ORTIZ WEIMAR ALFONSO</t>
  </si>
  <si>
    <t>SALDARRIAGA PEREZ FABER ALONSO</t>
  </si>
  <si>
    <t>SALAZAR HOYOS LUIS ENRIQUE</t>
  </si>
  <si>
    <t xml:space="preserve">MUÑOZ PEREZ SEBASTIAN </t>
  </si>
  <si>
    <t>VILLA BUILES JOSE DAVID</t>
  </si>
  <si>
    <t xml:space="preserve">BARCENAS MENESES ANDREA </t>
  </si>
  <si>
    <t xml:space="preserve">ATEHORTUA MENESES DANIELA </t>
  </si>
  <si>
    <t xml:space="preserve">MUÑOZ VANEGAS VALENTINA </t>
  </si>
  <si>
    <t xml:space="preserve">ZAPATA CORREA DANIELA </t>
  </si>
  <si>
    <t>HERNANDEZ YOTAGRI LEDIS OMEIRA</t>
  </si>
  <si>
    <t xml:space="preserve">RESTREPO GARCIA DANIEL </t>
  </si>
  <si>
    <t>GOMEZ GOMEZ MARIA ISABEL</t>
  </si>
  <si>
    <t>RODRIGUEZ UPEGUI MARIA CAMILA</t>
  </si>
  <si>
    <t>RUIZ MESA FERNEY ANDRES</t>
  </si>
  <si>
    <t>ZAPATA RAMIREZ MANUEL ANDRES</t>
  </si>
  <si>
    <t xml:space="preserve">CARDONA PINEDA JERONIMO </t>
  </si>
  <si>
    <t xml:space="preserve">ROA BERNAL ESTEFANIA </t>
  </si>
  <si>
    <t>GALEANO BETANCURT LUISA FERNANDA</t>
  </si>
  <si>
    <t xml:space="preserve">PALAU LOPERA SOFÍA </t>
  </si>
  <si>
    <t>MOLINA ZULUAGA KAREN MAILY</t>
  </si>
  <si>
    <t>BRIJALDO SANABRIA MATEO NICOLAS</t>
  </si>
  <si>
    <t>HERNANDEZ PIRACOCA ANGELA MARIA</t>
  </si>
  <si>
    <t>RODRIGUEZ CORTES YEINER ANTONIO</t>
  </si>
  <si>
    <t>BARBOSA AMAYA ERICK DANIEL</t>
  </si>
  <si>
    <t>PAJOY TORRES NAYERLY YULIETH</t>
  </si>
  <si>
    <t xml:space="preserve">TORRES GORDILLO ISABELLA </t>
  </si>
  <si>
    <t>VIVEROS SANCHEZ HECTOR ANDRES</t>
  </si>
  <si>
    <t>ROSADO VALENCIA VICTOR JOSE</t>
  </si>
  <si>
    <t>MUÑOZ CARMONA ANDERSON ANDRES</t>
  </si>
  <si>
    <t>RUIZ MUÑOZ DAVID FRANCISCO</t>
  </si>
  <si>
    <t xml:space="preserve">PINO MENDEZ AVIGAIL </t>
  </si>
  <si>
    <t xml:space="preserve">MOSQUERA QUICENO YARLI </t>
  </si>
  <si>
    <t>RAMOS CORREA BRAYAN DAVID</t>
  </si>
  <si>
    <t xml:space="preserve">USUGA CORREA CONCEPCION </t>
  </si>
  <si>
    <t>AGUDELO MARIN MARIA ALEJANDRA</t>
  </si>
  <si>
    <t xml:space="preserve">AGUDELO JIMENEZ SEBASTIAN </t>
  </si>
  <si>
    <t xml:space="preserve">GOMEZ SANCHEZ TOMAS </t>
  </si>
  <si>
    <t xml:space="preserve">MORA ARANGO MIGUEL </t>
  </si>
  <si>
    <t>VARGAS VARGAS MARIA JULIANA</t>
  </si>
  <si>
    <t xml:space="preserve">SOTO VASQUEZ MATEO </t>
  </si>
  <si>
    <t xml:space="preserve">CATAÑO MEJIA MELISSA </t>
  </si>
  <si>
    <t>SANTANA ALFONSO MARIA ALEJANDRA</t>
  </si>
  <si>
    <t>LOZANO MOSQUERA ANDRES DAVID</t>
  </si>
  <si>
    <t>RODAS SANCHEZ VALERYN DAHIANNA</t>
  </si>
  <si>
    <t xml:space="preserve">BERRIO MORELO SORAIDA </t>
  </si>
  <si>
    <t xml:space="preserve">OSORIO ORTIZ TOMAS </t>
  </si>
  <si>
    <t xml:space="preserve">BUSTAMANTE ALVAREZ EMANUEL </t>
  </si>
  <si>
    <t xml:space="preserve">ANAYA BARRETO JACOBO </t>
  </si>
  <si>
    <t xml:space="preserve">ARANGO PEREZ MIGUEL </t>
  </si>
  <si>
    <t>OREJUELA MORALES LEIDY DANIELA</t>
  </si>
  <si>
    <t>CASTRO PEÑA DHANNA ANTONELLA</t>
  </si>
  <si>
    <t>MONCADA PULGARIN JUAN JOSE</t>
  </si>
  <si>
    <t>LOPERA ZULUAGA DANIEL ALEJANDRO</t>
  </si>
  <si>
    <t xml:space="preserve">CASTAÑO TOBON MANUEL </t>
  </si>
  <si>
    <t xml:space="preserve">GOMEZ PINZON MARIANA </t>
  </si>
  <si>
    <t>HERRERA TORO KEVIN ALFONSO</t>
  </si>
  <si>
    <t>MURILLO MINOTA RUBEN DARIO</t>
  </si>
  <si>
    <t>RESTREPO VERA JUAN ESTEBAN</t>
  </si>
  <si>
    <t>SANCHEZ VERGARA BRAYAN STIVEN</t>
  </si>
  <si>
    <t xml:space="preserve">BARRERO FLOREZ CRISTIAN </t>
  </si>
  <si>
    <t>REALES ARRIETA ESNAIDER REY</t>
  </si>
  <si>
    <t>HERNANDEZ ECHAVARRIA JUAN PABLO</t>
  </si>
  <si>
    <t>OSPINA PEREZ ANA SOFIA</t>
  </si>
  <si>
    <t>MONROY BETANCUR YULIANA YOVANA</t>
  </si>
  <si>
    <t xml:space="preserve">RUIZ ARCILA JERONIMO </t>
  </si>
  <si>
    <t>GARCIA MENDEZ JOSE DAVID</t>
  </si>
  <si>
    <t xml:space="preserve">ARROYAVE CALDERON SARA </t>
  </si>
  <si>
    <t xml:space="preserve">MONTOYA MAYA SAMUEL </t>
  </si>
  <si>
    <t xml:space="preserve">OCHOA VELASQUEZ ANTONIO </t>
  </si>
  <si>
    <t>TORO MARULANDA MARIA CLARA</t>
  </si>
  <si>
    <t>GIL GIRALDO LINA MARIA</t>
  </si>
  <si>
    <t xml:space="preserve">MARTINEZ GIRALDO DAVID </t>
  </si>
  <si>
    <t>CARRILLO CARMONA MELISA ANDREA</t>
  </si>
  <si>
    <t xml:space="preserve">OSSA VANEGAS SEBASTIAN </t>
  </si>
  <si>
    <t>CABALLERO MARTINEZ JUAN DAVID</t>
  </si>
  <si>
    <t xml:space="preserve">GUTIERREZ ATEHORTUA ISABELLA </t>
  </si>
  <si>
    <t xml:space="preserve">VELEZ PEREZ MELISSA </t>
  </si>
  <si>
    <t xml:space="preserve">TRUJILLO GONZALEZ XIOMARA </t>
  </si>
  <si>
    <t xml:space="preserve">RUIZ RUIZ GABRIELA </t>
  </si>
  <si>
    <t>COSSIO BECERRA JOSE EDINSON</t>
  </si>
  <si>
    <t xml:space="preserve">TAMAYO MENESES TOMAS </t>
  </si>
  <si>
    <t xml:space="preserve">VELEZ NARANJO SEBASTIAN </t>
  </si>
  <si>
    <t>ARBOLEDA GOMEZ JUAN JOSE</t>
  </si>
  <si>
    <t xml:space="preserve">UPEGUI DUQUE MICHELLE </t>
  </si>
  <si>
    <t xml:space="preserve">UPEGUI DUQUE SALOME </t>
  </si>
  <si>
    <t xml:space="preserve">MONTOYA CARDONA MATIAS </t>
  </si>
  <si>
    <t xml:space="preserve">GONZALEZ GONZALEZ MATIAS </t>
  </si>
  <si>
    <t xml:space="preserve">MONCADA CASTRO TOMAS </t>
  </si>
  <si>
    <t>HUERTAS FERNANDEZ JUAN MANUEL</t>
  </si>
  <si>
    <t>RUEDA UREÑA PETER ALONSO</t>
  </si>
  <si>
    <t xml:space="preserve">RIOS ZAPATA SIMON </t>
  </si>
  <si>
    <t>HOLGUIN CARO LUDWIN VAN JACOB</t>
  </si>
  <si>
    <t>LOPEZ CASTRO MANUEL ANTONIO</t>
  </si>
  <si>
    <t xml:space="preserve">LONDOÑO CASTRILLON HELENA </t>
  </si>
  <si>
    <t xml:space="preserve">ROJAS ALVAREZ CAROLINA </t>
  </si>
  <si>
    <t xml:space="preserve">ORTIZ RINCON ALEXANDER </t>
  </si>
  <si>
    <t xml:space="preserve">JARAMILLO ACEVEDO ANGELO </t>
  </si>
  <si>
    <t xml:space="preserve">MARTINEZ MEDINA EMANUEL </t>
  </si>
  <si>
    <t xml:space="preserve">BOTERO ECHEVERRI MATEO </t>
  </si>
  <si>
    <t>ARREDONDO MONTOYA JUAN FERNANDO</t>
  </si>
  <si>
    <t>TABORDA ARROYAVE ANA SOFIA</t>
  </si>
  <si>
    <t>SERNA RIVERA ANA SOFIA</t>
  </si>
  <si>
    <t xml:space="preserve">BARBARAN SUAZA ISABELA </t>
  </si>
  <si>
    <t xml:space="preserve">GIRALDO SANCHEZ ELISABET </t>
  </si>
  <si>
    <t>GONZALEZ JARAMILLO MARIA CELESTE</t>
  </si>
  <si>
    <t xml:space="preserve">ALVAREZ TRUJILLO DAVID </t>
  </si>
  <si>
    <t xml:space="preserve">MOSQUERA MOSQUERA JAIDER </t>
  </si>
  <si>
    <t xml:space="preserve">TIBAVIJA JIMENEZ ANA ISABEL </t>
  </si>
  <si>
    <t xml:space="preserve">ARANGO GIRALDO SAMUEL </t>
  </si>
  <si>
    <t>GOMEZ BETANCUR ANA MARIA</t>
  </si>
  <si>
    <t>CRUZ JARAMILLO IVANNA ISABELA</t>
  </si>
  <si>
    <t xml:space="preserve">GRISALES PIEDRAHITA SAMUEL </t>
  </si>
  <si>
    <t xml:space="preserve">TORO ARANGO LAURA </t>
  </si>
  <si>
    <t>JIMENEZ ACEVEDO MARIA SALOME</t>
  </si>
  <si>
    <t>CRUZ JARAMILLO ANNI SOFIA</t>
  </si>
  <si>
    <t xml:space="preserve">PEREZ TANGARIFE SIMON </t>
  </si>
  <si>
    <t>GARCES PEREZ JUAN ESTEBAN</t>
  </si>
  <si>
    <t>FLOREZ GARCIA JUANA VALENTINA</t>
  </si>
  <si>
    <t>VELASQUEZ RIOS WENDY LIZBETH</t>
  </si>
  <si>
    <t xml:space="preserve">RIOS ARIAS DAVID </t>
  </si>
  <si>
    <t xml:space="preserve">CALLE BEDOYA EMILIANO </t>
  </si>
  <si>
    <t xml:space="preserve">SALAZAR MUÑETON JEANCOOL </t>
  </si>
  <si>
    <t xml:space="preserve">MARTINEZ SIERRA SAMUEL </t>
  </si>
  <si>
    <t xml:space="preserve">GONZALEZ ALVAREZ ESTEBAN </t>
  </si>
  <si>
    <t xml:space="preserve">PINEDA QUIROZ SOFIA </t>
  </si>
  <si>
    <t>CARDONA ALVAREZ MICHELLE DAYANA</t>
  </si>
  <si>
    <t>ESCOBAR MONTOYA MARIA JOSE</t>
  </si>
  <si>
    <t>BOTERO MANZANO LUISA FERNANDA</t>
  </si>
  <si>
    <t xml:space="preserve">CORREA GAVIRIA SEBASTIAN </t>
  </si>
  <si>
    <t>DIAZ GONZALEZ ANA SOFIA</t>
  </si>
  <si>
    <t xml:space="preserve">CORDOBA VALENCIA JULIAN </t>
  </si>
  <si>
    <t xml:space="preserve">BALLON CANO ANGELICA </t>
  </si>
  <si>
    <t>CUESTA LOZANO ANGEL DANIEL</t>
  </si>
  <si>
    <t>MARTINEZ ROBLEDO JHON MARIO</t>
  </si>
  <si>
    <t>BLANDON PEÑA LUIS ALFONSO</t>
  </si>
  <si>
    <t>LEUDO RAMIREZ ANGEL DAVID</t>
  </si>
  <si>
    <t>PEREA MORELO BRAJHAN SMITH</t>
  </si>
  <si>
    <t>IBAGUEN HERRERA ARLEYSHON DAVID</t>
  </si>
  <si>
    <t>PALACIOS RODRIGUEZ BRAYAN ESTIVEN</t>
  </si>
  <si>
    <t>MENA MOSQUERA MARIA FERNANDA</t>
  </si>
  <si>
    <t>MORENO CABRIA KEVIN ANDRES</t>
  </si>
  <si>
    <t>NISPERUZA IBARGUEN JHOISY JOHANA</t>
  </si>
  <si>
    <t>BARRIOS MENA HECTOR DAVID</t>
  </si>
  <si>
    <t>GONZALEZ DOMINGUEZ YEISON ENRIQUE</t>
  </si>
  <si>
    <t>AVILA SEGURA CEIBER DAVID</t>
  </si>
  <si>
    <t>RENTERIA PALACIOS HELEN DAYANA</t>
  </si>
  <si>
    <t>GALVIS GOMEZ EDWIN STIVEN</t>
  </si>
  <si>
    <t xml:space="preserve">TOBON MORALES TATIANA </t>
  </si>
  <si>
    <t>PEREZ VARGAS JINETH CAROLINA</t>
  </si>
  <si>
    <t xml:space="preserve">HERNANDEZ CANO ISABEL </t>
  </si>
  <si>
    <t xml:space="preserve">OSPINA LAYO ISABELLA </t>
  </si>
  <si>
    <t>CUESTA  SARA MANUELA</t>
  </si>
  <si>
    <t xml:space="preserve">RAMIREZ LOPERA THIAGO </t>
  </si>
  <si>
    <t xml:space="preserve">PINO BALBIN JERONIMO </t>
  </si>
  <si>
    <t>MELGUIZO MORA ANDRES FELIPE</t>
  </si>
  <si>
    <t xml:space="preserve">LOPEZ GONZALEZ MARTIN </t>
  </si>
  <si>
    <t xml:space="preserve">MONTAÑO MORENO EMILY </t>
  </si>
  <si>
    <t>SANCHEZ DIAZ JHON ALEXANDER</t>
  </si>
  <si>
    <t>URRUTIA BLANDON YOSTIN SAMIR</t>
  </si>
  <si>
    <t>RIVAS PALACIO ASLY MICHELLY</t>
  </si>
  <si>
    <t xml:space="preserve">SANCHEZ CANO JACOBO </t>
  </si>
  <si>
    <t xml:space="preserve">CALDERON PALACIO JERONIMO </t>
  </si>
  <si>
    <t>BROWNSTERD ASPRILLA JEFRY STIWAR</t>
  </si>
  <si>
    <t xml:space="preserve">RIVAS PALACIOS LENIS </t>
  </si>
  <si>
    <t xml:space="preserve">LOPEZ VELEZ SAMUEL </t>
  </si>
  <si>
    <t>PEÑA BERRIO EDUAR DAVID</t>
  </si>
  <si>
    <t xml:space="preserve">HERNANDEZ ARANGO ALEJANDRO </t>
  </si>
  <si>
    <t xml:space="preserve">CUERVO  MARIANA </t>
  </si>
  <si>
    <t xml:space="preserve">HURTADO METAUTE SARA </t>
  </si>
  <si>
    <t xml:space="preserve">TORRES GAVIRIA MANUEL </t>
  </si>
  <si>
    <t xml:space="preserve">PIEDRAHITA LALINDE MARTINA </t>
  </si>
  <si>
    <t>VEGA SALAZAR MIGUEL ANGEL</t>
  </si>
  <si>
    <t xml:space="preserve">ZULUAGA ZULUAGA SOFIA </t>
  </si>
  <si>
    <t>LOPEZ AGUDELO JUAN PABLO</t>
  </si>
  <si>
    <t>QUINTERO VANEGAS MARIA JOSE</t>
  </si>
  <si>
    <t xml:space="preserve">RAMIREZ URIBE SARITA </t>
  </si>
  <si>
    <t xml:space="preserve">CANO GOMEZ JURADO MARIANA </t>
  </si>
  <si>
    <t xml:space="preserve">ISAZA VELASQUEZ EMILIANA </t>
  </si>
  <si>
    <t xml:space="preserve">TORRES ACEVEDO SUSANA </t>
  </si>
  <si>
    <t xml:space="preserve">GAVIRIA RAMIREZ DANIELA </t>
  </si>
  <si>
    <t xml:space="preserve">LONDOÑO GONZALEZ JERONIMO </t>
  </si>
  <si>
    <t xml:space="preserve">OSORIO BETANCUR LUCIANA </t>
  </si>
  <si>
    <t>VELASQUEZ CARMONA JUAN JOSE</t>
  </si>
  <si>
    <t xml:space="preserve">RUIZ ARCILA SANTIAGO </t>
  </si>
  <si>
    <t xml:space="preserve">ZAPATA BELTRAN SEBASTIAN </t>
  </si>
  <si>
    <t>LOPEZ TABORDA ANDRES FELIPE</t>
  </si>
  <si>
    <t>MAZO ARBOLEDA KEVIN DANIEL</t>
  </si>
  <si>
    <t xml:space="preserve">SANTA MORENO SANTIAGO </t>
  </si>
  <si>
    <t xml:space="preserve">VELEZ LONDOÑO ANDERSON </t>
  </si>
  <si>
    <t xml:space="preserve">CALDERON GARCIA MICHELL </t>
  </si>
  <si>
    <t>PARRA SIERRA JOSE MANUEL</t>
  </si>
  <si>
    <t xml:space="preserve">QUIROZ GONZALEZ ESTEFANIA </t>
  </si>
  <si>
    <t xml:space="preserve">GUTIERREZ JIMENEZ EMMILY </t>
  </si>
  <si>
    <t xml:space="preserve">LOZANO HENAO ALBERTO </t>
  </si>
  <si>
    <t>ARDILA HENAO LUISA FERNANDA</t>
  </si>
  <si>
    <t>MARIN MARTINEZ MIGUEL ANGEL</t>
  </si>
  <si>
    <t xml:space="preserve">QUINTERO ARANGO SANTIAGO </t>
  </si>
  <si>
    <t xml:space="preserve">CALDERON HERRERA EMMANUEL </t>
  </si>
  <si>
    <t xml:space="preserve">VARGAS ALZATE WALTER </t>
  </si>
  <si>
    <t xml:space="preserve">OSORIO CARVAJAL ALEJANDRO </t>
  </si>
  <si>
    <t>MEJIA CARTAGENA THOMAS EDEN</t>
  </si>
  <si>
    <t>ESCOBAR ECHEVERRI JORGE MARIO</t>
  </si>
  <si>
    <t>MENESES GONZALEZ JESSENIA ALEJANDRA</t>
  </si>
  <si>
    <t xml:space="preserve">PERDOMO RODRIGUEZ MARBYN </t>
  </si>
  <si>
    <t xml:space="preserve">SANCHEZ QUICENO JULIETA </t>
  </si>
  <si>
    <t>ARANGO LOAIZA EVER ANDRES</t>
  </si>
  <si>
    <t>GOMEZ RODRIGUEZ ANA MARIA</t>
  </si>
  <si>
    <t>GUARIN SERNA LUISA FERNANDA</t>
  </si>
  <si>
    <t>VELASQUEZ SOTO MARIA CAROLINA</t>
  </si>
  <si>
    <t>RIVAS IBARGUEN ANGIE PAOLA</t>
  </si>
  <si>
    <t>MOLINA ZULUAGA DIEXE NAREM</t>
  </si>
  <si>
    <t>PEREZ SUAREZ WBER MATEO</t>
  </si>
  <si>
    <t>MARIN GIRALDO YURELY ANDREA</t>
  </si>
  <si>
    <t xml:space="preserve">ZAPATA VILLA LUCIANA </t>
  </si>
  <si>
    <t>SERNA SOLAR EDER LUIS</t>
  </si>
  <si>
    <t xml:space="preserve">ZUÑIGA OSORIO MAYERLIS </t>
  </si>
  <si>
    <t xml:space="preserve">PAJÓN LONDOÑO MARIANA </t>
  </si>
  <si>
    <t xml:space="preserve">VILLA CASTAÑEDA SEBASTIAN </t>
  </si>
  <si>
    <t xml:space="preserve">HURTADO SANCHEZ ALEJANDRO </t>
  </si>
  <si>
    <t>GUARIN VALENCIA WILTER JERONIMO</t>
  </si>
  <si>
    <t xml:space="preserve">GIRALDO HERRERA ANDRES </t>
  </si>
  <si>
    <t>ROJO VILLA JOSE FERNANDO</t>
  </si>
  <si>
    <t>GIRALDO GOMEZ JUAN JOSE</t>
  </si>
  <si>
    <t xml:space="preserve">PEREZ MERCADO VALERIA </t>
  </si>
  <si>
    <t>HERNANDEZ RAMIREZ BRYAN ALEXIS</t>
  </si>
  <si>
    <t>CARDONA URREGO JHON JAMES</t>
  </si>
  <si>
    <t>MARTINEZ RIVAS YUBERJEN HERNEY</t>
  </si>
  <si>
    <t xml:space="preserve">GRISALES MOREÑA MANUELA </t>
  </si>
  <si>
    <t>GOMEZ TAMAYO MARIA ANTONIA</t>
  </si>
  <si>
    <t>PEREZ RUIZ JHON KEINER</t>
  </si>
  <si>
    <t xml:space="preserve">TOBON PAREDES LUCAS </t>
  </si>
  <si>
    <t xml:space="preserve">ZAPATA MORA BARBARA </t>
  </si>
  <si>
    <t xml:space="preserve">MORALES CASTAÑEDA SIMON </t>
  </si>
  <si>
    <t xml:space="preserve">TOBON FLOREZ VALERIA </t>
  </si>
  <si>
    <t xml:space="preserve">HINCAPIE CARDONA CAMILO </t>
  </si>
  <si>
    <t xml:space="preserve">GUAITOTO CORDOBA DEINER </t>
  </si>
  <si>
    <t>ARBOLEDA CASTAÑEDA JUAN DAVID</t>
  </si>
  <si>
    <t>TABORDA AGUIRRE KEIDY VANESA</t>
  </si>
  <si>
    <t>ZEA CHAVERRA JOHN FREDDY</t>
  </si>
  <si>
    <t xml:space="preserve">MARTINEZ CASTILLO ZHARICK </t>
  </si>
  <si>
    <t xml:space="preserve">QUINTO ROJAS LUCIANA </t>
  </si>
  <si>
    <t>MORENO TORRES JHOR ESNEIDER</t>
  </si>
  <si>
    <t xml:space="preserve">VANEGAS PIEDRAHITA VALENTINA </t>
  </si>
  <si>
    <t xml:space="preserve">LONDOÑO HERRERA YAJARA </t>
  </si>
  <si>
    <t xml:space="preserve">VALENCIA QUINCHIA ISABELLA </t>
  </si>
  <si>
    <t>BENITEZ MORENO ZULEIMA ANDREA</t>
  </si>
  <si>
    <t xml:space="preserve">RESTREPO GUZMAN SIMON </t>
  </si>
  <si>
    <t xml:space="preserve">ESPINOSA LOPERA ESTEBAN </t>
  </si>
  <si>
    <t>ROMERO VERGARA DANIEL ALFREDO</t>
  </si>
  <si>
    <t>GUERRA ALVAREZ RONY ALEJANDRO</t>
  </si>
  <si>
    <t>ZAPATA ALZATE JUAN MANUEL</t>
  </si>
  <si>
    <t xml:space="preserve">MUNERA MARTINEZ STIVEN </t>
  </si>
  <si>
    <t xml:space="preserve">ZAPATA ARROYAVE JOSUE </t>
  </si>
  <si>
    <t>HENAO PATERNINA SEBASTIAN ANTONIO</t>
  </si>
  <si>
    <t>GUZMAN MOSQUERA JASTIN JULIETH</t>
  </si>
  <si>
    <t>TORRES CAICEDO JUAN DAVID</t>
  </si>
  <si>
    <t>QUEJADA MORENO YEISON SANTIAGO</t>
  </si>
  <si>
    <t>OSUNA PEÑA LUIS MIGUEL</t>
  </si>
  <si>
    <t>SERNA MARTINEZ ANDRES FELIPE</t>
  </si>
  <si>
    <t xml:space="preserve">CORDOBA MOSQUERA YOSIRIS </t>
  </si>
  <si>
    <t>MOSQUERA CUESTA JOSE DAVID</t>
  </si>
  <si>
    <t>TYSFOROD RIVAS YAIRAN SOFIA</t>
  </si>
  <si>
    <t>CONEO SANCHEZ YARA LUZ</t>
  </si>
  <si>
    <t xml:space="preserve">VANEGAS SOLANO LENIS </t>
  </si>
  <si>
    <t xml:space="preserve">BEITAR OREJUELA YAIDER </t>
  </si>
  <si>
    <t>CASTILLO MORELOS EDITH NAUDITH</t>
  </si>
  <si>
    <t>RIOS GARCIA YHON HERITT</t>
  </si>
  <si>
    <t>VALDERRAMA PEDRAZA DAVID ALEJANDRO</t>
  </si>
  <si>
    <t xml:space="preserve">VASQUEZ VARGAS MATEO </t>
  </si>
  <si>
    <t xml:space="preserve">VILLEGAS CORREA SEBASTIAN </t>
  </si>
  <si>
    <t xml:space="preserve">AVILEZ AGUDELO KATERIN </t>
  </si>
  <si>
    <t xml:space="preserve">RENDON GUERRA SAMUEL </t>
  </si>
  <si>
    <t>VELASQUEZ JIMENEZ JHONATAN JAVIER</t>
  </si>
  <si>
    <t>AYAZO MUÑOZ ANDRES DAVID</t>
  </si>
  <si>
    <t>ARROYO VELASQUEZ LUIS MIGUEL</t>
  </si>
  <si>
    <t>RAMIREZ MORENO CARLOS DAVID</t>
  </si>
  <si>
    <t>MORENO DELGADO MARA PAOLA</t>
  </si>
  <si>
    <t>CORDOBA GONZALEZ HAINNER STUART</t>
  </si>
  <si>
    <t xml:space="preserve">ESCOBAR HINESTROZA FABIA </t>
  </si>
  <si>
    <t xml:space="preserve">MOYA MENA ANTONINA </t>
  </si>
  <si>
    <t>RESTREPO BUCHELI MIGUEL ANGEL</t>
  </si>
  <si>
    <t>ORTEGA MORENO EMILY VANESSA</t>
  </si>
  <si>
    <t>ACOSTA DURAN MARIA PAULA</t>
  </si>
  <si>
    <t>MUÑOZ MUÑOZ MARIA PAOLA</t>
  </si>
  <si>
    <t>MORA BLANCO EMELY SOFIA</t>
  </si>
  <si>
    <t>CASTILLO OLIVEROS ISABELLA SOFIA</t>
  </si>
  <si>
    <t>BARRIENTOS ROMERO SARA SOFIA</t>
  </si>
  <si>
    <t>ACUÑA PERDOMO JUAN MANUEL</t>
  </si>
  <si>
    <t xml:space="preserve">VIERA BALANTA JACOBO </t>
  </si>
  <si>
    <t xml:space="preserve">SALINAS BALANTA SALOME </t>
  </si>
  <si>
    <t>RAMOS GUTIERREZ JUAN FELIPE</t>
  </si>
  <si>
    <t>GOMEZ AMORTEGUI JULIAN ANDRES</t>
  </si>
  <si>
    <t xml:space="preserve">BETANCUR MORENO VALENTINA </t>
  </si>
  <si>
    <t>MINA HURTADO SHARICK NAIREL</t>
  </si>
  <si>
    <t xml:space="preserve">RENDON RAMIREZ CAMILO </t>
  </si>
  <si>
    <t>GUZMAN MENDOZA DIEGO ALEJANDRO</t>
  </si>
  <si>
    <t>MARTINEZ MORALES LINA FERNANDA</t>
  </si>
  <si>
    <t>ROMERO GAMARRA MIGUEL ANDRES</t>
  </si>
  <si>
    <t>DIAZ PUERTA EDGAR ALEJANDRO</t>
  </si>
  <si>
    <t>RINCON GOMEZ CESAR AUGUSTO</t>
  </si>
  <si>
    <t xml:space="preserve">ACEVEDO ZAPATA SUSANA </t>
  </si>
  <si>
    <t>ARRUBLA DIAZ EZEQUIEL ALEJANDRO</t>
  </si>
  <si>
    <t xml:space="preserve">GALVIS GUTIERREZ SAMUEL </t>
  </si>
  <si>
    <t>ASIS BARRIOS VICTORIA ANGEL</t>
  </si>
  <si>
    <t xml:space="preserve">RAMIREZ MORALES SANTIAGO </t>
  </si>
  <si>
    <t>MUÑOZ NIETO YESICA PAOLA</t>
  </si>
  <si>
    <t>MUÑOZ RUA YERLY TATIANA</t>
  </si>
  <si>
    <t>RESTREPO ZAPATA DIANA MARCELA</t>
  </si>
  <si>
    <t>MURILLO VALDES JORGE MARIO</t>
  </si>
  <si>
    <t>SANCHEZ PERIÑAN MARI LEIVIS</t>
  </si>
  <si>
    <t>GARZON AUBAD JAIME ALBERTO</t>
  </si>
  <si>
    <t>MONSALVE ARANGO MARIA ISABEL</t>
  </si>
  <si>
    <t xml:space="preserve">MORALES MENDOZA SEBASTIAN </t>
  </si>
  <si>
    <t>OCHOA HENAO JUAN DAVID</t>
  </si>
  <si>
    <t>GIL BLANDON SHINDY VANESSA</t>
  </si>
  <si>
    <t xml:space="preserve">ACOSTA PETRO SOFIA </t>
  </si>
  <si>
    <t>SALAZAR MARTINEZ JUAN SEBASTIAN</t>
  </si>
  <si>
    <t>RAMIREZ VILLA JUAN JOSE</t>
  </si>
  <si>
    <t>SANTOYA ORTIZ YINETH MILENA</t>
  </si>
  <si>
    <t xml:space="preserve">MURILLO JINETE TIFFANY </t>
  </si>
  <si>
    <t>7/02/2025 20:54</t>
  </si>
  <si>
    <t>030-2025</t>
  </si>
  <si>
    <t>OTALVARO MONTOYA DARLYN VANESA</t>
  </si>
  <si>
    <t>13/02/2025 13:01</t>
  </si>
  <si>
    <t>047-2025</t>
  </si>
  <si>
    <t xml:space="preserve">AGUILAR RIOS SANTIAGO </t>
  </si>
  <si>
    <t>14/03/2025 16:00</t>
  </si>
  <si>
    <t>328-2025</t>
  </si>
  <si>
    <t>VANEGAS TANGARIFE OMAR JOSE</t>
  </si>
  <si>
    <t>26/03/2025 10:35</t>
  </si>
  <si>
    <t>350-2025</t>
  </si>
  <si>
    <t>PUERTA JARAMILLO MARIA MONICA</t>
  </si>
  <si>
    <t>17/02/2025 15:45</t>
  </si>
  <si>
    <t>060-2025</t>
  </si>
  <si>
    <t>ARIAS CORENA ANDREA FERNANDA</t>
  </si>
  <si>
    <t>5/03/2025 0:00</t>
  </si>
  <si>
    <t>Apoyo social tipo alimentación a deportistas dentro del programa “Antioquia Firme por el Deporte” mes de noviembre Resolución 2025000164 del 04 de marzo de 2025</t>
  </si>
  <si>
    <t>HINCAPIE SIERRA JOHN JAIRO</t>
  </si>
  <si>
    <t>HENAO QUINTERO DIEGO ALEJANDRO</t>
  </si>
  <si>
    <t>MONTOYA VARELA DUVAN YESID</t>
  </si>
  <si>
    <t>BETANCUR ZAPATA JOSE ARGEMIRO</t>
  </si>
  <si>
    <t>OROZCO GÓMEZ SARA MARÍA</t>
  </si>
  <si>
    <t>LOPEZ GONZALEZ LUCY YANETH</t>
  </si>
  <si>
    <t>TORRES TORRES WILMAR ALBERTO</t>
  </si>
  <si>
    <t>MAYO RESTREPO JUAN PABLO</t>
  </si>
  <si>
    <t xml:space="preserve">GUERRERO LOPEZ WILMAR </t>
  </si>
  <si>
    <t>COLORADO TABORDA JHON FERNANDO</t>
  </si>
  <si>
    <t>AVILA TIRADO SARA JULIETH</t>
  </si>
  <si>
    <t xml:space="preserve">RESTREPO FRANCO MANUELA </t>
  </si>
  <si>
    <t>CHALA GUEVARA JULIAN CAMILO</t>
  </si>
  <si>
    <t>MOLINA PENAGOS JAVIER ESTEBAN</t>
  </si>
  <si>
    <t>GOMEZ GOMEZ BRAHIAN STIVEN</t>
  </si>
  <si>
    <t>MEZA ARANGO DAVERSON ALEJANDRO</t>
  </si>
  <si>
    <t xml:space="preserve">GUAPI GUZMAN MANUELA </t>
  </si>
  <si>
    <t>QUIRAMA TUBERQUIA MIGUEL ANGEL</t>
  </si>
  <si>
    <t xml:space="preserve">TAMAYO CABALLERO VANESA </t>
  </si>
  <si>
    <t xml:space="preserve">OSPINA CARMONA ALEJANDRA </t>
  </si>
  <si>
    <t xml:space="preserve">RAMIREZ MOSQUERA SANTIAGO </t>
  </si>
  <si>
    <t xml:space="preserve">BORJA ALEANS DANIEL </t>
  </si>
  <si>
    <t>MOSQUERA PARRA LUISA FERNANDA</t>
  </si>
  <si>
    <t>BARRIENTOS MORALES EMERSON ALEXIS</t>
  </si>
  <si>
    <t xml:space="preserve">LEMUS MURILLO DIEGO </t>
  </si>
  <si>
    <t xml:space="preserve">RIOS MENA MELISA </t>
  </si>
  <si>
    <t xml:space="preserve">MARTINEZ MARULANDA MATEO </t>
  </si>
  <si>
    <t>GIL OQUENDO JULIAN CAMILO</t>
  </si>
  <si>
    <t>AGUDELO ROJO JUAN DAVID</t>
  </si>
  <si>
    <t>GOMEZ BARÓN NICOLAS DE JESÚS</t>
  </si>
  <si>
    <t xml:space="preserve">ESTRADA OSPINA SAMUEL </t>
  </si>
  <si>
    <t>ARRIETA MADERA LUIS EDUARDO</t>
  </si>
  <si>
    <t xml:space="preserve">LOMBANA MARTINEZ SIMON </t>
  </si>
  <si>
    <t xml:space="preserve">CANO PATIÑO JULIANA </t>
  </si>
  <si>
    <t xml:space="preserve">GRANADOS CARDENAS SOFIA </t>
  </si>
  <si>
    <t xml:space="preserve">TAPIAS CANO VALENTINA </t>
  </si>
  <si>
    <t xml:space="preserve">CANO TRUJILLO DAVID </t>
  </si>
  <si>
    <t>BILLERO CAVADIA YEIBAN CAMILO</t>
  </si>
  <si>
    <t xml:space="preserve">PALACIOS ABADIA ROSANA </t>
  </si>
  <si>
    <t>MURILLO MURILLO KAREN VIVIANA</t>
  </si>
  <si>
    <t>SALAS LOZANO ESTEISY FABIANA</t>
  </si>
  <si>
    <t>LOPEZ CUELLO YEISON ADOLFO</t>
  </si>
  <si>
    <t xml:space="preserve">MEJIA DIOSA LAURA </t>
  </si>
  <si>
    <t xml:space="preserve">TORO CASTAÑEDA ELIZABETH </t>
  </si>
  <si>
    <t xml:space="preserve">MESTRA DIAZ MARIBEL </t>
  </si>
  <si>
    <t xml:space="preserve">MARULANDA CANO DAINNE </t>
  </si>
  <si>
    <t xml:space="preserve">ZAPATA MACHADO VALENTINA </t>
  </si>
  <si>
    <t>HIGUITA MENDOZA ANA SOFIA</t>
  </si>
  <si>
    <t>ATEHORTUA DIAZ GERILYN JOHANA</t>
  </si>
  <si>
    <t>MOSQUERA AVILA ANDRES CAMILO</t>
  </si>
  <si>
    <t xml:space="preserve">VASQUEZ ARIAS SANTIAGO </t>
  </si>
  <si>
    <t>GALLEGO GRISALES JUAN PABLO</t>
  </si>
  <si>
    <t>NOGUERA QUINTERO JUAN MANUEL</t>
  </si>
  <si>
    <t>CANO RESTREPO JULIAN DAVID</t>
  </si>
  <si>
    <t>AYALA DIAZ JUAN CAMILO</t>
  </si>
  <si>
    <t xml:space="preserve">BEDOYA BOTERO JERONIMO </t>
  </si>
  <si>
    <t>GUISAO MORENO SERGIO ANDRES</t>
  </si>
  <si>
    <t xml:space="preserve">QUIROZ GARCIA EMMANUEL </t>
  </si>
  <si>
    <t>ECHAVARRIA ESPINOSA MILDREY JOHANA</t>
  </si>
  <si>
    <t>AMAYA GOMEZ HERNAN DAVID</t>
  </si>
  <si>
    <t>SILGADO TRESPALACIOS RONAL ANDRES</t>
  </si>
  <si>
    <t>URREGO TORDECILLA MARTIN EMILIO</t>
  </si>
  <si>
    <t>RIOS RODRIGUEZ JOHAN STIVEN</t>
  </si>
  <si>
    <t>GUERRERO GARCES LINA MARIA</t>
  </si>
  <si>
    <t>PAZ PEREA YULIANY MARYELIS</t>
  </si>
  <si>
    <t>CORDOBA MARTINEZ CESAR ANDRES</t>
  </si>
  <si>
    <t>MOSQUERA MARTINEZ JEINER ANDRES</t>
  </si>
  <si>
    <t>BERRIO VALOYES JHON ANDRES</t>
  </si>
  <si>
    <t>TASCON FORONDA YESSICA ANDREA</t>
  </si>
  <si>
    <t>SAUCHE ARIAS DARIANA MICHEL</t>
  </si>
  <si>
    <t>MONTES DUQUE ANYI CAROLINA</t>
  </si>
  <si>
    <t>ZAPATA ARISTIZABAL JOSE DANIEL</t>
  </si>
  <si>
    <t>GIRALDO GIRALDO LUIS MIGUEL</t>
  </si>
  <si>
    <t>RODRIGUEZ PABON MIGUEL ANGEL</t>
  </si>
  <si>
    <t xml:space="preserve">PALOMEQUE MURILLO DAMARIS </t>
  </si>
  <si>
    <t>SOTO ESPINOSA LEIDY VIVIANA</t>
  </si>
  <si>
    <t xml:space="preserve">GARCIA CORDOBA DIEGO </t>
  </si>
  <si>
    <t>IBARGUEN MOSQUERA HANUAR FELIPE</t>
  </si>
  <si>
    <t xml:space="preserve">GAVIRIA RIVERA TOMAS </t>
  </si>
  <si>
    <t xml:space="preserve">PIEDRAHITA GOMEZ ALEJANDRA </t>
  </si>
  <si>
    <t xml:space="preserve">SALCEDO VILLA MAXIMILIANO </t>
  </si>
  <si>
    <t>ISAZA RODRIGUEZ ANA MARIA</t>
  </si>
  <si>
    <t>ALVIS DIAZ JULIAN ESTEBAN</t>
  </si>
  <si>
    <t>PEREZ TRIANA DANIEL ALFREDO</t>
  </si>
  <si>
    <t>ESTRADA VASQUEZ GLADIS ELENA</t>
  </si>
  <si>
    <t>CASTAÑO PELAEZ ANA MARIA</t>
  </si>
  <si>
    <t xml:space="preserve">CIFUENTES SEPULVEDA WILLIAM </t>
  </si>
  <si>
    <t>ZAPATA MONTOYA JUAN DIEGO</t>
  </si>
  <si>
    <t>TORRES PEREZ LESLIE DAYHANA</t>
  </si>
  <si>
    <t xml:space="preserve">SALAZAR ALDANA SUSANA </t>
  </si>
  <si>
    <t>ORTIZ ARANGO JHOJAN ALEXANDER</t>
  </si>
  <si>
    <t>MARTINEZ MORENO JOSE MANUEL</t>
  </si>
  <si>
    <t xml:space="preserve">SOTO ESPINOSA JULIANA </t>
  </si>
  <si>
    <t xml:space="preserve">GUTIERREZ GIL SEBASTIAN </t>
  </si>
  <si>
    <t>VELASQUEZ LOPEZ JORGE LUIS</t>
  </si>
  <si>
    <t>ARIAS VILLA MIGUEL ANGEL</t>
  </si>
  <si>
    <t xml:space="preserve">RUIZ CORREA FEDERICO </t>
  </si>
  <si>
    <t>RICAURTE RESTREPO MARIA SALOME</t>
  </si>
  <si>
    <t>VILLA RUIZ DANIEL ESTEBAN</t>
  </si>
  <si>
    <t xml:space="preserve">RIOS RODRIGUEZ VALERIA </t>
  </si>
  <si>
    <t xml:space="preserve">PARRA FLOREZ MANUELA </t>
  </si>
  <si>
    <t>ALZATE MEJIA YESSICA LORENA</t>
  </si>
  <si>
    <t>GUTIERREZ SOTO JUAN ANDRES</t>
  </si>
  <si>
    <t>AVENDAÑO ARBOLEDA YATZURY YURANI</t>
  </si>
  <si>
    <t xml:space="preserve">KNUDSEN MARTIN MATIAS </t>
  </si>
  <si>
    <t>SANCHEZ PARDO KARLA SOFIA</t>
  </si>
  <si>
    <t>SANCHEZ PARDO KAROL SAMANTHA</t>
  </si>
  <si>
    <t>CORREA SANTA CARMEN ANDREA</t>
  </si>
  <si>
    <t xml:space="preserve">GUERRERO VARGAS LUCAS </t>
  </si>
  <si>
    <t xml:space="preserve">ALZATE BERRIO JIMENA </t>
  </si>
  <si>
    <t xml:space="preserve">ESPITIA VELASQUEZ MARIANELA </t>
  </si>
  <si>
    <t xml:space="preserve">VEGA TORO SANTIAGO </t>
  </si>
  <si>
    <t>NOGUERA QUINTERO JUAN FELIPE</t>
  </si>
  <si>
    <t>ANGEL PALACIOS WEIMAR ALEXIS</t>
  </si>
  <si>
    <t xml:space="preserve">RAMOS LOPEZ MATIAS </t>
  </si>
  <si>
    <t>BERNAL CALDERON LEIDY TATIANA</t>
  </si>
  <si>
    <t>HINCAPIE RAMIREZ MARIA JOSE</t>
  </si>
  <si>
    <t>GARCIA CHANCI MANUEL SANTIAGO</t>
  </si>
  <si>
    <t>MONSALVE GIRALDO JUAN JOSE</t>
  </si>
  <si>
    <t xml:space="preserve">TOBON MORALES MABEL </t>
  </si>
  <si>
    <t xml:space="preserve">TORRES  ZAMARA </t>
  </si>
  <si>
    <t xml:space="preserve">GARCIA ARENAS ESTEFANIA </t>
  </si>
  <si>
    <t>MARTINEZ IBARGUEN LAURA PATRICIA</t>
  </si>
  <si>
    <t xml:space="preserve">HOYOS RUEDA MARIANA </t>
  </si>
  <si>
    <t xml:space="preserve">SANCHEZ SERNA YEISON </t>
  </si>
  <si>
    <t xml:space="preserve">MENA VELASQUEZ YESID </t>
  </si>
  <si>
    <t xml:space="preserve">DURANGO AYALA NIKOL </t>
  </si>
  <si>
    <t>NISPERUZA CORDOBA DAILAN ANDREA</t>
  </si>
  <si>
    <t>RENTERIA MOSQUERA KIRIAN YULIETH</t>
  </si>
  <si>
    <t xml:space="preserve">MENA BANQUEZ STEFANIA </t>
  </si>
  <si>
    <t>CORDOBA CUELLO MADI ESTHER</t>
  </si>
  <si>
    <t>MANCO GONZALEZ DORIS SOFIA</t>
  </si>
  <si>
    <t>MOSQUERA BONILLA LINA MARCELA</t>
  </si>
  <si>
    <t>URRUTIA ROBLEDO JHON ARLEY</t>
  </si>
  <si>
    <t>ROBLEDO NEGRETE BRAYAN SMITH</t>
  </si>
  <si>
    <t>OSSA CELIS ALISON NATALY</t>
  </si>
  <si>
    <t xml:space="preserve">GONZALEZ RODRIGUEZ ISABELLA </t>
  </si>
  <si>
    <t>BEDOYA QUINTERO DEREK SAMUEL</t>
  </si>
  <si>
    <t xml:space="preserve">VARGAS ESPITIA JAMES </t>
  </si>
  <si>
    <t xml:space="preserve">PANTOJA JIMENEZ DAVID </t>
  </si>
  <si>
    <t xml:space="preserve">AGUDELO PINDEDA MARIANA </t>
  </si>
  <si>
    <t xml:space="preserve">BEDOYA URQUIJO SEBASTIAN </t>
  </si>
  <si>
    <t>LOAIZA QUINTERO ANDERSON STIVEN</t>
  </si>
  <si>
    <t xml:space="preserve">VILLA TORO SAMUEL </t>
  </si>
  <si>
    <t xml:space="preserve">HENAO BEDOYA LUNA </t>
  </si>
  <si>
    <t xml:space="preserve">HENAO MESA TOMAS </t>
  </si>
  <si>
    <t>BERTEL CORONADO JEISON DAVID</t>
  </si>
  <si>
    <t>VASQUEZ ARIAS KEYLA NOHEMI</t>
  </si>
  <si>
    <t xml:space="preserve">MARTINEZ CORREA SANTIAGO </t>
  </si>
  <si>
    <t xml:space="preserve">RUIZ SALAZAR MARIANA </t>
  </si>
  <si>
    <t>JIMENEZ AGUIRRE JUAN MIGUEL</t>
  </si>
  <si>
    <t>PALACIOS  PAULA ANDREA</t>
  </si>
  <si>
    <t>ZAPATA LOPEZ CARLOS MARIO</t>
  </si>
  <si>
    <t xml:space="preserve">OCHOA HENAO JULIANA </t>
  </si>
  <si>
    <t>SALCEDO MOLINA ALEJANDRA YASMIN</t>
  </si>
  <si>
    <t>GÓMEZ OCHOA JUAN PABLO</t>
  </si>
  <si>
    <t xml:space="preserve">RIOS MARTINEZ MANUELA </t>
  </si>
  <si>
    <t xml:space="preserve">VIDALES BLANDON MANUELA </t>
  </si>
  <si>
    <t>CEBALLOS SALAZAR DRIVER JEFFERSON</t>
  </si>
  <si>
    <t>DIAZ ARBELAEZ DANNY ALEJANDRO</t>
  </si>
  <si>
    <t>DAZA ECHEVERRY JOHAN STIVEN</t>
  </si>
  <si>
    <t>ARRIETA TORRES JOHAN FERNEY</t>
  </si>
  <si>
    <t>VARGAS DUQUE JUAN DAVID</t>
  </si>
  <si>
    <t xml:space="preserve">QUINTERO ALVAREZ MARIANA </t>
  </si>
  <si>
    <t>ARENAS CAMPUZANO SANDRA LORENA</t>
  </si>
  <si>
    <t>HERNANDEZ SALDARRIAGA RONALD DAVID</t>
  </si>
  <si>
    <t xml:space="preserve">COSSIO SANCHEZ SANTIAGO </t>
  </si>
  <si>
    <t xml:space="preserve">ORTEGA CANO ALEJANDRA </t>
  </si>
  <si>
    <t xml:space="preserve">LOPEZ MONTOYA VALENTINA </t>
  </si>
  <si>
    <t xml:space="preserve">GIRALDO HENAO SAMUEL </t>
  </si>
  <si>
    <t>GONZALEZ GONZALEZ JUAN FELIPE</t>
  </si>
  <si>
    <t xml:space="preserve">RAMIREZ SANCHEZ ALEJANDRO </t>
  </si>
  <si>
    <t xml:space="preserve">LOPEZ URRUTIA DUVERNEY </t>
  </si>
  <si>
    <t xml:space="preserve">MORENO DENIS LEVIN </t>
  </si>
  <si>
    <t>TOBON RIOS DIEGO ALEJANDRO</t>
  </si>
  <si>
    <t>AGULIMPIA VACA SILVIO ANDRES</t>
  </si>
  <si>
    <t>CORDOBA CAICEDO JHON ALEJANDRO</t>
  </si>
  <si>
    <t>DENIZ YOHANA MARTINEZ DURANGO</t>
  </si>
  <si>
    <t>LOPERA VALLE MARIA CAMILA</t>
  </si>
  <si>
    <t xml:space="preserve">BOTERO VILLEGAS JHONNATAN </t>
  </si>
  <si>
    <t>CIRO RODRIGUEZ DIEGO ALEJANDRO</t>
  </si>
  <si>
    <t>MATURANA  MARIA CAMILA</t>
  </si>
  <si>
    <t>CORDOBA IBARGUEN ANGELA SOFIA</t>
  </si>
  <si>
    <t>CEBALLOS FIGUEROA JUAN PABLO</t>
  </si>
  <si>
    <t xml:space="preserve">BAENA TAMAYO MATEO </t>
  </si>
  <si>
    <t xml:space="preserve">MANCO MENA MARIANGEL </t>
  </si>
  <si>
    <t xml:space="preserve">OTALVARO GARCIA EMANUEL </t>
  </si>
  <si>
    <t>MESA ALMANZA JORGE MARIO</t>
  </si>
  <si>
    <t>CARDONA HERRERA OMAR JULIAN</t>
  </si>
  <si>
    <t>VILLAREAL FERNANDEZ JUAN ESTEBAN</t>
  </si>
  <si>
    <t>TILANO HERNANDEZ JHOAN SEBASTIAN</t>
  </si>
  <si>
    <t>FUENTES PALACIO ELIANA ISABEL</t>
  </si>
  <si>
    <t>MESA PALACIOS YERLIN DEL CARMEN</t>
  </si>
  <si>
    <t xml:space="preserve">RIVERA BANQUETT EVELYN </t>
  </si>
  <si>
    <t>GELES MORENO YEINNY NORELA</t>
  </si>
  <si>
    <t>NISPERUZA YEPES YULIS PATRICIA</t>
  </si>
  <si>
    <t xml:space="preserve">VASQUEZ GONZALEZ LARRY </t>
  </si>
  <si>
    <t>AGUALIMPIA LEMUS PEDRO ANGEL</t>
  </si>
  <si>
    <t xml:space="preserve">SOTO BONILLA MARIANA </t>
  </si>
  <si>
    <t>VALENCIA ESCOBAR JUAN SEBASTIAN</t>
  </si>
  <si>
    <t xml:space="preserve">CARDONA PALACIO HANNIE </t>
  </si>
  <si>
    <t>QUINTERO PINEDA YOSIANA FAREIDY</t>
  </si>
  <si>
    <t>MARIN REGINO LUIS CAMILO</t>
  </si>
  <si>
    <t xml:space="preserve">VALOYES ECHEVERRI RODOLFO </t>
  </si>
  <si>
    <t xml:space="preserve">SIERRA OSORIO MANUEL </t>
  </si>
  <si>
    <t>MORENO PINO KEINER ANTONIO</t>
  </si>
  <si>
    <t>CASTAÑO ROJO LEIDY DANIELA</t>
  </si>
  <si>
    <t>RODRIGUEZ GOMEZ MARIANA JULIANA</t>
  </si>
  <si>
    <t>BAYONA CARDENAS MARIA FERNANDA</t>
  </si>
  <si>
    <t>TELLEZ MEJIA CORY ROSMERY</t>
  </si>
  <si>
    <t>SAIZ SIERRA JUAN DIEGO</t>
  </si>
  <si>
    <t xml:space="preserve">GIRALDO MONTOYA DANIELA </t>
  </si>
  <si>
    <t>CERON BLANDON MAIRA ALEJANDRA</t>
  </si>
  <si>
    <t>CAICEDO CAICEDO MAYRA ALEJANDRA</t>
  </si>
  <si>
    <t>VELASQUEZ MOLINA DARIO ALBERTO</t>
  </si>
  <si>
    <t xml:space="preserve">HERNANDEZ RECALDE ANGEL </t>
  </si>
  <si>
    <t>GUERRA ACOSTA LAURA JULIETH</t>
  </si>
  <si>
    <t>GRISALES ALVAREZ ANDRES FELIPE</t>
  </si>
  <si>
    <t xml:space="preserve">RIVERA MEJIA MAURICIO </t>
  </si>
  <si>
    <t>HIGUITA BEDOYA JURLEY MARIA</t>
  </si>
  <si>
    <t>CANO GONZALEZ YOJAN ADOLFO</t>
  </si>
  <si>
    <t>MUÑOZ DAVID JENIFER ALEXANDRA</t>
  </si>
  <si>
    <t>PALACIOS CHAVERRA JUAN CAMILO</t>
  </si>
  <si>
    <t xml:space="preserve">VILLAREAL FERNANDEZ ROBINSON </t>
  </si>
  <si>
    <t>CORRALES GONZALEZ YESENIA MARYELY</t>
  </si>
  <si>
    <t>BERNA GONZALEZ CARLOS ANDRES</t>
  </si>
  <si>
    <t>ORTEGA GIRON MAURICIO ALEXANDER</t>
  </si>
  <si>
    <t>BERDUGO PALACIO JHON FERNANDO</t>
  </si>
  <si>
    <t>ROBLEDO MENA JELSSIN DONNOVAN</t>
  </si>
  <si>
    <t xml:space="preserve">LOPEZ CORREA CAROLINA </t>
  </si>
  <si>
    <t>CHIRIVI CASTIBLANCO JENNY ASTRID</t>
  </si>
  <si>
    <t>MORA MANAT JOSE RICARDO</t>
  </si>
  <si>
    <t xml:space="preserve">RENGIFO QUINTERO SALOME </t>
  </si>
  <si>
    <t>ALVAREZ BEDOYA JAZMIN ALEXANDRA</t>
  </si>
  <si>
    <t xml:space="preserve">SALAZAR AVENDAÑO ISABELA </t>
  </si>
  <si>
    <t xml:space="preserve">FERIA ARBOLEDA MANUELA </t>
  </si>
  <si>
    <t>PEREZ BARRIENTOS MICHELLE ANDREA</t>
  </si>
  <si>
    <t xml:space="preserve">MONTES LOPERA PAULA </t>
  </si>
  <si>
    <t>VILLA WALDO KEVIN SEBASTIAN</t>
  </si>
  <si>
    <t>MARTINEZ MORENO ANDRES FELIPE</t>
  </si>
  <si>
    <t>MACEA ALEAN LINA MARCELA</t>
  </si>
  <si>
    <t>ARZUAGA GONZALEZ MARIA ISABEL</t>
  </si>
  <si>
    <t>MARIN MOSCOTE JOSE DAVID</t>
  </si>
  <si>
    <t>LONDOÑO LONDOÑO LAURA VALENTINA</t>
  </si>
  <si>
    <t>PINO MOLINA EVA SANDRITH</t>
  </si>
  <si>
    <t>CARDONA MOLINA JULIAN ANDRES</t>
  </si>
  <si>
    <t>10/03/2025 0:00</t>
  </si>
  <si>
    <t>Apoyo social tipo alimentación a deportistas dentro del programa “Antioquia Firme por el Deporte” mes de Marzo Resolución 2025000185 del 10 de marzo de 2025</t>
  </si>
  <si>
    <t>MONTOYA SANMARTIN MARIA CAMILA</t>
  </si>
  <si>
    <t>QUIÑONES MOSQUERAS JHON JADER</t>
  </si>
  <si>
    <t>ZULUAGA VALENCIA MARIA CAMILA</t>
  </si>
  <si>
    <t>AGUDELO BELLO SHARICK MICHEL</t>
  </si>
  <si>
    <t>WILCHES CASTILLO JUAN ESTEBAN</t>
  </si>
  <si>
    <t>CARRILLO CASADIEGO RUBEN DARIO</t>
  </si>
  <si>
    <t xml:space="preserve">RIOS RODRIGUEZ VALENTINA </t>
  </si>
  <si>
    <t>MARTINEZ MURILLO YONIER ALEXANDER</t>
  </si>
  <si>
    <t>ARANGO  MARIA CAMILA</t>
  </si>
  <si>
    <t>CIFUENTES BEDOYA JOSE ALBERTO</t>
  </si>
  <si>
    <t>MENA JAVE LUIS CARLOS</t>
  </si>
  <si>
    <t>GARCIA GARCIA NEIDER ENRIQUE</t>
  </si>
  <si>
    <t>MARTINEZ HERNANDEZ MILTON ANDRES</t>
  </si>
  <si>
    <t xml:space="preserve">MOSQUERA RENTERIA ROBERTO </t>
  </si>
  <si>
    <t xml:space="preserve">MOSQUERA HURTADO JOSE </t>
  </si>
  <si>
    <t>BENITEZ GUERRA SANTIAGO FRANCISCO</t>
  </si>
  <si>
    <t>APOYO SOCIAL ECONOMICO A ATLETAS Y PARA ATLETAS BENEFICIARIOS DEL PROGRAMA APOYO TECNICO, CIENTIFICO Y SOCIAL ANTIOQUIA FIRME POR EL DEPORTE  Resolucion 2025000196 del 12 de Marzo del 2025</t>
  </si>
  <si>
    <t xml:space="preserve">GUZMAN JIMENEZ ESTEBAN </t>
  </si>
  <si>
    <t>DIAZ VILLARROEL EDGAR ALEXANDER</t>
  </si>
  <si>
    <t>COY VILLAMIL FREDY MARLON</t>
  </si>
  <si>
    <t xml:space="preserve">GÓMEZ GALLARDO RICARDO </t>
  </si>
  <si>
    <t>HOLGUIN HOLGUIN SAMUEL DE JESUS</t>
  </si>
  <si>
    <t>RESTREPO MUÑOZ YESENIA MARÍA</t>
  </si>
  <si>
    <t>MENESES VILLA MERLY RUBIRIAN</t>
  </si>
  <si>
    <t>RUEDA ROBLEDO MARÍA TERESA</t>
  </si>
  <si>
    <t xml:space="preserve">RAMELLI BARRERA CAROLINA </t>
  </si>
  <si>
    <t xml:space="preserve">MONSALVE QUINTANA LUCY </t>
  </si>
  <si>
    <t>OBANDO ATEHORTUA LEIDY JOHANA</t>
  </si>
  <si>
    <t>RESTREPO ROJAS MARIA TERESA</t>
  </si>
  <si>
    <t>JARAMILLO PALACIO LAURA MARIA</t>
  </si>
  <si>
    <t>CORDOBA CUERO ZOROBABELIA ABAD</t>
  </si>
  <si>
    <t>SEPULVEDA VALENCIA JORGE LUIS</t>
  </si>
  <si>
    <t>CARDONA HENAO JOHN DAYRO</t>
  </si>
  <si>
    <t>ORREGO HERNANDEZ FREDY ALEXANDER</t>
  </si>
  <si>
    <t>PULGARÍN HERNANDEZ WILMAR ALBEIRO</t>
  </si>
  <si>
    <t>CALVO ARROYAVE HOMEL ALBEIRO</t>
  </si>
  <si>
    <t xml:space="preserve">CUESTA MOYA SHITON </t>
  </si>
  <si>
    <t>AGUDELO SALAZAR CARLOS ALBERTO</t>
  </si>
  <si>
    <t>HURTADO MUÑOZ JOSE WILSON</t>
  </si>
  <si>
    <t>CUARTAS MEDINA JAIME ALEXANDER</t>
  </si>
  <si>
    <t>TRUJILLO SOSSA JUAN SEBASTIAN</t>
  </si>
  <si>
    <t>CIPAGAUTA CORREA DIEGO EDUARDO</t>
  </si>
  <si>
    <t>MUÑOZ BETANCUR JORGE HORACIO</t>
  </si>
  <si>
    <t>MESA QUINTERO FRANCISCO ALONSO</t>
  </si>
  <si>
    <t>BOHORQUEZ TABORDA ALEX ARLEN</t>
  </si>
  <si>
    <t>CASTAÑO SALAZAR CARLOS ROOSSELVELT</t>
  </si>
  <si>
    <t xml:space="preserve">BLUMAN DONSKOY JOSEPH </t>
  </si>
  <si>
    <t>PAREJA QUINTERO JUAN PABLO</t>
  </si>
  <si>
    <t xml:space="preserve">CARDONA PINEDA JACOB </t>
  </si>
  <si>
    <t>CUERVO MESA SERGIO ANDRES</t>
  </si>
  <si>
    <t>CATAÑO JARAMILLO JUAN DAVID</t>
  </si>
  <si>
    <t xml:space="preserve">MONTOYA ROMAN CRISTIAN </t>
  </si>
  <si>
    <t xml:space="preserve">SUAREZ OSORIO VALENTINA </t>
  </si>
  <si>
    <t>RAMIREZ CARRASQUILLA DANIELA ALEJANDRA</t>
  </si>
  <si>
    <t>LONDOÑO BOLIVAR JUAN ESTEBAN</t>
  </si>
  <si>
    <t xml:space="preserve">ARBOLEDA RUIZ ANDERSON </t>
  </si>
  <si>
    <t xml:space="preserve">DURANGO RESTREPO KAREN </t>
  </si>
  <si>
    <t xml:space="preserve">ARTEAGA HIGUITA ISABEL </t>
  </si>
  <si>
    <t xml:space="preserve">VARGAS CLAVIJO MARIANA </t>
  </si>
  <si>
    <t>RENGIFO BALBIN CARLOS ANDRES</t>
  </si>
  <si>
    <t xml:space="preserve">CEBALLOS CORREA MELISSA </t>
  </si>
  <si>
    <t>MOSQUERA MURILLO JOSE ESTEBAN</t>
  </si>
  <si>
    <t xml:space="preserve">HURTADO URRUTIA LORENA </t>
  </si>
  <si>
    <t>GOMEZ TOBON JUAN MANUEL</t>
  </si>
  <si>
    <t xml:space="preserve">MADRIGAL VELASQUEZ STEFANIE </t>
  </si>
  <si>
    <t xml:space="preserve">GUISAO MENA ALEJANDRO </t>
  </si>
  <si>
    <t xml:space="preserve">GONSALEZ GARZON SALOME </t>
  </si>
  <si>
    <t>BOLIVAR ADARBE MIGUEL ANGEL</t>
  </si>
  <si>
    <t>CASAS SANTIAGO MARTA YOLANDA</t>
  </si>
  <si>
    <t xml:space="preserve">RODRIGUEZ BOTERO JULIANA </t>
  </si>
  <si>
    <t xml:space="preserve">PABON CANO DAVID </t>
  </si>
  <si>
    <t>VALENCIA FRANCO KEVIN ALEJANDRO</t>
  </si>
  <si>
    <t xml:space="preserve">AGUDELO VANEGAS VALERIA </t>
  </si>
  <si>
    <t>MOSQUERA MOSQUERA LIZETH ANDREA</t>
  </si>
  <si>
    <t xml:space="preserve">CARMONA GARCIA MATEO </t>
  </si>
  <si>
    <t>BOTERO ARCILA JUAN CAMILO</t>
  </si>
  <si>
    <t xml:space="preserve">MEJIA MONTOYA MATEO </t>
  </si>
  <si>
    <t xml:space="preserve">ALVAREZ AGUDELO MATEO </t>
  </si>
  <si>
    <t xml:space="preserve">SUAZA MONCADA MELISA </t>
  </si>
  <si>
    <t xml:space="preserve">POSADA RESTREPO CAROLINA </t>
  </si>
  <si>
    <t xml:space="preserve">ALZATE QUINTERO ALEJANDRA </t>
  </si>
  <si>
    <t xml:space="preserve">GOMEZ ZULUAGA PABLO </t>
  </si>
  <si>
    <t xml:space="preserve">MUÑOZ CUARTAS VALERIA </t>
  </si>
  <si>
    <t xml:space="preserve">RODRIGUEZ PEÑA ISABELA </t>
  </si>
  <si>
    <t xml:space="preserve">RAMOS CANO ALEXANDER </t>
  </si>
  <si>
    <t xml:space="preserve">CASTAÑO QUINTERO ELIZABETH </t>
  </si>
  <si>
    <t>GOMEZ MUNERA VICTOR MANUEL</t>
  </si>
  <si>
    <t>ZAPATA SANMARTIN JOSE ALEJANDRO</t>
  </si>
  <si>
    <t>ECHAVARRIA BORJA JHON ALEJANDRO</t>
  </si>
  <si>
    <t xml:space="preserve">GIRALDO SANCHEZ KEVIN </t>
  </si>
  <si>
    <t xml:space="preserve">RODRIGUEZ MENDOZA NUBIA </t>
  </si>
  <si>
    <t>SANCHEZ FERNANDEZ ANGIE KATHERINE</t>
  </si>
  <si>
    <t>HOYOS CASTRO MIGUEL ANGEL</t>
  </si>
  <si>
    <t>SANCHEZ CELIS JORGE ANDRES</t>
  </si>
  <si>
    <t xml:space="preserve">MURILLO MENA DAIHANA </t>
  </si>
  <si>
    <t>MERCADO HINESTROZA MAIRA FERNANDA</t>
  </si>
  <si>
    <t xml:space="preserve">MUÑOZ MORENO SARA </t>
  </si>
  <si>
    <t>VARGAS ECHEVERRI VICTOR MANUEL</t>
  </si>
  <si>
    <t xml:space="preserve">CASTAÑO QUEVEDO JULIANA </t>
  </si>
  <si>
    <t>CABALLERO PEREZ PAULA DANIELA</t>
  </si>
  <si>
    <t>ZAPATA ROJAS PABLO ANDRES</t>
  </si>
  <si>
    <t>TREJOS PIZO JUAN CAMILO</t>
  </si>
  <si>
    <t xml:space="preserve">RAMOS CANO FELIPE </t>
  </si>
  <si>
    <t>HERRERA MADERA YILMAR ANDRES</t>
  </si>
  <si>
    <t>SERPA LOPEZ KEVIN ANDRES</t>
  </si>
  <si>
    <t>VERA CELIS NAZLY KATHERINNE</t>
  </si>
  <si>
    <t>DUQUE CARVAJAL JUAN DAVID</t>
  </si>
  <si>
    <t>LOPEZ PULGARIN JUAN JOSE</t>
  </si>
  <si>
    <t>MEDINA PEREZ JUAN MANUEL</t>
  </si>
  <si>
    <t>ROLDAN  JUAN PABLO</t>
  </si>
  <si>
    <t xml:space="preserve">DUQUE LOPEZ MAICK </t>
  </si>
  <si>
    <t xml:space="preserve">LONDOÑO VELASQUEZ ALEJANDRA </t>
  </si>
  <si>
    <t>GARSHASEBI RIASCOS ALI MATEO</t>
  </si>
  <si>
    <t>MANYOMA ASPRILLA ANGIE YULIETH</t>
  </si>
  <si>
    <t xml:space="preserve">MARIN SALDARRIAGA SOFIA </t>
  </si>
  <si>
    <t xml:space="preserve">CONEO PAREDES MURIEL </t>
  </si>
  <si>
    <t xml:space="preserve">PANIAGUA  JULIAN </t>
  </si>
  <si>
    <t xml:space="preserve">ARANGO LONDOÑO GLEISON </t>
  </si>
  <si>
    <t xml:space="preserve">TUBERQUIA USUGA VALERIA </t>
  </si>
  <si>
    <t>HURTADO CARDENAS EDINSON JAIR</t>
  </si>
  <si>
    <t xml:space="preserve">URRUTIA MORENO JHONATHAN </t>
  </si>
  <si>
    <t xml:space="preserve">OROZCO BOTERO CAROLINA </t>
  </si>
  <si>
    <t>CONTRERAS SANDOVAL LEIDY TATIANA</t>
  </si>
  <si>
    <t>RESTREPO URREGO JORGE LUIS</t>
  </si>
  <si>
    <t>ZULETA MOSCOSO YEISON DANILO</t>
  </si>
  <si>
    <t>ALVAREZ ECHEVERRI ANDRES FELIPE</t>
  </si>
  <si>
    <t xml:space="preserve">PEREA ARANGO ALEJANDRO </t>
  </si>
  <si>
    <t xml:space="preserve">PALACIOS MOSQUERA YEIMER </t>
  </si>
  <si>
    <t>SALAS PALACIOS JUAN JOSE</t>
  </si>
  <si>
    <t xml:space="preserve">ARANGO LONDOÑO NICOLAS </t>
  </si>
  <si>
    <t xml:space="preserve">FORONDA CASTRO NICOLE </t>
  </si>
  <si>
    <t>RESTREPO GALLEGO SHARON MANUELA</t>
  </si>
  <si>
    <t xml:space="preserve">LONDOÑO CARDONA SANTIAGO </t>
  </si>
  <si>
    <t>REY MOLANO EDWAR CAMILO</t>
  </si>
  <si>
    <t xml:space="preserve">AGUDELO MEDINA MARIANA </t>
  </si>
  <si>
    <t>GUZMAN BARRIENTOS ANA MARIA</t>
  </si>
  <si>
    <t xml:space="preserve">DUQUE JIMENEZ SARA </t>
  </si>
  <si>
    <t>SERNA MORENO NELSON JAVIER</t>
  </si>
  <si>
    <t>MENA CORDOBA HAROLD DAVID</t>
  </si>
  <si>
    <t xml:space="preserve">BEDOYA MORENO LAURA </t>
  </si>
  <si>
    <t>MUÑOZ AMAYA CLAUDIA MILENA</t>
  </si>
  <si>
    <t>ROJAS OCHOA JUAN FERNANDO</t>
  </si>
  <si>
    <t xml:space="preserve">CABRA GUZMAN SEBASTIAN </t>
  </si>
  <si>
    <t>OSPINA CASTRILLON ANA MARIA</t>
  </si>
  <si>
    <t>ROJAS MERCHAN SIMON ALEJANDRO</t>
  </si>
  <si>
    <t>GOMEZ TOBON JOSE DAVID</t>
  </si>
  <si>
    <t xml:space="preserve">OSORIO LOPEZ VERONICA </t>
  </si>
  <si>
    <t>LOZANO BRICEÑO JOHAN FELIPE</t>
  </si>
  <si>
    <t>MOSQUERA PEREA DIEGO ANDRES</t>
  </si>
  <si>
    <t xml:space="preserve">MARTINEZ RESTREPO THOMAS </t>
  </si>
  <si>
    <t xml:space="preserve">SUAREZ FERREIRA JHOSETH </t>
  </si>
  <si>
    <t>RIVAS CASTAÑO ANDERSON SCHMIDT</t>
  </si>
  <si>
    <t xml:space="preserve">RUIZ VILLA JERONIMO </t>
  </si>
  <si>
    <t>SAAVEDRA GARCES GILBERTO ADRIAN</t>
  </si>
  <si>
    <t>RAMIREZ ZAPATA JUAN PABLO</t>
  </si>
  <si>
    <t xml:space="preserve">RESTREPO URREGO LAURA </t>
  </si>
  <si>
    <t>BOLIVAR AGUDELO SANDY LORENA</t>
  </si>
  <si>
    <t xml:space="preserve">RENTERIA CUESTA NHAYILLA </t>
  </si>
  <si>
    <t xml:space="preserve">ARTEAGA RESTREPO SANTIAGO </t>
  </si>
  <si>
    <t xml:space="preserve">SEPULVEDA MEJIA ISABELA </t>
  </si>
  <si>
    <t>TOBON SOTOMAYOR ANA ISABELLA</t>
  </si>
  <si>
    <t>MURILLO BENITEZ MARIA ALEJANDRA</t>
  </si>
  <si>
    <t>ORTIZ ORTIZ JHON JAMES</t>
  </si>
  <si>
    <t>LONDOÑO DIAZ FABIO ANDRES</t>
  </si>
  <si>
    <t>HERNANDEZ BALASNOA OSMEL IVAN</t>
  </si>
  <si>
    <t xml:space="preserve">GIRALDO HIGUITA MARIANA </t>
  </si>
  <si>
    <t xml:space="preserve">ACEVEDO BARRIOS LUCIANA </t>
  </si>
  <si>
    <t xml:space="preserve">DIAZ MONTOYA ISABELA </t>
  </si>
  <si>
    <t>MOSQUERA BELLO ADRIAN FELIPE</t>
  </si>
  <si>
    <t>CUELLAR CUELLAR CARLOS ARNULFO</t>
  </si>
  <si>
    <t>GIRALDO MONTOYA JUAN JOSE</t>
  </si>
  <si>
    <t xml:space="preserve">GOMEZ ZULUAGA JULIAN </t>
  </si>
  <si>
    <t>LOPEZ ARRUBLA JEFERSON ALEXIS</t>
  </si>
  <si>
    <t xml:space="preserve">ESCOBAR ORREGO JULIANA </t>
  </si>
  <si>
    <t>ARANGO PATIÑO JUAN JOSE</t>
  </si>
  <si>
    <t xml:space="preserve">MILLAN BUSTAMANTE DAVID </t>
  </si>
  <si>
    <t>RAMIREZ VELASQUEZ MARIA CLARA</t>
  </si>
  <si>
    <t xml:space="preserve">VILLA GOMEZ VALERIA </t>
  </si>
  <si>
    <t>HERNANDEZ HERNANDEZ LUISA MARIA</t>
  </si>
  <si>
    <t xml:space="preserve">GOMEZ BARRIENTOS JACOB </t>
  </si>
  <si>
    <t>SANCHEZ CELIS ADRIAN ALEXIS</t>
  </si>
  <si>
    <t>ARREDONDO LOZANO DEIBER DAVID</t>
  </si>
  <si>
    <t>PRENS GARCIA DIANA PATRICIA</t>
  </si>
  <si>
    <t>LOPEZ TABORDA ERIKA JULIETH</t>
  </si>
  <si>
    <t>ARBOLEDA OSPINA DIEGO ALEJANDRO</t>
  </si>
  <si>
    <t xml:space="preserve">ALZATE GOMEZ ANDREA </t>
  </si>
  <si>
    <t xml:space="preserve">MONTOYA DUQUE NICOLAS </t>
  </si>
  <si>
    <t>DUQUE CASTAÑO MARIA JOSE</t>
  </si>
  <si>
    <t>HERNANDEZ GOMEZ LINA MARCELA</t>
  </si>
  <si>
    <t xml:space="preserve">GUARIN ZAPATA SAMUEL </t>
  </si>
  <si>
    <t>RENDON MARTINEZ ANA MARIA</t>
  </si>
  <si>
    <t>MURRAY RAMIREZ JOHAN ANDRES</t>
  </si>
  <si>
    <t xml:space="preserve">GRISALES TABAREZ FARLEY </t>
  </si>
  <si>
    <t xml:space="preserve">TABORDA CANO EVELYN </t>
  </si>
  <si>
    <t>VALLEJO AGUDELO ANDRES FELIPE</t>
  </si>
  <si>
    <t>ALVAREZ RAMIREZ DIEGO FERNANDO</t>
  </si>
  <si>
    <t>VARGAS VILLANUEVA CARLOS ANDRES</t>
  </si>
  <si>
    <t xml:space="preserve">VARELA VELEZ STIVEN </t>
  </si>
  <si>
    <t xml:space="preserve">GOMEZ HERNANDEZ SANTIAGO </t>
  </si>
  <si>
    <t xml:space="preserve">HENAO ALZATE ANDRES </t>
  </si>
  <si>
    <t xml:space="preserve">VALENCIA CARDONA SANTIAGO </t>
  </si>
  <si>
    <t>PAVAS BUITRAGO EDWAR DAMIAN</t>
  </si>
  <si>
    <t>RIOS PALACIO JHON ALEXANDER</t>
  </si>
  <si>
    <t xml:space="preserve">PEREZ CORREA SIMON </t>
  </si>
  <si>
    <t>PALACIO MURILLO ANGIE VANESSA</t>
  </si>
  <si>
    <t xml:space="preserve">HURTADO RESTREPO PAULA </t>
  </si>
  <si>
    <t xml:space="preserve">VARGAS ARANGO ANDREA </t>
  </si>
  <si>
    <t xml:space="preserve">ECHAVARRIA JARAMILLO ESTEBAN </t>
  </si>
  <si>
    <t>BAEZ ACOSTA ASTRID CAROLINA</t>
  </si>
  <si>
    <t xml:space="preserve">HERRERA MARIN ESTEFANIA </t>
  </si>
  <si>
    <t>PÉREZ GOMEZ MARÍA PAULINA</t>
  </si>
  <si>
    <t xml:space="preserve">CASTRILLON GOMEZ MELISSA </t>
  </si>
  <si>
    <t xml:space="preserve">ARIAS PEREZ FABRIANA </t>
  </si>
  <si>
    <t xml:space="preserve">ESCOBAR BETANCUR GINA </t>
  </si>
  <si>
    <t xml:space="preserve">JURADO SOSSA SANTIAGO </t>
  </si>
  <si>
    <t xml:space="preserve">MUÑOZ JARA CAROLINA </t>
  </si>
  <si>
    <t>PARRA HENAO MARIA CAMILA</t>
  </si>
  <si>
    <t xml:space="preserve">BRUNO TORRECILLA VIVIANA </t>
  </si>
  <si>
    <t>VASQUEZ PATERNINA KEVIN STEVEN</t>
  </si>
  <si>
    <t>JIMENEZ HERRERA KAREN NICOLE</t>
  </si>
  <si>
    <t>BELTRAN GAVIRIA JHON ESTEBAN</t>
  </si>
  <si>
    <t>HERNANDEZ CORTES ERIKA YULIANA</t>
  </si>
  <si>
    <t>COLLAZOS BEDOYA JUAN CAMILO</t>
  </si>
  <si>
    <t xml:space="preserve">MONCADA CORREA SARA </t>
  </si>
  <si>
    <t>HENAO SANCHEZ MARIA SALOME</t>
  </si>
  <si>
    <t xml:space="preserve">ARANGO ARANGO SIMON </t>
  </si>
  <si>
    <t>MONTOYA GARCIA PAULA ANDREA</t>
  </si>
  <si>
    <t xml:space="preserve">HOYOS SOSSA YEIMERSON </t>
  </si>
  <si>
    <t>SEPULVEDA VILLA MAIRA ALEJANDRA</t>
  </si>
  <si>
    <t>MEJIA GARCIA JERSON HERNANDO</t>
  </si>
  <si>
    <t xml:space="preserve">TABARES GUERRERO CAROLINA </t>
  </si>
  <si>
    <t>MUÑOZ JARAMILLO CARLOS ANDRES</t>
  </si>
  <si>
    <t>GOMEZ ARISTIZABAL HUGO ANDRES</t>
  </si>
  <si>
    <t>TORO CASTAÑEDA DICTHER HANS</t>
  </si>
  <si>
    <t>PATIÑO BEDOYA PAULA ANDREA</t>
  </si>
  <si>
    <t xml:space="preserve">ATEHORTUA YEPES MARIANA </t>
  </si>
  <si>
    <t>SALCEDO CODAZZI CRISTIAN CAMILO</t>
  </si>
  <si>
    <t xml:space="preserve">SUAREZ BAQUERO SHARA </t>
  </si>
  <si>
    <t xml:space="preserve">MEJIA PABON ARGIRO </t>
  </si>
  <si>
    <t>OTALVARO GARCIA ALEX FEDERICO</t>
  </si>
  <si>
    <t xml:space="preserve">CARDONA GRAJALES SARA </t>
  </si>
  <si>
    <t xml:space="preserve">ORTEGA HERNANDEZ ALICIA </t>
  </si>
  <si>
    <t xml:space="preserve">SEPULVEDA FLOREZ DAVID </t>
  </si>
  <si>
    <t>SALGUEDO RINCON MARIA JOSE</t>
  </si>
  <si>
    <t>AGUDELO RENDON ANDRES ALEJANDRO</t>
  </si>
  <si>
    <t>MORENO ORTEGA DANIR JUNIOR</t>
  </si>
  <si>
    <t>OLIER ALBA PAULA ANDREA</t>
  </si>
  <si>
    <t xml:space="preserve">ARROYAVE PEREZ MATEO </t>
  </si>
  <si>
    <t xml:space="preserve">AGUDELO CORTES ALEJANDRO </t>
  </si>
  <si>
    <t>MALO MORALES GUIDO ARTURO</t>
  </si>
  <si>
    <t>CELY CELY DUBAN CAMILO</t>
  </si>
  <si>
    <t xml:space="preserve">GÓMEZ HURTADO STEFANIA </t>
  </si>
  <si>
    <t>MONTAÑO ALVAREZ DIEGO LUIS</t>
  </si>
  <si>
    <t>FORI VIVEROS JUAN JOSE</t>
  </si>
  <si>
    <t xml:space="preserve">LLORENTE RANGEL FARITH </t>
  </si>
  <si>
    <t>COTES CHARRY DANIEL JOSE</t>
  </si>
  <si>
    <t>GARCIA TORRES ANDY FARLEY</t>
  </si>
  <si>
    <t>MORENO MARTINEZ CRISTIAN DAVID</t>
  </si>
  <si>
    <t>BLANDON RENTERIA NELSON ADRIAN</t>
  </si>
  <si>
    <t>ARANGO MOSQUERA BRAYANTH YESID</t>
  </si>
  <si>
    <t xml:space="preserve">JULIO HOYOS JHONATAN </t>
  </si>
  <si>
    <t xml:space="preserve">CARDENAS ORTIZ VALENTINA </t>
  </si>
  <si>
    <t>MORENO RAMOS CARLOS ANDRES</t>
  </si>
  <si>
    <t xml:space="preserve">FRANCO ARANGO JULIANA </t>
  </si>
  <si>
    <t>OSORIO ESPINOSA SERGIO ANDRES</t>
  </si>
  <si>
    <t>SANCHEZ GARZON EMILY LORENA</t>
  </si>
  <si>
    <t>ALVAREZ ARIAS JUAN DAVID</t>
  </si>
  <si>
    <t xml:space="preserve">BAYONA PINEDA MARTHA </t>
  </si>
  <si>
    <t>COLON BUELVAS JOHAN ANTONIO</t>
  </si>
  <si>
    <t>MARTINEZ VILLEGAS DILAN ESTEBAN</t>
  </si>
  <si>
    <t>ACEVEDO CASTILLO RONALD DURAN</t>
  </si>
  <si>
    <t xml:space="preserve">PINZON GUERRA ALEJANDRO </t>
  </si>
  <si>
    <t>RODRIGUEZ OSPINA MARIA JOSE</t>
  </si>
  <si>
    <t>QUIÑONES CONGO ALAN JACKSON</t>
  </si>
  <si>
    <t>MAIGUEL OROZCO ANA MARIA</t>
  </si>
  <si>
    <t xml:space="preserve">DIAZ PEÑA JHONEYDER </t>
  </si>
  <si>
    <t xml:space="preserve">RAMIREZ GONZALEZ ESTIVEN </t>
  </si>
  <si>
    <t>QUIROGA LUQUE AURA MARIA</t>
  </si>
  <si>
    <t>PALTA CUELLO JESUS ANGEL</t>
  </si>
  <si>
    <t>ACOSTA ORTEGA PEDRO ESTEBAN</t>
  </si>
  <si>
    <t xml:space="preserve">BEDOYA CALLE ISABELA </t>
  </si>
  <si>
    <t>HERNANDEZ RECALDE KATISH HIDARI</t>
  </si>
  <si>
    <t>SORIA MADRIGAL ANDREA GABRIELA</t>
  </si>
  <si>
    <t>CORDOBA ROA ANGEL GABRIEL</t>
  </si>
  <si>
    <t>ARANGO CARVAJAL JUAN ESTEBAN</t>
  </si>
  <si>
    <t xml:space="preserve">PALACIO GIRALDO ANYINZAN </t>
  </si>
  <si>
    <t>MUNERA ALVAREZ JUAN DIEGO</t>
  </si>
  <si>
    <t xml:space="preserve">GRAJALES RAMIREZ JONATHAN </t>
  </si>
  <si>
    <t xml:space="preserve">GAVIRIA RENDON JULIANA </t>
  </si>
  <si>
    <t>LEÓN MARIÑO GUSTAVO ANDRES</t>
  </si>
  <si>
    <t>LOPEZ ASPRILLA JUAN CARLOS</t>
  </si>
  <si>
    <t xml:space="preserve">ESTRADA CASTAÑO SUSANA </t>
  </si>
  <si>
    <t xml:space="preserve">DUQUE VELASQUEZ SANTIAGO </t>
  </si>
  <si>
    <t>ANGARITA REYES MARVIN ORLANDO</t>
  </si>
  <si>
    <t>FERNANDEZ URETA CARDENIO ANDRES</t>
  </si>
  <si>
    <t>MATURANA MORENO LUIS EDUARDO</t>
  </si>
  <si>
    <t>DAZA  DAVID ANTONIO</t>
  </si>
  <si>
    <t>ZUÑIGA COGOLLO YANDEL DAVID</t>
  </si>
  <si>
    <t>CARRILLO CORDOBA EIDER LUIS</t>
  </si>
  <si>
    <t>LEGAREJO MOSQUERA EDWIN ANDRES</t>
  </si>
  <si>
    <t>ARBELAEZ MONTOYA EFRAIN ESTEBAN</t>
  </si>
  <si>
    <t>ACOSTA VALENCIA YERY MICHELLE</t>
  </si>
  <si>
    <t>OCAMPO LOPEZ AURA CRISTINA</t>
  </si>
  <si>
    <t>LALINDE RESTREPO CLAUDIA MARCELA</t>
  </si>
  <si>
    <t xml:space="preserve">ARIAS MUÑOZ ALEJANDRO </t>
  </si>
  <si>
    <t>BECERRA SALAS MARIA JOSE</t>
  </si>
  <si>
    <t xml:space="preserve">MONSALVE GUTIERREZ SOFIA </t>
  </si>
  <si>
    <t>VILLA ARANGO JULIÁN ALBERTO</t>
  </si>
  <si>
    <t>LOPEZ GUERRA RONAL ROMARIO</t>
  </si>
  <si>
    <t xml:space="preserve">BETANCUR MARTINEZ DANIEL </t>
  </si>
  <si>
    <t>VELEZ CASTAÑO ISAAC MATEO</t>
  </si>
  <si>
    <t>CASTAÑEDA MOSCOSO SARA ESTEFANIA</t>
  </si>
  <si>
    <t>ZAPATA CORREA NATALIA ANDREA</t>
  </si>
  <si>
    <t>PINO AVENDAÑO JOHAN ALEXIS</t>
  </si>
  <si>
    <t>RAMIREZ TORRES LAURA MARCELA</t>
  </si>
  <si>
    <t>PALOMEQUE MORENO KAREN TATIANA</t>
  </si>
  <si>
    <t xml:space="preserve">LONDOÑO GONZALEZ SEBASTIAN </t>
  </si>
  <si>
    <t xml:space="preserve">NAVARRO LONDOÑO JULIAN </t>
  </si>
  <si>
    <t xml:space="preserve">RODRIGUEZ MIRA GERALDINE </t>
  </si>
  <si>
    <t>CASTAÑEDA RUIZ MARIA ESTHER</t>
  </si>
  <si>
    <t xml:space="preserve">ESTRELLA DE LA ROSA EDWIN </t>
  </si>
  <si>
    <t>GIRALDO AYALA DANIEL FELIPE</t>
  </si>
  <si>
    <t xml:space="preserve">RODRIGUEZ LOPEZ VALERIA </t>
  </si>
  <si>
    <t>CARÉ GARCIA JOSE JOAQUIN</t>
  </si>
  <si>
    <t xml:space="preserve">RAMIREZ SERNA JENNIFER </t>
  </si>
  <si>
    <t xml:space="preserve">ESCOBAR ARRIAGA ROSANGELICA </t>
  </si>
  <si>
    <t xml:space="preserve">HERNANDEZ ORTIZ PAMELA </t>
  </si>
  <si>
    <t>MARIN NARANJO JOSE DAVID</t>
  </si>
  <si>
    <t xml:space="preserve">LOPEZ ORTEGA MANUEL </t>
  </si>
  <si>
    <t>21/03/2025 9:50</t>
  </si>
  <si>
    <t>S20250027-2025</t>
  </si>
  <si>
    <t>21/03/2025 9:52</t>
  </si>
  <si>
    <t>S202500227-2025</t>
  </si>
  <si>
    <t>27/03/2025 16:00</t>
  </si>
  <si>
    <t xml:space="preserve"> S2025000248-2025</t>
  </si>
  <si>
    <t>27/03/2025 16:35</t>
  </si>
  <si>
    <t>LOPEZ GONZALEZ CARLOS FELIPE</t>
  </si>
  <si>
    <t>10/03/2025 14:51</t>
  </si>
  <si>
    <t>273-2025</t>
  </si>
  <si>
    <t>DURAN PEREIRA LUIS ADONIS</t>
  </si>
  <si>
    <t>17/03/2025 10:05</t>
  </si>
  <si>
    <t>324-2025</t>
  </si>
  <si>
    <t xml:space="preserve">ATEHORTUA ZULUAGA NATALI </t>
  </si>
  <si>
    <t>17/03/2025 16:06</t>
  </si>
  <si>
    <t>331-2025</t>
  </si>
  <si>
    <t>ORTIZ ECHEVERRI HECTOR ORLANDO</t>
  </si>
  <si>
    <t>30/01/2025 21:12</t>
  </si>
  <si>
    <t>008-2025</t>
  </si>
  <si>
    <t>JIMENEZ OCAMPO LILIANA PATRICIA</t>
  </si>
  <si>
    <t>4/02/2025 15:31</t>
  </si>
  <si>
    <t>021-2025</t>
  </si>
  <si>
    <t xml:space="preserve">KAMMERER GUTIERREZ VANESSA </t>
  </si>
  <si>
    <t>020-2025</t>
  </si>
  <si>
    <t>GARCIA ZABALA SANDRA JANETH</t>
  </si>
  <si>
    <t>4/02/2025 18:42</t>
  </si>
  <si>
    <t>022-2025</t>
  </si>
  <si>
    <t>SERNA SORA ANA MARIA</t>
  </si>
  <si>
    <t>4/02/2025 19:00</t>
  </si>
  <si>
    <t>018-2025</t>
  </si>
  <si>
    <t xml:space="preserve">PULGARIN RAMIREZ HAROLD </t>
  </si>
  <si>
    <t>5/02/2025 15:15</t>
  </si>
  <si>
    <t>019-2025</t>
  </si>
  <si>
    <t>GALVIS MUÑOZ JUAN MANUEL</t>
  </si>
  <si>
    <t>7/02/2025 8:24</t>
  </si>
  <si>
    <t>026-2025</t>
  </si>
  <si>
    <t xml:space="preserve">ZAPATA MARIN SANTIAGO </t>
  </si>
  <si>
    <t>7/02/2025 14:38</t>
  </si>
  <si>
    <t>027-2025</t>
  </si>
  <si>
    <t>ALZATE VALENCIA MONICA ISABEL</t>
  </si>
  <si>
    <t>26/02/2025 8:29</t>
  </si>
  <si>
    <t>236-2025</t>
  </si>
  <si>
    <t xml:space="preserve">JIMENEZ ECHEVERRI ALEJANDRA </t>
  </si>
  <si>
    <t>28/02/2025 12:02</t>
  </si>
  <si>
    <t>246-2025</t>
  </si>
  <si>
    <t xml:space="preserve">QUINTERO JIMENEZ JENIFER </t>
  </si>
  <si>
    <t>14/02/2025 10:27</t>
  </si>
  <si>
    <t>054-2025</t>
  </si>
  <si>
    <t>SALAZAR ACEVEDO SANDRA MABEL</t>
  </si>
  <si>
    <t>17/02/2025 15:55</t>
  </si>
  <si>
    <t>053-2025</t>
  </si>
  <si>
    <t xml:space="preserve">VALENCIA AGUIRRE SEBASTIAN </t>
  </si>
  <si>
    <t>18/02/2025 8:17</t>
  </si>
  <si>
    <t>063-2025</t>
  </si>
  <si>
    <t>ALVAREZ LONDOÑO FRANCISCO HERNANDO</t>
  </si>
  <si>
    <t>18/02/2025 16:39</t>
  </si>
  <si>
    <t>059-2025</t>
  </si>
  <si>
    <t>MARULANDA DIAZ DORA NANCY</t>
  </si>
  <si>
    <t>18/02/2025 16:45</t>
  </si>
  <si>
    <t>071-2025</t>
  </si>
  <si>
    <t>HERRERA CANO JUAN CAMILO</t>
  </si>
  <si>
    <t>19/02/2025 11:02</t>
  </si>
  <si>
    <t>068-2025</t>
  </si>
  <si>
    <t>ARANGO VASCO JULIAN DAVID</t>
  </si>
  <si>
    <t>4/03/2025 8:04</t>
  </si>
  <si>
    <t>260-2025</t>
  </si>
  <si>
    <t>RENDON RENDON GUILLERMO LEON</t>
  </si>
  <si>
    <t>4/03/2025 17:00</t>
  </si>
  <si>
    <t>268-2025</t>
  </si>
  <si>
    <t>JARAMILLO AGUDELO CLEN DAVID</t>
  </si>
  <si>
    <t>5/03/2025 11:52</t>
  </si>
  <si>
    <t>266-2025</t>
  </si>
  <si>
    <t>MATTOS SOTO SEBASTIAN DE JESUS</t>
  </si>
  <si>
    <t>11/03/2025 10:11</t>
  </si>
  <si>
    <t>265-2025</t>
  </si>
  <si>
    <t>RAMIREZ PEREZ ERIKA INES</t>
  </si>
  <si>
    <t>17/02/2025 9:03</t>
  </si>
  <si>
    <t>058-2025</t>
  </si>
  <si>
    <t>TAMAYO  FRANQUIN LEON</t>
  </si>
  <si>
    <t>17/02/2025 9:17</t>
  </si>
  <si>
    <t>057-2025</t>
  </si>
  <si>
    <t>RIVERA MUÑOZ KAREN TATIANA</t>
  </si>
  <si>
    <t>20/02/2025 9:57</t>
  </si>
  <si>
    <t>067-2025</t>
  </si>
  <si>
    <t xml:space="preserve">RODRIGUEZ HENAO ALEJANDRO </t>
  </si>
  <si>
    <t>26/02/2025 15:14</t>
  </si>
  <si>
    <t>247-2025</t>
  </si>
  <si>
    <t>MEJIA HINCAPIE RAUL ALBERTO</t>
  </si>
  <si>
    <t>18/03/2025 11:43</t>
  </si>
  <si>
    <t>327-2025</t>
  </si>
  <si>
    <t>PEREZ BOTERO JACKSON DAVID</t>
  </si>
  <si>
    <t>25/03/2025 10:31</t>
  </si>
  <si>
    <t>342-2025</t>
  </si>
  <si>
    <t>CASTRO GARCIA JORGE LUIS</t>
  </si>
  <si>
    <t>27/03/2025 15:58</t>
  </si>
  <si>
    <t>345-2025</t>
  </si>
  <si>
    <t>ASOCIACION DE ENTES DEPORTIVOS DEL SUROESTE ANTIOQUEÑO</t>
  </si>
  <si>
    <t>14/02/2025 10:57</t>
  </si>
  <si>
    <t>048-2025</t>
  </si>
  <si>
    <t>LOPERA MALO JUAN FERNANDO</t>
  </si>
  <si>
    <t>14/02/2025 11:00</t>
  </si>
  <si>
    <t>049-2025</t>
  </si>
  <si>
    <t>SUAREZ TOBON LENIS SORELY</t>
  </si>
  <si>
    <t>14/02/2025 16:00</t>
  </si>
  <si>
    <t>051-2025</t>
  </si>
  <si>
    <t xml:space="preserve">BUSTAMANTE SALAZAR NATALIA </t>
  </si>
  <si>
    <t>18/02/2025 8:24</t>
  </si>
  <si>
    <t>065-2025</t>
  </si>
  <si>
    <t>URIBE HENAO FREDY ALEXANDER</t>
  </si>
  <si>
    <t>26/02/2025 15:25</t>
  </si>
  <si>
    <t>249-2025</t>
  </si>
  <si>
    <t>UNIVERSIDAD AUTONOMA LATINOAMERICANA</t>
  </si>
  <si>
    <t>27/02/2025 14:51</t>
  </si>
  <si>
    <t>250-2025</t>
  </si>
  <si>
    <t>MONROY ESCUDERO HECTOR ALONSO</t>
  </si>
  <si>
    <t>12/03/2025 9:22</t>
  </si>
  <si>
    <t>259-2025</t>
  </si>
  <si>
    <t>31/03/2025 22:23</t>
  </si>
  <si>
    <t>326-2025</t>
  </si>
  <si>
    <t>18/02/2025 16:34</t>
  </si>
  <si>
    <t>069-2025</t>
  </si>
  <si>
    <t>RAMIREZ RAMIREZ ROBINSON DE JESUS</t>
  </si>
  <si>
    <t>19/02/2025 9:16</t>
  </si>
  <si>
    <t>070-2025</t>
  </si>
  <si>
    <t>SILVA ORDOÑEZ JUAN ESTEBAN</t>
  </si>
  <si>
    <t>21/02/2025 16:39</t>
  </si>
  <si>
    <t>242-2025</t>
  </si>
  <si>
    <t xml:space="preserve">JARAMILLO BETANCUR JULIANA </t>
  </si>
  <si>
    <t>24/02/2025 9:47</t>
  </si>
  <si>
    <t>239-2025</t>
  </si>
  <si>
    <t>MUÑOZ GIRALDO ERASMO HUMBERTO</t>
  </si>
  <si>
    <t>24/02/2025 9:50</t>
  </si>
  <si>
    <t>231-2025</t>
  </si>
  <si>
    <t>OSPINA BOHORQUEZ OSCAR ALEJANDRO</t>
  </si>
  <si>
    <t>24/02/2025 10:17</t>
  </si>
  <si>
    <t>234-2025</t>
  </si>
  <si>
    <t>OSPINA OSPINA JULIAN DAVID</t>
  </si>
  <si>
    <t>24/02/2025 13:56</t>
  </si>
  <si>
    <t>235-2025</t>
  </si>
  <si>
    <t>SANDOVAL VALENCIA EDER ALEISO</t>
  </si>
  <si>
    <t>26/02/2025 9:10</t>
  </si>
  <si>
    <t>255-2025</t>
  </si>
  <si>
    <t xml:space="preserve">SANDOVAL VALENCIA ESTEBAN </t>
  </si>
  <si>
    <t>26/02/2025 9:13</t>
  </si>
  <si>
    <t>244-2025</t>
  </si>
  <si>
    <t xml:space="preserve">FRANCO SANCHEZ CARLOS ANDRES </t>
  </si>
  <si>
    <t>4/03/2025 13:44</t>
  </si>
  <si>
    <t>245-2025</t>
  </si>
  <si>
    <t>POSADA ZAPATA CARLOS ALBERTO</t>
  </si>
  <si>
    <t>6/03/2025 14:30</t>
  </si>
  <si>
    <t>262-2025</t>
  </si>
  <si>
    <t>GOMEZ JARAMILLO TATIANA LEANY</t>
  </si>
  <si>
    <t>17/03/2025 16:11</t>
  </si>
  <si>
    <t>332-2025</t>
  </si>
  <si>
    <t>ASOCIACION DE CABILDOS INDIGENAS DE ANTIOQUIA</t>
  </si>
  <si>
    <t>18/03/2025 15:26</t>
  </si>
  <si>
    <t>325-2025</t>
  </si>
  <si>
    <t>LONDOÑO  JAIME ANDRES</t>
  </si>
  <si>
    <t>29/01/2025 16:08</t>
  </si>
  <si>
    <t>002-2025</t>
  </si>
  <si>
    <t>SIERRA DUQUE VICTOR HUGO</t>
  </si>
  <si>
    <t>13/02/2025 8:25</t>
  </si>
  <si>
    <t>050-2025</t>
  </si>
  <si>
    <t>RENDON CORREA MARIA ALEJANDRA</t>
  </si>
  <si>
    <t>27/02/2025 10:25</t>
  </si>
  <si>
    <t>251-2025</t>
  </si>
  <si>
    <t>VELASQUEZ RUEDA JUAN CAMILO</t>
  </si>
  <si>
    <t>4/03/2025 8:09</t>
  </si>
  <si>
    <t>254-2025</t>
  </si>
  <si>
    <t>ROMAN GARCES MONICA PATRICIA</t>
  </si>
  <si>
    <t>11/02/2025 8:31</t>
  </si>
  <si>
    <t>024-2025</t>
  </si>
  <si>
    <t>RAMIREZ VELEZ MIGUEL ANGEL</t>
  </si>
  <si>
    <t>12/02/2025 10:55</t>
  </si>
  <si>
    <t>023-2025</t>
  </si>
  <si>
    <t>PATIÑO ZAPATA MAURICIO ALONSO</t>
  </si>
  <si>
    <t>13/02/2025 14:36</t>
  </si>
  <si>
    <t>041-2025</t>
  </si>
  <si>
    <t>VALENCIA GALVIS JUAN CAMILO</t>
  </si>
  <si>
    <t>13/02/2025 16:08</t>
  </si>
  <si>
    <t>043-2025</t>
  </si>
  <si>
    <t>PAREJO ORTIZ MARIA ALEJANDRA</t>
  </si>
  <si>
    <t>13/02/2025 16:21</t>
  </si>
  <si>
    <t>042-2025</t>
  </si>
  <si>
    <t xml:space="preserve">GOMEZ ARROYAVE VANESSA </t>
  </si>
  <si>
    <t>13/02/2025 17:36</t>
  </si>
  <si>
    <t>044-2025</t>
  </si>
  <si>
    <t>TAMAYO HIGUITA VIVIAN MELISA</t>
  </si>
  <si>
    <t>Rubro</t>
  </si>
  <si>
    <t>NombredeRubro</t>
  </si>
  <si>
    <t>CódigoCorto</t>
  </si>
  <si>
    <t>Indemnizacion por Vacaciones</t>
  </si>
  <si>
    <t>Apoyo de sostenimiento aprendices SENA</t>
  </si>
  <si>
    <t>Auxilios Educativos - Segunda Lengua</t>
  </si>
  <si>
    <t>Auxilios Educativos - Acuerdo Fondo Educación</t>
  </si>
  <si>
    <t>Apoyos, Aprovechamiento y Capacitación - Servicios para la comunidad, sociales y personales</t>
  </si>
  <si>
    <t>Licencias de maternidad y paternidad (no de pensiones)</t>
  </si>
  <si>
    <t>Sentencias</t>
  </si>
  <si>
    <t>Conciliaciones</t>
  </si>
  <si>
    <t xml:space="preserve">Préstamos por calamidad doméstica </t>
  </si>
  <si>
    <t>Acuerdo sindical bicicleta prestamos reembolsables</t>
  </si>
  <si>
    <t>Mantenimiento de la infraestructura de las sedes operativas para la prestación de servicios deportivos, recreativos y de actividad física en las regiones de Antioquia -Otros bienes transportables (excepto productos metálicos, maquinaria y equipo)</t>
  </si>
  <si>
    <t>Mantenimiento de la infraestructura de las sedes operativas para la prestación de servicios deportivos, recreativos y de actividad física en las regiones de Antioquia -Construcción y servicios de la construcción</t>
  </si>
  <si>
    <t>Fortalecimiento de los sistemas de información y la gestión estratégica para el deporte, la recreación y la actividad física de Antioquia (sistemas) Productos metálicos, maquinaria y equipo</t>
  </si>
  <si>
    <t xml:space="preserve">Fortalecimiento de los sistemas de información y la gestión estratégica para el deporte, la recreación y la actividad física de Antioquia-(Investigación) -Servicios prestados a las empresas y servicios de producción </t>
  </si>
  <si>
    <t xml:space="preserve">Fortalecimiento de los sistemas de información y la gestión estratégica para el deporte, la recreación y la actividad física de Antioquia (CADA) -Servicios prestados a las empresas y servicios de producción </t>
  </si>
  <si>
    <t>Asesoria médica y de ciencias aplicadas al desarrollo del rendimiento deportivo de atletas y para-atletas de Antioquia -Otros bienes transportables (excepto productos metálicos, maquinaria y equipo)</t>
  </si>
  <si>
    <t>Fortalecimiento del desarrollo deportivo con miras al alto rendimiento competitivo de los atletas del departamento de Antioquia -Actividades de promoción y desarrollo del Deporte</t>
  </si>
  <si>
    <t>Desarrollo y promoción del deporte formativo, la recreación y la actividad física en el departamento Antioquia - Comercio y distribución; alojamiento; servicios de suministro de comidas y bebidas; servicios de transporte; y servicios de distribución de electricidad, gas y agua</t>
  </si>
  <si>
    <t>Asesoria y acompañamiento institucional para el deporte formativo, la recreación y la actividad física en el departamento de Antioquia -Actividades de promoción y desarrollo del Deporte</t>
  </si>
  <si>
    <t>Capacitación para el sector del deporte, la recreación y la actividad física en el Departamento de   Antioquia -Comercio y distribución; alojamiento; servicios de suministro de comidas y bebidas; servicios de transporte; y servicios de distribución de electricidad, gas y agua</t>
  </si>
  <si>
    <t>Fortalecimiento de los juegos deportivos institucionales en los municipios del departamento de Antioquia -Comercio y distribución; alojamiento; servicios de suministro de comidas y bebidas; servicios de transporte; y servicios de distribución de electricidad, gas y agua</t>
  </si>
  <si>
    <t>Cofinanciación de dotación de implementación para el deporte la recreación y a la actividad física en el departamento de Antioquia -Otros bienes transportables (excepto productos metálicos, maquinaria y equipo)</t>
  </si>
  <si>
    <t>Construcción de escenarios deportivos en el departamento de Antioquia -Productos metálicos, maquinaria y equipo</t>
  </si>
  <si>
    <t xml:space="preserve">Construcción de escenarios deportivos en el departamento de Antioquia -Para la adquisición de activos no financieros </t>
  </si>
  <si>
    <t>Mantenimiento, Adecuación, Mejoras De Escenarios   Deportivos O Equipamientos En El Departamento De Antioquia - Comercio Y Distribución; Alojamiento; Servicios De Suministro De Comidas Y   Bebidas; Servicios De Transporte; Y   Servicios De Distribución De Electricidad, Gas Y Agua.</t>
  </si>
  <si>
    <t>1.00.0000.00.0-101024.2.1.1.01.01.001.01.</t>
  </si>
  <si>
    <t>Sueldo Básico</t>
  </si>
  <si>
    <t>SERVICIO DE EMERGENCIA MÉDICA- SERVICIOS PARA LA COMUNIDAD, SOCIALES Y PERSONALES</t>
  </si>
  <si>
    <t>Fortalecimiento De Los Juegos Deportivos institucionales En Los   Municipios Del Departamento De Antioquia -  Servicios Para La Comunidad, Sociales Y   Personales</t>
  </si>
  <si>
    <t>Cofinanciación De Dotación de Implementación Para El Deporte La Recreación Y A La Actividad Física En El Departamento De Antioquia -Otros Bienes Transportables (Excepto Productos</t>
  </si>
  <si>
    <t>Asesoría Médica Y   De Ciencias Aplicadas Al    Desarrollo Del Rendimiento Deportivo De   Atletas Y Para-Atletas De Antioquia -Otros   Bienes Transportables (Excepto Productos Metálicos, Maquinaria Y   Equipo)</t>
  </si>
  <si>
    <t>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t>
  </si>
  <si>
    <t xml:space="preserve">Fortalecimiento Del Desarrollo Deportivo Con Miras Al Alto Rendimiento Competitivo De Los Atletas Del Departamento De Antioquia -Actividades De Promoción Y   Desarrollo Del Deporte </t>
  </si>
  <si>
    <t>Construcción De Escenarios Deportivos En El Departamento De Antioquia - Construcción Y Servicios De La Construcción</t>
  </si>
  <si>
    <t>Etiquetas de fila</t>
  </si>
  <si>
    <t>Suma de Valor definitivo (manual)</t>
  </si>
  <si>
    <t>Suma de COMPROMETIDO</t>
  </si>
  <si>
    <t>Suma de VALOR A LIBERAR</t>
  </si>
  <si>
    <t>Apoyo económico a las organizaciones deportivas que representan en competencias al departamento de Antioquia</t>
  </si>
  <si>
    <t>Total general</t>
  </si>
  <si>
    <t xml:space="preserve">valor a liberar igual a saldo no contratado </t>
  </si>
  <si>
    <t>de este valor está pendiente la expedición de compromisos que deja sin recursos esta actividad</t>
  </si>
  <si>
    <t>SOLICITUDDEINFORMACIÓNALOSPROVEEDORES</t>
  </si>
  <si>
    <t>CCE-01</t>
  </si>
  <si>
    <t>09</t>
  </si>
  <si>
    <t>VentasLicor</t>
  </si>
  <si>
    <t>050069</t>
  </si>
  <si>
    <t>22</t>
  </si>
  <si>
    <t>1NuestraGente</t>
  </si>
  <si>
    <t>1.8Antioquiaunidaporelpotencialdeportivo</t>
  </si>
  <si>
    <t>1.8.1Antioquiareferentedeportivo</t>
  </si>
  <si>
    <t>APOYO_TÉCNICO_Y_PSICOSOCIAL_A_LOS_DEPORTISTAS_DE_ANTIOQUIA</t>
  </si>
  <si>
    <t>SUBGERENCIA DE ALTOS LOGROS Y DEPORTE ASOCIADO</t>
  </si>
  <si>
    <t>MauricioPinzónBotero</t>
  </si>
  <si>
    <t>mpinzon@indeportesantioquia.gov.co</t>
  </si>
  <si>
    <t>SUBGERENCIADEALTOSLOGROS</t>
  </si>
  <si>
    <t>Inversión</t>
  </si>
  <si>
    <t>LICITACIÓNPÚBLICA</t>
  </si>
  <si>
    <t>CCE-02</t>
  </si>
  <si>
    <t>16</t>
  </si>
  <si>
    <t>Tabaco70%</t>
  </si>
  <si>
    <t>050068</t>
  </si>
  <si>
    <t>91</t>
  </si>
  <si>
    <t>APOYO_CIENTÍFICO_AL_RENDIMIENTO_DEPORTIVO_Y_LA_ACTIVIDAD_FÍSICA_EN_EL_DEPARTAMENTO_DE_ANTIOQUIA</t>
  </si>
  <si>
    <t>LICITACIÓNPÚBLICA(OBRAPÚBLICA)</t>
  </si>
  <si>
    <t>CCE-17</t>
  </si>
  <si>
    <t>17</t>
  </si>
  <si>
    <t>Tabaco30%</t>
  </si>
  <si>
    <t>050061</t>
  </si>
  <si>
    <t>20</t>
  </si>
  <si>
    <t>FORTALECIMIENTO_DEL_PROGRAMA_DE_ALTOS_LOGROS_Y_LIDERAZGO_DEPORTIVO_EN_EL_DEPARTAMENTO_DE_ANTIOQUIA</t>
  </si>
  <si>
    <t>CONCURSODEMÉRITOSCONPRECALIFICACIÓN</t>
  </si>
  <si>
    <t>CCE-03</t>
  </si>
  <si>
    <t>23</t>
  </si>
  <si>
    <t>DepartamentoSuperávitTransferenciasDirectas</t>
  </si>
  <si>
    <t>050065</t>
  </si>
  <si>
    <t>21</t>
  </si>
  <si>
    <t>DESARROLLO_DEL_POTENCIAL_DEPORTIVO_EN_EL_DEPARTAMENTO_DE_ANTIOQUIA</t>
  </si>
  <si>
    <t>CONCURSODEMÉRITOSABIERTO</t>
  </si>
  <si>
    <t>CCE-04</t>
  </si>
  <si>
    <t>24</t>
  </si>
  <si>
    <t>TransferenciasDirectas</t>
  </si>
  <si>
    <t>050067</t>
  </si>
  <si>
    <t>92</t>
  </si>
  <si>
    <t>FORTALECIMIENTO_DE_LA_IMAGEN_INSTITUCIONAL_COMO_REFERENTE_SOCIAL_PARA_EL_DEPARTAMENTO_DE_ANTIOQUIA</t>
  </si>
  <si>
    <t>OFICINADECOMUNICACIONES</t>
  </si>
  <si>
    <t>MarthaYolimaFigueroa</t>
  </si>
  <si>
    <t>mfigueroa@indeportesantioquia.gov.co</t>
  </si>
  <si>
    <t>GestiónContractual</t>
  </si>
  <si>
    <t>CONTRATACIÓNDIRECTA(CONOFERTAS)</t>
  </si>
  <si>
    <t>CCE-05</t>
  </si>
  <si>
    <t>28</t>
  </si>
  <si>
    <t>LeydeLicores</t>
  </si>
  <si>
    <t>050063</t>
  </si>
  <si>
    <t>48</t>
  </si>
  <si>
    <t>1.8.2Sistemadepartamentaldecapacitaciónparaeldeporte</t>
  </si>
  <si>
    <t>CAPACITACION_PARA_EL_SECTOR_DEL_DEPORTE_LA_ACTIVIDAD_FISICA_LA_RECREACION_Y_LA_EDUCACION_FISICA_DE_ANTI</t>
  </si>
  <si>
    <t>SUBGERENCIA DE FOMENTO Y DESARROLLO</t>
  </si>
  <si>
    <t>HéctorVásquez</t>
  </si>
  <si>
    <t>hvasquez@indeportesantioquia.gov.co</t>
  </si>
  <si>
    <t>SUBGERENCIAFOMENTOYDESARROLLO</t>
  </si>
  <si>
    <t>SELECCIÓNABREVIADAMENORCUANTÍA</t>
  </si>
  <si>
    <t>CCE-06</t>
  </si>
  <si>
    <t>29</t>
  </si>
  <si>
    <t>EstampillaProdesarrollo</t>
  </si>
  <si>
    <t>90</t>
  </si>
  <si>
    <t>1.8.3Desarrolloyfortalecimientoinstitucional</t>
  </si>
  <si>
    <t>MEJORAMIENTO_DEL_SISTEMA_DE_INFORMACIÓN_DE_INDEPORTES_ANTIOQUIA</t>
  </si>
  <si>
    <t>OFICINA DE SISTEMAS</t>
  </si>
  <si>
    <t>SELECCIÓNABREVIADADEMENORCUANTIASINMANIFESTACIONDEINTERÉS</t>
  </si>
  <si>
    <t>CCE-18-Seleccion_Abreviada_Menor_Cuantia_Sin_Manifestacion_Interes</t>
  </si>
  <si>
    <t>50</t>
  </si>
  <si>
    <t>ConvenioMinisterioDeporte</t>
  </si>
  <si>
    <t>54</t>
  </si>
  <si>
    <t>FORTALECIMIENTO_DEL_OBSERVATORIO_DEL_DEPORTE_DE_ANTIOQUIA</t>
  </si>
  <si>
    <t>OFICINA DE PLANEACION</t>
  </si>
  <si>
    <t>SELECCIÓNABREVIADASUBASTAINVERSA</t>
  </si>
  <si>
    <t>CCE-07</t>
  </si>
  <si>
    <t>51</t>
  </si>
  <si>
    <t>050058</t>
  </si>
  <si>
    <t>64</t>
  </si>
  <si>
    <t>3NuestroPlaneta</t>
  </si>
  <si>
    <t>3.1Antioquiahábitatsostenible</t>
  </si>
  <si>
    <t>3.1.9InfraestructuradeportivaparaAntioquia</t>
  </si>
  <si>
    <t>MEJORAMIENTO_DE_LA_INFRAESTRUCTURA_DEPORTIVA_Y_RECREATIVA_EN_EL_DEPARTAMENTO_DE_ANTIOQUIA</t>
  </si>
  <si>
    <t>SUBGERENCIA ESCENARIOS DEPORTIVOS Y EQUIPAMIENTOS</t>
  </si>
  <si>
    <t>MÍNIMACUANTÍA</t>
  </si>
  <si>
    <t>CCE-10</t>
  </si>
  <si>
    <t>30</t>
  </si>
  <si>
    <t>Ordenanza39</t>
  </si>
  <si>
    <t>050066</t>
  </si>
  <si>
    <t>94</t>
  </si>
  <si>
    <t>CONSTRUCCIÓN_DE_UNIDADES_DE_VIDA_PARA_ANTIOQUIA_U.V.A</t>
  </si>
  <si>
    <t>CONTRATACIÓNRÉGIMENESPECIAL-SELECCIÓNDECOMISIONISTA</t>
  </si>
  <si>
    <t>CCE-11||01</t>
  </si>
  <si>
    <t>00</t>
  </si>
  <si>
    <t>TasaProdeporte</t>
  </si>
  <si>
    <t>050052</t>
  </si>
  <si>
    <t>93</t>
  </si>
  <si>
    <t>CONSTRUCCIÓN_DE_CENTRO_DE_ALTO_RENDIMIENTO_EN_APARTADÓ</t>
  </si>
  <si>
    <t>CONTRATACIÓNRÉGIMENESPECIAL-ENAJENACIÓNDEBIENESPARAINTERMEDIARIOSIDÓNEOS</t>
  </si>
  <si>
    <t>CCE-11||02</t>
  </si>
  <si>
    <t>52</t>
  </si>
  <si>
    <t>050055</t>
  </si>
  <si>
    <t>45</t>
  </si>
  <si>
    <t>4NuestraVida</t>
  </si>
  <si>
    <t>4.2BienestaractivoysaludableparaAntioquia</t>
  </si>
  <si>
    <t>4.2.10Deporteysaludparalavida</t>
  </si>
  <si>
    <t>FORTALECIMIENTO_DEL_PROGRAMA_POR_SU_SALUD_MUÉVASE_PUES_EN_LOS_MUNICIPIO_DEL_DEPARTAMENTO_DE_ANTIOQUIA</t>
  </si>
  <si>
    <t>CONTRATACIÓNRÉGIMENESPECIAL-RÉGIMENESPECIAL</t>
  </si>
  <si>
    <t>CCE-11||03</t>
  </si>
  <si>
    <t>050064</t>
  </si>
  <si>
    <t>47</t>
  </si>
  <si>
    <t>FORTALECIMIENTO_DE_LOS_PROGRAMAS_RECREATIVOS_EN_LOS_MUNICIPIOS_DEL_DEPARTAMENTO_DE_ANTIOQUIA</t>
  </si>
  <si>
    <t>CONTRATACIÓNRÉGIMENESPECIAL-BANCOMULTILATERALYORGANISMOSMULTILATERALES</t>
  </si>
  <si>
    <t>CCE-11||04</t>
  </si>
  <si>
    <t>050059</t>
  </si>
  <si>
    <t>46</t>
  </si>
  <si>
    <t>FORTALECIMIENTO_DE_LAS_ESCUELAS_DEPORTIVAS_EN_LOS_MUNICIPIOS_DEL_DEPARTAMENTO_DE_ANTIOQUIA</t>
  </si>
  <si>
    <t>CONTRATACIÓNRÉGIMENESPECIAL(CONOFERTAS)-SELECCIÓNDECOMISIONISTA</t>
  </si>
  <si>
    <t>CCE-15||01</t>
  </si>
  <si>
    <t>050057</t>
  </si>
  <si>
    <t>FORTALECIMIENTO_DE_LOS_JUEGOS_DEL_SECTOR_SOCIAL_COMUNITARIO_EN_LOS_MUNICIPIOS_DEL_DEPARTAMENTO_DE_ANTIOQU</t>
  </si>
  <si>
    <t>CONTRATACIÓNRÉGIMENESPECIAL(CONOFERTAS)-ENAJENACIÓNDEBIENESPARAINTERMEDIARIOSIDÓNEOS</t>
  </si>
  <si>
    <t>CCE-15||02</t>
  </si>
  <si>
    <t>050053</t>
  </si>
  <si>
    <t>FORTALECIMIENTO_DE_LOS_JUEGOS_DEL_SECTOR_EDUCATIVO_EN_ANTIOQUIA</t>
  </si>
  <si>
    <t>CONTRATACIÓNRÉGIMENESPECIAL(CONOFERTAS)-RÉGIMENESPECIAL</t>
  </si>
  <si>
    <t>CCE-15||03</t>
  </si>
  <si>
    <t>Funcionamiento</t>
  </si>
  <si>
    <t>FUNCIONAMIENTO</t>
  </si>
  <si>
    <t>CONTRATACIÓNRÉGIMENESPECIAL(CONOFERTAS)-BANCOMULTILATERALYORGANISMOSMULTILATERALES</t>
  </si>
  <si>
    <t>CCE-15||04</t>
  </si>
  <si>
    <t>050056</t>
  </si>
  <si>
    <t>53</t>
  </si>
  <si>
    <t>LeydelCigarrillo</t>
  </si>
  <si>
    <t>FORTALECIMIENTO_DEL_DEPORTE_FORMATIVO_EN_LOS_MUNICIPIOS_DEL_DEPARTAMENTO_DE_ANTIOQUIA</t>
  </si>
  <si>
    <t>CONTRATACIÓNDIRECTA.</t>
  </si>
  <si>
    <t>CCE-16</t>
  </si>
  <si>
    <t>050073</t>
  </si>
  <si>
    <t>74</t>
  </si>
  <si>
    <t>Línea 2: Cohesión desde lo social</t>
  </si>
  <si>
    <t xml:space="preserve">Bien-Estar: salud integral </t>
  </si>
  <si>
    <t>Deporte, recreación y actividad física para la transformación social</t>
  </si>
  <si>
    <t>Cofinanciación de dotación de implementación para el deporte la recreación y a la actividad física en el departamento de Antioquia</t>
  </si>
  <si>
    <t>SELÉCCIONABREVIADA-ACUERDOMARCO</t>
  </si>
  <si>
    <t>CCE-99</t>
  </si>
  <si>
    <t>050081</t>
  </si>
  <si>
    <t>73</t>
  </si>
  <si>
    <t>Fortalecimiento de los juegos deportivos institucionales en los municipios del departamento de Antioquia</t>
  </si>
  <si>
    <t>Resolución</t>
  </si>
  <si>
    <t>050072</t>
  </si>
  <si>
    <t>72</t>
  </si>
  <si>
    <t>Capacitación para el sector del deporte, la recreación y la actividad física en el Departamento de   Antioquia</t>
  </si>
  <si>
    <t>220387</t>
  </si>
  <si>
    <t>77</t>
  </si>
  <si>
    <t xml:space="preserve">Fortalecimiento y gestión para el desarrollo deportivo </t>
  </si>
  <si>
    <t>Fortalecimiento de los sistemas de información y la gestión estratégica para el deporte, la recreación y la actividad física de Antioquia</t>
  </si>
  <si>
    <t>220381</t>
  </si>
  <si>
    <t>04</t>
  </si>
  <si>
    <t>Mantenimiento de la infraestructura de las sedes operativas para la prestación de servicios deportivos, recreativos y de actividad física en las regiones de Antioquia</t>
  </si>
  <si>
    <t>Mes</t>
  </si>
  <si>
    <t>Código</t>
  </si>
  <si>
    <t>050079</t>
  </si>
  <si>
    <t>84</t>
  </si>
  <si>
    <t>Desarrollo del rendimiento deportivo para la competencia</t>
  </si>
  <si>
    <t>Apoyo técnico a atletas y para-atletas que representan en alto rendimiento deportivo al departamento de Antioquia</t>
  </si>
  <si>
    <t>Enero</t>
  </si>
  <si>
    <t>050080</t>
  </si>
  <si>
    <t>03</t>
  </si>
  <si>
    <t>Asesoria médica y de ciencias aplicadas al desarrollo del rendimiento deportivo de atletas y para-atletas de Antioquia</t>
  </si>
  <si>
    <t>Febrero</t>
  </si>
  <si>
    <t>050076</t>
  </si>
  <si>
    <t>02</t>
  </si>
  <si>
    <t>Marzo</t>
  </si>
  <si>
    <t>050077</t>
  </si>
  <si>
    <t>85</t>
  </si>
  <si>
    <t>Apoyo y subvención para satisfacer necesidades propias del proceso de preparación y competencia de los Atletas y Para-atletas de alto rendimiento del departamento de Antioquia</t>
  </si>
  <si>
    <t>Abril</t>
  </si>
  <si>
    <t>050078</t>
  </si>
  <si>
    <t>87</t>
  </si>
  <si>
    <t>Fortalecimiento del desarrollo deportivo con miras al alto rendimiento competitivo de los atletas del departamento de Antioquia</t>
  </si>
  <si>
    <t>Mayo</t>
  </si>
  <si>
    <t>050074</t>
  </si>
  <si>
    <t>76</t>
  </si>
  <si>
    <t>Espacios deportivos protectores e incluyentes</t>
  </si>
  <si>
    <t>Construcción de escenarios deportivos en el departamento de Antioquia</t>
  </si>
  <si>
    <t>Junio</t>
  </si>
  <si>
    <t>050070</t>
  </si>
  <si>
    <t>75</t>
  </si>
  <si>
    <t>Mantenimiento, adecuación, mejoras de escenarios deportivos o equipamientos en el departamento de Antioquia</t>
  </si>
  <si>
    <t>Julio</t>
  </si>
  <si>
    <t>050071</t>
  </si>
  <si>
    <t>10</t>
  </si>
  <si>
    <t>Asesoria y acompañamiento institucional para el deporte formativo, la recreación y la actividad física en el departamento de Antioquia</t>
  </si>
  <si>
    <t>Agosto</t>
  </si>
  <si>
    <t>050075</t>
  </si>
  <si>
    <t>01</t>
  </si>
  <si>
    <t>Desarrollo y promoción del deporte formativo, la recreación y la actividad física en el departamento Antioquia</t>
  </si>
  <si>
    <t>Septiembre</t>
  </si>
  <si>
    <t>Octubre</t>
  </si>
  <si>
    <t>Noviembre</t>
  </si>
  <si>
    <t>Diciembre</t>
  </si>
  <si>
    <t>Name</t>
  </si>
  <si>
    <t>Extension</t>
  </si>
  <si>
    <t>Date accessed</t>
  </si>
  <si>
    <t>Date modified</t>
  </si>
  <si>
    <t>Date created</t>
  </si>
  <si>
    <t>Folder Path</t>
  </si>
  <si>
    <t>01 Deportistas Antioqueños.xlsx</t>
  </si>
  <si>
    <t>.xlsx</t>
  </si>
  <si>
    <t>https://indeportesantioquia.sharepoint.com/sites/ObservatoriodelDeporteInformesdeanaltica/Documentos compartidos/Informes de Analítica/INDICADORES/Indicadores Resultado/</t>
  </si>
  <si>
    <t>02 Medallas de oro.xlsx</t>
  </si>
  <si>
    <t>03 Capacitacion.xlsx</t>
  </si>
  <si>
    <t>04 Politica Publica.xlsx</t>
  </si>
  <si>
    <t>05 programas ludicos, recreativos o deportivos.xlsx</t>
  </si>
  <si>
    <t>2. F-CA-89_Plan Anual de Adquisiciones 2025.xlsx</t>
  </si>
  <si>
    <t>https://indeportesantioquia.sharepoint.com/sites/ObservatoriodelDeporteInformesdeanaltica/Documentos compartidos/RESPALDO/PAA/</t>
  </si>
  <si>
    <t>2. F-CA-89_Plan Anual de Adquisiciones 20251.xlsx</t>
  </si>
  <si>
    <t>2. F-CA-89_Plan Anual de Adquisiciones 202510.xlsx</t>
  </si>
  <si>
    <t>2. F-CA-89_Plan Anual de Adquisiciones 202511.xlsx</t>
  </si>
  <si>
    <t>2. F-CA-89_Plan Anual de Adquisiciones 202512.xlsx</t>
  </si>
  <si>
    <t>2. F-CA-89_Plan Anual de Adquisiciones 202513.xlsx</t>
  </si>
  <si>
    <t>2. F-CA-89_Plan Anual de Adquisiciones 202514.xlsx</t>
  </si>
  <si>
    <t>2. F-CA-89_Plan Anual de Adquisiciones 202515.xlsx</t>
  </si>
  <si>
    <t>2. F-CA-89_Plan Anual de Adquisiciones 202516.xlsx</t>
  </si>
  <si>
    <t>2. F-CA-89_Plan Anual de Adquisiciones 202517.xlsx</t>
  </si>
  <si>
    <t>2. F-CA-89_Plan Anual de Adquisiciones 202518.xlsx</t>
  </si>
  <si>
    <t>2. F-CA-89_Plan Anual de Adquisiciones 202519.xlsx</t>
  </si>
  <si>
    <t>2. F-CA-89_Plan Anual de Adquisiciones 20252.xlsx</t>
  </si>
  <si>
    <t>2. F-CA-89_Plan Anual de Adquisiciones 202520.xlsx</t>
  </si>
  <si>
    <t>2. F-CA-89_Plan Anual de Adquisiciones 202521.xlsx</t>
  </si>
  <si>
    <t>2. F-CA-89_Plan Anual de Adquisiciones 202522.xlsx</t>
  </si>
  <si>
    <t>2. F-CA-89_Plan Anual de Adquisiciones 202523.xlsx</t>
  </si>
  <si>
    <t>2. F-CA-89_Plan Anual de Adquisiciones 202524.xlsx</t>
  </si>
  <si>
    <t>2. F-CA-89_Plan Anual de Adquisiciones 202525.xlsx</t>
  </si>
  <si>
    <t>2. F-CA-89_Plan Anual de Adquisiciones 202526.xlsx</t>
  </si>
  <si>
    <t>2. F-CA-89_Plan Anual de Adquisiciones 202527.xlsx</t>
  </si>
  <si>
    <t>2. F-CA-89_Plan Anual de Adquisiciones 202528.xlsx</t>
  </si>
  <si>
    <t>2. F-CA-89_Plan Anual de Adquisiciones 202529.xlsx</t>
  </si>
  <si>
    <t>2. F-CA-89_Plan Anual de Adquisiciones 20253.xlsx</t>
  </si>
  <si>
    <t>2. F-CA-89_Plan Anual de Adquisiciones 202530.xlsx</t>
  </si>
  <si>
    <t>2. F-CA-89_Plan Anual de Adquisiciones 202531.xlsx</t>
  </si>
  <si>
    <t>2. F-CA-89_Plan Anual de Adquisiciones 202532.xlsx</t>
  </si>
  <si>
    <t>2. F-CA-89_Plan Anual de Adquisiciones 202533.xlsx</t>
  </si>
  <si>
    <t>2. F-CA-89_Plan Anual de Adquisiciones 202534.xlsx</t>
  </si>
  <si>
    <t>2. F-CA-89_Plan Anual de Adquisiciones 202535.xlsx</t>
  </si>
  <si>
    <t>2. F-CA-89_Plan Anual de Adquisiciones 202536.xlsx</t>
  </si>
  <si>
    <t>2. F-CA-89_Plan Anual de Adquisiciones 202537.xlsx</t>
  </si>
  <si>
    <t>2. F-CA-89_Plan Anual de Adquisiciones 202538.xlsx</t>
  </si>
  <si>
    <t>2. F-CA-89_Plan Anual de Adquisiciones 202539.xlsx</t>
  </si>
  <si>
    <t>2. F-CA-89_Plan Anual de Adquisiciones 20254.xlsx</t>
  </si>
  <si>
    <t>2. F-CA-89_Plan Anual de Adquisiciones 202540.xlsx</t>
  </si>
  <si>
    <t>2. F-CA-89_Plan Anual de Adquisiciones 202541.xlsx</t>
  </si>
  <si>
    <t>2. F-CA-89_Plan Anual de Adquisiciones 202542.xlsx</t>
  </si>
  <si>
    <t>2. F-CA-89_Plan Anual de Adquisiciones 202543.xlsx</t>
  </si>
  <si>
    <t>2. F-CA-89_Plan Anual de Adquisiciones 202544.xlsx</t>
  </si>
  <si>
    <t>2. F-CA-89_Plan Anual de Adquisiciones 202545.xlsx</t>
  </si>
  <si>
    <t>2. F-CA-89_Plan Anual de Adquisiciones 202546.xlsx</t>
  </si>
  <si>
    <t>2. F-CA-89_Plan Anual de Adquisiciones 202547.xlsx</t>
  </si>
  <si>
    <t>2. F-CA-89_Plan Anual de Adquisiciones 202548.xlsx</t>
  </si>
  <si>
    <t>2. F-CA-89_Plan Anual de Adquisiciones 202549.xlsx</t>
  </si>
  <si>
    <t>2. F-CA-89_Plan Anual de Adquisiciones 20255.xlsx</t>
  </si>
  <si>
    <t>2. F-CA-89_Plan Anual de Adquisiciones 202550.xlsx</t>
  </si>
  <si>
    <t>2. F-CA-89_Plan Anual de Adquisiciones 202551.xlsx</t>
  </si>
  <si>
    <t>2. F-CA-89_Plan Anual de Adquisiciones 202552.xlsx</t>
  </si>
  <si>
    <t>2. F-CA-89_Plan Anual de Adquisiciones 202553.xlsx</t>
  </si>
  <si>
    <t>2. F-CA-89_Plan Anual de Adquisiciones 202554.xlsx</t>
  </si>
  <si>
    <t>2. F-CA-89_Plan Anual de Adquisiciones 202555.xlsx</t>
  </si>
  <si>
    <t>2. F-CA-89_Plan Anual de Adquisiciones 202556.xlsx</t>
  </si>
  <si>
    <t>2. F-CA-89_Plan Anual de Adquisiciones 202557.xlsx</t>
  </si>
  <si>
    <t>2. F-CA-89_Plan Anual de Adquisiciones 202558.xlsx</t>
  </si>
  <si>
    <t>2. F-CA-89_Plan Anual de Adquisiciones 202559.xlsx</t>
  </si>
  <si>
    <t>2. F-CA-89_Plan Anual de Adquisiciones 20256.xlsx</t>
  </si>
  <si>
    <t>2. F-CA-89_Plan Anual de Adquisiciones 202560.xlsx</t>
  </si>
  <si>
    <t>2. F-CA-89_Plan Anual de Adquisiciones 202561.xlsx</t>
  </si>
  <si>
    <t>2. F-CA-89_Plan Anual de Adquisiciones 20257.xlsx</t>
  </si>
  <si>
    <t>2. F-CA-89_Plan Anual de Adquisiciones 20258.xlsx</t>
  </si>
  <si>
    <t>2. F-CA-89_Plan Anual de Adquisiciones 20259.xlsx</t>
  </si>
  <si>
    <t>2023_Matriz_Escenarios_Gerencia.xlsx</t>
  </si>
  <si>
    <t>https://indeportesantioquia.sharepoint.com/sites/ObservatoriodelDeporteInformesdeanaltica/Documentos compartidos/Informes de Analítica/PIDR/</t>
  </si>
  <si>
    <t>AF_R_INF_DMAF_2022.xlsx</t>
  </si>
  <si>
    <t>https://indeportesantioquia.sharepoint.com/sites/ObservatoriodelDeporteInformesdeanaltica/Documentos compartidos/Informes de Analítica/AF/</t>
  </si>
  <si>
    <t>AF_R_INF_OME_2022.xlsx</t>
  </si>
  <si>
    <t>AF_R_INF_SNHEVS_2022.xlsx</t>
  </si>
  <si>
    <t>AF_R_INS_9FPSBP_2022.xlsx</t>
  </si>
  <si>
    <t>AF_R_INS_AFGPI_2022.xlsx</t>
  </si>
  <si>
    <t>AF_R_INS_AM_2022.xlsx</t>
  </si>
  <si>
    <t>AF_R_INS_CEPSSMP_2022.xlsx</t>
  </si>
  <si>
    <t>AF_R_INS_CRUMBA_2022.xlsx</t>
  </si>
  <si>
    <t>AF_R_INS_FINAL9FPSBP_2022.xlsx</t>
  </si>
  <si>
    <t>AF_R_INS_SEMI9FPSBP_2022.xlsx</t>
  </si>
  <si>
    <t>AF_R_INS_TECFR_2022.xlsx</t>
  </si>
  <si>
    <t>AOPM_2023.xlsx</t>
  </si>
  <si>
    <t>AT_DIFERENCIA_APOYOS.xlsx</t>
  </si>
  <si>
    <t>https://indeportesantioquia.sharepoint.com/sites/ObservatoriodelDeporteInformesdeanaltica/Documentos compartidos/Informes de Analítica/AT/AT_VERI_SICOF/</t>
  </si>
  <si>
    <t>AT_LISTADO_ATENCION_POLIZA_2023.xlsx</t>
  </si>
  <si>
    <t>https://indeportesantioquia.sharepoint.com/sites/ObservatoriodelDeporteInformesdeanaltica/Documentos compartidos/Informes de Analítica/AT/AT_2023/</t>
  </si>
  <si>
    <t>AT_R_ESTADIS_CONV_ENE292021_JUN292022.xlsx</t>
  </si>
  <si>
    <t>https://indeportesantioquia.sharepoint.com/sites/ObservatoriodelDeporteInformesdeanaltica/Documentos compartidos/Informes de Analítica/AT/AT_2021/</t>
  </si>
  <si>
    <t>AT_R_ESTADIS_DISC_ENE302021_JUN302022.xlsx</t>
  </si>
  <si>
    <t>AT_R_INS_2021_CONV.xlsx</t>
  </si>
  <si>
    <t>https://indeportesantioquia.sharepoint.com/sites/ObservatoriodelDeporteInformesdeanaltica/Documentos compartidos/Informes de Analítica/Género/</t>
  </si>
  <si>
    <t>AT_R_INS_2021_DISC.xlsx</t>
  </si>
  <si>
    <t>AT_R_INS_2022_CONV.xlsx</t>
  </si>
  <si>
    <t>AT_R_INS_2022_DISC.xlsx</t>
  </si>
  <si>
    <t>AT_R_INS_CONV (29062022).xlsx</t>
  </si>
  <si>
    <t>AT_R_INS_CONV_2023.xlsx</t>
  </si>
  <si>
    <t>AT_R_INS_CONV_27122022.xlsx</t>
  </si>
  <si>
    <t>https://indeportesantioquia.sharepoint.com/sites/ObservatoriodelDeporteInformesdeanaltica/Documentos compartidos/Informes de Analítica/AT/AT_2022/</t>
  </si>
  <si>
    <t>AT_R_INS_CONV_APOYOS_2023.xlsx</t>
  </si>
  <si>
    <t>AT_R_INS_CONV_Ciclo2023.xlsx</t>
  </si>
  <si>
    <t>AT_R_INS_DISC (30062022).xlsx</t>
  </si>
  <si>
    <t>AT_R_INS_DISC_2023.xlsx</t>
  </si>
  <si>
    <t>AT_R_INS_DISC_27122022.xlsx</t>
  </si>
  <si>
    <t>AT_R_INS_DISC_APOYOS_2023.xlsx</t>
  </si>
  <si>
    <t>AT_R_INS_DISC_CIclo2023.xlsx</t>
  </si>
  <si>
    <t>Actividades Subacuáticas.xlsx</t>
  </si>
  <si>
    <t>https://indeportesantioquia.sharepoint.com/sites/ObservatoriodelDeporteInformesdeanaltica/Documentos compartidos/Informes de Analítica/Boletines Juegos Nacionales 2019/Nacionales/Actividades Subacuáticas/Participantes/</t>
  </si>
  <si>
    <t>https://indeportesantioquia.sharepoint.com/sites/ObservatoriodelDeporteInformesdeanaltica/Documentos compartidos/Informes de Analítica/JDN/XXI_JJNN_2019/Actividades Subacuáticas/Participantes/</t>
  </si>
  <si>
    <t>ActividadesPAA2024.xlsx</t>
  </si>
  <si>
    <t>https://indeportesantioquia.sharepoint.com/sites/ObservatoriodelDeporteInformesdeanaltica/Documentos compartidos/Informes de Analítica/INDICADORES/2024/</t>
  </si>
  <si>
    <t>Ajedrez Paranacional.xlsx</t>
  </si>
  <si>
    <t>https://indeportesantioquia.sharepoint.com/sites/ObservatoriodelDeporteInformesdeanaltica/Documentos compartidos/Informes de Analítica/Boletines Juegos Nacionales 2019/Paranacionales/Ajedrez Paranacional/Participantes/</t>
  </si>
  <si>
    <t>https://indeportesantioquia.sharepoint.com/sites/ObservatoriodelDeporteInformesdeanaltica/Documentos compartidos/Informes de Analítica/JDN/X_JJPARAN_2019/Ajedrez Paranacional/Participantes/</t>
  </si>
  <si>
    <t>Ajedrez.xlsx</t>
  </si>
  <si>
    <t>https://indeportesantioquia.sharepoint.com/sites/ObservatoriodelDeporteInformesdeanaltica/Documentos compartidos/Informes de Analítica/Boletines Juegos Nacionales 2019/Nacionales/Ajedrez/Participantes/</t>
  </si>
  <si>
    <t>https://indeportesantioquia.sharepoint.com/sites/ObservatoriodelDeporteInformesdeanaltica/Documentos compartidos/Informes de Analítica/JDN/XXI_JJNN_2019/Ajedrez/Participantes/</t>
  </si>
  <si>
    <t>Arquería.xlsx</t>
  </si>
  <si>
    <t>https://indeportesantioquia.sharepoint.com/sites/ObservatoriodelDeporteInformesdeanaltica/Documentos compartidos/Informes de Analítica/Boletines Juegos Nacionales 2019/Nacionales/Arquería/Participantes/</t>
  </si>
  <si>
    <t>https://indeportesantioquia.sharepoint.com/sites/ObservatoriodelDeporteInformesdeanaltica/Documentos compartidos/Informes de Analítica/JDN/XXI_JJNN_2019/Arquería/Participantes/</t>
  </si>
  <si>
    <t>Asistencia y Evaluación de Asesorías Municipales(1-325).xlsx</t>
  </si>
  <si>
    <t>https://indeportesantioquia.sharepoint.com/sites/ObservatoriodelDeporteInformesdeanaltica/Documentos compartidos/Informes de Analítica/EVALUACION_SATISFACCION/2024/</t>
  </si>
  <si>
    <t>Asistencia y Evaluación de Intervenciones Promotores Departamentales(1-4235).xlsx</t>
  </si>
  <si>
    <t>Atletismo.xlsx</t>
  </si>
  <si>
    <t>https://indeportesantioquia.sharepoint.com/sites/ObservatoriodelDeporteInformesdeanaltica/Documentos compartidos/Informes de Analítica/Boletines Juegos Nacionales 2019/Nacionales/Atletismo/Participantes/</t>
  </si>
  <si>
    <t>https://indeportesantioquia.sharepoint.com/sites/ObservatoriodelDeporteInformesdeanaltica/Documentos compartidos/Informes de Analítica/JDN/XXI_JJNN_2019/Atletismo/Participantes/</t>
  </si>
  <si>
    <t>BD Asistencia Seminario 08 oct.xlsx</t>
  </si>
  <si>
    <t>https://indeportesantioquia.sharepoint.com/sites/ObservatoriodelDeporteInformesdeanaltica/Documentos de venta al por menor/OBSERVATORIO/Politica Pública/INFORME FINAL CONVENIO POLÍTICAS PÚBLICAS INDEPORTES ANTIOQUIA/1.5 Ejecutar un plan de generación de información/</t>
  </si>
  <si>
    <t>BD Correos Actores PP.xlsx</t>
  </si>
  <si>
    <t>BD Valoración Metas Ordenanza 024.xlsx</t>
  </si>
  <si>
    <t>Baloncesto Paranacional.xlsx</t>
  </si>
  <si>
    <t>https://indeportesantioquia.sharepoint.com/sites/ObservatoriodelDeporteInformesdeanaltica/Documentos compartidos/Informes de Analítica/Boletines Juegos Nacionales 2019/Paranacionales/Baloncesto Paranacional/Participantes/</t>
  </si>
  <si>
    <t>https://indeportesantioquia.sharepoint.com/sites/ObservatoriodelDeporteInformesdeanaltica/Documentos compartidos/Informes de Analítica/JDN/X_JJPARAN_2019/Baloncesto Paranacional/Participantes/</t>
  </si>
  <si>
    <t>Baloncesto.xlsx</t>
  </si>
  <si>
    <t>https://indeportesantioquia.sharepoint.com/sites/ObservatoriodelDeporteInformesdeanaltica/Documentos compartidos/Informes de Analítica/Boletines Juegos Nacionales 2019/Nacionales/Baloncesto/Participantes/</t>
  </si>
  <si>
    <t>https://indeportesantioquia.sharepoint.com/sites/ObservatoriodelDeporteInformesdeanaltica/Documentos compartidos/Informes de Analítica/JDN/XXI_JJNN_2019/Baloncesto/Participantes/</t>
  </si>
  <si>
    <t>Balonmano.xlsx</t>
  </si>
  <si>
    <t>https://indeportesantioquia.sharepoint.com/sites/ObservatoriodelDeporteInformesdeanaltica/Documentos compartidos/Informes de Analítica/JDN/XXI_JJNN_2019/Balonmano/Participantes/</t>
  </si>
  <si>
    <t>https://indeportesantioquia.sharepoint.com/sites/ObservatoriodelDeporteInformesdeanaltica/Documentos compartidos/Informes de Analítica/Boletines Juegos Nacionales 2019/Nacionales/Balonmano/Participantes/</t>
  </si>
  <si>
    <t>Billar Paranacional.xlsx</t>
  </si>
  <si>
    <t>https://indeportesantioquia.sharepoint.com/sites/ObservatoriodelDeporteInformesdeanaltica/Documentos compartidos/Informes de Analítica/JDN/X_JJPARAN_2019/Billar Paranacional/Participantes/</t>
  </si>
  <si>
    <t>https://indeportesantioquia.sharepoint.com/sites/ObservatoriodelDeporteInformesdeanaltica/Documentos compartidos/Informes de Analítica/Boletines Juegos Nacionales 2019/Paranacionales/Billar Paranacional/Participantes/</t>
  </si>
  <si>
    <t>Billar.xlsx</t>
  </si>
  <si>
    <t>https://indeportesantioquia.sharepoint.com/sites/ObservatoriodelDeporteInformesdeanaltica/Documentos compartidos/Informes de Analítica/JDN/XXI_JJNN_2019/Billar/Participantes/</t>
  </si>
  <si>
    <t>https://indeportesantioquia.sharepoint.com/sites/ObservatoriodelDeporteInformesdeanaltica/Documentos compartidos/Informes de Analítica/Boletines Juegos Nacionales 2019/Nacionales/Billar/Participantes/</t>
  </si>
  <si>
    <t>Boccia.xlsx</t>
  </si>
  <si>
    <t>https://indeportesantioquia.sharepoint.com/sites/ObservatoriodelDeporteInformesdeanaltica/Documentos compartidos/Informes de Analítica/JDN/X_JJPARAN_2019/Boccia/Participantes/</t>
  </si>
  <si>
    <t>https://indeportesantioquia.sharepoint.com/sites/ObservatoriodelDeporteInformesdeanaltica/Documentos compartidos/Informes de Analítica/Boletines Juegos Nacionales 2019/Paranacionales/Boccia/Participantes/</t>
  </si>
  <si>
    <t>Borrador.xlsx</t>
  </si>
  <si>
    <t>Bowling Paranacional.xlsx</t>
  </si>
  <si>
    <t>https://indeportesantioquia.sharepoint.com/sites/ObservatoriodelDeporteInformesdeanaltica/Documentos compartidos/Informes de Analítica/Boletines Juegos Nacionales 2019/Paranacionales/Bowling Paranacional/Participantes/</t>
  </si>
  <si>
    <t>https://indeportesantioquia.sharepoint.com/sites/ObservatoriodelDeporteInformesdeanaltica/Documentos compartidos/Informes de Analítica/JDN/X_JJPARAN_2019/Bowling Paranacional/Participantes/</t>
  </si>
  <si>
    <t>Bowling.xlsx</t>
  </si>
  <si>
    <t>https://indeportesantioquia.sharepoint.com/sites/ObservatoriodelDeporteInformesdeanaltica/Documentos compartidos/Informes de Analítica/JDN/XXI_JJNN_2019/Bowling/Participantes/</t>
  </si>
  <si>
    <t>https://indeportesantioquia.sharepoint.com/sites/ObservatoriodelDeporteInformesdeanaltica/Documentos compartidos/Informes de Analítica/Boletines Juegos Nacionales 2019/Nacionales/Bowling/Participantes/</t>
  </si>
  <si>
    <t>Boxeo.xlsx</t>
  </si>
  <si>
    <t>https://indeportesantioquia.sharepoint.com/sites/ObservatoriodelDeporteInformesdeanaltica/Documentos compartidos/Informes de Analítica/Boletines Juegos Nacionales 2019/Nacionales/Boxeo/Participantes/</t>
  </si>
  <si>
    <t>https://indeportesantioquia.sharepoint.com/sites/ObservatoriodelDeporteInformesdeanaltica/Documentos compartidos/Informes de Analítica/JDN/XXI_JJNN_2019/Boxeo/Participantes/</t>
  </si>
  <si>
    <t>Bádminton.xlsx</t>
  </si>
  <si>
    <t>https://indeportesantioquia.sharepoint.com/sites/ObservatoriodelDeporteInformesdeanaltica/Documentos compartidos/Informes de Analítica/Boletines Juegos Nacionales 2019/Nacionales/Bádminton/Participantes/</t>
  </si>
  <si>
    <t>https://indeportesantioquia.sharepoint.com/sites/ObservatoriodelDeporteInformesdeanaltica/Documentos compartidos/Informes de Analítica/JDN/XXI_JJNN_2019/Bádminton/Participantes/</t>
  </si>
  <si>
    <t>Béisbol.xlsx</t>
  </si>
  <si>
    <t>https://indeportesantioquia.sharepoint.com/sites/ObservatoriodelDeporteInformesdeanaltica/Documentos compartidos/Informes de Analítica/Boletines Juegos Nacionales 2019/Nacionales/Béisbol/Participantes/</t>
  </si>
  <si>
    <t>https://indeportesantioquia.sharepoint.com/sites/ObservatoriodelDeporteInformesdeanaltica/Documentos compartidos/Informes de Analítica/JDN/XXI_JJNN_2019/Béisbol/Participantes/</t>
  </si>
  <si>
    <t>COMPROMISOS ENERO 2025.xls</t>
  </si>
  <si>
    <t>.xls</t>
  </si>
  <si>
    <t>https://indeportesantioquia.sharepoint.com/sites/ObservatoriodelDeporteInformesdeanaltica/Documentos compartidos/Informes de Analítica/INDICADORES/GESTION_PAA/Compromisos_2025/</t>
  </si>
  <si>
    <t>COMPROMISOS FEBRERO 2025.xls</t>
  </si>
  <si>
    <t>COMPROMISOS_2024.xls</t>
  </si>
  <si>
    <t>https://indeportesantioquia.sharepoint.com/sites/ObservatoriodelDeporteInformesdeanaltica/Documentos compartidos/Informes de Analítica/INDICADORES/DOC_INSUMO_PAA/</t>
  </si>
  <si>
    <t>COMPROMISOS_2025.xls</t>
  </si>
  <si>
    <t>COMPROMISOS_MES_2025.xlsx</t>
  </si>
  <si>
    <t>https://indeportesantioquia.sharepoint.com/sites/ObservatoriodelDeporteInformesdeanaltica/Documentos compartidos/Informes de Analítica/INDICADORES/2025/</t>
  </si>
  <si>
    <t>CONTROL DE MERCURIOS 2023 OFICINA JURIDICA.xlsx</t>
  </si>
  <si>
    <t>https://indeportesantioquia.sharepoint.com/sites/ObservatoriodelDeporteInformesdeanaltica/Documentos compartidos/Informes de Analítica/SEG_RADIC_JURID/</t>
  </si>
  <si>
    <t>CONTROL_MERCURIOS_2024.xlsx</t>
  </si>
  <si>
    <t>https://indeportesantioquia.sharepoint.com/sites/ObservatoriodelDeporteInformesdeanaltica/Documentos compartidos/Informes de Analítica/SEG_RADIC_JURID/SEG_RADIC_JURID_2024/</t>
  </si>
  <si>
    <t>CP_CURSOS_2022.xlsx</t>
  </si>
  <si>
    <t>https://indeportesantioquia.sharepoint.com/sites/ObservatoriodelDeporteInformesdeanaltica/Documentos compartidos/Informes de Analítica/CP/CP_2022/</t>
  </si>
  <si>
    <t>CP_R_INS.xlsx</t>
  </si>
  <si>
    <t>https://indeportesantioquia.sharepoint.com/sites/ObservatoriodelDeporteInformesdeanaltica/Documentos compartidos/Informes de Analítica/CP/CP_2023/</t>
  </si>
  <si>
    <t>CP_R_INS_2022.xlsx</t>
  </si>
  <si>
    <t>CP_R_INS_2022_10112022.xlsx</t>
  </si>
  <si>
    <t>Campesinos Apoyo.xlsx</t>
  </si>
  <si>
    <t>https://indeportesantioquia.sharepoint.com/sites/ObservatoriodelDeporteInformesdeanaltica/Documentos de venta al por menor/OBSERVATORIO/Genero/</t>
  </si>
  <si>
    <t>https://indeportesantioquia.sharepoint.com/sites/ObservatoriodelDeporteInformesdeanaltica/Documentos compartidos/Informes de Analítica/JD/JD_Genero/</t>
  </si>
  <si>
    <t>Canotaje.xlsx</t>
  </si>
  <si>
    <t>https://indeportesantioquia.sharepoint.com/sites/ObservatoriodelDeporteInformesdeanaltica/Documentos compartidos/Informes de Analítica/Boletines Juegos Nacionales 2019/Nacionales/Canotaje/Participantes/</t>
  </si>
  <si>
    <t>https://indeportesantioquia.sharepoint.com/sites/ObservatoriodelDeporteInformesdeanaltica/Documentos compartidos/Informes de Analítica/JDN/XXI_JJNN_2019/Canotaje/Participantes/</t>
  </si>
  <si>
    <t>Ciclismo BMX.xlsx</t>
  </si>
  <si>
    <t>https://indeportesantioquia.sharepoint.com/sites/ObservatoriodelDeporteInformesdeanaltica/Documentos compartidos/Informes de Analítica/Boletines Juegos Nacionales 2019/Nacionales/Ciclismo BMX/Participantes/</t>
  </si>
  <si>
    <t>https://indeportesantioquia.sharepoint.com/sites/ObservatoriodelDeporteInformesdeanaltica/Documentos compartidos/Informes de Analítica/JDN/XXI_JJNN_2019/Ciclismo BMX/Participantes/</t>
  </si>
  <si>
    <t>Ciclismo MTB.xlsx</t>
  </si>
  <si>
    <t>https://indeportesantioquia.sharepoint.com/sites/ObservatoriodelDeporteInformesdeanaltica/Documentos compartidos/Informes de Analítica/Boletines Juegos Nacionales 2019/Nacionales/Ciclismo MTB/Participantes/</t>
  </si>
  <si>
    <t>https://indeportesantioquia.sharepoint.com/sites/ObservatoriodelDeporteInformesdeanaltica/Documentos compartidos/Informes de Analítica/JDN/XXI_JJNN_2019/Ciclismo MTB/Participantes/</t>
  </si>
  <si>
    <t>Ciclismo Pista.xlsx</t>
  </si>
  <si>
    <t>https://indeportesantioquia.sharepoint.com/sites/ObservatoriodelDeporteInformesdeanaltica/Documentos compartidos/Informes de Analítica/JDN/XXI_JJNN_2019/Ciclismo Pista/Participantes/</t>
  </si>
  <si>
    <t>https://indeportesantioquia.sharepoint.com/sites/ObservatoriodelDeporteInformesdeanaltica/Documentos compartidos/Informes de Analítica/Boletines Juegos Nacionales 2019/Nacionales/Ciclismo Pista/Participantes/</t>
  </si>
  <si>
    <t>Ciclismo Ruta.xlsx</t>
  </si>
  <si>
    <t>https://indeportesantioquia.sharepoint.com/sites/ObservatoriodelDeporteInformesdeanaltica/Documentos compartidos/Informes de Analítica/JDN/XXI_JJNN_2019/Ciclismo Ruta/Participantes/</t>
  </si>
  <si>
    <t>https://indeportesantioquia.sharepoint.com/sites/ObservatoriodelDeporteInformesdeanaltica/Documentos compartidos/Informes de Analítica/Boletines Juegos Nacionales 2019/Nacionales/Ciclismo Ruta/Participantes/</t>
  </si>
  <si>
    <t>Ciclo-Curso.xlsx</t>
  </si>
  <si>
    <t>https://indeportesantioquia.sharepoint.com/sites/ObservatoriodelDeporteInformesdeanaltica/Documentos compartidos/Informes de Analítica/CP/</t>
  </si>
  <si>
    <t>Codigo de los municipios de Antioquia para el SINDEP-LAPTOP-281HDLR6.XLS</t>
  </si>
  <si>
    <t>.XLS</t>
  </si>
  <si>
    <t>https://indeportesantioquia.sharepoint.com/sites/ObservatoriodelDeporteInformesdeanaltica/Documentos de venta al por menor/OBSERVATORIO/Juegos Institucionales 2021/</t>
  </si>
  <si>
    <t>Codigo de los municipios de Antioquia para el SINDEP.XLS</t>
  </si>
  <si>
    <t>Comentarios Final zonales JDI Intercolegiados 2022.xlsx</t>
  </si>
  <si>
    <t>https://indeportesantioquia.sharepoint.com/sites/ObservatoriodelDeporteInformesdeanaltica/Documentos compartidos/Informes de Analítica/JD/JD_Final_Zonales_Intercolegiados_2022/</t>
  </si>
  <si>
    <t>Comentarios comparativo JDI Campesinos Veredales 2021 2022.xlsx</t>
  </si>
  <si>
    <t>https://indeportesantioquia.sharepoint.com/sites/ObservatoriodelDeporteInformesdeanaltica/Documentos de venta al por menor/OBSERVATORIO/Comparativo JDI Campesinos Zonales 2021-2022/</t>
  </si>
  <si>
    <t>https://indeportesantioquia.sharepoint.com/sites/ObservatoriodelDeporteInformesdeanaltica/Documentos compartidos/Informes de Analítica/JD/JD_Comparativo_Campesinos_Zonales_2021-2022/</t>
  </si>
  <si>
    <t>Comentarios comparativo JDI Intercolegiados 2021 2022.xlsx</t>
  </si>
  <si>
    <t>https://indeportesantioquia.sharepoint.com/sites/ObservatoriodelDeporteInformesdeanaltica/Documentos de venta al por menor/OBSERVATORIO/Comparativo JDI Intercolegiados Zonales 2021-2022/</t>
  </si>
  <si>
    <t>https://indeportesantioquia.sharepoint.com/sites/ObservatoriodelDeporteInformesdeanaltica/Documentos compartidos/Informes de Analítica/JD/JD_Comparativo_Intercolegiados_Zonales_2021-2022/</t>
  </si>
  <si>
    <t>Compilación respuestas cualitativas.xlsx</t>
  </si>
  <si>
    <t>https://indeportesantioquia.sharepoint.com/sites/ObservatoriodelDeporteInformesdeanaltica/Documentos compartidos/Informes de Analítica/Política de Servicio al ciudadano/</t>
  </si>
  <si>
    <t>Compras Altos Logros Discapacidad Indeportes Antioquia ene 01 2022 a dic 30 2022.xlsx</t>
  </si>
  <si>
    <t>Compras Altos Logros Indeportes Antioquia ene 03 2022 a dic 30 2022.xlsx</t>
  </si>
  <si>
    <t>Copia de Verificacion.xlsx</t>
  </si>
  <si>
    <t>DCD-area-sexo-edad-proyepoblacion-dep-2020-2050-ActPostCOVID-19.xlsx</t>
  </si>
  <si>
    <t>https://indeportesantioquia.sharepoint.com/sites/ObservatoriodelDeporteInformesdeanaltica/Documentos compartidos/Informes de Analítica/INFO_MUNICIPIOS_ANT/</t>
  </si>
  <si>
    <t>DCD-area-sexo-edad-proypoblacion-Mun-2020-2035-ActPostCOVID-19.xlsx</t>
  </si>
  <si>
    <t>DCD-area-sexo-edad-proypoblacion-dep-2005-2019.xlsx</t>
  </si>
  <si>
    <t>DISPONIBILIDADES_2024.xls</t>
  </si>
  <si>
    <t>DISPONIBILIDADES_2025.xls</t>
  </si>
  <si>
    <t>Departamentos CAM.xlsx</t>
  </si>
  <si>
    <t>Departamentos DEP.xlsx</t>
  </si>
  <si>
    <t>Departamentos ESC.xlsx</t>
  </si>
  <si>
    <t>Departamentos INT.xlsx</t>
  </si>
  <si>
    <t>Departamentos TOTAL.xlsx</t>
  </si>
  <si>
    <t>Departamentos_y_municipios_de_Colombia.xlsx</t>
  </si>
  <si>
    <t>https://indeportesantioquia.sharepoint.com/sites/ObservatoriodelDeporteInformesdeanaltica/Documentos de venta al por menor/OBSERVATORIO/JDI Campesinos Zonales 2022/</t>
  </si>
  <si>
    <t>https://indeportesantioquia.sharepoint.com/sites/ObservatoriodelDeporteInformesdeanaltica/Documentos de venta al por menor/OBSERVATORIO/JDI Intercolegiados Zonales 2022/</t>
  </si>
  <si>
    <t>https://indeportesantioquia.sharepoint.com/sites/ObservatoriodelDeporteInformesdeanaltica/Documentos de venta al por menor/OBSERVATORIO/Sistema Departamental de Capacitación/</t>
  </si>
  <si>
    <t>https://indeportesantioquia.sharepoint.com/sites/ObservatoriodelDeporteInformesdeanaltica/Documentos de venta al por menor/OBSERVATORIO/Analítica Escuelas de Deporte Formativo/</t>
  </si>
  <si>
    <t>Deportes_Cursos_Ciclos_2024.xlsx</t>
  </si>
  <si>
    <t>Dia no habil.xlsx</t>
  </si>
  <si>
    <t>https://indeportesantioquia.sharepoint.com/sites/ObservatoriodelDeporteInformesdeanaltica/Documentos compartidos/Informes de Analítica/SEG_PQRSDF/</t>
  </si>
  <si>
    <t>Dia no habil__2024.xlsx</t>
  </si>
  <si>
    <t>https://indeportesantioquia.sharepoint.com/sites/ObservatoriodelDeporteInformesdeanaltica/Documentos compartidos/Informes de Analítica/SEG_PQRSDF/SEG_PQRSDF_2024/</t>
  </si>
  <si>
    <t>Dia no habil__2025.xlsx</t>
  </si>
  <si>
    <t>https://indeportesantioquia.sharepoint.com/sites/ObservatoriodelDeporteInformesdeanaltica/Documentos compartidos/Informes de Analítica/SEG_PQRSDF/SEG_PQRSDF_2025/</t>
  </si>
  <si>
    <t>Documento para resolución.xlsx</t>
  </si>
  <si>
    <t>Documentos.xlsx</t>
  </si>
  <si>
    <t>https://indeportesantioquia.sharepoint.com/sites/ObservatoriodelDeporteInformesdeanaltica/Documentos de venta al por menor/OBSERVATORIO/Altos logros 2021/</t>
  </si>
  <si>
    <t>ENCUESTA CARACTERIZACIÓN GRUPOS DE VALOR - INDEPORTES 2023(1-441) (1).xlsx</t>
  </si>
  <si>
    <t>ENCUESTA CARACTERIZACIÓN GRUPOS DE VALOR - INDEPORTES 2023(1-442).xlsx</t>
  </si>
  <si>
    <t>ENCUESTA DE PERCEPCION – FESTIVALES DEPORTIVOS ESCOLARES 2024(1-194).xlsx</t>
  </si>
  <si>
    <t>https://indeportesantioquia.sharepoint.com/sites/ObservatoriodelDeporteInformesdeanaltica/Documentos compartidos/Informes de Analítica/FESTIVALES_ESCOLARES/FEST_ESC_2024/</t>
  </si>
  <si>
    <t>ENCUESTA_S_A_PÓLIZA_A_D_2023.xlsx</t>
  </si>
  <si>
    <t>https://indeportesantioquia.sharepoint.com/sites/ObservatoriodelDeporteInformesdeanaltica/Documentos compartidos/Informes de Analítica/AT/ENCUESTA POLIZA/</t>
  </si>
  <si>
    <t>EVALUACION - FESTIVALES DEPORTIVOS ESCOLARES 2024 - ATLETISMO CATEGORÍA PREINFANTIL(1-40).xlsx</t>
  </si>
  <si>
    <t>EVALUACION - FESTIVALES DEPORTIVOS ESCOLARES 2024 - TIRO CON ARCO CATEGORÍA PREINFANTIL(1-5).xlsx</t>
  </si>
  <si>
    <t>EVALUACION - FESTIVALES DEPORTIVOS ESCOLARES 2024 -  NATACION CATEGORÍA PREINFANTIL(1-27).xlsx</t>
  </si>
  <si>
    <t>EVALUACION - FESTIVALES DEPORTIVOS ESCOLARES 2024 - AJEDREZ CATEGORÍA PREINFANTIL(1-20).xlsx</t>
  </si>
  <si>
    <t>EVALUACION - FESTIVALES DEPORTIVOS ESCOLARES 2024 - KARATE DO CATEGORÍA PREINFANTIL(1-2).xlsx</t>
  </si>
  <si>
    <t>EVALUACION - FESTIVALES DEPORTIVOS ESCOLARES 2024 - PATINAJE CATEGORÍA PREINFANTIL(1-32).xlsx</t>
  </si>
  <si>
    <t>EVALUACION - FESTIVALES DEPORTIVOS ESCOLARES 2024 - TENIS DE MESA CATEGORÍA PREINFANTIL(1-1).xlsx</t>
  </si>
  <si>
    <t>Ecuestre.xlsx</t>
  </si>
  <si>
    <t>https://indeportesantioquia.sharepoint.com/sites/ObservatoriodelDeporteInformesdeanaltica/Documentos compartidos/Informes de Analítica/Boletines Juegos Nacionales 2019/Nacionales/Ecuestre/Participantes/</t>
  </si>
  <si>
    <t>https://indeportesantioquia.sharepoint.com/sites/ObservatoriodelDeporteInformesdeanaltica/Documentos compartidos/Informes de Analítica/JDN/XXI_JJNN_2019/Ecuestre/Participantes/</t>
  </si>
  <si>
    <t>Ejecucion de gastos al 01 03 2024.XLS</t>
  </si>
  <si>
    <t>Encuesta de Satisfacción de Servicio al Ciudadano PQRSDF Semestre 1_2024 - Indeportes(1-49).xlsx</t>
  </si>
  <si>
    <t>Escolarez Apoyo.xlsx</t>
  </si>
  <si>
    <t>Esgrima Paranacional.xlsx</t>
  </si>
  <si>
    <t>https://indeportesantioquia.sharepoint.com/sites/ObservatoriodelDeporteInformesdeanaltica/Documentos compartidos/Informes de Analítica/JDN/X_JJPARAN_2019/Esgrima Paranacional/Participantes/</t>
  </si>
  <si>
    <t>https://indeportesantioquia.sharepoint.com/sites/ObservatoriodelDeporteInformesdeanaltica/Documentos compartidos/Informes de Analítica/Boletines Juegos Nacionales 2019/Paranacionales/Esgrima Paranacional/Participantes/</t>
  </si>
  <si>
    <t>Esgrima.xlsx</t>
  </si>
  <si>
    <t>https://indeportesantioquia.sharepoint.com/sites/ObservatoriodelDeporteInformesdeanaltica/Documentos compartidos/Informes de Analítica/JDN/XXI_JJNN_2019/Esgrima/Participantes/</t>
  </si>
  <si>
    <t>https://indeportesantioquia.sharepoint.com/sites/ObservatoriodelDeporteInformesdeanaltica/Documentos compartidos/Informes de Analítica/Boletines Juegos Nacionales 2019/Nacionales/Esgrima/Participantes/</t>
  </si>
  <si>
    <t>Evaluación de Encuentro Subregional DRAF(1-573).xlsx</t>
  </si>
  <si>
    <t>Eventos.xlsx</t>
  </si>
  <si>
    <t>https://indeportesantioquia.sharepoint.com/sites/ObservatoriodelDeporteInformesdeanaltica/Documentos compartidos/Informes de Analítica/JD/JD_R_2021/</t>
  </si>
  <si>
    <t>F-MC-20_Formato_Gestion_Riesgos 2024.xlsx</t>
  </si>
  <si>
    <t>https://indeportesantioquia.sharepoint.com/sites/ObservatoriodelDeporteInformesdeanaltica/Documentos compartidos/Informes de Analítica/SEG_MATRIZ_RIESGOS/</t>
  </si>
  <si>
    <t>F-PO-31_Evaluacion_de_Indicadores 2022.xlsx</t>
  </si>
  <si>
    <t>https://indeportesantioquia.sharepoint.com/sites/ObservatoriodelDeporteInformesdeanaltica/Documentos compartidos/Informes de Analítica/INDICADORES/</t>
  </si>
  <si>
    <t>F-PO-31_Evaluacion_de_Indicadores_2024-2027.xlsx</t>
  </si>
  <si>
    <t>F-PO-31_Evaluacion_de_Indicadores_2024_PAF.xlsx</t>
  </si>
  <si>
    <t>F-PO-31_Evaluacion_de_Indicadores_2025_PAF.xlsx</t>
  </si>
  <si>
    <t>FO-M1-P6-060 Directorio Ordenanzas PolíPúb.xlsx</t>
  </si>
  <si>
    <t>https://indeportesantioquia.sharepoint.com/sites/ObservatoriodelDeporteInformesdeanaltica/Documentos de venta al por menor/OBSERVATORIO/PROCESO SGC OBS GOB/</t>
  </si>
  <si>
    <t>FO-M1-P6-061-Contexto-PolíPública.xlsx</t>
  </si>
  <si>
    <t>FO-M1-P6-062- IndicadoresSgtoPP-Metas.xlsx</t>
  </si>
  <si>
    <t>FO-M1-P6-063-FichaMetodológicaindicadores1.xlsx</t>
  </si>
  <si>
    <t>FO-M1-P6-064 -ProyectosPlandeDesarrollo.xlsx</t>
  </si>
  <si>
    <t>FO-M1-P6-065 Actores PolíPúb.xlsx</t>
  </si>
  <si>
    <t>FORMATO EVALUACIÓN Y ASISTENCIA DE LA CAPACITACIÓN-ENCUENTRO DRAF(1-5000).xlsx</t>
  </si>
  <si>
    <t>FORM_AOPM_2023.xlsx</t>
  </si>
  <si>
    <t>FORM_INDICADORES.xlsx</t>
  </si>
  <si>
    <t>FORM_INDICADORES_2024.xlsx</t>
  </si>
  <si>
    <t>FORM_INDICADORES_2024_PDD_2024-2027.xlsx</t>
  </si>
  <si>
    <t>FORM_INDICADORES_2025_PDD_2024-2027.xlsx</t>
  </si>
  <si>
    <t>FORM_SEG_CONTRAT_2024 - Copia.xlsx</t>
  </si>
  <si>
    <t>https://indeportesantioquia.sharepoint.com/sites/ObservatoriodelDeporteInformesdeanaltica/Documentos compartidos/Informes de Analítica/SEG_RUTA_CONTRAT/SEG_RUTA_CONTRAT_2024/</t>
  </si>
  <si>
    <t>FORM_SEG_CONTRAT_2024.xlsx</t>
  </si>
  <si>
    <t>FORM_SEG_PQRSDF_2023 - copia.xlsx</t>
  </si>
  <si>
    <t>FORM_SEG_PQRSDF_2023.xlsx</t>
  </si>
  <si>
    <t>FORM_SEG_PQRSDF_2024.xlsx</t>
  </si>
  <si>
    <t>https://indeportesantioquia.sharepoint.com/sites/ObservatoriodelDeporteInformesdeanaltica/Documentos compartidos/Informes de Analítica/SEG_PQRSDF/SEG_PQRSDF_2024/Copia seguridad/</t>
  </si>
  <si>
    <t>FORM_SEG_PQRSDF_2025.xlsx</t>
  </si>
  <si>
    <t>https://indeportesantioquia.sharepoint.com/sites/ObservatoriodelDeporteInformesdeanaltica/Documentos compartidos/RESPALDO/SEG_PQRSDF_2025/</t>
  </si>
  <si>
    <t>FORM_SEG_PQRSDF_20251.xlsx</t>
  </si>
  <si>
    <t>FORM_SEG_PQRSDF_202510.xlsx</t>
  </si>
  <si>
    <t>FORM_SEG_PQRSDF_202511.xlsx</t>
  </si>
  <si>
    <t>FORM_SEG_PQRSDF_202512.xlsx</t>
  </si>
  <si>
    <t>FORM_SEG_PQRSDF_202513.xlsx</t>
  </si>
  <si>
    <t>FORM_SEG_PQRSDF_202514.xlsx</t>
  </si>
  <si>
    <t>FORM_SEG_PQRSDF_202515.xlsx</t>
  </si>
  <si>
    <t>FORM_SEG_PQRSDF_202516.xlsx</t>
  </si>
  <si>
    <t>FORM_SEG_PQRSDF_202517.xlsx</t>
  </si>
  <si>
    <t>FORM_SEG_PQRSDF_202518.xlsx</t>
  </si>
  <si>
    <t>FORM_SEG_PQRSDF_202519.xlsx</t>
  </si>
  <si>
    <t>FORM_SEG_PQRSDF_20252.xlsx</t>
  </si>
  <si>
    <t>FORM_SEG_PQRSDF_202520.xlsx</t>
  </si>
  <si>
    <t>FORM_SEG_PQRSDF_202521.xlsx</t>
  </si>
  <si>
    <t>FORM_SEG_PQRSDF_202522.xlsx</t>
  </si>
  <si>
    <t>FORM_SEG_PQRSDF_202523.xlsx</t>
  </si>
  <si>
    <t>FORM_SEG_PQRSDF_202524.xlsx</t>
  </si>
  <si>
    <t>FORM_SEG_PQRSDF_202525.xlsx</t>
  </si>
  <si>
    <t>FORM_SEG_PQRSDF_202526.xlsx</t>
  </si>
  <si>
    <t>FORM_SEG_PQRSDF_202527.xlsx</t>
  </si>
  <si>
    <t>FORM_SEG_PQRSDF_202528.xlsx</t>
  </si>
  <si>
    <t>FORM_SEG_PQRSDF_202529.xlsx</t>
  </si>
  <si>
    <t>FORM_SEG_PQRSDF_20253.xlsx</t>
  </si>
  <si>
    <t>FORM_SEG_PQRSDF_202530.xlsx</t>
  </si>
  <si>
    <t>FORM_SEG_PQRSDF_202531.xlsx</t>
  </si>
  <si>
    <t>FORM_SEG_PQRSDF_202532.xlsx</t>
  </si>
  <si>
    <t>FORM_SEG_PQRSDF_202533.xlsx</t>
  </si>
  <si>
    <t>FORM_SEG_PQRSDF_202534.xlsx</t>
  </si>
  <si>
    <t>FORM_SEG_PQRSDF_202535.xlsx</t>
  </si>
  <si>
    <t>FORM_SEG_PQRSDF_202536.xlsx</t>
  </si>
  <si>
    <t>FORM_SEG_PQRSDF_202537.xlsx</t>
  </si>
  <si>
    <t>FORM_SEG_PQRSDF_202538.xlsx</t>
  </si>
  <si>
    <t>FORM_SEG_PQRSDF_202539.xlsx</t>
  </si>
  <si>
    <t>FORM_SEG_PQRSDF_20254.xlsx</t>
  </si>
  <si>
    <t>FORM_SEG_PQRSDF_202540.xlsx</t>
  </si>
  <si>
    <t>FORM_SEG_PQRSDF_202541.xlsx</t>
  </si>
  <si>
    <t>FORM_SEG_PQRSDF_202542.xlsx</t>
  </si>
  <si>
    <t>FORM_SEG_PQRSDF_202543.xlsx</t>
  </si>
  <si>
    <t>FORM_SEG_PQRSDF_202544.xlsx</t>
  </si>
  <si>
    <t>FORM_SEG_PQRSDF_202545.xlsx</t>
  </si>
  <si>
    <t>FORM_SEG_PQRSDF_202546.xlsx</t>
  </si>
  <si>
    <t>FORM_SEG_PQRSDF_202547.xlsx</t>
  </si>
  <si>
    <t>FORM_SEG_PQRSDF_202548.xlsx</t>
  </si>
  <si>
    <t>FORM_SEG_PQRSDF_202549.xlsx</t>
  </si>
  <si>
    <t>FORM_SEG_PQRSDF_20255.xlsx</t>
  </si>
  <si>
    <t>FORM_SEG_PQRSDF_202550.xlsx</t>
  </si>
  <si>
    <t>FORM_SEG_PQRSDF_202551.xlsx</t>
  </si>
  <si>
    <t>FORM_SEG_PQRSDF_202552.xlsx</t>
  </si>
  <si>
    <t>FORM_SEG_PQRSDF_202553.xlsx</t>
  </si>
  <si>
    <t>FORM_SEG_PQRSDF_202554.xlsx</t>
  </si>
  <si>
    <t>FORM_SEG_PQRSDF_202555.xlsx</t>
  </si>
  <si>
    <t>FORM_SEG_PQRSDF_202556.xlsx</t>
  </si>
  <si>
    <t>FORM_SEG_PQRSDF_202557.xlsx</t>
  </si>
  <si>
    <t>FORM_SEG_PQRSDF_202558.xlsx</t>
  </si>
  <si>
    <t>FORM_SEG_PQRSDF_20256.xlsx</t>
  </si>
  <si>
    <t>FORM_SEG_PQRSDF_20257.xlsx</t>
  </si>
  <si>
    <t>FORM_SEG_PQRSDF_20258.xlsx</t>
  </si>
  <si>
    <t>FORM_SEG_PQRSDF_20259.xlsx</t>
  </si>
  <si>
    <t>FORM_SEG_RADIC_JURID_2024.xlsx</t>
  </si>
  <si>
    <t>Formato EDL LNR.xlsx</t>
  </si>
  <si>
    <t>https://indeportesantioquia.sharepoint.com/sites/ObservatoriodelDeporteInformesdeanaltica/Documentos compartidos/Informes de Analítica/MEDICIÓN DESEMPEÑO LABORAL - Documentos/</t>
  </si>
  <si>
    <t>Formato medición EDL provisionales.xlsx</t>
  </si>
  <si>
    <t>Fútbol 5 Paranacional.xlsx</t>
  </si>
  <si>
    <t>https://indeportesantioquia.sharepoint.com/sites/ObservatoriodelDeporteInformesdeanaltica/Documentos compartidos/Informes de Analítica/JDN/X_JJPARAN_2019/Fútbol 5 Paranacional/Participantes/</t>
  </si>
  <si>
    <t>https://indeportesantioquia.sharepoint.com/sites/ObservatoriodelDeporteInformesdeanaltica/Documentos compartidos/Informes de Analítica/Boletines Juegos Nacionales 2019/Paranacionales/Fútbol 5 Paranacional/Participantes/</t>
  </si>
  <si>
    <t>Fútbol 7 Paranacional.xlsx</t>
  </si>
  <si>
    <t>https://indeportesantioquia.sharepoint.com/sites/ObservatoriodelDeporteInformesdeanaltica/Documentos compartidos/Informes de Analítica/Boletines Juegos Nacionales 2019/Paranacionales/Fútbol 7 Paranacional/Participantes/</t>
  </si>
  <si>
    <t>https://indeportesantioquia.sharepoint.com/sites/ObservatoriodelDeporteInformesdeanaltica/Documentos compartidos/Informes de Analítica/JDN/X_JJPARAN_2019/Fútbol 7 Paranacional/Participantes/</t>
  </si>
  <si>
    <t>Fútbol Paranacional.xlsx</t>
  </si>
  <si>
    <t>https://indeportesantioquia.sharepoint.com/sites/ObservatoriodelDeporteInformesdeanaltica/Documentos compartidos/Informes de Analítica/JDN/X_JJPARAN_2019/Fútbol Paranacional/Participantes/</t>
  </si>
  <si>
    <t>https://indeportesantioquia.sharepoint.com/sites/ObservatoriodelDeporteInformesdeanaltica/Documentos compartidos/Informes de Analítica/Boletines Juegos Nacionales 2019/Paranacionales/Fútbol Paranacional/Participantes/</t>
  </si>
  <si>
    <t>Fútbol Sala Paranacional.xlsx</t>
  </si>
  <si>
    <t>https://indeportesantioquia.sharepoint.com/sites/ObservatoriodelDeporteInformesdeanaltica/Documentos compartidos/Informes de Analítica/Boletines Juegos Nacionales 2019/Paranacionales/Futbol Sala Paranacional/Participantes/</t>
  </si>
  <si>
    <t>https://indeportesantioquia.sharepoint.com/sites/ObservatoriodelDeporteInformesdeanaltica/Documentos compartidos/Informes de Analítica/JDN/X_JJPARAN_2019/Futbol Sala Paranacional/Participantes/</t>
  </si>
  <si>
    <t>Fútbol Sala.xlsx</t>
  </si>
  <si>
    <t>https://indeportesantioquia.sharepoint.com/sites/ObservatoriodelDeporteInformesdeanaltica/Documentos compartidos/Informes de Analítica/Boletines Juegos Nacionales 2019/Nacionales/Fútbol Sala/Participantes/</t>
  </si>
  <si>
    <t>https://indeportesantioquia.sharepoint.com/sites/ObservatoriodelDeporteInformesdeanaltica/Documentos compartidos/Informes de Analítica/JDN/XXI_JJNN_2019/Fútbol Sala/Participantes/</t>
  </si>
  <si>
    <t>Fútbol de Salón.xlsx</t>
  </si>
  <si>
    <t>https://indeportesantioquia.sharepoint.com/sites/ObservatoriodelDeporteInformesdeanaltica/Documentos compartidos/Informes de Analítica/Boletines Juegos Nacionales 2019/Nacionales/Fútbol de Salón/Participantes/</t>
  </si>
  <si>
    <t>https://indeportesantioquia.sharepoint.com/sites/ObservatoriodelDeporteInformesdeanaltica/Documentos compartidos/Informes de Analítica/JDN/XXI_JJNN_2019/Fútbol de Salón/Participantes/</t>
  </si>
  <si>
    <t>Fútbol.xlsx</t>
  </si>
  <si>
    <t>https://indeportesantioquia.sharepoint.com/sites/ObservatoriodelDeporteInformesdeanaltica/Documentos compartidos/Informes de Analítica/JDN/XXI_JJNN_2019/Fútbol/Participantes/</t>
  </si>
  <si>
    <t>https://indeportesantioquia.sharepoint.com/sites/ObservatoriodelDeporteInformesdeanaltica/Documentos compartidos/Informes de Analítica/Boletines Juegos Nacionales 2019/Nacionales/Fútbol/Participantes/</t>
  </si>
  <si>
    <t>GESTION_DOCS_RUTA_CINCO_DIAS_ENE_ABR.xls</t>
  </si>
  <si>
    <t>https://indeportesantioquia.sharepoint.com/sites/ObservatoriodelDeporteInformesdeanaltica/Documentos compartidos/Informes de Analítica/SEG_PQRSDF/GESTIO_DOC_RUTA/</t>
  </si>
  <si>
    <t>https://indeportesantioquia.sharepoint.com/sites/ObservatoriodelDeporteInformesdeanaltica/Documentos compartidos/Informes de Analítica/SEG_PQRSDF/SEG_PQRSDF_2024/GESTIO_DOC_RUTA_2024/</t>
  </si>
  <si>
    <t>https://indeportesantioquia.sharepoint.com/sites/ObservatoriodelDeporteInformesdeanaltica/Documentos compartidos/Informes de Analítica/SEG_PQRSDF/SEG_PQRSDF_2025/GESTIO_DOC_RUTA_2025/</t>
  </si>
  <si>
    <t>GESTION_DOCS_RUTA_CINCO_DIAS_MAY_AGO.xls</t>
  </si>
  <si>
    <t>GESTION_DOCS_RUTA_CINCO_DIAS_MAY_AGOST.xls</t>
  </si>
  <si>
    <t>GESTION_DOCS_RUTA_CINCO_DIAS_SEP_DIC.xls</t>
  </si>
  <si>
    <t>GESTION_DOCS_RUTA_DIEZ_DIAS_ENE_ABR.xls</t>
  </si>
  <si>
    <t>GESTION_DOCS_RUTA_DIEZ_DIAS_MAYO_AGOST.xls</t>
  </si>
  <si>
    <t>GESTION_DOCS_RUTA_DIEZ_DIAS_MAY_AGO.xls</t>
  </si>
  <si>
    <t>GESTION_DOCS_RUTA_DIEZ_DIAS_SEP_DIC.xls</t>
  </si>
  <si>
    <t>GESTION_DOCS_RUTA_QUINCE_DIAS_ENE_ABR.xls</t>
  </si>
  <si>
    <t>GESTION_DOCS_RUTA_QUINCE_DIAS_MAY_AGO.xls</t>
  </si>
  <si>
    <t>GESTION_DOCS_RUTA_QUINCE_DIAS_MAY_AGOST.xls</t>
  </si>
  <si>
    <t>GESTION_DOCS_RUTA_QUINCE_DIAS_SEP_DIC.xls</t>
  </si>
  <si>
    <t>GESTION_DOCS_RUTA_TREINTA_DIAS_ENE_ABR.xls</t>
  </si>
  <si>
    <t>GESTION_DOCS_RUTA_TREINTA_DIAS_MAYO_AGOST.xls</t>
  </si>
  <si>
    <t>GESTION_DOCS_RUTA_TREINTA_DIAS_MAY_AGO.xls</t>
  </si>
  <si>
    <t>GESTION_DOCS_RUTA_TREINTA_DIAS_SEP_DIC.xls</t>
  </si>
  <si>
    <t>GESTION_DOC_RUTA.xlsx</t>
  </si>
  <si>
    <t>GESTION_DOC_RUTA_2024.xlsx</t>
  </si>
  <si>
    <t>GESTION_DOC_RUTA_2025.xlsx</t>
  </si>
  <si>
    <t>GESTION_DOC_RUTA_20251.xlsx</t>
  </si>
  <si>
    <t>GESTION_DOC_RUTA_202510.xlsx</t>
  </si>
  <si>
    <t>GESTION_DOC_RUTA_202511.xlsx</t>
  </si>
  <si>
    <t>GESTION_DOC_RUTA_202512.xlsx</t>
  </si>
  <si>
    <t>GESTION_DOC_RUTA_202513.xlsx</t>
  </si>
  <si>
    <t>GESTION_DOC_RUTA_202514.xlsx</t>
  </si>
  <si>
    <t>GESTION_DOC_RUTA_202515.xlsx</t>
  </si>
  <si>
    <t>GESTION_DOC_RUTA_202516.xlsx</t>
  </si>
  <si>
    <t>GESTION_DOC_RUTA_202517.xlsx</t>
  </si>
  <si>
    <t>GESTION_DOC_RUTA_202518.xlsx</t>
  </si>
  <si>
    <t>GESTION_DOC_RUTA_202519.xlsx</t>
  </si>
  <si>
    <t>GESTION_DOC_RUTA_20252.xlsx</t>
  </si>
  <si>
    <t>GESTION_DOC_RUTA_202520.xlsx</t>
  </si>
  <si>
    <t>GESTION_DOC_RUTA_202521.xlsx</t>
  </si>
  <si>
    <t>GESTION_DOC_RUTA_202522.xlsx</t>
  </si>
  <si>
    <t>GESTION_DOC_RUTA_202523.xlsx</t>
  </si>
  <si>
    <t>GESTION_DOC_RUTA_202524.xlsx</t>
  </si>
  <si>
    <t>GESTION_DOC_RUTA_202525.xlsx</t>
  </si>
  <si>
    <t>GESTION_DOC_RUTA_202526.xlsx</t>
  </si>
  <si>
    <t>GESTION_DOC_RUTA_202527.xlsx</t>
  </si>
  <si>
    <t>GESTION_DOC_RUTA_202528.xlsx</t>
  </si>
  <si>
    <t>GESTION_DOC_RUTA_202529.xlsx</t>
  </si>
  <si>
    <t>GESTION_DOC_RUTA_20253.xlsx</t>
  </si>
  <si>
    <t>GESTION_DOC_RUTA_202530.xlsx</t>
  </si>
  <si>
    <t>GESTION_DOC_RUTA_202531.xlsx</t>
  </si>
  <si>
    <t>GESTION_DOC_RUTA_202532.xlsx</t>
  </si>
  <si>
    <t>GESTION_DOC_RUTA_202533.xlsx</t>
  </si>
  <si>
    <t>GESTION_DOC_RUTA_202534.xlsx</t>
  </si>
  <si>
    <t>GESTION_DOC_RUTA_202535.xlsx</t>
  </si>
  <si>
    <t>GESTION_DOC_RUTA_202536.xlsx</t>
  </si>
  <si>
    <t>GESTION_DOC_RUTA_202537.xlsx</t>
  </si>
  <si>
    <t>GESTION_DOC_RUTA_202538.xlsx</t>
  </si>
  <si>
    <t>GESTION_DOC_RUTA_202539.xlsx</t>
  </si>
  <si>
    <t>GESTION_DOC_RUTA_20254.xlsx</t>
  </si>
  <si>
    <t>GESTION_DOC_RUTA_202540.xlsx</t>
  </si>
  <si>
    <t>GESTION_DOC_RUTA_202541.xlsx</t>
  </si>
  <si>
    <t>GESTION_DOC_RUTA_202542.xlsx</t>
  </si>
  <si>
    <t>GESTION_DOC_RUTA_202543.xlsx</t>
  </si>
  <si>
    <t>GESTION_DOC_RUTA_202544.xlsx</t>
  </si>
  <si>
    <t>GESTION_DOC_RUTA_202545.xlsx</t>
  </si>
  <si>
    <t>GESTION_DOC_RUTA_202546.xlsx</t>
  </si>
  <si>
    <t>GESTION_DOC_RUTA_202547.xlsx</t>
  </si>
  <si>
    <t>GESTION_DOC_RUTA_202548.xlsx</t>
  </si>
  <si>
    <t>GESTION_DOC_RUTA_202549.xlsx</t>
  </si>
  <si>
    <t>GESTION_DOC_RUTA_20255.xlsx</t>
  </si>
  <si>
    <t>GESTION_DOC_RUTA_202550.xlsx</t>
  </si>
  <si>
    <t>GESTION_DOC_RUTA_202551.xlsx</t>
  </si>
  <si>
    <t>GESTION_DOC_RUTA_202552.xlsx</t>
  </si>
  <si>
    <t>GESTION_DOC_RUTA_202553.xlsx</t>
  </si>
  <si>
    <t>GESTION_DOC_RUTA_202554.xlsx</t>
  </si>
  <si>
    <t>GESTION_DOC_RUTA_202555.xlsx</t>
  </si>
  <si>
    <t>GESTION_DOC_RUTA_202556.xlsx</t>
  </si>
  <si>
    <t>GESTION_DOC_RUTA_202557.xlsx</t>
  </si>
  <si>
    <t>GESTION_DOC_RUTA_202558.xlsx</t>
  </si>
  <si>
    <t>GESTION_DOC_RUTA_20256.xlsx</t>
  </si>
  <si>
    <t>GESTION_DOC_RUTA_20257.xlsx</t>
  </si>
  <si>
    <t>GESTION_DOC_RUTA_20258.xlsx</t>
  </si>
  <si>
    <t>GESTION_DOC_RUTA_20259.xlsx</t>
  </si>
  <si>
    <t>GESTION_PAA_2024.xlsx</t>
  </si>
  <si>
    <t>https://indeportesantioquia.sharepoint.com/sites/ObservatoriodelDeporteInformesdeanaltica/Documentos compartidos/Informes de Analítica/INDICADORES/GESTION_PAA/</t>
  </si>
  <si>
    <t>Gimnasia Artística.xlsx</t>
  </si>
  <si>
    <t>https://indeportesantioquia.sharepoint.com/sites/ObservatoriodelDeporteInformesdeanaltica/Documentos compartidos/Informes de Analítica/JDN/XXI_JJNN_2019/Gimnasia Artistica/Participantes/</t>
  </si>
  <si>
    <t>https://indeportesantioquia.sharepoint.com/sites/ObservatoriodelDeporteInformesdeanaltica/Documentos compartidos/Informes de Analítica/Boletines Juegos Nacionales 2019/Nacionales/Gimnasia Artistica/Participantes/</t>
  </si>
  <si>
    <t>Gimnasia Rítmica.xlsx</t>
  </si>
  <si>
    <t>https://indeportesantioquia.sharepoint.com/sites/ObservatoriodelDeporteInformesdeanaltica/Documentos compartidos/Informes de Analítica/Boletines Juegos Nacionales 2019/Nacionales/Gimnasia Rítmica/Participantes/</t>
  </si>
  <si>
    <t>https://indeportesantioquia.sharepoint.com/sites/ObservatoriodelDeporteInformesdeanaltica/Documentos compartidos/Informes de Analítica/JDN/XXI_JJNN_2019/Gimnasia Rítmica/Participantes/</t>
  </si>
  <si>
    <t>Gimnasia Trampolín.xlsx</t>
  </si>
  <si>
    <t>https://indeportesantioquia.sharepoint.com/sites/ObservatoriodelDeporteInformesdeanaltica/Documentos compartidos/Informes de Analítica/JDN/XXI_JJNN_2019/Gimnasia Trampolín/Participantes/</t>
  </si>
  <si>
    <t>https://indeportesantioquia.sharepoint.com/sites/ObservatoriodelDeporteInformesdeanaltica/Documentos compartidos/Informes de Analítica/Boletines Juegos Nacionales 2019/Nacionales/Gimnasia Trampolín/Participantes/</t>
  </si>
  <si>
    <t>Goalball.xlsx</t>
  </si>
  <si>
    <t>https://indeportesantioquia.sharepoint.com/sites/ObservatoriodelDeporteInformesdeanaltica/Documentos compartidos/Informes de Analítica/JDN/X_JJPARAN_2019/Goalball/Participantes/</t>
  </si>
  <si>
    <t>https://indeportesantioquia.sharepoint.com/sites/ObservatoriodelDeporteInformesdeanaltica/Documentos compartidos/Informes de Analítica/Boletines Juegos Nacionales 2019/Paranacionales/Goalball/Participantes/</t>
  </si>
  <si>
    <t>Golf.xlsx</t>
  </si>
  <si>
    <t>https://indeportesantioquia.sharepoint.com/sites/ObservatoriodelDeporteInformesdeanaltica/Documentos compartidos/Informes de Analítica/Boletines Juegos Nacionales 2019/Nacionales/Golf/Participantes/</t>
  </si>
  <si>
    <t>https://indeportesantioquia.sharepoint.com/sites/ObservatoriodelDeporteInformesdeanaltica/Documentos compartidos/Informes de Analítica/JDN/XXI_JJNN_2019/Golf/Participantes/</t>
  </si>
  <si>
    <t>Hapkido.xlsx</t>
  </si>
  <si>
    <t>https://indeportesantioquia.sharepoint.com/sites/ObservatoriodelDeporteInformesdeanaltica/Documentos compartidos/Informes de Analítica/JDN/XXI_JJNN_2019/Hapkido/Participantes/</t>
  </si>
  <si>
    <t>https://indeportesantioquia.sharepoint.com/sites/ObservatoriodelDeporteInformesdeanaltica/Documentos compartidos/Informes de Analítica/Boletines Juegos Nacionales 2019/Nacionales/Hapkido/Participantes/</t>
  </si>
  <si>
    <t>INDICADORES - PLAN DE DESARROLLO--.xlsx</t>
  </si>
  <si>
    <t>https://indeportesantioquia.sharepoint.com/sites/ObservatoriodelDeporteInformesdeanaltica/Documentos compartidos/Informes de Analítica/Informe Indicadores RESUM/</t>
  </si>
  <si>
    <t>INDICADORES - PLAN DE DESARROLLO-.xlsx</t>
  </si>
  <si>
    <t>INDICADORES - PLAN DE DESARROLLO.xlsx</t>
  </si>
  <si>
    <t>INDICE_DINAMICO.xlsx</t>
  </si>
  <si>
    <t>INDICE_DINAMICO_2024.xlsx</t>
  </si>
  <si>
    <t>https://indeportesantioquia.sharepoint.com/sites/ObservatoriodelDeporteInformesdeanaltica/Documentos compartidos/Informes de Analítica/SEG_PQRSDF/SEG_PQRSDF_2024/CONTINGENCIA PQRSDF/</t>
  </si>
  <si>
    <t>INDICE_DINAMICO_2025.xlsx</t>
  </si>
  <si>
    <t>INDICE_DINAMICO_20251.xlsx</t>
  </si>
  <si>
    <t>INDICE_DINAMICO_202510.xlsx</t>
  </si>
  <si>
    <t>INDICE_DINAMICO_202511.xlsx</t>
  </si>
  <si>
    <t>INDICE_DINAMICO_202512.xlsx</t>
  </si>
  <si>
    <t>INDICE_DINAMICO_202513.xlsx</t>
  </si>
  <si>
    <t>INDICE_DINAMICO_202514.xlsx</t>
  </si>
  <si>
    <t>INDICE_DINAMICO_202515.xlsx</t>
  </si>
  <si>
    <t>INDICE_DINAMICO_202516.xlsx</t>
  </si>
  <si>
    <t>INDICE_DINAMICO_202517.xlsx</t>
  </si>
  <si>
    <t>INDICE_DINAMICO_202518.xlsx</t>
  </si>
  <si>
    <t>INDICE_DINAMICO_202519.xlsx</t>
  </si>
  <si>
    <t>INDICE_DINAMICO_20252.xlsx</t>
  </si>
  <si>
    <t>INDICE_DINAMICO_202520.xlsx</t>
  </si>
  <si>
    <t>INDICE_DINAMICO_202521.xlsx</t>
  </si>
  <si>
    <t>INDICE_DINAMICO_202522.xlsx</t>
  </si>
  <si>
    <t>INDICE_DINAMICO_202523.xlsx</t>
  </si>
  <si>
    <t>INDICE_DINAMICO_202524.xlsx</t>
  </si>
  <si>
    <t>INDICE_DINAMICO_202525.xlsx</t>
  </si>
  <si>
    <t>INDICE_DINAMICO_202526.xlsx</t>
  </si>
  <si>
    <t>INDICE_DINAMICO_202527.xlsx</t>
  </si>
  <si>
    <t>INDICE_DINAMICO_202528.xlsx</t>
  </si>
  <si>
    <t>INDICE_DINAMICO_202529.xlsx</t>
  </si>
  <si>
    <t>INDICE_DINAMICO_20253.xlsx</t>
  </si>
  <si>
    <t>INDICE_DINAMICO_202530.xlsx</t>
  </si>
  <si>
    <t>INDICE_DINAMICO_202531.xlsx</t>
  </si>
  <si>
    <t>INDICE_DINAMICO_202532.xlsx</t>
  </si>
  <si>
    <t>INDICE_DINAMICO_202533.xlsx</t>
  </si>
  <si>
    <t>INDICE_DINAMICO_202534.xlsx</t>
  </si>
  <si>
    <t>INDICE_DINAMICO_202535.xlsx</t>
  </si>
  <si>
    <t>INDICE_DINAMICO_202536.xlsx</t>
  </si>
  <si>
    <t>INDICE_DINAMICO_202537.xlsx</t>
  </si>
  <si>
    <t>INDICE_DINAMICO_202538.xlsx</t>
  </si>
  <si>
    <t>INDICE_DINAMICO_202539.xlsx</t>
  </si>
  <si>
    <t>INDICE_DINAMICO_20254.xlsx</t>
  </si>
  <si>
    <t>INDICE_DINAMICO_202540.xlsx</t>
  </si>
  <si>
    <t>INDICE_DINAMICO_202541.xlsx</t>
  </si>
  <si>
    <t>INDICE_DINAMICO_202542.xlsx</t>
  </si>
  <si>
    <t>INDICE_DINAMICO_202543.xlsx</t>
  </si>
  <si>
    <t>INDICE_DINAMICO_202544.xlsx</t>
  </si>
  <si>
    <t>INDICE_DINAMICO_202545.xlsx</t>
  </si>
  <si>
    <t>INDICE_DINAMICO_202546.xlsx</t>
  </si>
  <si>
    <t>INDICE_DINAMICO_202547.xlsx</t>
  </si>
  <si>
    <t>INDICE_DINAMICO_202548.xlsx</t>
  </si>
  <si>
    <t>INDICE_DINAMICO_202549.xlsx</t>
  </si>
  <si>
    <t>INDICE_DINAMICO_20255.xlsx</t>
  </si>
  <si>
    <t>INDICE_DINAMICO_202550.xlsx</t>
  </si>
  <si>
    <t>INDICE_DINAMICO_202551.xlsx</t>
  </si>
  <si>
    <t>INDICE_DINAMICO_202552.xlsx</t>
  </si>
  <si>
    <t>INDICE_DINAMICO_202553.xlsx</t>
  </si>
  <si>
    <t>INDICE_DINAMICO_202554.xlsx</t>
  </si>
  <si>
    <t>INDICE_DINAMICO_202555.xlsx</t>
  </si>
  <si>
    <t>INDICE_DINAMICO_202556.xlsx</t>
  </si>
  <si>
    <t>INDICE_DINAMICO_202557.xlsx</t>
  </si>
  <si>
    <t>INDICE_DINAMICO_202558.xlsx</t>
  </si>
  <si>
    <t>INDICE_DINAMICO_202559.xlsx</t>
  </si>
  <si>
    <t>INDICE_DINAMICO_20256.xlsx</t>
  </si>
  <si>
    <t>INDICE_DINAMICO_20257.xlsx</t>
  </si>
  <si>
    <t>INDICE_DINAMICO_20258.xlsx</t>
  </si>
  <si>
    <t>INDICE_DINAMICO_20259.xlsx</t>
  </si>
  <si>
    <t>INDICE_DINAMICO_ENE_ABR.xls</t>
  </si>
  <si>
    <t>https://indeportesantioquia.sharepoint.com/sites/ObservatoriodelDeporteInformesdeanaltica/Documentos compartidos/Informes de Analítica/SEG_PQRSDF/SEG_PQRSDF_2025/INDICE_DINAMICO_2025/</t>
  </si>
  <si>
    <t>https://indeportesantioquia.sharepoint.com/sites/ObservatoriodelDeporteInformesdeanaltica/Documentos compartidos/Informes de Analítica/SEG_PQRSDF/SEG_PQRSDF_2024/INDICE_DINAMICO_2024/</t>
  </si>
  <si>
    <t>https://indeportesantioquia.sharepoint.com/sites/ObservatoriodelDeporteInformesdeanaltica/Documentos compartidos/Informes de Analítica/SEG_PQRSDF/INDICE_DINAMICO/</t>
  </si>
  <si>
    <t>https://indeportesantioquia.sharepoint.com/sites/ObservatoriodelDeporteInformesdeanaltica/Documentos compartidos/Informes de Analítica/SEG_PQRSDF/SEG_PQRSDF_2024/CONTINGENCIA PQRSDF/INDICE_DINAMICO_CONTING/</t>
  </si>
  <si>
    <t>INDICE_DINAMICO_MAY_AGO.xls</t>
  </si>
  <si>
    <t>INDICE_DINAMICO_MAY_AGOST.xls</t>
  </si>
  <si>
    <t>INDICE_DINAMICO_SEP_DIC.xls</t>
  </si>
  <si>
    <t>INFORME AVANCE INDICADORES 19072022.xlsx</t>
  </si>
  <si>
    <t>https://indeportesantioquia.sharepoint.com/sites/ObservatoriodelDeporteInformesdeanaltica/Documentos compartidos/Informes de Analítica/INDICADORES/Reportes/Presentaciones Gerencia/</t>
  </si>
  <si>
    <t>INFORME_PQRSDF_2023.xls</t>
  </si>
  <si>
    <t>INFORME_PQRSDF_2024.xls</t>
  </si>
  <si>
    <t>INFORME_PQRSDF_2024_CONTING.xlsx</t>
  </si>
  <si>
    <t>INFORME_PQRSDF_2025.xls</t>
  </si>
  <si>
    <t>Indicador Gestion Proceso Actualizacion PPD.xlsx</t>
  </si>
  <si>
    <t>https://indeportesantioquia.sharepoint.com/sites/ObservatoriodelDeporteInformesdeanaltica/Documentos compartidos/Informes de Analítica/INDICADORES/Indicadores de Gestión/</t>
  </si>
  <si>
    <t>Intercolegiados Apoyo.xlsx</t>
  </si>
  <si>
    <t>JD_P_DEP_Campesinos 2022.xlsx</t>
  </si>
  <si>
    <t>https://indeportesantioquia.sharepoint.com/sites/ObservatoriodelDeporteInformesdeanaltica/Documentos compartidos/Informes de Analítica/JD/JD_2022/</t>
  </si>
  <si>
    <t>JD_P_DEP_Intercolegiados 2022.xlsx</t>
  </si>
  <si>
    <t>JD_R_2021_ESCOLARES.xlsx</t>
  </si>
  <si>
    <t>JD_R_2021_ESCOLARES_CONPRUEBA.xlsx</t>
  </si>
  <si>
    <t>JD_R_2021_ESCOLARES_FIN.xlsx</t>
  </si>
  <si>
    <t>JD_R_2021_ESCOLARES_PersAp_FIN.xlsx</t>
  </si>
  <si>
    <t>JD_R_2021_INTERCOLEGIADOS.xlsx</t>
  </si>
  <si>
    <t>JD_R_2021_INTERCOLEGIADOS_CONPRUEBA.xlsx</t>
  </si>
  <si>
    <t>JD_R_2021_INTERCOLEGIADOS_FIN.xlsx</t>
  </si>
  <si>
    <t>JD_R_2023_CAMPESINOS.xlsx</t>
  </si>
  <si>
    <t>https://indeportesantioquia.sharepoint.com/sites/ObservatoriodelDeporteInformesdeanaltica/Documentos compartidos/Informes de Analítica/JD/JD_CONSOLIDADO_2023/</t>
  </si>
  <si>
    <t>JD_R_2023_DEPARTAMENTALES.xlsx</t>
  </si>
  <si>
    <t>JD_R_2023_ESCOLARES.xlsx</t>
  </si>
  <si>
    <t>JD_R_2023_INTERCOLEGIADOS.xlsx</t>
  </si>
  <si>
    <t>JD_R_ACRE_FIN_Campesinos2022 (141022).xlsx</t>
  </si>
  <si>
    <t>JD_R_ACRE_FIN_Escolares2022 (141022).xlsx</t>
  </si>
  <si>
    <t>JD_R_ACRE_FIN_Intercolegiados2022 (130922).xlsx</t>
  </si>
  <si>
    <t>JD_R_ACRE_ZON_Campesinos2022 (141022).xlsx</t>
  </si>
  <si>
    <t>JD_R_ACRE_ZON_Departamentales2022 (171122).xlsx</t>
  </si>
  <si>
    <t>JD_R_ACRE_ZON_Escolares2022 (141022).xlsx</t>
  </si>
  <si>
    <t>JD_R_ACRE_ZON_Intercolegiados2022 (060922).xlsx</t>
  </si>
  <si>
    <t>JD_R_INS_2021_CAMPESINOS.xlsx</t>
  </si>
  <si>
    <t>JD_R_INS_2021_CAMPESINOS_(13072022).xlsx</t>
  </si>
  <si>
    <t>https://indeportesantioquia.sharepoint.com/sites/ObservatoriodelDeporteInformesdeanaltica/Documentos compartidos/Informes de Analítica/JD/JD_2021/</t>
  </si>
  <si>
    <t>JD_R_INS_2021_CAMPESINOS_CONPRUEBAS.xlsx</t>
  </si>
  <si>
    <t>JD_R_INS_2021_CAMPESINOS_CONPRUEBAS_(29072022).xlsx</t>
  </si>
  <si>
    <t>JD_R_INS_2021_CAMPESINOS_FIN.xlsx</t>
  </si>
  <si>
    <t>JD_R_INS_2021_CAMPESINOS_PersAp.xlsx</t>
  </si>
  <si>
    <t>JD_R_INS_2021_CAMPESINOS_PersAp_FIN.xlsx</t>
  </si>
  <si>
    <t>JD_R_INS_2021_CAMPESINOS_SINPRUEBAS_(29072022).xlsx</t>
  </si>
  <si>
    <t>JD_R_INS_2021_DEPARTAMENTALES.xlsx</t>
  </si>
  <si>
    <t>JD_R_INS_2021_DEPARTAMENTALES_CONPRUEBA.xlsx</t>
  </si>
  <si>
    <t>JD_R_INS_2021_DEPARTAMENTALES_CONPRUEBA_(29072022).xlsx</t>
  </si>
  <si>
    <t>JD_R_INS_2021_DEPARTAMENTALES_FIN.xlsx</t>
  </si>
  <si>
    <t>JD_R_INS_2021_DEPARTAMENTALES_PersAp.xlsx</t>
  </si>
  <si>
    <t>JD_R_INS_2021_DEPARTAMENTALES_PersAp_FIN.xlsx</t>
  </si>
  <si>
    <t>JD_R_INS_2021_ESCOLARES_PersAp.xlsx</t>
  </si>
  <si>
    <t>JD_R_INS_2021_INTERCOLEGIADOS_(08072022).xlsx</t>
  </si>
  <si>
    <t>JD_R_INS_2021_INTERCOLEGIADOS_PersAp.xlsx</t>
  </si>
  <si>
    <t>JD_R_INS_2021_Intercolegiados_PersAp_FIN.xlsx</t>
  </si>
  <si>
    <t>JD_R_INS_2022_Campesinos_FIN.xlsx</t>
  </si>
  <si>
    <t>JD_R_INS_2022_Campesinos_PersAp_FIN.xlsx</t>
  </si>
  <si>
    <t>JD_R_INS_2022_DEPARTAMENTALES_FIN.xlsx</t>
  </si>
  <si>
    <t>JD_R_INS_2022_Departamentales_PersAp_FIN.xlsx</t>
  </si>
  <si>
    <t>JD_R_INS_2022_Escolares_FIN.xlsx</t>
  </si>
  <si>
    <t>JD_R_INS_2022_Escolares_PersAp_FIN.xlsx</t>
  </si>
  <si>
    <t>JD_R_INS_2022_Intercolegiados_FIN.xlsx</t>
  </si>
  <si>
    <t>JD_R_INS_2022_Intercolegiados_PersAp_FIN.xlsx</t>
  </si>
  <si>
    <t>JD_R_INS_2022_ZON_Campesinos.xlsx</t>
  </si>
  <si>
    <t>JD_R_INS_2022_ZON_Campesinos_PersAp.xlsx</t>
  </si>
  <si>
    <t>JD_R_INS_2022_ZON_Campesinos_SINROLPersAp.xlsx</t>
  </si>
  <si>
    <t>JD_R_INS_2022_ZON_DEPARTAMENTALES.xlsx</t>
  </si>
  <si>
    <t>JD_R_INS_2022_ZON_Departamentales_PersAp.xlsx</t>
  </si>
  <si>
    <t>JD_R_INS_2022_ZON_Escolares.xlsx</t>
  </si>
  <si>
    <t>JD_R_INS_2022_ZON_Escolares_PersAp.xlsx</t>
  </si>
  <si>
    <t>JD_R_INS_2022_ZON_Escolares_SINROLPersAp.xlsx</t>
  </si>
  <si>
    <t>JD_R_INS_2022_ZON_Intercolegiados.xlsx</t>
  </si>
  <si>
    <t>https://indeportesantioquia.sharepoint.com/sites/ObservatoriodelDeporteInformesdeanaltica/Documentos compartidos/Informes de Analítica/Prueba Power BI/</t>
  </si>
  <si>
    <t>JD_R_INS_2022_ZON_Intercolegiados_PersAp.xlsx</t>
  </si>
  <si>
    <t>JD_R_INS_2022_ZON_Intercolegiados_SINROLPersAp.xlsx</t>
  </si>
  <si>
    <t>JD_R_INS_2023_ESCOLARES_FestivialdeActividadesSubacuticas.xlsx</t>
  </si>
  <si>
    <t>https://indeportesantioquia.sharepoint.com/sites/ObservatoriodelDeporteInformesdeanaltica/Documentos compartidos/Informes de Analítica/JD/JD_2023/JD_R_2023_ESCOLARES/</t>
  </si>
  <si>
    <t>JD_R_INS_2023_FINAL_DEPARTAMENTALES.xlsx</t>
  </si>
  <si>
    <t>https://indeportesantioquia.sharepoint.com/sites/ObservatoriodelDeporteInformesdeanaltica/Documentos compartidos/Informes de Analítica/JD/JD_2023/JD_R_2023_DEPARTAMENTALES/</t>
  </si>
  <si>
    <t>JD_R_INS_2023_FINAL_DEPARTAMENTALES_DEPORTESADAPTADOS.xlsx</t>
  </si>
  <si>
    <t>JD_R_INS_2023_FINAL_DEPARTAMENTALES_Nordeste y Magdalena medio.xlsx</t>
  </si>
  <si>
    <t>https://indeportesantioquia.sharepoint.com/sites/ObservatoriodelDeporteInformesdeanaltica/Documentos compartidos/Informes de Analítica/JD/JD_2023/JD_R_2023_DEPARTAMENTALES/JD_R_INS_2023_FINAL_DEPARTAMENTALES_/</t>
  </si>
  <si>
    <t>JD_R_INS_2023_FINAL_DEPARTAMENTALES_Norte y bajo cauca.xlsx</t>
  </si>
  <si>
    <t>JD_R_INS_2023_FINAL_DEPARTAMENTALES_Occidente.xlsx</t>
  </si>
  <si>
    <t>JD_R_INS_2023_FINAL_DEPARTAMENTALES_Oriente.xlsx</t>
  </si>
  <si>
    <t>JD_R_INS_2023_FINAL_DEPARTAMENTALES_Suroeste.xlsx</t>
  </si>
  <si>
    <t>JD_R_INS_2023_FINAL_DEPARTAMENTALES_Uraba.xlsx</t>
  </si>
  <si>
    <t>JD_R_INS_2023_FINAL_DEPARTAMENTALES_Valle de Aburra.xlsx</t>
  </si>
  <si>
    <t>JD_R_INS_2023_FINAL_JUVENIL_INTERCOLEGIADOS.xlsx</t>
  </si>
  <si>
    <t>https://indeportesantioquia.sharepoint.com/sites/ObservatoriodelDeporteInformesdeanaltica/Documentos compartidos/Informes de Analítica/JD/JD_2023/JD_R_2023_INTERCOLEGIADOS/</t>
  </si>
  <si>
    <t>JD_R_INS_2023_FINAL_PREJUVENIL_INTERCOLEGIADOS.xlsx</t>
  </si>
  <si>
    <t>JD_R_INS_2023_FIN_CAMPESINOS.xlsx</t>
  </si>
  <si>
    <t>https://indeportesantioquia.sharepoint.com/sites/ObservatoriodelDeporteInformesdeanaltica/Documentos compartidos/Informes de Analítica/JD/JD_2023/JD_R_2023_CAMPESINOS/</t>
  </si>
  <si>
    <t>JD_R_INS_2023_FIN_ESCOLARES.xlsx</t>
  </si>
  <si>
    <t>JD_R_INS_2023_ZON_CAMPESINOS_Nordeste_MagdalenaMedio.xlsx</t>
  </si>
  <si>
    <t>JD_R_INS_2023_ZON_CAMPESINOS_Norte_BajoCauca.xlsx</t>
  </si>
  <si>
    <t>JD_R_INS_2023_ZON_CAMPESINOS_Occidente.xlsx</t>
  </si>
  <si>
    <t>JD_R_INS_2023_ZON_CAMPESINOS_Oriente.xlsx</t>
  </si>
  <si>
    <t>JD_R_INS_2023_ZON_CAMPESINOS_Suroeste.xlsx</t>
  </si>
  <si>
    <t>JD_R_INS_2023_ZON_CAMPESINOS_Uraba.xlsx</t>
  </si>
  <si>
    <t>JD_R_INS_2023_ZON_CAMPESINOS_ValledeAburra.xlsx</t>
  </si>
  <si>
    <t>JD_R_INS_2023_ZON_DEPARTAMENTALES_NordesteMagdalenaMedio.xlsx</t>
  </si>
  <si>
    <t>JD_R_INS_2023_ZON_DEPARTAMENTALES_NorteBajocauca.xlsx</t>
  </si>
  <si>
    <t>JD_R_INS_2023_ZON_DEPARTAMENTALES_Occidente.xlsx</t>
  </si>
  <si>
    <t>JD_R_INS_2023_ZON_DEPARTAMENTALES_Oriente.xlsx</t>
  </si>
  <si>
    <t>JD_R_INS_2023_ZON_DEPARTAMENTALES_Suroeste.xlsx</t>
  </si>
  <si>
    <t>JD_R_INS_2023_ZON_DEPARTAMENTALES_Urabá.xlsx</t>
  </si>
  <si>
    <t>JD_R_INS_2023_ZON_DEPARTAMENTALES_ValledeAburrá.xlsx</t>
  </si>
  <si>
    <t>JD_R_INS_2023_ZON_ESCOLARES_Nordeste_MagdalenaMedio.xlsx</t>
  </si>
  <si>
    <t>JD_R_INS_2023_ZON_ESCOLARES_Norte_BajoCauca.xlsx</t>
  </si>
  <si>
    <t>JD_R_INS_2023_ZON_ESCOLARES_Occidente.xlsx</t>
  </si>
  <si>
    <t>JD_R_INS_2023_ZON_ESCOLARES_Oriente.xlsx</t>
  </si>
  <si>
    <t>JD_R_INS_2023_ZON_ESCOLARES_Suroeste.xlsx</t>
  </si>
  <si>
    <t>JD_R_INS_2023_ZON_ESCOLARES_Uraba.xlsx</t>
  </si>
  <si>
    <t>JD_R_INS_2023_ZON_ESCOLARES_ValledeAburra.xlsx</t>
  </si>
  <si>
    <t>JD_R_INS_2023_ZON_INTERCOLEGIADOS_NordesteMagdalenaMedio.xlsx</t>
  </si>
  <si>
    <t>JD_R_INS_2023_ZON_INTERCOLEGIADOS_NorteBajoCauca.xlsx</t>
  </si>
  <si>
    <t>JD_R_INS_2023_ZON_INTERCOLEGIADOS_Occidente.xlsx</t>
  </si>
  <si>
    <t>JD_R_INS_2023_ZON_INTERCOLEGIADOS_Oriente.xlsx</t>
  </si>
  <si>
    <t>JD_R_INS_2023_ZON_INTERCOLEGIADOS_PersAp.xlsx</t>
  </si>
  <si>
    <t>JD_R_INS_2023_ZON_INTERCOLEGIADOS_Suroeste.xlsx</t>
  </si>
  <si>
    <t>JD_R_INS_2023_ZON_INTERCOLEGIADOS_Uraba.xlsx</t>
  </si>
  <si>
    <t>JD_R_INS_2023_ZON_INTERCOLEGIADOS_ValledeAburra.xlsx</t>
  </si>
  <si>
    <t>JD_R_INS_FIN_Campesinos2022 (141022).xlsx</t>
  </si>
  <si>
    <t>JD_R_INS_FIN_DEPARTAMENTALES2022 (07122022).xlsx</t>
  </si>
  <si>
    <t>JD_R_INS_FIN_Escolares2022 (141022).xlsx</t>
  </si>
  <si>
    <t>JD_R_INS_FIN_Intercolegiados2022 (130922).xlsx</t>
  </si>
  <si>
    <t>JD_R_INS_ZONAL_DEPARTAMENTALES2022 (07122022).xlsx</t>
  </si>
  <si>
    <t>JD_R_INS_ZON_Campesinos2022 (141022).xlsx</t>
  </si>
  <si>
    <t>JD_R_INS_ZON_Departamentales2022 (171122).xlsx</t>
  </si>
  <si>
    <t>JD_R_INS_ZON_Escolares2022 (1410222).xlsx</t>
  </si>
  <si>
    <t>JD_R_INS_ZON_Intercolegiados2022 (140922).xlsx</t>
  </si>
  <si>
    <t>JN_2019_CONV_Actividades Subacuáticas.xlsx</t>
  </si>
  <si>
    <t>https://indeportesantioquia.sharepoint.com/sites/ObservatoriodelDeporteInformesdeanaltica/Documentos compartidos/Informes de Analítica/Boletines Juegos Nacionales 2019/Nacionales/Participantes Convencional/</t>
  </si>
  <si>
    <t>https://indeportesantioquia.sharepoint.com/sites/ObservatoriodelDeporteInformesdeanaltica/Documentos compartidos/Informes de Analítica/JDN/XXI_JJNN_2019/Participantes Convencional/</t>
  </si>
  <si>
    <t>JN_2019_CONV_Ajedrez.xlsx</t>
  </si>
  <si>
    <t>JN_2019_CONV_Arquería.xlsx</t>
  </si>
  <si>
    <t>JN_2019_CONV_Atletismo.xlsx</t>
  </si>
  <si>
    <t>JN_2019_CONV_Baloncesto.xlsx</t>
  </si>
  <si>
    <t>JN_2019_CONV_Balonmano.xlsx</t>
  </si>
  <si>
    <t>JN_2019_CONV_Billar.xlsx</t>
  </si>
  <si>
    <t>JN_2019_CONV_Bowling.xlsx</t>
  </si>
  <si>
    <t>JN_2019_CONV_Boxeo.xlsx</t>
  </si>
  <si>
    <t>JN_2019_CONV_Bádminton.xlsx</t>
  </si>
  <si>
    <t>JN_2019_CONV_Béisbol.xlsx</t>
  </si>
  <si>
    <t>JN_2019_CONV_Canotaje.xlsx</t>
  </si>
  <si>
    <t>JN_2019_CONV_Ciclismo BMX.xlsx</t>
  </si>
  <si>
    <t>JN_2019_CONV_Ciclismo MTB.xlsx</t>
  </si>
  <si>
    <t>JN_2019_CONV_Ciclismo Pista.xlsx</t>
  </si>
  <si>
    <t>JN_2019_CONV_Ciclismo Ruta.xlsx</t>
  </si>
  <si>
    <t>JN_2019_CONV_Ecuestre.xlsx</t>
  </si>
  <si>
    <t>JN_2019_CONV_Esgrima.xlsx</t>
  </si>
  <si>
    <t>JN_2019_CONV_Fútbol Sala.xlsx</t>
  </si>
  <si>
    <t>JN_2019_CONV_Fútbol de Salón.xlsx</t>
  </si>
  <si>
    <t>JN_2019_CONV_Fútbol.xlsx</t>
  </si>
  <si>
    <t>JN_2019_CONV_Gimnasia Artística.xlsx</t>
  </si>
  <si>
    <t>JN_2019_CONV_Gimnasia Rítmica.xlsx</t>
  </si>
  <si>
    <t>JN_2019_CONV_Gimnasia Trampolín.xlsx</t>
  </si>
  <si>
    <t>JN_2019_CONV_Golf.xlsx</t>
  </si>
  <si>
    <t>JN_2019_CONV_Hapkido.xlsx</t>
  </si>
  <si>
    <t>JN_2019_CONV_Judo.xlsx</t>
  </si>
  <si>
    <t>JN_2019_CONV_Karate Do.xlsx</t>
  </si>
  <si>
    <t>JN_2019_CONV_Levantamiento de Pesas.xlsx</t>
  </si>
  <si>
    <t>JN_2019_CONV_Lucha.xlsx</t>
  </si>
  <si>
    <t>JN_2019_CONV_Natación Artística.xlsx</t>
  </si>
  <si>
    <t>JN_2019_CONV_Natación Carreras.xlsx</t>
  </si>
  <si>
    <t>JN_2019_CONV_Natación Clavados.xlsx</t>
  </si>
  <si>
    <t>JN_2019_CONV_Patinaje Artístico.xlsx</t>
  </si>
  <si>
    <t>JN_2019_CONV_Patinaje Carreras.xlsx</t>
  </si>
  <si>
    <t>JN_2019_CONV_Polo Acuático.xlsx</t>
  </si>
  <si>
    <t>JN_2019_CONV_Rugby 7.xlsx</t>
  </si>
  <si>
    <t>JN_2019_CONV_Squash.xlsx</t>
  </si>
  <si>
    <t>JN_2019_CONV_Sóftbol.xlsx</t>
  </si>
  <si>
    <t>JN_2019_CONV_Taekwondo.xlsx</t>
  </si>
  <si>
    <t>JN_2019_CONV_Tejo.xlsx</t>
  </si>
  <si>
    <t>JN_2019_CONV_Tenis de Campo.xlsx</t>
  </si>
  <si>
    <t>JN_2019_CONV_Tenis de Mesa.xlsx</t>
  </si>
  <si>
    <t>JN_2019_CONV_Tiro Deportivo.xlsx</t>
  </si>
  <si>
    <t>JN_2019_CONV_Triatlón.xlsx</t>
  </si>
  <si>
    <t>JN_2019_CONV_Vela.xlsx</t>
  </si>
  <si>
    <t>JN_2019_CONV_Voleibol Coliseo.xlsx</t>
  </si>
  <si>
    <t>JN_2019_CONV_Voleibol Playa.xlsx</t>
  </si>
  <si>
    <t>Judo Paranacional.xlsx</t>
  </si>
  <si>
    <t>https://indeportesantioquia.sharepoint.com/sites/ObservatoriodelDeporteInformesdeanaltica/Documentos compartidos/Informes de Analítica/JDN/X_JJPARAN_2019/Judo Paranacional/Participantes/</t>
  </si>
  <si>
    <t>https://indeportesantioquia.sharepoint.com/sites/ObservatoriodelDeporteInformesdeanaltica/Documentos compartidos/Informes de Analítica/Boletines Juegos Nacionales 2019/Paranacionales/Judo Paranacional/Participantes/</t>
  </si>
  <si>
    <t>Judo.xlsx</t>
  </si>
  <si>
    <t>https://indeportesantioquia.sharepoint.com/sites/ObservatoriodelDeporteInformesdeanaltica/Documentos compartidos/Informes de Analítica/Boletines Juegos Nacionales 2019/Nacionales/Judo/Participantes/</t>
  </si>
  <si>
    <t>https://indeportesantioquia.sharepoint.com/sites/ObservatoriodelDeporteInformesdeanaltica/Documentos compartidos/Informes de Analítica/JDN/XXI_JJNN_2019/Judo/Participantes/</t>
  </si>
  <si>
    <t>Karate Do.xlsx</t>
  </si>
  <si>
    <t>https://indeportesantioquia.sharepoint.com/sites/ObservatoriodelDeporteInformesdeanaltica/Documentos compartidos/Informes de Analítica/Boletines Juegos Nacionales 2019/Nacionales/Karate Do/Participantes/</t>
  </si>
  <si>
    <t>https://indeportesantioquia.sharepoint.com/sites/ObservatoriodelDeporteInformesdeanaltica/Documentos compartidos/Informes de Analítica/JDN/XXI_JJNN_2019/Karate Do/Participantes/</t>
  </si>
  <si>
    <t>Levantamiento de Pesas.xlsx</t>
  </si>
  <si>
    <t>https://indeportesantioquia.sharepoint.com/sites/ObservatoriodelDeporteInformesdeanaltica/Documentos compartidos/Informes de Analítica/JDN/XXI_JJNN_2019/Levantamiento de pesas/Participantes/</t>
  </si>
  <si>
    <t>https://indeportesantioquia.sharepoint.com/sites/ObservatoriodelDeporteInformesdeanaltica/Documentos compartidos/Informes de Analítica/Boletines Juegos Nacionales 2019/Nacionales/Levantamiento de pesas/Participantes/</t>
  </si>
  <si>
    <t>Listados Escenarios_EE_2000 ANTIOQUIA (DANE).xlsx</t>
  </si>
  <si>
    <t>Lucha.xlsx</t>
  </si>
  <si>
    <t>https://indeportesantioquia.sharepoint.com/sites/ObservatoriodelDeporteInformesdeanaltica/Documentos compartidos/Informes de Analítica/JDN/XXI_JJNN_2019/Lucha/Participantes/</t>
  </si>
  <si>
    <t>https://indeportesantioquia.sharepoint.com/sites/ObservatoriodelDeporteInformesdeanaltica/Documentos compartidos/Informes de Analítica/Boletines Juegos Nacionales 2019/Nacionales/Lucha/Participantes/</t>
  </si>
  <si>
    <t>METAS OBSERVATORIO Y POLITICA PUBLICA 2024.xls</t>
  </si>
  <si>
    <t>MUNICIPIOS ANTIOQUIA.xlsx</t>
  </si>
  <si>
    <t>MaestroActividades 17-02-2024 - Copia.xlsx</t>
  </si>
  <si>
    <t>MaestroActividades 17-02-2024.xlsx</t>
  </si>
  <si>
    <t>Matriz  actores.xlsx</t>
  </si>
  <si>
    <t>https://indeportesantioquia.sharepoint.com/sites/ObservatoriodelDeporteInformesdeanaltica/Documentos de venta al por menor/OBSERVATORIO/Politica Pública/INFORME FINAL CONVENIO POLÍTICAS PÚBLICAS INDEPORTES ANTIOQUIA/1.6 Procesamiento y análisis de información recolectada/</t>
  </si>
  <si>
    <t>Matriz _ Indicadores.xlsx</t>
  </si>
  <si>
    <t>Matriz indicadores de gestión.xlsx</t>
  </si>
  <si>
    <t>Medalleria JD2021.xlsx</t>
  </si>
  <si>
    <t>Mun-Subregion para SDC2024.xlsx</t>
  </si>
  <si>
    <t>Natación Artística.xlsx</t>
  </si>
  <si>
    <t>https://indeportesantioquia.sharepoint.com/sites/ObservatoriodelDeporteInformesdeanaltica/Documentos compartidos/Informes de Analítica/Boletines Juegos Nacionales 2019/Nacionales/Natación Artística/Participantes/</t>
  </si>
  <si>
    <t>https://indeportesantioquia.sharepoint.com/sites/ObservatoriodelDeporteInformesdeanaltica/Documentos compartidos/Informes de Analítica/JDN/XXI_JJNN_2019/Natación Artística/Participantes/</t>
  </si>
  <si>
    <t>Natación Carreras.xlsx</t>
  </si>
  <si>
    <t>https://indeportesantioquia.sharepoint.com/sites/ObservatoriodelDeporteInformesdeanaltica/Documentos compartidos/Informes de Analítica/JDN/XXI_JJNN_2019/Natación carreras/Participantes/</t>
  </si>
  <si>
    <t>https://indeportesantioquia.sharepoint.com/sites/ObservatoriodelDeporteInformesdeanaltica/Documentos compartidos/Informes de Analítica/Boletines Juegos Nacionales 2019/Nacionales/Natación carreras/Participantes/</t>
  </si>
  <si>
    <t>Natación Clavados.xlsx</t>
  </si>
  <si>
    <t>https://indeportesantioquia.sharepoint.com/sites/ObservatoriodelDeporteInformesdeanaltica/Documentos compartidos/Informes de Analítica/JDN/XXI_JJNN_2019/Natación clavados/Participantes/</t>
  </si>
  <si>
    <t>https://indeportesantioquia.sharepoint.com/sites/ObservatoriodelDeporteInformesdeanaltica/Documentos compartidos/Informes de Analítica/Boletines Juegos Nacionales 2019/Nacionales/Natación clavados/Participantes/</t>
  </si>
  <si>
    <t>Objetivos Indicadores Plan de Desarrollo.xlsx</t>
  </si>
  <si>
    <t>Organizacion.xlsx</t>
  </si>
  <si>
    <t>https://indeportesantioquia.sharepoint.com/sites/ObservatoriodelDeporteInformesdeanaltica/Documentos compartidos/Informes de Analítica/JD/JD_2024/JUEGOS DEPARTAMENTALES 2024/</t>
  </si>
  <si>
    <t>PERSONAL_ACTIVO.xlsx</t>
  </si>
  <si>
    <t>PERSONAL_ACTIVO_2024.xlsx</t>
  </si>
  <si>
    <t>PERSONAL_ACTIVO_2025.xlsx</t>
  </si>
  <si>
    <t>PIBDep-TotalDepartamento-2022pr.xlsx</t>
  </si>
  <si>
    <t>PIB_Mpio_2019_PUBLICAR24-12-2020.xlsx</t>
  </si>
  <si>
    <t>PLANTILLA BENEFICIARIOS CAPACITACION.xlsx</t>
  </si>
  <si>
    <t>https://indeportesantioquia.sharepoint.com/sites/ObservatoriodelDeporteInformesdeanaltica/Documentos compartidos/Email attachments/</t>
  </si>
  <si>
    <t>POBLACIÓN ANTIOQUIA POR MUNICIPIOS Y SUBREGIÓN.xlsx</t>
  </si>
  <si>
    <t>POSIBLE RECAUDO.xlsx</t>
  </si>
  <si>
    <t>https://indeportesantioquia.sharepoint.com/sites/ObservatoriodelDeporteInformesdeanaltica/Documentos de venta al por menor/OBSERVATORIO/</t>
  </si>
  <si>
    <t>PSCIU_EN_CAR_2022.xlsx</t>
  </si>
  <si>
    <t>Para-Atletismo.xlsx</t>
  </si>
  <si>
    <t>https://indeportesantioquia.sharepoint.com/sites/ObservatoriodelDeporteInformesdeanaltica/Documentos compartidos/Informes de Analítica/Boletines Juegos Nacionales 2019/Paranacionales/Para-Atletismo/Participantes/</t>
  </si>
  <si>
    <t>https://indeportesantioquia.sharepoint.com/sites/ObservatoriodelDeporteInformesdeanaltica/Documentos compartidos/Informes de Analítica/JDN/X_JJPARAN_2019/Para-Atletismo/Participantes/</t>
  </si>
  <si>
    <t>Para-Natación.xlsx</t>
  </si>
  <si>
    <t>https://indeportesantioquia.sharepoint.com/sites/ObservatoriodelDeporteInformesdeanaltica/Documentos compartidos/Informes de Analítica/Boletines Juegos Nacionales 2019/Paranacionales/Para-Natación/Participantes/</t>
  </si>
  <si>
    <t>https://indeportesantioquia.sharepoint.com/sites/ObservatoriodelDeporteInformesdeanaltica/Documentos compartidos/Informes de Analítica/JDN/X_JJPARAN_2019/Para-Natación/Participantes/</t>
  </si>
  <si>
    <t>Para-Powerlifting.xlsx</t>
  </si>
  <si>
    <t>https://indeportesantioquia.sharepoint.com/sites/ObservatoriodelDeporteInformesdeanaltica/Documentos compartidos/Informes de Analítica/JDN/X_JJPARAN_2019/Para-Powerlifting/Participantes/</t>
  </si>
  <si>
    <t>https://indeportesantioquia.sharepoint.com/sites/ObservatoriodelDeporteInformesdeanaltica/Documentos compartidos/Informes de Analítica/Boletines Juegos Nacionales 2019/Paranacionales/Para-Powerlifting/Participantes/</t>
  </si>
  <si>
    <t>Para-Triatlón.xlsx</t>
  </si>
  <si>
    <t>https://indeportesantioquia.sharepoint.com/sites/ObservatoriodelDeporteInformesdeanaltica/Documentos compartidos/Informes de Analítica/JDN/X_JJPARAN_2019/Para-Triatlón/Participantes/</t>
  </si>
  <si>
    <t>https://indeportesantioquia.sharepoint.com/sites/ObservatoriodelDeporteInformesdeanaltica/Documentos compartidos/Informes de Analítica/Boletines Juegos Nacionales 2019/Paranacionales/Para-Triatlón/Participantes/</t>
  </si>
  <si>
    <t>Paracycling.xlsx</t>
  </si>
  <si>
    <t>https://indeportesantioquia.sharepoint.com/sites/ObservatoriodelDeporteInformesdeanaltica/Documentos compartidos/Informes de Analítica/JDN/X_JJPARAN_2019/Paracycling/Participantes/</t>
  </si>
  <si>
    <t>https://indeportesantioquia.sharepoint.com/sites/ObservatoriodelDeporteInformesdeanaltica/Documentos compartidos/Informes de Analítica/Boletines Juegos Nacionales 2019/Paranacionales/Paracycling/Participantes/</t>
  </si>
  <si>
    <t>Patinaje Artístico.xlsx</t>
  </si>
  <si>
    <t>https://indeportesantioquia.sharepoint.com/sites/ObservatoriodelDeporteInformesdeanaltica/Documentos compartidos/Informes de Analítica/Boletines Juegos Nacionales 2019/Nacionales/Patinaje Artístico/Participantes/</t>
  </si>
  <si>
    <t>https://indeportesantioquia.sharepoint.com/sites/ObservatoriodelDeporteInformesdeanaltica/Documentos compartidos/Informes de Analítica/JDN/XXI_JJNN_2019/Patinaje Artístico/Participantes/</t>
  </si>
  <si>
    <t>Patinaje Carreras.xlsx</t>
  </si>
  <si>
    <t>https://indeportesantioquia.sharepoint.com/sites/ObservatoriodelDeporteInformesdeanaltica/Documentos compartidos/Informes de Analítica/Boletines Juegos Nacionales 2019/Nacionales/Patinaje carreras/Participantes/</t>
  </si>
  <si>
    <t>https://indeportesantioquia.sharepoint.com/sites/ObservatoriodelDeporteInformesdeanaltica/Documentos compartidos/Informes de Analítica/JDN/XXI_JJNN_2019/Patinaje carreras/Participantes/</t>
  </si>
  <si>
    <t>Plan de acción Observatorio Consolidado 2022.xlsx</t>
  </si>
  <si>
    <t>Planta servidores LNR.xlsx</t>
  </si>
  <si>
    <t>Población.xlsx</t>
  </si>
  <si>
    <t>Polo Acuático.xlsx</t>
  </si>
  <si>
    <t>https://indeportesantioquia.sharepoint.com/sites/ObservatoriodelDeporteInformesdeanaltica/Documentos compartidos/Informes de Analítica/JDN/XXI_JJNN_2019/Polo Acuatico/Participantes/</t>
  </si>
  <si>
    <t>https://indeportesantioquia.sharepoint.com/sites/ObservatoriodelDeporteInformesdeanaltica/Documentos compartidos/Informes de Analítica/Boletines Juegos Nacionales 2019/Nacionales/Polo Acuatico/Participantes/</t>
  </si>
  <si>
    <t>Presentacion presupuesto.xlsx</t>
  </si>
  <si>
    <t>Proyecciones-poblacion-Municipal_2018-2026.xlsx</t>
  </si>
  <si>
    <t>Proyecciones_DIC_2023 - copia.xlsx</t>
  </si>
  <si>
    <t>https://indeportesantioquia.sharepoint.com/sites/ObservatoriodelDeporteInformesdeanaltica/Documentos compartidos/Informes de Analítica/INDICADORES/Proyecciones/</t>
  </si>
  <si>
    <t>Proyecciones_DIC_2023.xlsx</t>
  </si>
  <si>
    <t>Prueba calor.xlsx</t>
  </si>
  <si>
    <t>Pruebas Campesinos.xlsx</t>
  </si>
  <si>
    <t>Pruebas Escolares2021.xlsx</t>
  </si>
  <si>
    <t>Pruebas Intercolegiados.xlsx</t>
  </si>
  <si>
    <t>Pruebas JD2021.xlsx</t>
  </si>
  <si>
    <t>Páginas.xlsx</t>
  </si>
  <si>
    <t>RD_DIAG_2022.xlsx</t>
  </si>
  <si>
    <t>https://indeportesantioquia.sharepoint.com/sites/ObservatoriodelDeporteInformesdeanaltica/Documentos compartidos/Informes de Analítica/RD/RD_DIAG_2022/</t>
  </si>
  <si>
    <t>RD_R_INS_2021.xlsx</t>
  </si>
  <si>
    <t>https://indeportesantioquia.sharepoint.com/sites/ObservatoriodelDeporteInformesdeanaltica/Documentos compartidos/Informes de Analítica/RD/RD_2021/</t>
  </si>
  <si>
    <t>RD_R_INS_2022.xlsx</t>
  </si>
  <si>
    <t>https://indeportesantioquia.sharepoint.com/sites/ObservatoriodelDeporteInformesdeanaltica/Documentos compartidos/Informes de Analítica/RD/RD_2022/</t>
  </si>
  <si>
    <t>https://indeportesantioquia.sharepoint.com/sites/ObservatoriodelDeporteInformesdeanaltica/Documentos compartidos/Informes de Analítica/RD/RD_2021-2022/</t>
  </si>
  <si>
    <t>RD_R_INS_2023.xlsx</t>
  </si>
  <si>
    <t>https://indeportesantioquia.sharepoint.com/sites/ObservatoriodelDeporteInformesdeanaltica/Documentos compartidos/Informes de Analítica/RD/RD_PAR_2023/</t>
  </si>
  <si>
    <t>RD_R_INS_Clasico_N_Ciclismo_Infantil_2023.xlsx</t>
  </si>
  <si>
    <t>RD_R_INS_OLIMP_ANT_DF_2022.xlsx</t>
  </si>
  <si>
    <t>RD_R_INS_OLIMP_ANT_DF_PRU_2022.xlsx</t>
  </si>
  <si>
    <t>https://indeportesantioquia.sharepoint.com/sites/ObservatoriodelDeporteInformesdeanaltica/Documentos compartidos/Informes de Analítica/RD/RD_PAR_2021-2022/</t>
  </si>
  <si>
    <t>RD_R_INS_PRU_2022.xlsx</t>
  </si>
  <si>
    <t>RECLASIFICADOS.xlsx</t>
  </si>
  <si>
    <t>RECLASIFICADOS_2024.xlsx</t>
  </si>
  <si>
    <t>RECLASIFICADOS_2025.xlsx</t>
  </si>
  <si>
    <t>REP_RADIC_INTE_2024.xls</t>
  </si>
  <si>
    <t>REP_RADIC_JURID_EXTER.xls</t>
  </si>
  <si>
    <t>REP_RADIC_JURID_INTER.xls</t>
  </si>
  <si>
    <t>REP_RADIC_RECIBIDO.xls</t>
  </si>
  <si>
    <t>REP_RADIC_RUTA_CONTRAT_2024.xls</t>
  </si>
  <si>
    <t>R_ACTIVID_2024_PDD_2024-2027.xlsx</t>
  </si>
  <si>
    <t>R_ACTIVID_2025_PDD_2024-2027.xlsx</t>
  </si>
  <si>
    <t>R_INDICADORES.xls</t>
  </si>
  <si>
    <t>R_INDICADORES_2024.xls</t>
  </si>
  <si>
    <t>R_INDICADORES_2024_PDD_2024-2027.xlsx</t>
  </si>
  <si>
    <t>R_INDICADORES_2025_PDD_2024-2027.xlsx</t>
  </si>
  <si>
    <t>R_PARA_ATLETAS_2024.xlsx</t>
  </si>
  <si>
    <t>Rangos de edad con intervalos de 4 años.xlsx</t>
  </si>
  <si>
    <t>Reporte Estadsticas Altos Logros Discapacidad Indeportes Antioquia ene 30 2021 a jun 30 2022.xlsx</t>
  </si>
  <si>
    <t>Reporte Estadsticas Altos Logros Indeportes Antioquia ene 29 2021 a jun 29 2022.xlsx</t>
  </si>
  <si>
    <t>Reporte Indicadores-3 mar 2022.xls</t>
  </si>
  <si>
    <t>https://indeportesantioquia.sharepoint.com/sites/ObservatoriodelDeporteInformesdeanaltica/Documentos compartidos/Informes de Analítica/INDICADORES/Reportes/</t>
  </si>
  <si>
    <t>Reporte Inscritos Altos Logros Discapacidad Indeportes Antioquia  Thu 30 Jun 2022 083249 0500.xlsx</t>
  </si>
  <si>
    <t>Reporte Inscritos Altos Logros Discapacidad Indeportes Antioquia  Tue 27 Dec 2022 100317 0500.xlsx</t>
  </si>
  <si>
    <t>Reporte Inscritos Altos Logros Indeportes Antioquia  Tue 27 Dec 2022 100606 0500.xlsx</t>
  </si>
  <si>
    <t>Reporte Inscritos Altos Logros Indeportes Antioquia  Wed 29 Jun 2022 151053 0500.xlsx</t>
  </si>
  <si>
    <t>Reporte Inscritos Escuelas Indeportes Antioquia Periodo 2023Bajo Cauca Fri 22 Sep 2023 135842 0500.xlsx</t>
  </si>
  <si>
    <t>https://indeportesantioquia.sharepoint.com/sites/ObservatoriodelDeporteInformesdeanaltica/Documentos compartidos/Informes de Analítica/RD/RD_PAR_2023/Subregiones/</t>
  </si>
  <si>
    <t>Reporte Inscritos Escuelas Indeportes Antioquia Periodo 2023Magdalena Medio Fri 22 Sep 2023 135910 0500.xlsx</t>
  </si>
  <si>
    <t>Reporte Inscritos Escuelas Indeportes Antioquia Periodo 2023Nordeste Fri 22 Sep 2023 135923 0500.xlsx</t>
  </si>
  <si>
    <t>Reporte Inscritos Escuelas Indeportes Antioquia Periodo 2023Norte Fri 22 Sep 2023 140045 0500.xlsx</t>
  </si>
  <si>
    <t>Reporte Inscritos Escuelas Indeportes Antioquia Periodo 2023Occidente Fri 22 Sep 2023 140129 0500.xlsx</t>
  </si>
  <si>
    <t>Reporte Inscritos Escuelas Indeportes Antioquia Periodo 2023Oriente Fri 22 Sep 2023 140206 0500.xlsx</t>
  </si>
  <si>
    <t>Reporte Inscritos Escuelas Indeportes Antioquia Periodo 2023Suroeste Fri 22 Sep 2023 140705 0500.xlsx</t>
  </si>
  <si>
    <t>Reporte Inscritos Escuelas Indeportes Antioquia Periodo 2023Urab Fri 22 Sep 2023 140742 0500.xlsx</t>
  </si>
  <si>
    <t>Reporte Inscritos Escuelas Indeportes Antioquia Periodo 2023Valle de Aburr Fri 22 Sep 2023 140752 0500.xlsx</t>
  </si>
  <si>
    <t>Reporte Inscritos Final Juegos Deportivos Campesinos Veredales 2021  Fri 29 Apr 2022 132322 0500.xlsx</t>
  </si>
  <si>
    <t>https://indeportesantioquia.sharepoint.com/sites/ObservatoriodelDeporteInformesdeanaltica/Documentos de venta al por menor/OBSERVATORIO/Juegos Institucionales 2021/Nuevos reportes/</t>
  </si>
  <si>
    <t>https://indeportesantioquia.sharepoint.com/sites/ObservatoriodelDeporteInformesdeanaltica/Documentos compartidos/Informes de Analítica/JD/JD_R_2021/Nuevos reportes/</t>
  </si>
  <si>
    <t>Reporte Inscritos Final Juegos Deportivos Departamentales 2021  Mon 25 Apr 2022 103314 0500.xlsx</t>
  </si>
  <si>
    <t>Reporte Inscritos Final Juegos Deportivos Departamentales 2021 1.xlsx</t>
  </si>
  <si>
    <t>Reporte Inscritos Final Juegos Deportivos Escolares 2021  Fri 29 Apr 2022 131839 0500.xlsx</t>
  </si>
  <si>
    <t>Reporte Inscritos Final Juegos Intercolegiados Juvenil y PreJuvenil 2021  Fri 02 May 2022 133000 0500.xlsx</t>
  </si>
  <si>
    <t>Reporte Inscritos IV Juegos Deportivos Paranacionales Deportista Fri 12 Jan 2024 134725 0500.xlsx</t>
  </si>
  <si>
    <t>https://indeportesantioquia.sharepoint.com/sites/ObservatoriodelDeporteInformesdeanaltica/Documentos compartidos/Informes de Analítica/JDN/</t>
  </si>
  <si>
    <t>Reporte Inscritos Juegos Deportivos Campesinos Veredales 2021 Fri 29 Jul 2022 081331 0500.xlsx</t>
  </si>
  <si>
    <t>https://indeportesantioquia.sharepoint.com/sites/ObservatoriodelDeporteInformesdeanaltica/Documentos de venta al por menor/OBSERVATORIO/Reporte participantes 2021/</t>
  </si>
  <si>
    <t>Reporte Inscritos Juegos Deportivos Campesinos Veredales 2021 Fri 29 Jul 2022 081802 0500 con Pruebas.xlsx</t>
  </si>
  <si>
    <t>Reporte Inscritos Juegos Deportivos Campesinos Veredales 2021 Wed 13 Jul 2022 164643 0500.xlsx</t>
  </si>
  <si>
    <t>Reporte Inscritos Juegos Deportivos Campesinos Veredales 2022  Fri 22 Jul 2022 091324 0500.xlsx</t>
  </si>
  <si>
    <t>Reporte Inscritos Juegos Deportivos Campesinos Veredales 2022 Wed 13 Jul 2022 165258 0500.xlsx</t>
  </si>
  <si>
    <t>Reporte Inscritos Juegos Deportivos Campesinos Veredales 2022 Wed 22 Jul 2022----.xlsx</t>
  </si>
  <si>
    <t>Reporte Inscritos Juegos Deportivos Campesinos Veredales 2022.xlsx</t>
  </si>
  <si>
    <t>Reporte Inscritos Juegos Deportivos Departamentales 2021 TOTAL Fri 29 Jul 2022 092503 0500.xlsx</t>
  </si>
  <si>
    <t>Reporte Inscritos Juegos Deportivos Departamentales 2021 TOTAL con Prueba Fri 29 Jul 2022 093146 0500.xlsx</t>
  </si>
  <si>
    <t>Reporte Inscritos Juegos Deportivos Escolares 2021 TOTAL CON PRUEBA Fri 29 Jul 2022 091415 0500.xlsx</t>
  </si>
  <si>
    <t>Reporte Inscritos Juegos Deportivos Escolares 2021 TOTAL Fri 29 Jul 2022 085238 0500.xlsx</t>
  </si>
  <si>
    <t>Reporte Inscritos Juegos Deportivos Intercolegiados 2021 Fri 08 Jul 2022 155329 0500 con Pruebas.xlsx</t>
  </si>
  <si>
    <t>Reporte Inscritos Juegos Deportivos Intercolegiados 2021 Fri 08 Jul 2022 155329 0500.xlsx</t>
  </si>
  <si>
    <t>Reporte Inscritos Juegos Deportivos Intercolegiados 2021 TOTAL Fri 29 Jul 2022 083254 0500.xlsx</t>
  </si>
  <si>
    <t>Reporte Inscritos Juegos Deportivos Intercolegiados 2022 Bajo Cauca Thu 04 Aug 2022 070234 0500.xlsx</t>
  </si>
  <si>
    <t>https://indeportesantioquia.sharepoint.com/sites/ObservatoriodelDeporteInformesdeanaltica/Documentos de venta al por menor/OBSERVATORIO/JDI Intercolegiados Zonales 2022/Reporte por Subregiones sin prueba/</t>
  </si>
  <si>
    <t>Reporte Inscritos Juegos Deportivos Intercolegiados 2022 Bajo CaucaDeportista Fri 05 Aug 2022 050901 0500.xlsx</t>
  </si>
  <si>
    <t>https://indeportesantioquia.sharepoint.com/sites/ObservatoriodelDeporteInformesdeanaltica/Documentos de venta al por menor/OBSERVATORIO/JDI Intercolegiados Zonales 2022/Reporte por Subregiones con prueba/</t>
  </si>
  <si>
    <t>Reporte Inscritos Juegos Deportivos Intercolegiados 2022 Magdalena Medio Thu 04 Aug 2022 070408 0500.xlsx</t>
  </si>
  <si>
    <t>Reporte Inscritos Juegos Deportivos Intercolegiados 2022 Magdalena MedioDeportista Fri 05 Aug 2022 051000 0500.xlsx</t>
  </si>
  <si>
    <t>Reporte Inscritos Juegos Deportivos Intercolegiados 2022 Nordeste Thu 04 Aug 2022 070451 0500.xlsx</t>
  </si>
  <si>
    <t>Reporte Inscritos Juegos Deportivos Intercolegiados 2022 NordesteDeportista Fri 05 Aug 2022 051124 0500.xlsx</t>
  </si>
  <si>
    <t>Reporte Inscritos Juegos Deportivos Intercolegiados 2022 Norte Thu 04 Aug 2022 070600 0500.xlsx</t>
  </si>
  <si>
    <t>Reporte Inscritos Juegos Deportivos Intercolegiados 2022 NorteDeportista Fri 05 Aug 2022 051234 0500.xlsx</t>
  </si>
  <si>
    <t>Reporte Inscritos Juegos Deportivos Intercolegiados 2022 Occidente Thu 04 Aug 2022 070902 0500.xlsx</t>
  </si>
  <si>
    <t>Reporte Inscritos Juegos Deportivos Intercolegiados 2022 OccidenteDeportista Fri 05 Aug 2022 051432 0500.xlsx</t>
  </si>
  <si>
    <t>Reporte Inscritos Juegos Deportivos Intercolegiados 2022 Oriente Deportista Fri 05 Aug 2022 060009 0500.xlsx</t>
  </si>
  <si>
    <t>Reporte Inscritos Juegos Deportivos Intercolegiados 2022 Oriente Thu 04 Aug 2022 072038 0500.xlsx</t>
  </si>
  <si>
    <t>Reporte Inscritos Juegos Deportivos Intercolegiados 2022 Suroeste Thu 04 Aug 2022 072017 0500.xlsx</t>
  </si>
  <si>
    <t>Reporte Inscritos Juegos Deportivos Intercolegiados 2022 SuroesteDeportista Fri 05 Aug 2022 052630 0500.xlsx</t>
  </si>
  <si>
    <t>Reporte Inscritos Juegos Deportivos Intercolegiados 2022 Uraba Deportista Fri 05 Aug 2022 053413 0500.xlsx</t>
  </si>
  <si>
    <t>Reporte Inscritos Juegos Deportivos Intercolegiados 2022 Uraba Thu 04 Aug 2022 075515 0500.xlsx</t>
  </si>
  <si>
    <t>Reporte Inscritos Juegos Deportivos Intercolegiados 2022 Valle de Aburra Deportista Fri 05 Aug 2022 054138 0500.xlsx</t>
  </si>
  <si>
    <t>Reporte Inscritos Juegos Deportivos Intercolegiados 2022 Valle de Aburra Thu 04 Aug 2022 075916 0500.xlsx</t>
  </si>
  <si>
    <t>Reporte Inscritos Juegos Deportivos Intercolegiados 2022 con prueba.xlsx</t>
  </si>
  <si>
    <t>Reporte Inscritos Juegos Deportivos Intercolegiados 2022 sin prueba.xlsx</t>
  </si>
  <si>
    <t>Reporte Inscritos Sistema de Eventos Acadmicos  Capacitaciones 2022  Thu 16 Jun 2022 150009 0500.xlsx</t>
  </si>
  <si>
    <t>Reporte Inscritos V Juegos Deportivos Paranacionales 2019 Deportista Fri 12 Jan 2024 134357 0500.xlsx</t>
  </si>
  <si>
    <t>Reporte Inscritos VI Juegos Paranacionales 2023 Para atleta Fri 12 Jan 2024 135503 0500.xlsx</t>
  </si>
  <si>
    <t>Reporte Inscritos XX Juegos Deportivos Nacionales 2015 Deportista Fri 12 Jan 2024 134756 0500.xlsx</t>
  </si>
  <si>
    <t>Reporte Inscritos XXI Juegos Deportivos Nacionales 2019 Deportista Fri 12 Jan 2024 134506 0500.xlsx</t>
  </si>
  <si>
    <t>Reporte Inscritos XXII Juegos Deportivos Nacionales 2023 Atleta Fri 12 Jan 2024 135459 0500.xlsx</t>
  </si>
  <si>
    <t>Reporte consolidado Escuelas de Deporte Formativo 2021.xlsx</t>
  </si>
  <si>
    <t>ReporteIndicadores 4 mar.xlsx</t>
  </si>
  <si>
    <t>ReporteIndicadores 4-Abril-2022.xls</t>
  </si>
  <si>
    <t>ReporteIndicadores 4.02.2022-2.xls</t>
  </si>
  <si>
    <t>ReporteIndicadores 5 abril (2).xls</t>
  </si>
  <si>
    <t>ReporteIndicadores 5- abril-2022.xls</t>
  </si>
  <si>
    <t>ReporteIndicadores 5-junio-2022.xls</t>
  </si>
  <si>
    <t>ReporteIndicadores 6.04.2022.xls</t>
  </si>
  <si>
    <t>ReporteIndicadores 7.02.2022.xls</t>
  </si>
  <si>
    <t>ReporteIndicadores 9 mayo 2022.xls</t>
  </si>
  <si>
    <t>Resultados Encuesta de satisfacción para la Subgerencia de Deporte Asociado y Altos Logros(1-434).xlsx</t>
  </si>
  <si>
    <t>ResultadosECV240.xlsx</t>
  </si>
  <si>
    <t>Revisión.xlsx</t>
  </si>
  <si>
    <t>Rugby 7.xlsx</t>
  </si>
  <si>
    <t>https://indeportesantioquia.sharepoint.com/sites/ObservatoriodelDeporteInformesdeanaltica/Documentos compartidos/Informes de Analítica/JDN/XXI_JJNN_2019/Rugby Seven/Participantes/</t>
  </si>
  <si>
    <t>https://indeportesantioquia.sharepoint.com/sites/ObservatoriodelDeporteInformesdeanaltica/Documentos compartidos/Informes de Analítica/Boletines Juegos Nacionales 2019/Nacionales/Rugby Seven/Participantes/</t>
  </si>
  <si>
    <t>Rugby Silla de Ruedas.xlsx</t>
  </si>
  <si>
    <t>https://indeportesantioquia.sharepoint.com/sites/ObservatoriodelDeporteInformesdeanaltica/Documentos compartidos/Informes de Analítica/Boletines Juegos Nacionales 2019/Paranacionales/Rugby Silla de Ruedas/Participantes/</t>
  </si>
  <si>
    <t>https://indeportesantioquia.sharepoint.com/sites/ObservatoriodelDeporteInformesdeanaltica/Documentos compartidos/Informes de Analítica/JDN/X_JJPARAN_2019/Rugby Silla de Ruedas/Participantes/</t>
  </si>
  <si>
    <t>SEG_CONTRATISTAS_2024.xlsx</t>
  </si>
  <si>
    <t>https://indeportesantioquia.sharepoint.com/sites/ObservatoriodelDeporteInformesdeanaltica/Documentos compartidos/Informes de Analítica/SEG_CONTRATISTAS/</t>
  </si>
  <si>
    <t>SEG_CONTRATOS.xlsx</t>
  </si>
  <si>
    <t>https://indeportesantioquia.sharepoint.com/sites/ObservatoriodelDeporteInformesdeanaltica/Documentos compartidos/Informes de Analítica/SEG_CONTRATOS/</t>
  </si>
  <si>
    <t>SEG_PLAN_MEJORAMIENTO_CONSO_2024.xlsx</t>
  </si>
  <si>
    <t>https://indeportesantioquia.sharepoint.com/sites/ObservatoriodelDeporteInformesdeanaltica/Documentos compartidos/Informes de Analítica/SEG_PLAN_MEJORA/</t>
  </si>
  <si>
    <t>Semaforo contratación.xlsx</t>
  </si>
  <si>
    <t>Squash.xlsx</t>
  </si>
  <si>
    <t>https://indeportesantioquia.sharepoint.com/sites/ObservatoriodelDeporteInformesdeanaltica/Documentos compartidos/Informes de Analítica/Boletines Juegos Nacionales 2019/Nacionales/Squash/Participantes/</t>
  </si>
  <si>
    <t>https://indeportesantioquia.sharepoint.com/sites/ObservatoriodelDeporteInformesdeanaltica/Documentos compartidos/Informes de Analítica/JDN/XXI_JJNN_2019/Squash/Participantes/</t>
  </si>
  <si>
    <t>Sóftbol.xlsx</t>
  </si>
  <si>
    <t>https://indeportesantioquia.sharepoint.com/sites/ObservatoriodelDeporteInformesdeanaltica/Documentos compartidos/Informes de Analítica/JDN/XXI_JJNN_2019/Sóftbol/Participantes/</t>
  </si>
  <si>
    <t>https://indeportesantioquia.sharepoint.com/sites/ObservatoriodelDeporteInformesdeanaltica/Documentos compartidos/Informes de Analítica/Boletines Juegos Nacionales 2019/Nacionales/Sóftbol/Participantes/</t>
  </si>
  <si>
    <t>Tabulación  problema público.xlsx</t>
  </si>
  <si>
    <t>Taekwondo.xlsx</t>
  </si>
  <si>
    <t>https://indeportesantioquia.sharepoint.com/sites/ObservatoriodelDeporteInformesdeanaltica/Documentos compartidos/Informes de Analítica/JDN/XXI_JJNN_2019/Taekwondo/Participantes/</t>
  </si>
  <si>
    <t>https://indeportesantioquia.sharepoint.com/sites/ObservatoriodelDeporteInformesdeanaltica/Documentos compartidos/Informes de Analítica/Boletines Juegos Nacionales 2019/Nacionales/Taekwondo/Participantes/</t>
  </si>
  <si>
    <t>Tejo.xlsx</t>
  </si>
  <si>
    <t>https://indeportesantioquia.sharepoint.com/sites/ObservatoriodelDeporteInformesdeanaltica/Documentos compartidos/Informes de Analítica/JDN/XXI_JJNN_2019/Tejo/Participantes/</t>
  </si>
  <si>
    <t>https://indeportesantioquia.sharepoint.com/sites/ObservatoriodelDeporteInformesdeanaltica/Documentos compartidos/Informes de Analítica/Boletines Juegos Nacionales 2019/Nacionales/Tejo/Participantes/</t>
  </si>
  <si>
    <t>Tenis de Campo.xlsx</t>
  </si>
  <si>
    <t>https://indeportesantioquia.sharepoint.com/sites/ObservatoriodelDeporteInformesdeanaltica/Documentos compartidos/Informes de Analítica/Boletines Juegos Nacionales 2019/Nacionales/Tenis de campo/Participantes/</t>
  </si>
  <si>
    <t>https://indeportesantioquia.sharepoint.com/sites/ObservatoriodelDeporteInformesdeanaltica/Documentos compartidos/Informes de Analítica/JDN/XXI_JJNN_2019/Tenis de campo/Participantes/</t>
  </si>
  <si>
    <t>Tenis de Mesa Paranacional.xlsx</t>
  </si>
  <si>
    <t>https://indeportesantioquia.sharepoint.com/sites/ObservatoriodelDeporteInformesdeanaltica/Documentos compartidos/Informes de Analítica/Boletines Juegos Nacionales 2019/Paranacionales/Tenis de Mesa Paranacional/Participantes/</t>
  </si>
  <si>
    <t>https://indeportesantioquia.sharepoint.com/sites/ObservatoriodelDeporteInformesdeanaltica/Documentos compartidos/Informes de Analítica/JDN/X_JJPARAN_2019/Tenis de Mesa Paranacional/Participantes/</t>
  </si>
  <si>
    <t>Tenis de Mesa.xlsx</t>
  </si>
  <si>
    <t>https://indeportesantioquia.sharepoint.com/sites/ObservatoriodelDeporteInformesdeanaltica/Documentos compartidos/Informes de Analítica/Boletines Juegos Nacionales 2019/Nacionales/Tenis de mesa/Participantes/</t>
  </si>
  <si>
    <t>https://indeportesantioquia.sharepoint.com/sites/ObservatoriodelDeporteInformesdeanaltica/Documentos compartidos/Informes de Analítica/JDN/XXI_JJNN_2019/Tenis de mesa/Participantes/</t>
  </si>
  <si>
    <t>Tenis en Silla de Ruedas.xlsx</t>
  </si>
  <si>
    <t>https://indeportesantioquia.sharepoint.com/sites/ObservatoriodelDeporteInformesdeanaltica/Documentos compartidos/Informes de Analítica/Boletines Juegos Nacionales 2019/Paranacionales/Tenis en Silla de Ruedas/Participantes/</t>
  </si>
  <si>
    <t>https://indeportesantioquia.sharepoint.com/sites/ObservatoriodelDeporteInformesdeanaltica/Documentos compartidos/Informes de Analítica/JDN/X_JJPARAN_2019/Tenis en Silla de Ruedas/Participantes/</t>
  </si>
  <si>
    <t>Tiro Deportivo Paranacional.xlsx</t>
  </si>
  <si>
    <t>https://indeportesantioquia.sharepoint.com/sites/ObservatoriodelDeporteInformesdeanaltica/Documentos compartidos/Informes de Analítica/Boletines Juegos Nacionales 2019/Paranacionales/Tiro Deportivo Paranacional/Participantes/</t>
  </si>
  <si>
    <t>https://indeportesantioquia.sharepoint.com/sites/ObservatoriodelDeporteInformesdeanaltica/Documentos compartidos/Informes de Analítica/JDN/X_JJPARAN_2019/Tiro Deportivo Paranacional/Participantes/</t>
  </si>
  <si>
    <t>Tiro Deportivo.xlsx</t>
  </si>
  <si>
    <t>https://indeportesantioquia.sharepoint.com/sites/ObservatoriodelDeporteInformesdeanaltica/Documentos compartidos/Informes de Analítica/JDN/XXI_JJNN_2019/Tiro Deportivo/Participantes/</t>
  </si>
  <si>
    <t>https://indeportesantioquia.sharepoint.com/sites/ObservatoriodelDeporteInformesdeanaltica/Documentos compartidos/Informes de Analítica/Boletines Juegos Nacionales 2019/Nacionales/Tiro Deportivo/Participantes/</t>
  </si>
  <si>
    <t>Todos los datos.xlsx</t>
  </si>
  <si>
    <t>https://indeportesantioquia.sharepoint.com/sites/ObservatoriodelDeporteInformesdeanaltica/Documentos compartidos/Informes de Analítica/JD/JD_Genero/Efectividad/</t>
  </si>
  <si>
    <t>Total greneral.xlsx</t>
  </si>
  <si>
    <t>Triatlón.xlsx</t>
  </si>
  <si>
    <t>https://indeportesantioquia.sharepoint.com/sites/ObservatoriodelDeporteInformesdeanaltica/Documentos compartidos/Informes de Analítica/JDN/XXI_JJNN_2019/Triatlón/Participantes/</t>
  </si>
  <si>
    <t>https://indeportesantioquia.sharepoint.com/sites/ObservatoriodelDeporteInformesdeanaltica/Documentos compartidos/Informes de Analítica/Boletines Juegos Nacionales 2019/Nacionales/Triatlón/Participantes/</t>
  </si>
  <si>
    <t>VALID_1.xlsx</t>
  </si>
  <si>
    <t>https://indeportesantioquia.sharepoint.com/sites/ObservatoriodelDeporteInformesdeanaltica/Documentos compartidos/Informes de Analítica/FESTIVALES_ESCOLARES/Validaciones/</t>
  </si>
  <si>
    <t>Vela.xlsx</t>
  </si>
  <si>
    <t>https://indeportesantioquia.sharepoint.com/sites/ObservatoriodelDeporteInformesdeanaltica/Documentos compartidos/Informes de Analítica/Boletines Juegos Nacionales 2019/Nacionales/Vela/Participantes/</t>
  </si>
  <si>
    <t>https://indeportesantioquia.sharepoint.com/sites/ObservatoriodelDeporteInformesdeanaltica/Documentos compartidos/Informes de Analítica/JDN/XXI_JJNN_2019/Vela/Participantes/</t>
  </si>
  <si>
    <t>Voleibol Coliseo.xlsx</t>
  </si>
  <si>
    <t>https://indeportesantioquia.sharepoint.com/sites/ObservatoriodelDeporteInformesdeanaltica/Documentos compartidos/Informes de Analítica/Boletines Juegos Nacionales 2019/Nacionales/Voleibol Coliseo/Participantes/</t>
  </si>
  <si>
    <t>https://indeportesantioquia.sharepoint.com/sites/ObservatoriodelDeporteInformesdeanaltica/Documentos compartidos/Informes de Analítica/JDN/XXI_JJNN_2019/Voleibol Coliseo/Participantes/</t>
  </si>
  <si>
    <t>Voleibol Playa.xlsx</t>
  </si>
  <si>
    <t>https://indeportesantioquia.sharepoint.com/sites/ObservatoriodelDeporteInformesdeanaltica/Documentos compartidos/Informes de Analítica/Boletines Juegos Nacionales 2019/Nacionales/Voleibol Playa/Participantes/</t>
  </si>
  <si>
    <t>https://indeportesantioquia.sharepoint.com/sites/ObservatoriodelDeporteInformesdeanaltica/Documentos compartidos/Informes de Analítica/JDN/XXI_JJNN_2019/Voleibol Playa/Participantes/</t>
  </si>
  <si>
    <t>Voleibol Sentado.xlsx</t>
  </si>
  <si>
    <t>https://indeportesantioquia.sharepoint.com/sites/ObservatoriodelDeporteInformesdeanaltica/Documentos compartidos/Informes de Analítica/JDN/X_JJPARAN_2019/Voleibol Sentado/Participantes/</t>
  </si>
  <si>
    <t>https://indeportesantioquia.sharepoint.com/sites/ObservatoriodelDeporteInformesdeanaltica/Documentos compartidos/Informes de Analítica/Boletines Juegos Nacionales 2019/Paranacionales/Voleibol Sentado/Participantes/</t>
  </si>
  <si>
    <t>anexo-proyecciones-poblacion-Municipal_2018-2026.xlsx</t>
  </si>
  <si>
    <t>codigos indicadores.xlsx</t>
  </si>
  <si>
    <t>consolidado RCP-CDP.xlsx</t>
  </si>
  <si>
    <t>rugby.xlsx</t>
  </si>
  <si>
    <t>verificacion_cursos2024_BasesBigQuery.xlsx</t>
  </si>
  <si>
    <t>CRP</t>
  </si>
  <si>
    <t>Objeto</t>
  </si>
  <si>
    <t>Relación en RCPAGOS</t>
  </si>
  <si>
    <t>CONTRATO-CDP</t>
  </si>
  <si>
    <t>DEPENDENCIA</t>
  </si>
  <si>
    <t>OFICINA ASESORA JURÍDICA</t>
  </si>
  <si>
    <t>OFICINA DE CONTROL INTERNO</t>
  </si>
  <si>
    <t>apellido1</t>
  </si>
  <si>
    <t>apellido2</t>
  </si>
  <si>
    <t>nombre1</t>
  </si>
  <si>
    <t>nombre2</t>
  </si>
  <si>
    <t>email</t>
  </si>
  <si>
    <t>NOMBRE COMPLETO</t>
  </si>
  <si>
    <t>NOMBRES Y APELLIDOS</t>
  </si>
  <si>
    <t>NAVARRO</t>
  </si>
  <si>
    <t>RINCON</t>
  </si>
  <si>
    <t>ALEJANDRO</t>
  </si>
  <si>
    <t>anavarro@indeportesantioquia.gov.co</t>
  </si>
  <si>
    <t>ALEJANDRO   NAVARRO RINCON</t>
  </si>
  <si>
    <t>ZULUAGA</t>
  </si>
  <si>
    <t>MORA</t>
  </si>
  <si>
    <t>azuluaga@indeportesantioquia.gov.co</t>
  </si>
  <si>
    <t>ALEJANDRO  ZULUAGA MORA</t>
  </si>
  <si>
    <t>JIMENEZ</t>
  </si>
  <si>
    <t>RENGIFO</t>
  </si>
  <si>
    <t>ANA</t>
  </si>
  <si>
    <t>CECILIA</t>
  </si>
  <si>
    <t>ajimenez@indeportesantioquia.gov.co</t>
  </si>
  <si>
    <t>GOMEZ</t>
  </si>
  <si>
    <t>MARGARITA</t>
  </si>
  <si>
    <t>ajimenezg@indeportesantioquia.gov.co</t>
  </si>
  <si>
    <t>ANA MARGARITA JIMENEZ GOMEZ</t>
  </si>
  <si>
    <t>MARIN</t>
  </si>
  <si>
    <t>ANDRES</t>
  </si>
  <si>
    <t>ESTEBAN</t>
  </si>
  <si>
    <t>amarin@indeportesantioquia.gov.co</t>
  </si>
  <si>
    <t>ANDRES ESTEBAN MARIN MARIN</t>
  </si>
  <si>
    <t>SALAZAR</t>
  </si>
  <si>
    <t>LOPEZ</t>
  </si>
  <si>
    <t>FELIPE</t>
  </si>
  <si>
    <t>asalazar@indeportesantioquia.gov.co</t>
  </si>
  <si>
    <t>LONDOÑO</t>
  </si>
  <si>
    <t>ZAPATA</t>
  </si>
  <si>
    <t xml:space="preserve">ANDRES </t>
  </si>
  <si>
    <t>JULIAN</t>
  </si>
  <si>
    <t>alondonoz@indeportesantioquia.gov.co</t>
  </si>
  <si>
    <t>ANDRES  JULIAN LONDOÑO ZAPATA</t>
  </si>
  <si>
    <t>CASTAÑO</t>
  </si>
  <si>
    <t>ROBERTO</t>
  </si>
  <si>
    <t>agomez@indeportesantioquia.gov.co</t>
  </si>
  <si>
    <t>ARREDONDO</t>
  </si>
  <si>
    <t>PALACIO</t>
  </si>
  <si>
    <t>ARACELLY</t>
  </si>
  <si>
    <t>aarredondo@indeportesantioquia.gov.co</t>
  </si>
  <si>
    <t>ARACELLY  ARREDONDO PALACIO</t>
  </si>
  <si>
    <t>QUICENO</t>
  </si>
  <si>
    <t>GIL</t>
  </si>
  <si>
    <t>BEATRIZ</t>
  </si>
  <si>
    <t>ELENA</t>
  </si>
  <si>
    <t>bquiceno@indeportesantioquia.gov.co</t>
  </si>
  <si>
    <t>RESTREPO</t>
  </si>
  <si>
    <t>VASQUEZ</t>
  </si>
  <si>
    <t>brestrepo@indeportesantioquia.gov.co</t>
  </si>
  <si>
    <t>BEATRIZ ELENA RESTREPO VASQUEZ</t>
  </si>
  <si>
    <t>OCAMPO</t>
  </si>
  <si>
    <t>MILLAN</t>
  </si>
  <si>
    <t>BETSY</t>
  </si>
  <si>
    <t>JOHANNA</t>
  </si>
  <si>
    <t>bocampo@indeportesantioquia.gov.co</t>
  </si>
  <si>
    <t>PEÑA</t>
  </si>
  <si>
    <t>CAMILO</t>
  </si>
  <si>
    <t>cpena@indeportesantioquia.gov.co</t>
  </si>
  <si>
    <t>CAMILO  PEÑA MORA</t>
  </si>
  <si>
    <t>NIEBLES</t>
  </si>
  <si>
    <t>CARLOS</t>
  </si>
  <si>
    <t>cniebles@indeportesantioquia.gov.co</t>
  </si>
  <si>
    <t>FLOREZ</t>
  </si>
  <si>
    <t>PEREIRA</t>
  </si>
  <si>
    <t>MARIO</t>
  </si>
  <si>
    <t>cflorez@indeportesantioquia.gov.co</t>
  </si>
  <si>
    <t>RAMIREZ</t>
  </si>
  <si>
    <t>CATALINA</t>
  </si>
  <si>
    <t>cvasquezr@indeportesantioquia.gov.co</t>
  </si>
  <si>
    <t>CATALINA  VASQUEZ RAMIREZ</t>
  </si>
  <si>
    <t>FRANCO</t>
  </si>
  <si>
    <t>CESAR</t>
  </si>
  <si>
    <t>AUGUSTO</t>
  </si>
  <si>
    <t>cfranco@indeportesantioquia.gov.co</t>
  </si>
  <si>
    <t>MEDINA</t>
  </si>
  <si>
    <t>CLARA</t>
  </si>
  <si>
    <t>INES</t>
  </si>
  <si>
    <t>cmedina@indeportesantioquia.gov.co</t>
  </si>
  <si>
    <t xml:space="preserve">CLARA INES MEDINA </t>
  </si>
  <si>
    <t>ARANGO</t>
  </si>
  <si>
    <t>CLAUDIA</t>
  </si>
  <si>
    <t>JANNET</t>
  </si>
  <si>
    <t>csalazar@indeportesantioquia.gov.co</t>
  </si>
  <si>
    <t>DIAZ</t>
  </si>
  <si>
    <t>OSORIO</t>
  </si>
  <si>
    <t>LILIANA</t>
  </si>
  <si>
    <t>cdiaz@indeportesantioquia.gov.co</t>
  </si>
  <si>
    <t>MORALES</t>
  </si>
  <si>
    <t>MARIA</t>
  </si>
  <si>
    <t>cpalacio@indeportesantioquia.gov.co</t>
  </si>
  <si>
    <t>VELEZ</t>
  </si>
  <si>
    <t>ESCOBAR</t>
  </si>
  <si>
    <t xml:space="preserve">CLAUDIA </t>
  </si>
  <si>
    <t>PATRICIA</t>
  </si>
  <si>
    <t>cvelez@indeportesantioquia.gov.co</t>
  </si>
  <si>
    <t>CLAUDIA  PATRICIA VELEZ ESCOBAR</t>
  </si>
  <si>
    <t>CENDOYA</t>
  </si>
  <si>
    <t>DAVID</t>
  </si>
  <si>
    <t>dcendoya@indeportesantioquia.gov.co</t>
  </si>
  <si>
    <t>DAVID  CENDOYA OCAMPO</t>
  </si>
  <si>
    <t>TORRES</t>
  </si>
  <si>
    <t>MUÑOZ</t>
  </si>
  <si>
    <t>dtorresm@indeportesantioquia.gov.co</t>
  </si>
  <si>
    <t>DAVID  TORRES MUÑOZ</t>
  </si>
  <si>
    <t>MONSALVE</t>
  </si>
  <si>
    <t>DIANA</t>
  </si>
  <si>
    <t>dmonsalve@indeportesantioquia.gov.co</t>
  </si>
  <si>
    <t>DIANA CATALINA MONSALVE LOPEZ</t>
  </si>
  <si>
    <t>GARCIA</t>
  </si>
  <si>
    <t>CRISTINA</t>
  </si>
  <si>
    <t>dgarcia@indeportesantioquia.gov.co</t>
  </si>
  <si>
    <t>DIANA CRISTINA GARCIA FLOREZ</t>
  </si>
  <si>
    <t>ROLDAN</t>
  </si>
  <si>
    <t>SEPULVEDA</t>
  </si>
  <si>
    <t>ISABEL</t>
  </si>
  <si>
    <t>droldans@indeportesantioquia.gov.co</t>
  </si>
  <si>
    <t>DIANA ISABEL ROLDAN SEPULVEDA</t>
  </si>
  <si>
    <t>DULCEY</t>
  </si>
  <si>
    <t>GUTIERREZ</t>
  </si>
  <si>
    <t>MARCELA</t>
  </si>
  <si>
    <t>ddulcey@indeportesantioquia.gov.co</t>
  </si>
  <si>
    <t>MARTINEZ</t>
  </si>
  <si>
    <t>DIGNA</t>
  </si>
  <si>
    <t>EMERITA</t>
  </si>
  <si>
    <t>dmartinez@indeportesantioquia.gov.co</t>
  </si>
  <si>
    <t>GIRALDO</t>
  </si>
  <si>
    <t>ELKIN</t>
  </si>
  <si>
    <t>DARIO</t>
  </si>
  <si>
    <t>egiraldo@indeportesantioquia.gov.co</t>
  </si>
  <si>
    <t>ELKIN DARIO GIRALDO MARIN</t>
  </si>
  <si>
    <t>ROSAS</t>
  </si>
  <si>
    <t>ESMERALDA</t>
  </si>
  <si>
    <t>SOLEDAD</t>
  </si>
  <si>
    <t>erosas@indeportesantioquia.gov.co</t>
  </si>
  <si>
    <t>ESTEFANIA</t>
  </si>
  <si>
    <t>eosorio@indeportesantioquia.gov.co</t>
  </si>
  <si>
    <t>ESTEFANIA   OSORIO CASTAÑO</t>
  </si>
  <si>
    <t>FABIAN</t>
  </si>
  <si>
    <t>farango@indeportesantioquia.gov.co</t>
  </si>
  <si>
    <t>CARDONA</t>
  </si>
  <si>
    <t>ECHEVERRI</t>
  </si>
  <si>
    <t>FERNEY</t>
  </si>
  <si>
    <t>fcardona@indeportesantioquia.gov.co</t>
  </si>
  <si>
    <t>FERNEY  CARDONA ECHEVERRI</t>
  </si>
  <si>
    <t xml:space="preserve">QUICENO </t>
  </si>
  <si>
    <t>BERRIO</t>
  </si>
  <si>
    <t>FRANCY</t>
  </si>
  <si>
    <t>STELLA</t>
  </si>
  <si>
    <t>fquiceno@indeportesantioquia.gov.co</t>
  </si>
  <si>
    <t>FRANCY STELLA QUICENO  BERRIO</t>
  </si>
  <si>
    <t>SIERRA</t>
  </si>
  <si>
    <t xml:space="preserve">GABRIEL </t>
  </si>
  <si>
    <t>GUILLERMO</t>
  </si>
  <si>
    <t>gsierra@indeportesantioquia.gov.co</t>
  </si>
  <si>
    <t>GABRIEL  GUILLERMO SIERRA RESTREPO</t>
  </si>
  <si>
    <t>VADOS</t>
  </si>
  <si>
    <t>CORAL</t>
  </si>
  <si>
    <t>GLADIS</t>
  </si>
  <si>
    <t>MARGOT</t>
  </si>
  <si>
    <t>gvados@indeportesantioquia.gov.co</t>
  </si>
  <si>
    <t>OROZCO</t>
  </si>
  <si>
    <t>VALENCIA</t>
  </si>
  <si>
    <t>GLENYS</t>
  </si>
  <si>
    <t>MARIEN</t>
  </si>
  <si>
    <t>ARTESANALTIENDA@GMAIL.COM</t>
  </si>
  <si>
    <t>GLENYS MARIEN OROZCO VALENCIA</t>
  </si>
  <si>
    <t>MONTOYA</t>
  </si>
  <si>
    <t>GLORIA</t>
  </si>
  <si>
    <t>gmontoya@indeportesantioquia.gov.co</t>
  </si>
  <si>
    <t>SANCHEZ</t>
  </si>
  <si>
    <t>CADAVID</t>
  </si>
  <si>
    <t>GUSTAVO</t>
  </si>
  <si>
    <t>LEON</t>
  </si>
  <si>
    <t>gsanchez@indeportesantioquia.gov.co</t>
  </si>
  <si>
    <t>CUERVO</t>
  </si>
  <si>
    <t>CAÑOLA</t>
  </si>
  <si>
    <t>HECTOR</t>
  </si>
  <si>
    <t>ABAD</t>
  </si>
  <si>
    <t>hcuervo@indeportesantioquia.gov.co</t>
  </si>
  <si>
    <t>ARROYAVE</t>
  </si>
  <si>
    <t>harroyave@indeportesantioquia.gov.co</t>
  </si>
  <si>
    <t>ARIAS</t>
  </si>
  <si>
    <t>MUNERA</t>
  </si>
  <si>
    <t>HERNAN</t>
  </si>
  <si>
    <t>harias@indeportesantioquia.gov.co</t>
  </si>
  <si>
    <t>HERBERT</t>
  </si>
  <si>
    <t>hmartinez@indeportesantioquia.gov.co</t>
  </si>
  <si>
    <t>HERBERT  MARTINEZ RESTREPO</t>
  </si>
  <si>
    <t>ALVAREZ</t>
  </si>
  <si>
    <t>MAURICIO</t>
  </si>
  <si>
    <t>hveleza@indeportesantioquia.gov.co</t>
  </si>
  <si>
    <t>JARAMILLO</t>
  </si>
  <si>
    <t>HUGO</t>
  </si>
  <si>
    <t>ALEXANDER</t>
  </si>
  <si>
    <t>hosorio@indeportesantioquia.gov.co</t>
  </si>
  <si>
    <t>HOYOS</t>
  </si>
  <si>
    <t>HERNANDO</t>
  </si>
  <si>
    <t>hhoyos@indeportesantioquia.gov.co</t>
  </si>
  <si>
    <t>RUEDA</t>
  </si>
  <si>
    <t>ILDA</t>
  </si>
  <si>
    <t>BIBIANA</t>
  </si>
  <si>
    <t>ialvarez@indeportesantioquia.gov.co</t>
  </si>
  <si>
    <t>GRAJALES</t>
  </si>
  <si>
    <t>IVAN</t>
  </si>
  <si>
    <t>igrajales@indeportesantioquia.gov.co</t>
  </si>
  <si>
    <t xml:space="preserve">LONDOÑO </t>
  </si>
  <si>
    <t>VANEGAS</t>
  </si>
  <si>
    <t>JAIDER</t>
  </si>
  <si>
    <t>jalondonov@indeportesantioquia.gov.co</t>
  </si>
  <si>
    <t>JAIDER ANDRES LONDOÑO  VANEGAS</t>
  </si>
  <si>
    <t>TOVAR</t>
  </si>
  <si>
    <t>AMADOR</t>
  </si>
  <si>
    <t>JAINE</t>
  </si>
  <si>
    <t>ESTHER</t>
  </si>
  <si>
    <t>jtovar@indeportesantioquia.gov.co</t>
  </si>
  <si>
    <t>GARRIDO</t>
  </si>
  <si>
    <t>CASTRO</t>
  </si>
  <si>
    <t>JAIRO</t>
  </si>
  <si>
    <t>ALFONSO</t>
  </si>
  <si>
    <t>jgarrido@indeportesantioquia.gov.co</t>
  </si>
  <si>
    <t>JAIRO ALFONSO GARRIDO CASTRO</t>
  </si>
  <si>
    <t>MORENO</t>
  </si>
  <si>
    <t>DE JESUS</t>
  </si>
  <si>
    <t>jjimenez@indeportesantioquia.gov.co</t>
  </si>
  <si>
    <t>VELASQUEZ</t>
  </si>
  <si>
    <t>BORJA</t>
  </si>
  <si>
    <t>JHON</t>
  </si>
  <si>
    <t>jvelasquez@indeportesantioquia.gov.co</t>
  </si>
  <si>
    <t>PALACIOS</t>
  </si>
  <si>
    <t>CHAVERRA</t>
  </si>
  <si>
    <t>JIMMY</t>
  </si>
  <si>
    <t>ARLEY</t>
  </si>
  <si>
    <t>japalacios@indeportesantioquia.gov.co</t>
  </si>
  <si>
    <t>JIMMY ARLEY PALACIOS CHAVERRA</t>
  </si>
  <si>
    <t>POSADA</t>
  </si>
  <si>
    <t>LLANO</t>
  </si>
  <si>
    <t>jmposada@indeportesantioquia.gov.co</t>
  </si>
  <si>
    <t xml:space="preserve">MANCO </t>
  </si>
  <si>
    <t>BEDOYA</t>
  </si>
  <si>
    <t>JOHN</t>
  </si>
  <si>
    <t>ALBEIRO</t>
  </si>
  <si>
    <t>joalmabe24@yahoo.com</t>
  </si>
  <si>
    <t>JOHN ALBEIRO MANCO  BEDOYA</t>
  </si>
  <si>
    <t>BETANCUR</t>
  </si>
  <si>
    <t>MAYA</t>
  </si>
  <si>
    <t>ALBERTO</t>
  </si>
  <si>
    <t>jbetancur@indeportesantioquia.gov.co</t>
  </si>
  <si>
    <t>OSPINA</t>
  </si>
  <si>
    <t>yondago24@hotmail.com</t>
  </si>
  <si>
    <t>JOHN DARIO GOMEZ OSPINA</t>
  </si>
  <si>
    <t>PESTANA</t>
  </si>
  <si>
    <t>RIVERA</t>
  </si>
  <si>
    <t>JOSE</t>
  </si>
  <si>
    <t>jpestana@indeportesantioquia.gov.co</t>
  </si>
  <si>
    <t>JOSE JULIAN PESTANA RIVERA</t>
  </si>
  <si>
    <t>RAMIRO</t>
  </si>
  <si>
    <t>jpalacio@indeportesantioquia.gov.co</t>
  </si>
  <si>
    <t>TORO</t>
  </si>
  <si>
    <t>JUAN</t>
  </si>
  <si>
    <t>DIEGO</t>
  </si>
  <si>
    <t>jlondono@indeportesantioquia.gov.co</t>
  </si>
  <si>
    <t>JUAN DIEGO LONDOÑO  TORO</t>
  </si>
  <si>
    <t xml:space="preserve">RAMIREZ </t>
  </si>
  <si>
    <t>CARDENAS</t>
  </si>
  <si>
    <t>MANUEL</t>
  </si>
  <si>
    <t>jmramirez@indeportesantioquia.gov.co</t>
  </si>
  <si>
    <t>JUAN MANUEL RAMIREZ  CARDENAS</t>
  </si>
  <si>
    <t>julian0212@hotmail.es</t>
  </si>
  <si>
    <t>JULIAN  LOPEZ LONDOÑO</t>
  </si>
  <si>
    <t>BERMUDEZ</t>
  </si>
  <si>
    <t>HENAO</t>
  </si>
  <si>
    <t>JULIANA</t>
  </si>
  <si>
    <t>jbermudez@indeportesantioquia.gov.co</t>
  </si>
  <si>
    <t>JULIANA  BERMUDEZ HENAO</t>
  </si>
  <si>
    <t>PELAEZ</t>
  </si>
  <si>
    <t>GONZALEZ</t>
  </si>
  <si>
    <t>jpelaez@indeportesantioquia.gov.co</t>
  </si>
  <si>
    <t>JULIANA  PELAEZ GONZALEZ</t>
  </si>
  <si>
    <t>KARINA</t>
  </si>
  <si>
    <t>ksalazar@indeportesantioquia.gov.co</t>
  </si>
  <si>
    <t>KARINA   SALAZAR ZULUAGA</t>
  </si>
  <si>
    <t>VILLA</t>
  </si>
  <si>
    <t>KERLLY YURLEDY</t>
  </si>
  <si>
    <t>keyuvira@hotmail.com</t>
  </si>
  <si>
    <t>KERLLY YURLEDY  VILLA RAMIREZ</t>
  </si>
  <si>
    <t>LAURA</t>
  </si>
  <si>
    <t>larroyave@indeportesantioquia.gov.co</t>
  </si>
  <si>
    <t>LAURA  RAMIREZ ARROYAVE</t>
  </si>
  <si>
    <t>ARIZA</t>
  </si>
  <si>
    <t>LEIDY</t>
  </si>
  <si>
    <t>SANDRIT</t>
  </si>
  <si>
    <t>lariza@indeportesantioquia.gov.co</t>
  </si>
  <si>
    <t>QUINTERO</t>
  </si>
  <si>
    <t>LEONDAVIDQR@GMAIL.COM</t>
  </si>
  <si>
    <t>LIBIER</t>
  </si>
  <si>
    <t>ldjimenez@indeportesantioquia.gov.co</t>
  </si>
  <si>
    <t>CANO</t>
  </si>
  <si>
    <t>LICETH</t>
  </si>
  <si>
    <t>lcano@indeportesantioquia.gov.co</t>
  </si>
  <si>
    <t xml:space="preserve">CANO </t>
  </si>
  <si>
    <t>LINA</t>
  </si>
  <si>
    <t>lgiraldo@indeportesantioquia.gov.co</t>
  </si>
  <si>
    <t xml:space="preserve">LINA MARCELA GIRALDO CANO </t>
  </si>
  <si>
    <t xml:space="preserve">CASTRO </t>
  </si>
  <si>
    <t>LISSINIA</t>
  </si>
  <si>
    <t>AIDE</t>
  </si>
  <si>
    <t>lcastro@indeportesantioquia.gov.co</t>
  </si>
  <si>
    <t>LISSINIA AIDE CASTRO  VELASQUEZ</t>
  </si>
  <si>
    <t>LUCERO</t>
  </si>
  <si>
    <t>ldiaz@indeportesantioquia.gov.co</t>
  </si>
  <si>
    <t>LUCERO  DIAZ CANO</t>
  </si>
  <si>
    <t>BELTRAN</t>
  </si>
  <si>
    <t>ZAMBRANO</t>
  </si>
  <si>
    <t>LUCY</t>
  </si>
  <si>
    <t>AUDREY</t>
  </si>
  <si>
    <t>lbeltran@indeportesantioquia.gov.co</t>
  </si>
  <si>
    <t>NOGUERA</t>
  </si>
  <si>
    <t>MELENDEZ</t>
  </si>
  <si>
    <t>LUIS</t>
  </si>
  <si>
    <t>lnoguera@indeportesantioquia.gov.co</t>
  </si>
  <si>
    <t>LUIS CARLOS NOGUERA MELENDEZ</t>
  </si>
  <si>
    <t>LOAIZA</t>
  </si>
  <si>
    <t>GALLEGO</t>
  </si>
  <si>
    <t>FERNANDO</t>
  </si>
  <si>
    <t>lloaiza@indeportesantioquia.gov.co</t>
  </si>
  <si>
    <t>LUIS FERNANDO LOAIZA GALLEGO</t>
  </si>
  <si>
    <t>lflopez@indeportesantioquia.gov.co</t>
  </si>
  <si>
    <t>TOBON</t>
  </si>
  <si>
    <t>GIOVANY</t>
  </si>
  <si>
    <t>GIOVANY.ARIAS@GMAIL.COM</t>
  </si>
  <si>
    <t>LUIS GIOVANY ARIAS TOBON</t>
  </si>
  <si>
    <t>GAVIRIA</t>
  </si>
  <si>
    <t>LUISA</t>
  </si>
  <si>
    <t>FERNANDA</t>
  </si>
  <si>
    <t>lgaviria@indeportesantioquia.gov.co</t>
  </si>
  <si>
    <t>CARMONA</t>
  </si>
  <si>
    <t>LUZ</t>
  </si>
  <si>
    <t>ADRIANA</t>
  </si>
  <si>
    <t>lvalencia@indeportesantioquia.gov.co</t>
  </si>
  <si>
    <t>lmarin@indeportesantioquia.gov.co</t>
  </si>
  <si>
    <t>TANGARIFE</t>
  </si>
  <si>
    <t>MARY</t>
  </si>
  <si>
    <t>lramirezt@indeportesantioquia.gov.co</t>
  </si>
  <si>
    <t>LUZ MARY RAMIREZ TANGARIFE</t>
  </si>
  <si>
    <t>CASTILLO</t>
  </si>
  <si>
    <t>MIRELLA</t>
  </si>
  <si>
    <t>lgonzalezc@indeportesantioquia.gov.co</t>
  </si>
  <si>
    <t>LUZ MIRELLA GONZALEZ CASTILLO</t>
  </si>
  <si>
    <t>ARBOLEDA</t>
  </si>
  <si>
    <t>VERONICA</t>
  </si>
  <si>
    <t>larboledag@indeportesantioquia.gov.co</t>
  </si>
  <si>
    <t>GALVIS</t>
  </si>
  <si>
    <t>MAGDA</t>
  </si>
  <si>
    <t>YAMILE</t>
  </si>
  <si>
    <t>mlopez@indeportesantioquia.gov.co</t>
  </si>
  <si>
    <t>MAGDA YAMILE LOPEZ GALVIS</t>
  </si>
  <si>
    <t>RODRIGUEZ</t>
  </si>
  <si>
    <t>PEREZ</t>
  </si>
  <si>
    <t>ANTONIO</t>
  </si>
  <si>
    <t>mrodriguez@indeportesantioquia.gov.co</t>
  </si>
  <si>
    <t>MANUELA</t>
  </si>
  <si>
    <t>mvelasquezr@indeportesantioquia.gov.co</t>
  </si>
  <si>
    <t>MANUELA  VELASQUEZ RENGIFO</t>
  </si>
  <si>
    <t>margara-diaz@hotmail.com</t>
  </si>
  <si>
    <t>SOLANO</t>
  </si>
  <si>
    <t>DEL PILAR</t>
  </si>
  <si>
    <t>mapisolano1@gmail.com</t>
  </si>
  <si>
    <t>MARIA DEL PILAR SOLANO SIERRA</t>
  </si>
  <si>
    <t>EUGENIA</t>
  </si>
  <si>
    <t>mrestrepo@indeportesantioquia.gov.co</t>
  </si>
  <si>
    <t>MARIA EUGENIA RESTREPO MAYA</t>
  </si>
  <si>
    <t>BECERRA</t>
  </si>
  <si>
    <t>MERCEDES</t>
  </si>
  <si>
    <t>mbecerra@indeportesantioquia.gov.co</t>
  </si>
  <si>
    <t>MARIA MERCEDES BECERRA MARTINEZ</t>
  </si>
  <si>
    <t>TERESA DE GUADALUPE</t>
  </si>
  <si>
    <t>mmunozj@indeportesantioquia.gov.co</t>
  </si>
  <si>
    <t>mquintero@indeportesantioquia.gov.co</t>
  </si>
  <si>
    <t>MARIO ANDRES QUINTERO VELASQUEZ</t>
  </si>
  <si>
    <t>MARTA</t>
  </si>
  <si>
    <t>mcgarcia@indeportesantioquia.gov.co</t>
  </si>
  <si>
    <t>ORREGO</t>
  </si>
  <si>
    <t>MARTHA</t>
  </si>
  <si>
    <t>LUCIA</t>
  </si>
  <si>
    <t>morrego@indeportesantioquia.gov.co</t>
  </si>
  <si>
    <t>MARTHA LUCIA ORREGO LONDOÑO</t>
  </si>
  <si>
    <t>BOLIVAR</t>
  </si>
  <si>
    <t>NURY</t>
  </si>
  <si>
    <t>mbolivar@indeportesantioquia.gov.co</t>
  </si>
  <si>
    <t xml:space="preserve">MARTHA NURY BOLIVAR </t>
  </si>
  <si>
    <t>ARENAS</t>
  </si>
  <si>
    <t>FORONDA</t>
  </si>
  <si>
    <t>mlarenas@indeportesantioquia.gov.co</t>
  </si>
  <si>
    <t>URIBE</t>
  </si>
  <si>
    <t>MARYLUZ</t>
  </si>
  <si>
    <t>mrodriguezu@indeportesantioquia.gov.co</t>
  </si>
  <si>
    <t>MARYLUZ  RODRIGUEZ URIBE</t>
  </si>
  <si>
    <t>MAXIMILIANO</t>
  </si>
  <si>
    <t>robesp1@hotmail.com</t>
  </si>
  <si>
    <t>MAXIMILIANO  BEDOYA LONDOÑO</t>
  </si>
  <si>
    <t>SOSA</t>
  </si>
  <si>
    <t>MONICA</t>
  </si>
  <si>
    <t>marenas@indeportesantioquia.gov.co</t>
  </si>
  <si>
    <t>HERNANDEZ</t>
  </si>
  <si>
    <t>NELSON</t>
  </si>
  <si>
    <t>nhernandez@indeportesantioquia.gov.co</t>
  </si>
  <si>
    <t>AGUIRRE</t>
  </si>
  <si>
    <t>NICANOR</t>
  </si>
  <si>
    <t>ALONSO</t>
  </si>
  <si>
    <t>nmunoz@indeportesantioquia.gov.co</t>
  </si>
  <si>
    <t>NICANOR ALONSO MUÑOZ AGUIRRE</t>
  </si>
  <si>
    <t>QUIROZ</t>
  </si>
  <si>
    <t>BASTIDAS</t>
  </si>
  <si>
    <t>OLGA</t>
  </si>
  <si>
    <t>oquiroz@indeportesantioquia.gov.co</t>
  </si>
  <si>
    <t>RENDON</t>
  </si>
  <si>
    <t>ORFILIA</t>
  </si>
  <si>
    <t>DEL SOCORRO</t>
  </si>
  <si>
    <t>ovalencia@indeportesantioquia.gov.co</t>
  </si>
  <si>
    <t>OSCAR</t>
  </si>
  <si>
    <t>ocardona@indeportesantioquia.gov.co</t>
  </si>
  <si>
    <t>BADILLO</t>
  </si>
  <si>
    <t>LIZARRALDE</t>
  </si>
  <si>
    <t>obadillo@indeportesantioquia.gov.co</t>
  </si>
  <si>
    <t>MENDEZ</t>
  </si>
  <si>
    <t>PAULA</t>
  </si>
  <si>
    <t>ANDREA</t>
  </si>
  <si>
    <t>pmendez@indeportesantioquia.gov.co</t>
  </si>
  <si>
    <t>PAULA ANDREA MENDEZ GIL</t>
  </si>
  <si>
    <t>RAMON</t>
  </si>
  <si>
    <t>EDUARDO</t>
  </si>
  <si>
    <t>rfranco@indeportesantioquia.gov.co</t>
  </si>
  <si>
    <t>RAMON EDUARDO FRANCO MONTOYA</t>
  </si>
  <si>
    <t>RODRIGO</t>
  </si>
  <si>
    <t>rmora@indeportesantioquia.gov.co</t>
  </si>
  <si>
    <t>RODRIGO   MORA QUIROZ</t>
  </si>
  <si>
    <t>ROSALBA</t>
  </si>
  <si>
    <t>YANET</t>
  </si>
  <si>
    <t>rbetancur@indeportesantioquia.gov.co</t>
  </si>
  <si>
    <t>ROSALBA YANET BETANCUR ZAPATA</t>
  </si>
  <si>
    <t>MIRANDA</t>
  </si>
  <si>
    <t>CIFUENTES</t>
  </si>
  <si>
    <t>SANDRA</t>
  </si>
  <si>
    <t>MARIZA</t>
  </si>
  <si>
    <t>smiranda@indeportesantioquia.gov.co</t>
  </si>
  <si>
    <t>SANDRA MARIZA MIRANDA CIFUENTES</t>
  </si>
  <si>
    <t>CALLE</t>
  </si>
  <si>
    <t>MILENA</t>
  </si>
  <si>
    <t>scalle@indeportesantioquia.gov.co</t>
  </si>
  <si>
    <t>SANDRA MILENA CALLE BEDOYA</t>
  </si>
  <si>
    <t xml:space="preserve">IBARRA </t>
  </si>
  <si>
    <t>HEREDIA</t>
  </si>
  <si>
    <t>sibarra@indeportesantioquia.gov.co</t>
  </si>
  <si>
    <t>SANDRA MILENA IBARRA  HEREDIA</t>
  </si>
  <si>
    <t>YULIETH</t>
  </si>
  <si>
    <t>spalacio@indeportesantioquia.gov.co</t>
  </si>
  <si>
    <t>PADILLA</t>
  </si>
  <si>
    <t>SANTIAGO</t>
  </si>
  <si>
    <t>spadilla@indeportesantioquia.gov.co</t>
  </si>
  <si>
    <t>VARGAS</t>
  </si>
  <si>
    <t>SEBASTIAN</t>
  </si>
  <si>
    <t>socampo@indeportesantioquia.gov.co</t>
  </si>
  <si>
    <t>SEBASTIAN  OCAMPO VARGAS</t>
  </si>
  <si>
    <t>CALVO</t>
  </si>
  <si>
    <t>SONIA</t>
  </si>
  <si>
    <t>LISLLEY</t>
  </si>
  <si>
    <t>scalvo@indeportesantioquia.gov.co</t>
  </si>
  <si>
    <t>SONIA LISLLEY CALVO MARTINEZ</t>
  </si>
  <si>
    <t>RIOS</t>
  </si>
  <si>
    <t>TATIANA</t>
  </si>
  <si>
    <t>trios@indeportesantioquia.gov.co</t>
  </si>
  <si>
    <t>TATIANA  RIOS MONTOYA</t>
  </si>
  <si>
    <t>VANESA</t>
  </si>
  <si>
    <t>ELIANA</t>
  </si>
  <si>
    <t>vospina@indeportesantioquia.gov.co</t>
  </si>
  <si>
    <t>VANESA ELIANA OSPINA SANCHEZ</t>
  </si>
  <si>
    <t>URREA</t>
  </si>
  <si>
    <t>GALLO</t>
  </si>
  <si>
    <t>vurrea@indeportesantioquia.gov.co</t>
  </si>
  <si>
    <t>VERONICA  URREA GALLO</t>
  </si>
  <si>
    <t>ALZATE</t>
  </si>
  <si>
    <t>ARCILA</t>
  </si>
  <si>
    <t>VICTOR</t>
  </si>
  <si>
    <t>victorandresalzate@hotmail.com</t>
  </si>
  <si>
    <t>VICTOR ANDRES ALZATE ARCILA</t>
  </si>
  <si>
    <t>CORREA</t>
  </si>
  <si>
    <t>WILLIAM</t>
  </si>
  <si>
    <t>wgomez@indeportesantioquia.gov.co</t>
  </si>
  <si>
    <t>AVENDAÑO</t>
  </si>
  <si>
    <t>BERNAL</t>
  </si>
  <si>
    <t>YENIFER</t>
  </si>
  <si>
    <t>yavendano@indeportesantioquia.gov.co</t>
  </si>
  <si>
    <t>YENIFER MARCELA AVENDAÑO BERNAL</t>
  </si>
  <si>
    <t>GARZON</t>
  </si>
  <si>
    <t>YESICA</t>
  </si>
  <si>
    <t>ygarzon@indeportesantioquia.gov.co</t>
  </si>
  <si>
    <t>YESICA  GARZON ZAPATA</t>
  </si>
  <si>
    <t>COPETE</t>
  </si>
  <si>
    <t>YESID</t>
  </si>
  <si>
    <t>ycopete@indeportesantioquia.gov.co</t>
  </si>
  <si>
    <t xml:space="preserve">YESID  COPETE </t>
  </si>
  <si>
    <t>MENDOZA</t>
  </si>
  <si>
    <t>YESSICA</t>
  </si>
  <si>
    <t>ymendoza@indeportesantioquia.gov.co</t>
  </si>
  <si>
    <t>YESSICA YULIETH MENDOZA HERNANDEZ</t>
  </si>
  <si>
    <t>TAPIAS</t>
  </si>
  <si>
    <t>CASTRILLON</t>
  </si>
  <si>
    <t>ZENEIDA</t>
  </si>
  <si>
    <t>DE J.</t>
  </si>
  <si>
    <t>ztapias@indeportesantioquia.gov.co</t>
  </si>
  <si>
    <t>ZENEIDA DE J. TAPIAS CASTRILLON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</si>
</sst>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0_-;\-* #,##0_-;_-* &quot;-&quot;_-;_-@_-"/>
    <numFmt numFmtId="44" formatCode="_-&quot;$&quot;\ * #,##0.00_-;\-&quot;$&quot;\ * #,##0.00_-;_-&quot;$&quot;\ * &quot;-&quot;??_-;_-@_-"/>
    <numFmt numFmtId="43" formatCode="_-* #,##0.00_-;\-* #,##0.00_-;_-* &quot;-&quot;??_-;_-@_-"/>
    <numFmt numFmtId="164" formatCode="_(* #,##0_);_(* \(#,##0\);_(* &quot;-&quot;_);_(@_)"/>
    <numFmt numFmtId="165" formatCode="_(&quot;$&quot;* #,##0.00_);_(&quot;$&quot;* \(#,##0.00\);_(&quot;$&quot;* &quot;-&quot;??_);_(@_)"/>
    <numFmt numFmtId="166" formatCode="_(* #,##0.00_);_(* \(#,##0.00\);_(* &quot;-&quot;??_);_(@_)"/>
    <numFmt numFmtId="167" formatCode="_(&quot;$&quot;\ * #,##0.00_);_(&quot;$&quot;\ * \(#,##0.00\);_(&quot;$&quot;\ * &quot;-&quot;??_);_(@_)"/>
    <numFmt numFmtId="168" formatCode="_-&quot;$&quot;* #,##0_-;\-&quot;$&quot;* #,##0_-;_-&quot;$&quot;* &quot;-&quot;_-;_-@_-"/>
    <numFmt numFmtId="169" formatCode="dd/mm/yyyy;@"/>
    <numFmt numFmtId="170" formatCode="000"/>
    <numFmt numFmtId="171" formatCode="_ &quot;$&quot;\ * #,##0.0_ ;_ &quot;$&quot;\ * \-#,##0.0_ ;_ &quot;$&quot;\ * &quot;-&quot;??_ ;_ @_ "/>
    <numFmt numFmtId="172" formatCode="#,##0\ _€"/>
    <numFmt numFmtId="173" formatCode="&quot;$&quot;\ #,##0"/>
    <numFmt numFmtId="174" formatCode="_-* #,##0.0000_-;\-* #,##0.0000_-;_-* &quot;-&quot;_-;_-@_-"/>
    <numFmt numFmtId="175" formatCode="d/mm/yyyy;@"/>
    <numFmt numFmtId="176" formatCode="m/d/yyyy"/>
    <numFmt numFmtId="177" formatCode="_-* #,##0_-;\-* #,##0_-;_-* &quot;-&quot;??_-;_-@_-"/>
  </numFmts>
  <fonts count="62" x14ac:knownFonts="1">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Arial Narrow"/>
      <family val="2"/>
    </font>
    <font>
      <sz val="11"/>
      <color theme="1"/>
      <name val="Calibri"/>
      <family val="2"/>
      <scheme val="minor"/>
    </font>
    <font>
      <sz val="11"/>
      <name val="Calibri"/>
      <family val="2"/>
      <scheme val="minor"/>
    </font>
    <font>
      <sz val="8"/>
      <name val="Calibri"/>
      <family val="2"/>
      <scheme val="minor"/>
    </font>
    <font>
      <sz val="11"/>
      <color theme="1"/>
      <name val="Arial Narrow"/>
      <family val="2"/>
    </font>
    <font>
      <u/>
      <sz val="11"/>
      <color theme="10"/>
      <name val="Calibri"/>
      <family val="2"/>
      <scheme val="minor"/>
    </font>
    <font>
      <sz val="10"/>
      <color theme="1"/>
      <name val="Verdana"/>
      <family val="2"/>
    </font>
    <font>
      <sz val="10"/>
      <name val="Arial"/>
      <family val="2"/>
    </font>
    <font>
      <b/>
      <sz val="10"/>
      <color theme="1"/>
      <name val="Verdana"/>
      <family val="2"/>
    </font>
    <font>
      <b/>
      <sz val="11"/>
      <color theme="1"/>
      <name val="Calibri"/>
      <family val="2"/>
      <scheme val="minor"/>
    </font>
    <font>
      <b/>
      <sz val="9"/>
      <color indexed="81"/>
      <name val="Tahoma"/>
      <family val="2"/>
    </font>
    <font>
      <sz val="9"/>
      <color indexed="81"/>
      <name val="Tahoma"/>
      <family val="2"/>
    </font>
    <font>
      <b/>
      <sz val="11"/>
      <color theme="1"/>
      <name val="Arial"/>
      <family val="2"/>
    </font>
    <font>
      <b/>
      <sz val="12"/>
      <color theme="1"/>
      <name val="Calibri"/>
      <family val="2"/>
      <scheme val="minor"/>
    </font>
    <font>
      <sz val="10"/>
      <name val="Arial"/>
      <family val="2"/>
    </font>
    <font>
      <b/>
      <sz val="22"/>
      <color theme="1"/>
      <name val="Calibri"/>
      <family val="2"/>
      <scheme val="minor"/>
    </font>
    <font>
      <sz val="9"/>
      <color theme="1"/>
      <name val="Calibri"/>
      <family val="2"/>
      <scheme val="minor"/>
    </font>
    <font>
      <b/>
      <sz val="9"/>
      <color theme="1"/>
      <name val="Calibri"/>
      <family val="2"/>
      <scheme val="minor"/>
    </font>
    <font>
      <b/>
      <sz val="9"/>
      <color rgb="FF000000"/>
      <name val="Calibri"/>
      <family val="2"/>
      <scheme val="minor"/>
    </font>
    <font>
      <sz val="10"/>
      <name val="Calibri"/>
      <family val="2"/>
      <scheme val="minor"/>
    </font>
    <font>
      <b/>
      <sz val="22"/>
      <name val="Calibri"/>
      <family val="2"/>
      <scheme val="minor"/>
    </font>
    <font>
      <b/>
      <sz val="9"/>
      <name val="Calibri"/>
      <family val="2"/>
      <scheme val="minor"/>
    </font>
    <font>
      <b/>
      <sz val="10"/>
      <color theme="0"/>
      <name val="Calibri"/>
      <family val="2"/>
      <scheme val="minor"/>
    </font>
    <font>
      <b/>
      <sz val="10"/>
      <color theme="1"/>
      <name val="Calibri"/>
      <family val="2"/>
      <scheme val="minor"/>
    </font>
    <font>
      <b/>
      <i/>
      <sz val="10"/>
      <color theme="1"/>
      <name val="Calibri"/>
      <family val="2"/>
      <scheme val="minor"/>
    </font>
    <font>
      <sz val="9"/>
      <color rgb="FF000000"/>
      <name val="Arial"/>
      <family val="2"/>
    </font>
    <font>
      <sz val="9"/>
      <color indexed="8"/>
      <name val="Times New Roman"/>
      <family val="1"/>
    </font>
    <font>
      <sz val="7"/>
      <color indexed="8"/>
      <name val="Times New Roman"/>
      <family val="1"/>
    </font>
    <font>
      <sz val="8"/>
      <color indexed="8"/>
      <name val="Times New Roman"/>
      <family val="1"/>
    </font>
    <font>
      <sz val="12"/>
      <color theme="1"/>
      <name val="Arial"/>
      <family val="2"/>
    </font>
    <font>
      <b/>
      <sz val="12"/>
      <name val="Arial"/>
      <family val="2"/>
    </font>
    <font>
      <b/>
      <sz val="12"/>
      <color theme="1"/>
      <name val="Arial"/>
      <family val="2"/>
    </font>
    <font>
      <sz val="12"/>
      <name val="Arial"/>
      <family val="2"/>
    </font>
    <font>
      <sz val="12"/>
      <color theme="1"/>
      <name val="Calibri"/>
      <family val="2"/>
      <scheme val="minor"/>
    </font>
    <font>
      <sz val="11"/>
      <color rgb="FF000000"/>
      <name val="Calibri"/>
      <family val="2"/>
      <scheme val="minor"/>
    </font>
    <font>
      <b/>
      <sz val="11"/>
      <color theme="0"/>
      <name val="Calibri"/>
      <family val="2"/>
      <scheme val="minor"/>
    </font>
    <font>
      <sz val="11"/>
      <color indexed="8"/>
      <name val="Calibri"/>
      <family val="2"/>
      <scheme val="minor"/>
    </font>
    <font>
      <b/>
      <sz val="11"/>
      <name val="Calibri"/>
      <family val="2"/>
    </font>
    <font>
      <b/>
      <sz val="11"/>
      <name val="Arial"/>
      <family val="2"/>
    </font>
    <font>
      <sz val="11"/>
      <color theme="1"/>
      <name val="Calibri"/>
      <family val="2"/>
      <scheme val="minor"/>
    </font>
    <font>
      <b/>
      <sz val="11"/>
      <name val="Calibri"/>
      <family val="2"/>
      <scheme val="minor"/>
    </font>
    <font>
      <sz val="11"/>
      <name val="Arial"/>
      <family val="2"/>
    </font>
    <font>
      <sz val="10"/>
      <color theme="1"/>
      <name val="Arial"/>
      <family val="2"/>
    </font>
    <font>
      <sz val="10"/>
      <color rgb="FF000000"/>
      <name val="Arial"/>
      <family val="2"/>
    </font>
    <font>
      <sz val="11"/>
      <color theme="4"/>
      <name val="Calibri"/>
      <family val="2"/>
      <scheme val="minor"/>
    </font>
    <font>
      <sz val="11"/>
      <color theme="4"/>
      <name val="Calibri"/>
      <family val="2"/>
      <charset val="1"/>
    </font>
    <font>
      <sz val="8"/>
      <color theme="1"/>
      <name val="Arial"/>
      <family val="2"/>
    </font>
    <font>
      <b/>
      <sz val="8"/>
      <color theme="1"/>
      <name val="Arial"/>
      <family val="2"/>
    </font>
    <font>
      <sz val="12"/>
      <color rgb="FF000000"/>
      <name val="Arial"/>
      <family val="2"/>
    </font>
    <font>
      <sz val="12"/>
      <color rgb="FF000000"/>
      <name val="Calibri"/>
      <family val="2"/>
      <scheme val="minor"/>
    </font>
    <font>
      <sz val="11"/>
      <color rgb="FF0000FF"/>
      <name val="Calibri"/>
      <family val="2"/>
      <scheme val="minor"/>
    </font>
    <font>
      <u/>
      <sz val="11"/>
      <color theme="8" tint="-0.249977111117893"/>
      <name val="Calibri"/>
      <family val="2"/>
      <scheme val="minor"/>
    </font>
    <font>
      <sz val="11"/>
      <color theme="1"/>
      <name val="Arial"/>
      <family val="2"/>
    </font>
    <font>
      <sz val="11"/>
      <color rgb="FF000000"/>
      <name val="Arial"/>
      <family val="2"/>
    </font>
    <font>
      <sz val="12"/>
      <color rgb="FF0070C0"/>
      <name val="Arial"/>
      <family val="2"/>
    </font>
    <font>
      <sz val="12"/>
      <name val="Arial"/>
    </font>
    <font>
      <sz val="12"/>
      <color theme="1"/>
      <name val="Arial"/>
    </font>
    <font>
      <sz val="11"/>
      <color theme="1"/>
      <name val="Arial"/>
    </font>
  </fonts>
  <fills count="22">
    <fill>
      <patternFill patternType="none"/>
    </fill>
    <fill>
      <patternFill patternType="gray125"/>
    </fill>
    <fill>
      <patternFill patternType="solid">
        <fgColor theme="0"/>
        <bgColor indexed="64"/>
      </patternFill>
    </fill>
    <fill>
      <patternFill patternType="solid">
        <fgColor theme="4" tint="0.39997558519241921"/>
        <bgColor indexed="64"/>
      </patternFill>
    </fill>
    <fill>
      <patternFill patternType="solid">
        <fgColor theme="9" tint="0.39997558519241921"/>
        <bgColor indexed="64"/>
      </patternFill>
    </fill>
    <fill>
      <patternFill patternType="solid">
        <fgColor rgb="FFDBE5F1"/>
        <bgColor indexed="64"/>
      </patternFill>
    </fill>
    <fill>
      <patternFill patternType="solid">
        <fgColor theme="5" tint="0.59999389629810485"/>
        <bgColor indexed="64"/>
      </patternFill>
    </fill>
    <fill>
      <patternFill patternType="solid">
        <fgColor rgb="FF13797B"/>
        <bgColor indexed="64"/>
      </patternFill>
    </fill>
    <fill>
      <patternFill patternType="solid">
        <fgColor rgb="FF1CB4B6"/>
        <bgColor indexed="64"/>
      </patternFill>
    </fill>
    <fill>
      <patternFill patternType="solid">
        <fgColor rgb="FF66FFFF"/>
        <bgColor indexed="64"/>
      </patternFill>
    </fill>
    <fill>
      <patternFill patternType="solid">
        <fgColor rgb="FF00FFCC"/>
        <bgColor indexed="64"/>
      </patternFill>
    </fill>
    <fill>
      <patternFill patternType="solid">
        <fgColor rgb="FFFFFF00"/>
        <bgColor indexed="64"/>
      </patternFill>
    </fill>
    <fill>
      <patternFill patternType="solid">
        <fgColor rgb="FFFFC000"/>
        <bgColor indexed="64"/>
      </patternFill>
    </fill>
    <fill>
      <patternFill patternType="solid">
        <fgColor rgb="FF92D050"/>
        <bgColor indexed="64"/>
      </patternFill>
    </fill>
    <fill>
      <patternFill patternType="solid">
        <fgColor theme="4" tint="0.79998168889431442"/>
        <bgColor theme="4" tint="0.79998168889431442"/>
      </patternFill>
    </fill>
    <fill>
      <patternFill patternType="solid">
        <fgColor rgb="FFFFCCFF"/>
        <bgColor indexed="64"/>
      </patternFill>
    </fill>
    <fill>
      <patternFill patternType="solid">
        <fgColor rgb="FFFF0000"/>
        <bgColor indexed="64"/>
      </patternFill>
    </fill>
    <fill>
      <patternFill patternType="solid">
        <fgColor theme="4"/>
        <bgColor theme="4"/>
      </patternFill>
    </fill>
    <fill>
      <patternFill patternType="solid">
        <fgColor rgb="FFCCCCFF"/>
        <bgColor indexed="64"/>
      </patternFill>
    </fill>
    <fill>
      <patternFill patternType="solid">
        <fgColor rgb="FFFFCCCC"/>
        <bgColor indexed="64"/>
      </patternFill>
    </fill>
    <fill>
      <patternFill patternType="solid">
        <fgColor rgb="FFCCFFCC"/>
        <bgColor indexed="64"/>
      </patternFill>
    </fill>
    <fill>
      <patternFill patternType="solid">
        <fgColor theme="5" tint="0.79998168889431442"/>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bottom style="thin">
        <color theme="4" tint="0.39997558519241921"/>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right style="thin">
        <color indexed="64"/>
      </right>
      <top/>
      <bottom style="thin">
        <color indexed="64"/>
      </bottom>
      <diagonal/>
    </border>
    <border>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s>
  <cellStyleXfs count="106">
    <xf numFmtId="0" fontId="0" fillId="0" borderId="0"/>
    <xf numFmtId="164" fontId="5" fillId="0" borderId="0" applyFont="0" applyFill="0" applyBorder="0" applyAlignment="0" applyProtection="0"/>
    <xf numFmtId="0" fontId="8" fillId="0" borderId="0"/>
    <xf numFmtId="165" fontId="8" fillId="0" borderId="0" applyFont="0" applyFill="0" applyBorder="0" applyAlignment="0" applyProtection="0"/>
    <xf numFmtId="49" fontId="10" fillId="0" borderId="0" applyFill="0" applyBorder="0" applyProtection="0">
      <alignment horizontal="left" vertical="center"/>
    </xf>
    <xf numFmtId="0" fontId="11" fillId="0" borderId="0"/>
    <xf numFmtId="0" fontId="12" fillId="5" borderId="0" applyNumberFormat="0" applyBorder="0" applyProtection="0">
      <alignment horizontal="center" vertical="center"/>
    </xf>
    <xf numFmtId="3" fontId="10" fillId="0" borderId="0" applyFill="0" applyBorder="0" applyProtection="0">
      <alignment horizontal="right" vertical="center"/>
    </xf>
    <xf numFmtId="166" fontId="5" fillId="0" borderId="0" applyFont="0" applyFill="0" applyBorder="0" applyAlignment="0" applyProtection="0"/>
    <xf numFmtId="164" fontId="5" fillId="0" borderId="0" applyFont="0" applyFill="0" applyBorder="0" applyAlignment="0" applyProtection="0"/>
    <xf numFmtId="165" fontId="8" fillId="0" borderId="0" applyFont="0" applyFill="0" applyBorder="0" applyAlignment="0" applyProtection="0"/>
    <xf numFmtId="165" fontId="5" fillId="0" borderId="0" applyFont="0" applyFill="0" applyBorder="0" applyAlignment="0" applyProtection="0"/>
    <xf numFmtId="0" fontId="9" fillId="0" borderId="0" applyNumberFormat="0" applyFill="0" applyBorder="0" applyAlignment="0" applyProtection="0"/>
    <xf numFmtId="0" fontId="11" fillId="0" borderId="0"/>
    <xf numFmtId="164" fontId="8"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8" fillId="0" borderId="0" applyFont="0" applyFill="0" applyBorder="0" applyAlignment="0" applyProtection="0"/>
    <xf numFmtId="0" fontId="11" fillId="0" borderId="0"/>
    <xf numFmtId="166" fontId="5" fillId="0" borderId="0" applyFont="0" applyFill="0" applyBorder="0" applyAlignment="0" applyProtection="0"/>
    <xf numFmtId="167" fontId="11" fillId="0" borderId="0" applyFont="0" applyFill="0" applyBorder="0" applyAlignment="0" applyProtection="0"/>
    <xf numFmtId="166" fontId="5" fillId="0" borderId="0" applyFont="0" applyFill="0" applyBorder="0" applyAlignment="0" applyProtection="0"/>
    <xf numFmtId="168" fontId="5" fillId="0" borderId="0" applyFont="0" applyFill="0" applyBorder="0" applyAlignment="0" applyProtection="0"/>
    <xf numFmtId="167" fontId="5" fillId="0" borderId="0" applyFont="0" applyFill="0" applyBorder="0" applyAlignment="0" applyProtection="0"/>
    <xf numFmtId="0" fontId="4" fillId="0" borderId="0"/>
    <xf numFmtId="0" fontId="18" fillId="0" borderId="0"/>
    <xf numFmtId="0" fontId="5" fillId="0" borderId="0"/>
    <xf numFmtId="166" fontId="5" fillId="0" borderId="0" applyFont="0" applyFill="0" applyBorder="0" applyAlignment="0" applyProtection="0"/>
    <xf numFmtId="164" fontId="5" fillId="0" borderId="0" applyFont="0" applyFill="0" applyBorder="0" applyAlignment="0" applyProtection="0"/>
    <xf numFmtId="0" fontId="4" fillId="0" borderId="0"/>
    <xf numFmtId="165" fontId="4" fillId="0" borderId="0" applyFont="0" applyFill="0" applyBorder="0" applyAlignment="0" applyProtection="0"/>
    <xf numFmtId="165" fontId="5" fillId="0" borderId="0" applyFont="0" applyFill="0" applyBorder="0" applyAlignment="0" applyProtection="0"/>
    <xf numFmtId="166"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4" fillId="0" borderId="0" applyFont="0" applyFill="0" applyBorder="0" applyAlignment="0" applyProtection="0"/>
    <xf numFmtId="165" fontId="5" fillId="0" borderId="0" applyFont="0" applyFill="0" applyBorder="0" applyAlignment="0" applyProtection="0"/>
    <xf numFmtId="164" fontId="4" fillId="0" borderId="0" applyFont="0" applyFill="0" applyBorder="0" applyAlignment="0" applyProtection="0"/>
    <xf numFmtId="164"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4" fontId="4"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0" fontId="11" fillId="0" borderId="0"/>
    <xf numFmtId="165" fontId="5" fillId="0" borderId="0" applyFont="0" applyFill="0" applyBorder="0" applyAlignment="0" applyProtection="0"/>
    <xf numFmtId="0" fontId="40" fillId="0" borderId="0"/>
    <xf numFmtId="0" fontId="11" fillId="0" borderId="0"/>
    <xf numFmtId="0" fontId="5" fillId="0" borderId="0"/>
    <xf numFmtId="165" fontId="5" fillId="0" borderId="0" applyFont="0" applyFill="0" applyBorder="0" applyAlignment="0" applyProtection="0"/>
    <xf numFmtId="0" fontId="9" fillId="0" borderId="0" applyNumberForma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8" fontId="3" fillId="0" borderId="0" applyFont="0" applyFill="0" applyBorder="0" applyAlignment="0" applyProtection="0"/>
    <xf numFmtId="167"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1" fontId="3" fillId="0" borderId="0" applyFont="0" applyFill="0" applyBorder="0" applyAlignment="0" applyProtection="0"/>
    <xf numFmtId="44" fontId="4" fillId="0" borderId="0" applyFont="0" applyFill="0" applyBorder="0" applyAlignment="0" applyProtection="0"/>
    <xf numFmtId="44" fontId="3" fillId="0" borderId="0" applyFont="0" applyFill="0" applyBorder="0" applyAlignment="0" applyProtection="0"/>
    <xf numFmtId="41" fontId="4"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41"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xf numFmtId="0" fontId="2" fillId="0" borderId="0"/>
    <xf numFmtId="44" fontId="2" fillId="0" borderId="0" applyFont="0" applyFill="0" applyBorder="0" applyAlignment="0" applyProtection="0"/>
    <xf numFmtId="41" fontId="2" fillId="0" borderId="0" applyFont="0" applyFill="0" applyBorder="0" applyAlignment="0" applyProtection="0"/>
    <xf numFmtId="44" fontId="4"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cellStyleXfs>
  <cellXfs count="563">
    <xf numFmtId="0" fontId="0" fillId="0" borderId="0" xfId="0"/>
    <xf numFmtId="0" fontId="0" fillId="0" borderId="1" xfId="0" applyBorder="1"/>
    <xf numFmtId="0" fontId="21" fillId="0" borderId="7" xfId="0" applyFont="1" applyBorder="1" applyAlignment="1" applyProtection="1">
      <alignment horizontal="center" vertical="center" wrapText="1"/>
      <protection locked="0"/>
    </xf>
    <xf numFmtId="49" fontId="21" fillId="0" borderId="7" xfId="0" applyNumberFormat="1" applyFont="1" applyBorder="1" applyAlignment="1" applyProtection="1">
      <alignment horizontal="center" vertical="center" wrapText="1"/>
      <protection locked="0"/>
    </xf>
    <xf numFmtId="0" fontId="25" fillId="0" borderId="7" xfId="0" applyFont="1" applyBorder="1" applyAlignment="1" applyProtection="1">
      <alignment horizontal="center" vertical="center" wrapText="1"/>
      <protection locked="0"/>
    </xf>
    <xf numFmtId="0" fontId="21" fillId="0" borderId="8" xfId="0" applyFont="1" applyBorder="1" applyAlignment="1" applyProtection="1">
      <alignment horizontal="center" vertical="center" wrapText="1"/>
      <protection locked="0"/>
    </xf>
    <xf numFmtId="0" fontId="22" fillId="0" borderId="6" xfId="0" applyFont="1" applyBorder="1" applyAlignment="1" applyProtection="1">
      <alignment horizontal="center" vertical="center"/>
      <protection locked="0"/>
    </xf>
    <xf numFmtId="0" fontId="22" fillId="0" borderId="6" xfId="0" applyFont="1" applyBorder="1" applyAlignment="1" applyProtection="1">
      <alignment horizontal="center" vertical="center" wrapText="1"/>
      <protection locked="0"/>
    </xf>
    <xf numFmtId="0" fontId="20" fillId="0" borderId="0" xfId="0" applyFont="1" applyAlignment="1" applyProtection="1">
      <alignment horizontal="left" vertical="justify"/>
      <protection locked="0"/>
    </xf>
    <xf numFmtId="0" fontId="0" fillId="0" borderId="0" xfId="0" applyAlignment="1" applyProtection="1">
      <alignment horizontal="left" vertical="justify"/>
      <protection locked="0"/>
    </xf>
    <xf numFmtId="0" fontId="6" fillId="0" borderId="0" xfId="0" applyFont="1" applyAlignment="1" applyProtection="1">
      <alignment horizontal="left"/>
      <protection locked="0"/>
    </xf>
    <xf numFmtId="0" fontId="0" fillId="2" borderId="0" xfId="0" applyFill="1" applyAlignment="1" applyProtection="1">
      <alignment horizontal="left" vertical="justify"/>
      <protection locked="0"/>
    </xf>
    <xf numFmtId="1" fontId="0" fillId="2" borderId="0" xfId="0" applyNumberFormat="1" applyFill="1" applyAlignment="1" applyProtection="1">
      <alignment horizontal="left" vertical="justify" wrapText="1"/>
      <protection locked="0"/>
    </xf>
    <xf numFmtId="164" fontId="0" fillId="2" borderId="0" xfId="1" applyFont="1" applyFill="1" applyAlignment="1" applyProtection="1">
      <alignment horizontal="left" vertical="justify"/>
      <protection locked="0"/>
    </xf>
    <xf numFmtId="0" fontId="0" fillId="2" borderId="0" xfId="0" applyFill="1" applyAlignment="1" applyProtection="1">
      <alignment horizontal="left" vertical="justify" wrapText="1"/>
      <protection locked="0"/>
    </xf>
    <xf numFmtId="49" fontId="0" fillId="2" borderId="0" xfId="0" applyNumberFormat="1" applyFill="1" applyAlignment="1" applyProtection="1">
      <alignment horizontal="left" vertical="justify" wrapText="1"/>
      <protection locked="0"/>
    </xf>
    <xf numFmtId="0" fontId="0" fillId="2" borderId="0" xfId="0" applyFill="1" applyAlignment="1" applyProtection="1">
      <alignment horizontal="left"/>
      <protection locked="0"/>
    </xf>
    <xf numFmtId="1" fontId="0" fillId="2" borderId="0" xfId="0" applyNumberFormat="1" applyFill="1" applyAlignment="1" applyProtection="1">
      <alignment horizontal="left" vertical="center"/>
      <protection locked="0"/>
    </xf>
    <xf numFmtId="0" fontId="21" fillId="0" borderId="7" xfId="0" applyFont="1" applyBorder="1" applyAlignment="1">
      <alignment horizontal="center" vertical="center" wrapText="1"/>
    </xf>
    <xf numFmtId="1" fontId="0" fillId="2" borderId="0" xfId="0" applyNumberFormat="1" applyFill="1" applyAlignment="1">
      <alignment horizontal="left" vertical="justify" wrapText="1"/>
    </xf>
    <xf numFmtId="166" fontId="0" fillId="0" borderId="0" xfId="8" applyFont="1"/>
    <xf numFmtId="166" fontId="0" fillId="0" borderId="0" xfId="0" applyNumberFormat="1"/>
    <xf numFmtId="0" fontId="0" fillId="0" borderId="0" xfId="0" pivotButton="1"/>
    <xf numFmtId="0" fontId="0" fillId="0" borderId="0" xfId="0" applyAlignment="1">
      <alignment horizontal="left"/>
    </xf>
    <xf numFmtId="166" fontId="0" fillId="0" borderId="1" xfId="8" applyFont="1" applyBorder="1"/>
    <xf numFmtId="49" fontId="0" fillId="0" borderId="1" xfId="0" applyNumberFormat="1" applyBorder="1"/>
    <xf numFmtId="14" fontId="0" fillId="0" borderId="1" xfId="0" applyNumberFormat="1" applyBorder="1"/>
    <xf numFmtId="0" fontId="33" fillId="0" borderId="1" xfId="0" applyFont="1" applyBorder="1" applyAlignment="1">
      <alignment horizontal="center" vertical="center"/>
    </xf>
    <xf numFmtId="0" fontId="40" fillId="0" borderId="0" xfId="48"/>
    <xf numFmtId="170" fontId="34" fillId="0" borderId="4" xfId="13" applyNumberFormat="1" applyFont="1" applyBorder="1" applyAlignment="1" applyProtection="1">
      <alignment horizontal="center" vertical="center" wrapText="1"/>
      <protection locked="0"/>
    </xf>
    <xf numFmtId="164" fontId="34" fillId="12" borderId="4" xfId="1" applyFont="1" applyFill="1" applyBorder="1" applyAlignment="1" applyProtection="1">
      <alignment horizontal="center" vertical="center" wrapText="1"/>
      <protection locked="0"/>
    </xf>
    <xf numFmtId="164" fontId="34" fillId="0" borderId="4" xfId="1" applyFont="1" applyFill="1" applyBorder="1" applyAlignment="1" applyProtection="1">
      <alignment horizontal="center" vertical="center" wrapText="1"/>
      <protection locked="0"/>
    </xf>
    <xf numFmtId="175" fontId="34" fillId="11" borderId="4" xfId="1" applyNumberFormat="1" applyFont="1" applyFill="1" applyBorder="1" applyAlignment="1" applyProtection="1">
      <alignment horizontal="center" vertical="center" wrapText="1"/>
      <protection locked="0"/>
    </xf>
    <xf numFmtId="0" fontId="41" fillId="0" borderId="0" xfId="48" applyFont="1"/>
    <xf numFmtId="0" fontId="41" fillId="0" borderId="0" xfId="0" applyFont="1"/>
    <xf numFmtId="173" fontId="21" fillId="0" borderId="7" xfId="0" applyNumberFormat="1" applyFont="1" applyBorder="1" applyAlignment="1" applyProtection="1">
      <alignment horizontal="right" vertical="center" wrapText="1"/>
      <protection locked="0"/>
    </xf>
    <xf numFmtId="173" fontId="0" fillId="2" borderId="0" xfId="1" applyNumberFormat="1" applyFont="1" applyFill="1" applyAlignment="1" applyProtection="1">
      <alignment horizontal="right" vertical="justify"/>
      <protection locked="0"/>
    </xf>
    <xf numFmtId="0" fontId="34" fillId="2" borderId="4" xfId="13" applyFont="1" applyFill="1" applyBorder="1" applyAlignment="1" applyProtection="1">
      <alignment horizontal="center" vertical="center" wrapText="1"/>
      <protection locked="0"/>
    </xf>
    <xf numFmtId="0" fontId="33" fillId="0" borderId="1" xfId="0" applyFont="1" applyBorder="1" applyAlignment="1">
      <alignment horizontal="right" vertical="center"/>
    </xf>
    <xf numFmtId="0" fontId="16" fillId="3" borderId="3" xfId="1" applyNumberFormat="1" applyFont="1" applyFill="1" applyBorder="1" applyAlignment="1" applyProtection="1">
      <alignment horizontal="center" vertical="center" wrapText="1"/>
      <protection locked="0"/>
    </xf>
    <xf numFmtId="0" fontId="42" fillId="3" borderId="3" xfId="1" applyNumberFormat="1" applyFont="1" applyFill="1" applyBorder="1" applyAlignment="1" applyProtection="1">
      <alignment horizontal="center" vertical="center" wrapText="1"/>
      <protection locked="0"/>
    </xf>
    <xf numFmtId="14" fontId="16" fillId="3" borderId="3" xfId="1" applyNumberFormat="1" applyFont="1" applyFill="1" applyBorder="1" applyAlignment="1" applyProtection="1">
      <alignment horizontal="center" vertical="center" wrapText="1"/>
      <protection locked="0"/>
    </xf>
    <xf numFmtId="0" fontId="16" fillId="3" borderId="9" xfId="1" applyNumberFormat="1" applyFont="1" applyFill="1" applyBorder="1" applyAlignment="1" applyProtection="1">
      <alignment horizontal="center" vertical="center" wrapText="1"/>
      <protection locked="0"/>
    </xf>
    <xf numFmtId="1" fontId="16" fillId="3" borderId="3" xfId="1" applyNumberFormat="1" applyFont="1" applyFill="1" applyBorder="1" applyAlignment="1">
      <alignment horizontal="center" vertical="center" wrapText="1"/>
    </xf>
    <xf numFmtId="1" fontId="16" fillId="3" borderId="3" xfId="1" applyNumberFormat="1" applyFont="1" applyFill="1" applyBorder="1" applyAlignment="1" applyProtection="1">
      <alignment horizontal="center" vertical="center" wrapText="1"/>
      <protection locked="0"/>
    </xf>
    <xf numFmtId="173" fontId="16" fillId="3" borderId="3" xfId="1" applyNumberFormat="1" applyFont="1" applyFill="1" applyBorder="1" applyAlignment="1" applyProtection="1">
      <alignment horizontal="center" vertical="center" wrapText="1"/>
      <protection locked="0"/>
    </xf>
    <xf numFmtId="49" fontId="16" fillId="3" borderId="3" xfId="1" applyNumberFormat="1" applyFont="1" applyFill="1" applyBorder="1" applyAlignment="1" applyProtection="1">
      <alignment horizontal="center" vertical="center" wrapText="1"/>
      <protection locked="0"/>
    </xf>
    <xf numFmtId="164" fontId="16" fillId="3" borderId="3" xfId="1" applyFont="1" applyFill="1" applyBorder="1" applyAlignment="1" applyProtection="1">
      <alignment horizontal="center" vertical="center" wrapText="1"/>
      <protection locked="0"/>
    </xf>
    <xf numFmtId="0" fontId="0" fillId="3" borderId="0" xfId="0" applyFill="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pplyProtection="1">
      <alignment horizontal="left" vertical="center"/>
      <protection locked="0"/>
    </xf>
    <xf numFmtId="0" fontId="0" fillId="14" borderId="4" xfId="0" applyFill="1" applyBorder="1" applyAlignment="1">
      <alignment horizontal="left" vertical="justify"/>
    </xf>
    <xf numFmtId="0" fontId="19" fillId="0" borderId="0" xfId="0" applyFont="1" applyAlignment="1" applyProtection="1">
      <alignment horizontal="center" vertical="center" wrapText="1"/>
      <protection locked="0"/>
    </xf>
    <xf numFmtId="0" fontId="19" fillId="0" borderId="0" xfId="0" applyFont="1" applyAlignment="1">
      <alignment horizontal="center" vertical="center" wrapText="1"/>
    </xf>
    <xf numFmtId="173" fontId="19" fillId="0" borderId="0" xfId="0" applyNumberFormat="1" applyFont="1" applyAlignment="1" applyProtection="1">
      <alignment horizontal="right" vertical="center" wrapText="1"/>
      <protection locked="0"/>
    </xf>
    <xf numFmtId="49" fontId="19" fillId="0" borderId="0" xfId="0" applyNumberFormat="1" applyFont="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0" fillId="0" borderId="1" xfId="0" applyBorder="1" applyAlignment="1" applyProtection="1">
      <alignment horizontal="left" vertical="center"/>
      <protection locked="0"/>
    </xf>
    <xf numFmtId="164" fontId="0" fillId="0" borderId="1" xfId="1" applyFont="1" applyFill="1" applyBorder="1" applyAlignment="1" applyProtection="1">
      <alignment horizontal="left" vertical="center"/>
      <protection locked="0"/>
    </xf>
    <xf numFmtId="0" fontId="6" fillId="0" borderId="0" xfId="0" applyFont="1" applyAlignment="1" applyProtection="1">
      <alignment horizontal="left" vertical="center"/>
      <protection locked="0"/>
    </xf>
    <xf numFmtId="170" fontId="34" fillId="2" borderId="4" xfId="13" applyNumberFormat="1" applyFont="1" applyFill="1" applyBorder="1" applyAlignment="1" applyProtection="1">
      <alignment horizontal="center" vertical="center" wrapText="1"/>
      <protection locked="0"/>
    </xf>
    <xf numFmtId="171" fontId="34" fillId="2" borderId="4" xfId="21" applyNumberFormat="1" applyFont="1" applyFill="1" applyBorder="1" applyAlignment="1" applyProtection="1">
      <alignment horizontal="center" vertical="center" wrapText="1"/>
      <protection locked="0"/>
    </xf>
    <xf numFmtId="172" fontId="34" fillId="2" borderId="4" xfId="8" applyNumberFormat="1" applyFont="1" applyFill="1" applyBorder="1" applyAlignment="1" applyProtection="1">
      <alignment horizontal="center" vertical="center" wrapText="1"/>
      <protection locked="0"/>
    </xf>
    <xf numFmtId="1" fontId="34" fillId="2" borderId="4" xfId="1" applyNumberFormat="1" applyFont="1" applyFill="1" applyBorder="1" applyAlignment="1" applyProtection="1">
      <alignment horizontal="center" vertical="center" wrapText="1"/>
      <protection locked="0"/>
    </xf>
    <xf numFmtId="164" fontId="34" fillId="13" borderId="4" xfId="1" applyFont="1" applyFill="1" applyBorder="1" applyAlignment="1" applyProtection="1">
      <alignment horizontal="center" vertical="center" wrapText="1"/>
      <protection locked="0"/>
    </xf>
    <xf numFmtId="166" fontId="34" fillId="13" borderId="4" xfId="8" applyFont="1" applyFill="1" applyBorder="1" applyAlignment="1" applyProtection="1">
      <alignment horizontal="center" vertical="center" wrapText="1"/>
      <protection locked="0"/>
    </xf>
    <xf numFmtId="14" fontId="34" fillId="13" borderId="4" xfId="1" applyNumberFormat="1" applyFont="1" applyFill="1" applyBorder="1" applyAlignment="1" applyProtection="1">
      <alignment horizontal="center" vertical="center" wrapText="1"/>
      <protection locked="0"/>
    </xf>
    <xf numFmtId="3" fontId="34" fillId="13" borderId="4" xfId="1" applyNumberFormat="1" applyFont="1" applyFill="1" applyBorder="1" applyAlignment="1" applyProtection="1">
      <alignment horizontal="center" vertical="center" wrapText="1"/>
      <protection locked="0"/>
    </xf>
    <xf numFmtId="164" fontId="34" fillId="11" borderId="4" xfId="1" applyFont="1" applyFill="1" applyBorder="1" applyAlignment="1" applyProtection="1">
      <alignment horizontal="center" vertical="center" wrapText="1"/>
      <protection locked="0"/>
    </xf>
    <xf numFmtId="0" fontId="35" fillId="0" borderId="4" xfId="0" applyFont="1" applyBorder="1" applyAlignment="1">
      <alignment horizontal="center" vertical="center"/>
    </xf>
    <xf numFmtId="0" fontId="40" fillId="0" borderId="2" xfId="48" applyBorder="1" applyAlignment="1">
      <alignment horizontal="center" vertical="center"/>
    </xf>
    <xf numFmtId="0" fontId="41" fillId="0" borderId="2" xfId="48" applyFont="1" applyBorder="1" applyAlignment="1">
      <alignment horizontal="center" vertical="center"/>
    </xf>
    <xf numFmtId="0" fontId="33" fillId="0" borderId="5" xfId="0" applyFont="1" applyBorder="1" applyAlignment="1">
      <alignment horizontal="center" vertical="center" wrapText="1"/>
    </xf>
    <xf numFmtId="14" fontId="33" fillId="0" borderId="5" xfId="0" applyNumberFormat="1" applyFont="1" applyBorder="1" applyAlignment="1">
      <alignment horizontal="center" vertical="center" wrapText="1"/>
    </xf>
    <xf numFmtId="0" fontId="33" fillId="0" borderId="5" xfId="0" applyFont="1" applyBorder="1" applyAlignment="1">
      <alignment horizontal="center" vertical="center"/>
    </xf>
    <xf numFmtId="164" fontId="0" fillId="0" borderId="0" xfId="0" applyNumberFormat="1" applyAlignment="1" applyProtection="1">
      <alignment horizontal="left" vertical="center"/>
      <protection locked="0"/>
    </xf>
    <xf numFmtId="164" fontId="0" fillId="0" borderId="0" xfId="1" applyFont="1" applyFill="1" applyAlignment="1" applyProtection="1">
      <alignment horizontal="left" vertical="center"/>
      <protection locked="0"/>
    </xf>
    <xf numFmtId="164" fontId="17" fillId="0" borderId="0" xfId="1" applyFont="1" applyAlignment="1" applyProtection="1">
      <alignment horizontal="left" vertical="center"/>
    </xf>
    <xf numFmtId="164" fontId="17" fillId="0" borderId="0" xfId="1" applyFont="1" applyAlignment="1" applyProtection="1">
      <alignment horizontal="left" vertical="center"/>
      <protection locked="0"/>
    </xf>
    <xf numFmtId="173" fontId="17" fillId="0" borderId="0" xfId="1" applyNumberFormat="1" applyFont="1" applyAlignment="1" applyProtection="1">
      <alignment horizontal="right" vertical="center"/>
      <protection locked="0"/>
    </xf>
    <xf numFmtId="174" fontId="16" fillId="0" borderId="4" xfId="9" applyNumberFormat="1" applyFont="1" applyFill="1" applyBorder="1" applyAlignment="1" applyProtection="1">
      <alignment horizontal="left" vertical="center" wrapText="1"/>
      <protection locked="0"/>
    </xf>
    <xf numFmtId="164" fontId="0" fillId="15" borderId="0" xfId="1" applyFont="1" applyFill="1" applyAlignment="1" applyProtection="1">
      <alignment horizontal="left" vertical="center"/>
      <protection locked="0"/>
    </xf>
    <xf numFmtId="164" fontId="16" fillId="0" borderId="4" xfId="9" applyFont="1" applyFill="1" applyBorder="1" applyAlignment="1" applyProtection="1">
      <alignment horizontal="left" vertical="center"/>
      <protection locked="0"/>
    </xf>
    <xf numFmtId="49" fontId="13" fillId="0" borderId="4" xfId="1" applyNumberFormat="1" applyFont="1" applyBorder="1" applyAlignment="1" applyProtection="1">
      <alignment horizontal="left" vertical="center"/>
      <protection locked="0"/>
    </xf>
    <xf numFmtId="164" fontId="13" fillId="0" borderId="0" xfId="1" applyFont="1" applyBorder="1" applyAlignment="1" applyProtection="1">
      <alignment horizontal="left" vertical="center"/>
      <protection locked="0"/>
    </xf>
    <xf numFmtId="0" fontId="16" fillId="4" borderId="2" xfId="1" applyNumberFormat="1" applyFont="1" applyFill="1" applyBorder="1" applyAlignment="1" applyProtection="1">
      <alignment vertical="center" wrapText="1"/>
      <protection locked="0"/>
    </xf>
    <xf numFmtId="0" fontId="16" fillId="6" borderId="2" xfId="1" applyNumberFormat="1" applyFont="1" applyFill="1" applyBorder="1" applyAlignment="1" applyProtection="1">
      <alignment vertical="center" wrapText="1"/>
      <protection locked="0"/>
    </xf>
    <xf numFmtId="0" fontId="0" fillId="0" borderId="0" xfId="0" applyAlignment="1">
      <alignment vertical="center"/>
    </xf>
    <xf numFmtId="0" fontId="33" fillId="0" borderId="1" xfId="0" applyFont="1" applyBorder="1" applyAlignment="1">
      <alignment horizontal="justify" vertical="center" wrapText="1"/>
    </xf>
    <xf numFmtId="0" fontId="33" fillId="0" borderId="0" xfId="0" applyFont="1" applyAlignment="1">
      <alignment horizontal="right" vertical="center"/>
    </xf>
    <xf numFmtId="2" fontId="33" fillId="0" borderId="0" xfId="0" applyNumberFormat="1" applyFont="1" applyAlignment="1">
      <alignment horizontal="right" vertical="center"/>
    </xf>
    <xf numFmtId="14" fontId="33" fillId="0" borderId="0" xfId="0" applyNumberFormat="1" applyFont="1" applyAlignment="1">
      <alignment horizontal="right" vertical="center"/>
    </xf>
    <xf numFmtId="166" fontId="33" fillId="13" borderId="1" xfId="8" applyFont="1" applyFill="1" applyBorder="1" applyAlignment="1" applyProtection="1">
      <alignment horizontal="right" vertical="center"/>
      <protection locked="0"/>
    </xf>
    <xf numFmtId="3" fontId="33" fillId="13" borderId="1" xfId="1" applyNumberFormat="1" applyFont="1" applyFill="1" applyBorder="1" applyAlignment="1" applyProtection="1">
      <alignment horizontal="right" vertical="center"/>
      <protection locked="0"/>
    </xf>
    <xf numFmtId="49" fontId="34" fillId="2" borderId="4" xfId="1" applyNumberFormat="1" applyFont="1" applyFill="1" applyBorder="1" applyAlignment="1" applyProtection="1">
      <alignment horizontal="right" vertical="center" wrapText="1"/>
      <protection locked="0"/>
    </xf>
    <xf numFmtId="166" fontId="34" fillId="2" borderId="4" xfId="8" applyFont="1" applyFill="1" applyBorder="1" applyAlignment="1" applyProtection="1">
      <alignment horizontal="right" vertical="center" wrapText="1"/>
      <protection locked="0"/>
    </xf>
    <xf numFmtId="175" fontId="37" fillId="11" borderId="1" xfId="0" applyNumberFormat="1" applyFont="1" applyFill="1" applyBorder="1" applyAlignment="1">
      <alignment vertical="center"/>
    </xf>
    <xf numFmtId="49" fontId="13" fillId="16" borderId="0" xfId="0" applyNumberFormat="1" applyFont="1" applyFill="1"/>
    <xf numFmtId="0" fontId="13" fillId="16" borderId="0" xfId="0" applyFont="1" applyFill="1"/>
    <xf numFmtId="0" fontId="0" fillId="16" borderId="0" xfId="0" quotePrefix="1" applyFill="1"/>
    <xf numFmtId="49" fontId="31" fillId="16" borderId="0" xfId="0" applyNumberFormat="1" applyFont="1" applyFill="1" applyAlignment="1">
      <alignment horizontal="left" vertical="top" wrapText="1"/>
    </xf>
    <xf numFmtId="0" fontId="32" fillId="16" borderId="0" xfId="0" applyFont="1" applyFill="1" applyAlignment="1">
      <alignment horizontal="left" vertical="top" wrapText="1"/>
    </xf>
    <xf numFmtId="0" fontId="30" fillId="16" borderId="0" xfId="0" applyFont="1" applyFill="1" applyAlignment="1">
      <alignment horizontal="right" vertical="top" wrapText="1"/>
    </xf>
    <xf numFmtId="0" fontId="0" fillId="16" borderId="0" xfId="0" applyFill="1" applyAlignment="1">
      <alignment horizontal="left"/>
    </xf>
    <xf numFmtId="0" fontId="0" fillId="16" borderId="0" xfId="0" applyFill="1"/>
    <xf numFmtId="49" fontId="0" fillId="16" borderId="0" xfId="0" applyNumberFormat="1" applyFill="1"/>
    <xf numFmtId="0" fontId="13" fillId="0" borderId="4" xfId="0" applyFont="1" applyBorder="1"/>
    <xf numFmtId="165" fontId="33" fillId="0" borderId="0" xfId="51" applyFont="1" applyAlignment="1">
      <alignment horizontal="right" vertical="center"/>
    </xf>
    <xf numFmtId="164" fontId="44" fillId="0" borderId="4" xfId="1" applyFont="1" applyFill="1" applyBorder="1" applyAlignment="1" applyProtection="1">
      <alignment horizontal="center" vertical="center" wrapText="1"/>
      <protection locked="0"/>
    </xf>
    <xf numFmtId="0" fontId="43" fillId="0" borderId="0" xfId="0" applyFont="1" applyAlignment="1">
      <alignment horizontal="center" vertical="center"/>
    </xf>
    <xf numFmtId="0" fontId="37" fillId="0" borderId="0" xfId="0" applyFont="1" applyAlignment="1">
      <alignment vertical="center"/>
    </xf>
    <xf numFmtId="0" fontId="33" fillId="0" borderId="0" xfId="0" applyFont="1" applyAlignment="1">
      <alignment horizontal="center" vertical="center"/>
    </xf>
    <xf numFmtId="164" fontId="37" fillId="0" borderId="3" xfId="1" applyFont="1" applyFill="1" applyBorder="1" applyAlignment="1" applyProtection="1">
      <alignment horizontal="center" vertical="center" wrapText="1"/>
      <protection locked="0"/>
    </xf>
    <xf numFmtId="0" fontId="36" fillId="12" borderId="1" xfId="1" applyNumberFormat="1" applyFont="1" applyFill="1" applyBorder="1" applyAlignment="1" applyProtection="1">
      <alignment vertical="center" wrapText="1"/>
      <protection locked="0"/>
    </xf>
    <xf numFmtId="49" fontId="33" fillId="12" borderId="1" xfId="1" applyNumberFormat="1" applyFont="1" applyFill="1" applyBorder="1" applyAlignment="1" applyProtection="1">
      <alignment horizontal="center" vertical="center" wrapText="1"/>
      <protection locked="0"/>
    </xf>
    <xf numFmtId="0" fontId="33" fillId="12" borderId="1" xfId="1" applyNumberFormat="1" applyFont="1" applyFill="1" applyBorder="1" applyAlignment="1" applyProtection="1">
      <alignment vertical="center" wrapText="1"/>
      <protection locked="0"/>
    </xf>
    <xf numFmtId="1" fontId="33" fillId="2" borderId="1" xfId="1" applyNumberFormat="1" applyFont="1" applyFill="1" applyBorder="1" applyAlignment="1" applyProtection="1">
      <alignment vertical="center"/>
      <protection locked="0"/>
    </xf>
    <xf numFmtId="176" fontId="33" fillId="13" borderId="1" xfId="1" applyNumberFormat="1" applyFont="1" applyFill="1" applyBorder="1" applyAlignment="1" applyProtection="1">
      <alignment horizontal="right" vertical="center"/>
      <protection locked="0"/>
    </xf>
    <xf numFmtId="0" fontId="33" fillId="13" borderId="1" xfId="1" applyNumberFormat="1" applyFont="1" applyFill="1" applyBorder="1" applyAlignment="1" applyProtection="1">
      <alignment horizontal="right" vertical="center"/>
      <protection locked="0"/>
    </xf>
    <xf numFmtId="164" fontId="37" fillId="0" borderId="1" xfId="1" applyFont="1" applyFill="1" applyBorder="1" applyAlignment="1" applyProtection="1">
      <alignment vertical="center" wrapText="1"/>
      <protection locked="0"/>
    </xf>
    <xf numFmtId="0" fontId="33" fillId="0" borderId="0" xfId="48" applyFont="1" applyAlignment="1">
      <alignment horizontal="right" vertical="center"/>
    </xf>
    <xf numFmtId="176" fontId="33" fillId="0" borderId="0" xfId="0" applyNumberFormat="1" applyFont="1" applyAlignment="1">
      <alignment horizontal="right" vertical="center"/>
    </xf>
    <xf numFmtId="10" fontId="33" fillId="0" borderId="0" xfId="0" applyNumberFormat="1" applyFont="1" applyAlignment="1">
      <alignment horizontal="right" vertical="center"/>
    </xf>
    <xf numFmtId="1" fontId="33" fillId="0" borderId="0" xfId="0" applyNumberFormat="1" applyFont="1" applyAlignment="1">
      <alignment vertical="center"/>
    </xf>
    <xf numFmtId="0" fontId="33" fillId="0" borderId="0" xfId="0" applyFont="1" applyAlignment="1">
      <alignment horizontal="left" vertical="center" wrapText="1"/>
    </xf>
    <xf numFmtId="0" fontId="37" fillId="0" borderId="0" xfId="0" applyFont="1" applyAlignment="1">
      <alignment vertical="center" wrapText="1"/>
    </xf>
    <xf numFmtId="166" fontId="33" fillId="0" borderId="0" xfId="8" applyFont="1" applyFill="1" applyBorder="1" applyAlignment="1">
      <alignment horizontal="right" vertical="center"/>
    </xf>
    <xf numFmtId="3" fontId="33" fillId="13" borderId="0" xfId="0" applyNumberFormat="1" applyFont="1" applyFill="1" applyAlignment="1">
      <alignment horizontal="right" vertical="center"/>
    </xf>
    <xf numFmtId="0" fontId="33" fillId="0" borderId="0" xfId="0" applyFont="1" applyAlignment="1">
      <alignment horizontal="justify" vertical="center"/>
    </xf>
    <xf numFmtId="49" fontId="33" fillId="0" borderId="0" xfId="0" applyNumberFormat="1" applyFont="1" applyAlignment="1">
      <alignment horizontal="right" vertical="center"/>
    </xf>
    <xf numFmtId="49" fontId="33" fillId="0" borderId="0" xfId="0" applyNumberFormat="1" applyFont="1" applyAlignment="1">
      <alignment horizontal="right" vertical="center" wrapText="1"/>
    </xf>
    <xf numFmtId="49" fontId="36" fillId="0" borderId="0" xfId="0" applyNumberFormat="1" applyFont="1" applyAlignment="1">
      <alignment vertical="center" wrapText="1"/>
    </xf>
    <xf numFmtId="0" fontId="33" fillId="0" borderId="0" xfId="0" applyFont="1" applyAlignment="1">
      <alignment vertical="center" wrapText="1"/>
    </xf>
    <xf numFmtId="0" fontId="37" fillId="0" borderId="0" xfId="0" applyFont="1" applyAlignment="1">
      <alignment horizontal="right" vertical="center"/>
    </xf>
    <xf numFmtId="175" fontId="37" fillId="0" borderId="0" xfId="0" applyNumberFormat="1" applyFont="1" applyAlignment="1">
      <alignment vertical="center"/>
    </xf>
    <xf numFmtId="22" fontId="0" fillId="0" borderId="0" xfId="0" applyNumberFormat="1"/>
    <xf numFmtId="165" fontId="0" fillId="0" borderId="0" xfId="51" applyFont="1"/>
    <xf numFmtId="169" fontId="33" fillId="13" borderId="1" xfId="1" applyNumberFormat="1" applyFont="1" applyFill="1" applyBorder="1" applyAlignment="1" applyProtection="1">
      <alignment horizontal="right" vertical="center"/>
      <protection locked="0"/>
    </xf>
    <xf numFmtId="0" fontId="39" fillId="17" borderId="12" xfId="0" applyFont="1" applyFill="1" applyBorder="1"/>
    <xf numFmtId="0" fontId="39" fillId="17" borderId="11" xfId="0" applyFont="1" applyFill="1" applyBorder="1"/>
    <xf numFmtId="0" fontId="39" fillId="17" borderId="13" xfId="0" applyFont="1" applyFill="1" applyBorder="1"/>
    <xf numFmtId="0" fontId="0" fillId="0" borderId="0" xfId="0" applyAlignment="1">
      <alignment vertical="center" wrapText="1"/>
    </xf>
    <xf numFmtId="49" fontId="0" fillId="0" borderId="1" xfId="0" applyNumberFormat="1" applyBorder="1" applyAlignment="1" applyProtection="1">
      <alignment horizontal="left" vertical="center" wrapText="1"/>
      <protection locked="0"/>
    </xf>
    <xf numFmtId="165" fontId="0" fillId="0" borderId="1" xfId="51" applyFont="1" applyFill="1" applyBorder="1" applyAlignment="1" applyProtection="1">
      <alignment horizontal="right" vertical="center"/>
      <protection locked="0"/>
    </xf>
    <xf numFmtId="2" fontId="0" fillId="0" borderId="0" xfId="0" applyNumberFormat="1"/>
    <xf numFmtId="0" fontId="0" fillId="2" borderId="0" xfId="0" applyFill="1" applyAlignment="1" applyProtection="1">
      <alignment horizontal="left" vertical="center"/>
      <protection locked="0"/>
    </xf>
    <xf numFmtId="3" fontId="13" fillId="0" borderId="9" xfId="0" applyNumberFormat="1" applyFont="1" applyBorder="1"/>
    <xf numFmtId="0" fontId="0" fillId="0" borderId="15" xfId="0" applyBorder="1"/>
    <xf numFmtId="0" fontId="0" fillId="0" borderId="14" xfId="0" applyBorder="1" applyAlignment="1">
      <alignment wrapText="1"/>
    </xf>
    <xf numFmtId="0" fontId="0" fillId="0" borderId="0" xfId="0" applyAlignment="1">
      <alignment horizontal="left" indent="1"/>
    </xf>
    <xf numFmtId="0" fontId="0" fillId="0" borderId="0" xfId="0" applyAlignment="1">
      <alignment horizontal="left" indent="2"/>
    </xf>
    <xf numFmtId="0" fontId="0" fillId="18" borderId="1" xfId="0" applyFill="1" applyBorder="1" applyAlignment="1">
      <alignment horizontal="left" vertical="center"/>
    </xf>
    <xf numFmtId="0" fontId="6" fillId="0" borderId="1" xfId="0" applyFont="1" applyBorder="1" applyAlignment="1" applyProtection="1">
      <alignment horizontal="left" vertical="center"/>
      <protection locked="0"/>
    </xf>
    <xf numFmtId="1" fontId="0" fillId="0" borderId="1" xfId="0" applyNumberFormat="1" applyBorder="1" applyAlignment="1">
      <alignment horizontal="left" vertical="center" wrapText="1"/>
    </xf>
    <xf numFmtId="1" fontId="0" fillId="0" borderId="1" xfId="0" applyNumberForma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8" fillId="0" borderId="1" xfId="0" applyFont="1" applyBorder="1" applyAlignment="1" applyProtection="1">
      <alignment horizontal="left" vertical="center" wrapText="1"/>
      <protection locked="0"/>
    </xf>
    <xf numFmtId="169" fontId="23" fillId="0" borderId="1" xfId="27" applyNumberFormat="1" applyFont="1" applyBorder="1" applyAlignment="1" applyProtection="1">
      <alignment vertical="center"/>
      <protection locked="0"/>
    </xf>
    <xf numFmtId="166" fontId="33" fillId="0" borderId="1" xfId="8" applyFont="1" applyBorder="1" applyAlignment="1" applyProtection="1">
      <alignment horizontal="right" vertical="center"/>
      <protection locked="0"/>
    </xf>
    <xf numFmtId="14" fontId="37" fillId="0" borderId="0" xfId="0" applyNumberFormat="1" applyFont="1" applyAlignment="1">
      <alignment vertical="center"/>
    </xf>
    <xf numFmtId="165" fontId="33" fillId="0" borderId="0" xfId="0" applyNumberFormat="1" applyFont="1" applyAlignment="1">
      <alignment horizontal="center" vertical="center"/>
    </xf>
    <xf numFmtId="14" fontId="37" fillId="11" borderId="1" xfId="0" applyNumberFormat="1" applyFont="1" applyFill="1" applyBorder="1" applyAlignment="1">
      <alignment vertical="center"/>
    </xf>
    <xf numFmtId="0" fontId="0" fillId="0" borderId="1" xfId="1" applyNumberFormat="1" applyFont="1" applyFill="1" applyBorder="1" applyAlignment="1" applyProtection="1">
      <alignment horizontal="right" vertical="center"/>
      <protection locked="0"/>
    </xf>
    <xf numFmtId="0" fontId="19" fillId="0" borderId="0" xfId="0" applyFont="1" applyAlignment="1" applyProtection="1">
      <alignment horizontal="right" vertical="center" wrapText="1"/>
      <protection locked="0"/>
    </xf>
    <xf numFmtId="0" fontId="21" fillId="0" borderId="7" xfId="0" applyFont="1" applyBorder="1" applyAlignment="1" applyProtection="1">
      <alignment horizontal="right" vertical="center" wrapText="1"/>
      <protection locked="0"/>
    </xf>
    <xf numFmtId="0" fontId="0" fillId="0" borderId="0" xfId="0" applyAlignment="1" applyProtection="1">
      <alignment horizontal="right" vertical="center"/>
      <protection locked="0"/>
    </xf>
    <xf numFmtId="0" fontId="0" fillId="2" borderId="0" xfId="0" applyFill="1" applyAlignment="1" applyProtection="1">
      <alignment horizontal="right" vertical="justify"/>
      <protection locked="0"/>
    </xf>
    <xf numFmtId="172" fontId="33" fillId="0" borderId="1" xfId="8" applyNumberFormat="1" applyFont="1" applyFill="1" applyBorder="1" applyAlignment="1" applyProtection="1">
      <alignment vertical="center"/>
      <protection locked="0"/>
    </xf>
    <xf numFmtId="174" fontId="19" fillId="0" borderId="0" xfId="0" applyNumberFormat="1" applyFont="1" applyAlignment="1" applyProtection="1">
      <alignment horizontal="center" vertical="center" wrapText="1"/>
      <protection locked="0"/>
    </xf>
    <xf numFmtId="14" fontId="37" fillId="0" borderId="1" xfId="1" applyNumberFormat="1" applyFont="1" applyBorder="1" applyAlignment="1" applyProtection="1">
      <alignment vertical="center" wrapText="1"/>
      <protection locked="0"/>
    </xf>
    <xf numFmtId="0" fontId="0" fillId="0" borderId="0" xfId="0" quotePrefix="1"/>
    <xf numFmtId="0" fontId="26" fillId="7" borderId="1" xfId="0" applyFont="1" applyFill="1" applyBorder="1" applyAlignment="1">
      <alignment horizontal="left"/>
    </xf>
    <xf numFmtId="0" fontId="26" fillId="8" borderId="1" xfId="0" applyFont="1" applyFill="1" applyBorder="1" applyAlignment="1">
      <alignment horizontal="left" indent="1"/>
    </xf>
    <xf numFmtId="0" fontId="27" fillId="9" borderId="1" xfId="0" applyFont="1" applyFill="1" applyBorder="1" applyAlignment="1">
      <alignment horizontal="left" indent="2"/>
    </xf>
    <xf numFmtId="1" fontId="28" fillId="10" borderId="1" xfId="0" applyNumberFormat="1" applyFont="1" applyFill="1" applyBorder="1" applyAlignment="1">
      <alignment horizontal="left" indent="3"/>
    </xf>
    <xf numFmtId="1" fontId="0" fillId="0" borderId="1" xfId="53" applyNumberFormat="1" applyFont="1" applyBorder="1"/>
    <xf numFmtId="0" fontId="9" fillId="0" borderId="1" xfId="12" applyBorder="1"/>
    <xf numFmtId="0" fontId="29" fillId="0" borderId="0" xfId="0" applyFont="1"/>
    <xf numFmtId="41" fontId="0" fillId="0" borderId="0" xfId="53" applyFont="1"/>
    <xf numFmtId="1" fontId="0" fillId="0" borderId="0" xfId="53" applyNumberFormat="1" applyFont="1"/>
    <xf numFmtId="0" fontId="12" fillId="5" borderId="1" xfId="6" applyBorder="1" applyProtection="1">
      <alignment horizontal="center" vertical="center"/>
    </xf>
    <xf numFmtId="3" fontId="10" fillId="0" borderId="1" xfId="7" applyBorder="1" applyProtection="1">
      <alignment horizontal="right" vertical="center"/>
    </xf>
    <xf numFmtId="49" fontId="10" fillId="0" borderId="1" xfId="4" applyBorder="1">
      <alignment horizontal="left" vertical="center"/>
    </xf>
    <xf numFmtId="0" fontId="12" fillId="5" borderId="1" xfId="6" applyBorder="1">
      <alignment horizontal="center" vertical="center"/>
    </xf>
    <xf numFmtId="1" fontId="0" fillId="0" borderId="1" xfId="0" applyNumberFormat="1" applyBorder="1"/>
    <xf numFmtId="0" fontId="0" fillId="2" borderId="0" xfId="0" applyFill="1" applyAlignment="1" applyProtection="1">
      <alignment horizontal="center" vertical="center" wrapText="1"/>
      <protection locked="0"/>
    </xf>
    <xf numFmtId="0" fontId="6" fillId="0" borderId="1" xfId="0" applyFont="1" applyBorder="1" applyAlignment="1" applyProtection="1">
      <alignment horizontal="justify" vertical="center" wrapText="1"/>
      <protection locked="0"/>
    </xf>
    <xf numFmtId="0" fontId="6" fillId="0" borderId="1" xfId="0" applyFont="1" applyBorder="1" applyAlignment="1" applyProtection="1">
      <alignment horizontal="left" vertical="center" wrapText="1"/>
      <protection locked="0"/>
    </xf>
    <xf numFmtId="0" fontId="0" fillId="0" borderId="1" xfId="0" applyBorder="1" applyAlignment="1" applyProtection="1">
      <alignment horizontal="justify" vertical="center" wrapText="1"/>
      <protection locked="0"/>
    </xf>
    <xf numFmtId="1" fontId="0" fillId="0" borderId="1" xfId="0" applyNumberFormat="1" applyBorder="1" applyAlignment="1" applyProtection="1">
      <alignment horizontal="left" vertical="center"/>
      <protection locked="0"/>
    </xf>
    <xf numFmtId="4" fontId="0" fillId="0" borderId="1" xfId="0" applyNumberFormat="1" applyBorder="1" applyAlignment="1" applyProtection="1">
      <alignment horizontal="left" vertical="center" wrapText="1"/>
      <protection locked="0"/>
    </xf>
    <xf numFmtId="0" fontId="0" fillId="0" borderId="1" xfId="27" applyFont="1" applyBorder="1" applyAlignment="1">
      <alignment vertical="center"/>
    </xf>
    <xf numFmtId="0" fontId="37" fillId="0" borderId="1" xfId="0" applyFont="1" applyBorder="1" applyAlignment="1">
      <alignment vertical="center" wrapText="1"/>
    </xf>
    <xf numFmtId="0" fontId="37" fillId="0" borderId="1" xfId="0" applyFont="1" applyBorder="1" applyAlignment="1">
      <alignment vertical="center"/>
    </xf>
    <xf numFmtId="170" fontId="37" fillId="0" borderId="1" xfId="13" applyNumberFormat="1" applyFont="1" applyBorder="1" applyAlignment="1" applyProtection="1">
      <alignment vertical="center" wrapText="1"/>
      <protection locked="0"/>
    </xf>
    <xf numFmtId="171" fontId="33" fillId="0" borderId="1" xfId="21" applyNumberFormat="1" applyFont="1" applyFill="1" applyBorder="1" applyAlignment="1" applyProtection="1">
      <alignment horizontal="left" vertical="center" wrapText="1"/>
      <protection locked="0"/>
    </xf>
    <xf numFmtId="49" fontId="33" fillId="0" borderId="1" xfId="1" applyNumberFormat="1" applyFont="1" applyFill="1" applyBorder="1" applyAlignment="1" applyProtection="1">
      <alignment horizontal="right" vertical="center"/>
      <protection locked="0"/>
    </xf>
    <xf numFmtId="0" fontId="33" fillId="0" borderId="1" xfId="0" applyFont="1" applyBorder="1" applyAlignment="1">
      <alignment horizontal="left" vertical="center" wrapText="1"/>
    </xf>
    <xf numFmtId="0" fontId="9" fillId="11" borderId="1" xfId="12" applyFill="1" applyBorder="1" applyAlignment="1">
      <alignment vertical="center"/>
    </xf>
    <xf numFmtId="0" fontId="0" fillId="18" borderId="1" xfId="0" applyFill="1" applyBorder="1" applyAlignment="1" applyProtection="1">
      <alignment horizontal="left" vertical="center"/>
      <protection locked="0"/>
    </xf>
    <xf numFmtId="0" fontId="6" fillId="18" borderId="1" xfId="0" applyFont="1" applyFill="1" applyBorder="1" applyAlignment="1" applyProtection="1">
      <alignment horizontal="justify" vertical="center" wrapText="1"/>
      <protection locked="0"/>
    </xf>
    <xf numFmtId="1" fontId="0" fillId="18" borderId="1" xfId="0" applyNumberFormat="1" applyFill="1" applyBorder="1" applyAlignment="1">
      <alignment horizontal="left" vertical="center" wrapText="1"/>
    </xf>
    <xf numFmtId="1" fontId="0" fillId="18" borderId="1" xfId="0" applyNumberFormat="1" applyFill="1" applyBorder="1" applyAlignment="1" applyProtection="1">
      <alignment horizontal="left" vertical="center" wrapText="1"/>
      <protection locked="0"/>
    </xf>
    <xf numFmtId="165" fontId="0" fillId="18" borderId="1" xfId="51" applyFont="1" applyFill="1" applyBorder="1" applyAlignment="1" applyProtection="1">
      <alignment horizontal="right" vertical="center"/>
      <protection locked="0"/>
    </xf>
    <xf numFmtId="0" fontId="0" fillId="18" borderId="1" xfId="0" applyFill="1" applyBorder="1" applyAlignment="1" applyProtection="1">
      <alignment horizontal="left" vertical="center" wrapText="1"/>
      <protection locked="0"/>
    </xf>
    <xf numFmtId="49" fontId="0" fillId="18" borderId="1" xfId="0" applyNumberFormat="1" applyFill="1" applyBorder="1" applyAlignment="1" applyProtection="1">
      <alignment horizontal="left" vertical="center" wrapText="1"/>
      <protection locked="0"/>
    </xf>
    <xf numFmtId="0" fontId="38" fillId="18" borderId="1" xfId="0" applyFont="1" applyFill="1" applyBorder="1" applyAlignment="1" applyProtection="1">
      <alignment horizontal="left" vertical="center" wrapText="1"/>
      <protection locked="0"/>
    </xf>
    <xf numFmtId="0" fontId="6" fillId="18" borderId="1" xfId="0" applyFont="1" applyFill="1" applyBorder="1" applyAlignment="1" applyProtection="1">
      <alignment horizontal="left" vertical="center"/>
      <protection locked="0"/>
    </xf>
    <xf numFmtId="169" fontId="23" fillId="18" borderId="1" xfId="27" applyNumberFormat="1" applyFont="1" applyFill="1" applyBorder="1" applyAlignment="1" applyProtection="1">
      <alignment vertical="center"/>
      <protection locked="0"/>
    </xf>
    <xf numFmtId="0" fontId="0" fillId="18" borderId="1" xfId="1" applyNumberFormat="1" applyFont="1" applyFill="1" applyBorder="1" applyAlignment="1" applyProtection="1">
      <alignment horizontal="right" vertical="center"/>
      <protection locked="0"/>
    </xf>
    <xf numFmtId="164" fontId="0" fillId="18" borderId="1" xfId="1" applyFont="1" applyFill="1" applyBorder="1" applyAlignment="1" applyProtection="1">
      <alignment horizontal="left" vertical="center"/>
      <protection locked="0"/>
    </xf>
    <xf numFmtId="0" fontId="6" fillId="18" borderId="3" xfId="0" applyFont="1" applyFill="1" applyBorder="1" applyAlignment="1" applyProtection="1">
      <alignment horizontal="left" vertical="center"/>
      <protection locked="0"/>
    </xf>
    <xf numFmtId="0" fontId="0" fillId="18" borderId="1" xfId="0" applyFill="1" applyBorder="1" applyAlignment="1" applyProtection="1">
      <alignment horizontal="justify" vertical="center" wrapText="1"/>
      <protection locked="0"/>
    </xf>
    <xf numFmtId="0" fontId="0" fillId="18" borderId="1" xfId="27" applyFont="1" applyFill="1" applyBorder="1" applyAlignment="1">
      <alignment vertical="center"/>
    </xf>
    <xf numFmtId="0" fontId="0" fillId="18" borderId="1" xfId="0" applyFill="1" applyBorder="1" applyAlignment="1">
      <alignment horizontal="justify" vertical="center" wrapText="1"/>
    </xf>
    <xf numFmtId="1" fontId="0" fillId="18" borderId="1" xfId="0" applyNumberFormat="1" applyFill="1" applyBorder="1" applyAlignment="1" applyProtection="1">
      <alignment horizontal="left" vertical="center"/>
      <protection locked="0"/>
    </xf>
    <xf numFmtId="4" fontId="0" fillId="18" borderId="1" xfId="0" applyNumberFormat="1" applyFill="1" applyBorder="1" applyAlignment="1" applyProtection="1">
      <alignment horizontal="left" vertical="center" wrapText="1"/>
      <protection locked="0"/>
    </xf>
    <xf numFmtId="1" fontId="6" fillId="18" borderId="1" xfId="0" applyNumberFormat="1" applyFont="1" applyFill="1" applyBorder="1" applyAlignment="1">
      <alignment horizontal="left" vertical="center" wrapText="1"/>
    </xf>
    <xf numFmtId="1" fontId="6" fillId="18" borderId="1" xfId="0" applyNumberFormat="1" applyFont="1" applyFill="1" applyBorder="1" applyAlignment="1" applyProtection="1">
      <alignment horizontal="left" vertical="center" wrapText="1"/>
      <protection locked="0"/>
    </xf>
    <xf numFmtId="165" fontId="6" fillId="18" borderId="1" xfId="51" applyFont="1" applyFill="1" applyBorder="1" applyAlignment="1" applyProtection="1">
      <alignment horizontal="right" vertical="center"/>
      <protection locked="0"/>
    </xf>
    <xf numFmtId="0" fontId="6" fillId="18" borderId="1" xfId="0" applyFont="1" applyFill="1" applyBorder="1" applyAlignment="1" applyProtection="1">
      <alignment horizontal="left" vertical="center" wrapText="1"/>
      <protection locked="0"/>
    </xf>
    <xf numFmtId="49" fontId="6" fillId="18" borderId="1" xfId="0" applyNumberFormat="1" applyFont="1" applyFill="1" applyBorder="1" applyAlignment="1" applyProtection="1">
      <alignment horizontal="left" vertical="center" wrapText="1"/>
      <protection locked="0"/>
    </xf>
    <xf numFmtId="0" fontId="6" fillId="18" borderId="1" xfId="27" applyFont="1" applyFill="1" applyBorder="1" applyAlignment="1">
      <alignment vertical="center"/>
    </xf>
    <xf numFmtId="0" fontId="6" fillId="18" borderId="1" xfId="1" applyNumberFormat="1" applyFont="1" applyFill="1" applyBorder="1" applyAlignment="1" applyProtection="1">
      <alignment horizontal="right" vertical="center"/>
      <protection locked="0"/>
    </xf>
    <xf numFmtId="164" fontId="6" fillId="18" borderId="1" xfId="1" applyFont="1" applyFill="1" applyBorder="1" applyAlignment="1" applyProtection="1">
      <alignment horizontal="left" vertical="center"/>
      <protection locked="0"/>
    </xf>
    <xf numFmtId="0" fontId="6" fillId="18" borderId="3" xfId="0" applyFont="1" applyFill="1" applyBorder="1" applyAlignment="1" applyProtection="1">
      <alignment horizontal="justify" vertical="center" wrapText="1"/>
      <protection locked="0"/>
    </xf>
    <xf numFmtId="0" fontId="33" fillId="0" borderId="1" xfId="0" quotePrefix="1" applyFont="1" applyBorder="1" applyAlignment="1">
      <alignment horizontal="center" vertical="center"/>
    </xf>
    <xf numFmtId="0" fontId="0" fillId="18" borderId="3" xfId="0" applyFill="1" applyBorder="1" applyAlignment="1" applyProtection="1">
      <alignment horizontal="left" vertical="center"/>
      <protection locked="0"/>
    </xf>
    <xf numFmtId="0" fontId="0" fillId="18" borderId="3" xfId="0" applyFill="1" applyBorder="1" applyAlignment="1" applyProtection="1">
      <alignment horizontal="justify" vertical="center" wrapText="1"/>
      <protection locked="0"/>
    </xf>
    <xf numFmtId="1" fontId="0" fillId="18" borderId="3" xfId="0" applyNumberFormat="1" applyFill="1" applyBorder="1" applyAlignment="1">
      <alignment horizontal="left" vertical="center" wrapText="1"/>
    </xf>
    <xf numFmtId="1" fontId="0" fillId="18" borderId="3" xfId="0" applyNumberFormat="1" applyFill="1" applyBorder="1" applyAlignment="1" applyProtection="1">
      <alignment horizontal="left" vertical="center" wrapText="1"/>
      <protection locked="0"/>
    </xf>
    <xf numFmtId="165" fontId="0" fillId="18" borderId="3" xfId="51" applyFont="1" applyFill="1" applyBorder="1" applyAlignment="1" applyProtection="1">
      <alignment horizontal="right" vertical="center"/>
      <protection locked="0"/>
    </xf>
    <xf numFmtId="0" fontId="0" fillId="18" borderId="3" xfId="0" applyFill="1" applyBorder="1" applyAlignment="1" applyProtection="1">
      <alignment horizontal="left" vertical="center" wrapText="1"/>
      <protection locked="0"/>
    </xf>
    <xf numFmtId="49" fontId="0" fillId="18" borderId="3" xfId="0" applyNumberFormat="1" applyFill="1" applyBorder="1" applyAlignment="1" applyProtection="1">
      <alignment horizontal="left" vertical="center" wrapText="1"/>
      <protection locked="0"/>
    </xf>
    <xf numFmtId="0" fontId="0" fillId="18" borderId="3" xfId="1" applyNumberFormat="1" applyFont="1" applyFill="1" applyBorder="1" applyAlignment="1" applyProtection="1">
      <alignment horizontal="right" vertical="center"/>
      <protection locked="0"/>
    </xf>
    <xf numFmtId="164" fontId="0" fillId="18" borderId="3" xfId="1" applyFont="1" applyFill="1" applyBorder="1" applyAlignment="1" applyProtection="1">
      <alignment horizontal="left" vertical="center"/>
      <protection locked="0"/>
    </xf>
    <xf numFmtId="1" fontId="6" fillId="0" borderId="1" xfId="0" applyNumberFormat="1" applyFont="1" applyBorder="1" applyAlignment="1">
      <alignment horizontal="left" vertical="center" wrapText="1"/>
    </xf>
    <xf numFmtId="1" fontId="6" fillId="0" borderId="1" xfId="0" applyNumberFormat="1" applyFont="1" applyBorder="1" applyAlignment="1" applyProtection="1">
      <alignment horizontal="left" vertical="center" wrapText="1"/>
      <protection locked="0"/>
    </xf>
    <xf numFmtId="165" fontId="6" fillId="0" borderId="1" xfId="51" applyFont="1" applyFill="1" applyBorder="1" applyAlignment="1" applyProtection="1">
      <alignment horizontal="right" vertical="center"/>
      <protection locked="0"/>
    </xf>
    <xf numFmtId="49" fontId="6" fillId="0" borderId="1" xfId="0" applyNumberFormat="1" applyFont="1" applyBorder="1" applyAlignment="1" applyProtection="1">
      <alignment horizontal="left" vertical="center" wrapText="1"/>
      <protection locked="0"/>
    </xf>
    <xf numFmtId="0" fontId="6" fillId="0" borderId="1" xfId="27" applyFont="1" applyBorder="1" applyAlignment="1">
      <alignment vertical="center"/>
    </xf>
    <xf numFmtId="0" fontId="6" fillId="0" borderId="1" xfId="1" applyNumberFormat="1" applyFont="1" applyFill="1" applyBorder="1" applyAlignment="1" applyProtection="1">
      <alignment horizontal="right" vertical="center"/>
      <protection locked="0"/>
    </xf>
    <xf numFmtId="164" fontId="6" fillId="0" borderId="1" xfId="1" applyFont="1" applyFill="1" applyBorder="1" applyAlignment="1" applyProtection="1">
      <alignment horizontal="left" vertical="center"/>
      <protection locked="0"/>
    </xf>
    <xf numFmtId="14" fontId="37" fillId="0" borderId="1" xfId="1" applyNumberFormat="1" applyFont="1" applyBorder="1" applyAlignment="1" applyProtection="1">
      <alignment horizontal="right" vertical="center" wrapText="1"/>
      <protection locked="0"/>
    </xf>
    <xf numFmtId="164" fontId="33" fillId="11" borderId="1" xfId="12" applyNumberFormat="1" applyFont="1" applyFill="1" applyBorder="1" applyAlignment="1">
      <alignment horizontal="left" vertical="center" wrapText="1"/>
    </xf>
    <xf numFmtId="169" fontId="6" fillId="18" borderId="1" xfId="27" applyNumberFormat="1" applyFont="1" applyFill="1" applyBorder="1" applyAlignment="1" applyProtection="1">
      <alignment vertical="center"/>
      <protection locked="0"/>
    </xf>
    <xf numFmtId="166" fontId="33" fillId="0" borderId="1" xfId="8" applyFont="1" applyBorder="1" applyAlignment="1" applyProtection="1">
      <alignment horizontal="right" vertical="center" wrapText="1"/>
      <protection locked="0"/>
    </xf>
    <xf numFmtId="49" fontId="33" fillId="0" borderId="1" xfId="1" quotePrefix="1" applyNumberFormat="1" applyFont="1" applyFill="1" applyBorder="1" applyAlignment="1" applyProtection="1">
      <alignment horizontal="right" vertical="center"/>
      <protection locked="0"/>
    </xf>
    <xf numFmtId="0" fontId="38" fillId="18" borderId="3" xfId="0" applyFont="1" applyFill="1" applyBorder="1" applyAlignment="1" applyProtection="1">
      <alignment horizontal="left" vertical="center" wrapText="1"/>
      <protection locked="0"/>
    </xf>
    <xf numFmtId="0" fontId="5" fillId="18" borderId="1" xfId="27" applyFill="1" applyBorder="1" applyAlignment="1">
      <alignment vertical="center"/>
    </xf>
    <xf numFmtId="169" fontId="23" fillId="18" borderId="3" xfId="27" applyNumberFormat="1" applyFont="1" applyFill="1" applyBorder="1" applyAlignment="1" applyProtection="1">
      <alignment vertical="center"/>
      <protection locked="0"/>
    </xf>
    <xf numFmtId="1" fontId="6" fillId="18" borderId="1" xfId="0" applyNumberFormat="1" applyFont="1" applyFill="1" applyBorder="1" applyAlignment="1" applyProtection="1">
      <alignment horizontal="left" vertical="center"/>
      <protection locked="0"/>
    </xf>
    <xf numFmtId="4" fontId="6" fillId="18" borderId="1" xfId="0" applyNumberFormat="1" applyFont="1" applyFill="1" applyBorder="1" applyAlignment="1" applyProtection="1">
      <alignment horizontal="left" vertical="center" wrapText="1"/>
      <protection locked="0"/>
    </xf>
    <xf numFmtId="0" fontId="23" fillId="18" borderId="1" xfId="27" applyFont="1" applyFill="1" applyBorder="1" applyAlignment="1">
      <alignment vertical="center"/>
    </xf>
    <xf numFmtId="0" fontId="6" fillId="9" borderId="1" xfId="0" applyFont="1" applyFill="1" applyBorder="1" applyAlignment="1" applyProtection="1">
      <alignment horizontal="left" vertical="center"/>
      <protection locked="0"/>
    </xf>
    <xf numFmtId="0" fontId="6" fillId="9" borderId="1" xfId="0" applyFont="1" applyFill="1" applyBorder="1" applyAlignment="1" applyProtection="1">
      <alignment horizontal="justify" vertical="center" wrapText="1"/>
      <protection locked="0"/>
    </xf>
    <xf numFmtId="1" fontId="6" fillId="9" borderId="1" xfId="0" applyNumberFormat="1" applyFont="1" applyFill="1" applyBorder="1" applyAlignment="1" applyProtection="1">
      <alignment horizontal="left" vertical="center" wrapText="1"/>
      <protection locked="0"/>
    </xf>
    <xf numFmtId="1" fontId="6" fillId="9" borderId="1" xfId="0" applyNumberFormat="1" applyFont="1" applyFill="1" applyBorder="1" applyAlignment="1" applyProtection="1">
      <alignment horizontal="left" vertical="center"/>
      <protection locked="0"/>
    </xf>
    <xf numFmtId="165" fontId="6" fillId="9" borderId="1" xfId="51" applyFont="1" applyFill="1" applyBorder="1" applyAlignment="1" applyProtection="1">
      <alignment horizontal="right" vertical="center"/>
      <protection locked="0"/>
    </xf>
    <xf numFmtId="4" fontId="6" fillId="9" borderId="1" xfId="0" applyNumberFormat="1" applyFont="1" applyFill="1" applyBorder="1" applyAlignment="1" applyProtection="1">
      <alignment horizontal="left" vertical="center" wrapText="1"/>
      <protection locked="0"/>
    </xf>
    <xf numFmtId="0" fontId="23" fillId="9" borderId="1" xfId="27" applyFont="1" applyFill="1" applyBorder="1" applyAlignment="1">
      <alignment vertical="center"/>
    </xf>
    <xf numFmtId="0" fontId="6" fillId="9" borderId="1" xfId="1" applyNumberFormat="1" applyFont="1" applyFill="1" applyBorder="1" applyAlignment="1" applyProtection="1">
      <alignment horizontal="right" vertical="center"/>
      <protection locked="0"/>
    </xf>
    <xf numFmtId="164" fontId="6" fillId="9" borderId="1" xfId="1" applyFont="1" applyFill="1" applyBorder="1" applyAlignment="1" applyProtection="1">
      <alignment horizontal="left" vertical="center"/>
      <protection locked="0"/>
    </xf>
    <xf numFmtId="0" fontId="0" fillId="9" borderId="3" xfId="0" applyFill="1" applyBorder="1" applyAlignment="1" applyProtection="1">
      <alignment horizontal="left" vertical="center"/>
      <protection locked="0"/>
    </xf>
    <xf numFmtId="0" fontId="0" fillId="9" borderId="3" xfId="0" applyFill="1" applyBorder="1" applyAlignment="1" applyProtection="1">
      <alignment horizontal="justify" vertical="center" wrapText="1"/>
      <protection locked="0"/>
    </xf>
    <xf numFmtId="0" fontId="0" fillId="9" borderId="1" xfId="0" applyFill="1" applyBorder="1" applyAlignment="1" applyProtection="1">
      <alignment horizontal="left" vertical="center"/>
      <protection locked="0"/>
    </xf>
    <xf numFmtId="1" fontId="0" fillId="9" borderId="1" xfId="0" applyNumberFormat="1" applyFill="1" applyBorder="1" applyAlignment="1" applyProtection="1">
      <alignment horizontal="left" vertical="center" wrapText="1"/>
      <protection locked="0"/>
    </xf>
    <xf numFmtId="1" fontId="0" fillId="9" borderId="3" xfId="0" applyNumberFormat="1" applyFill="1" applyBorder="1" applyAlignment="1" applyProtection="1">
      <alignment horizontal="left" vertical="center" wrapText="1"/>
      <protection locked="0"/>
    </xf>
    <xf numFmtId="1" fontId="0" fillId="9" borderId="1" xfId="0" applyNumberFormat="1" applyFill="1" applyBorder="1" applyAlignment="1" applyProtection="1">
      <alignment horizontal="left" vertical="center"/>
      <protection locked="0"/>
    </xf>
    <xf numFmtId="165" fontId="0" fillId="9" borderId="1" xfId="51" applyFont="1" applyFill="1" applyBorder="1" applyAlignment="1" applyProtection="1">
      <alignment horizontal="right" vertical="center"/>
      <protection locked="0"/>
    </xf>
    <xf numFmtId="4" fontId="0" fillId="9" borderId="3" xfId="0" applyNumberFormat="1" applyFill="1" applyBorder="1" applyAlignment="1" applyProtection="1">
      <alignment horizontal="left" vertical="center" wrapText="1"/>
      <protection locked="0"/>
    </xf>
    <xf numFmtId="0" fontId="0" fillId="9" borderId="1" xfId="27" applyFont="1" applyFill="1" applyBorder="1" applyAlignment="1">
      <alignment vertical="center"/>
    </xf>
    <xf numFmtId="0" fontId="0" fillId="9" borderId="1" xfId="1" applyNumberFormat="1" applyFont="1" applyFill="1" applyBorder="1" applyAlignment="1" applyProtection="1">
      <alignment horizontal="right" vertical="center"/>
      <protection locked="0"/>
    </xf>
    <xf numFmtId="164" fontId="0" fillId="9" borderId="1" xfId="1" applyFont="1" applyFill="1" applyBorder="1" applyAlignment="1" applyProtection="1">
      <alignment horizontal="left" vertical="center"/>
      <protection locked="0"/>
    </xf>
    <xf numFmtId="1" fontId="0" fillId="9" borderId="1" xfId="0" applyNumberFormat="1" applyFill="1" applyBorder="1" applyAlignment="1">
      <alignment horizontal="left" vertical="center" wrapText="1"/>
    </xf>
    <xf numFmtId="0" fontId="0" fillId="9" borderId="1" xfId="0" applyFill="1" applyBorder="1" applyAlignment="1" applyProtection="1">
      <alignment horizontal="left" vertical="center" wrapText="1"/>
      <protection locked="0"/>
    </xf>
    <xf numFmtId="49" fontId="0" fillId="9" borderId="1" xfId="0" applyNumberFormat="1" applyFill="1" applyBorder="1" applyAlignment="1" applyProtection="1">
      <alignment horizontal="left" vertical="center" wrapText="1"/>
      <protection locked="0"/>
    </xf>
    <xf numFmtId="0" fontId="38" fillId="9" borderId="1" xfId="0" applyFont="1" applyFill="1" applyBorder="1" applyAlignment="1" applyProtection="1">
      <alignment horizontal="left" vertical="center" wrapText="1"/>
      <protection locked="0"/>
    </xf>
    <xf numFmtId="169" fontId="23" fillId="9" borderId="1" xfId="27" applyNumberFormat="1" applyFont="1" applyFill="1" applyBorder="1" applyAlignment="1" applyProtection="1">
      <alignment vertical="center"/>
      <protection locked="0"/>
    </xf>
    <xf numFmtId="1" fontId="45" fillId="0" borderId="16" xfId="0" applyNumberFormat="1" applyFont="1" applyBorder="1" applyAlignment="1">
      <alignment horizontal="center" vertical="center" wrapText="1"/>
    </xf>
    <xf numFmtId="0" fontId="6" fillId="9" borderId="1" xfId="0" applyFont="1" applyFill="1" applyBorder="1" applyAlignment="1" applyProtection="1">
      <alignment horizontal="left" vertical="center" wrapText="1"/>
      <protection locked="0"/>
    </xf>
    <xf numFmtId="0" fontId="0" fillId="9" borderId="1" xfId="0" applyFill="1" applyBorder="1" applyAlignment="1" applyProtection="1">
      <alignment horizontal="justify" vertical="center" wrapText="1"/>
      <protection locked="0"/>
    </xf>
    <xf numFmtId="4" fontId="0" fillId="9" borderId="1" xfId="0" applyNumberFormat="1" applyFill="1" applyBorder="1" applyAlignment="1" applyProtection="1">
      <alignment horizontal="left" vertical="center" wrapText="1"/>
      <protection locked="0"/>
    </xf>
    <xf numFmtId="1" fontId="0" fillId="9" borderId="3" xfId="0" applyNumberFormat="1" applyFill="1" applyBorder="1" applyAlignment="1" applyProtection="1">
      <alignment horizontal="left" vertical="center"/>
      <protection locked="0"/>
    </xf>
    <xf numFmtId="165" fontId="0" fillId="9" borderId="3" xfId="51" applyFont="1" applyFill="1" applyBorder="1" applyAlignment="1" applyProtection="1">
      <alignment horizontal="right" vertical="center"/>
      <protection locked="0"/>
    </xf>
    <xf numFmtId="0" fontId="0" fillId="9" borderId="3" xfId="1" applyNumberFormat="1" applyFont="1" applyFill="1" applyBorder="1" applyAlignment="1" applyProtection="1">
      <alignment horizontal="right" vertical="center"/>
      <protection locked="0"/>
    </xf>
    <xf numFmtId="164" fontId="0" fillId="9" borderId="3" xfId="1" applyFont="1" applyFill="1" applyBorder="1" applyAlignment="1" applyProtection="1">
      <alignment horizontal="left" vertical="center"/>
      <protection locked="0"/>
    </xf>
    <xf numFmtId="0" fontId="0" fillId="9" borderId="3" xfId="27" applyFont="1" applyFill="1" applyBorder="1" applyAlignment="1">
      <alignment vertical="center"/>
    </xf>
    <xf numFmtId="171" fontId="33" fillId="0" borderId="1" xfId="21" quotePrefix="1" applyNumberFormat="1" applyFont="1" applyFill="1" applyBorder="1" applyAlignment="1" applyProtection="1">
      <alignment horizontal="left" vertical="center" wrapText="1"/>
      <protection locked="0"/>
    </xf>
    <xf numFmtId="165" fontId="34" fillId="2" borderId="4" xfId="51" applyFont="1" applyFill="1" applyBorder="1" applyAlignment="1" applyProtection="1">
      <alignment horizontal="center" vertical="center" wrapText="1"/>
      <protection locked="0"/>
    </xf>
    <xf numFmtId="165" fontId="33" fillId="0" borderId="1" xfId="51" applyFont="1" applyFill="1" applyBorder="1" applyAlignment="1" applyProtection="1">
      <alignment horizontal="right" vertical="center"/>
      <protection locked="0"/>
    </xf>
    <xf numFmtId="165" fontId="33" fillId="0" borderId="0" xfId="51" applyFont="1" applyFill="1" applyBorder="1" applyAlignment="1">
      <alignment horizontal="right" vertical="center"/>
    </xf>
    <xf numFmtId="165" fontId="33" fillId="0" borderId="1" xfId="51" applyFont="1" applyFill="1" applyBorder="1" applyAlignment="1" applyProtection="1">
      <alignment vertical="center"/>
      <protection locked="0"/>
    </xf>
    <xf numFmtId="165" fontId="33" fillId="0" borderId="1" xfId="51" applyFont="1" applyBorder="1" applyAlignment="1">
      <alignment vertical="center"/>
    </xf>
    <xf numFmtId="165" fontId="0" fillId="18" borderId="1" xfId="51" applyFont="1" applyFill="1" applyBorder="1" applyAlignment="1">
      <alignment horizontal="center" vertical="center" wrapText="1"/>
    </xf>
    <xf numFmtId="171" fontId="37" fillId="0" borderId="1" xfId="21" applyNumberFormat="1" applyFont="1" applyFill="1" applyBorder="1" applyAlignment="1" applyProtection="1">
      <alignment horizontal="left" vertical="center" wrapText="1"/>
      <protection locked="0"/>
    </xf>
    <xf numFmtId="1" fontId="33" fillId="2" borderId="1" xfId="1" quotePrefix="1" applyNumberFormat="1" applyFont="1" applyFill="1" applyBorder="1" applyAlignment="1" applyProtection="1">
      <alignment vertical="center"/>
      <protection locked="0"/>
    </xf>
    <xf numFmtId="166" fontId="33" fillId="0" borderId="1" xfId="8" applyFont="1" applyFill="1" applyBorder="1" applyAlignment="1" applyProtection="1">
      <alignment horizontal="right" vertical="center" wrapText="1"/>
      <protection locked="0"/>
    </xf>
    <xf numFmtId="0" fontId="46" fillId="0" borderId="1" xfId="0" applyFont="1" applyBorder="1" applyAlignment="1">
      <alignment horizontal="center" vertical="center" wrapText="1"/>
    </xf>
    <xf numFmtId="3" fontId="47" fillId="0" borderId="10" xfId="0" applyNumberFormat="1" applyFont="1" applyBorder="1" applyAlignment="1">
      <alignment horizontal="center" vertical="center"/>
    </xf>
    <xf numFmtId="0" fontId="46" fillId="0" borderId="10" xfId="0" applyFont="1" applyBorder="1" applyAlignment="1">
      <alignment horizontal="center" vertical="center" wrapText="1"/>
    </xf>
    <xf numFmtId="177" fontId="46" fillId="0" borderId="1" xfId="8" applyNumberFormat="1" applyFont="1" applyFill="1" applyBorder="1" applyAlignment="1">
      <alignment horizontal="center" vertical="center" wrapText="1"/>
    </xf>
    <xf numFmtId="3" fontId="47" fillId="0" borderId="1" xfId="0" applyNumberFormat="1" applyFont="1" applyBorder="1" applyAlignment="1">
      <alignment horizontal="center" vertical="center"/>
    </xf>
    <xf numFmtId="177" fontId="46" fillId="0" borderId="1" xfId="8" applyNumberFormat="1" applyFont="1" applyFill="1" applyBorder="1" applyAlignment="1">
      <alignment horizontal="center" vertical="center"/>
    </xf>
    <xf numFmtId="0" fontId="46" fillId="0" borderId="1" xfId="0" applyFont="1" applyBorder="1" applyAlignment="1">
      <alignment horizontal="center" vertical="center"/>
    </xf>
    <xf numFmtId="0" fontId="37" fillId="0" borderId="3" xfId="0" applyFont="1" applyBorder="1" applyAlignment="1">
      <alignment horizontal="center" vertical="center"/>
    </xf>
    <xf numFmtId="0" fontId="37" fillId="0" borderId="3" xfId="0" applyFont="1" applyBorder="1" applyAlignment="1">
      <alignment horizontal="center" vertical="center" wrapText="1"/>
    </xf>
    <xf numFmtId="175" fontId="37" fillId="11" borderId="1" xfId="0" applyNumberFormat="1" applyFont="1" applyFill="1" applyBorder="1" applyAlignment="1">
      <alignment horizontal="right" vertical="center"/>
    </xf>
    <xf numFmtId="14" fontId="37" fillId="11" borderId="1" xfId="0" applyNumberFormat="1" applyFont="1" applyFill="1" applyBorder="1" applyAlignment="1">
      <alignment horizontal="right" vertical="center"/>
    </xf>
    <xf numFmtId="0" fontId="48" fillId="11" borderId="0" xfId="0" applyFont="1" applyFill="1" applyAlignment="1">
      <alignment vertical="center"/>
    </xf>
    <xf numFmtId="0" fontId="49" fillId="11" borderId="0" xfId="0" applyFont="1" applyFill="1" applyAlignment="1">
      <alignment vertical="center"/>
    </xf>
    <xf numFmtId="0" fontId="9" fillId="11" borderId="1" xfId="52" applyFill="1" applyBorder="1" applyAlignment="1">
      <alignment vertical="center"/>
    </xf>
    <xf numFmtId="166" fontId="50" fillId="0" borderId="1" xfId="8" applyFont="1" applyBorder="1" applyAlignment="1" applyProtection="1">
      <alignment horizontal="left" vertical="center" wrapText="1"/>
      <protection locked="0"/>
    </xf>
    <xf numFmtId="0" fontId="0" fillId="6" borderId="1" xfId="0" applyFill="1" applyBorder="1" applyAlignment="1" applyProtection="1">
      <alignment horizontal="left" vertical="center"/>
      <protection locked="0"/>
    </xf>
    <xf numFmtId="0" fontId="6" fillId="6" borderId="1" xfId="0" applyFont="1" applyFill="1" applyBorder="1" applyAlignment="1" applyProtection="1">
      <alignment horizontal="justify" vertical="center" wrapText="1"/>
      <protection locked="0"/>
    </xf>
    <xf numFmtId="1" fontId="0" fillId="6" borderId="1" xfId="0" applyNumberFormat="1" applyFill="1" applyBorder="1" applyAlignment="1">
      <alignment horizontal="left" vertical="center" wrapText="1"/>
    </xf>
    <xf numFmtId="1" fontId="0" fillId="6" borderId="1" xfId="0" applyNumberFormat="1" applyFill="1" applyBorder="1" applyAlignment="1" applyProtection="1">
      <alignment horizontal="left" vertical="center" wrapText="1"/>
      <protection locked="0"/>
    </xf>
    <xf numFmtId="165" fontId="0" fillId="6" borderId="1" xfId="51" applyFont="1" applyFill="1" applyBorder="1" applyAlignment="1" applyProtection="1">
      <alignment horizontal="right" vertical="center"/>
      <protection locked="0"/>
    </xf>
    <xf numFmtId="0" fontId="0" fillId="6" borderId="1" xfId="0" applyFill="1" applyBorder="1" applyAlignment="1" applyProtection="1">
      <alignment horizontal="left" vertical="center" wrapText="1"/>
      <protection locked="0"/>
    </xf>
    <xf numFmtId="49" fontId="0" fillId="6" borderId="1" xfId="0" applyNumberFormat="1" applyFill="1" applyBorder="1" applyAlignment="1" applyProtection="1">
      <alignment horizontal="left" vertical="center" wrapText="1"/>
      <protection locked="0"/>
    </xf>
    <xf numFmtId="0" fontId="38" fillId="6" borderId="1" xfId="0" applyFont="1"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protection locked="0"/>
    </xf>
    <xf numFmtId="169" fontId="23" fillId="6" borderId="1" xfId="27" applyNumberFormat="1" applyFont="1" applyFill="1" applyBorder="1" applyAlignment="1" applyProtection="1">
      <alignment vertical="center"/>
      <protection locked="0"/>
    </xf>
    <xf numFmtId="0" fontId="0" fillId="6" borderId="1" xfId="1" applyNumberFormat="1" applyFont="1" applyFill="1" applyBorder="1" applyAlignment="1" applyProtection="1">
      <alignment horizontal="right" vertical="center"/>
      <protection locked="0"/>
    </xf>
    <xf numFmtId="164" fontId="0" fillId="6" borderId="1" xfId="1" applyFont="1" applyFill="1" applyBorder="1" applyAlignment="1" applyProtection="1">
      <alignment horizontal="left" vertical="center"/>
      <protection locked="0"/>
    </xf>
    <xf numFmtId="0" fontId="6" fillId="19" borderId="1" xfId="0" applyFont="1" applyFill="1" applyBorder="1" applyAlignment="1" applyProtection="1">
      <alignment horizontal="justify" vertical="center" wrapText="1"/>
      <protection locked="0"/>
    </xf>
    <xf numFmtId="0" fontId="0" fillId="19" borderId="1" xfId="0" applyFill="1" applyBorder="1" applyAlignment="1" applyProtection="1">
      <alignment horizontal="left" vertical="center"/>
      <protection locked="0"/>
    </xf>
    <xf numFmtId="1" fontId="0" fillId="19" borderId="1" xfId="0" applyNumberFormat="1" applyFill="1" applyBorder="1" applyAlignment="1">
      <alignment horizontal="left" vertical="center" wrapText="1"/>
    </xf>
    <xf numFmtId="1" fontId="0" fillId="19" borderId="1" xfId="0" applyNumberFormat="1" applyFill="1" applyBorder="1" applyAlignment="1" applyProtection="1">
      <alignment horizontal="left" vertical="center" wrapText="1"/>
      <protection locked="0"/>
    </xf>
    <xf numFmtId="165" fontId="0" fillId="19" borderId="1" xfId="51" applyFont="1" applyFill="1" applyBorder="1" applyAlignment="1" applyProtection="1">
      <alignment horizontal="right" vertical="center"/>
      <protection locked="0"/>
    </xf>
    <xf numFmtId="0" fontId="0" fillId="19" borderId="1" xfId="0" applyFill="1" applyBorder="1" applyAlignment="1" applyProtection="1">
      <alignment horizontal="left" vertical="center" wrapText="1"/>
      <protection locked="0"/>
    </xf>
    <xf numFmtId="49" fontId="0" fillId="19" borderId="1" xfId="0" applyNumberFormat="1" applyFill="1" applyBorder="1" applyAlignment="1" applyProtection="1">
      <alignment horizontal="left" vertical="center" wrapText="1"/>
      <protection locked="0"/>
    </xf>
    <xf numFmtId="0" fontId="38" fillId="19" borderId="1" xfId="0" applyFont="1" applyFill="1" applyBorder="1" applyAlignment="1" applyProtection="1">
      <alignment horizontal="left" vertical="center" wrapText="1"/>
      <protection locked="0"/>
    </xf>
    <xf numFmtId="0" fontId="6" fillId="19" borderId="1" xfId="0" applyFont="1" applyFill="1" applyBorder="1" applyAlignment="1" applyProtection="1">
      <alignment horizontal="left" vertical="center"/>
      <protection locked="0"/>
    </xf>
    <xf numFmtId="0" fontId="6" fillId="19" borderId="1" xfId="27" applyFont="1" applyFill="1" applyBorder="1" applyAlignment="1">
      <alignment vertical="center"/>
    </xf>
    <xf numFmtId="0" fontId="0" fillId="19" borderId="1" xfId="1" applyNumberFormat="1" applyFont="1" applyFill="1" applyBorder="1" applyAlignment="1" applyProtection="1">
      <alignment horizontal="right" vertical="center"/>
      <protection locked="0"/>
    </xf>
    <xf numFmtId="164" fontId="0" fillId="19" borderId="1" xfId="1" applyFont="1" applyFill="1" applyBorder="1" applyAlignment="1" applyProtection="1">
      <alignment horizontal="left" vertical="center"/>
      <protection locked="0"/>
    </xf>
    <xf numFmtId="169" fontId="23" fillId="19" borderId="1" xfId="27" applyNumberFormat="1" applyFont="1" applyFill="1" applyBorder="1" applyAlignment="1" applyProtection="1">
      <alignment vertical="center"/>
      <protection locked="0"/>
    </xf>
    <xf numFmtId="164" fontId="9" fillId="11" borderId="1" xfId="12" applyNumberFormat="1" applyFill="1" applyBorder="1" applyAlignment="1">
      <alignment horizontal="left" vertical="center" wrapText="1"/>
    </xf>
    <xf numFmtId="0" fontId="0" fillId="19" borderId="3" xfId="0" applyFill="1" applyBorder="1" applyAlignment="1" applyProtection="1">
      <alignment horizontal="left" vertical="center"/>
      <protection locked="0"/>
    </xf>
    <xf numFmtId="1" fontId="0" fillId="19" borderId="3" xfId="0" applyNumberFormat="1" applyFill="1" applyBorder="1" applyAlignment="1" applyProtection="1">
      <alignment horizontal="left" vertical="center" wrapText="1"/>
      <protection locked="0"/>
    </xf>
    <xf numFmtId="165" fontId="0" fillId="19" borderId="3" xfId="51" applyFont="1" applyFill="1" applyBorder="1" applyAlignment="1" applyProtection="1">
      <alignment horizontal="right" vertical="center"/>
      <protection locked="0"/>
    </xf>
    <xf numFmtId="0" fontId="0" fillId="19" borderId="1" xfId="27" applyFont="1" applyFill="1" applyBorder="1" applyAlignment="1">
      <alignment vertical="center"/>
    </xf>
    <xf numFmtId="0" fontId="0" fillId="19" borderId="3" xfId="1" applyNumberFormat="1" applyFont="1" applyFill="1" applyBorder="1" applyAlignment="1" applyProtection="1">
      <alignment horizontal="right" vertical="center"/>
      <protection locked="0"/>
    </xf>
    <xf numFmtId="164" fontId="0" fillId="19" borderId="3" xfId="1" applyFont="1" applyFill="1" applyBorder="1" applyAlignment="1" applyProtection="1">
      <alignment horizontal="left" vertical="center"/>
      <protection locked="0"/>
    </xf>
    <xf numFmtId="171" fontId="33" fillId="0" borderId="1" xfId="21" applyNumberFormat="1" applyFont="1" applyFill="1" applyBorder="1" applyAlignment="1" applyProtection="1">
      <alignment vertical="center" wrapText="1"/>
      <protection locked="0"/>
    </xf>
    <xf numFmtId="172" fontId="33" fillId="0" borderId="1" xfId="8" applyNumberFormat="1" applyFont="1" applyFill="1" applyBorder="1" applyAlignment="1" applyProtection="1">
      <alignment horizontal="right" vertical="center"/>
      <protection locked="0"/>
    </xf>
    <xf numFmtId="166" fontId="33" fillId="0" borderId="1" xfId="8" applyFont="1" applyFill="1" applyBorder="1" applyAlignment="1" applyProtection="1">
      <alignment horizontal="right" vertical="center"/>
      <protection locked="0"/>
    </xf>
    <xf numFmtId="0" fontId="52" fillId="0" borderId="1" xfId="0" applyFont="1" applyBorder="1" applyAlignment="1">
      <alignment horizontal="right" vertical="center"/>
    </xf>
    <xf numFmtId="0" fontId="52" fillId="0" borderId="1" xfId="0" quotePrefix="1" applyFont="1" applyBorder="1" applyAlignment="1">
      <alignment horizontal="center" vertical="center"/>
    </xf>
    <xf numFmtId="0" fontId="52" fillId="0" borderId="1" xfId="0" applyFont="1" applyBorder="1" applyAlignment="1">
      <alignment horizontal="justify" vertical="center" wrapText="1"/>
    </xf>
    <xf numFmtId="0" fontId="53" fillId="0" borderId="1" xfId="0" applyFont="1" applyBorder="1" applyAlignment="1">
      <alignment vertical="center" wrapText="1"/>
    </xf>
    <xf numFmtId="0" fontId="53" fillId="0" borderId="1" xfId="0" applyFont="1" applyBorder="1" applyAlignment="1">
      <alignment vertical="center"/>
    </xf>
    <xf numFmtId="170" fontId="53" fillId="0" borderId="1" xfId="13" applyNumberFormat="1" applyFont="1" applyBorder="1" applyAlignment="1" applyProtection="1">
      <alignment vertical="center" wrapText="1"/>
      <protection locked="0"/>
    </xf>
    <xf numFmtId="171" fontId="52" fillId="0" borderId="1" xfId="21" applyNumberFormat="1" applyFont="1" applyFill="1" applyBorder="1" applyAlignment="1" applyProtection="1">
      <alignment horizontal="left" vertical="center" wrapText="1"/>
      <protection locked="0"/>
    </xf>
    <xf numFmtId="172" fontId="52" fillId="0" borderId="1" xfId="8" applyNumberFormat="1" applyFont="1" applyFill="1" applyBorder="1" applyAlignment="1" applyProtection="1">
      <alignment vertical="center"/>
      <protection locked="0"/>
    </xf>
    <xf numFmtId="165" fontId="52" fillId="0" borderId="1" xfId="51" applyFont="1" applyFill="1" applyBorder="1" applyAlignment="1" applyProtection="1">
      <alignment vertical="center"/>
      <protection locked="0"/>
    </xf>
    <xf numFmtId="165" fontId="52" fillId="0" borderId="1" xfId="51" applyFont="1" applyFill="1" applyBorder="1" applyAlignment="1" applyProtection="1">
      <alignment horizontal="right" vertical="center"/>
      <protection locked="0"/>
    </xf>
    <xf numFmtId="49" fontId="52" fillId="0" borderId="1" xfId="1" applyNumberFormat="1" applyFont="1" applyFill="1" applyBorder="1" applyAlignment="1" applyProtection="1">
      <alignment horizontal="right" vertical="center"/>
      <protection locked="0"/>
    </xf>
    <xf numFmtId="49" fontId="52" fillId="12" borderId="1" xfId="1" applyNumberFormat="1" applyFont="1" applyFill="1" applyBorder="1" applyAlignment="1" applyProtection="1">
      <alignment horizontal="center" vertical="center" wrapText="1"/>
      <protection locked="0"/>
    </xf>
    <xf numFmtId="0" fontId="52" fillId="12" borderId="1" xfId="1" applyNumberFormat="1" applyFont="1" applyFill="1" applyBorder="1" applyAlignment="1" applyProtection="1">
      <alignment vertical="center" wrapText="1"/>
      <protection locked="0"/>
    </xf>
    <xf numFmtId="1" fontId="52" fillId="2" borderId="1" xfId="1" applyNumberFormat="1" applyFont="1" applyFill="1" applyBorder="1" applyAlignment="1" applyProtection="1">
      <alignment vertical="center"/>
      <protection locked="0"/>
    </xf>
    <xf numFmtId="169" fontId="52" fillId="13" borderId="1" xfId="1" applyNumberFormat="1" applyFont="1" applyFill="1" applyBorder="1" applyAlignment="1" applyProtection="1">
      <alignment horizontal="right" vertical="center"/>
      <protection locked="0"/>
    </xf>
    <xf numFmtId="166" fontId="52" fillId="13" borderId="1" xfId="8" applyFont="1" applyFill="1" applyBorder="1" applyAlignment="1" applyProtection="1">
      <alignment horizontal="right" vertical="center"/>
      <protection locked="0"/>
    </xf>
    <xf numFmtId="0" fontId="52" fillId="13" borderId="1" xfId="1" applyNumberFormat="1" applyFont="1" applyFill="1" applyBorder="1" applyAlignment="1" applyProtection="1">
      <alignment horizontal="right" vertical="center"/>
      <protection locked="0"/>
    </xf>
    <xf numFmtId="176" fontId="52" fillId="13" borderId="1" xfId="1" applyNumberFormat="1" applyFont="1" applyFill="1" applyBorder="1" applyAlignment="1" applyProtection="1">
      <alignment horizontal="right" vertical="center"/>
      <protection locked="0"/>
    </xf>
    <xf numFmtId="3" fontId="52" fillId="13" borderId="1" xfId="1" applyNumberFormat="1" applyFont="1" applyFill="1" applyBorder="1" applyAlignment="1" applyProtection="1">
      <alignment horizontal="right" vertical="center"/>
      <protection locked="0"/>
    </xf>
    <xf numFmtId="14" fontId="53" fillId="0" borderId="1" xfId="1" applyNumberFormat="1" applyFont="1" applyBorder="1" applyAlignment="1" applyProtection="1">
      <alignment vertical="center" wrapText="1"/>
      <protection locked="0"/>
    </xf>
    <xf numFmtId="14" fontId="53" fillId="0" borderId="1" xfId="1" applyNumberFormat="1" applyFont="1" applyBorder="1" applyAlignment="1" applyProtection="1">
      <alignment horizontal="right" vertical="center" wrapText="1"/>
      <protection locked="0"/>
    </xf>
    <xf numFmtId="164" fontId="53" fillId="0" borderId="1" xfId="1" applyFont="1" applyFill="1" applyBorder="1" applyAlignment="1" applyProtection="1">
      <alignment vertical="center" wrapText="1"/>
      <protection locked="0"/>
    </xf>
    <xf numFmtId="0" fontId="47" fillId="0" borderId="1" xfId="0" applyFont="1" applyBorder="1" applyAlignment="1">
      <alignment horizontal="center" vertical="center" wrapText="1"/>
    </xf>
    <xf numFmtId="0" fontId="52" fillId="0" borderId="0" xfId="48" applyFont="1" applyAlignment="1">
      <alignment horizontal="right" vertical="center"/>
    </xf>
    <xf numFmtId="2" fontId="52" fillId="0" borderId="0" xfId="0" applyNumberFormat="1" applyFont="1" applyAlignment="1">
      <alignment horizontal="right" vertical="center"/>
    </xf>
    <xf numFmtId="176" fontId="52" fillId="0" borderId="0" xfId="0" applyNumberFormat="1" applyFont="1" applyAlignment="1">
      <alignment horizontal="right" vertical="center"/>
    </xf>
    <xf numFmtId="0" fontId="52" fillId="0" borderId="0" xfId="0" applyFont="1" applyAlignment="1">
      <alignment horizontal="right" vertical="center"/>
    </xf>
    <xf numFmtId="14" fontId="52" fillId="0" borderId="0" xfId="0" applyNumberFormat="1" applyFont="1" applyAlignment="1">
      <alignment horizontal="right" vertical="center"/>
    </xf>
    <xf numFmtId="165" fontId="52" fillId="0" borderId="0" xfId="51" applyFont="1" applyAlignment="1">
      <alignment horizontal="right" vertical="center"/>
    </xf>
    <xf numFmtId="10" fontId="52" fillId="0" borderId="0" xfId="0" applyNumberFormat="1" applyFont="1" applyAlignment="1">
      <alignment horizontal="right" vertical="center"/>
    </xf>
    <xf numFmtId="165" fontId="52" fillId="0" borderId="0" xfId="0" applyNumberFormat="1" applyFont="1" applyAlignment="1">
      <alignment horizontal="center" vertical="center"/>
    </xf>
    <xf numFmtId="0" fontId="52" fillId="0" borderId="0" xfId="0" applyFont="1" applyAlignment="1">
      <alignment horizontal="center" vertical="center"/>
    </xf>
    <xf numFmtId="169" fontId="6" fillId="19" borderId="1" xfId="27" applyNumberFormat="1" applyFont="1" applyFill="1" applyBorder="1" applyAlignment="1" applyProtection="1">
      <alignment vertical="center"/>
      <protection locked="0"/>
    </xf>
    <xf numFmtId="1" fontId="6" fillId="19" borderId="1" xfId="0" applyNumberFormat="1" applyFont="1" applyFill="1" applyBorder="1" applyAlignment="1">
      <alignment horizontal="left" vertical="center" wrapText="1"/>
    </xf>
    <xf numFmtId="1" fontId="6" fillId="19" borderId="1" xfId="0" applyNumberFormat="1" applyFont="1" applyFill="1" applyBorder="1" applyAlignment="1" applyProtection="1">
      <alignment horizontal="left" vertical="center" wrapText="1"/>
      <protection locked="0"/>
    </xf>
    <xf numFmtId="165" fontId="6" fillId="19" borderId="1" xfId="51" applyFont="1" applyFill="1" applyBorder="1" applyAlignment="1" applyProtection="1">
      <alignment horizontal="right" vertical="center"/>
      <protection locked="0"/>
    </xf>
    <xf numFmtId="0" fontId="6" fillId="19" borderId="1" xfId="0" applyFont="1" applyFill="1" applyBorder="1" applyAlignment="1" applyProtection="1">
      <alignment horizontal="left" vertical="center" wrapText="1"/>
      <protection locked="0"/>
    </xf>
    <xf numFmtId="49" fontId="6" fillId="19" borderId="1" xfId="0" applyNumberFormat="1" applyFont="1" applyFill="1" applyBorder="1" applyAlignment="1" applyProtection="1">
      <alignment horizontal="left" vertical="center" wrapText="1"/>
      <protection locked="0"/>
    </xf>
    <xf numFmtId="0" fontId="6" fillId="19" borderId="1" xfId="1" applyNumberFormat="1" applyFont="1" applyFill="1" applyBorder="1" applyAlignment="1" applyProtection="1">
      <alignment horizontal="right" vertical="center"/>
      <protection locked="0"/>
    </xf>
    <xf numFmtId="164" fontId="6" fillId="19" borderId="1" xfId="1" applyFont="1" applyFill="1" applyBorder="1" applyAlignment="1" applyProtection="1">
      <alignment horizontal="left" vertical="center"/>
      <protection locked="0"/>
    </xf>
    <xf numFmtId="165" fontId="0" fillId="19" borderId="1" xfId="51" applyFont="1" applyFill="1" applyBorder="1" applyAlignment="1">
      <alignment horizontal="center" vertical="center" wrapText="1"/>
    </xf>
    <xf numFmtId="0" fontId="0" fillId="19" borderId="1" xfId="0" applyFill="1" applyBorder="1" applyAlignment="1" applyProtection="1">
      <alignment horizontal="justify" vertical="center" wrapText="1"/>
      <protection locked="0"/>
    </xf>
    <xf numFmtId="1" fontId="0" fillId="19" borderId="1" xfId="0" applyNumberFormat="1" applyFill="1" applyBorder="1" applyAlignment="1" applyProtection="1">
      <alignment horizontal="left" vertical="center"/>
      <protection locked="0"/>
    </xf>
    <xf numFmtId="4" fontId="0" fillId="19" borderId="1" xfId="0" applyNumberFormat="1" applyFill="1" applyBorder="1" applyAlignment="1" applyProtection="1">
      <alignment horizontal="left" vertical="center" wrapText="1"/>
      <protection locked="0"/>
    </xf>
    <xf numFmtId="0" fontId="54" fillId="11" borderId="0" xfId="0" applyFont="1" applyFill="1" applyAlignment="1">
      <alignment vertical="center"/>
    </xf>
    <xf numFmtId="0" fontId="9" fillId="11" borderId="1" xfId="52" applyFill="1" applyBorder="1" applyAlignment="1">
      <alignment vertical="center" wrapText="1"/>
    </xf>
    <xf numFmtId="175" fontId="37" fillId="11" borderId="16" xfId="0" applyNumberFormat="1" applyFont="1" applyFill="1" applyBorder="1" applyAlignment="1">
      <alignment vertical="center"/>
    </xf>
    <xf numFmtId="14" fontId="37" fillId="0" borderId="10" xfId="1" applyNumberFormat="1" applyFont="1" applyBorder="1" applyAlignment="1" applyProtection="1">
      <alignment horizontal="right" vertical="center" wrapText="1"/>
      <protection locked="0"/>
    </xf>
    <xf numFmtId="14" fontId="37" fillId="11" borderId="5" xfId="0" applyNumberFormat="1" applyFont="1" applyFill="1" applyBorder="1" applyAlignment="1">
      <alignment vertical="center"/>
    </xf>
    <xf numFmtId="175" fontId="37" fillId="11" borderId="3" xfId="0" applyNumberFormat="1" applyFont="1" applyFill="1" applyBorder="1" applyAlignment="1">
      <alignment vertical="center"/>
    </xf>
    <xf numFmtId="0" fontId="55" fillId="11" borderId="1" xfId="52" applyFont="1" applyFill="1" applyBorder="1" applyAlignment="1">
      <alignment vertical="center"/>
    </xf>
    <xf numFmtId="172" fontId="33" fillId="0" borderId="1" xfId="8" applyNumberFormat="1" applyFont="1" applyBorder="1" applyAlignment="1" applyProtection="1">
      <alignment horizontal="right" vertical="center"/>
      <protection locked="0"/>
    </xf>
    <xf numFmtId="0" fontId="9" fillId="11" borderId="1" xfId="12" applyFill="1" applyBorder="1" applyAlignment="1">
      <alignment vertical="center" wrapText="1"/>
    </xf>
    <xf numFmtId="0" fontId="6" fillId="19" borderId="3" xfId="0" applyFont="1" applyFill="1" applyBorder="1" applyAlignment="1" applyProtection="1">
      <alignment horizontal="justify" vertical="center" wrapText="1"/>
      <protection locked="0"/>
    </xf>
    <xf numFmtId="1" fontId="0" fillId="19" borderId="3" xfId="0" applyNumberFormat="1" applyFill="1" applyBorder="1" applyAlignment="1">
      <alignment horizontal="left" vertical="center" wrapText="1"/>
    </xf>
    <xf numFmtId="0" fontId="0" fillId="19" borderId="3" xfId="0" applyFill="1" applyBorder="1" applyAlignment="1" applyProtection="1">
      <alignment horizontal="left" vertical="center" wrapText="1"/>
      <protection locked="0"/>
    </xf>
    <xf numFmtId="49" fontId="0" fillId="19" borderId="3" xfId="0" applyNumberFormat="1" applyFill="1" applyBorder="1" applyAlignment="1" applyProtection="1">
      <alignment horizontal="left" vertical="center" wrapText="1"/>
      <protection locked="0"/>
    </xf>
    <xf numFmtId="0" fontId="38" fillId="19" borderId="3" xfId="0" applyFont="1" applyFill="1" applyBorder="1" applyAlignment="1" applyProtection="1">
      <alignment horizontal="left" vertical="center" wrapText="1"/>
      <protection locked="0"/>
    </xf>
    <xf numFmtId="0" fontId="6" fillId="19" borderId="3" xfId="0" applyFont="1" applyFill="1" applyBorder="1" applyAlignment="1" applyProtection="1">
      <alignment horizontal="left" vertical="center"/>
      <protection locked="0"/>
    </xf>
    <xf numFmtId="1" fontId="6" fillId="19" borderId="3" xfId="0" applyNumberFormat="1" applyFont="1" applyFill="1" applyBorder="1" applyAlignment="1">
      <alignment horizontal="left" vertical="center" wrapText="1"/>
    </xf>
    <xf numFmtId="1" fontId="6" fillId="19" borderId="3" xfId="0" applyNumberFormat="1" applyFont="1" applyFill="1" applyBorder="1" applyAlignment="1" applyProtection="1">
      <alignment horizontal="left" vertical="center" wrapText="1"/>
      <protection locked="0"/>
    </xf>
    <xf numFmtId="165" fontId="6" fillId="19" borderId="3" xfId="51" applyFont="1" applyFill="1" applyBorder="1" applyAlignment="1" applyProtection="1">
      <alignment horizontal="right" vertical="center"/>
      <protection locked="0"/>
    </xf>
    <xf numFmtId="0" fontId="6" fillId="19" borderId="3" xfId="0" applyFont="1" applyFill="1" applyBorder="1" applyAlignment="1" applyProtection="1">
      <alignment horizontal="left" vertical="center" wrapText="1"/>
      <protection locked="0"/>
    </xf>
    <xf numFmtId="49" fontId="6" fillId="19" borderId="3" xfId="0" applyNumberFormat="1" applyFont="1" applyFill="1" applyBorder="1" applyAlignment="1" applyProtection="1">
      <alignment horizontal="left" vertical="center" wrapText="1"/>
      <protection locked="0"/>
    </xf>
    <xf numFmtId="169" fontId="23" fillId="19" borderId="3" xfId="27" applyNumberFormat="1" applyFont="1" applyFill="1" applyBorder="1" applyAlignment="1" applyProtection="1">
      <alignment vertical="center"/>
      <protection locked="0"/>
    </xf>
    <xf numFmtId="0" fontId="6" fillId="18" borderId="3" xfId="27" applyFont="1" applyFill="1" applyBorder="1" applyAlignment="1">
      <alignment vertical="center"/>
    </xf>
    <xf numFmtId="0" fontId="6" fillId="19" borderId="3" xfId="1" applyNumberFormat="1" applyFont="1" applyFill="1" applyBorder="1" applyAlignment="1" applyProtection="1">
      <alignment horizontal="right" vertical="center"/>
      <protection locked="0"/>
    </xf>
    <xf numFmtId="164" fontId="6" fillId="19" borderId="3" xfId="1" applyFont="1" applyFill="1" applyBorder="1" applyAlignment="1" applyProtection="1">
      <alignment horizontal="left" vertical="center"/>
      <protection locked="0"/>
    </xf>
    <xf numFmtId="166" fontId="50" fillId="0" borderId="1" xfId="8" applyFont="1" applyBorder="1" applyAlignment="1" applyProtection="1">
      <alignment horizontal="right" vertical="center"/>
      <protection locked="0"/>
    </xf>
    <xf numFmtId="0" fontId="6" fillId="20" borderId="1" xfId="0" applyFont="1" applyFill="1" applyBorder="1" applyAlignment="1" applyProtection="1">
      <alignment horizontal="left" vertical="center"/>
      <protection locked="0"/>
    </xf>
    <xf numFmtId="0" fontId="6" fillId="20" borderId="1" xfId="0" applyFont="1" applyFill="1" applyBorder="1" applyAlignment="1" applyProtection="1">
      <alignment horizontal="justify" vertical="center" wrapText="1"/>
      <protection locked="0"/>
    </xf>
    <xf numFmtId="1" fontId="6" fillId="20" borderId="1" xfId="0" applyNumberFormat="1" applyFont="1" applyFill="1" applyBorder="1" applyAlignment="1" applyProtection="1">
      <alignment horizontal="left" vertical="center" wrapText="1"/>
      <protection locked="0"/>
    </xf>
    <xf numFmtId="1" fontId="6" fillId="20" borderId="1" xfId="0" applyNumberFormat="1" applyFont="1" applyFill="1" applyBorder="1" applyAlignment="1" applyProtection="1">
      <alignment horizontal="left" vertical="center"/>
      <protection locked="0"/>
    </xf>
    <xf numFmtId="165" fontId="6" fillId="20" borderId="1" xfId="51" applyFont="1" applyFill="1" applyBorder="1" applyAlignment="1" applyProtection="1">
      <alignment horizontal="right" vertical="center"/>
      <protection locked="0"/>
    </xf>
    <xf numFmtId="4" fontId="6" fillId="20" borderId="1" xfId="0" applyNumberFormat="1" applyFont="1" applyFill="1" applyBorder="1" applyAlignment="1" applyProtection="1">
      <alignment horizontal="left" vertical="center" wrapText="1"/>
      <protection locked="0"/>
    </xf>
    <xf numFmtId="0" fontId="6" fillId="20" borderId="1" xfId="0" applyFont="1" applyFill="1" applyBorder="1" applyAlignment="1" applyProtection="1">
      <alignment horizontal="left" vertical="center" wrapText="1"/>
      <protection locked="0"/>
    </xf>
    <xf numFmtId="0" fontId="6" fillId="20" borderId="1" xfId="27" applyFont="1" applyFill="1" applyBorder="1" applyAlignment="1">
      <alignment vertical="center"/>
    </xf>
    <xf numFmtId="0" fontId="6" fillId="20" borderId="1" xfId="1" applyNumberFormat="1" applyFont="1" applyFill="1" applyBorder="1" applyAlignment="1" applyProtection="1">
      <alignment horizontal="right" vertical="center"/>
      <protection locked="0"/>
    </xf>
    <xf numFmtId="164" fontId="6" fillId="20" borderId="1" xfId="1" applyFont="1" applyFill="1" applyBorder="1" applyAlignment="1" applyProtection="1">
      <alignment horizontal="left" vertical="center"/>
      <protection locked="0"/>
    </xf>
    <xf numFmtId="0" fontId="6" fillId="20" borderId="3" xfId="0" applyFont="1" applyFill="1" applyBorder="1" applyAlignment="1" applyProtection="1">
      <alignment horizontal="left" vertical="center"/>
      <protection locked="0"/>
    </xf>
    <xf numFmtId="0" fontId="6" fillId="20" borderId="3" xfId="0" applyFont="1" applyFill="1" applyBorder="1" applyAlignment="1" applyProtection="1">
      <alignment horizontal="justify" vertical="center" wrapText="1"/>
      <protection locked="0"/>
    </xf>
    <xf numFmtId="1" fontId="6" fillId="20" borderId="3" xfId="0" applyNumberFormat="1" applyFont="1" applyFill="1" applyBorder="1" applyAlignment="1" applyProtection="1">
      <alignment horizontal="left" vertical="center" wrapText="1"/>
      <protection locked="0"/>
    </xf>
    <xf numFmtId="1" fontId="6" fillId="20" borderId="3" xfId="0" applyNumberFormat="1" applyFont="1" applyFill="1" applyBorder="1" applyAlignment="1" applyProtection="1">
      <alignment horizontal="left" vertical="center"/>
      <protection locked="0"/>
    </xf>
    <xf numFmtId="165" fontId="6" fillId="20" borderId="3" xfId="51" applyFont="1" applyFill="1" applyBorder="1" applyAlignment="1" applyProtection="1">
      <alignment horizontal="right" vertical="center"/>
      <protection locked="0"/>
    </xf>
    <xf numFmtId="4" fontId="6" fillId="20" borderId="3" xfId="0" applyNumberFormat="1" applyFont="1" applyFill="1" applyBorder="1" applyAlignment="1" applyProtection="1">
      <alignment horizontal="left" vertical="center" wrapText="1"/>
      <protection locked="0"/>
    </xf>
    <xf numFmtId="0" fontId="6" fillId="20" borderId="3" xfId="1" applyNumberFormat="1" applyFont="1" applyFill="1" applyBorder="1" applyAlignment="1" applyProtection="1">
      <alignment horizontal="right" vertical="center"/>
      <protection locked="0"/>
    </xf>
    <xf numFmtId="164" fontId="6" fillId="20" borderId="3" xfId="1" applyFont="1" applyFill="1" applyBorder="1" applyAlignment="1" applyProtection="1">
      <alignment horizontal="left" vertical="center"/>
      <protection locked="0"/>
    </xf>
    <xf numFmtId="1" fontId="56" fillId="0" borderId="16" xfId="0" applyNumberFormat="1" applyFont="1" applyBorder="1" applyAlignment="1">
      <alignment horizontal="center" vertical="center" wrapText="1"/>
    </xf>
    <xf numFmtId="0" fontId="0" fillId="20" borderId="1" xfId="0" applyFill="1" applyBorder="1" applyAlignment="1" applyProtection="1">
      <alignment horizontal="left" vertical="center"/>
      <protection locked="0"/>
    </xf>
    <xf numFmtId="0" fontId="0" fillId="20" borderId="1" xfId="0" applyFill="1" applyBorder="1" applyAlignment="1" applyProtection="1">
      <alignment horizontal="justify" vertical="center" wrapText="1"/>
      <protection locked="0"/>
    </xf>
    <xf numFmtId="1" fontId="0" fillId="20" borderId="1" xfId="0" applyNumberFormat="1" applyFill="1" applyBorder="1" applyAlignment="1" applyProtection="1">
      <alignment horizontal="left" vertical="center"/>
      <protection locked="0"/>
    </xf>
    <xf numFmtId="1" fontId="0" fillId="20" borderId="1" xfId="0" applyNumberFormat="1" applyFill="1" applyBorder="1" applyAlignment="1" applyProtection="1">
      <alignment horizontal="left" vertical="center" wrapText="1"/>
      <protection locked="0"/>
    </xf>
    <xf numFmtId="165" fontId="0" fillId="20" borderId="1" xfId="51" applyFont="1" applyFill="1" applyBorder="1" applyAlignment="1" applyProtection="1">
      <alignment horizontal="right" vertical="center"/>
      <protection locked="0"/>
    </xf>
    <xf numFmtId="4" fontId="0" fillId="20" borderId="1" xfId="0" applyNumberFormat="1" applyFill="1" applyBorder="1" applyAlignment="1" applyProtection="1">
      <alignment horizontal="left" vertical="center" wrapText="1"/>
      <protection locked="0"/>
    </xf>
    <xf numFmtId="0" fontId="0" fillId="20" borderId="1" xfId="0" applyFill="1" applyBorder="1" applyAlignment="1" applyProtection="1">
      <alignment horizontal="left" vertical="center" wrapText="1"/>
      <protection locked="0"/>
    </xf>
    <xf numFmtId="0" fontId="0" fillId="20" borderId="1" xfId="27" applyFont="1" applyFill="1" applyBorder="1" applyAlignment="1">
      <alignment vertical="center"/>
    </xf>
    <xf numFmtId="0" fontId="0" fillId="20" borderId="1" xfId="1" applyNumberFormat="1" applyFont="1" applyFill="1" applyBorder="1" applyAlignment="1" applyProtection="1">
      <alignment horizontal="right" vertical="center"/>
      <protection locked="0"/>
    </xf>
    <xf numFmtId="164" fontId="0" fillId="20" borderId="1" xfId="1" applyFont="1" applyFill="1" applyBorder="1" applyAlignment="1" applyProtection="1">
      <alignment horizontal="left" vertical="center"/>
      <protection locked="0"/>
    </xf>
    <xf numFmtId="1" fontId="0" fillId="20" borderId="1" xfId="0" applyNumberFormat="1" applyFill="1" applyBorder="1" applyAlignment="1">
      <alignment horizontal="left" vertical="center" wrapText="1"/>
    </xf>
    <xf numFmtId="49" fontId="0" fillId="20" borderId="1" xfId="0" applyNumberFormat="1" applyFill="1" applyBorder="1" applyAlignment="1" applyProtection="1">
      <alignment horizontal="left" vertical="center" wrapText="1"/>
      <protection locked="0"/>
    </xf>
    <xf numFmtId="0" fontId="38" fillId="20" borderId="1" xfId="0" applyFont="1" applyFill="1" applyBorder="1" applyAlignment="1" applyProtection="1">
      <alignment horizontal="left" vertical="center" wrapText="1"/>
      <protection locked="0"/>
    </xf>
    <xf numFmtId="169" fontId="23" fillId="20" borderId="1" xfId="27" applyNumberFormat="1" applyFont="1" applyFill="1" applyBorder="1" applyAlignment="1" applyProtection="1">
      <alignment vertical="center"/>
      <protection locked="0"/>
    </xf>
    <xf numFmtId="0" fontId="0" fillId="20" borderId="1" xfId="0" applyFill="1" applyBorder="1" applyAlignment="1">
      <alignment horizontal="left" vertical="center" wrapText="1"/>
    </xf>
    <xf numFmtId="0" fontId="0" fillId="20" borderId="3" xfId="0" applyFill="1" applyBorder="1" applyAlignment="1" applyProtection="1">
      <alignment horizontal="left" vertical="center"/>
      <protection locked="0"/>
    </xf>
    <xf numFmtId="1" fontId="0" fillId="20" borderId="3" xfId="0" applyNumberFormat="1" applyFill="1" applyBorder="1" applyAlignment="1">
      <alignment horizontal="left" vertical="center" wrapText="1"/>
    </xf>
    <xf numFmtId="1" fontId="0" fillId="20" borderId="3" xfId="0" applyNumberFormat="1" applyFill="1" applyBorder="1" applyAlignment="1" applyProtection="1">
      <alignment horizontal="left" vertical="center" wrapText="1"/>
      <protection locked="0"/>
    </xf>
    <xf numFmtId="165" fontId="0" fillId="20" borderId="3" xfId="51" applyFont="1" applyFill="1" applyBorder="1" applyAlignment="1" applyProtection="1">
      <alignment horizontal="right" vertical="center"/>
      <protection locked="0"/>
    </xf>
    <xf numFmtId="0" fontId="0" fillId="20" borderId="3" xfId="0" applyFill="1" applyBorder="1" applyAlignment="1" applyProtection="1">
      <alignment horizontal="left" vertical="center" wrapText="1"/>
      <protection locked="0"/>
    </xf>
    <xf numFmtId="49" fontId="0" fillId="20" borderId="3" xfId="0" applyNumberFormat="1" applyFill="1" applyBorder="1" applyAlignment="1" applyProtection="1">
      <alignment horizontal="left" vertical="center" wrapText="1"/>
      <protection locked="0"/>
    </xf>
    <xf numFmtId="0" fontId="38" fillId="20" borderId="3" xfId="0" applyFont="1" applyFill="1" applyBorder="1" applyAlignment="1" applyProtection="1">
      <alignment horizontal="left" vertical="center" wrapText="1"/>
      <protection locked="0"/>
    </xf>
    <xf numFmtId="0" fontId="0" fillId="20" borderId="3" xfId="1" applyNumberFormat="1" applyFont="1" applyFill="1" applyBorder="1" applyAlignment="1" applyProtection="1">
      <alignment horizontal="right" vertical="center"/>
      <protection locked="0"/>
    </xf>
    <xf numFmtId="164" fontId="0" fillId="20" borderId="3" xfId="1" applyFont="1" applyFill="1" applyBorder="1" applyAlignment="1" applyProtection="1">
      <alignment horizontal="left" vertical="center"/>
      <protection locked="0"/>
    </xf>
    <xf numFmtId="0" fontId="6" fillId="20" borderId="3" xfId="27" applyFont="1" applyFill="1" applyBorder="1" applyAlignment="1">
      <alignment vertical="center"/>
    </xf>
    <xf numFmtId="0" fontId="5" fillId="20" borderId="1" xfId="27" applyFill="1" applyBorder="1" applyAlignment="1">
      <alignment vertical="center"/>
    </xf>
    <xf numFmtId="0" fontId="0" fillId="20" borderId="3" xfId="0" applyFill="1" applyBorder="1" applyAlignment="1" applyProtection="1">
      <alignment horizontal="justify" vertical="center" wrapText="1"/>
      <protection locked="0"/>
    </xf>
    <xf numFmtId="0" fontId="23" fillId="20" borderId="1" xfId="27" applyFont="1" applyFill="1" applyBorder="1" applyAlignment="1">
      <alignment vertical="center"/>
    </xf>
    <xf numFmtId="14" fontId="34" fillId="11" borderId="4" xfId="1" applyNumberFormat="1" applyFont="1" applyFill="1" applyBorder="1" applyAlignment="1" applyProtection="1">
      <alignment horizontal="center" vertical="center" wrapText="1"/>
      <protection locked="0"/>
    </xf>
    <xf numFmtId="0" fontId="33" fillId="0" borderId="1" xfId="0" applyFont="1" applyBorder="1" applyAlignment="1">
      <alignment horizontal="justify" vertical="top" wrapText="1"/>
    </xf>
    <xf numFmtId="44" fontId="0" fillId="0" borderId="0" xfId="0" applyNumberFormat="1"/>
    <xf numFmtId="169" fontId="6" fillId="20" borderId="1" xfId="27" applyNumberFormat="1" applyFont="1" applyFill="1" applyBorder="1" applyAlignment="1" applyProtection="1">
      <alignment vertical="center"/>
      <protection locked="0"/>
    </xf>
    <xf numFmtId="0" fontId="37" fillId="19" borderId="1" xfId="0" applyFont="1" applyFill="1" applyBorder="1" applyAlignment="1">
      <alignment vertical="center" wrapText="1"/>
    </xf>
    <xf numFmtId="0" fontId="5" fillId="0" borderId="1" xfId="27" applyBorder="1" applyAlignment="1">
      <alignment vertical="center"/>
    </xf>
    <xf numFmtId="164" fontId="0" fillId="0" borderId="1" xfId="1" applyFont="1" applyFill="1" applyBorder="1" applyAlignment="1" applyProtection="1">
      <alignment horizontal="center" vertical="center" wrapText="1"/>
      <protection locked="0"/>
    </xf>
    <xf numFmtId="1" fontId="57" fillId="0" borderId="16" xfId="0" applyNumberFormat="1" applyFont="1" applyBorder="1" applyAlignment="1">
      <alignment horizontal="center" vertical="center" wrapText="1"/>
    </xf>
    <xf numFmtId="1" fontId="56" fillId="0" borderId="16" xfId="0" applyNumberFormat="1" applyFont="1" applyBorder="1" applyAlignment="1">
      <alignment horizontal="center" vertical="center"/>
    </xf>
    <xf numFmtId="164" fontId="9" fillId="11" borderId="1" xfId="52" applyNumberFormat="1" applyFill="1" applyBorder="1" applyAlignment="1">
      <alignment horizontal="left" vertical="center" wrapText="1"/>
    </xf>
    <xf numFmtId="164" fontId="9" fillId="11" borderId="1" xfId="52" applyNumberFormat="1" applyFill="1" applyBorder="1" applyAlignment="1">
      <alignment horizontal="left" wrapText="1"/>
    </xf>
    <xf numFmtId="164" fontId="58" fillId="11" borderId="1" xfId="12" applyNumberFormat="1" applyFont="1" applyFill="1" applyBorder="1" applyAlignment="1">
      <alignment horizontal="left" wrapText="1"/>
    </xf>
    <xf numFmtId="0" fontId="0" fillId="21" borderId="1" xfId="0" applyFill="1" applyBorder="1" applyAlignment="1" applyProtection="1">
      <alignment horizontal="left" vertical="center"/>
      <protection locked="0"/>
    </xf>
    <xf numFmtId="0" fontId="6" fillId="21" borderId="1" xfId="0" applyFont="1" applyFill="1" applyBorder="1" applyAlignment="1" applyProtection="1">
      <alignment horizontal="justify" vertical="center" wrapText="1"/>
      <protection locked="0"/>
    </xf>
    <xf numFmtId="1" fontId="0" fillId="21" borderId="1" xfId="0" applyNumberFormat="1" applyFill="1" applyBorder="1" applyAlignment="1">
      <alignment horizontal="left" vertical="center" wrapText="1"/>
    </xf>
    <xf numFmtId="1" fontId="0" fillId="21" borderId="1" xfId="0" applyNumberFormat="1" applyFill="1" applyBorder="1" applyAlignment="1" applyProtection="1">
      <alignment horizontal="left" vertical="center" wrapText="1"/>
      <protection locked="0"/>
    </xf>
    <xf numFmtId="165" fontId="0" fillId="21" borderId="1" xfId="51" applyFont="1" applyFill="1" applyBorder="1" applyAlignment="1" applyProtection="1">
      <alignment horizontal="right" vertical="center"/>
      <protection locked="0"/>
    </xf>
    <xf numFmtId="0" fontId="0" fillId="21" borderId="1" xfId="0" applyFill="1" applyBorder="1" applyAlignment="1" applyProtection="1">
      <alignment horizontal="left" vertical="center" wrapText="1"/>
      <protection locked="0"/>
    </xf>
    <xf numFmtId="49" fontId="0" fillId="21" borderId="1" xfId="0" applyNumberFormat="1" applyFill="1" applyBorder="1" applyAlignment="1" applyProtection="1">
      <alignment horizontal="left" vertical="center" wrapText="1"/>
      <protection locked="0"/>
    </xf>
    <xf numFmtId="0" fontId="38" fillId="21" borderId="1" xfId="0" applyFont="1" applyFill="1" applyBorder="1" applyAlignment="1" applyProtection="1">
      <alignment horizontal="left" vertical="center" wrapText="1"/>
      <protection locked="0"/>
    </xf>
    <xf numFmtId="0" fontId="6" fillId="21" borderId="1" xfId="0" applyFont="1" applyFill="1" applyBorder="1" applyAlignment="1" applyProtection="1">
      <alignment horizontal="left" vertical="center"/>
      <protection locked="0"/>
    </xf>
    <xf numFmtId="169" fontId="23" fillId="21" borderId="1" xfId="27" applyNumberFormat="1" applyFont="1" applyFill="1" applyBorder="1" applyAlignment="1" applyProtection="1">
      <alignment vertical="center"/>
      <protection locked="0"/>
    </xf>
    <xf numFmtId="0" fontId="0" fillId="21" borderId="1" xfId="1" applyNumberFormat="1" applyFont="1" applyFill="1" applyBorder="1" applyAlignment="1" applyProtection="1">
      <alignment horizontal="right" vertical="center"/>
      <protection locked="0"/>
    </xf>
    <xf numFmtId="164" fontId="0" fillId="21" borderId="1" xfId="1" applyFont="1" applyFill="1" applyBorder="1" applyAlignment="1" applyProtection="1">
      <alignment horizontal="left" vertical="center"/>
      <protection locked="0"/>
    </xf>
    <xf numFmtId="0" fontId="0" fillId="21" borderId="1" xfId="0" applyFill="1" applyBorder="1" applyAlignment="1" applyProtection="1">
      <alignment horizontal="justify" vertical="center" wrapText="1"/>
      <protection locked="0"/>
    </xf>
    <xf numFmtId="1" fontId="0" fillId="21" borderId="1" xfId="0" applyNumberFormat="1" applyFill="1" applyBorder="1" applyAlignment="1" applyProtection="1">
      <alignment horizontal="left" vertical="center"/>
      <protection locked="0"/>
    </xf>
    <xf numFmtId="4" fontId="0" fillId="21" borderId="1" xfId="0" applyNumberFormat="1" applyFill="1" applyBorder="1" applyAlignment="1" applyProtection="1">
      <alignment horizontal="left" vertical="center" wrapText="1"/>
      <protection locked="0"/>
    </xf>
    <xf numFmtId="0" fontId="6" fillId="21" borderId="3" xfId="0" applyFont="1" applyFill="1" applyBorder="1" applyAlignment="1" applyProtection="1">
      <alignment horizontal="left" vertical="center"/>
      <protection locked="0"/>
    </xf>
    <xf numFmtId="0" fontId="6" fillId="21" borderId="3" xfId="27" applyFont="1" applyFill="1" applyBorder="1" applyAlignment="1">
      <alignment vertical="center"/>
    </xf>
    <xf numFmtId="0" fontId="0" fillId="21" borderId="1" xfId="27" applyFont="1" applyFill="1" applyBorder="1" applyAlignment="1">
      <alignment vertical="center"/>
    </xf>
    <xf numFmtId="0" fontId="0" fillId="21" borderId="3" xfId="0" applyFill="1" applyBorder="1" applyAlignment="1" applyProtection="1">
      <alignment horizontal="left" vertical="center"/>
      <protection locked="0"/>
    </xf>
    <xf numFmtId="0" fontId="0" fillId="21" borderId="3" xfId="0" applyFill="1" applyBorder="1" applyAlignment="1" applyProtection="1">
      <alignment horizontal="justify" vertical="center" wrapText="1"/>
      <protection locked="0"/>
    </xf>
    <xf numFmtId="1" fontId="0" fillId="21" borderId="3" xfId="0" applyNumberFormat="1" applyFill="1" applyBorder="1" applyAlignment="1" applyProtection="1">
      <alignment horizontal="left" vertical="center" wrapText="1"/>
      <protection locked="0"/>
    </xf>
    <xf numFmtId="4" fontId="0" fillId="21" borderId="3" xfId="0" applyNumberFormat="1" applyFill="1" applyBorder="1" applyAlignment="1" applyProtection="1">
      <alignment horizontal="left" vertical="center" wrapText="1"/>
      <protection locked="0"/>
    </xf>
    <xf numFmtId="0" fontId="37" fillId="0" borderId="3" xfId="0" applyFont="1" applyBorder="1" applyAlignment="1">
      <alignment vertical="center"/>
    </xf>
    <xf numFmtId="0" fontId="33" fillId="0" borderId="3" xfId="0" applyFont="1" applyBorder="1" applyAlignment="1">
      <alignment horizontal="right" vertical="center"/>
    </xf>
    <xf numFmtId="0" fontId="33" fillId="0" borderId="3" xfId="0" applyFont="1" applyBorder="1" applyAlignment="1">
      <alignment horizontal="center" vertical="center"/>
    </xf>
    <xf numFmtId="0" fontId="33" fillId="0" borderId="3" xfId="0" applyFont="1" applyBorder="1" applyAlignment="1">
      <alignment horizontal="justify" vertical="center" wrapText="1"/>
    </xf>
    <xf numFmtId="0" fontId="37" fillId="0" borderId="3" xfId="0" applyFont="1" applyBorder="1" applyAlignment="1">
      <alignment vertical="center" wrapText="1"/>
    </xf>
    <xf numFmtId="0" fontId="33" fillId="0" borderId="3" xfId="0" applyFont="1" applyBorder="1" applyAlignment="1">
      <alignment horizontal="left" vertical="center" wrapText="1"/>
    </xf>
    <xf numFmtId="165" fontId="33" fillId="0" borderId="3" xfId="51" applyFont="1" applyFill="1" applyBorder="1" applyAlignment="1">
      <alignment horizontal="right" vertical="center"/>
    </xf>
    <xf numFmtId="49" fontId="33" fillId="0" borderId="3" xfId="0" applyNumberFormat="1" applyFont="1" applyBorder="1" applyAlignment="1">
      <alignment horizontal="right" vertical="center"/>
    </xf>
    <xf numFmtId="49" fontId="33" fillId="12" borderId="3" xfId="0" applyNumberFormat="1" applyFont="1" applyFill="1" applyBorder="1" applyAlignment="1">
      <alignment horizontal="center" vertical="center" wrapText="1"/>
    </xf>
    <xf numFmtId="0" fontId="36" fillId="12" borderId="3" xfId="0" applyFont="1" applyFill="1" applyBorder="1" applyAlignment="1">
      <alignment vertical="center" wrapText="1"/>
    </xf>
    <xf numFmtId="0" fontId="33" fillId="12" borderId="3" xfId="0" applyFont="1" applyFill="1" applyBorder="1" applyAlignment="1">
      <alignment vertical="center" wrapText="1"/>
    </xf>
    <xf numFmtId="1" fontId="33" fillId="0" borderId="3" xfId="0" applyNumberFormat="1" applyFont="1" applyBorder="1" applyAlignment="1">
      <alignment vertical="center"/>
    </xf>
    <xf numFmtId="0" fontId="37" fillId="0" borderId="3" xfId="0" applyFont="1" applyBorder="1" applyAlignment="1">
      <alignment horizontal="right" vertical="center"/>
    </xf>
    <xf numFmtId="14" fontId="37" fillId="11" borderId="3" xfId="0" applyNumberFormat="1" applyFont="1" applyFill="1" applyBorder="1" applyAlignment="1">
      <alignment vertical="center"/>
    </xf>
    <xf numFmtId="164" fontId="33" fillId="11" borderId="3" xfId="0" applyNumberFormat="1" applyFont="1" applyFill="1" applyBorder="1" applyAlignment="1">
      <alignment horizontal="left" vertical="center" wrapText="1"/>
    </xf>
    <xf numFmtId="165" fontId="33" fillId="0" borderId="0" xfId="51" applyFont="1" applyBorder="1" applyAlignment="1">
      <alignment horizontal="right" vertical="center"/>
    </xf>
    <xf numFmtId="165" fontId="33" fillId="0" borderId="0" xfId="0" applyNumberFormat="1" applyFont="1" applyAlignment="1">
      <alignment horizontal="right" vertical="center"/>
    </xf>
    <xf numFmtId="0" fontId="33" fillId="0" borderId="3" xfId="0" applyFont="1" applyBorder="1" applyAlignment="1">
      <alignment horizontal="right" vertical="center" wrapText="1"/>
    </xf>
    <xf numFmtId="0" fontId="0" fillId="15" borderId="1" xfId="0" applyFill="1" applyBorder="1" applyAlignment="1" applyProtection="1">
      <alignment horizontal="left" vertical="center"/>
      <protection locked="0"/>
    </xf>
    <xf numFmtId="0" fontId="6" fillId="15" borderId="1" xfId="0" applyFont="1" applyFill="1" applyBorder="1" applyAlignment="1" applyProtection="1">
      <alignment horizontal="justify" vertical="center" wrapText="1"/>
      <protection locked="0"/>
    </xf>
    <xf numFmtId="1" fontId="0" fillId="15" borderId="1" xfId="0" applyNumberFormat="1" applyFill="1" applyBorder="1" applyAlignment="1">
      <alignment horizontal="left" vertical="center" wrapText="1"/>
    </xf>
    <xf numFmtId="1" fontId="0" fillId="15" borderId="1" xfId="0" applyNumberFormat="1" applyFill="1" applyBorder="1" applyAlignment="1" applyProtection="1">
      <alignment horizontal="left" vertical="center" wrapText="1"/>
      <protection locked="0"/>
    </xf>
    <xf numFmtId="165" fontId="0" fillId="15" borderId="1" xfId="51" applyFont="1" applyFill="1" applyBorder="1" applyAlignment="1" applyProtection="1">
      <alignment horizontal="right" vertical="center"/>
      <protection locked="0"/>
    </xf>
    <xf numFmtId="0" fontId="0" fillId="15" borderId="1" xfId="0" applyFill="1" applyBorder="1" applyAlignment="1" applyProtection="1">
      <alignment horizontal="left" vertical="center" wrapText="1"/>
      <protection locked="0"/>
    </xf>
    <xf numFmtId="49" fontId="0" fillId="15" borderId="1" xfId="0" applyNumberFormat="1" applyFill="1" applyBorder="1" applyAlignment="1" applyProtection="1">
      <alignment horizontal="left" vertical="center" wrapText="1"/>
      <protection locked="0"/>
    </xf>
    <xf numFmtId="0" fontId="38" fillId="15" borderId="1" xfId="0" applyFont="1" applyFill="1" applyBorder="1" applyAlignment="1" applyProtection="1">
      <alignment horizontal="left" vertical="center" wrapText="1"/>
      <protection locked="0"/>
    </xf>
    <xf numFmtId="0" fontId="6" fillId="15" borderId="1" xfId="0" applyFont="1" applyFill="1" applyBorder="1" applyAlignment="1" applyProtection="1">
      <alignment horizontal="left" vertical="center"/>
      <protection locked="0"/>
    </xf>
    <xf numFmtId="169" fontId="23" fillId="15" borderId="1" xfId="27" applyNumberFormat="1" applyFont="1" applyFill="1" applyBorder="1" applyAlignment="1" applyProtection="1">
      <alignment vertical="center"/>
      <protection locked="0"/>
    </xf>
    <xf numFmtId="0" fontId="0" fillId="15" borderId="1" xfId="1" applyNumberFormat="1" applyFont="1" applyFill="1" applyBorder="1" applyAlignment="1" applyProtection="1">
      <alignment horizontal="right" vertical="center"/>
      <protection locked="0"/>
    </xf>
    <xf numFmtId="164" fontId="0" fillId="15" borderId="1" xfId="1" applyFont="1" applyFill="1" applyBorder="1" applyAlignment="1" applyProtection="1">
      <alignment horizontal="left" vertical="center"/>
      <protection locked="0"/>
    </xf>
    <xf numFmtId="0" fontId="0" fillId="15" borderId="1" xfId="0" applyFill="1" applyBorder="1" applyAlignment="1" applyProtection="1">
      <alignment horizontal="justify" vertical="center" wrapText="1"/>
      <protection locked="0"/>
    </xf>
    <xf numFmtId="1" fontId="0" fillId="15" borderId="1" xfId="0" applyNumberFormat="1" applyFill="1" applyBorder="1" applyAlignment="1" applyProtection="1">
      <alignment horizontal="left" vertical="center"/>
      <protection locked="0"/>
    </xf>
    <xf numFmtId="4" fontId="0" fillId="15" borderId="1" xfId="0" applyNumberFormat="1" applyFill="1" applyBorder="1" applyAlignment="1" applyProtection="1">
      <alignment horizontal="left" vertical="center" wrapText="1"/>
      <protection locked="0"/>
    </xf>
    <xf numFmtId="0" fontId="0" fillId="15" borderId="3" xfId="0" applyFill="1" applyBorder="1" applyAlignment="1" applyProtection="1">
      <alignment horizontal="left" vertical="center"/>
      <protection locked="0"/>
    </xf>
    <xf numFmtId="0" fontId="0" fillId="15" borderId="3" xfId="0" applyFill="1" applyBorder="1" applyAlignment="1" applyProtection="1">
      <alignment horizontal="justify" vertical="center" wrapText="1"/>
      <protection locked="0"/>
    </xf>
    <xf numFmtId="1" fontId="0" fillId="15" borderId="3" xfId="0" applyNumberFormat="1" applyFill="1" applyBorder="1" applyAlignment="1" applyProtection="1">
      <alignment horizontal="left" vertical="center" wrapText="1"/>
      <protection locked="0"/>
    </xf>
    <xf numFmtId="4" fontId="0" fillId="15" borderId="3" xfId="0" applyNumberFormat="1" applyFill="1" applyBorder="1" applyAlignment="1" applyProtection="1">
      <alignment horizontal="left" vertical="center" wrapText="1"/>
      <protection locked="0"/>
    </xf>
    <xf numFmtId="0" fontId="0" fillId="15" borderId="1" xfId="27" applyFont="1" applyFill="1" applyBorder="1" applyAlignment="1">
      <alignment vertical="center"/>
    </xf>
    <xf numFmtId="14" fontId="37" fillId="11" borderId="1" xfId="1" applyNumberFormat="1" applyFont="1" applyFill="1" applyBorder="1" applyAlignment="1" applyProtection="1">
      <alignment horizontal="right" vertical="center" wrapText="1"/>
      <protection locked="0"/>
    </xf>
    <xf numFmtId="3" fontId="33" fillId="0" borderId="3" xfId="0" applyNumberFormat="1" applyFont="1" applyBorder="1" applyAlignment="1">
      <alignment horizontal="right" vertical="center"/>
    </xf>
    <xf numFmtId="0" fontId="52" fillId="0" borderId="3" xfId="0" applyFont="1" applyBorder="1" applyAlignment="1">
      <alignment horizontal="right" vertical="center"/>
    </xf>
    <xf numFmtId="176" fontId="33" fillId="13" borderId="3" xfId="0" applyNumberFormat="1" applyFont="1" applyFill="1" applyBorder="1" applyAlignment="1">
      <alignment horizontal="right" vertical="center"/>
    </xf>
    <xf numFmtId="166" fontId="33" fillId="13" borderId="3" xfId="8" applyFont="1" applyFill="1" applyBorder="1" applyAlignment="1">
      <alignment horizontal="right" vertical="center"/>
    </xf>
    <xf numFmtId="0" fontId="33" fillId="13" borderId="3" xfId="0" applyFont="1" applyFill="1" applyBorder="1" applyAlignment="1">
      <alignment horizontal="right" vertical="center"/>
    </xf>
    <xf numFmtId="3" fontId="33" fillId="13" borderId="3" xfId="0" applyNumberFormat="1" applyFont="1" applyFill="1" applyBorder="1" applyAlignment="1">
      <alignment horizontal="right" vertical="center"/>
    </xf>
    <xf numFmtId="164" fontId="1" fillId="0" borderId="1" xfId="1" applyFont="1" applyFill="1" applyBorder="1" applyAlignment="1" applyProtection="1">
      <alignment horizontal="center" vertical="center" wrapText="1"/>
      <protection locked="0"/>
    </xf>
    <xf numFmtId="0" fontId="1" fillId="0" borderId="1" xfId="0" applyFont="1" applyBorder="1" applyAlignment="1">
      <alignment horizontal="center" vertical="center"/>
    </xf>
    <xf numFmtId="1" fontId="1" fillId="0" borderId="1" xfId="0" applyNumberFormat="1" applyFont="1" applyBorder="1" applyAlignment="1">
      <alignment horizontal="center" vertical="center" wrapText="1"/>
    </xf>
    <xf numFmtId="0" fontId="1" fillId="0" borderId="3" xfId="0" applyFont="1" applyBorder="1" applyAlignment="1">
      <alignment horizontal="center" vertical="center"/>
    </xf>
    <xf numFmtId="172" fontId="33" fillId="0" borderId="1" xfId="8" applyNumberFormat="1" applyFont="1" applyBorder="1" applyAlignment="1" applyProtection="1">
      <alignment vertical="center"/>
      <protection locked="0"/>
    </xf>
    <xf numFmtId="1" fontId="45" fillId="0" borderId="17" xfId="0" applyNumberFormat="1" applyFont="1" applyBorder="1" applyAlignment="1">
      <alignment horizontal="center" vertical="center" wrapText="1"/>
    </xf>
    <xf numFmtId="1" fontId="45" fillId="0" borderId="18" xfId="0" applyNumberFormat="1" applyFont="1" applyBorder="1" applyAlignment="1">
      <alignment horizontal="center" vertical="center" wrapText="1"/>
    </xf>
    <xf numFmtId="1" fontId="45" fillId="0" borderId="19" xfId="0" applyNumberFormat="1" applyFont="1" applyBorder="1" applyAlignment="1">
      <alignment horizontal="center" vertical="center" wrapText="1"/>
    </xf>
    <xf numFmtId="0" fontId="59" fillId="12" borderId="1" xfId="1" applyNumberFormat="1" applyFont="1" applyFill="1" applyBorder="1" applyAlignment="1" applyProtection="1">
      <alignment vertical="center" wrapText="1"/>
      <protection locked="0"/>
    </xf>
    <xf numFmtId="0" fontId="60" fillId="12" borderId="1" xfId="1" applyNumberFormat="1" applyFont="1" applyFill="1" applyBorder="1" applyAlignment="1" applyProtection="1">
      <alignment vertical="center" wrapText="1"/>
      <protection locked="0"/>
    </xf>
    <xf numFmtId="0" fontId="33" fillId="0" borderId="0" xfId="0" applyNumberFormat="1" applyFont="1" applyAlignment="1">
      <alignment horizontal="center" vertical="center"/>
    </xf>
    <xf numFmtId="0" fontId="52" fillId="0" borderId="0" xfId="0" applyNumberFormat="1" applyFont="1" applyAlignment="1">
      <alignment horizontal="center" vertical="center"/>
    </xf>
    <xf numFmtId="0" fontId="33" fillId="0" borderId="0" xfId="0" applyNumberFormat="1" applyFont="1" applyAlignment="1">
      <alignment horizontal="right" vertical="center"/>
    </xf>
    <xf numFmtId="0" fontId="60" fillId="0" borderId="3" xfId="0" applyFont="1" applyBorder="1" applyAlignment="1">
      <alignment horizontal="right" vertical="center" wrapText="1"/>
    </xf>
    <xf numFmtId="0" fontId="33" fillId="0" borderId="3" xfId="0" applyFont="1" applyFill="1" applyBorder="1" applyAlignment="1">
      <alignment horizontal="right" vertical="center"/>
    </xf>
    <xf numFmtId="0" fontId="33" fillId="0" borderId="3" xfId="0" applyFont="1" applyFill="1" applyBorder="1" applyAlignment="1">
      <alignment horizontal="center" vertical="center"/>
    </xf>
    <xf numFmtId="49" fontId="60" fillId="12" borderId="1" xfId="1" applyNumberFormat="1" applyFont="1" applyFill="1" applyBorder="1" applyAlignment="1" applyProtection="1">
      <alignment horizontal="center" vertical="center" wrapText="1"/>
      <protection locked="0"/>
    </xf>
    <xf numFmtId="1" fontId="61" fillId="0" borderId="16" xfId="0" applyNumberFormat="1" applyFont="1" applyBorder="1" applyAlignment="1">
      <alignment horizontal="center" vertical="center"/>
    </xf>
    <xf numFmtId="0" fontId="19" fillId="0" borderId="0" xfId="0" applyFont="1" applyAlignment="1" applyProtection="1">
      <alignment horizontal="center" vertical="center" wrapText="1"/>
      <protection locked="0"/>
    </xf>
    <xf numFmtId="0" fontId="19" fillId="0" borderId="7" xfId="0" applyFont="1" applyBorder="1" applyAlignment="1" applyProtection="1">
      <alignment horizontal="center" vertical="center" wrapText="1"/>
      <protection locked="0"/>
    </xf>
  </cellXfs>
  <cellStyles count="106">
    <cellStyle name="BodyStyle" xfId="4"/>
    <cellStyle name="Currency" xfId="47"/>
    <cellStyle name="Currency 2" xfId="86"/>
    <cellStyle name="HeaderStyle" xfId="6"/>
    <cellStyle name="Hipervínculo" xfId="12" builtinId="8"/>
    <cellStyle name="Hyperlink" xfId="52"/>
    <cellStyle name="Millares" xfId="8" builtinId="3"/>
    <cellStyle name="Millares [0]" xfId="1" builtinId="6"/>
    <cellStyle name="Millares [0] 2" xfId="9"/>
    <cellStyle name="Millares [0] 2 2" xfId="17"/>
    <cellStyle name="Millares [0] 2 2 2" xfId="41"/>
    <cellStyle name="Millares [0] 2 2 2 2" xfId="81"/>
    <cellStyle name="Millares [0] 2 2 3" xfId="62"/>
    <cellStyle name="Millares [0] 2 3" xfId="35"/>
    <cellStyle name="Millares [0] 2 3 2" xfId="75"/>
    <cellStyle name="Millares [0] 2 4" xfId="56"/>
    <cellStyle name="Millares [0] 2 5" xfId="101"/>
    <cellStyle name="Millares [0] 3" xfId="14"/>
    <cellStyle name="Millares [0] 3 2" xfId="18"/>
    <cellStyle name="Millares [0] 3 2 2" xfId="42"/>
    <cellStyle name="Millares [0] 3 2 2 2" xfId="82"/>
    <cellStyle name="Millares [0] 3 2 3" xfId="63"/>
    <cellStyle name="Millares [0] 3 3" xfId="38"/>
    <cellStyle name="Millares [0] 3 3 2" xfId="78"/>
    <cellStyle name="Millares [0] 3 4" xfId="59"/>
    <cellStyle name="Millares [0] 4" xfId="15"/>
    <cellStyle name="Millares [0] 4 2" xfId="39"/>
    <cellStyle name="Millares [0] 4 2 2" xfId="79"/>
    <cellStyle name="Millares [0] 4 3" xfId="60"/>
    <cellStyle name="Millares [0] 5" xfId="29"/>
    <cellStyle name="Millares [0] 5 2" xfId="70"/>
    <cellStyle name="Millares [0] 6" xfId="53"/>
    <cellStyle name="Millares [0] 7" xfId="95"/>
    <cellStyle name="Millares 16" xfId="28"/>
    <cellStyle name="Millares 16 2" xfId="69"/>
    <cellStyle name="Millares 16 2 2" xfId="103"/>
    <cellStyle name="Millares 16 3" xfId="98"/>
    <cellStyle name="Millares 2" xfId="16"/>
    <cellStyle name="Millares 2 2" xfId="22"/>
    <cellStyle name="Millares 2 2 2" xfId="45"/>
    <cellStyle name="Millares 2 2 2 2" xfId="85"/>
    <cellStyle name="Millares 2 2 3" xfId="65"/>
    <cellStyle name="Millares 2 3" xfId="40"/>
    <cellStyle name="Millares 2 3 2" xfId="80"/>
    <cellStyle name="Millares 2 4" xfId="61"/>
    <cellStyle name="Millares 3" xfId="33"/>
    <cellStyle name="Millares 3 2" xfId="73"/>
    <cellStyle name="Millares 4" xfId="20"/>
    <cellStyle name="Millares 4 2" xfId="43"/>
    <cellStyle name="Millares 4 2 2" xfId="83"/>
    <cellStyle name="Millares 4 3" xfId="64"/>
    <cellStyle name="Millares 5" xfId="44"/>
    <cellStyle name="Millares 5 2" xfId="84"/>
    <cellStyle name="Millares 6" xfId="55"/>
    <cellStyle name="Millares 7" xfId="91"/>
    <cellStyle name="Millares 8" xfId="92"/>
    <cellStyle name="Moneda" xfId="51" builtinId="4"/>
    <cellStyle name="Moneda [0] 2" xfId="23"/>
    <cellStyle name="Moneda [0] 2 2" xfId="66"/>
    <cellStyle name="Moneda 10" xfId="105"/>
    <cellStyle name="Moneda 11" xfId="96"/>
    <cellStyle name="Moneda 2" xfId="3"/>
    <cellStyle name="Moneda 2 2" xfId="10"/>
    <cellStyle name="Moneda 2 2 2" xfId="36"/>
    <cellStyle name="Moneda 2 2 2 2" xfId="76"/>
    <cellStyle name="Moneda 2 2 3" xfId="57"/>
    <cellStyle name="Moneda 2 2 4" xfId="102"/>
    <cellStyle name="Moneda 2 3" xfId="24"/>
    <cellStyle name="Moneda 2 3 2" xfId="67"/>
    <cellStyle name="Moneda 2 4" xfId="31"/>
    <cellStyle name="Moneda 2 4 2" xfId="71"/>
    <cellStyle name="Moneda 2 5" xfId="54"/>
    <cellStyle name="Moneda 2 6" xfId="97"/>
    <cellStyle name="Moneda 3" xfId="11"/>
    <cellStyle name="Moneda 3 2" xfId="21"/>
    <cellStyle name="Moneda 3 3" xfId="37"/>
    <cellStyle name="Moneda 3 3 2" xfId="77"/>
    <cellStyle name="Moneda 3 4" xfId="58"/>
    <cellStyle name="Moneda 3 5" xfId="104"/>
    <cellStyle name="Moneda 4" xfId="34"/>
    <cellStyle name="Moneda 4 2" xfId="74"/>
    <cellStyle name="Moneda 5" xfId="32"/>
    <cellStyle name="Moneda 5 2" xfId="72"/>
    <cellStyle name="Moneda 6" xfId="88"/>
    <cellStyle name="Moneda 7" xfId="93"/>
    <cellStyle name="Moneda 8" xfId="90"/>
    <cellStyle name="Moneda 9" xfId="100"/>
    <cellStyle name="Normal" xfId="0" builtinId="0"/>
    <cellStyle name="Normal 11" xfId="27"/>
    <cellStyle name="Normal 11 2" xfId="68"/>
    <cellStyle name="Normal 11 2 2 2 3" xfId="94"/>
    <cellStyle name="Normal 11 3" xfId="99"/>
    <cellStyle name="Normal 11 8" xfId="50"/>
    <cellStyle name="Normal 11 8 2" xfId="87"/>
    <cellStyle name="Normal 2" xfId="2"/>
    <cellStyle name="Normal 2 2" xfId="19"/>
    <cellStyle name="Normal 2 3" xfId="30"/>
    <cellStyle name="Normal 21" xfId="49"/>
    <cellStyle name="Normal 3" xfId="25"/>
    <cellStyle name="Normal 4" xfId="13"/>
    <cellStyle name="Normal 5" xfId="26"/>
    <cellStyle name="Normal 5 2" xfId="46"/>
    <cellStyle name="Normal 6" xfId="5"/>
    <cellStyle name="Normal 7" xfId="48"/>
    <cellStyle name="Numeric" xfId="7"/>
    <cellStyle name="Porcentaje 2" xfId="89"/>
  </cellStyles>
  <dxfs count="517">
    <dxf>
      <numFmt numFmtId="0" formatCode="General"/>
    </dxf>
    <dxf>
      <alignment horizontal="general" vertical="center" textRotation="0" wrapText="0" indent="0" justifyLastLine="0" shrinkToFit="0" readingOrder="0"/>
    </dxf>
    <dxf>
      <alignment horizontal="general" vertical="center" textRotation="0" wrapText="0" indent="0" justifyLastLine="0" shrinkToFit="0" readingOrder="0"/>
    </dxf>
    <dxf>
      <numFmt numFmtId="0" formatCode="General"/>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alignment horizontal="general" vertical="center" textRotation="0" indent="0" justifyLastLine="0" shrinkToFit="0" readingOrder="0"/>
    </dxf>
    <dxf>
      <border outline="0">
        <top style="thin">
          <color theme="4" tint="0.39997558519241921"/>
        </top>
      </border>
    </dxf>
    <dxf>
      <alignment horizontal="general" vertical="center" textRotation="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scheme val="minor"/>
      </font>
      <fill>
        <patternFill patternType="solid">
          <fgColor theme="4"/>
          <bgColor theme="4"/>
        </patternFill>
      </fill>
    </dxf>
    <dxf>
      <numFmt numFmtId="0" formatCode="General"/>
    </dxf>
    <dxf>
      <numFmt numFmtId="27" formatCode="d/mm/yyyy\ h:mm"/>
    </dxf>
    <dxf>
      <numFmt numFmtId="27" formatCode="d/mm/yyyy\ h:mm"/>
    </dxf>
    <dxf>
      <numFmt numFmtId="27" formatCode="d/mm/yyyy\ h:mm"/>
    </dxf>
    <dxf>
      <numFmt numFmtId="0" formatCode="General"/>
    </dxf>
    <dxf>
      <numFmt numFmtId="0" formatCode="Genera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92D05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numFmt numFmtId="34" formatCode="_-&quot;$&quot;\ * #,##0.00_-;\-&quot;$&quot;\ * #,##0.00_-;_-&quot;$&quot;\ * &quot;-&quot;??_-;_-@_-"/>
    </dxf>
    <dxf>
      <numFmt numFmtId="0" formatCode="General"/>
    </dxf>
    <dxf>
      <font>
        <b val="0"/>
        <i val="0"/>
        <strike val="0"/>
        <condense val="0"/>
        <extend val="0"/>
        <outline val="0"/>
        <shadow val="0"/>
        <u val="none"/>
        <vertAlign val="baseline"/>
        <sz val="11"/>
        <color theme="1"/>
        <name val="Calibri"/>
        <scheme val="minor"/>
      </font>
    </dxf>
    <dxf>
      <font>
        <b val="0"/>
        <i val="0"/>
        <strike val="0"/>
        <condense val="0"/>
        <extend val="0"/>
        <outline val="0"/>
        <shadow val="0"/>
        <u val="none"/>
        <vertAlign val="baseline"/>
        <sz val="11"/>
        <color theme="1"/>
        <name val="Calibri"/>
        <scheme val="minor"/>
      </font>
    </dxf>
    <dxf>
      <numFmt numFmtId="2" formatCode="0.00"/>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font>
        <b/>
        <i val="0"/>
        <strike val="0"/>
        <condense val="0"/>
        <extend val="0"/>
        <outline val="0"/>
        <shadow val="0"/>
        <u val="none"/>
        <vertAlign val="baseline"/>
        <sz val="11"/>
        <color auto="1"/>
        <name val="Calibri"/>
        <scheme val="none"/>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border diagonalUp="0" diagonalDown="0">
        <left style="thin">
          <color indexed="64"/>
        </left>
        <right style="thin">
          <color indexed="64"/>
        </right>
        <top style="thin">
          <color indexed="64"/>
        </top>
        <bottom style="thin">
          <color indexed="64"/>
        </bottom>
        <vertical/>
        <horizontal/>
      </border>
    </dxf>
    <dxf>
      <numFmt numFmtId="30" formatCode="@"/>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scheme val="minor"/>
      </font>
      <border diagonalUp="0" diagonalDown="0">
        <left style="thin">
          <color indexed="64"/>
        </left>
        <right style="thin">
          <color indexed="64"/>
        </right>
        <top style="thin">
          <color indexed="64"/>
        </top>
        <bottom style="thin">
          <color indexed="64"/>
        </bottom>
        <vertical/>
        <horizontal/>
      </border>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scheme val="minor"/>
      </font>
      <border diagonalUp="0" diagonalDown="0" outline="0">
        <left style="thin">
          <color indexed="64"/>
        </left>
        <right style="thin">
          <color indexed="64"/>
        </right>
        <top/>
        <bottom/>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numFmt numFmtId="0" formatCode="General"/>
      <alignment vertical="center" textRotation="0" indent="0" justifyLastLine="0" shrinkToFit="0" readingOrder="0"/>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dxf>
    <dxf>
      <numFmt numFmtId="165" formatCode="_(&quot;$&quot;* #,##0.00_);_(&quot;$&quot;* \(#,##0.00\);_(&quot;$&quot;* &quot;-&quot;??_);_(@_)"/>
      <alignment vertical="center" textRotation="0" indent="0" justifyLastLine="0" shrinkToFit="0" readingOrder="0"/>
    </dxf>
    <dxf>
      <font>
        <b val="0"/>
        <i val="0"/>
        <strike val="0"/>
        <condense val="0"/>
        <extend val="0"/>
        <outline val="0"/>
        <shadow val="0"/>
        <u val="none"/>
        <vertAlign val="baseline"/>
        <sz val="12"/>
        <color theme="1"/>
        <name val="Arial"/>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4"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9" formatCode="d/mm/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9" formatCode="d/mm/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6"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176" formatCode="m/d/yyyy"/>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2" formatCode="0.00"/>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numFmt numFmtId="0" formatCode="General"/>
      <alignment horizontal="right" vertical="center" textRotation="0" wrapText="0" indent="0" justifyLastLine="0" shrinkToFit="0" readingOrder="0"/>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1"/>
        <color theme="1"/>
        <name val="Calibri"/>
        <scheme val="minor"/>
      </font>
      <alignment horizontal="center"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vertical="center" textRotation="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64" formatCode="_(* #,##0_);_(* \(#,##0\);_(* &quot;-&quot;_);_(@_)"/>
      <fill>
        <patternFill patternType="solid">
          <fgColor indexed="64"/>
          <bgColor rgb="FFFFFF00"/>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64" formatCode="_(* #,##0_);_(* \(#,##0\);_(* &quot;-&quot;_);_(@_)"/>
      <fill>
        <patternFill patternType="solid">
          <fgColor indexed="64"/>
          <bgColor rgb="FFFFFF00"/>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numFmt numFmtId="19"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78" formatCode="d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numFmt numFmtId="175" formatCode="d/mm/yyyy;@"/>
      <fill>
        <patternFill patternType="solid">
          <fgColor indexed="64"/>
          <bgColor rgb="FFFFFF00"/>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numFmt numFmtId="175" formatCode="d/mm/yyyy;@"/>
      <fill>
        <patternFill patternType="solid">
          <fgColor indexed="64"/>
          <bgColor rgb="FFFFFF0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Calibri"/>
        <scheme val="minor"/>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right" vertical="center" textRotation="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 formatCode="#,##0"/>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 formatCode="#,##0"/>
      <fill>
        <patternFill>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66"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66" formatCode="_(* #,##0.00_);_(* \(#,##0.00\);_(* &quot;-&quot;??_);_(@_)"/>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76" formatCode="m/d/yyyy"/>
      <fill>
        <patternFill patternType="solid">
          <fgColor indexed="64"/>
          <bgColor rgb="FF92D05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1" formatCode="0"/>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fill>
        <patternFill patternType="solid">
          <fgColor indexed="64"/>
          <bgColor rgb="FFFFC00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0" formatCode="General"/>
      <fill>
        <patternFill patternType="solid">
          <fgColor indexed="64"/>
          <bgColor rgb="FFFFC000"/>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fill>
        <patternFill patternType="solid">
          <fgColor indexed="64"/>
          <bgColor rgb="FFFFC000"/>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30" formatCode="@"/>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numFmt numFmtId="165" formatCode="_(&quot;$&quot;* #,##0.00_);_(&quot;$&quot;* \(#,##0.00\);_(&quot;$&quot;* &quot;-&quot;??_);_(@_)"/>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Calibri"/>
        <scheme val="minor"/>
      </font>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font>
      <numFmt numFmtId="4" formatCode="#,##0.00"/>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2"/>
        <color theme="1"/>
        <name val="Arial"/>
        <scheme val="none"/>
      </font>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theme="1"/>
        <name val="Arial"/>
        <scheme val="none"/>
      </font>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theme="1"/>
        <name val="Arial"/>
        <scheme val="none"/>
      </font>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theme="1"/>
        <name val="Arial"/>
        <scheme val="none"/>
      </font>
      <alignment horizontal="center" vertical="center" textRotation="0" wrapText="0" indent="0" justifyLastLine="0" shrinkToFit="0" readingOrder="0"/>
    </dxf>
    <dxf>
      <border outline="0">
        <top style="thin">
          <color indexed="64"/>
        </top>
      </border>
    </dxf>
    <dxf>
      <alignment vertical="center" textRotation="0" indent="0" justifyLastLine="0" shrinkToFit="0" readingOrder="0"/>
    </dxf>
    <dxf>
      <border outline="0">
        <bottom style="thin">
          <color indexed="64"/>
        </bottom>
      </border>
    </dxf>
    <dxf>
      <alignment horizontal="center" vertical="center" textRotation="0" indent="0" justifyLastLine="0" shrinkToFit="0" readingOrder="0"/>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64" formatCode="_(* #,##0_);_(* \(#,##0\);_(* &quot;-&quot;_);_(@_)"/>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64"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164"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0" formatCode="General"/>
      <fill>
        <patternFill patternType="none">
          <fgColor indexed="64"/>
          <bgColor indexed="65"/>
        </patternFill>
      </fill>
      <alignment horizontal="righ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alignment horizontal="right"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Calibri"/>
        <scheme val="minor"/>
      </font>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bottom"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30" formatCode="@"/>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Calibri"/>
        <scheme val="minor"/>
      </font>
      <numFmt numFmtId="165" formatCode="_(&quot;$&quot;* #,##0.00_);_(&quot;$&quot;* \(#,##0.00\);_(&quot;$&quot;* &quot;-&quot;??_);_(@_)"/>
      <fill>
        <patternFill patternType="none">
          <fgColor indexed="64"/>
          <bgColor indexed="65"/>
        </patternFill>
      </fill>
      <alignment horizontal="righ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horizontal="right" textRotation="0" justifyLastLine="0" shrinkToFit="0" readingOrder="0"/>
      <border diagonalUp="0" diagonalDown="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numFmt numFmtId="1" formatCode="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0" hidden="0"/>
    </dxf>
    <dxf>
      <numFmt numFmtId="1" formatCode="0"/>
      <fill>
        <patternFill patternType="none">
          <fgColor indexed="64"/>
          <bgColor indexed="65"/>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left" vertical="justify" textRotation="0" wrapText="1" indent="0" justifyLastLine="0" shrinkToFit="0" readingOrder="0"/>
      <border diagonalUp="0" diagonalDown="0" outline="0">
        <left style="thin">
          <color indexed="64"/>
        </left>
        <right style="thin">
          <color indexed="64"/>
        </right>
        <top style="thin">
          <color indexed="64"/>
        </top>
        <bottom/>
      </border>
    </dxf>
    <dxf>
      <numFmt numFmtId="1"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numFmt numFmtId="0" formatCode="General"/>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indexed="65"/>
        </patternFill>
      </fill>
      <alignment horizontal="left" vertical="justify" textRotation="0" wrapText="0" indent="0" justifyLastLine="0" shrinkToFit="0" readingOrder="0"/>
      <border diagonalUp="0" diagonalDown="0" outline="0">
        <left style="thin">
          <color indexed="64"/>
        </left>
        <right style="thin">
          <color indexed="64"/>
        </right>
        <top style="thin">
          <color indexed="64"/>
        </top>
        <bottom/>
      </border>
      <protection locked="0" hidden="0"/>
    </dxf>
    <dxf>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dxf>
    <dxf>
      <border outline="0">
        <left style="thin">
          <color indexed="64"/>
        </left>
        <bottom style="thin">
          <color indexed="64"/>
        </bottom>
      </border>
    </dxf>
    <dxf>
      <fill>
        <patternFill patternType="none">
          <fgColor indexed="64"/>
          <bgColor auto="1"/>
        </patternFill>
      </fill>
      <alignment horizontal="left" vertical="justify" textRotation="0" wrapText="0" indent="0" justifyLastLine="0" shrinkToFit="0" readingOrder="0"/>
      <protection locked="0" hidden="0"/>
    </dxf>
    <dxf>
      <fill>
        <patternFill patternType="solid">
          <fgColor indexed="64"/>
          <bgColor theme="4" tint="0.39997558519241921"/>
        </patternFill>
      </fill>
      <alignment horizontal="center" vertical="center" textRotation="0" wrapText="0" indent="0" justifyLastLine="0" shrinkToFit="0" readingOrder="0"/>
      <protection locked="0" hidden="0"/>
    </dxf>
  </dxfs>
  <tableStyles count="1" defaultTableStyle="TableStyleMedium2" defaultPivotStyle="PivotStyleLight16">
    <tableStyle name="Invisible" pivot="0" table="0" count="0"/>
  </tableStyles>
  <colors>
    <mruColors>
      <color rgb="FFFFCCFF"/>
      <color rgb="FFCCFFCC"/>
      <color rgb="FFFFCCCC"/>
      <color rgb="FFCCCCFF"/>
      <color rgb="FF66FFFF"/>
      <color rgb="FF0066FF"/>
      <color rgb="FFFF66FF"/>
      <color rgb="FFCC99FF"/>
      <color rgb="FFFF9999"/>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1.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alcChain" Target="calcChain.xml"/><Relationship Id="rId28"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onnections" Target="connection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sheetMetadata" Target="metadata.xml"/><Relationship Id="rId27" Type="http://schemas.openxmlformats.org/officeDocument/2006/relationships/customXml" Target="../customXml/item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734786</xdr:colOff>
      <xdr:row>0</xdr:row>
      <xdr:rowOff>269875</xdr:rowOff>
    </xdr:from>
    <xdr:to>
      <xdr:col>4</xdr:col>
      <xdr:colOff>2479584</xdr:colOff>
      <xdr:row>2</xdr:row>
      <xdr:rowOff>34563</xdr:rowOff>
    </xdr:to>
    <xdr:pic>
      <xdr:nvPicPr>
        <xdr:cNvPr id="4" name="Imagen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846786" y="269875"/>
          <a:ext cx="1744798" cy="471219"/>
        </a:xfrm>
        <a:prstGeom prst="rect">
          <a:avLst/>
        </a:prstGeom>
      </xdr:spPr>
    </xdr:pic>
    <xdr:clientData/>
  </xdr:twoCellAnchor>
  <xdr:twoCellAnchor editAs="oneCell">
    <xdr:from>
      <xdr:col>0</xdr:col>
      <xdr:colOff>658586</xdr:colOff>
      <xdr:row>3</xdr:row>
      <xdr:rowOff>11206</xdr:rowOff>
    </xdr:from>
    <xdr:to>
      <xdr:col>2</xdr:col>
      <xdr:colOff>258003</xdr:colOff>
      <xdr:row>4</xdr:row>
      <xdr:rowOff>288991</xdr:rowOff>
    </xdr:to>
    <xdr:sp macro="" textlink="">
      <xdr:nvSpPr>
        <xdr:cNvPr id="2" name="Imagen 1">
          <a:extLst>
            <a:ext uri="{FF2B5EF4-FFF2-40B4-BE49-F238E27FC236}">
              <a16:creationId xmlns:a16="http://schemas.microsoft.com/office/drawing/2014/main" id="{D82AB579-DDC4-C15E-C82F-0F0F48214E44}"/>
            </a:ext>
          </a:extLst>
        </xdr:cNvPr>
        <xdr:cNvSpPr>
          <a:spLocks noChangeAspect="1" noChangeArrowheads="1"/>
        </xdr:cNvSpPr>
      </xdr:nvSpPr>
      <xdr:spPr bwMode="auto">
        <a:xfrm>
          <a:off x="658586" y="952500"/>
          <a:ext cx="1742542" cy="47781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ndeportesantioquia-my.sharepoint.com/Users/lgaviria/Downloads/Consecutivo-contratos-20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P:\hector%20cuervo\NUEVO%20ARHCIVO%20ACTUALIZACI&#211;N%20DE%20PROYECTO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juridi02\JURIDICA\AJUSTE%20PLAN%20DE%20ACCION%20Y%20POA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atos 2020"/>
      <sheetName val="Tipo de Contratación"/>
      <sheetName val="Varios"/>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5"/>
      <sheetName val="Hoja6"/>
      <sheetName val="Hoja8"/>
      <sheetName val="Hoja9"/>
      <sheetName val="INFORME  - EJECUCIÓn"/>
      <sheetName val="CRON DE ACT AMPLIADO"/>
      <sheetName val="PROYECTOS A ACTUALIZAR"/>
      <sheetName val="CRON DE ACTUALI DETALLADO"/>
      <sheetName val="PROYECTOS VIEJOS"/>
      <sheetName val="PROGRAMACIÓN"/>
      <sheetName val="TABLA DINAMICA"/>
      <sheetName val="PRESUPUESTO POR INDICADOR"/>
      <sheetName val="Hoja4"/>
      <sheetName val="PRESUPUESTO POR DEPENDENCIA"/>
      <sheetName val="INFORME BANCO DE PROYECTOS"/>
      <sheetName val="Hoja12"/>
      <sheetName val="NUEVOS  - ANTIGUOS"/>
      <sheetName val="Hoja11"/>
      <sheetName val="PRESUPUESTO POR DEPENDENCIA (2)"/>
      <sheetName val="Hoja7"/>
      <sheetName val="Hoja1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D PROYECTOS VIEJOS"/>
      <sheetName val="RECURSOS DISPONIBLES INFRAESTRU"/>
      <sheetName val="Hoja2"/>
      <sheetName val="Hoja1"/>
      <sheetName val="PRESUPUESTO DEPEN - JUNIO 26 VI"/>
      <sheetName val="TD PROYECTOS NUEVOS"/>
      <sheetName val="Hoja4"/>
      <sheetName val="PRESUPUESTO DEPEN - JUNIO 2 NU"/>
      <sheetName val="PROYECTOS 2012 - 2015"/>
      <sheetName val="Hoja3"/>
      <sheetName val="Hoja6"/>
      <sheetName val="TD PROYECTOS NUEVOS (2)"/>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persons/person.xml><?xml version="1.0" encoding="utf-8"?>
<personList xmlns="http://schemas.microsoft.com/office/spreadsheetml/2018/threadedcomments" xmlns:x="http://schemas.openxmlformats.org/spreadsheetml/2006/main">
  <person displayName="Luisa Fernanda Gaviria Cano" id="{09756EB4-1013-4B96-B286-C0F753EA7AFC}" userId="S::lgaviria@indeportesantioquia.gov.co::8a8adcb7-851c-4e33-b7a4-1d13886d9724" providerId="AD"/>
  <person displayName="Digna Emérita Martinez García" id="{C284AB0C-0202-4917-9FFD-9D58EC7CA9EE}" userId="S::dmartinez@indeportesantioquia.gov.co::211eff06-b0f0-4f61-add9-cd2fd96e87ed"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Usuario" refreshedDate="45758.523057060185" createdVersion="8" refreshedVersion="8" minRefreshableVersion="3" recordCount="760">
  <cacheSource type="worksheet">
    <worksheetSource name="PAA"/>
  </cacheSource>
  <cacheFields count="35">
    <cacheField name="ITEM" numFmtId="0">
      <sharedItems containsMixedTypes="1" containsNumber="1" containsInteger="1" minValue="1" maxValue="616"/>
    </cacheField>
    <cacheField name="Código UNSPSC (Manual)" numFmtId="0">
      <sharedItems containsMixedTypes="1" containsNumber="1" containsInteger="1" minValue="8011600" maxValue="95122306" longText="1"/>
    </cacheField>
    <cacheField name="UNIDAD DE CONTRATACION (formulado)" numFmtId="0">
      <sharedItems/>
    </cacheField>
    <cacheField name="Funci/ inversion (formulado)" numFmtId="0">
      <sharedItems/>
    </cacheField>
    <cacheField name="Nombre Proyecto  (formulado)" numFmtId="1">
      <sharedItems count="30">
        <s v="FUNCIONAMIENTO"/>
        <s v="Fortalecimiento de los sistemas de información y la gestión estratégica para el deporte, la recreación y la actividad física de Antioquia"/>
        <s v="Mantenimiento de la infraestructura de las sedes operativas para la prestación de servicios deportivos, recreativos y de actividad física en las regiones de Antioquia"/>
        <s v="Mantenimiento, adecuación, mejoras de escenarios deportivos o equipamientos en el departamento de Antioquia"/>
        <s v="Construcción de escenarios deportivos en el departamento de Antioquia"/>
        <s v="Desarrollo y promoción del deporte formativo, la recreación y la actividad física en el departamento Antioquia"/>
        <s v="Asesoria y acompañamiento institucional para el deporte formativo, la recreación y la actividad física en el departamento de Antioquia"/>
        <s v="Capacitación para el sector del deporte, la recreación y la actividad física en el Departamento de   Antioquia"/>
        <s v="Fortalecimiento de los juegos deportivos institucionales en los municipios del departamento de Antioquia"/>
        <s v="Cofinanciación de dotación de implementación para el deporte la recreación y a la actividad física en el departamento de Antioquia"/>
        <s v="Apoyo económico a las organizaciones deportivas que representan en competencias al departamento de Antioquia"/>
        <s v="Fortalecimiento del desarrollo deportivo con miras al alto rendimiento competitivo de los atletas del departamento de Antioquia"/>
        <s v="Asesoria médica y de ciencias aplicadas al desarrollo del rendimiento deportivo de atletas y para-atletas de Antioquia"/>
        <s v="Apoyo técnico a atletas y para-atletas que representan en alto rendimiento deportivo al departamento de Antioquia"/>
        <s v="Apoyo y subvención para satisfacer necesidades propias del proceso de preparación y competencia de los Atletas y Para-atletas de alto rendimiento del departamento de Antioquia"/>
        <s v="FORTALECIMIENTO_DE_LOS_JUEGOS_DEL_SECTOR_EDUCATIVO_EN_ANTIOQUIA" u="1"/>
        <s v="FORTALECIMIENTO_DE_LA_IMAGEN_INSTITUCIONAL_COMO_REFERENTE_SOCIAL_PARA_EL_DEPARTAMENTO_DE_ANTIOQUIA" u="1"/>
        <s v="FORTALECIMIENTO_DEL_OBSERVATORIO_DEL_DEPORTE_DE_ANTIOQUIA" u="1"/>
        <s v="MEJORAMIENTO_DEL_SISTEMA_DE_INFORMACIÓN_DE_INDEPORTES_ANTIOQUIA" u="1"/>
        <s v="APOYO_CIENTÍFICO_AL_RENDIMIENTO_DEPORTIVO_Y_LA_ACTIVIDAD_FÍSICA_EN_EL_DEPARTAMENTO_DE_ANTIOQUIA" u="1"/>
        <s v="APOYO_TÉCNICO_Y_PSICOSOCIAL_A_LOS_DEPORTISTAS_DE_ANTIOQUIA" u="1"/>
        <s v="FORTALECIMIENTO_DEL_PROGRAMA_DE_ALTOS_LOGROS_Y_LIDERAZGO_DEPORTIVO_EN_EL_DEPARTAMENTO_DE_ANTIOQUIA" u="1"/>
        <s v="DESARROLLO_DEL_POTENCIAL_DEPORTIVO_EN_EL_DEPARTAMENTO_DE_ANTIOQUIA" u="1"/>
        <s v="FORTALECIMIENTO_DEL_PROGRAMA_POR_SU_SALUD_MUÉVASE_PUES_EN_LOS_MUNICIPIO_DEL_DEPARTAMENTO_DE_ANTIOQUIA" u="1"/>
        <s v="FORTALECIMIENTO_DE_LAS_ESCUELAS_DEPORTIVAS_EN_LOS_MUNICIPIOS_DEL_DEPARTAMENTO_DE_ANTIOQUIA" u="1"/>
        <s v="FORTALECIMIENTO_DE_LOS_PROGRAMAS_RECREATIVOS_EN_LOS_MUNICIPIOS_DEL_DEPARTAMENTO_DE_ANTIOQUIA" u="1"/>
        <s v="FORTALECIMIENTO_DE_LOS_JUEGOS_DEL_SECTOR_SOCIAL_COMUNITARIO_EN_LOS_MUNICIPIOS_DEL_DEPARTAMENTO_DE_ANTIOQU" u="1"/>
        <s v="CAPACITACION_PARA_EL_SECTOR_DEL_DEPORTE_LA_ACTIVIDAD_FISICA_LA_RECREACION_Y_LA_EDUCACION_FISICA_DE_ANTI" u="1"/>
        <s v="MEJORAMIENTO_DE_LA_INFRAESTRUCTURA_DEPORTIVA_Y_RECREATIVA_EN_EL_DEPARTAMENTO_DE_ANTIOQUIA" u="1"/>
        <s v="FORTALECIMIENTO_DEL_DEPORTE_FORMATIVO_EN_LOS_MUNICIPIOS_DEL_DEPARTAMENTO_DE_ANTIOQUIA" u="1"/>
      </sharedItems>
    </cacheField>
    <cacheField name="Código BPIN (FORMULADO)" numFmtId="1">
      <sharedItems containsSemiMixedTypes="0" containsString="0" containsNumber="1" containsInteger="1" minValue="999999" maxValue="2024003050104"/>
    </cacheField>
    <cacheField name="Actividad3" numFmtId="1">
      <sharedItems containsBlank="1" count="229">
        <s v="999999 Funcionamiento"/>
        <s v="52011001-implementar_plan_medios"/>
        <s v="52011001-apoyar_event_act_fís_rec_dep"/>
        <s v="52011001-diseñar_implementar_estrat_com"/>
        <s v="52011002-realizar mantenimiento preventivo y/o correctivo a las sedes de indeportes antioquia"/>
        <s v="52011002-realizar_mant_aires_acond"/>
        <s v="52011002-realizar_mant_prevent_pozo_sépt"/>
        <s v="52011002-recargar_revisar_extintores"/>
        <s v="52011002-realizar_mant_preve_corre_ascen"/>
        <s v="52011002-realizar_mant_preve_lavad_ind"/>
        <s v="52011002-reponer_realizar_mant_tv"/>
        <s v="52011001-mejorar_plataforma_hardw_softw"/>
        <s v="52011001-mejorar_potencializar_sistemas"/>
        <s v="52011001-elaborar_implementar_sic"/>
        <s v="52011001-implementar_cuadro_clasifi_doc"/>
        <s v="52011001-recolectar_analizar_infor_comu"/>
        <s v="52011001-publicar_material_científico"/>
        <s v="52011001-realizar_seguimiento_eval_gest"/>
        <s v="52011001-realizar_seguimiento_monit_pol"/>
        <s v="52011001-fortalecer_sist_info_ plan_orga"/>
        <s v="52011001-mejorar_sistema_info_observa"/>
        <s v="52011001-realizar_auditoría_siste_integ"/>
        <s v="52010902-obra_física"/>
        <s v="52010902-apoyo_superversión"/>
        <s v="52010901-obra_civil"/>
        <s v="52010901-apoyo_a_la_supervisión_const"/>
        <s v="52010702-gestionar_operación_tecn_adm_of"/>
        <s v="52010705-gestionar_operación_tecn_adm_as"/>
        <s v="52010704-gestionar_operación_tec_adm_cap"/>
        <s v="52010703-gestionar_operación_téc_adm_jue"/>
        <s v="52010701-gestionar_operación_tec_adm_cof"/>
        <s v="52010702-realizar_encuentros_de_art_inst"/>
        <s v="52010702-realizar_eventos_de_act_física"/>
        <s v="52010702-realizar_eventos_de_depor_forma"/>
        <s v="52010702-promover_la_recrea_ant"/>
        <s v="52010702-realizar_eventos_de_recrea"/>
        <s v="52010702-promover_el_depor_forma_ant"/>
        <s v="52010702-promover_la_act_física_ant"/>
        <s v="52010702-promover_uso_de_la_bici_ant"/>
        <s v="52010705-transferir_recursos_imp_cig"/>
        <s v="52010704-promover_procesos_edu_informal"/>
        <s v="52010704-realizar_capacitacion_virt_pres"/>
        <s v="52010703-ejecutar_festivales_deport_esco"/>
        <s v="52010703-ejecutar_juegos_deport_camp"/>
        <s v="52010703-promover_dep_esco_dep_social_co"/>
        <s v="52010703-ejecutar_juegos_deport_intercol"/>
        <s v="52010701-adquirir_implementación_juego"/>
        <s v="52010701-adquirir_implementac_depor_form"/>
        <s v="52010701-adquirir_implementac_recrea"/>
        <s v="52010701-adquirir_implementac_act_física"/>
        <s v="52010801-asignar_recursos_eco_org_dep"/>
        <s v="52010805-gestionar_operación_ad_tec_cent"/>
        <s v="52010801-gestionar_operación_adm_con_org"/>
        <s v="52010804-realizar_dotación_equ_sum_medi"/>
        <s v="52010804-realizar_mantenimiento_equ_medi"/>
        <s v="52010804-gestionar_operación_adm_medi_ci"/>
        <s v="52010802-gestionar_operación_adm_tec_pre"/>
        <s v="52010803-otorgar_estímulos_aliment"/>
        <s v="52010803-otorgar_estímulos_part_even"/>
        <s v="52010803-gestionar_ope_psic_adm_seg_est"/>
        <s v="52010805-realizar_seguimiento_ope_cent"/>
        <s v="52011001-estructurar_política_sistem_inf"/>
        <s v="52010702-Realizar apoyo al desarrollo deportivo municipal"/>
        <s v="52011001_diseñar_implementar_estrat_com"/>
        <s v="52010702-realizar_desplazamientos_seg_of"/>
        <s v="52010704-realizar_desplazamiento_seg_ofe"/>
        <s v="52010703-realizar_desplazamiento_seg_jue"/>
        <s v="52010702- Realizar apoyo al desarrollo recreativo y de actividad física municipal"/>
        <s v="52010703-Ejecutar_Juegos_Indigenas"/>
        <s v="52010803-Otorgar estimulos economicos a los atletas y para atletas por los resultados obtenidos en competencias oficiales"/>
        <s v="52010803-Otorgar estimulos a atletas y para atletas por proyeccion, talento, reserva deportiva"/>
        <s v="52010803-Otorgar estímulos a los atletas y para-atletas para la participación en eventos"/>
        <s v="52010803-Otorgar estimulos de educacion a los atletas y para atletas y/o entrenadores"/>
        <s v="52010803-Otorgar estimulos de alimentacion a los atletas, para atletas "/>
        <s v="52010804-Realizar dotacion de equipos (tecnologia), suministros (insumos) e implementos médicos y de ciencias aplicadas"/>
        <s v="52010703-Ejecutar Juegos Deportivos Departamentales" u="1"/>
        <s v="44021011-Participar Fase Nacional Intercolegiados" u="1"/>
        <s v="41080114-Implementar Plan de medios" u="1"/>
        <s v="41080113-Apoyar eventos del sector" u="1"/>
        <s v="41080114-Diseñar e implementar estrategias comun" u="1"/>
        <s v="41080302-Mejorar sistema información observatorio" u="1"/>
        <s v="41080302- Realizar seguimiento y evaluación a la gestión." u="1"/>
        <s v="41080302-Realizar seguimiento y monitoreo a las políticas" u="1"/>
        <s v="41080302-Actualizar sistema de gestión de Calidad" u="1"/>
        <s v="41080301-Mejorar y potencializar los sistemas" u="1"/>
        <s v="41080301-Mejorar la plataforma de software" u="1"/>
        <s v="41080301-Estructurar Políticas Sistem Información" u="1"/>
        <s v="41080301-Mejorar la plataforma hardware" u="1"/>
        <s v="41080301-Fortalecer Sistema de Gestión Documental" u="1"/>
        <s v="41080103-Realizar control médico esp a atletas" u="1"/>
        <s v="41080108-Realizar control médico esp para-atletas" u="1"/>
        <s v="41080111-Apoyar proyectos especiales" u="1"/>
        <s v="41080105-Entregar apoyo alimentación a los atletas" u="1"/>
        <s v="41080102-Entregar apoyo económico a los atletas" u="1"/>
        <s v="41080104-Entregar apoyo educativo a los atletas" u="1"/>
        <s v="41080111-Participar en eventos deportiv Nal e Int" u="1"/>
        <s v="41080112-Operar centro de desarrollo de Ciclismo" u="1"/>
        <s v="41080112-Operar centro de desarrollo de Pesas" u="1"/>
        <s v="41080112-Operar centro de desarrollo de Canotaje" u="1"/>
        <s v="41080112-Operar centro de desarrollo de Atletismo" u="1"/>
        <s v="41080112-Operar centro de desarrollo de Actividades Subacúaticas " u="1"/>
        <s v="41080112-Operar centro de desarrollo de Lucha" u="1"/>
        <s v="41080112-Operar centro de desarrollo de  Arquería" u="1"/>
        <s v="41080111-Implementar Estrategia Deportiva" u="1"/>
        <s v="41080101-Brindar apoyo técnico a atletas" u="1"/>
        <s v="41080106-Brindar apoyo técnico a para-atletas" u="1"/>
        <s v="41080112-Realizar seguimiento" u="1"/>
        <s v="41080101-Entregar póliza a los atletas" u="1"/>
        <s v="41080106-Entregar póliza a para-atletas" u="1"/>
        <s v="41080109-Entregar apoyo educativo a para-atletas" u="1"/>
        <s v="41080101-Adquirir insumos para el apoyo social tipo alojamiento " u="1"/>
        <s v="41080101-Realizar Control Técnico" u="1"/>
        <s v="44021001-Realizar Seguimiento al Programa" u="1"/>
        <s v="44021007-Realizar seguimiento a los programas" u="1"/>
        <s v="44021004-Realizar seguimiento a los programas" u="1"/>
        <s v="44021010-Realizar seguimiento a los programas" u="1"/>
        <s v="44021011-Realizar seguimiento al programa" u="1"/>
        <s v="41080201-Realizar seguimiento a los programas" u="1"/>
        <s v="41080102-Entregar apoyo económico a los atletas- medalleria" u="1"/>
        <s v="41080107-Entregar apoyo económico a para-atletas medalleria" u="1"/>
        <s v="41080107-Entregar apoyo económico a para-atletas" u="1"/>
        <s v="41080103 Compra de equipos y suministros médicos" u="1"/>
        <s v="41080103-Mantenimiento y calibraciones de equipos" u="1"/>
        <s v="43010901-Realizar Interventoría a Infraestructura" u="1"/>
        <s v="43010901-Realizar inventario escenarios deportivo" u="1"/>
        <s v="43010901-Realizar seguimiento a los programas" u="1"/>
        <s v="43010901- Adquirir insumos y servicios conexos a obras de infraestructura" u="1"/>
        <s v="43010901-Cofinanciar infraestructura deportiva" u="1"/>
        <s v="43010901- Construir Parque Metropolitano Tulio Ospina Fase 3" u="1"/>
        <s v="52010902-Obra física" u="1"/>
        <s v="44021002-Adquirir implementación actividad física" u="1"/>
        <s v="44021001- Promover el uso de la bicicleta en Antioquia" u="1"/>
        <s v="44021004-Implementar programa institucional" u="1"/>
        <s v="44021003-Realizar eventos masivos" u="1"/>
        <s v="44021009-Realizar festivales recreo deportivos" u="1"/>
        <s v="44021006-Realizar festivales y tomas recreativas" u="1"/>
        <s v="44021008-Adquirir implementación deportiva" u="1"/>
        <s v="44021001-Promover actividad física en Antioquia" u="1"/>
        <s v="44021007 -Promover escuelas de deporte formativo" u="1"/>
        <s v="44021007-Cofinanciar monitores deportivos" u="1"/>
        <s v="44021005-Adquirir implementación recreativa" u="1"/>
        <s v="44021004-Cofinanciar monitores recreativos" u="1"/>
        <s v="44021010-Ejecutar fase zonales y final Camp y Ver" u="1"/>
        <s v="44021010-Ejecutar fase zonales y finales Deptales" u="1"/>
        <s v="44021011-Ejecutar fases zonales y final Escolares" u="1"/>
        <s v="44021011-Ejecutar zonal y finales Intercolegiados" u="1"/>
        <s v="44021011-Realizar Festivales Talento Deportivo " u="1"/>
        <s v="44021007-Transferir recursos a 125 municipios" u="1"/>
        <s v="41080201-Realizar capacitac presencial y virtual" u="1"/>
        <m u="1"/>
        <s v="52011001-Adquirir insumos y servicios para la investigación (incluye hardware (10 tables) y software)" u="1"/>
        <s v="52011001-Publicar material científico " u="1"/>
        <s v="52011001-Transferir conocimiento a las comunidades" u="1"/>
        <s v="52011001-Mejorar y potencializar los sistemas " u="1"/>
        <s v="52011001-Mejorar_potencializar_sistemas " u="1"/>
        <s v="52011001-Mejorar la plataforma de hardware y software " u="1"/>
        <s v="41080111-Postular Candidatura de los juegos Nacionales 2027" u="1"/>
        <s v="52011002-Realizar mantenimiento de aires acondicionados" u="1"/>
        <s v="52011002-Realizar mantenimiento preventivo pozo séptico" u="1"/>
        <s v="52011002-Realizar mantenimiento preventivo y limpieza-deterioro y acumulación de basura de árboles en techos,canoas y terrazas, Domo con ajuste, impermeabilización de las juntas y pegado de láminas de vidrio templado, domo techo y domo paso peatonal." u="1"/>
        <s v="52011002-Reparar bomba de hidroflow, reparación de tanque, de tuberías y de tablero eléctrico" u="1"/>
        <s v="52011002-Realizar mantenimiento preventivo y correctivo de baños y lavamanos por filtraciones de agua, mesones, manijas de vaciado y empaque de llaves de paso de agua." u="1"/>
        <s v="52011002-Cambiar tanque calentador solar, por deterioro y filtración." u="1"/>
        <s v="52011002-Realizar mantenimiento preventivo a lavadoras semi industrial marca LG y WASCOMAT e industrial marca IPSO, y  mantenimiento preventivo a 2 secadoras semi industriales marca LG y otra industrial marca CISSELL a Gas." u="1"/>
        <s v="52011002-Reponer y realizar mantenimiento de mallas de cerramiento de la sede." u="1"/>
        <s v="52011002-Realizar mantenimiento correctivo de chapas, Cerraduras, ventanería, puertas y cerramientos en general por avería en deslizamiento y cerrado." u="1"/>
        <s v="52011002-Recargar y revisar extintores,  5 unidades de Codigo: 109030006, tipo A color gris de 2,5 Lb y 6 Unidades de Codigo: 109030006, Multipropósito Amarillo de 10 Lb" u="1"/>
        <s v="52011002-Reponer y realizar mantenimiento a Televisores obsoletos que se encuentran en deterioro y se requiere su cambio, ya que tienen fallas electrónicas y físicas." u="1"/>
        <s v="52011002-Reponer y realizar mantenimiento correctivo de mesas y sillas de comedor" u="1"/>
        <s v="52011002-Realizar mantenimiento a desplazamiento de muro, apertura, undimiento de piso, goteras en techo, problema en canoas y en boquilla de bajantes." u="1"/>
        <s v="52011001-Adquirir insumos y servicios para la comunicación (incluye hardware y software). " u="1"/>
        <s v="52011001-Apoyar eventos internos y externos de actividad física, recreación y deporte. " u="1"/>
        <s v="52011001-Implementar plan de medios. " u="1"/>
        <s v="52011001-Diseñar e implementar estrategias de comunicación interna y externa. " u="1"/>
        <s v="52011001-Fortalecer el modelo integrado de planeación y gestión MIPG" u="1"/>
        <s v="52011001-Fortalecer los sistemas de información para la planeación y gestión organizacional" u="1"/>
        <s v="52011001-Elaborar, aprobar y convalidar las Tablas de Retención Documental " u="1"/>
        <s v="52011001-Implementar cuadro de clasificación documental " u="1"/>
        <s v="52011001-Elaborar, aprobar, convalidar y aplicar las Tablas de Valoración Documental " u="1"/>
        <s v="52011001-Mejorar sistema información observatorio " u="1"/>
        <s v="52011001-Actualizar sistema de gestión de calidad" u="1"/>
        <s v="52011001-Realizar seguimiento y monitoreo a las políticas " u="1"/>
        <s v="41080110-Entregar apoyo alimentación a para-atletas" u="1"/>
        <s v="52010802-Gestionar la operación administrativa y técnica para la preparacion y participacion de atletas y para atletas " u="1"/>
        <s v="52010801-Asignar recursos economicos a las ligas u organizaciones deportivas para la preparacion y participacion de los atletas y para atletas " u="1"/>
        <s v="52010804-Gestionar la operación administrativa, del área médica y ciencias aplicadas " u="1"/>
        <s v="52010805-Realizar seguimiento a la operación de los centros de desarrollo " u="1"/>
        <s v="52010802-Realizar desplazamientos para el seguimiento y control de atletas y para atletas en las sesiones de entrenamiento y/o competencia." u="1"/>
        <s v="52010805-Gestionar la operación administrativa y técnica para la operacion de los centros de desarrollo " u="1"/>
        <s v="52010804-Realizar mantenimiento preventivo, correctivo y calibración de equipos de medicina y ciencias aplicadas " u="1"/>
        <s v="52010801-Gestionar la operación administrativa para el apoyo a la elaboracion, ejecucion y liquidacion de convenio o contratos que se suscriban con las ligas u organizaciones deportivas " u="1"/>
        <s v="52010802-Gestionar la operación administrativa y técnica para la preparacion y participacion de atletas y para atletas" u="1"/>
        <s v="52010803-Realizar eventos para el posicionamiento de los atletas y para atletas de Antioquia " u="1"/>
        <s v="52010803-Otorgar estimulos de aseguramiento a los atletas y para atletas " u="1"/>
        <s v="52010803-Realizar dotación de insumos y suministros para actividades psicosociales y  pruebas" u="1"/>
        <s v="52010803-Realizar dotación de insumos y elementos para otorgar el estimulo de alojamiento de atletas y para atletas " u="1"/>
        <s v="43010901-Realizar Interventoría a las obras Parque Metropolitano de Deportes a Motor Tulio Ospina" u="1"/>
        <s v="52010902-Apoyo a la superversión" u="1"/>
        <s v="52010702-Promover la recreación en Antioquia." u="1"/>
        <s v="52010703-Ejecutar Juegos Deportivos Intercolegiados" u="1"/>
        <s v="52010701-Adquirir implementación para actividad física" u="1"/>
        <s v="52010701-Adquirir implementación para deporte formativo" u="1"/>
        <s v="52010705-Gestionar operación técnica y administrativa de la asesoría a entes municipales" u="1"/>
        <s v="52010702-Promover el deporte formativo en Antioquia." u="1"/>
        <s v="52010704-Realizar capacitaciones virtuales y presenciales" u="1"/>
        <s v="52010702-Gestionar operación técnica y administrativa de la oferta institucional." u="1"/>
        <s v="52010704-Gestionar la operación técnica y administrativa de las capacitaciones" u="1"/>
        <s v="52010703-Gestionar operación técnica y administrativa de los Juegos deportivos Institucionales." u="1"/>
        <s v="52010702-Realizar encuentros de articulación institucional" u="1"/>
        <s v="52010704-Promover procesos de educación informal en Antioquia " u="1"/>
        <s v="52010705-Transferir recursos impuesto cigarrillo (Ley 1289 de 2009)" u="1"/>
        <s v="52010702-Realizar eventos de recreación" u="1"/>
        <s v="52010702-Promover la actividad física en Antioquia." u="1"/>
        <s v="52010702-Realizar eventos de actividad física" u="1"/>
        <s v="52010702-Promover uso de la bicicleta en Antioquia." u="1"/>
        <s v="52010703-Realizar desplazamientos para el seguimiento delos juegos" u="1"/>
        <s v="52010703-Promover el deporte escolar y el deporte social comunitario en Antioquia" u="1"/>
        <s v="52010802-Gestionar la operación administrativa y técnica para la preparación y participación de atletas y para atletas" u="1"/>
        <s v=" 44021011-Participar Festivales Talento Deportivo" u="1"/>
        <s v="N/A" u="1"/>
        <s v="41080302- Realizar seguimiento y evaluación a la gestión" u="1"/>
        <s v="(41080103 Compra de equipos y suministros médicos)" u="1"/>
        <s v="41080103-Realizar control médico esp a atletas " u="1"/>
        <s v="44021001-Promover el uso de la Bicicleta en Antioquia" u="1"/>
        <s v="41080112-Realizar seguimiento a los centros" u="1"/>
        <s v="44021004-Implementar programa institucional " u="1"/>
        <s v="41080301-Estructurar Políticas Sistema Información" u="1"/>
        <s v="Transferir recursos a 125 municipios" u="1"/>
        <s v=" 41080108-Realizar control médico esp para-atletas" u="1"/>
      </sharedItems>
    </cacheField>
    <cacheField name="Proyecto (formulado)" numFmtId="1">
      <sharedItems containsMixedTypes="1" containsNumber="1" containsInteger="1" minValue="999999" maxValue="999999"/>
    </cacheField>
    <cacheField name="Valor definitivo (manual)" numFmtId="165">
      <sharedItems containsSemiMixedTypes="0" containsString="0" containsNumber="1" minValue="0" maxValue="9285353033"/>
    </cacheField>
    <cacheField name="Descripción - Objeto del Contrato (manual)" numFmtId="0">
      <sharedItems longText="1"/>
    </cacheField>
    <cacheField name="ESTADO (formulado)" numFmtId="0">
      <sharedItems/>
    </cacheField>
    <cacheField name="MODALIDAD DE CONTRATACION (manual)" numFmtId="0">
      <sharedItems/>
    </cacheField>
    <cacheField name="TIPO DE CONTRATACION (Manual)" numFmtId="0">
      <sharedItems/>
    </cacheField>
    <cacheField name="RUBRO(BASEDEINFORMACION)MANUAL" numFmtId="0">
      <sharedItems count="313">
        <s v="1.00.0000.00.0-205616.2.1.1.01.01.001.01."/>
        <s v="1.00.0000.00.0-205616.2.1.1.01.01.001.02."/>
        <s v="1.00.0000.00.0-205616.2.1.1.01.01.001.06."/>
        <s v="1.00.0000.00.0-205616.2.1.1.01.01.001.10."/>
        <s v="1.00.0000.00.0-205616.2.1.1.01.01.001.08.01"/>
        <s v="1.00.0000.00.0-205616.2.1.1.01.01.001.08.02"/>
        <s v="1.00.0000.00.0-205616.2.1.1.01.01.001.07."/>
        <s v="1.00.0000.00.0-205616.2.1.1.01.02.001."/>
        <s v="1.00.0000.00.0-205616.2.1.1.01.02.002."/>
        <s v="1.00.0000.00.0-205616.2.1.1.01.02.003."/>
        <s v="1.00.0000.00.0-205616.2.1.1.01.02.004."/>
        <s v="1.00.0000.00.0-205616.2.1.1.01.02.005."/>
        <s v="1.00.0000.00.0-205616.2.1.1.01.02.006."/>
        <s v="1.00.0000.00.0-205616.2.1.1.01.02.007."/>
        <s v="1.00.0000.00.0-205616.2.1.1.01.03.001.01."/>
        <s v="1.00.0000.00.0-205616.2.1.1.01.03.001.02."/>
        <s v="1.00.0000.00.0-205616.2.1.1.01.03.001.03."/>
        <s v="1.00.0000.00.0-205616.2.1.1.01.03.069."/>
        <s v="1.00.0000.00.0-205616.2.1.1.01.03.110."/>
        <s v="1.00.0000.00.0-205616.2.1.1.01.03.111.01."/>
        <s v="1.00.0000.00.0-205616.2.1.1.01.03.111.02."/>
        <s v="1.00.0000.00.0-205616.2.1.1.01.03.111.03."/>
        <s v="1.00.0000.00.0-205616.2.1.1.01.03.113."/>
        <s v="1.00.0000.00.0-205616.2.1.3.07.02.010.01."/>
        <s v="1.00.0000.00.0-205616.2.1.3.07.02.010.02."/>
        <s v="1.00.0000.00.0-205616.2.1.2.02.01.003.02."/>
        <s v="1.00.0000.00.0-205616.2.1.2.02.02.006.02."/>
        <s v="1.00.0000.00.0-205616.2.1.2.02.02.007.01."/>
        <s v="1.00.0000.00.0-205616.2.1.2.02.02.008.02."/>
        <s v="1.00.0000.00.0-205616.2.1.3.13.01.001."/>
        <s v="1.00.0000.00.0-205616.2.1.3.13.01.002."/>
        <s v="1.00.0000.00.0-205616.2.1.8.04.01."/>
        <s v="1.00.0000.00.0-205616.2.1.2.02.02.008.01."/>
        <s v="1.00.0000.00.0-205616.2.1.6.01.04.004."/>
        <s v="1.00.0000.00.0-205616.2.1.8.01.52."/>
        <s v="1.00.0000.00.0-205616.2.1.6.01.04.010."/>
        <s v="1.00.0000.00.0-205616.2.1.2.02.01.002.01."/>
        <s v="1.00.0000.00.0-205616.2.1.2.02.01.003.01."/>
        <s v="1.00.0000.00.0-205616.2.1.2.02.02.006.01."/>
        <s v="1.00.0000.00.0-205616.2.1.2.02.02.008.03."/>
        <s v="1.00.0000.00.0-205616.2.1.2.02.02.008.04."/>
        <s v="1.00.0000.00.0-205616.2.1.2.02.02.009.01."/>
        <s v="1.00.0000.00.0-205616.2.1.2.02.02.009.02."/>
        <s v="1.45.4599.77.0-271130.2.3.2.02.02.009.01."/>
        <s v="1.45.4501.04.0-205128.2.3.2.02.01.003.01."/>
        <s v="1.45.4501.04.0-205128.2.3.2.02.02.008.02."/>
        <s v="1.45.4501.04.0-205128.2.3.2.02.02.005.01."/>
        <s v="1.45.4599.77.0-205128.2.3.2.02.01.004.01."/>
        <s v="1.45.4599.77.0-271130.2.3.2.02.02.008.01."/>
        <s v="1.45.4599.77.0-205128.2.3.2.02.02.008.08."/>
        <s v="1.45.4599.77.0-205128.2.3.2.02.02.008.07."/>
        <s v="1.45.4599.77.0-101024.2.3.2.02.02.008.03."/>
        <s v="1.45.4599.77.0-205128.2.3.2.02.02.008.04."/>
        <s v="4.43.4302.75.0-205128.2.3.2.02.02.005.02."/>
        <s v="4.43.4302.75.0-202029.2.3.2.02.02.005.03."/>
        <s v="4.43.4302.75.0-205128.2.3.2.02.02.008.19."/>
        <s v="4.43.4302.75.0-101024.2.3.2.02.02.008.20."/>
        <s v="4.43.4302.76.0-205128.2.3.2.02.01.004.02."/>
        <s v="4.43.4302.76.0-205128.2.3.2.02.02.008.21."/>
        <s v="4.43.4302.76.0-205128.2.3.2.02.02.005.04."/>
        <s v="4.43.4302.76.0-205128.2.3.4.04."/>
        <s v="3.43.4301.01.0-205128.2.3.2.02.02.008.14."/>
        <s v="3.43.4301.10.0-101024.2.3.2.02.02.008.15."/>
        <s v="3.43.4301.72.0-205128.2.3.2.02.02.008.16."/>
        <s v="3.43.4301.73.0-205128.2.3.2.02.02.008.17."/>
        <s v="3.43.4301.74.0-101024.2.3.2.02.02.008.18."/>
        <s v="3.43.4301.01.0-205400.2.3.2.02.02.009.06."/>
        <s v="3.43.4301.01.0-205128.2.3.2.02.02.009.07."/>
        <s v="3.43.4301.10.0-205617.2.3.3.09.17."/>
        <s v="3.43.4301.10.0-101024.2.3.2.02.02.009.08."/>
        <s v="3.43.4301.72.0-205128.2.3.2.02.02.009.09."/>
        <s v="3.43.4301.73.0-205128.2.3.2.02.02.009.10."/>
        <s v="3.43.4301.73.0-205400.2.3.2.02.02.009.11."/>
        <s v="3.43.4301.74.0-101024.2.3.2.02.01.003.03."/>
        <s v="3.43.4301.74.0-205400.2.3.2.02.01.003.04."/>
        <s v="2.43.4301.02.0-205400.2.3.3.09.17."/>
        <s v="2.43.4301.02.0-205128.2.3.3.09.17."/>
        <s v="2.43.4302.87.0-101024.2.3.2.02.02.008.12."/>
        <s v="2.43.4301.02.0-205128.2.3.2.02.02.008.09."/>
        <s v="2.43.4302.87.0-205128.2.3.2.02.02.008.13."/>
        <s v="2.43.4302.03.0-205128.2.3.2.02.01.003.02."/>
        <s v="2.43.4302.03.0-205128.2.3.2.02.02.008.10."/>
        <s v="2.43.4302.03.0-205128.2.3.2.02.02.009.02."/>
        <s v="2.43.4302.84.0-205400.2.3.2.02.02.009.03."/>
        <s v="2.43.4302.84.0-205128.2.3.2.02.02.009.04."/>
        <s v="2.43.4302.85.0-205128.2.3.3.08.06."/>
        <s v="2.43.4302.85.0-205128.2.3.2.02.02.008.11."/>
        <s v="2.43.4302.85.0-205128.2.3.2.02.02.009.05."/>
        <s v="2.43.4302.87.0-205128.2.3.3.09.17."/>
        <s v="2.43.4302.87.0-101024.2.3.3.09.17."/>
        <s v="1.45.4599.77.0-205128.2.3.2.02.02.008.05."/>
        <s v="1.45.4599.77.0-205128.2.3.2.02.02.008.06."/>
        <s v="4.43.4302.75.0-205128.2.3.2.02.02.006.04."/>
        <s v="3.43.4301.01.0-205400.2.3.2.02.02.006.01."/>
        <s v="3.43.4301.72.0-205128.2.3.2.02.02.006.02."/>
        <s v="3.43.4301.73.0-205128.2.3.2.02.02.006.03."/>
        <s v="2.43.4302.85.0-101024.2.3.3.08.06."/>
        <s v="1.00.0000.00.0-205616.2.1.2.02.02.009.03."/>
        <s v="3.43.4301.73.0-205400.2.3.2.02.02.009.12."/>
        <s v="3.43.4301.74.0-205400.2.3.2.02.01.003.05."/>
        <s v="2.43.4302.85.0-205400.2.3.3.08.06."/>
        <s v="2.43.4302.85.0-205400.2.3.2.02.02.006.05."/>
        <s v="2.43.4302.87.0-205400.2.3.3.09.17."/>
        <s v="2.43.4302.03.0-205400.2.3.2.02.01.003.06."/>
        <s v="1.00.0000.00.0-101024.2.1.1.01.01.001.01." u="1"/>
        <s v="1.00.0000.00.0-101024.2.1.1.01.01.001.02." u="1"/>
        <s v="1.00.0000.00.0-101024.2.1.1.01.01.001.06." u="1"/>
        <s v="1.00.0000.00.0-101024.2.1.1.01.01.001.07." u="1"/>
        <s v="1.00.0000.00.0-101024.2.1.1.01.01.001.08.02" u="1"/>
        <s v="1.00.0000.00.0-101024.2.1.1.01.01.001.10." u="1"/>
        <s v="1.00.0000.00.0-101024.2.1.1.01.02.001." u="1"/>
        <s v="1.00.0000.00.0-101024.2.1.1.01.02.002." u="1"/>
        <s v="1.00.0000.00.0-101024.2.1.1.01.02.003." u="1"/>
        <s v="1.00.0000.00.0-101024.2.1.1.01.02.004." u="1"/>
        <s v="1.00.0000.00.0-101024.2.1.1.01.02.005." u="1"/>
        <s v="1.00.0000.00.0-101024.2.1.1.01.02.006." u="1"/>
        <s v="1.00.0000.00.0-101024.2.1.1.01.02.007." u="1"/>
        <s v="1.00.0000.00.0-101024.2.1.1.01.03.001.01." u="1"/>
        <s v="1.00.0000.00.0-101024.2.1.1.01.03.001.02." u="1"/>
        <s v="1.00.0000.00.0-101024.2.1.1.01.03.001.03." u="1"/>
        <s v="1.00.0000.00.0-101024.2.1.3.07.02.010.01." u="1"/>
        <s v="1.00.0000.00.0-101024.2.1.3.07.02.010.02." u="1"/>
        <s v="1.00.0000.00.0-101024.2.1.1.01.01.001.08.01" u="1"/>
        <s v="1.00.0000.00.0-101024.2.1.2.02.02.008.05." u="1"/>
        <s v="1.00.0000.00.0-101024.2.1.2.02.02.006.03." u="1"/>
        <s v="1.00.0000.00.0-205616.2.1.2.02.02.007.02." u="1"/>
        <s v="1.00.0000.00.4-205616.2.1.2.02.02.008.04." u="1"/>
        <s v="1.00.0000.00.4-205616.2.1.1.01.01.001.10." u="1"/>
        <s v="1.00.0000.00.4-205616.2.1.1.01.03.110." u="1"/>
        <s v="1.00.0000.00.0-101024.2.1.1.01.03.111.01." u="1"/>
        <s v="1.00.0000.00.4-205616.2.1.1.01.03.113." u="1"/>
        <s v="1.00.0000.00.4-205616.2.1.2.02.01.003.03." u="1"/>
        <s v="1.00.0000.00.0-205616.2.1.2.02.02.005.01." u="1"/>
        <s v="3.43.4301.73.0-492231.2.3.2.02.02.009.59." u="1"/>
        <s v="3.43.4301.73.0-205128.2.3.2.02.02.009.43." u="1"/>
        <s v="3.43.4301.01.0-101024.2.3.2.02.02.009.39." u="1"/>
        <s v="3.43.4301.73.0-101024.2.3.2.02.02.009.42." u="1"/>
        <s v="3.43.4301.73.0-205400.2.3.2.02.02.009.52." u="1"/>
        <s v="3.43.4301.73.4-205400.2.3.2.02.02.009.45." u="1"/>
        <s v="3.43.4301.73.4-271130.2.3.2.02.02.009.46." u="1"/>
        <s v="3.43.4301.73.0-205128.2.3.2.02.02.009.50." u="1"/>
        <s v="3.43.4301.01.0-205400.2.3.2.02.02.009.58." u="1"/>
        <s v="3.43.4301.51.0-205128.2.3.2.02.02.009.11." u="1"/>
        <s v="3.43.4301.51.0-205400.2.3.2.02.02.009.12." u="1"/>
        <s v="1.00.0000.00.0-101024.2.1.2.02.01.003.04." u="1"/>
        <s v="1.00.0000.00.4-205616.2.1.2.02.02.007.03." u="1"/>
        <s v="1.00.0000.00.4-205616.2.1.3.13.01.001." u="1"/>
        <s v="1.00.0000.00.0-101024.2.1.2.02.02.007.04." u="1"/>
        <s v="1.00.0000.00.0-101024.2.1.8.04.01." u="1"/>
        <s v="1.00.0000.00.0-101024.2.1.2.02.02.009.04." u="1"/>
        <s v="1.00.0000.00.0-101024.2.1.1.01.03.113." u="1"/>
        <s v="1.00.0000.00.0-101024.2.1.1.01.03.110." u="1"/>
        <s v="1.00.0000.00.0-101024.2.1.1.01.03.111.03." u="1"/>
        <s v="1.00.0000.00.0-101024.2.1.2.02.01.004.01." u="1"/>
        <s v="1.00.0000.00.0-101024.2.1.2.02.02.009.05." u="1"/>
        <s v="1.43.4302.92.0-101024.2.3.2.02.02.008.01." u="1"/>
        <s v="1.43.4302.92.0-271130.2.3.2.02.02.009.02." u="1"/>
        <s v="1.43.4302.92.0-101024.2.3.2.02.02.009.01." u="1"/>
        <s v="1.43.4302.92.4-271130.2.3.2.02.02.008.23." u="1"/>
        <s v="1.43.4302.92.4-271130.2.3.2.02.02.009.24." u="1"/>
        <s v="1.43.4302.92.0-271130.2.3.2.02.02.008.16." u="1"/>
        <s v="1.45.4599.54.0-101024.2.3.2.02.02.008.02." u="1"/>
        <s v="1.45.4599.54.4-101124.2.3.2.02.02.008.21." u="1"/>
        <s v="1.45.4599.90.0-101024.2.3.2.02.02.008.03." u="1"/>
        <s v="1.45.4599.90.4-101124.2.3.2.02.02.008.17." u="1"/>
        <s v="1.45.4599.90.4-101124.2.3.2.02.01.004.03." u="1"/>
        <s v="1.45.4599.90.0-101024.2.3.2.02.01.004.01." u="1"/>
        <s v="2.43.4302.91.0-205400.2.3.2.02.02.009.05." u="1"/>
        <s v="2.43.4302.22.0-205128.2.3.3.08.06." u="1"/>
        <s v="2.43.4302.22.0-205400.2.3.3.08.06." u="1"/>
        <s v="2.43.4302.20.0-205400.2.3.3.09.17." u="1"/>
        <s v="2.43.4302.20.4-101124.2.3.3.09.17." u="1"/>
        <s v="2.43.4302.21.0-205400.2.3.3.09.17." u="1"/>
        <s v="2.43.4302.20.0-205400.2.3.2.02.02.009.03." u="1"/>
        <s v="2.43.4302.22.0-205400.2.3.2.02.02.009.04." u="1"/>
        <s v="2.43.4302.20.0-205400.2.3.2.02.02.008.04." u="1"/>
        <s v="2.43.4302.21.0-205400.2.3.2.02.02.008.05." u="1"/>
        <s v="2.43.4302.22.4-101124.2.3.2.02.02.007.01." u="1"/>
        <s v="2.43.4302.22.4-101124.2.3.2.02.02.009.25." u="1"/>
        <s v="2.43.4302.22.4-205400.2.3.3.08.06." u="1"/>
        <s v="2.43.4302.22.4-101124.2.3.2.02.01.003.05." u="1"/>
        <s v="2.43.4302.22.4-101124.2.3.2.02.02.006.09." u="1"/>
        <s v="3.43.4301.45.0-205128.2.3.2.02.02.006.01." u="1"/>
        <s v="3.43.4301.46.0-205128.2.3.2.02.02.006.02." u="1"/>
        <s v="3.43.4301.47.0-205128.2.3.2.02.02.006.03." u="1"/>
        <s v="3.43.4301.50.0-205128.2.3.2.02.02.006.04." u="1"/>
        <s v="3.43.4301.51.0-205128.2.3.2.02.02.006.05." u="1"/>
        <s v="3.43.4302.48.0-205128.2.3.2.02.02.006.06." u="1"/>
        <s v="2.43.4302.22.4-205128.2.3.3.08.06." u="1"/>
        <s v="2.43.4302.22.4-101124.2.3.3.08.06." u="1"/>
        <s v="2.43.4302.21.4-101124.2.3.2.02.02.008.20." u="1"/>
        <s v="2.43.4302.21.4-101124.2.3.3.09.17." u="1"/>
        <s v="2.43.4302.21.4-205128.2.3.3.09.17." u="1"/>
        <s v="2.43.4302.91.4-101124.2.3.2.02.02.009.22." u="1"/>
        <s v="2.43.4302.91.0-205128.2.3.2.02.02.009.23." u="1"/>
        <s v="2.43.4302.20.4-101124.2.3.2.02.02.008.18." u="1"/>
        <s v="2.43.4302.91.4-101124.2.3.2.02.01.003.04." u="1"/>
        <s v="2.43.4302.91.4-101124.2.3.2.02.02.008.19." u="1"/>
        <s v="2.43.4302.22.0-205400.2.3.2.02.02.008.06." u="1"/>
        <s v="4.43.4301.64.0-202029.2.3.2.02.02.008.14." u="1"/>
        <s v="4.43.4301.64.0-101024.2.3.2.02.02.008.13." u="1"/>
        <s v="4.43.4301.64.0-205128.2.3.2.02.02.008.15." u="1"/>
        <s v="4.43.4301.64.0-101024.2.3.2.02.01.004.02." u="1"/>
        <s v="4.43.4301.64.0-101024.2.3.2.02.02.006.07." u="1"/>
        <s v="4.43.4301.64.0-205128.2.3.2.02.02.006.08." u="1"/>
        <s v="4.43.4301.64.0-202029.2.3.2.02.02.005.01." u="1"/>
        <s v="4.43.4301.64.0-205128.2.3.2.02.02.005.02." u="1"/>
        <s v="4.43.4302.76.0-205128.2.3.2.02.02.005.09." u="1"/>
        <s v="4.43.4301.64.0-202029.2.3.4.04." u="1"/>
        <s v="4.43.4301.64.4-202029.2.3.4.04." u="1"/>
        <s v="4.43.4301.64.0-205128.2.3.4.04." u="1"/>
        <s v="3.43.4301.45.0-205128.2.3.2.02.01.003.01." u="1"/>
        <s v="3.43.4301.45.0-205128.2.3.2.02.02.008.07." u="1"/>
        <s v="3.43.4301.46.0-205128.2.3.2.02.02.008.08." u="1"/>
        <s v="3.43.4301.47.0-205128.2.3.2.02.02.008.09." u="1"/>
        <s v="3.43.4302.48.0-205128.2.3.2.02.02.008.12." u="1"/>
        <s v="3.43.4301.51.0-205128.2.3.2.02.02.008.11." u="1"/>
        <s v="3.43.4301.50.0-205128.2.3.2.02.02.008.10." u="1"/>
        <s v="3.43.4302.48.0-205128.2.3.2.02.02.009.13." u="1"/>
        <s v="3.43.4301.45.0-205128.2.3.2.02.02.009.07." u="1"/>
        <s v="3.43.4301.47.0-205128.2.3.2.02.02.009.09." u="1"/>
        <s v="3.43.4301.45.0-205128.2.3.2.02.02.009.06." u="1"/>
        <s v="3.43.4301.46.0-205400.2.3.2.02.02.009.14." u="1"/>
        <s v="3.43.4301.46.0-205128.2.3.2.02.01.003.02." u="1"/>
        <s v="3.43.4301.46.0-205128.2.3.2.02.02.009.08." u="1"/>
        <s v="3.43.4301.47.0-205128.2.3.2.02.01.003.03." u="1"/>
        <s v="3.43.4301.50.0-205128.2.3.2.02.02.009.10." u="1"/>
        <s v="3.43.4301.51.4-271130.2.3.2.02.02.009.19." u="1"/>
        <s v="3.43.4301.51.4-205400.2.3.2.02.02.009.18." u="1"/>
        <s v="3.43.4301.53.0-205617.2.3.3.09.17." u="1"/>
        <s v="3.43.4301.45.4-205128.2.3.2.02.02.009.21." u="1"/>
        <s v="3.43.4301.51.0-101024.2.3.2.02.02.009.16." u="1"/>
        <s v="3.43.4301.53.4-205617.2.3.3.09.17." u="1"/>
        <s v="3.43.4301.50.4-271130.2.3.2.02.02.009.20." u="1"/>
        <s v="1.45.4599.77.0-101024.2.3.2.01.01.003.02.08" u="1"/>
        <s v="1.45.4599.77.0-101024.2.3.2.02.02.008.54." u="1"/>
        <s v="1.45.4599.77.0-101024.2.3.2.02.02.008.30." u="1"/>
        <s v="1.45.4599.77.4-101124.2.3.2.02.02.008.31." u="1"/>
        <s v="1.45.4599.77.0-205128.2.3.2.02.02.008.55." u="1"/>
        <s v="1.45.4599.54.0-205128.2.3.2.02.02.008.22." u="1"/>
        <s v="2.43.4302.22.0-101024.2.3.3.08.06." u="1"/>
        <s v="1.45.4501.04.0-205618.2.3.2.02.02.005.10." u="1"/>
        <s v="1.45.4501.04.0-202029.2.3.2.02.02.005.05." u="1"/>
        <s v="1.43.4599.77.0-101024.2.3.2.02.02.009.26." u="1"/>
        <s v="1.43.4599.77.0-271130.2.3.2.02.02.009.27." u="1"/>
        <s v="1.43.4599.77.4-271130.2.3.2.02.02.008.26." u="1"/>
        <s v="1.43.4599.77.4-271130.2.3.2.02.02.009.28." u="1"/>
        <s v="1.45.4599.77.0-101024.2.3.2.02.02.008.27." u="1"/>
        <s v="1.45.4599.77.0-101024.2.3.2.02.02.008.53." u="1"/>
        <s v="1.45.4599.77.0-205128.2.3.2.02.02.008.28." u="1"/>
        <s v="2.43.4302.84.0-205400.2.3.2.02.02.009.30." u="1"/>
        <s v="2.43.4301.02.4-101124.2.3.3.09.17." u="1"/>
        <s v="2.43.4302.03.0-205128.2.3.2.02.02.009.32." u="1"/>
        <s v="2.43.4302.87.4-205128.2.3.3.09.17." u="1"/>
        <s v="2.43.4302.84.4-101124.2.3.2.02.02.009.48." u="1"/>
        <s v="2.43.4302.84.0-205400.2.3.2.02.02.008.32." u="1"/>
        <s v="2.43.4302.84.4-101124.2.3.2.02.02.006.10." u="1"/>
        <s v="2.43.4302.87.4-101124.2.3.3.09.17." u="1"/>
        <s v="2.43.4302.87.4-101124.2.3.2.02.02.008.39." u="1"/>
        <s v="2.43.4302.87.0-205400.2.3.2.02.02.008.49." u="1"/>
        <s v="2.43.4302.03.4-101124.2.3.2.02.02.008.40." u="1"/>
        <s v="2.43.4302.03.4-101124.2.3.2.02.01.003.08." u="1"/>
        <s v="2.43.4302.03.0-205128.2.3.2.02.02.008.38." u="1"/>
        <s v="2.43.4302.03.0-205400.2.3.2.02.02.009.33." u="1"/>
        <s v="2.43.4302.03.4-101124.2.3.2.02.02.009.34." u="1"/>
        <s v="2.43.4301.02.0-205400.2.3.2.02.02.009.49." u="1"/>
        <s v="2.43.4301.02.4-101124.2.3.2.02.02.008.36." u="1"/>
        <s v="2.43.4301.02.0-101024.2.3.3.09.17." u="1"/>
        <s v="2.43.4301.02.0-205400.2.3.2.02.02.008.33." u="1"/>
        <s v="2.43.4302.85.0-101024.2.3.2.02.02.006.16." u="1"/>
        <s v="2.43.4302.85.0-492015.2.3.3.08.06." u="1"/>
        <s v="2.43.4302.85.0-492148.2.3.3.08.06." u="1"/>
        <s v="2.43.4302.85.0-101024.2.3.2.02.02.009.53." u="1"/>
        <s v="2.43.4302.85.0-205400.2.3.2.02.02.009.56." u="1"/>
        <s v="2.43.4302.85.4-205400.2.3.3.08.06." u="1"/>
        <s v="2.43.4302.85.4-101124.2.3.2.02.02.009.54." u="1"/>
        <s v="2.43.4302.85.4-101124.2.3.2.02.02.007.02." u="1"/>
        <s v="2.43.4302.85.4-205128.2.3.2.02.02.009.55." u="1"/>
        <s v="2.43.4302.03.0-101024.2.3.2.01.01.003.02.08" u="1"/>
        <s v="2.43.4302.85.0-101024.2.3.2.02.01.003.11." u="1"/>
        <s v="2.43.4302.85.4-101124.2.3.2.02.01.003.07." u="1"/>
        <s v="4.43.4302.75.0-205128.2.3.2.02.02.008.48." u="1"/>
        <s v="4.43.4302.75.4-202029.2.3.4.04." u="1"/>
        <s v="4.43.4302.75.0-101024.2.3.4.04." u="1"/>
        <s v="4.43.4302.75.0-205128.2.3.4.04." u="1"/>
        <s v="4.43.4302.75.0-202029.2.3.4.04." u="1"/>
        <s v="4.43.4302.75.0-205128.2.3.2.02.02.005.04." u="1"/>
        <s v="4.43.4302.75.0-101024.2.3.2.02.01.004.06." u="1"/>
        <s v="4.43.4302.75.0-205128.2.3.2.02.02.006.15." u="1"/>
        <s v="4.43.4302.75.0-101024.2.3.2.02.02.008.46." u="1"/>
        <s v="4.43.4302.75.0-101024.2.3.2.02.02.006.14." u="1"/>
        <s v="3.43.4301.46.0-101024.2.3.2.02.02.009.17." u="1"/>
        <s v="3.43.4301.73.0-101024.2.3.2.02.02.009.51." u="1"/>
        <s v="3.43.4301.73.0-205400.2.3.2.02.02.009.44." u="1"/>
        <s v="3.43.4301.74.0-205128.2.3.2.02.01.003.09." u="1"/>
        <s v="3.43.4301.10.0-205400.2.3.2.02.02.008.51." u="1"/>
        <s v="3.43.4301.72.0-205128.2.3.2.02.02.009.47." u="1"/>
        <s v="3.43.4301.01.0-101024.2.3.2.02.02.008.52." u="1"/>
        <s v="3.43.4301.72.0-205128.2.3.2.02.02.008.45." u="1"/>
        <s v="3.43.4301.73.0-205128.2.3.2.02.02.008.44." u="1"/>
        <s v="3.43.4301.01.0-205128.2.3.2.02.02.009.35." u="1"/>
        <s v="3.43.4301.10.4-205617.2.3.3.09.17." u="1"/>
        <s v="3.43.4301.01.0-205128.2.3.2.02.02.009.37." u="1"/>
        <s v="3.43.4301.01.0-205128.2.3.2.02.02.008.43." u="1"/>
        <s v="3.43.4301.01.0-205128.2.3.2.02.02.009.36." u="1"/>
        <s v="3.43.4301.01.4-205128.2.3.2.02.02.009.38." u="1"/>
        <s v="3.43.4301.01.0-205128.2.3.2.02.02.008.41." u="1"/>
        <s v="3.43.4301.73.0-205128.2.3.2.02.02.006.12." u="1"/>
        <s v="1.00.0000.00.0-101024.2.1.8.01.51." u="1"/>
        <s v="3.43.4301.73.0-271130.2.3.2.02.02.009.60." u="1"/>
        <s v="3.43.4301.50.0-101024.2.3.2.02.02.009.15." u="1"/>
        <s v="1.00.0000.00.0-205616,2.1.6.01.04.010." u="1"/>
        <s v="1.00.0000.00.0-205616,2.1.2.02.02.009.03." u="1"/>
      </sharedItems>
    </cacheField>
    <cacheField name="Rubro Corto (Formulado)" numFmtId="0">
      <sharedItems containsSemiMixedTypes="0" containsString="0" containsNumber="1" containsInteger="1" minValue="1" maxValue="105"/>
    </cacheField>
    <cacheField name="NOMBRE RUBRO (Formulado)" numFmtId="0">
      <sharedItems longText="1"/>
    </cacheField>
    <cacheField name="PROYECTO (formulado)2" numFmtId="0">
      <sharedItems/>
    </cacheField>
    <cacheField name="FONDO (formulado)" numFmtId="0">
      <sharedItems/>
    </cacheField>
    <cacheField name="PLAZO (manual)" numFmtId="0">
      <sharedItems containsBlank="1" containsMixedTypes="1" containsNumber="1" minValue="1" maxValue="294"/>
    </cacheField>
    <cacheField name="MES DIA O AÑO (manual)" numFmtId="0">
      <sharedItems containsBlank="1"/>
    </cacheField>
    <cacheField name="CDP (manual)" numFmtId="0">
      <sharedItems containsMixedTypes="1" containsNumber="1" containsInteger="1" minValue="0" maxValue="470"/>
    </cacheField>
    <cacheField name="¿Se requieren vigencias futuras? (MANUAL)" numFmtId="0">
      <sharedItems/>
    </cacheField>
    <cacheField name="Fecha estimada de inicio de proceso de selección (mes) (manual)" numFmtId="0">
      <sharedItems containsBlank="1"/>
    </cacheField>
    <cacheField name="Fecha estimada de presentación de ofertas (mes) (manual)" numFmtId="0">
      <sharedItems containsBlank="1"/>
    </cacheField>
    <cacheField name="NUMERO CONTRATO" numFmtId="164">
      <sharedItems containsMixedTypes="1" containsNumber="1" containsInteger="1" minValue="1" maxValue="6122024"/>
    </cacheField>
    <cacheField name="CONTRATISTA" numFmtId="0">
      <sharedItems containsMixedTypes="1" containsNumber="1" containsInteger="1" minValue="0" maxValue="0"/>
    </cacheField>
    <cacheField name="NUMERO COMPROMISO -RCP" numFmtId="0">
      <sharedItems containsMixedTypes="1" containsNumber="1" containsInteger="1" minValue="1" maxValue="782"/>
    </cacheField>
    <cacheField name="COMPROMETIDO" numFmtId="164">
      <sharedItems containsSemiMixedTypes="0" containsString="0" containsNumber="1" containsInteger="1" minValue="0" maxValue="1000000000"/>
    </cacheField>
    <cacheField name="VALOR A LIBERAR" numFmtId="164">
      <sharedItems containsSemiMixedTypes="0" containsString="0" containsNumber="1" minValue="-7.4505805969238281E-9" maxValue="9285353033"/>
    </cacheField>
    <cacheField name="PAGADO" numFmtId="164">
      <sharedItems containsSemiMixedTypes="0" containsString="0" containsNumber="1" containsInteger="1" minValue="0" maxValue="471378000"/>
    </cacheField>
    <cacheField name="FALTANTE POR PAGAR" numFmtId="164">
      <sharedItems containsSemiMixedTypes="0" containsString="0" containsNumber="1" containsInteger="1" minValue="0" maxValue="1000000000"/>
    </cacheField>
    <cacheField name="RCP-RUBRO" numFmtId="0">
      <sharedItems/>
    </cacheField>
    <cacheField name="INDICADOR" numFmtId="0">
      <sharedItems containsMixedTypes="1" containsNumber="1" containsInteger="1" minValue="52010701" maxValue="52011002"/>
    </cacheField>
    <cacheField name="Pago por Contrato" numFmtId="0">
      <sharedItems containsMixedTypes="1" containsNumber="1" containsInteger="1" minValue="0" maxValue="471378000"/>
    </cacheField>
    <cacheField name="Comprometido Contrato" numFmtId="0">
      <sharedItems containsMixedTypes="1" containsNumber="1" containsInteger="1" minValue="7270400" maxValue="100000000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60">
  <r>
    <n v="1"/>
    <s v="N/A"/>
    <s v="SUBGERENCIA ADMINISTRATIVA Y FINANCIERA"/>
    <s v="FUNCIONAMIENTO"/>
    <x v="0"/>
    <n v="999999"/>
    <x v="0"/>
    <n v="999999"/>
    <n v="7156140263"/>
    <s v="SUELDO BÁSICO"/>
    <s v="NO CONTRATADO"/>
    <s v="RESOLUCIÓN"/>
    <s v="RESOLUCIÓN"/>
    <x v="0"/>
    <n v="1"/>
    <s v="Sueldo básico"/>
    <s v="00"/>
    <s v="0-205616"/>
    <n v="12"/>
    <s v="MESES"/>
    <s v=""/>
    <s v="NO"/>
    <s v="ENERO "/>
    <s v="ENERO "/>
    <s v=""/>
    <s v=""/>
    <s v=""/>
    <n v="0"/>
    <n v="7156140263"/>
    <n v="0"/>
    <n v="0"/>
    <s v="1.00.0000.00.0-205616.2.1.1.01.01.001.01."/>
    <s v=""/>
    <s v=""/>
    <s v=""/>
  </r>
  <r>
    <n v="2"/>
    <s v="N/A"/>
    <s v="SUBGERENCIA ADMINISTRATIVA Y FINANCIERA"/>
    <s v="FUNCIONAMIENTO"/>
    <x v="0"/>
    <n v="999999"/>
    <x v="0"/>
    <n v="999999"/>
    <n v="271000000"/>
    <s v="HORAS EXTRAS, DOMINICALES, FESTIVOS Y RECARGOS"/>
    <s v="NO CONTRATADO"/>
    <s v="RESOLUCIÓN"/>
    <s v="RESOLUCIÓN"/>
    <x v="1"/>
    <n v="2"/>
    <s v="Horas extras, dominicales, festivos y recargos"/>
    <s v="00"/>
    <s v="0-205616"/>
    <n v="12"/>
    <s v="MESES"/>
    <s v=""/>
    <s v="NO"/>
    <s v="ENERO "/>
    <s v="ENERO "/>
    <s v=""/>
    <s v=""/>
    <s v=""/>
    <n v="0"/>
    <n v="271000000"/>
    <n v="0"/>
    <n v="0"/>
    <s v="1.00.0000.00.0-205616.2.1.1.01.01.001.02."/>
    <s v=""/>
    <s v=""/>
    <s v=""/>
  </r>
  <r>
    <n v="3"/>
    <s v="N/A"/>
    <s v="SUBGERENCIA ADMINISTRATIVA Y FINANCIERA"/>
    <s v="FUNCIONAMIENTO"/>
    <x v="0"/>
    <n v="999999"/>
    <x v="0"/>
    <n v="999999"/>
    <n v="50000000"/>
    <s v="PRIMA DE SERVICIOS"/>
    <s v="NO CONTRATADO"/>
    <s v="RESOLUCIÓN"/>
    <s v="RESOLUCIÓN"/>
    <x v="2"/>
    <n v="3"/>
    <s v="Prima de servicios"/>
    <s v="00"/>
    <s v="0-205616"/>
    <n v="12"/>
    <s v="MESES"/>
    <s v=""/>
    <s v="NO"/>
    <s v="ENERO "/>
    <s v="ENERO "/>
    <s v=""/>
    <s v=""/>
    <s v=""/>
    <n v="0"/>
    <n v="50000000"/>
    <n v="0"/>
    <n v="0"/>
    <s v="1.00.0000.00.0-205616.2.1.1.01.01.001.06."/>
    <s v=""/>
    <s v=""/>
    <s v=""/>
  </r>
  <r>
    <n v="4"/>
    <s v="N/A"/>
    <s v="SUBGERENCIA ADMINISTRATIVA Y FINANCIERA"/>
    <s v="FUNCIONAMIENTO"/>
    <x v="0"/>
    <n v="999999"/>
    <x v="0"/>
    <n v="999999"/>
    <n v="800000000"/>
    <s v="GASTOS DE VIAJES Y COMISIONES DE SERVIDORES PÚBLICOS Y MIEMBROS DE LA JUNTA DIRECTIVA "/>
    <s v="NO CONTRATADO"/>
    <s v="RESOLUCIÓN"/>
    <s v="RESOLUCIÓN"/>
    <x v="3"/>
    <n v="7"/>
    <s v="Viáticos de los funcionarios en comisión"/>
    <s v="00"/>
    <s v="0-205616"/>
    <n v="12"/>
    <s v="MESES"/>
    <s v=""/>
    <s v="NO"/>
    <s v="ENERO "/>
    <s v="ENERO "/>
    <s v=""/>
    <s v=""/>
    <s v=""/>
    <n v="0"/>
    <n v="800000000"/>
    <n v="0"/>
    <n v="0"/>
    <s v="1.00.0000.00.0-205616.2.1.1.01.01.001.10."/>
    <s v=""/>
    <s v=""/>
    <s v=""/>
  </r>
  <r>
    <n v="5"/>
    <s v="N/A"/>
    <s v="SUBGERENCIA ADMINISTRATIVA Y FINANCIERA"/>
    <s v="FUNCIONAMIENTO"/>
    <x v="0"/>
    <n v="999999"/>
    <x v="0"/>
    <n v="999999"/>
    <n v="50000000"/>
    <s v="PRIMA DE NAVIDAD"/>
    <s v="NO CONTRATADO"/>
    <s v="RESOLUCIÓN"/>
    <s v="RESOLUCIÓN"/>
    <x v="4"/>
    <n v="5"/>
    <s v="Prima de navidad"/>
    <s v="00"/>
    <s v="0-205616"/>
    <n v="12"/>
    <s v="MESES"/>
    <s v=""/>
    <s v="NO"/>
    <s v="ENERO "/>
    <s v="ENERO "/>
    <s v=""/>
    <s v=""/>
    <s v=""/>
    <n v="0"/>
    <n v="50000000"/>
    <n v="0"/>
    <n v="0"/>
    <s v="1.00.0000.00.0-205616.2.1.1.01.01.001.08.01"/>
    <s v=""/>
    <s v=""/>
    <s v=""/>
  </r>
  <r>
    <n v="6"/>
    <s v="N/A"/>
    <s v="SUBGERENCIA ADMINISTRATIVA Y FINANCIERA"/>
    <s v="FUNCIONAMIENTO"/>
    <x v="0"/>
    <n v="999999"/>
    <x v="0"/>
    <n v="999999"/>
    <n v="524084697"/>
    <s v="PRIMA DE VACACIONES"/>
    <s v="NO CONTRATADO"/>
    <s v="RESOLUCIÓN"/>
    <s v="RESOLUCIÓN"/>
    <x v="5"/>
    <n v="6"/>
    <s v="Prima de vacaciones"/>
    <s v="00"/>
    <s v="0-205616"/>
    <n v="12"/>
    <s v="MESES"/>
    <s v=""/>
    <s v="NO"/>
    <s v="ENERO "/>
    <s v="ENERO "/>
    <s v=""/>
    <s v=""/>
    <s v=""/>
    <n v="0"/>
    <n v="524084697"/>
    <n v="0"/>
    <n v="0"/>
    <s v="1.00.0000.00.0-205616.2.1.1.01.01.001.08.02"/>
    <s v=""/>
    <s v=""/>
    <s v=""/>
  </r>
  <r>
    <n v="7"/>
    <s v="N/A"/>
    <s v="SUBGERENCIA ADMINISTRATIVA Y FINANCIERA"/>
    <s v="FUNCIONAMIENTO"/>
    <x v="0"/>
    <n v="999999"/>
    <x v="0"/>
    <n v="999999"/>
    <n v="345968349"/>
    <s v="BONIFICACIÓN POR SERVICIOS PRESTADOS"/>
    <s v="NO CONTRATADO"/>
    <s v="RESOLUCIÓN"/>
    <s v="RESOLUCIÓN"/>
    <x v="6"/>
    <n v="4"/>
    <s v="Bonificación por servicios prestados"/>
    <s v="00"/>
    <s v="0-205616"/>
    <n v="12"/>
    <s v="MESES"/>
    <s v=""/>
    <s v="NO"/>
    <s v="ENERO "/>
    <s v="ENERO "/>
    <s v=""/>
    <s v=""/>
    <s v=""/>
    <n v="0"/>
    <n v="345968349"/>
    <n v="0"/>
    <n v="0"/>
    <s v="1.00.0000.00.0-205616.2.1.1.01.01.001.07."/>
    <s v=""/>
    <s v=""/>
    <s v=""/>
  </r>
  <r>
    <n v="8"/>
    <s v="N/A"/>
    <s v="SUBGERENCIA ADMINISTRATIVA Y FINANCIERA"/>
    <s v="FUNCIONAMIENTO"/>
    <x v="0"/>
    <n v="999999"/>
    <x v="0"/>
    <n v="999999"/>
    <n v="1548787700"/>
    <s v="APORTES A LA SEGURIDAD SOCIAL EN PENSIONES"/>
    <s v="NO CONTRATADO"/>
    <s v="RESOLUCIÓN"/>
    <s v="RESOLUCIÓN"/>
    <x v="7"/>
    <n v="8"/>
    <s v="Aportes a la seguridad social en pensiones"/>
    <s v="00"/>
    <s v="0-205616"/>
    <n v="12"/>
    <s v="MESES"/>
    <s v=""/>
    <s v="NO"/>
    <s v="ENERO "/>
    <s v="ENERO "/>
    <s v=""/>
    <s v=""/>
    <s v=""/>
    <n v="0"/>
    <n v="1548787700"/>
    <n v="0"/>
    <n v="0"/>
    <s v="1.00.0000.00.0-205616.2.1.1.01.02.001."/>
    <s v=""/>
    <s v=""/>
    <s v=""/>
  </r>
  <r>
    <n v="9"/>
    <s v="N/A"/>
    <s v="SUBGERENCIA ADMINISTRATIVA Y FINANCIERA"/>
    <s v="FUNCIONAMIENTO"/>
    <x v="0"/>
    <n v="999999"/>
    <x v="0"/>
    <n v="999999"/>
    <n v="1097061700"/>
    <s v="APORTES A LA SEGURIDAD SOCIAL EN SALUD"/>
    <s v="NO CONTRATADO"/>
    <s v="RESOLUCIÓN"/>
    <s v="RESOLUCIÓN"/>
    <x v="8"/>
    <n v="9"/>
    <s v="Aportes a la seguridad social en salud"/>
    <s v="00"/>
    <s v="0-205616"/>
    <n v="12"/>
    <s v="MESES"/>
    <s v=""/>
    <s v="NO"/>
    <s v="ENERO "/>
    <s v="ENERO "/>
    <s v=""/>
    <s v=""/>
    <s v=""/>
    <n v="0"/>
    <n v="1097061700"/>
    <n v="0"/>
    <n v="0"/>
    <s v="1.00.0000.00.0-205616.2.1.1.01.02.002."/>
    <s v=""/>
    <s v=""/>
    <s v=""/>
  </r>
  <r>
    <n v="10"/>
    <s v="N/A"/>
    <s v="SUBGERENCIA ADMINISTRATIVA Y FINANCIERA"/>
    <s v="FUNCIONAMIENTO"/>
    <x v="0"/>
    <n v="999999"/>
    <x v="0"/>
    <n v="999999"/>
    <n v="100000000"/>
    <s v="APORTES DE CESANTÍAS"/>
    <s v="NO CONTRATADO"/>
    <s v="RESOLUCIÓN"/>
    <s v="RESOLUCIÓN"/>
    <x v="9"/>
    <n v="10"/>
    <s v="Aportes de cesantías"/>
    <s v="00"/>
    <s v="0-205616"/>
    <n v="12"/>
    <s v="MESES"/>
    <s v=""/>
    <s v="NO"/>
    <s v="ENERO "/>
    <s v="ENERO "/>
    <s v=""/>
    <s v=""/>
    <s v=""/>
    <n v="0"/>
    <n v="100000000"/>
    <n v="0"/>
    <n v="0"/>
    <s v="1.00.0000.00.0-205616.2.1.1.01.02.003."/>
    <s v=""/>
    <s v=""/>
    <s v=""/>
  </r>
  <r>
    <n v="11"/>
    <s v="N/A"/>
    <s v="SUBGERENCIA ADMINISTRATIVA Y FINANCIERA"/>
    <s v="FUNCIONAMIENTO"/>
    <x v="0"/>
    <n v="999999"/>
    <x v="0"/>
    <n v="999999"/>
    <n v="604287400"/>
    <s v="APORTES A CAJAS DE COMPENSACIÓN FAMILIAR"/>
    <s v="NO CONTRATADO"/>
    <s v="RESOLUCIÓN"/>
    <s v="RESOLUCIÓN"/>
    <x v="10"/>
    <n v="11"/>
    <s v="Aportes a cajas de compensación familiar"/>
    <s v="00"/>
    <s v="0-205616"/>
    <n v="12"/>
    <s v="MESES"/>
    <s v=""/>
    <s v="NO"/>
    <s v="ENERO "/>
    <s v="ENERO "/>
    <s v=""/>
    <s v=""/>
    <s v=""/>
    <n v="0"/>
    <n v="604287400"/>
    <n v="0"/>
    <n v="0"/>
    <s v="1.00.0000.00.0-205616.2.1.1.01.02.004."/>
    <s v=""/>
    <s v=""/>
    <s v=""/>
  </r>
  <r>
    <n v="12"/>
    <s v="N/A"/>
    <s v="SUBGERENCIA ADMINISTRATIVA Y FINANCIERA"/>
    <s v="FUNCIONAMIENTO"/>
    <x v="0"/>
    <n v="999999"/>
    <x v="0"/>
    <n v="999999"/>
    <n v="141636700"/>
    <s v="APORTES GENERALES AL SISTEMA DE RIESGOS LABORALES"/>
    <s v="NO CONTRATADO"/>
    <s v="RESOLUCIÓN"/>
    <s v="RESOLUCIÓN"/>
    <x v="11"/>
    <n v="12"/>
    <s v="Aportes generales al sistema de riesgos laborales"/>
    <s v="00"/>
    <s v="0-205616"/>
    <n v="12"/>
    <s v="MESES"/>
    <s v=""/>
    <s v="NO"/>
    <s v="ENERO "/>
    <s v="ENERO "/>
    <s v=""/>
    <s v=""/>
    <s v=""/>
    <n v="0"/>
    <n v="141636700"/>
    <n v="0"/>
    <n v="0"/>
    <s v="1.00.0000.00.0-205616.2.1.1.01.02.005."/>
    <s v=""/>
    <s v=""/>
    <s v=""/>
  </r>
  <r>
    <n v="13"/>
    <s v="N/A"/>
    <s v="SUBGERENCIA ADMINISTRATIVA Y FINANCIERA"/>
    <s v="FUNCIONAMIENTO"/>
    <x v="0"/>
    <n v="999999"/>
    <x v="0"/>
    <n v="999999"/>
    <n v="453216700"/>
    <s v="APORTES AL ICBF"/>
    <s v="NO CONTRATADO"/>
    <s v="RESOLUCIÓN"/>
    <s v="RESOLUCIÓN"/>
    <x v="12"/>
    <n v="13"/>
    <s v="Aportes al ICBF"/>
    <s v="00"/>
    <s v="0-205616"/>
    <n v="12"/>
    <s v="MESES"/>
    <s v=""/>
    <s v="NO"/>
    <s v="ENERO "/>
    <s v="ENERO "/>
    <s v=""/>
    <s v=""/>
    <s v=""/>
    <n v="0"/>
    <n v="453216700"/>
    <n v="0"/>
    <n v="0"/>
    <s v="1.00.0000.00.0-205616.2.1.1.01.02.006."/>
    <s v=""/>
    <s v=""/>
    <s v=""/>
  </r>
  <r>
    <n v="14"/>
    <s v="N/A"/>
    <s v="SUBGERENCIA ADMINISTRATIVA Y FINANCIERA"/>
    <s v="FUNCIONAMIENTO"/>
    <x v="0"/>
    <n v="999999"/>
    <x v="0"/>
    <n v="999999"/>
    <n v="302147000"/>
    <s v="APORTES AL SENA"/>
    <s v="NO CONTRATADO"/>
    <s v="RESOLUCIÓN"/>
    <s v="RESOLUCIÓN"/>
    <x v="13"/>
    <n v="14"/>
    <s v="Aportes al SENA"/>
    <s v="00"/>
    <s v="0-205616"/>
    <n v="12"/>
    <s v="MESES"/>
    <s v=""/>
    <s v="NO"/>
    <s v="ENERO "/>
    <s v="ENERO "/>
    <s v=""/>
    <s v=""/>
    <s v=""/>
    <n v="0"/>
    <n v="302147000"/>
    <n v="0"/>
    <n v="0"/>
    <s v="1.00.0000.00.0-205616.2.1.1.01.02.007."/>
    <s v=""/>
    <s v=""/>
    <s v=""/>
  </r>
  <r>
    <n v="15"/>
    <s v="N/A"/>
    <s v="SUBGERENCIA ADMINISTRATIVA Y FINANCIERA"/>
    <s v="FUNCIONAMIENTO"/>
    <x v="0"/>
    <n v="999999"/>
    <x v="0"/>
    <n v="999999"/>
    <n v="698779596"/>
    <s v="VACACIONES"/>
    <s v="NO CONTRATADO"/>
    <s v="RESOLUCIÓN"/>
    <s v="RESOLUCIÓN"/>
    <x v="14"/>
    <n v="15"/>
    <s v="Vacaciones"/>
    <s v="00"/>
    <s v="0-205616"/>
    <n v="12"/>
    <s v="MESES"/>
    <s v=""/>
    <s v="NO"/>
    <s v="ENERO "/>
    <s v="ENERO "/>
    <s v=""/>
    <s v=""/>
    <s v=""/>
    <n v="0"/>
    <n v="698779596"/>
    <n v="0"/>
    <n v="0"/>
    <s v="1.00.0000.00.0-205616.2.1.1.01.03.001.01."/>
    <s v=""/>
    <s v=""/>
    <s v=""/>
  </r>
  <r>
    <n v="16"/>
    <s v="N/A"/>
    <s v="SUBGERENCIA ADMINISTRATIVA Y FINANCIERA"/>
    <s v="FUNCIONAMIENTO"/>
    <x v="0"/>
    <n v="999999"/>
    <x v="0"/>
    <n v="999999"/>
    <n v="50000000"/>
    <s v="INDEMNIZACION POR VACACIONES"/>
    <s v="NO CONTRATADO"/>
    <s v="RESOLUCIÓN"/>
    <s v="RESOLUCIÓN"/>
    <x v="15"/>
    <n v="16"/>
    <s v="Indemnizacion por Vacaciones"/>
    <s v="00"/>
    <s v="0-205616"/>
    <n v="12"/>
    <s v="MESES"/>
    <s v=""/>
    <s v="NO"/>
    <s v="ENERO "/>
    <s v="ENERO "/>
    <s v=""/>
    <s v=""/>
    <s v=""/>
    <n v="0"/>
    <n v="50000000"/>
    <n v="0"/>
    <n v="0"/>
    <s v="1.00.0000.00.0-205616.2.1.1.01.03.001.02."/>
    <s v=""/>
    <s v=""/>
    <s v=""/>
  </r>
  <r>
    <n v="17"/>
    <s v="N/A"/>
    <s v="SUBGERENCIA ADMINISTRATIVA Y FINANCIERA"/>
    <s v="FUNCIONAMIENTO"/>
    <x v="0"/>
    <n v="999999"/>
    <x v="0"/>
    <n v="999999"/>
    <n v="65898733"/>
    <s v="BONIFICACIÓN ESPECIAL POR RECREACIÓN"/>
    <s v="NO CONTRATADO"/>
    <s v="RESOLUCIÓN"/>
    <s v="RESOLUCIÓN"/>
    <x v="16"/>
    <n v="17"/>
    <s v="Bonificación Especial por Recreación"/>
    <s v="00"/>
    <s v="0-205616"/>
    <n v="12"/>
    <s v="MESES"/>
    <s v=""/>
    <s v="NO"/>
    <s v="ENERO "/>
    <s v="ENERO "/>
    <s v=""/>
    <s v=""/>
    <s v=""/>
    <n v="0"/>
    <n v="65898733"/>
    <n v="0"/>
    <n v="0"/>
    <s v="1.00.0000.00.0-205616.2.1.1.01.03.001.03."/>
    <s v=""/>
    <s v=""/>
    <s v=""/>
  </r>
  <r>
    <n v="18"/>
    <s v="N/A"/>
    <s v="SUBGERENCIA ADMINISTRATIVA Y FINANCIERA"/>
    <s v="FUNCIONAMIENTO"/>
    <x v="0"/>
    <n v="999999"/>
    <x v="0"/>
    <n v="999999"/>
    <n v="21450000"/>
    <s v="CENTRO DE PRACTICAS - PRACTICANTES"/>
    <s v="NO CONTRATADO"/>
    <s v="RESOLUCIÓN"/>
    <s v="RESOLUCIÓN"/>
    <x v="17"/>
    <n v="18"/>
    <s v="Apoyo de sostenimiento aprendices SENA"/>
    <s v="00"/>
    <s v="0-205616"/>
    <n v="12"/>
    <s v="MESES"/>
    <s v=""/>
    <s v="NO"/>
    <s v="ENERO "/>
    <s v="ENERO "/>
    <s v=""/>
    <s v=""/>
    <s v=""/>
    <n v="0"/>
    <n v="21450000"/>
    <n v="0"/>
    <n v="0"/>
    <s v="1.00.0000.00.0-205616.2.1.1.01.03.069."/>
    <s v=""/>
    <s v=""/>
    <s v=""/>
  </r>
  <r>
    <n v="19"/>
    <s v="N/A"/>
    <s v="SUBGERENCIA ADMINISTRATIVA Y FINANCIERA"/>
    <s v="FUNCIONAMIENTO"/>
    <x v="0"/>
    <n v="999999"/>
    <x v="0"/>
    <n v="999999"/>
    <n v="120000000"/>
    <s v="APOYO SALUD Y LENTES"/>
    <s v="NO CONTRATADO"/>
    <s v="RESOLUCIÓN"/>
    <s v="RESOLUCIÓN"/>
    <x v="18"/>
    <n v="19"/>
    <s v="Auxilios Médicos"/>
    <s v="00"/>
    <s v="0-205616"/>
    <n v="12"/>
    <s v="MESES"/>
    <s v=""/>
    <s v="NO"/>
    <s v="ENERO "/>
    <s v="ENERO "/>
    <s v=""/>
    <s v=""/>
    <s v=""/>
    <n v="0"/>
    <n v="120000000"/>
    <n v="0"/>
    <n v="0"/>
    <s v="1.00.0000.00.0-205616.2.1.1.01.03.110."/>
    <s v=""/>
    <s v=""/>
    <s v=""/>
  </r>
  <r>
    <n v="20"/>
    <s v="N/A"/>
    <s v="SUBGERENCIA ADMINISTRATIVA Y FINANCIERA"/>
    <s v="FUNCIONAMIENTO"/>
    <x v="0"/>
    <n v="999999"/>
    <x v="0"/>
    <n v="999999"/>
    <n v="50000000"/>
    <s v="CAPACITACIÓN POR DEMANDA"/>
    <s v="NO CONTRATADO"/>
    <s v="RESOLUCIÓN"/>
    <s v="RESOLUCIÓN"/>
    <x v="19"/>
    <n v="20"/>
    <s v="Auxilios Educativos - Capacitación por demanda"/>
    <s v="00"/>
    <s v="0-205616"/>
    <n v="12"/>
    <s v="MESES"/>
    <s v=""/>
    <s v="NO"/>
    <s v="ENERO "/>
    <s v="ENERO "/>
    <s v=""/>
    <s v=""/>
    <s v=""/>
    <n v="0"/>
    <n v="50000000"/>
    <n v="0"/>
    <n v="0"/>
    <s v="1.00.0000.00.0-205616.2.1.1.01.03.111.01."/>
    <s v=""/>
    <s v=""/>
    <s v=""/>
  </r>
  <r>
    <n v="21"/>
    <s v="N/A"/>
    <s v="SUBGERENCIA ADMINISTRATIVA Y FINANCIERA"/>
    <s v="FUNCIONAMIENTO"/>
    <x v="0"/>
    <n v="999999"/>
    <x v="0"/>
    <n v="999999"/>
    <n v="26000000"/>
    <s v="APOYO PARA EL APRENDIZAJE DE LA SEGUNDA LENGUA"/>
    <s v="NO CONTRATADO"/>
    <s v="RESOLUCIÓN"/>
    <s v="RESOLUCIÓN"/>
    <x v="20"/>
    <n v="21"/>
    <s v="Auxilios Educativos - Segunda Lengua"/>
    <s v="00"/>
    <s v="0-205616"/>
    <n v="12"/>
    <s v="MESES"/>
    <s v=""/>
    <s v="NO"/>
    <s v="ENERO "/>
    <s v="ENERO "/>
    <s v=""/>
    <s v=""/>
    <s v=""/>
    <n v="0"/>
    <n v="26000000"/>
    <n v="0"/>
    <n v="0"/>
    <s v="1.00.0000.00.0-205616.2.1.1.01.03.111.02."/>
    <s v=""/>
    <s v=""/>
    <s v=""/>
  </r>
  <r>
    <n v="22"/>
    <s v="N/A"/>
    <s v="SUBGERENCIA ADMINISTRATIVA Y FINANCIERA"/>
    <s v="FUNCIONAMIENTO"/>
    <x v="0"/>
    <n v="999999"/>
    <x v="0"/>
    <n v="999999"/>
    <n v="64350000"/>
    <s v="ACUERDO FONDO EDUCACIÓN"/>
    <s v="NO CONTRATADO"/>
    <s v="RESOLUCIÓN"/>
    <s v="RESOLUCIÓN"/>
    <x v="21"/>
    <n v="22"/>
    <s v="Auxilios Educativos - Acuerdo Fondo Educación"/>
    <s v="00"/>
    <s v="0-205616"/>
    <n v="12"/>
    <s v="MESES"/>
    <s v=""/>
    <s v="NO"/>
    <s v="ENERO "/>
    <s v="ENERO "/>
    <s v=""/>
    <s v=""/>
    <s v=""/>
    <n v="0"/>
    <n v="64350000"/>
    <n v="0"/>
    <n v="0"/>
    <s v="1.00.0000.00.0-205616.2.1.1.01.03.111.03."/>
    <s v=""/>
    <s v=""/>
    <s v=""/>
  </r>
  <r>
    <n v="23"/>
    <s v="N/A"/>
    <s v="SUBGERENCIA ADMINISTRATIVA Y FINANCIERA"/>
    <s v="FUNCIONAMIENTO"/>
    <x v="0"/>
    <n v="999999"/>
    <x v="0"/>
    <n v="999999"/>
    <n v="120000000"/>
    <s v="APROVECHAMIENTO DEL TIEMPO LIBRE"/>
    <s v="NO CONTRATADO"/>
    <s v="RESOLUCIÓN"/>
    <s v="RESOLUCIÓN"/>
    <x v="22"/>
    <n v="23"/>
    <s v="Auxilios para Recreación"/>
    <s v="00"/>
    <s v="0-205616"/>
    <n v="12"/>
    <s v="MESES"/>
    <s v=""/>
    <s v="NO"/>
    <s v="ENERO "/>
    <s v="ENERO "/>
    <s v=""/>
    <s v=""/>
    <s v=""/>
    <n v="0"/>
    <n v="120000000"/>
    <n v="0"/>
    <n v="0"/>
    <s v="1.00.0000.00.0-205616.2.1.1.01.03.113."/>
    <s v=""/>
    <s v=""/>
    <s v=""/>
  </r>
  <r>
    <n v="24"/>
    <s v="N/A"/>
    <s v="SUBGERENCIA ADMINISTRATIVA Y FINANCIERA"/>
    <s v="FUNCIONAMIENTO"/>
    <x v="0"/>
    <n v="999999"/>
    <x v="0"/>
    <n v="999999"/>
    <n v="90000000"/>
    <s v="INCAPACIDADES (NO DE PENSIONES)"/>
    <s v="NO CONTRATADO"/>
    <s v="RESOLUCIÓN"/>
    <s v="RESOLUCIÓN"/>
    <x v="23"/>
    <n v="36"/>
    <s v="Incapacidades (no de pensiones)"/>
    <s v="00"/>
    <s v="0-205616"/>
    <n v="12"/>
    <s v="MESES"/>
    <s v=""/>
    <s v="NO"/>
    <s v="ENERO "/>
    <s v="ENERO "/>
    <s v=""/>
    <s v=""/>
    <s v=""/>
    <n v="0"/>
    <n v="90000000"/>
    <n v="0"/>
    <n v="0"/>
    <s v="1.00.0000.00.0-205616.2.1.3.07.02.010.01."/>
    <s v=""/>
    <s v=""/>
    <s v=""/>
  </r>
  <r>
    <n v="25"/>
    <s v="N/A"/>
    <s v="SUBGERENCIA ADMINISTRATIVA Y FINANCIERA"/>
    <s v="FUNCIONAMIENTO"/>
    <x v="0"/>
    <n v="999999"/>
    <x v="0"/>
    <n v="999999"/>
    <n v="60000000"/>
    <s v="LICENCIAS DE MATERNIDAD Y PATERNIDAD (NO DE PENSIONES)"/>
    <s v="NO CONTRATADO"/>
    <s v="RESOLUCIÓN"/>
    <s v="RESOLUCIÓN"/>
    <x v="24"/>
    <n v="37"/>
    <s v="Licencias de maternidad y paternidad (no de pensiones)"/>
    <s v="00"/>
    <s v="0-205616"/>
    <n v="12"/>
    <s v="MESES"/>
    <s v=""/>
    <s v="NO"/>
    <s v="ENERO "/>
    <s v="ENERO "/>
    <s v=""/>
    <s v=""/>
    <s v=""/>
    <n v="0"/>
    <n v="60000000"/>
    <n v="0"/>
    <n v="0"/>
    <s v="1.00.0000.00.0-205616.2.1.3.07.02.010.02."/>
    <s v=""/>
    <s v=""/>
    <s v=""/>
  </r>
  <r>
    <n v="26"/>
    <s v="N/A"/>
    <s v="SUBGERENCIA ADMINISTRATIVA Y FINANCIERA"/>
    <s v="FUNCIONAMIENTO"/>
    <x v="0"/>
    <n v="999999"/>
    <x v="0"/>
    <n v="999999"/>
    <n v="17129534"/>
    <s v="CAJA MENOR - OTROS BIENES TRANSPORTABLES (EXCEPTO PRODUCTOS METÁLICOS, MAQUINARIA Y EQUIPO)"/>
    <s v="NO CONTRATADO"/>
    <s v="RESOLUCIÓN"/>
    <s v="RESOLUCIÓN"/>
    <x v="25"/>
    <n v="26"/>
    <s v="Caja Menor - Otros bienes transportables (excepto productos metálicos, maquinaria y equipo)"/>
    <s v="00"/>
    <s v="0-205616"/>
    <n v="12"/>
    <s v="MESES"/>
    <s v=""/>
    <s v="NO"/>
    <s v="ENERO "/>
    <s v="ENERO "/>
    <s v=""/>
    <s v=""/>
    <s v=""/>
    <n v="0"/>
    <n v="17129534"/>
    <n v="0"/>
    <n v="0"/>
    <s v="1.00.0000.00.0-205616.2.1.2.02.01.003.02."/>
    <s v=""/>
    <s v=""/>
    <s v=""/>
  </r>
  <r>
    <n v="27"/>
    <s v="N/A"/>
    <s v="SUBGERENCIA ADMINISTRATIVA Y FINANCIERA"/>
    <s v="FUNCIONAMIENTO"/>
    <x v="0"/>
    <n v="999999"/>
    <x v="0"/>
    <n v="999999"/>
    <n v="25377088"/>
    <s v="CAJA MENOR - SERVICIOS DE ALOJAMIENTO; SERVICIOS DE SUMINISTRO DE COMIDAS Y BEBIDAS; SERVICIOS DE TRANSPORTE; Y SERVICIOS DE DISTRIBUCIÓN DE ELECTRICIDAD, GAS Y AGUA"/>
    <s v="NO CONTRATADO"/>
    <s v="RESOLUCIÓN"/>
    <s v="RESOLUCIÓN"/>
    <x v="26"/>
    <n v="28"/>
    <s v="Caja Menor - Servicios de alojamiento; servicios de suministro de comidas y bebidas; servicios de transporte; y servicios de distribución de electricidad, gas y agua"/>
    <s v="00"/>
    <s v="0-205616"/>
    <n v="12"/>
    <s v="MESES"/>
    <s v=""/>
    <s v="NO"/>
    <s v="ENERO "/>
    <s v="ENERO "/>
    <s v=""/>
    <s v=""/>
    <s v=""/>
    <n v="0"/>
    <n v="25377088"/>
    <n v="0"/>
    <n v="0"/>
    <s v="1.00.0000.00.0-205616.2.1.2.02.02.006.02."/>
    <s v=""/>
    <s v=""/>
    <s v=""/>
  </r>
  <r>
    <n v="28"/>
    <s v="N/A"/>
    <s v="SUBGERENCIA ADMINISTRATIVA Y FINANCIERA"/>
    <s v="FUNCIONAMIENTO"/>
    <x v="0"/>
    <n v="999999"/>
    <x v="0"/>
    <n v="999999"/>
    <n v="1380562"/>
    <s v="CAJA MENOR - SERVICIOS FINANCIEROS Y SERVICIOS CONEXOS, SERVICIOS INMOBILIARIOS Y SERVICIOS DE LEASING"/>
    <s v="NO CONTRATADO"/>
    <s v="RESOLUCIÓN"/>
    <s v="RESOLUCIÓN"/>
    <x v="27"/>
    <n v="29"/>
    <s v="Caja Menor - Servicios financieros y servicios conexos, servicios inmobiliarios y servicios de leasing"/>
    <s v="00"/>
    <s v="0-205616"/>
    <n v="12"/>
    <s v="MESES"/>
    <s v=""/>
    <s v="NO"/>
    <s v="ENERO "/>
    <s v="ENERO "/>
    <s v=""/>
    <s v=""/>
    <s v=""/>
    <n v="0"/>
    <n v="1380562"/>
    <n v="0"/>
    <n v="0"/>
    <s v="1.00.0000.00.0-205616.2.1.2.02.02.007.01."/>
    <s v=""/>
    <s v=""/>
    <s v=""/>
  </r>
  <r>
    <n v="29"/>
    <s v="N/A"/>
    <s v="SUBGERENCIA ADMINISTRATIVA Y FINANCIERA"/>
    <s v="FUNCIONAMIENTO"/>
    <x v="0"/>
    <n v="999999"/>
    <x v="0"/>
    <n v="999999"/>
    <n v="19032816"/>
    <s v="CAJA MENOR - SERVICIOS PRESTADOS A LAS EMPRESAS Y SERVICIOS DE PRODUCCIÓN "/>
    <s v="NO CONTRATADO"/>
    <s v="RESOLUCIÓN"/>
    <s v="RESOLUCIÓN"/>
    <x v="28"/>
    <n v="31"/>
    <s v="Caja Menor - Servicios prestados a las empresas y servicios de producción "/>
    <s v="00"/>
    <s v="0-205616"/>
    <n v="12"/>
    <s v="MESES"/>
    <s v=""/>
    <s v="NO"/>
    <s v="ENERO "/>
    <s v="ENERO "/>
    <s v=""/>
    <s v=""/>
    <s v=""/>
    <n v="0"/>
    <n v="19032816"/>
    <n v="0"/>
    <n v="0"/>
    <s v="1.00.0000.00.0-205616.2.1.2.02.02.008.02."/>
    <s v=""/>
    <s v=""/>
    <s v=""/>
  </r>
  <r>
    <n v="30"/>
    <s v="N/A"/>
    <s v="SUBGERENCIA ADMINISTRATIVA Y FINANCIERA"/>
    <s v="FUNCIONAMIENTO"/>
    <x v="0"/>
    <n v="999999"/>
    <x v="0"/>
    <n v="999999"/>
    <n v="50000000"/>
    <s v="SENTENCIAS"/>
    <s v="NO CONTRATADO"/>
    <s v="RESOLUCIÓN"/>
    <s v="RESOLUCIÓN"/>
    <x v="29"/>
    <n v="38"/>
    <s v="Sentencias"/>
    <s v="00"/>
    <s v="0-205616"/>
    <n v="12"/>
    <s v="MESES"/>
    <s v=""/>
    <s v="NO"/>
    <s v="ENERO "/>
    <s v="ENERO "/>
    <s v=""/>
    <s v=""/>
    <s v=""/>
    <n v="0"/>
    <n v="50000000"/>
    <n v="0"/>
    <n v="0"/>
    <s v="1.00.0000.00.0-205616.2.1.3.13.01.001."/>
    <s v=""/>
    <s v=""/>
    <s v=""/>
  </r>
  <r>
    <n v="31"/>
    <s v="N/A"/>
    <s v="SUBGERENCIA ADMINISTRATIVA Y FINANCIERA"/>
    <s v="FUNCIONAMIENTO"/>
    <x v="0"/>
    <n v="999999"/>
    <x v="0"/>
    <n v="999999"/>
    <n v="100000000"/>
    <s v="CONCILIACIONES"/>
    <s v="NO CONTRATADO"/>
    <s v="RESOLUCIÓN"/>
    <s v="RESOLUCIÓN"/>
    <x v="30"/>
    <n v="39"/>
    <s v="Conciliaciones"/>
    <s v="00"/>
    <s v="0-205616"/>
    <n v="12"/>
    <s v="MESES"/>
    <s v=""/>
    <s v="NO"/>
    <s v="ENERO "/>
    <s v="ENERO "/>
    <s v=""/>
    <s v=""/>
    <s v=""/>
    <n v="0"/>
    <n v="100000000"/>
    <n v="0"/>
    <n v="0"/>
    <s v="1.00.0000.00.0-205616.2.1.3.13.01.002."/>
    <s v=""/>
    <s v=""/>
    <s v=""/>
  </r>
  <r>
    <n v="32"/>
    <s v="N/A"/>
    <s v="SUBGERENCIA ADMINISTRATIVA Y FINANCIERA"/>
    <s v="FUNCIONAMIENTO"/>
    <x v="0"/>
    <n v="999999"/>
    <x v="0"/>
    <n v="999999"/>
    <n v="385599321"/>
    <s v="CUOTA DE FISCALIZACIÓN Y AUDITAJE"/>
    <s v="NO CONTRATADO"/>
    <s v="RESOLUCIÓN"/>
    <s v="RESOLUCIÓN"/>
    <x v="31"/>
    <n v="43"/>
    <s v="Cuota de fiscalización y auditaje"/>
    <s v="00"/>
    <s v="0-205616"/>
    <n v="12"/>
    <s v="MESES"/>
    <s v=""/>
    <s v="NO"/>
    <s v="ENERO "/>
    <s v="ENERO "/>
    <s v=""/>
    <s v=""/>
    <s v=""/>
    <n v="0"/>
    <n v="385599321"/>
    <n v="0"/>
    <n v="0"/>
    <s v="1.00.0000.00.0-205616.2.1.8.04.01."/>
    <s v=""/>
    <s v=""/>
    <s v=""/>
  </r>
  <r>
    <n v="33"/>
    <n v="80111600"/>
    <s v="SUBGERENCIA ADMINISTRATIVA Y FINANCIERA"/>
    <s v="FUNCIONAMIENTO"/>
    <x v="0"/>
    <n v="999999"/>
    <x v="0"/>
    <n v="999999"/>
    <n v="37609000"/>
    <s v="PRESTACIÓN DE SERVICIOS PROFESIONALES PARA APOYAR LOS PROCESOS FINANCIEROS Y CONTABLES DE INDEPORTES ANTIOQUIA."/>
    <s v="CONTRATADO"/>
    <s v="DIRECTA"/>
    <s v="PRESTACIÓN DE SERVICIOS PROFESIONALES Y DE APOYO  A  LA GESTIÓN"/>
    <x v="32"/>
    <n v="30"/>
    <s v="Servicios prestados a las empresas y servicios de producción "/>
    <s v="00"/>
    <s v="0-205616"/>
    <n v="5"/>
    <s v="MESES"/>
    <n v="27"/>
    <s v="NO"/>
    <s v="ENERO "/>
    <s v="ENERO "/>
    <n v="15"/>
    <s v="GLADYS PATRICIA GOMEZ BERNAL"/>
    <n v="85"/>
    <n v="37609000"/>
    <n v="0"/>
    <n v="6017440"/>
    <n v="31591560"/>
    <s v="851.00.0000.00.0-205616.2.1.2.02.02.008.01."/>
    <s v=""/>
    <n v="6017440"/>
    <n v="37609000"/>
  </r>
  <r>
    <n v="34"/>
    <s v="N/A"/>
    <s v="SUBGERENCIA ADMINISTRATIVA Y FINANCIERA"/>
    <s v="FUNCIONAMIENTO"/>
    <x v="0"/>
    <n v="999999"/>
    <x v="0"/>
    <n v="999999"/>
    <n v="30000000"/>
    <s v="PRÉSTAMOS POR CALAMIDAD DOMÉSTICA "/>
    <s v="NO CONTRATADO"/>
    <s v="RESOLUCIÓN"/>
    <s v="RESOLUCIÓN"/>
    <x v="33"/>
    <n v="40"/>
    <s v="Préstamos por calamidad doméstica "/>
    <s v="00"/>
    <s v="0-205616"/>
    <n v="12"/>
    <s v="MESES"/>
    <s v=""/>
    <s v="NO"/>
    <s v="ENERO "/>
    <s v="ENERO "/>
    <s v=""/>
    <s v=""/>
    <s v=""/>
    <n v="0"/>
    <n v="30000000"/>
    <n v="0"/>
    <n v="0"/>
    <s v="1.00.0000.00.0-205616.2.1.6.01.04.004."/>
    <s v=""/>
    <s v=""/>
    <s v=""/>
  </r>
  <r>
    <n v="35"/>
    <s v="N/A"/>
    <s v="SUBGERENCIA ADMINISTRATIVA Y FINANCIERA"/>
    <s v="FUNCIONAMIENTO"/>
    <x v="0"/>
    <n v="999999"/>
    <x v="0"/>
    <n v="999999"/>
    <n v="208000000"/>
    <s v="IMPUESTO PREDIAL UNIFICADO"/>
    <s v="NO CONTRATADO"/>
    <s v="RESOLUCIÓN"/>
    <s v="RESOLUCIÓN"/>
    <x v="34"/>
    <n v="42"/>
    <s v="Impuesto predial unificado"/>
    <s v="00"/>
    <s v="0-205616"/>
    <n v="12"/>
    <s v="MESES"/>
    <s v=""/>
    <s v="NO"/>
    <s v="ENERO "/>
    <s v="ENERO "/>
    <s v=""/>
    <s v=""/>
    <s v=""/>
    <n v="0"/>
    <n v="208000000"/>
    <n v="0"/>
    <n v="0"/>
    <s v="1.00.0000.00.0-205616.2.1.8.01.52."/>
    <s v=""/>
    <s v=""/>
    <s v=""/>
  </r>
  <r>
    <n v="36"/>
    <s v="N/A"/>
    <s v="SUBGERENCIA ADMINISTRATIVA Y FINANCIERA"/>
    <s v="FUNCIONAMIENTO"/>
    <x v="0"/>
    <n v="999999"/>
    <x v="0"/>
    <n v="999999"/>
    <n v="28600000"/>
    <s v="ACUERDO SINDICAL BICICLETA PRESTAMOS REEMBOLSABLES"/>
    <s v="NO CONTRATADO"/>
    <s v="RESOLUCIÓN"/>
    <s v="RESOLUCIÓN"/>
    <x v="35"/>
    <n v="41"/>
    <s v="Acuerdo sindical bicicleta prestamos reembolsables"/>
    <s v="00"/>
    <s v="0-205616"/>
    <n v="12"/>
    <s v="MESES"/>
    <s v=""/>
    <s v="NO"/>
    <s v="ENERO "/>
    <s v="ENERO "/>
    <s v=""/>
    <s v=""/>
    <s v=""/>
    <n v="0"/>
    <n v="28600000"/>
    <n v="0"/>
    <n v="0"/>
    <s v="1.00.0000.00.0-205616.2.1.6.01.04.010."/>
    <s v=""/>
    <s v=""/>
    <s v=""/>
  </r>
  <r>
    <n v="37"/>
    <n v="80111600"/>
    <s v="SUBGERENCIA ADMINISTRATIVA Y FINANCIERA"/>
    <s v="FUNCIONAMIENTO"/>
    <x v="0"/>
    <n v="999999"/>
    <x v="0"/>
    <n v="999999"/>
    <n v="17095000"/>
    <s v="PRESTACIÓN DE SERVICIOS DE APOYO A LA GESTIÓN EN LOS PROCESOS ADMINISTRATIVOS Y FINANCIEROS DE INDEPORTES ANTIOQUIA."/>
    <s v="CONTRATADO"/>
    <s v="DIRECTA"/>
    <s v="PRESTACIÓN DE SERVICIOS PROFESIONALES Y DE APOYO  A  LA GESTIÓN"/>
    <x v="32"/>
    <n v="30"/>
    <s v="Servicios prestados a las empresas y servicios de producción "/>
    <s v="00"/>
    <s v="0-205616"/>
    <n v="5"/>
    <s v="MESES"/>
    <n v="38"/>
    <s v="NO"/>
    <s v="ENERO "/>
    <s v="ENERO "/>
    <n v="13"/>
    <s v="ADRIANA MARIA PATIÑO CAMPUZANO"/>
    <n v="57"/>
    <n v="17095000"/>
    <n v="0"/>
    <n v="3077100"/>
    <n v="14017900"/>
    <s v="571.00.0000.00.0-205616.2.1.2.02.02.008.01."/>
    <s v=""/>
    <n v="3077100"/>
    <n v="17095000"/>
  </r>
  <r>
    <n v="38"/>
    <n v="80111600"/>
    <s v="SUBGERENCIA ADMINISTRATIVA Y FINANCIERA"/>
    <s v="FUNCIONAMIENTO"/>
    <x v="0"/>
    <n v="999999"/>
    <x v="0"/>
    <n v="999999"/>
    <n v="23933000"/>
    <s v="PRESTACIÓN DE SERVICIOS DE APOYO A LA GESTIÓN, COMO TECNÓLOGO EN LAS ACTIVIDADES DE GESTIÓN DOCUMENTAL EN INDEPORTES ANTIOQUIA"/>
    <s v="CONTRATADO"/>
    <s v="DIRECTA"/>
    <s v="PRESTACIÓN DE SERVICIOS PROFESIONALES Y DE APOYO  A  LA GESTIÓN"/>
    <x v="32"/>
    <n v="30"/>
    <s v="Servicios prestados a las empresas y servicios de producción "/>
    <s v="00"/>
    <s v="0-205616"/>
    <n v="5"/>
    <s v="MESES"/>
    <n v="296"/>
    <s v="NO"/>
    <s v="ENERO "/>
    <s v="ENERO "/>
    <n v="64"/>
    <s v="NANCY DEL SOCORRO PALACIO RAMIREZ"/>
    <n v="138"/>
    <n v="23933000"/>
    <n v="0"/>
    <n v="1914640"/>
    <n v="22018360"/>
    <s v="1381.00.0000.00.0-205616.2.1.2.02.02.008.01."/>
    <s v=""/>
    <n v="1914640"/>
    <n v="23933000"/>
  </r>
  <r>
    <n v="47"/>
    <s v="93151500;_x000a_76111500;_x000a_72102900;_x000a_47131700"/>
    <s v="SUBGERENCIA ADMINISTRATIVA Y FINANCIERA"/>
    <s v="FUNCIONAMIENTO"/>
    <x v="0"/>
    <n v="999999"/>
    <x v="0"/>
    <n v="999999"/>
    <n v="125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6"/>
    <n v="24"/>
    <s v="Productos alimenticios, bebidas y tabaco; textiles, prendas de vestir y productos de cuero"/>
    <s v="00"/>
    <s v="0-205616"/>
    <n v="9"/>
    <s v="MESES"/>
    <n v="433"/>
    <s v="NO"/>
    <s v="MARZO"/>
    <s v="MARZO"/>
    <n v="355"/>
    <s v="EMPRESA DE DESARROLLO URBANO Y RURAL DEL MUNICIPIO DE BELLO &quot;EDUNORTE&quot;"/>
    <s v=""/>
    <n v="0"/>
    <n v="125000000"/>
    <n v="0"/>
    <n v="0"/>
    <s v="1.00.0000.00.0-205616.2.1.2.02.01.002.01."/>
    <s v=""/>
    <s v=""/>
    <s v=""/>
  </r>
  <r>
    <n v="47"/>
    <s v="93151500;_x000a_76111500;_x000a_72102900;_x000a_47131700"/>
    <s v="SUBGERENCIA ADMINISTRATIVA Y FINANCIERA"/>
    <s v="FUNCIONAMIENTO"/>
    <x v="0"/>
    <n v="999999"/>
    <x v="0"/>
    <n v="999999"/>
    <n v="75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7"/>
    <n v="25"/>
    <s v="Otros bienes transportables (excepto productos metálicos, maquinaria y equipo)"/>
    <s v="00"/>
    <s v="0-205616"/>
    <n v="9"/>
    <s v="MESES"/>
    <n v="433"/>
    <s v="NO"/>
    <s v="MARZO"/>
    <s v="MARZO"/>
    <n v="355"/>
    <s v="EMPRESA DE DESARROLLO URBANO Y RURAL DEL MUNICIPIO DE BELLO &quot;EDUNORTE&quot;"/>
    <s v=""/>
    <n v="0"/>
    <n v="75000000"/>
    <n v="0"/>
    <n v="0"/>
    <s v="1.00.0000.00.0-205616.2.1.2.02.01.003.01."/>
    <s v=""/>
    <s v=""/>
    <s v=""/>
  </r>
  <r>
    <n v="40"/>
    <s v="44121600;44121700;44121900;44122000;14111500;44103100"/>
    <s v="SUBGERENCIA ADMINISTRATIVA Y FINANCIERA"/>
    <s v="FUNCIONAMIENTO"/>
    <x v="0"/>
    <n v="999999"/>
    <x v="0"/>
    <n v="999999"/>
    <n v="50000000"/>
    <s v="SUMINISTRO DE ARTÍCULOS DE PAPELERÍA, ÚTILES, ELEMENTOS DE OFICINA Y TÓNERES, CON DESTINO A LAS DEPENDENCIAS FÍSICAS DE INDEPORTES ANTIOQUIA"/>
    <s v="NO CONTRATADO"/>
    <s v="SELECCIÓN ABREVIADA MEDIANTE SUBASTA INVERSA "/>
    <s v="SUMINISTRO"/>
    <x v="37"/>
    <n v="25"/>
    <s v="Otros bienes transportables (excepto productos metálicos, maquinaria y equipo)"/>
    <s v="00"/>
    <s v="0-205616"/>
    <n v="8"/>
    <s v="MESES"/>
    <s v=""/>
    <s v="NO"/>
    <s v="ABRIL"/>
    <s v="ABRIL"/>
    <s v=""/>
    <s v=""/>
    <s v=""/>
    <n v="0"/>
    <n v="50000000"/>
    <n v="0"/>
    <n v="0"/>
    <s v="1.00.0000.00.0-205616.2.1.2.02.01.003.01."/>
    <s v=""/>
    <s v=""/>
    <s v=""/>
  </r>
  <r>
    <n v="41"/>
    <s v="15101505;15101506"/>
    <s v="SUBGERENCIA ADMINISTRATIVA Y FINANCIERA"/>
    <s v="FUNCIONAMIENTO"/>
    <x v="0"/>
    <n v="999999"/>
    <x v="0"/>
    <n v="999999"/>
    <n v="70000000"/>
    <s v="SUMINISTRO DE COMBUSTIBLE PARA LOS VEHÍCULOS Y MOTOS DE PROPIEDAD DEL INSTITUTO DEPARTAMENTAL DE DEPORTES DE ANTIOQUIA Y PARA AQUELLOS VEHÍCULOS  QUE POR VÍNCULO CONTRACTUAL ESTÉN AL SERVICIO DE LA ENTIDAD"/>
    <s v="NO CONTRATADO"/>
    <s v="SELECCIÓN ABREVIADA"/>
    <s v="ACUERDO MARCO DE PRECIOS "/>
    <x v="37"/>
    <n v="25"/>
    <s v="Otros bienes transportables (excepto productos metálicos, maquinaria y equipo)"/>
    <s v="00"/>
    <s v="0-205616"/>
    <n v="8"/>
    <s v="MESES"/>
    <s v=""/>
    <s v="NO"/>
    <s v="ABRIL"/>
    <s v="ABRIL"/>
    <s v=""/>
    <s v=""/>
    <s v=""/>
    <n v="0"/>
    <n v="70000000"/>
    <n v="0"/>
    <n v="0"/>
    <s v="1.00.0000.00.0-205616.2.1.2.02.01.003.01."/>
    <s v=""/>
    <s v=""/>
    <s v=""/>
  </r>
  <r>
    <n v="42"/>
    <s v="83101500;83101600; 83101800"/>
    <s v="SUBGERENCIA ADMINISTRATIVA Y FINANCIERA"/>
    <s v="FUNCIONAMIENTO"/>
    <x v="0"/>
    <n v="999999"/>
    <x v="0"/>
    <n v="999999"/>
    <n v="550000000"/>
    <s v="SERVICIOS PUBLICOS ELECTRICIDAD, GAS Y AGUA"/>
    <s v="NO CONTRATADO"/>
    <s v="RESOLUCIÓN"/>
    <s v="RESOLUCIÓN"/>
    <x v="38"/>
    <n v="27"/>
    <s v="Servicios de alojamiento; servicios de suministro de comidas y bebidas; servicios de transporte; y servicios de distribución de electricidad, gas y agua"/>
    <s v="00"/>
    <s v="0-205616"/>
    <n v="12"/>
    <s v="MESES"/>
    <s v=""/>
    <s v="NO"/>
    <s v="ENERO "/>
    <s v="ENERO "/>
    <s v=""/>
    <s v=""/>
    <s v=""/>
    <n v="0"/>
    <n v="550000000"/>
    <n v="0"/>
    <n v="0"/>
    <s v="1.00.0000.00.0-205616.2.1.2.02.02.006.01."/>
    <s v=""/>
    <s v=""/>
    <s v=""/>
  </r>
  <r>
    <n v="43"/>
    <n v="90121500"/>
    <s v="SUBGERENCIA ADMINISTRATIVA Y FINANCIERA"/>
    <s v="FUNCIONAMIENTO"/>
    <x v="0"/>
    <n v="999999"/>
    <x v="0"/>
    <n v="999999"/>
    <n v="200000000"/>
    <s v="PRESTACIÓN DE SERVICIOS PARA LA ADQUISICIÓN DE TIQUETES AEREOS NACIONALES E INTERNACIONALES PARA  LOS FUNCIONARIOS Y MIEMBROS DE LA JUNTA DIRECTIVA DE INDEPORTES ANTIOQUIA"/>
    <s v="NO CONTRATADO"/>
    <s v="SELECCIÓN ABREVIADA MEDIANTE SUBASTA INVERSA "/>
    <s v="PRESTACIÓN DE SERVICIOS"/>
    <x v="38"/>
    <n v="27"/>
    <s v="Servicios de alojamiento; servicios de suministro de comidas y bebidas; servicios de transporte; y servicios de distribución de electricidad, gas y agua"/>
    <s v="00"/>
    <s v="0-205616"/>
    <n v="11"/>
    <s v="MESES"/>
    <s v=""/>
    <s v="NO"/>
    <s v="ENERO "/>
    <s v="ENERO "/>
    <s v=""/>
    <s v=""/>
    <s v=""/>
    <n v="0"/>
    <n v="200000000"/>
    <n v="0"/>
    <n v="0"/>
    <s v="1.00.0000.00.0-205616.2.1.2.02.02.006.01."/>
    <s v=""/>
    <s v=""/>
    <s v=""/>
  </r>
  <r>
    <n v="44"/>
    <n v="83111500"/>
    <s v="SUBGERENCIA ADMINISTRATIVA Y FINANCIERA"/>
    <s v="FUNCIONAMIENTO"/>
    <x v="0"/>
    <n v="999999"/>
    <x v="0"/>
    <n v="999999"/>
    <n v="75000000"/>
    <s v="SERVICIOS PÚBLICOS - TELECOMUNICACIONES (TV, CELULAR, INTERNET) "/>
    <s v="NO CONTRATADO"/>
    <s v="RESOLUCIÓN"/>
    <s v="RESOLUCIÓN"/>
    <x v="39"/>
    <n v="32"/>
    <s v="Servicios Publicos - Servicios prestados a las empresas y servicios de producción "/>
    <s v="00"/>
    <s v="0-205616"/>
    <n v="12"/>
    <s v="MESES"/>
    <s v=""/>
    <s v="NO"/>
    <s v="ENERO "/>
    <s v="ENERO "/>
    <s v=""/>
    <s v=""/>
    <s v=""/>
    <n v="0"/>
    <n v="75000000"/>
    <n v="0"/>
    <n v="0"/>
    <s v="1.00.0000.00.0-205616.2.1.2.02.02.008.03."/>
    <s v=""/>
    <s v=""/>
    <s v=""/>
  </r>
  <r>
    <n v="45"/>
    <n v="76111501"/>
    <s v="SUBGERENCIA ADMINISTRATIVA Y FINANCIERA"/>
    <s v="FUNCIONAMIENTO"/>
    <x v="0"/>
    <n v="999999"/>
    <x v="0"/>
    <n v="999999"/>
    <n v="241791568"/>
    <s v="MODIFICACIÓN 1 ADICIÓN Y PRÓRROGA AL CONTRATO 365 DE 2024, CUYO OBJETO ES: PRESTACIÓN DEL SERVICIO DE ASEO, OFICIOS VARIOS, MANTENIMIENTOS Y OTROS  PARA  INDEPORTES ANTIOQUIA - VF"/>
    <s v="CONTRATADO"/>
    <s v="MODIFICACIÓN"/>
    <s v="PRESTACIÓN DE SERVICIOS"/>
    <x v="40"/>
    <n v="33"/>
    <s v="VF-Servicios prestados a las empresas y servicios de producción "/>
    <s v="00"/>
    <s v="0-205616"/>
    <n v="3.5"/>
    <s v="MESES"/>
    <n v="3"/>
    <s v="NO"/>
    <s v="ENERO "/>
    <s v="ENERO "/>
    <n v="3652024"/>
    <s v="SEISO S.A.S "/>
    <n v="2"/>
    <n v="241791568"/>
    <n v="0"/>
    <n v="0"/>
    <n v="241791568"/>
    <s v="21.00.0000.00.0-205616.2.1.2.02.02.008.04."/>
    <s v=""/>
    <n v="0"/>
    <n v="241791568"/>
  </r>
  <r>
    <n v="46"/>
    <n v="92101501"/>
    <s v="SUBGERENCIA ADMINISTRATIVA Y FINANCIERA"/>
    <s v="FUNCIONAMIENTO"/>
    <x v="0"/>
    <n v="999999"/>
    <x v="0"/>
    <n v="999999"/>
    <n v="528096458"/>
    <s v="MODIFICACION NO.7  AL  CONTRATO: 552 DE 2020, CUYO OBJETO ES CONTRATO INTERADMINISTRATIVO DE ADMINISTRACIÓN DELEGADA PARA PRESTACIÓN DE LOS SERVICIOS DE VIGILANCIA Y SEGURIDAD PRIVADA REQUERIDOS PARA EL PERSONAL DE INDEPORTES ANTIOQUIA, SUS SEDES Y LOS CONTENIDOS DE ESTAS - VF"/>
    <s v="CONTRATADO"/>
    <s v="MODIFICACIÓN"/>
    <s v="PRESTACIÓN DE SERVICIOS"/>
    <x v="40"/>
    <n v="33"/>
    <s v="VF-Servicios prestados a las empresas y servicios de producción "/>
    <s v="00"/>
    <s v="0-205616"/>
    <s v="5 MESES _x000a_22 DÍAS "/>
    <s v="MESES"/>
    <n v="2"/>
    <s v="NO"/>
    <s v="ENERO "/>
    <s v="ENERO "/>
    <n v="5522020"/>
    <s v="EMPRESA PARA LA SEGURIDAD Y SOLUCIONES URBANAS – ESU"/>
    <n v="1"/>
    <n v="499313250"/>
    <n v="28783208"/>
    <n v="471378000"/>
    <n v="27935250"/>
    <s v="11.00.0000.00.0-205616.2.1.2.02.02.008.04."/>
    <s v=""/>
    <n v="471378000"/>
    <n v="499313250"/>
  </r>
  <r>
    <n v="47"/>
    <s v="93151500;_x000a_76111500;_x000a_72102900;_x000a_47131700"/>
    <s v="SUBGERENCIA ADMINISTRATIVA Y FINANCIERA"/>
    <s v="FUNCIONAMIENTO"/>
    <x v="0"/>
    <n v="999999"/>
    <x v="0"/>
    <n v="999999"/>
    <n v="840000000"/>
    <s v="CONTRATO INTERADMINISTRATIVO DE MANDATO SIN REPRESENTACIÓN PARA LA ADMINISTRACIÓN DELEGADA DE RECURSOS PARA OPERAR EL SERVICIO INTEGRAL DE ASEO, SUMINISTRO DE INSUMOS Y SERVICIOS COMPLEMENTARIOS PARA INDEPORTES ANTIOQUIA"/>
    <s v="CONTRATADO"/>
    <s v="DIRECTA"/>
    <s v="CONTRATO INTERADMINISTRATIVO"/>
    <x v="32"/>
    <n v="30"/>
    <s v="Servicios prestados a las empresas y servicios de producción "/>
    <s v="00"/>
    <s v="0-205616"/>
    <n v="9"/>
    <s v="MESES"/>
    <n v="433"/>
    <s v="NO"/>
    <s v="MARZO"/>
    <s v="MARZO"/>
    <n v="355"/>
    <s v="EMPRESA DE DESARROLLO URBANO Y RURAL DEL MUNICIPIO DE BELLO &quot;EDUNORTE&quot;"/>
    <s v=""/>
    <n v="0"/>
    <n v="840000000"/>
    <n v="0"/>
    <n v="0"/>
    <s v="1.00.0000.00.0-205616.2.1.2.02.02.008.01."/>
    <s v=""/>
    <s v=""/>
    <s v=""/>
  </r>
  <r>
    <n v="48"/>
    <s v="92121500;_x000a_93151500"/>
    <s v="SUBGERENCIA ADMINISTRATIVA Y FINANCIERA"/>
    <s v="FUNCIONAMIENTO"/>
    <x v="0"/>
    <n v="999999"/>
    <x v="0"/>
    <n v="999999"/>
    <n v="1310000000"/>
    <s v="CONTRATO INTERADMINISTRATIVO DE MANDATO SIN REPRESENTACIÓN PARA LA PRESTACIÓN DE LOS SERVICIOS DE VIGILANCIA Y SEGURIDAD PRIVADA PARA LAS SEDES DE INDEPORTES ANTIOQUIA."/>
    <s v="CONTRATADO"/>
    <s v="DIRECTA"/>
    <s v="CONTRATO INTERADMINISTRATIVO"/>
    <x v="32"/>
    <n v="30"/>
    <s v="Servicios prestados a las empresas y servicios de producción "/>
    <s v="00"/>
    <s v="0-205616"/>
    <n v="9"/>
    <s v="MESES"/>
    <n v="425"/>
    <s v="NO"/>
    <s v="MARZO"/>
    <s v="MARZO"/>
    <n v="354"/>
    <s v="EMPRESA DE DESARROLLO URBANO Y RURAL DEL MUNICIPIO DE BELLO &quot;EDUNORTE&quot;"/>
    <s v=""/>
    <n v="0"/>
    <n v="1310000000"/>
    <n v="0"/>
    <n v="0"/>
    <s v="1.00.0000.00.0-205616.2.1.2.02.02.008.01."/>
    <s v=""/>
    <s v=""/>
    <s v=""/>
  </r>
  <r>
    <n v="49"/>
    <n v="75181500"/>
    <s v="SUBGERENCIA ADMINISTRATIVA Y FINANCIERA"/>
    <s v="FUNCIONAMIENTO"/>
    <x v="0"/>
    <n v="999999"/>
    <x v="0"/>
    <n v="999999"/>
    <n v="20000000"/>
    <s v="MANTENIMIENTO PREVENTIVO Y CORRECTIVO DE LOS VEHÍCULOS DE INDEPORTES ANTIOQUIA."/>
    <s v="NO CONTRATADO"/>
    <s v="MÍNIMA CUANTÍA"/>
    <s v="PRESTACIÓN DE SERVICIOS"/>
    <x v="32"/>
    <n v="30"/>
    <s v="Servicios prestados a las empresas y servicios de producción "/>
    <s v="00"/>
    <s v="0-205616"/>
    <n v="10"/>
    <s v="MESES"/>
    <s v=""/>
    <s v="NO"/>
    <s v="FEBRERO"/>
    <s v="FEBRERO"/>
    <s v=""/>
    <s v=""/>
    <s v=""/>
    <n v="0"/>
    <n v="20000000"/>
    <n v="0"/>
    <n v="0"/>
    <s v="1.00.0000.00.0-205616.2.1.2.02.02.008.01."/>
    <s v=""/>
    <s v=""/>
    <s v=""/>
  </r>
  <r>
    <n v="50"/>
    <n v="72102100"/>
    <s v="SUBGERENCIA ADMINISTRATIVA Y FINANCIERA"/>
    <s v="FUNCIONAMIENTO"/>
    <x v="0"/>
    <n v="999999"/>
    <x v="0"/>
    <n v="999999"/>
    <n v="30000000"/>
    <s v="REALIZAR LA FUMIGACIÓN Y CONTROL DE INSECTOS EN LAS SEDES DE INDEPORTES ANTIOQUIA"/>
    <s v="NO CONTRATADO"/>
    <s v="MÍNIMA CUANTÍA"/>
    <s v="PRESTACIÓN DE SERVICIOS"/>
    <x v="32"/>
    <n v="30"/>
    <s v="Servicios prestados a las empresas y servicios de producción "/>
    <s v="00"/>
    <s v="0-205616"/>
    <n v="10"/>
    <s v="MESES"/>
    <s v=""/>
    <s v="NO"/>
    <s v="MARZO"/>
    <s v="MARZO"/>
    <s v=""/>
    <s v=""/>
    <s v=""/>
    <n v="0"/>
    <n v="30000000"/>
    <n v="0"/>
    <n v="0"/>
    <s v="1.00.0000.00.0-205616.2.1.2.02.02.008.01."/>
    <s v=""/>
    <s v=""/>
    <s v=""/>
  </r>
  <r>
    <n v="51"/>
    <n v="80101500"/>
    <s v="SUBGERENCIA ADMINISTRATIVA Y FINANCIERA"/>
    <s v="FUNCIONAMIENTO"/>
    <x v="0"/>
    <n v="999999"/>
    <x v="0"/>
    <n v="999999"/>
    <n v="10000000"/>
    <s v="SERVICIO DE CONTRATO DE LITIGIO VIRTUAL PARA INDEPORTES ANTIOQUIA"/>
    <s v="NO CONTRATADO"/>
    <s v="DIRECTA"/>
    <s v="PRESTACIÓN DE SERVICIOS"/>
    <x v="32"/>
    <n v="30"/>
    <s v="Servicios prestados a las empresas y servicios de producción "/>
    <s v="00"/>
    <s v="0-205616"/>
    <n v="11"/>
    <s v="MESES"/>
    <s v=""/>
    <s v="NO"/>
    <s v="ENERO "/>
    <s v="ENERO "/>
    <s v=""/>
    <s v=""/>
    <s v=""/>
    <n v="0"/>
    <n v="10000000"/>
    <n v="0"/>
    <n v="0"/>
    <s v="1.00.0000.00.0-205616.2.1.2.02.02.008.01."/>
    <s v=""/>
    <s v=""/>
    <s v=""/>
  </r>
  <r>
    <n v="52"/>
    <s v="85101600; 80111500"/>
    <s v="SUBGERENCIA ADMINISTRATIVA Y FINANCIERA"/>
    <s v="FUNCIONAMIENTO"/>
    <x v="0"/>
    <n v="999999"/>
    <x v="0"/>
    <n v="999999"/>
    <n v="500000000"/>
    <s v="PRESTACIÓN DE SERVICIOS DE APOYO LOGÍSTICO Y OPERATIVO A LA GESTIÓN, EN EL DESARROLLO Y EJECUCIÓN DEL PLAN DE BIENESTAR LABORAL Y ACTIVIDADES DE SEGURIDAD Y SALUD EN EL TRABAJO PARA LOS SERVIDORES DE INDEPORTES ANTIOQUIA."/>
    <s v="CONTRATADO"/>
    <s v="DIRECTA"/>
    <s v="PRESTACIÓN DE SERVICIOS"/>
    <x v="41"/>
    <n v="34"/>
    <s v="Operación logistica bienestar - Servicios para la comunidad, sociales y personales"/>
    <s v="00"/>
    <s v="0-205616"/>
    <n v="10"/>
    <s v="MESES"/>
    <n v="470"/>
    <s v="NO"/>
    <s v="MARZO"/>
    <s v="MARZO"/>
    <n v="372"/>
    <s v="CAJA DE COMPENSACIÓN FAMILIAR DE ANTIOQUIA COMFAMA"/>
    <s v=""/>
    <n v="0"/>
    <n v="500000000"/>
    <n v="0"/>
    <n v="0"/>
    <s v="1.00.0000.00.0-205616.2.1.2.02.02.009.01."/>
    <s v=""/>
    <s v=""/>
    <s v=""/>
  </r>
  <r>
    <n v="53"/>
    <n v="86101700"/>
    <s v="SUBGERENCIA ADMINISTRATIVA Y FINANCIERA"/>
    <s v="FUNCIONAMIENTO"/>
    <x v="0"/>
    <n v="999999"/>
    <x v="0"/>
    <n v="999999"/>
    <n v="110000000"/>
    <s v="DESARROLLAR EL PLAN INSTITUCIONAL DE CAPACITACIONES PARA LOS FUNCIONARIOS DE INDEPORTES ANTIOQUIA"/>
    <s v="NO CONTRATADO"/>
    <s v="DIRECTA"/>
    <s v="CONTRATO INTERADMINISTRATIVO"/>
    <x v="42"/>
    <n v="35"/>
    <s v="Apoyos, Aprovechamiento y Capacitación - Servicios para la comunidad, sociales y personales"/>
    <s v="00"/>
    <s v="0-205616"/>
    <n v="11"/>
    <s v="MESES"/>
    <s v=""/>
    <s v="NO"/>
    <s v="ENERO "/>
    <s v="ENERO "/>
    <s v=""/>
    <s v=""/>
    <s v=""/>
    <n v="0"/>
    <n v="110000000"/>
    <n v="0"/>
    <n v="0"/>
    <s v="1.00.0000.00.0-205616.2.1.2.02.02.009.02."/>
    <s v=""/>
    <s v=""/>
    <s v=""/>
  </r>
  <r>
    <n v="54"/>
    <n v="80111600"/>
    <s v="SUBGERENCIA ADMINISTRATIVA Y FINANCIERA"/>
    <s v="FUNCIONAMIENTO"/>
    <x v="0"/>
    <n v="999999"/>
    <x v="0"/>
    <n v="999999"/>
    <n v="23933000"/>
    <s v="PRESTACIÓN DE SERVICIOS DE APOYO COMO TECNÓLOGO A LA GESTIÓN DEL CADA Y DEL PROCESO DE GESTIÓN DOCUMENTAL DE INDEPORTES ANTIOQUIA"/>
    <s v="CONTRATADO"/>
    <s v="DIRECTA"/>
    <s v="PRESTACIÓN DE SERVICIOS PROFESIONALES Y DE APOYO  A  LA GESTIÓN"/>
    <x v="32"/>
    <n v="30"/>
    <s v="Servicios prestados a las empresas y servicios de producción "/>
    <s v="00"/>
    <s v="0-205616"/>
    <n v="5"/>
    <s v="MESES"/>
    <n v="385"/>
    <s v="NO"/>
    <s v="ENERO "/>
    <s v="ENERO "/>
    <n v="334"/>
    <s v="EMMANUEL URREGO CUARTAS"/>
    <s v=""/>
    <n v="0"/>
    <n v="23933000"/>
    <n v="0"/>
    <n v="0"/>
    <s v="1.00.0000.00.0-205616.2.1.2.02.02.008.01."/>
    <s v=""/>
    <s v=""/>
    <s v=""/>
  </r>
  <r>
    <n v="55"/>
    <s v="90141701;_x000a_90141502;_x000a_82101905;_x000a_82101903;_x000a_82101902;_x000a_82101901;_x000a_80141902;_x000a_80141607;_x000a_80111600;"/>
    <s v="SUBGERENCIA ADMINISTRATIVA Y FINANCIERA"/>
    <s v="FUNCIONAMIENTO"/>
    <x v="1"/>
    <n v="2024003050077"/>
    <x v="1"/>
    <s v="220387"/>
    <n v="428268255"/>
    <s v="CONTRATO INTERADMINISTRATIVO DE MANDATO, SIN REPRESENTACIÓN, PARA EL DESARROLLO, EJECUCIÓN Y DIFUSIÓN DEL PLAN DE MEDIOS Y LAS ESTRATEGIAS COMUNICACIONALES DE INDEPORTES ANTIOQUIA, INCLUYENDO LA REALIZACIÓN, PRODUCCIÓN, POSTPRODUCCIÓN Y EMISIÓN DE CONTENIDOS AUDIOVISUALES PARA EL FORTALECIMIENTO INSTITUCIONAL."/>
    <s v="CONTRATADO"/>
    <s v="DIRECTA"/>
    <s v="CONTRATO INTERADMINISTRATIVO"/>
    <x v="43"/>
    <n v="55"/>
    <s v="Fortalecimiento de los sistemas de información y la gestión estratégica para el deporte, la recreación y la actividad física de Antioquia (comunicaciones) -Servicios para la comunidad, sociales y personales"/>
    <s v="77"/>
    <s v="0-271130"/>
    <n v="10"/>
    <s v="MESES"/>
    <n v="415"/>
    <s v="NO"/>
    <s v="MARZO"/>
    <s v="MARZO"/>
    <n v="358"/>
    <s v="SOCIEDAD TELEVISIÓN DE ANTIOQUIA LIMITADA"/>
    <s v=""/>
    <n v="0"/>
    <n v="428268255"/>
    <n v="0"/>
    <n v="0"/>
    <s v="1.45.4599.77.0-271130.2.3.2.02.02.009.01."/>
    <n v="52011001"/>
    <s v=""/>
    <s v=""/>
  </r>
  <r>
    <n v="56"/>
    <s v="52161500; 52161600;_x000a_80161500; 82101500;_x000a_82101600; 82141600;_x000a_90101800; 90101600"/>
    <s v="SUBGERENCIA ADMINISTRATIVA Y FINANCIERA"/>
    <s v="FUNCIONAMIENTO"/>
    <x v="1"/>
    <n v="2024003050077"/>
    <x v="2"/>
    <s v="220387"/>
    <n v="1000000000"/>
    <s v="CONTRATO INTERADMINISTRATIVO DE MANDATO SIN REPRESENTACIÓN PARA LA OPERACIÓN LOGÍSTICA DE EVENTOS; Y LA PRODUCCIÓN, ACTIVACIÓN Y FORTALECIMIENTO DE LA MARCA Y LA IMAGEN INSTITUCIONAL DE INDEPORTES ANTIOQUIA."/>
    <s v="CONTRATADO"/>
    <s v="DIRECTA"/>
    <s v="CONTRATO INTERADMINISTRATIVO"/>
    <x v="43"/>
    <n v="55"/>
    <s v="Fortalecimiento de los sistemas de información y la gestión estratégica para el deporte, la recreación y la actividad física de Antioquia (comunicaciones) -Servicios para la comunidad, sociales y personales"/>
    <s v="77"/>
    <s v="0-271130"/>
    <n v="11"/>
    <s v="MESES"/>
    <n v="331"/>
    <s v="NO"/>
    <s v="FEBRERO"/>
    <s v="FEBRERO"/>
    <n v="243"/>
    <s v="EMPRESA DE PARQUES Y EVENTOS DE ANTIOQUIA - ACTIVA"/>
    <n v="413"/>
    <n v="1000000000"/>
    <n v="0"/>
    <n v="0"/>
    <n v="1000000000"/>
    <s v="4131.45.4599.77.0-271130.2.3.2.02.02.009.01."/>
    <n v="52011001"/>
    <n v="0"/>
    <n v="1000000000"/>
  </r>
  <r>
    <n v="57"/>
    <s v="N/A"/>
    <s v="SUBGERENCIA ADMINISTRATIVA Y FINANCIERA"/>
    <s v="FUNCIONAMIENTO"/>
    <x v="1"/>
    <n v="2024003050077"/>
    <x v="3"/>
    <s v="220387"/>
    <n v="57116101"/>
    <s v="PRESTACIÓN DE SERVICIOS DE COMUNICACIÓN PARA PROMOCIONAR LOS PROGRAMAS Y PROYECTOS DE INDEPORTES ANTIOQUIA CON ENTIDADES PÚBLICAS Y PRIVADAS QUE CONTRIBUYAN AL CUMPLIMIENTO DE SU MISIÓN DE FOMENTAR LA ACTIVIDAD FÍSICA, EL DEPORTE Y LA RECREACIÓN."/>
    <s v="NO CONTRATADO"/>
    <s v="DIRECTA"/>
    <s v="PRESTACIÓN DE SERVICIOS"/>
    <x v="43"/>
    <n v="55"/>
    <s v="Fortalecimiento de los sistemas de información y la gestión estratégica para el deporte, la recreación y la actividad física de Antioquia (comunicaciones) -Servicios para la comunidad, sociales y personales"/>
    <s v="77"/>
    <s v="0-271130"/>
    <n v="11"/>
    <s v="MESES"/>
    <s v=""/>
    <s v="NO"/>
    <s v="FEBRERO"/>
    <s v="FEBRERO"/>
    <s v=""/>
    <s v=""/>
    <s v=""/>
    <n v="0"/>
    <n v="57116101"/>
    <n v="0"/>
    <n v="0"/>
    <s v="1.45.4599.77.0-271130.2.3.2.02.02.009.01."/>
    <n v="52011001"/>
    <s v=""/>
    <s v=""/>
  </r>
  <r>
    <n v="58"/>
    <s v="39131700; 31211500; 47131700; 12191500; 27111900; 30181700; 30191500; 39121700;_x000a_47131600;_x000a_13111000;_x000a_31211900;_x000a_39121400;_x000a_72152700;_x000a_15121500;_x000a_15121500;_x000a_23101500;_x000a_24101500;_x000a_27111900;_x000a_27112000;_x000a_27112000;_x000a_3010320;_x000a_30111600;_x000a_30181804;_x000a_31151904;_x000a_31161508;_x000a_39122106;_x000a_39131709;_x000a_40183002;_x000a_47121602;_x000a_47121610;_x000a_13111209;_x000a_26111701;_x000a_31121107;_x000a_31161505;_x000a_31161833;_x000a_30161702;_x000a_31162402;_x000a_31201503;_x000a_31201610;_x000a_43191631;_x000a_20121602;_x000a_31201500;_x000a_31241501;_x000a_46181704;_x000a_46182001;_x000a_46182002;_x000a_31211906;_x000a_46181504;_x000a_46181604;_x000a_47131824;_x000a_30191617"/>
    <s v="SUBGERENCIA ADMINISTRATIVA Y FINANCIERA"/>
    <s v="FUNCIONAMIENTO"/>
    <x v="2"/>
    <n v="2024003050104"/>
    <x v="4"/>
    <s v="220381"/>
    <n v="45041253"/>
    <s v="SUMINISTRO DE MATERIALES DE FERRETERÍA Y EQUIPOS ELÉCTRICOS Y ELECTRÓNICOS PARA INDEPORTES ANTIOQUIA."/>
    <s v="NO CONTRATADO"/>
    <s v="SELECCIÓN ABREVIADA MEDIANTE ACUERDO MARCO DE PRECIOS "/>
    <s v="SUMINISTRO"/>
    <x v="44"/>
    <n v="44"/>
    <s v="Mantenimiento de la infraestructura de las sedes operativas para la prestación de servicios deportivos, recreativos y de actividad física en las regiones de Antioquia -Otros bienes transportables (excepto productos metálicos, maquinaria y equipo)"/>
    <s v="04"/>
    <s v="0-205128"/>
    <n v="10"/>
    <s v="MESES"/>
    <s v=""/>
    <s v="NO"/>
    <s v="MARZO"/>
    <s v="MARZO"/>
    <s v=""/>
    <s v=""/>
    <s v=""/>
    <n v="0"/>
    <n v="45041253"/>
    <n v="0"/>
    <n v="0"/>
    <s v="1.45.4501.04.0-205128.2.3.2.02.01.003.01."/>
    <n v="52011002"/>
    <s v=""/>
    <s v=""/>
  </r>
  <r>
    <n v="59"/>
    <s v="72101500; 40101700;_x000a_93151500"/>
    <s v="SUBGERENCIA ADMINISTRATIVA Y FINANCIERA"/>
    <s v="FUNCIONAMIENTO"/>
    <x v="2"/>
    <n v="2024003050104"/>
    <x v="5"/>
    <s v="220381"/>
    <n v="199215295"/>
    <s v="CONTRATO INTERADMINISTRATIVO DE MANDATO SIN REPRESENTACIÓN PARA REALIZAR EL MANTENIMIENTO PREVENTIVO Y CORRECTIVO DEL SISTEMA DE AIRE ACONDICIONADO DE INDEPORTES ANTIOQUIA"/>
    <s v="CONTRATADO"/>
    <s v="DIRECTA"/>
    <s v="CONTRATO INTERADMINISTRATIVO"/>
    <x v="45"/>
    <n v="46"/>
    <s v="Mantenimiento de la infraestructura de las sedes operativas para la prestación de servicios deportivos, recreativos y de actividad física en las regiones de Antioquia -Servicios prestados a las empresas y servicios de producción "/>
    <s v="04"/>
    <s v="0-205128"/>
    <n v="10"/>
    <s v="MESES"/>
    <n v="317"/>
    <s v="NO"/>
    <s v="FEBRERO"/>
    <s v="FEBRERO"/>
    <n v="230"/>
    <s v="EMPRESA DE DESARROLLO URBANO Y RURAL DEL MUNICIPIO DE BELLO &quot;EDUNORTE&quot;"/>
    <n v="428"/>
    <n v="199215295"/>
    <n v="0"/>
    <n v="0"/>
    <n v="199215295"/>
    <s v="4281.45.4501.04.0-205128.2.3.2.02.02.008.02."/>
    <n v="52011002"/>
    <n v="0"/>
    <n v="199215295"/>
  </r>
  <r>
    <n v="60"/>
    <n v="72101500"/>
    <s v="SUBGERENCIA ADMINISTRATIVA Y FINANCIERA"/>
    <s v="FUNCIONAMIENTO"/>
    <x v="2"/>
    <n v="2024003050104"/>
    <x v="6"/>
    <s v="220381"/>
    <n v="13061563"/>
    <s v="REALIZAR EL MANTENIMIENTO PREVENTIVO Y CORRECTIVO DE LOS POZOS DE SEDIMENTACIÓN Y TRAMPA DE GRASA Y DE LOS SISTEMAS DE AGUAS RESIDUALES DE LAS SEDES DE INDEPORTES ANTIOQUIA"/>
    <s v="NO CONTRATADO"/>
    <s v="MÍNIMA CUANTÍA"/>
    <s v="PRESTACIÓN DE SERVICIOS"/>
    <x v="46"/>
    <n v="45"/>
    <s v="Mantenimiento de la infraestructura de las sedes operativas para la prestación de servicios deportivos, recreativos y de actividad física en las regiones de Antioquia -Construcción y servicios de la construcción"/>
    <s v="04"/>
    <s v="0-205128"/>
    <n v="10"/>
    <s v="MESES"/>
    <s v=""/>
    <s v="NO"/>
    <s v="MARZO"/>
    <s v="MARZO"/>
    <s v=""/>
    <s v=""/>
    <s v=""/>
    <n v="0"/>
    <n v="13061563"/>
    <n v="0"/>
    <n v="0"/>
    <s v="1.45.4501.04.0-205128.2.3.2.02.02.005.01."/>
    <n v="52011002"/>
    <s v=""/>
    <s v=""/>
  </r>
  <r>
    <n v="61"/>
    <n v="46191601"/>
    <s v="SUBGERENCIA ADMINISTRATIVA Y FINANCIERA"/>
    <s v="FUNCIONAMIENTO"/>
    <x v="2"/>
    <n v="2024003050104"/>
    <x v="7"/>
    <s v="220381"/>
    <n v="3336388"/>
    <s v="REALIZAR RECARGA,  MANTENIMIENTO PREVENTIVO Y CORRECTIVO DE LOS EXTINTORES DE LAS SEDES DE INDEPORTES ANTIOQUIA "/>
    <s v="NO CONTRATADO"/>
    <s v="MÍNIMA CUANTÍ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3"/>
    <s v="MESES"/>
    <s v=""/>
    <s v="NO"/>
    <s v="OCTUBRE"/>
    <s v="OCTUBRE"/>
    <s v=""/>
    <s v=""/>
    <s v=""/>
    <n v="0"/>
    <n v="3336388"/>
    <n v="0"/>
    <n v="0"/>
    <s v="1.45.4501.04.0-205128.2.3.2.02.02.008.02."/>
    <n v="52011002"/>
    <s v=""/>
    <s v=""/>
  </r>
  <r>
    <n v="62"/>
    <n v="72101506"/>
    <s v="SUBGERENCIA ADMINISTRATIVA Y FINANCIERA"/>
    <s v="FUNCIONAMIENTO"/>
    <x v="2"/>
    <n v="2024003050104"/>
    <x v="8"/>
    <s v="220381"/>
    <n v="90000000"/>
    <s v="REALIZAR EL MANTENIMIENTO PREVENTIVO Y CORRECTIVO DE LOS ASCENSORES DE INDEPORTES ANTIOQUIA "/>
    <s v="CONTRATADO"/>
    <s v="DIRECT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11"/>
    <s v="MESES"/>
    <n v="314"/>
    <s v="NO"/>
    <s v="ENERO "/>
    <s v="ENERO "/>
    <n v="263"/>
    <s v="ASCENSORES SCHINDLER DE COLOMBIA SAS"/>
    <s v=""/>
    <n v="0"/>
    <n v="90000000"/>
    <n v="0"/>
    <n v="0"/>
    <s v="1.45.4501.04.0-205128.2.3.2.02.02.008.02."/>
    <n v="52011002"/>
    <s v=""/>
    <s v=""/>
  </r>
  <r>
    <n v="63"/>
    <n v="72101500"/>
    <s v="SUBGERENCIA ADMINISTRATIVA Y FINANCIERA"/>
    <s v="FUNCIONAMIENTO"/>
    <x v="2"/>
    <n v="2024003050104"/>
    <x v="4"/>
    <s v="220381"/>
    <n v="0"/>
    <s v="MANTENIMIENTO PREVENTIVO Y CORRECTIVO A LA INFRAESTRUCTURA Y BIENES MUEBLES DE PROPIEDAD Y DE LAS SEDES EN COMODATO A FAVOR DE INDEPORTES ANTIOQUIA. "/>
    <s v="NO CONTRATADO"/>
    <s v="LICITACIÓN PÚBLICA"/>
    <s v="OBRA"/>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0"/>
    <n v="0"/>
    <n v="0"/>
    <s v="1.45.4501.04.0-205128.2.3.2.02.02.008.02."/>
    <n v="52011002"/>
    <s v=""/>
    <s v=""/>
  </r>
  <r>
    <n v="64"/>
    <n v="72151800"/>
    <s v="SUBGERENCIA ADMINISTRATIVA Y FINANCIERA"/>
    <s v="FUNCIONAMIENTO"/>
    <x v="2"/>
    <n v="2024003050104"/>
    <x v="9"/>
    <s v="220381"/>
    <n v="6672778"/>
    <s v="REALIZAR MANTENIMIENTO PREVENTIVO A LAVADORAS SEMI INDUSTRIAL MARCA LG Y WASCOMAT E INDUSTRIAL MARCA IPSO, Y  MANTENIMIENTO PREVENTIVO A 2 SECADORAS SEMI INDUSTRIALES MARCA LG Y OTRA INDUSTRIAL MARCA CISSELL A GAS."/>
    <s v="NO CONTRATADO"/>
    <s v="MÍNIMA CUANTÍA"/>
    <s v="PRESTACIÓN DE SERVICIOS"/>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6672778"/>
    <n v="0"/>
    <n v="0"/>
    <s v="1.45.4501.04.0-205128.2.3.2.02.02.008.02."/>
    <n v="52011002"/>
    <s v=""/>
    <s v=""/>
  </r>
  <r>
    <n v="65"/>
    <n v="72151800"/>
    <s v="SUBGERENCIA ADMINISTRATIVA Y FINANCIERA"/>
    <s v="FUNCIONAMIENTO"/>
    <x v="2"/>
    <n v="2024003050104"/>
    <x v="10"/>
    <s v="220381"/>
    <n v="13345560"/>
    <s v="REPONER Y REALIZAR MANTENIMIENTO A TELEVISORES OBSOLETOS QUE SE ENCUENTRAN EN DETERIORO Y SE REQUIERE SU CAMBIO, YA QUE TIENEN FALLAS ELECTRÓNICAS Y FÍSICAS."/>
    <s v="NO CONTRATADO"/>
    <s v="MÍNIMA CUANTÍA"/>
    <s v="SUMINISTRO"/>
    <x v="45"/>
    <n v="46"/>
    <s v="Mantenimiento de la infraestructura de las sedes operativas para la prestación de servicios deportivos, recreativos y de actividad física en las regiones de Antioquia -Servicios prestados a las empresas y servicios de producción "/>
    <s v="04"/>
    <s v="0-205128"/>
    <n v="10"/>
    <s v="MESES"/>
    <s v=""/>
    <s v="NO"/>
    <s v="MARZO"/>
    <s v="MARZO"/>
    <s v=""/>
    <s v=""/>
    <s v=""/>
    <n v="0"/>
    <n v="13345560"/>
    <n v="0"/>
    <n v="0"/>
    <s v="1.45.4501.04.0-205128.2.3.2.02.02.008.02."/>
    <n v="52011002"/>
    <s v=""/>
    <s v=""/>
  </r>
  <r>
    <n v="66"/>
    <s v="92121700;81101700;72151700;46171600"/>
    <s v="SUBGERENCIA ADMINISTRATIVA Y FINANCIERA"/>
    <s v="FUNCIONAMIENTO"/>
    <x v="1"/>
    <n v="2024003050077"/>
    <x v="11"/>
    <s v="220387"/>
    <n v="55000000"/>
    <s v="MANTENIMIENTO CORRECTIVO A LOS SISTEMAS DE SEGURIDAD FÍSICA DE INDEPORTES ANTIOQUIA"/>
    <s v="NO CONTRATADO"/>
    <s v="SELECCIÓN ABREVIADA MENOR CUANTÍA"/>
    <s v="PRESTACIÓN DE SERVICIOS"/>
    <x v="47"/>
    <n v="48"/>
    <s v="Fortalecimiento de los sistemas de información y la gestión estratégica para el deporte, la recreación y la actividad física de Antioquia (sistemas) Productos metálicos, maquinaria y equipo"/>
    <s v="77"/>
    <s v="0-205128"/>
    <n v="10"/>
    <s v="MESES"/>
    <s v=""/>
    <s v="NO"/>
    <s v="MARZO"/>
    <s v="MARZO"/>
    <s v=""/>
    <s v=""/>
    <s v=""/>
    <n v="0"/>
    <n v="55000000"/>
    <n v="0"/>
    <n v="0"/>
    <s v="1.45.4599.77.0-205128.2.3.2.02.01.004.01."/>
    <n v="52011001"/>
    <s v=""/>
    <s v=""/>
  </r>
  <r>
    <n v="67"/>
    <n v="43231513"/>
    <s v="SUBGERENCIA ADMINISTRATIVA Y FINANCIERA"/>
    <s v="FUNCIONAMIENTO"/>
    <x v="1"/>
    <n v="2024003050077"/>
    <x v="12"/>
    <s v="220387"/>
    <n v="140910000"/>
    <s v="RENOVACIÓN DEL LICENCIAMIENTO DEL SOFTWARE HÉRCULES PARA LA GESTIÓN DEPORTIVA DE INDEPORTES ANTIOQUIA, BAJO LA MODALIDAD SAAS"/>
    <s v="NO CONTRATADO"/>
    <s v="DIRECTA"/>
    <s v="PRESTACIÓN DE SERVICIOS"/>
    <x v="47"/>
    <n v="48"/>
    <s v="Fortalecimiento de los sistemas de información y la gestión estratégica para el deporte, la recreación y la actividad física de Antioquia (sistemas) Productos metálicos, maquinaria y equipo"/>
    <s v="77"/>
    <s v="0-205128"/>
    <n v="2"/>
    <s v="MESES"/>
    <s v=""/>
    <s v="NO"/>
    <s v="NOVIEMBRE"/>
    <s v="NOVIEMBRE"/>
    <s v=""/>
    <s v=""/>
    <s v=""/>
    <n v="0"/>
    <n v="140910000"/>
    <n v="0"/>
    <n v="0"/>
    <s v="1.45.4599.77.0-205128.2.3.2.02.01.004.01."/>
    <n v="52011001"/>
    <s v=""/>
    <s v=""/>
  </r>
  <r>
    <n v="68"/>
    <s v="81111820 ; 81111808 "/>
    <s v="SUBGERENCIA ADMINISTRATIVA Y FINANCIERA"/>
    <s v="FUNCIONAMIENTO"/>
    <x v="1"/>
    <n v="2024003050077"/>
    <x v="12"/>
    <s v="220387"/>
    <n v="185350318"/>
    <s v="PRESTACION DEL SERVICIO DE SOFTWARE PARA ADMINISTRACIÓN DEL SISTEMA INTEGRADO DE GESTIÓN DE INDEPORTES ANTIOQUIA EN MODALIDAD SAAS"/>
    <s v="NO CONTRATADO"/>
    <s v="SELECCIÓN ABREVIADA MEDIANTE SUBASTA INVERSA "/>
    <s v="PRESTACIÓN DE SERVICIOS"/>
    <x v="47"/>
    <n v="48"/>
    <s v="Fortalecimiento de los sistemas de información y la gestión estratégica para el deporte, la recreación y la actividad física de Antioquia (sistemas) Productos metálicos, maquinaria y equipo"/>
    <s v="77"/>
    <s v="0-205128"/>
    <n v="10"/>
    <s v="MESES"/>
    <s v=""/>
    <s v="NO"/>
    <s v="FEBRERO"/>
    <s v="FEBRERO"/>
    <s v=""/>
    <s v=""/>
    <s v=""/>
    <n v="0"/>
    <n v="185350318"/>
    <n v="0"/>
    <n v="0"/>
    <s v="1.45.4599.77.0-205128.2.3.2.02.01.004.01."/>
    <n v="52011001"/>
    <s v=""/>
    <s v=""/>
  </r>
  <r>
    <n v="69"/>
    <n v="80111600"/>
    <s v="SUBGERENCIA ADMINISTRATIVA Y FINANCIERA"/>
    <s v="FUNCIONAMIENTO"/>
    <x v="1"/>
    <n v="2024003050077"/>
    <x v="3"/>
    <s v="220387"/>
    <n v="51691035"/>
    <s v="PRESTACIÓN DE SERVICIOS PROFESIONALES PARA APOYAR LAS ACTIVIDADES COMUNICATIVAS Y PERIODÍSTICAS QUE CONTRIBUYAN AL FORTALECIMIENTO DE LA IMAGEN INSTITUCIONAL DE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s v=""/>
    <s v="NO"/>
    <s v="ENERO "/>
    <s v="FEBRERO"/>
    <s v=""/>
    <s v=""/>
    <s v=""/>
    <n v="0"/>
    <n v="51691035"/>
    <n v="0"/>
    <n v="0"/>
    <s v="1.45.4599.77.0-271130.2.3.2.02.02.008.01."/>
    <n v="52011001"/>
    <s v=""/>
    <s v=""/>
  </r>
  <r>
    <n v="70"/>
    <n v="80111600"/>
    <s v="SUBGERENCIA ADMINISTRATIVA Y FINANCIERA"/>
    <s v="FUNCIONAMIENTO"/>
    <x v="1"/>
    <n v="2024003050077"/>
    <x v="3"/>
    <s v="220387"/>
    <n v="97499603"/>
    <s v="PRESTACIÓN DE SERVICIOS PROFESIONALES PARA APOYAR LA PRODUCCIÓN DE CONTENIDOS Y EL RELACIONAMIENTO CON LAS DEMÁS ENTIDADES PÚBLICAS POR PARTE DE LA OFICINA ASESORA DE COMUNICACIONES DE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9.5"/>
    <s v="MESES"/>
    <n v="0"/>
    <s v="NO"/>
    <s v="MARZO"/>
    <s v="MARZO"/>
    <n v="356"/>
    <s v="CLARA EUGENIA GIRALDO AGREDO"/>
    <s v=""/>
    <n v="0"/>
    <n v="97499603"/>
    <n v="0"/>
    <n v="0"/>
    <s v="1.45.4599.77.0-271130.2.3.2.02.02.008.01."/>
    <n v="52011001"/>
    <s v=""/>
    <s v=""/>
  </r>
  <r>
    <n v="71"/>
    <n v="80111600"/>
    <s v="SUBGERENCIA ADMINISTRATIVA Y FINANCIERA"/>
    <s v="FUNCIONAMIENTO"/>
    <x v="1"/>
    <n v="2024003050077"/>
    <x v="3"/>
    <s v="220387"/>
    <n v="89747971"/>
    <s v="PRESTACIÓN DE SERVICIOS PROFESIONALES COMO ADMINISTRADOR DE EMPRESAS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ENERO "/>
    <s v="ENERO "/>
    <s v=""/>
    <s v=""/>
    <s v=""/>
    <n v="0"/>
    <n v="89747971"/>
    <n v="0"/>
    <n v="0"/>
    <s v="1.45.4599.77.0-271130.2.3.2.02.02.008.01."/>
    <n v="52011001"/>
    <s v=""/>
    <s v=""/>
  </r>
  <r>
    <n v="72"/>
    <n v="80111600"/>
    <s v="SUBGERENCIA ADMINISTRATIVA Y FINANCIERA"/>
    <s v="FUNCIONAMIENTO"/>
    <x v="1"/>
    <n v="2024003050077"/>
    <x v="3"/>
    <s v="220387"/>
    <n v="33909632"/>
    <s v="PRESTACIÓN DE SERVICIOS COMO TÉCNICO EN DISEÑO GRÁFICO Y PRODUCCIÓN AUDIO VISUAL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s v=""/>
    <s v="NO"/>
    <s v="ENERO "/>
    <s v="FEBRERO"/>
    <s v=""/>
    <s v=""/>
    <s v=""/>
    <n v="0"/>
    <n v="33909632"/>
    <n v="0"/>
    <n v="0"/>
    <s v="1.45.4599.77.0-271130.2.3.2.02.02.008.01."/>
    <n v="52011001"/>
    <s v=""/>
    <s v=""/>
  </r>
  <r>
    <n v="73"/>
    <n v="80111600"/>
    <s v="SUBGERENCIA ADMINISTRATIVA Y FINANCIERA"/>
    <s v="FUNCIONAMIENTO"/>
    <x v="1"/>
    <n v="2024003050077"/>
    <x v="3"/>
    <s v="220387"/>
    <n v="14529971"/>
    <s v="PRESTACIÓN DE SERVICIOS PROFESIONALES COMO ADMINISTRADOR DE EMPRESAS PARA INDEPORTES ANTIOQUIA"/>
    <s v="NO 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ENERO "/>
    <s v="ENERO "/>
    <s v=""/>
    <s v=""/>
    <s v=""/>
    <n v="0"/>
    <n v="14529971"/>
    <n v="0"/>
    <n v="0"/>
    <s v="1.45.4599.77.0-271130.2.3.2.02.02.008.01."/>
    <n v="52011001"/>
    <s v=""/>
    <s v=""/>
  </r>
  <r>
    <n v="74"/>
    <s v="90141701;_x000a_90141502;_x000a_82101905;_x000a_82101903;_x000a_82101902;_x000a_82101901;_x000a_80141902;_x000a_80141607;_x000a_80111600;"/>
    <s v="SUBGERENCIA ADMINISTRATIVA Y FINANCIERA"/>
    <s v="FUNCIONAMIENTO"/>
    <x v="1"/>
    <n v="2024003050077"/>
    <x v="1"/>
    <s v="220387"/>
    <n v="0"/>
    <s v="N/A"/>
    <s v="NO CONTRATADO"/>
    <s v="N/A"/>
    <s v="N/A"/>
    <x v="48"/>
    <n v="54"/>
    <s v="Fortalecimiento de los sistemas de información y la gestión estratégica para el deporte, la recreación y la actividad física de Antioquia (Comunicaciones) -Servicios prestados a las empresas y servicios de producción "/>
    <s v="77"/>
    <s v="0-271130"/>
    <n v="11"/>
    <s v="MESES"/>
    <s v=""/>
    <s v="NO"/>
    <s v="FEBRERO"/>
    <s v="FEBRERO"/>
    <s v=""/>
    <s v=""/>
    <s v=""/>
    <n v="0"/>
    <n v="0"/>
    <n v="0"/>
    <n v="0"/>
    <s v="1.45.4599.77.0-271130.2.3.2.02.02.008.01."/>
    <n v="52011001"/>
    <s v=""/>
    <s v=""/>
  </r>
  <r>
    <n v="75"/>
    <n v="78131800"/>
    <s v="SUBGERENCIA ADMINISTRATIVA Y FINANCIERA"/>
    <s v="FUNCIONAMIENTO"/>
    <x v="1"/>
    <n v="2024003050077"/>
    <x v="13"/>
    <s v="220387"/>
    <n v="66000000"/>
    <s v="ELABORACIÓN DE SIC SISTEMA INTEGRADO DE CONSERVACIÓN"/>
    <s v="NO CONTRATADO"/>
    <s v="DIRECTA"/>
    <s v="CONTRATO INTERADMINISTRATIVO"/>
    <x v="49"/>
    <n v="53"/>
    <s v="Fortalecimiento de los sistemas de información y la gestión estratégica para el deporte, la recreación y la actividad física de Antioquia (CADA) -Servicios prestados a las empresas y servicios de producción "/>
    <s v="77"/>
    <s v="0-205128"/>
    <n v="11"/>
    <s v="MESES"/>
    <s v=""/>
    <s v="NO"/>
    <s v="FEBRERO"/>
    <s v="FEBRERO"/>
    <s v=""/>
    <s v=""/>
    <s v=""/>
    <n v="0"/>
    <n v="66000000"/>
    <n v="0"/>
    <n v="0"/>
    <s v="1.45.4599.77.0-205128.2.3.2.02.02.008.08."/>
    <n v="52011001"/>
    <s v=""/>
    <s v=""/>
  </r>
  <r>
    <n v="76"/>
    <n v="80111600"/>
    <s v="SUBGERENCIA ADMINISTRATIVA Y FINANCIERA"/>
    <s v="FUNCIONAMIENTO"/>
    <x v="1"/>
    <n v="2024003050077"/>
    <x v="14"/>
    <s v="220387"/>
    <n v="34245335"/>
    <s v="DISPONIBLE PRESTACIÓN DE SERVICIOS PARA LA IMPLEMENTACIÓN CCD CUADRO DE CLASIFICACIÓN DOCUMENTAL (1 TECNÓLOGO EN GESTIÓN DOCUMENTAL) "/>
    <s v="NO CONTRATADO"/>
    <s v="DIRECTA"/>
    <s v="PRESTACIÓN DE SERVICIOS PROFESIONALES Y DE APOYO  A  LA GESTIÓN"/>
    <x v="49"/>
    <n v="53"/>
    <s v="Fortalecimiento de los sistemas de información y la gestión estratégica para el deporte, la recreación y la actividad física de Antioquia (CADA) -Servicios prestados a las empresas y servicios de producción "/>
    <s v="77"/>
    <s v="0-205128"/>
    <n v="6"/>
    <s v="MESES"/>
    <s v=""/>
    <s v="NO"/>
    <s v="MARZO"/>
    <s v="MARZO"/>
    <s v=""/>
    <s v=""/>
    <s v=""/>
    <n v="0"/>
    <n v="34245335"/>
    <n v="0"/>
    <n v="0"/>
    <s v="1.45.4599.77.0-205128.2.3.2.02.02.008.08."/>
    <n v="52011001"/>
    <s v=""/>
    <s v=""/>
  </r>
  <r>
    <n v="77"/>
    <n v="80111600"/>
    <s v="SUBGERENCIA ADMINISTRATIVA Y FINANCIERA"/>
    <s v="FUNCIONAMIENTO"/>
    <x v="1"/>
    <n v="2024003050077"/>
    <x v="15"/>
    <s v="220387"/>
    <n v="20000000"/>
    <s v="PRESTACIÓN DE SERVICIOS DE ESTADISTICO PARA INDEPORTES ANTIOQUIA"/>
    <s v="NO CONTRATADO"/>
    <s v="DIRECTA"/>
    <s v="PRESTACIÓN DE SERVICIOS PROFESIONALES Y DE APOYO  A  LA GESTIÓN"/>
    <x v="50"/>
    <n v="52"/>
    <s v="Fortalecimiento de los sistemas de información y la gestión estratégica para el deporte, la recreación y la actividad física de Antioquia-(Investigación) -Servicios prestados a las empresas y servicios de producción "/>
    <s v="77"/>
    <s v="0-205128"/>
    <n v="240"/>
    <s v="DÍAS"/>
    <s v=""/>
    <s v="NO"/>
    <s v="MARZO"/>
    <s v="MARZO"/>
    <s v=""/>
    <s v=""/>
    <s v=""/>
    <n v="0"/>
    <n v="20000000"/>
    <n v="0"/>
    <n v="0"/>
    <s v="1.45.4599.77.0-205128.2.3.2.02.02.008.07."/>
    <n v="52011001"/>
    <s v=""/>
    <s v=""/>
  </r>
  <r>
    <n v="78"/>
    <n v="82111800"/>
    <s v="SUBGERENCIA ADMINISTRATIVA Y FINANCIERA"/>
    <s v="FUNCIONAMIENTO"/>
    <x v="1"/>
    <n v="2024003050077"/>
    <x v="16"/>
    <s v="220387"/>
    <n v="30000000"/>
    <s v="DIAGRAMACIÓN, CORRECCIÓN DE ESTILO, EVALUACIÓN POR PARES Y PUBLICACIÓN DEL LIBRO DEL ESCOLAR ANTIOQUEÑO."/>
    <s v="NO CONTRATADO"/>
    <s v="DIRECTA"/>
    <s v="CONTRATO INTERADMINISTRATIVO"/>
    <x v="50"/>
    <n v="52"/>
    <s v="Fortalecimiento de los sistemas de información y la gestión estratégica para el deporte, la recreación y la actividad física de Antioquia-(Investigación) -Servicios prestados a las empresas y servicios de producción "/>
    <s v="77"/>
    <s v="0-205128"/>
    <n v="2"/>
    <s v="MESES"/>
    <s v=""/>
    <s v="NO"/>
    <s v="FEBRERO"/>
    <s v="FEBRERO"/>
    <s v=""/>
    <s v=""/>
    <s v=""/>
    <n v="0"/>
    <n v="30000000"/>
    <n v="0"/>
    <n v="0"/>
    <s v="1.45.4599.77.0-205128.2.3.2.02.02.008.07."/>
    <n v="52011001"/>
    <s v=""/>
    <s v=""/>
  </r>
  <r>
    <n v="79"/>
    <n v="80161500"/>
    <s v="SUBGERENCIA ADMINISTRATIVA Y FINANCIERA"/>
    <s v="FUNCIONAMIENTO"/>
    <x v="1"/>
    <n v="2024003050077"/>
    <x v="17"/>
    <s v="220387"/>
    <n v="55661320"/>
    <s v="PRESTACIÓN DE SERVICIOS PROFESIONALES PARA EL SEGUIMIENTO Y  MONITOREO AL SISTEMA DE GESTIÓN DE INDEPORTES ANTIOQUIA"/>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57"/>
    <s v="NO"/>
    <s v="ENERO "/>
    <s v="ENERO "/>
    <n v="35"/>
    <s v="LEDY JULIETH ECHEVERRI ESCOBAR"/>
    <n v="97"/>
    <n v="55661320"/>
    <n v="0"/>
    <n v="5265260"/>
    <n v="50396060"/>
    <s v="971.45.4599.77.0-101024.2.3.2.02.02.008.03."/>
    <n v="52011001"/>
    <n v="5265260"/>
    <n v="55661320"/>
  </r>
  <r>
    <n v="80"/>
    <n v="80111600"/>
    <s v="SUBGERENCIA ADMINISTRATIVA Y FINANCIERA"/>
    <s v="FUNCIONAMIENTO"/>
    <x v="1"/>
    <n v="2024003050077"/>
    <x v="17"/>
    <s v="220387"/>
    <n v="55661320"/>
    <s v="PRESTACIÓN DE SERVICIOS PROFESIONALES PARA APOYAR LA ACTUALIZACIÓN Y SEGUIMIENTO DE LOS PLANES Y PROGRAMAS DEL PLAN  DE DESARROLLO DEPARTAMENTAL EN LOS PROGRAMAS DE  INDEPORTES ANTIOQUIA"/>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58"/>
    <s v="NO"/>
    <s v="ENERO "/>
    <s v="ENERO "/>
    <n v="37"/>
    <s v="CAMILA GOMEZ MARIN"/>
    <n v="91"/>
    <n v="55661320"/>
    <n v="0"/>
    <n v="6017440"/>
    <n v="49643880"/>
    <s v="911.45.4599.77.0-101024.2.3.2.02.02.008.03."/>
    <n v="52011001"/>
    <n v="6017440"/>
    <n v="55661320"/>
  </r>
  <r>
    <s v="D"/>
    <n v="80111600"/>
    <s v="SUBGERENCIA ADMINISTRATIVA Y FINANCIERA"/>
    <s v="FUNCIONAMIENTO"/>
    <x v="1"/>
    <n v="2024003050077"/>
    <x v="18"/>
    <s v="220387"/>
    <n v="1685913"/>
    <s v="DISPONIBLE PSP "/>
    <s v="NO 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s v="N/A"/>
    <s v="N/A"/>
    <s v=""/>
    <s v="NO"/>
    <s v="N/A"/>
    <s v="N/A"/>
    <s v=""/>
    <s v=""/>
    <s v=""/>
    <n v="0"/>
    <n v="1685913"/>
    <n v="0"/>
    <n v="0"/>
    <s v="1.45.4599.77.0-101024.2.3.2.02.02.008.03."/>
    <n v="52011001"/>
    <s v=""/>
    <s v=""/>
  </r>
  <r>
    <n v="81"/>
    <n v="80111600"/>
    <s v="SUBGERENCIA ADMINISTRATIVA Y FINANCIERA"/>
    <s v="FUNCIONAMIENTO"/>
    <x v="1"/>
    <n v="2024003050077"/>
    <x v="18"/>
    <s v="220387"/>
    <n v="62225800"/>
    <s v="PRESTACIÓN DE SERVICIOS PROFESIONALES ESPECIALIZADOS PARA ACOMPAÑAR LA ARTICULACIÓN DE LAS POLITICAS PUBLICAS Y LOS PLANES INSTITUCIONALES DE INDEPORTES ANTIOQUIA EN EL MARCO DEL PROYECTO DE FORTALECIMIENTO DE LOS SISTEMAS DE INFORMACIÓN Y LA GESTIÓN ESTRATEGICA PARA EL DEPORTE, LA RECREACIÓN Y LA ACTIVIDAD FÍSICA."/>
    <s v="NO 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6.5"/>
    <s v="MESES"/>
    <s v=""/>
    <s v="NO"/>
    <s v="ABRIL"/>
    <s v="ABRIL"/>
    <s v=""/>
    <s v=""/>
    <s v=""/>
    <n v="0"/>
    <n v="62225800"/>
    <n v="0"/>
    <n v="0"/>
    <s v="1.45.4599.77.0-101024.2.3.2.02.02.008.03."/>
    <n v="52011001"/>
    <s v=""/>
    <s v=""/>
  </r>
  <r>
    <n v="82"/>
    <n v="81112500"/>
    <s v="SUBGERENCIA ADMINISTRATIVA Y FINANCIERA"/>
    <s v="FUNCIONAMIENTO"/>
    <x v="1"/>
    <n v="2024003050077"/>
    <x v="19"/>
    <s v="220387"/>
    <n v="0"/>
    <s v="N/A"/>
    <s v="NO CONTRATADO"/>
    <s v="DIRECTA"/>
    <s v="PRESTACIÓN DE SERVICIOS"/>
    <x v="51"/>
    <n v="47"/>
    <s v="Fortalecimiento de los sistemas de información y la gestión estratégica para el deporte, la recreación y la actividad física de Antioquia (Planeación) -Servicios prestados a las empresas y servicios de producción "/>
    <s v="77"/>
    <s v="0-101024"/>
    <n v="11"/>
    <s v="MESES"/>
    <s v=""/>
    <s v="NO"/>
    <s v="FEBRERO"/>
    <s v="FEBRERO"/>
    <s v=""/>
    <s v=""/>
    <s v=""/>
    <n v="0"/>
    <n v="0"/>
    <n v="0"/>
    <n v="0"/>
    <s v="1.45.4599.77.0-101024.2.3.2.02.02.008.03."/>
    <n v="52011001"/>
    <s v=""/>
    <s v=""/>
  </r>
  <r>
    <n v="83"/>
    <n v="80111600"/>
    <s v="SUBGERENCIA ADMINISTRATIVA Y FINANCIERA"/>
    <s v="FUNCIONAMIENTO"/>
    <x v="1"/>
    <n v="2024003050077"/>
    <x v="20"/>
    <s v="220387"/>
    <n v="55661320"/>
    <s v="PRESTACIÓN DE SERVICIOS PROFESIONALES EN LA GENERACIÓN Y CONSOLIDACIÓN DE LA INFORMACIÓN ESTADISTICA DE INDEPORTES ANTIOQUIA"/>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59"/>
    <s v="NO"/>
    <s v="ENERO "/>
    <s v="ENERO "/>
    <n v="36"/>
    <s v="SARA MARTINEZ RENDON "/>
    <n v="101"/>
    <n v="55661320"/>
    <n v="0"/>
    <n v="5265260"/>
    <n v="50396060"/>
    <s v="1011.45.4599.77.0-205128.2.3.2.02.02.008.04."/>
    <n v="52011001"/>
    <n v="5265260"/>
    <n v="55661320"/>
  </r>
  <r>
    <n v="84"/>
    <n v="80111600"/>
    <s v="SUBGERENCIA ADMINISTRATIVA Y FINANCIERA"/>
    <s v="FUNCIONAMIENTO"/>
    <x v="1"/>
    <n v="2024003050077"/>
    <x v="20"/>
    <s v="220387"/>
    <n v="70841680"/>
    <s v="PRESTACIÓN DE SERVICIOS PROFESIONALES ESPECIALIZADOS PARA LA GESTIÓN, ADMINISTRACIÓN, Y CONSOLIDACIÓN DE INFORMACIÓN INSTITUCIONAL PARA REALIZAR LA ANALÍTICA DE DATOS DEL OBSERVATORIO DEL DEPORTE DE ANTIOQUIA."/>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60"/>
    <s v="NO"/>
    <s v="ENERO "/>
    <s v="ENERO "/>
    <n v="38"/>
    <s v="ANDRÉS MAURICIO VALENCIA RUIZ "/>
    <n v="92"/>
    <n v="70841680"/>
    <n v="0"/>
    <n v="6701240"/>
    <n v="64140440"/>
    <s v="921.45.4599.77.0-205128.2.3.2.02.02.008.04."/>
    <n v="52011001"/>
    <n v="6701240"/>
    <n v="70841680"/>
  </r>
  <r>
    <n v="85"/>
    <n v="80161500"/>
    <s v="SUBGERENCIA ADMINISTRATIVA Y FINANCIERA"/>
    <s v="FUNCIONAMIENTO"/>
    <x v="1"/>
    <n v="2024003050077"/>
    <x v="21"/>
    <s v="220387"/>
    <n v="26326496"/>
    <s v="CONTRATO INTERADMINISTRATIVO PARA REALIZAR AUDITORÍAS INTERNAS AL SISTEMA INTEGRAL DE GESTIÓN Y FORTALECER CAPACIDADES DE LOS AUDITORES INTERNOS Y SERVIDORES QUE PARTICIPAN EN EL PROCESO."/>
    <s v="NO CONTRATADO"/>
    <s v="DIRECTA"/>
    <s v="CONTRATO INTERADMINISTRATIVO"/>
    <x v="52"/>
    <n v="49"/>
    <s v="Fortalecimiento de los sistemas de información y la gestión estratégica para el deporte, la recreación y la actividad física de Antioquia (Planeación)  -Servicios prestados a las empresas y servicios de producción "/>
    <s v="77"/>
    <s v="0-205128"/>
    <n v="6"/>
    <s v="MESES"/>
    <s v=""/>
    <s v="NO"/>
    <s v="ABRIL"/>
    <s v="ABRIL"/>
    <s v=""/>
    <s v=""/>
    <s v=""/>
    <n v="0"/>
    <n v="26326496"/>
    <n v="0"/>
    <n v="0"/>
    <s v="1.45.4599.77.0-205128.2.3.2.02.02.008.04."/>
    <n v="52011001"/>
    <s v=""/>
    <s v=""/>
  </r>
  <r>
    <n v="86"/>
    <n v="81112500"/>
    <s v="SUBGERENCIA ADMINISTRATIVA Y FINANCIERA"/>
    <s v="FUNCIONAMIENTO"/>
    <x v="1"/>
    <n v="2024003050077"/>
    <x v="21"/>
    <s v="220387"/>
    <n v="0"/>
    <s v="N/A"/>
    <s v="NO CONTRATADO"/>
    <s v="DIRECTA"/>
    <s v="CONTRATO INTERADMINISTRATIVO"/>
    <x v="52"/>
    <n v="49"/>
    <s v="Fortalecimiento de los sistemas de información y la gestión estratégica para el deporte, la recreación y la actividad física de Antioquia (Planeación)  -Servicios prestados a las empresas y servicios de producción "/>
    <s v="77"/>
    <s v="0-205128"/>
    <s v="N/A"/>
    <s v="N/A"/>
    <s v=""/>
    <s v="NO"/>
    <s v="ENERO "/>
    <s v="ENERO "/>
    <s v=""/>
    <s v=""/>
    <s v=""/>
    <n v="0"/>
    <n v="0"/>
    <n v="0"/>
    <n v="0"/>
    <s v="1.45.4599.77.0-205128.2.3.2.02.02.008.04."/>
    <n v="52011001"/>
    <s v=""/>
    <s v=""/>
  </r>
  <r>
    <n v="87"/>
    <n v="80111600"/>
    <s v="SUBGERENCIA ADMINISTRATIVA Y FINANCIERA"/>
    <s v="FUNCIONAMIENTO"/>
    <x v="1"/>
    <n v="2024003050077"/>
    <x v="20"/>
    <s v="220387"/>
    <n v="10436602"/>
    <s v="PRESTACIÓN DE SERVICIOS PROFESIONAL PARA APOYAR LA GENERACIÓN DE INFORMACIÓN RELACIONADA CON EL ALTO LOGRO Y LAS ACTIVIDADES DRAF EN EL MARCO DEL OBSERVATORIO DEL DEPORTE"/>
    <s v="CONTRATADO"/>
    <s v="DIRECTA"/>
    <s v="PRESTACIÓN DE SERVICIOS PROFESIONALES Y DE APOYO  A  LA GESTIÓN"/>
    <x v="51"/>
    <n v="47"/>
    <s v="Fortalecimiento de los sistemas de información y la gestión estratégica para el deporte, la recreación y la actividad física de Antioquia (Planeación) -Servicios prestados a las empresas y servicios de producción "/>
    <s v="77"/>
    <s v="0-101024"/>
    <n v="222"/>
    <s v="DÍAS"/>
    <n v="404"/>
    <s v="NO"/>
    <s v="MARZO"/>
    <s v="MARZO"/>
    <n v="341"/>
    <s v="JUAN SEBASTIAN MALDONADO ALVAREZ"/>
    <s v=""/>
    <n v="0"/>
    <n v="10436602"/>
    <n v="0"/>
    <n v="0"/>
    <s v="1.45.4599.77.0-101024.2.3.2.02.02.008.03."/>
    <n v="52011001"/>
    <s v=""/>
    <s v=""/>
  </r>
  <r>
    <n v="87"/>
    <n v="80111600"/>
    <s v="SUBGERENCIA ADMINISTRATIVA Y FINANCIERA"/>
    <s v="FUNCIONAMIENTO"/>
    <x v="1"/>
    <n v="2024003050077"/>
    <x v="20"/>
    <s v="220387"/>
    <n v="27172448"/>
    <s v="PRESTACIÓN DE SERVICIOS PROFESIONAL PARA APOYAR LA GENERACIÓN DE INFORMACIÓN RELACIONADA CON EL ALTO LOGRO Y LAS ACTIVIDADES DRAF EN EL MARCO DEL OBSERVATORIO DEL DEPORTE"/>
    <s v="CONTRATADO"/>
    <s v="DIRECTA"/>
    <s v="PRESTACIÓN DE SERVICIOS PROFESIONALES Y DE APOYO  A  LA GESTIÓN"/>
    <x v="52"/>
    <n v="49"/>
    <s v="Fortalecimiento de los sistemas de información y la gestión estratégica para el deporte, la recreación y la actividad física de Antioquia (Planeación)  -Servicios prestados a las empresas y servicios de producción "/>
    <s v="77"/>
    <s v="0-205128"/>
    <n v="222"/>
    <s v="DÍAS"/>
    <n v="404"/>
    <s v="NO"/>
    <s v="MARZO"/>
    <s v="MARZO"/>
    <n v="341"/>
    <s v="JUAN SEBASTIAN MALDONADO ALVAREZ"/>
    <s v=""/>
    <n v="0"/>
    <n v="27172448"/>
    <n v="0"/>
    <n v="0"/>
    <s v="1.45.4599.77.0-205128.2.3.2.02.02.008.04."/>
    <n v="52011001"/>
    <s v=""/>
    <s v=""/>
  </r>
  <r>
    <n v="88"/>
    <n v="72101500"/>
    <s v="SUBGERENCIA ESCENARIOS DEPORTIVOS Y EQUIPAMIENTOS"/>
    <s v="INVERSIÓN"/>
    <x v="3"/>
    <n v="2024003050075"/>
    <x v="22"/>
    <s v="050070"/>
    <n v="170000000"/>
    <s v="CONVENIOS INTERADMINISTRATIVOS PARA EL MANTENIMIENTO, ADECUACIÓN, MEJORAS DE ESCENARIOS DEPORTIVOS O EQUIPAMIENTOS EN EL DEPARTAMENTO DE ANTIOQUIA."/>
    <s v="NO CONTRATADO"/>
    <s v="DIRECTA"/>
    <s v="CONVENIO INTERADMINISTRATIVO"/>
    <x v="53"/>
    <n v="89"/>
    <s v="Mantenimiento, adecuación, mejoras de escenarios deportivos o equipamientos en el departamento de Antioquia -Construcción y servicios de la construcción"/>
    <s v="75"/>
    <s v="0-205128"/>
    <n v="11"/>
    <s v="MESES"/>
    <s v=""/>
    <s v="NO"/>
    <s v="ENERO "/>
    <s v="ENERO "/>
    <s v=""/>
    <s v=""/>
    <s v=""/>
    <n v="0"/>
    <n v="170000000"/>
    <n v="0"/>
    <n v="0"/>
    <s v="4.43.4302.75.0-205128.2.3.2.02.02.005.02."/>
    <n v="52010902"/>
    <s v=""/>
    <s v=""/>
  </r>
  <r>
    <n v="89"/>
    <n v="72101500"/>
    <s v="SUBGERENCIA ESCENARIOS DEPORTIVOS Y EQUIPAMIENTOS"/>
    <s v="INVERSIÓN"/>
    <x v="3"/>
    <n v="2024003050075"/>
    <x v="22"/>
    <s v="050070"/>
    <n v="212153613"/>
    <s v="DISPONIBLE PARA PARA EL MANTENIMIENTO, ADECUACIÓN, MEJORAS DE ESCENARIOS DEPORTIVOS O EQUIPAMIENTOS EN EL DEPARTAMENTO DE ANTIOQUIA."/>
    <s v="NO CONTRATADO"/>
    <s v="DIRECTA"/>
    <s v="CONVENIO INTERADMINISTRATIVO"/>
    <x v="53"/>
    <n v="89"/>
    <s v="Mantenimiento, adecuación, mejoras de escenarios deportivos o equipamientos en el departamento de Antioquia -Construcción y servicios de la construcción"/>
    <s v="75"/>
    <s v="0-205128"/>
    <n v="10"/>
    <s v="MESES"/>
    <s v=""/>
    <s v="NO"/>
    <s v="FEBRERO"/>
    <s v="FEBRERO"/>
    <s v=""/>
    <s v=""/>
    <s v=""/>
    <n v="0"/>
    <n v="212153613"/>
    <n v="0"/>
    <n v="0"/>
    <s v="4.43.4302.75.0-205128.2.3.2.02.02.005.02."/>
    <n v="52010902"/>
    <s v=""/>
    <s v=""/>
  </r>
  <r>
    <n v="90"/>
    <n v="72101500"/>
    <s v="SUBGERENCIA ESCENARIOS DEPORTIVOS Y EQUIPAMIENTOS"/>
    <s v="INVERSIÓN"/>
    <x v="3"/>
    <n v="2024003050075"/>
    <x v="22"/>
    <s v="050070"/>
    <n v="8703377717"/>
    <s v="CONVENIOS INTERADMINISTRATIVOS PARA EL MANTENIMIENTO, ADECUACIÓN, MEJORAS DE ESCENARIOS DEPORTIVOS O EQUIPAMIENTOS EN EL DEPARTAMENTO DE ANTIOQUIA."/>
    <s v="NO CONTRATADO"/>
    <s v="DIRECTA"/>
    <s v="CONVENIO INTERADMINISTRATIVO"/>
    <x v="54"/>
    <n v="88"/>
    <s v="Mantenimiento, adecuación, mejoras de escenarios deportivos o equipamientos en el departamento de Antioquia -Construcción y servicios de la construcción"/>
    <s v="75"/>
    <s v="0-202029"/>
    <n v="11"/>
    <s v="MESES"/>
    <s v=""/>
    <s v="NO"/>
    <s v="ENERO "/>
    <s v="ENERO "/>
    <s v=""/>
    <s v=""/>
    <s v=""/>
    <n v="0"/>
    <n v="8703377717"/>
    <n v="0"/>
    <n v="0"/>
    <s v="4.43.4302.75.0-202029.2.3.2.02.02.005.03."/>
    <n v="52010902"/>
    <s v=""/>
    <s v=""/>
  </r>
  <r>
    <n v="91"/>
    <n v="81112501"/>
    <s v="SUBGERENCIA ESCENARIOS DEPORTIVOS Y EQUIPAMIENTOS"/>
    <s v="INVERSIÓN"/>
    <x v="3"/>
    <n v="2024003050075"/>
    <x v="23"/>
    <s v="050070"/>
    <n v="80956324"/>
    <s v="DISPONIBLE PARA LA  ADQUISICIÓN Y/O RENOVACIÓN DE  LICENCIAS, PERMISOS Y OTROS"/>
    <s v="NO CONTRATADO"/>
    <s v="RESOLUCIÓN"/>
    <s v="RESOLUCIÓN"/>
    <x v="55"/>
    <n v="90"/>
    <s v="Mantenimiento, adecuación, mejoras de escenarios deportivos o equipamientos en el departamento de Antioquia.. - Servicios prestados a las empresas y servicios de producción "/>
    <s v="75"/>
    <s v="0-205128"/>
    <n v="10"/>
    <s v="MESES"/>
    <s v=""/>
    <s v="NO"/>
    <s v="FEBRERO"/>
    <s v="FEBRERO"/>
    <s v=""/>
    <s v=""/>
    <s v=""/>
    <n v="0"/>
    <n v="80956324"/>
    <n v="0"/>
    <n v="0"/>
    <s v="4.43.4302.75.0-205128.2.3.2.02.02.008.19."/>
    <n v="52010902"/>
    <s v=""/>
    <s v=""/>
  </r>
  <r>
    <n v="92"/>
    <n v="80111600"/>
    <s v="SUBGERENCIA ESCENARIOS DEPORTIVOS Y EQUIPAMIENTOS"/>
    <s v="INVERSIÓN"/>
    <x v="3"/>
    <n v="2024003050075"/>
    <x v="23"/>
    <s v="050070"/>
    <n v="23419334"/>
    <s v="PRESTACIÓN DE SERVICIOS PROFESIONALES COMO INGENIERO CIVIL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23419334"/>
    <n v="0"/>
    <n v="0"/>
    <s v="4.43.4302.75.0-101024.2.3.2.02.02.008.20."/>
    <n v="52010902"/>
    <s v=""/>
    <s v=""/>
  </r>
  <r>
    <n v="93"/>
    <n v="80111600"/>
    <s v="SUBGERENCIA ESCENARIOS DEPORTIVOS Y EQUIPAMIENTOS"/>
    <s v="INVERSIÓN"/>
    <x v="3"/>
    <n v="2024003050075"/>
    <x v="23"/>
    <s v="050070"/>
    <n v="74934379"/>
    <s v="PRESTACION  DE SERVICIOS PROFESIONALES COMO  ECONOMISTA ESPECIALIZ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74934379"/>
    <n v="0"/>
    <n v="0"/>
    <s v="4.43.4302.75.0-101024.2.3.2.02.02.008.20."/>
    <n v="52010902"/>
    <s v=""/>
    <s v=""/>
  </r>
  <r>
    <n v="606"/>
    <n v="80111600"/>
    <s v="SUBGERENCIA ESCENARIOS DEPORTIVOS Y EQUIPAMIENTOS"/>
    <s v="INVERSIÓN"/>
    <x v="3"/>
    <n v="2024003050075"/>
    <x v="23"/>
    <s v="050070"/>
    <n v="67696200"/>
    <s v="PRESTACIÓN DE SERVICIOS PROFESIONALES COMO FINANCIERO PARA APOYAR LOS PROCESOS ADMINISTRATIVOS Y FINANCIEROS_x000a_DE LOS PROYECTOS DE LA SUBGERENCIA DE ESCENARIOS DEPORTIVOS Y EQUIPAMIENTOS DE INDEPORTES ANTIOQUIA. _x000a_"/>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9"/>
    <s v="MESES"/>
    <n v="452"/>
    <s v="NO"/>
    <s v="MARZO"/>
    <s v="MARZO"/>
    <n v="359"/>
    <s v="SANTIAGO DIAZ MONTOYA"/>
    <s v=""/>
    <n v="0"/>
    <n v="67696200"/>
    <n v="0"/>
    <n v="0"/>
    <s v="4.43.4302.75.0-101024.2.3.2.02.02.008.20."/>
    <n v="52010902"/>
    <s v=""/>
    <s v=""/>
  </r>
  <r>
    <n v="94"/>
    <n v="80111600"/>
    <s v="SUBGERENCIA ESCENARIOS DEPORTIVOS Y EQUIPAMIENTOS"/>
    <s v="INVERSIÓN"/>
    <x v="3"/>
    <n v="2024003050075"/>
    <x v="23"/>
    <s v="050070"/>
    <n v="24561342"/>
    <s v="PRESTACION  DE SERVICIOS PROFESIONALES COMO  ECONOMISTA Y/O ADMINISTRADOR ESPECIALIZ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24561342"/>
    <n v="0"/>
    <n v="0"/>
    <s v="4.43.4302.75.0-101024.2.3.2.02.02.008.20."/>
    <n v="52010902"/>
    <s v=""/>
    <s v=""/>
  </r>
  <r>
    <n v="95"/>
    <n v="80111600"/>
    <s v="SUBGERENCIA ESCENARIOS DEPORTIVOS Y EQUIPAMIENTOS"/>
    <s v="INVERSIÓN"/>
    <x v="3"/>
    <n v="2024003050075"/>
    <x v="23"/>
    <s v="050070"/>
    <n v="52642729"/>
    <s v="PRESTACIÓN DE SERVICIOS PROFESIONALES COMO INGENIERO AMBIENTAL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52642729"/>
    <n v="0"/>
    <n v="0"/>
    <s v="4.43.4302.75.0-101024.2.3.2.02.02.008.20."/>
    <n v="52010902"/>
    <s v=""/>
    <s v=""/>
  </r>
  <r>
    <n v="96"/>
    <n v="80111600"/>
    <s v="SUBGERENCIA ESCENARIOS DEPORTIVOS Y EQUIPAMIENTOS"/>
    <s v="INVERSIÓN"/>
    <x v="3"/>
    <n v="2024003050075"/>
    <x v="23"/>
    <s v="050070"/>
    <n v="48767632"/>
    <s v="DISPONIBLE PARA PRESTACION DE SERVICIOS PROFESIONALES COMOABOG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11"/>
    <s v="MESES"/>
    <s v=""/>
    <s v="NO"/>
    <s v="ENERO "/>
    <s v="ENERO "/>
    <s v=""/>
    <s v=""/>
    <s v=""/>
    <n v="0"/>
    <n v="48767632"/>
    <n v="0"/>
    <n v="0"/>
    <s v="4.43.4302.75.0-101024.2.3.2.02.02.008.20."/>
    <n v="52010902"/>
    <s v=""/>
    <s v=""/>
  </r>
  <r>
    <n v="97"/>
    <n v="80111600"/>
    <s v="SUBGERENCIA ESCENARIOS DEPORTIVOS Y EQUIPAMIENTOS"/>
    <s v="INVERSIÓN"/>
    <x v="3"/>
    <n v="2024003050075"/>
    <x v="23"/>
    <s v="050070"/>
    <n v="54648542"/>
    <s v="DISPONIBLE PARA PRESTACION DE SERVICIOS PROFESIONALES COMOABOGADO PARA LA ENTIDAD"/>
    <s v="NO 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s v=""/>
    <s v="NO"/>
    <s v="FEBRERO"/>
    <s v="FEBRERO"/>
    <s v=""/>
    <s v=""/>
    <s v=""/>
    <n v="0"/>
    <n v="54648542"/>
    <n v="0"/>
    <n v="0"/>
    <s v="4.43.4302.75.0-101024.2.3.2.02.02.008.20."/>
    <n v="52010902"/>
    <s v=""/>
    <s v=""/>
  </r>
  <r>
    <n v="98"/>
    <n v="81112501"/>
    <s v="SUBGERENCIA ESCENARIOS DEPORTIVOS Y EQUIPAMIENTOS"/>
    <s v="INVERSIÓN"/>
    <x v="4"/>
    <n v="2024003050076"/>
    <x v="24"/>
    <s v="050074"/>
    <n v="85000000"/>
    <s v="ADQUISICIÓN Y/O RENOVACIÓN DE  LICENCIAS, PERMISOS Y OTROS"/>
    <s v="NO CONTRATADO"/>
    <s v="RESOLUCIÓN"/>
    <s v="RESOLUCIÓN"/>
    <x v="57"/>
    <n v="91"/>
    <s v="Construcción de escenarios deportivos en el departamento de Antioquia -Productos metálicos, maquinaria y equipo"/>
    <s v="76"/>
    <s v="0-205128"/>
    <n v="1"/>
    <s v="MESES"/>
    <s v=""/>
    <s v="NO"/>
    <s v="FEBRERO"/>
    <s v="FEBRERO"/>
    <s v=""/>
    <s v=""/>
    <s v=""/>
    <n v="0"/>
    <n v="85000000"/>
    <n v="0"/>
    <n v="0"/>
    <s v="4.43.4302.76.0-205128.2.3.2.02.01.004.02."/>
    <n v="52010901"/>
    <s v=""/>
    <s v=""/>
  </r>
  <r>
    <n v="99"/>
    <n v="80111600"/>
    <s v="SUBGERENCIA ESCENARIOS DEPORTIVOS Y EQUIPAMIENTOS"/>
    <s v="INVERSIÓN"/>
    <x v="4"/>
    <n v="2024003050076"/>
    <x v="25"/>
    <s v="050074"/>
    <n v="956618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9566189"/>
    <n v="0"/>
    <n v="0"/>
    <s v="4.43.4302.76.0-205128.2.3.2.02.02.008.21."/>
    <n v="52010901"/>
    <s v=""/>
    <s v=""/>
  </r>
  <r>
    <n v="100"/>
    <n v="80111600"/>
    <s v="SUBGERENCIA ESCENARIOS DEPORTIVOS Y EQUIPAMIENTOS"/>
    <s v="INVERSIÓN"/>
    <x v="4"/>
    <n v="2024003050076"/>
    <x v="25"/>
    <s v="050074"/>
    <n v="26425303"/>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26425303"/>
    <n v="0"/>
    <n v="0"/>
    <s v="4.43.4302.76.0-205128.2.3.2.02.02.008.21."/>
    <n v="52010901"/>
    <s v=""/>
    <s v=""/>
  </r>
  <r>
    <n v="101"/>
    <n v="80111600"/>
    <s v="SUBGERENCIA ESCENARIOS DEPORTIVOS Y EQUIPAMIENTOS"/>
    <s v="INVERSIÓN"/>
    <x v="4"/>
    <n v="2024003050076"/>
    <x v="25"/>
    <s v="050074"/>
    <n v="10565492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105654929"/>
    <n v="0"/>
    <n v="0"/>
    <s v="4.43.4302.76.0-205128.2.3.2.02.02.008.21."/>
    <n v="52010901"/>
    <s v=""/>
    <s v=""/>
  </r>
  <r>
    <n v="102"/>
    <n v="80111600"/>
    <s v="SUBGERENCIA ESCENARIOS DEPORTIVOS Y EQUIPAMIENTOS"/>
    <s v="INVERSIÓN"/>
    <x v="4"/>
    <n v="2024003050076"/>
    <x v="25"/>
    <s v="050074"/>
    <n v="10565492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105654929"/>
    <n v="0"/>
    <n v="0"/>
    <s v="4.43.4302.76.0-205128.2.3.2.02.02.008.21."/>
    <n v="52010901"/>
    <s v=""/>
    <s v=""/>
  </r>
  <r>
    <n v="103"/>
    <n v="80111600"/>
    <s v="SUBGERENCIA ESCENARIOS DEPORTIVOS Y EQUIPAMIENTOS"/>
    <s v="INVERSIÓN"/>
    <x v="4"/>
    <n v="2024003050076"/>
    <x v="25"/>
    <s v="050074"/>
    <n v="94507726"/>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94507726"/>
    <n v="0"/>
    <n v="0"/>
    <s v="4.43.4302.76.0-205128.2.3.2.02.02.008.21."/>
    <n v="52010901"/>
    <s v=""/>
    <s v=""/>
  </r>
  <r>
    <n v="104"/>
    <n v="80111600"/>
    <s v="SUBGERENCIA ESCENARIOS DEPORTIVOS Y EQUIPAMIENTOS"/>
    <s v="INVERSIÓN"/>
    <x v="4"/>
    <n v="2024003050076"/>
    <x v="25"/>
    <s v="050074"/>
    <n v="31473579"/>
    <s v="PRESTACIÓN DE SERVICIOS PROFESIONALES COMO INGENIERO CIVIL PARA LA ENTIDAD"/>
    <s v="NO CONTRATADO"/>
    <s v="DIRECTA"/>
    <s v="PRESTACIÓN DE SERVICIOS PROFESIONALES Y DE APOYO  A  LA GESTIÓN"/>
    <x v="58"/>
    <n v="92"/>
    <s v="Construcción de escenarios deportivos en el departamento de Antioquia - Servicios prestados a las empresas y servicios de producción "/>
    <s v="76"/>
    <s v="0-205128"/>
    <n v="11.5"/>
    <s v="MESES"/>
    <s v=""/>
    <s v="NO"/>
    <s v="ENERO "/>
    <s v="ENERO "/>
    <s v=""/>
    <s v=""/>
    <s v=""/>
    <n v="0"/>
    <n v="31473579"/>
    <n v="0"/>
    <n v="0"/>
    <s v="4.43.4302.76.0-205128.2.3.2.02.02.008.21."/>
    <n v="52010901"/>
    <s v=""/>
    <s v=""/>
  </r>
  <r>
    <n v="615"/>
    <n v="72101500"/>
    <s v="SUBGERENCIA ESCENARIOS DEPORTIVOS Y EQUIPAMIENTOS"/>
    <s v="INVERSIÓN"/>
    <x v="4"/>
    <n v="2024003050076"/>
    <x v="24"/>
    <s v="050074"/>
    <n v="210000000"/>
    <s v="PAGOS TRÁMITES AMBIENTALES"/>
    <s v="NO CONTRATADO"/>
    <s v="DIRECTA"/>
    <s v="CONVENIO INTERADMINISTRATIVO"/>
    <x v="59"/>
    <n v="105"/>
    <s v="Construcción De Escenarios Deportivos En El Departamento De Antioquia - Construcción Y Servicios De La Construcción"/>
    <s v="76"/>
    <s v="0-205128"/>
    <n v="1"/>
    <s v="MESES"/>
    <s v=""/>
    <s v="NO"/>
    <s v="ABRIL"/>
    <s v="ABRIL"/>
    <s v=""/>
    <s v=""/>
    <s v=""/>
    <n v="0"/>
    <n v="210000000"/>
    <n v="0"/>
    <n v="0"/>
    <s v="4.43.4302.76.0-205128.2.3.2.02.02.005.04."/>
    <n v="52010901"/>
    <s v=""/>
    <s v=""/>
  </r>
  <r>
    <n v="105"/>
    <n v="72101500"/>
    <s v="SUBGERENCIA ESCENARIOS DEPORTIVOS Y EQUIPAMIENTOS"/>
    <s v="INVERSIÓN"/>
    <x v="4"/>
    <n v="2024003050076"/>
    <x v="24"/>
    <s v="050074"/>
    <n v="1534835906"/>
    <s v="DISPONIBLE PARA CONVENIOS INTERADMINISTRATIVOS PARA LA CONSTRUCCIÓN DE ESCENARIOS DEPORTIVOS EN EL DEPARTAMENTO DE ANTIOQUIA."/>
    <s v="NO CONTRATADO"/>
    <s v="DIRECTA"/>
    <s v="CONVENIO INTERADMINISTRATIVO"/>
    <x v="60"/>
    <n v="93"/>
    <s v="Construcción de escenarios deportivos en el departamento de Antioquia -Para la adquisición de activos no financieros "/>
    <s v="76"/>
    <s v="0-205128"/>
    <n v="11"/>
    <s v="MESES"/>
    <s v=""/>
    <s v="NO"/>
    <s v="ENERO "/>
    <s v="ENERO "/>
    <s v=""/>
    <s v=""/>
    <s v=""/>
    <n v="0"/>
    <n v="1534835906"/>
    <n v="0"/>
    <n v="0"/>
    <s v="4.43.4302.76.0-205128.2.3.4.04."/>
    <n v="52010901"/>
    <s v=""/>
    <s v=""/>
  </r>
  <r>
    <n v="107"/>
    <n v="80111600"/>
    <s v="SUBGERENCIA DE FOMENTO Y DESARROLLO"/>
    <s v="INVERSIÓN"/>
    <x v="5"/>
    <n v="2024003050101"/>
    <x v="26"/>
    <s v="050075"/>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7"/>
    <s v="NO"/>
    <s v="ENERO "/>
    <s v="ENERO "/>
    <n v="19"/>
    <s v="JUAN MANUEL GALVIS MUÑOZ"/>
    <n v="68"/>
    <n v="12034880"/>
    <n v="0"/>
    <n v="6518893"/>
    <n v="5515987"/>
    <s v="683.43.4301.01.0-205128.2.3.2.02.02.008.14."/>
    <n v="52010702"/>
    <n v="6518893"/>
    <n v="12034880"/>
  </r>
  <r>
    <n v="107"/>
    <n v="80111600"/>
    <s v="SUBGERENCIA DE FOMENTO Y DESARROLLO"/>
    <s v="INVERSIÓN"/>
    <x v="6"/>
    <n v="2024003050100"/>
    <x v="27"/>
    <s v="050071"/>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7"/>
    <s v="NO"/>
    <s v="ENERO "/>
    <s v="ENERO "/>
    <n v="19"/>
    <s v="JUAN MANUEL GALVIS MUÑOZ"/>
    <n v="68"/>
    <n v="12034880"/>
    <n v="0"/>
    <n v="0"/>
    <n v="12034880"/>
    <s v="683.43.4301.10.0-101024.2.3.2.02.02.008.15."/>
    <n v="52010705"/>
    <n v="0"/>
    <n v="12034880"/>
  </r>
  <r>
    <n v="107"/>
    <n v="80111600"/>
    <s v="SUBGERENCIA DE FOMENTO Y DESARROLLO"/>
    <s v="INVERSIÓN"/>
    <x v="7"/>
    <n v="2024003050072"/>
    <x v="28"/>
    <s v="050072"/>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7"/>
    <s v="NO"/>
    <s v="ENERO "/>
    <s v="ENERO "/>
    <n v="19"/>
    <s v="JUAN MANUEL GALVIS MUÑOZ"/>
    <n v="68"/>
    <n v="12034880"/>
    <n v="0"/>
    <n v="0"/>
    <n v="12034880"/>
    <s v="683.43.4301.72.0-205128.2.3.2.02.02.008.16."/>
    <n v="52010704"/>
    <n v="0"/>
    <n v="12034880"/>
  </r>
  <r>
    <n v="107"/>
    <n v="80111600"/>
    <s v="SUBGERENCIA DE FOMENTO Y DESARROLLO"/>
    <s v="INVERSIÓN"/>
    <x v="8"/>
    <n v="2024003050073"/>
    <x v="29"/>
    <s v="050081"/>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7"/>
    <s v="NO"/>
    <s v="ENERO "/>
    <s v="ENERO "/>
    <n v="19"/>
    <s v="JUAN MANUEL GALVIS MUÑOZ"/>
    <n v="68"/>
    <n v="12034880"/>
    <n v="0"/>
    <n v="0"/>
    <n v="12034880"/>
    <s v="683.43.4301.73.0-205128.2.3.2.02.02.008.17."/>
    <n v="52010703"/>
    <n v="0"/>
    <n v="12034880"/>
  </r>
  <r>
    <n v="107"/>
    <n v="80111600"/>
    <s v="SUBGERENCIA DE FOMENTO Y DESARROLLO"/>
    <s v="INVERSIÓN"/>
    <x v="9"/>
    <n v="2024003050074"/>
    <x v="30"/>
    <s v="050073"/>
    <n v="12034880"/>
    <s v="PRESTACIÓN DE SERVICIOS PROFESIONALES PARA APOYAR LA GESTIÓN TÉCNICA Y ADMINISTRATIVA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7"/>
    <s v="NO"/>
    <s v="ENERO "/>
    <s v="ENERO "/>
    <n v="19"/>
    <s v="JUAN MANUEL GALVIS MUÑOZ"/>
    <n v="68"/>
    <n v="12034880"/>
    <n v="0"/>
    <n v="0"/>
    <n v="12034880"/>
    <s v="683.43.4301.74.0-101024.2.3.2.02.02.008.18."/>
    <n v="52010701"/>
    <n v="0"/>
    <n v="12034880"/>
  </r>
  <r>
    <n v="108"/>
    <n v="80111600"/>
    <s v="SUBGERENCIA DE FOMENTO Y DESARROLLO"/>
    <s v="INVERSIÓN"/>
    <x v="5"/>
    <n v="2024003050101"/>
    <x v="26"/>
    <s v="050075"/>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8"/>
    <s v="NO"/>
    <s v="ENERO "/>
    <s v="ENERO "/>
    <n v="21"/>
    <s v="VANESSA KAMMERER GUTIERREZ"/>
    <n v="61"/>
    <n v="12034880"/>
    <n v="0"/>
    <n v="1353924"/>
    <n v="10680956"/>
    <s v="613.43.4301.01.0-205128.2.3.2.02.02.008.14."/>
    <n v="52010702"/>
    <n v="1353924"/>
    <n v="12034880"/>
  </r>
  <r>
    <n v="108"/>
    <n v="80111600"/>
    <s v="SUBGERENCIA DE FOMENTO Y DESARROLLO"/>
    <s v="INVERSIÓN"/>
    <x v="6"/>
    <n v="2024003050100"/>
    <x v="27"/>
    <s v="050071"/>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8"/>
    <s v="NO"/>
    <s v="ENERO "/>
    <s v="ENERO "/>
    <n v="21"/>
    <s v="VANESSA KAMMERER GUTIERREZ"/>
    <n v="61"/>
    <n v="12034880"/>
    <n v="0"/>
    <n v="1353924"/>
    <n v="10680956"/>
    <s v="613.43.4301.10.0-101024.2.3.2.02.02.008.15."/>
    <n v="52010705"/>
    <n v="1353924"/>
    <n v="12034880"/>
  </r>
  <r>
    <n v="108"/>
    <n v="80111600"/>
    <s v="SUBGERENCIA DE FOMENTO Y DESARROLLO"/>
    <s v="INVERSIÓN"/>
    <x v="7"/>
    <n v="2024003050072"/>
    <x v="28"/>
    <s v="050072"/>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8"/>
    <s v="NO"/>
    <s v="ENERO "/>
    <s v="ENERO "/>
    <n v="21"/>
    <s v="VANESSA KAMMERER GUTIERREZ"/>
    <n v="61"/>
    <n v="12034880"/>
    <n v="0"/>
    <n v="1353924"/>
    <n v="10680956"/>
    <s v="613.43.4301.72.0-205128.2.3.2.02.02.008.16."/>
    <n v="52010704"/>
    <n v="1353924"/>
    <n v="12034880"/>
  </r>
  <r>
    <n v="108"/>
    <n v="80111600"/>
    <s v="SUBGERENCIA DE FOMENTO Y DESARROLLO"/>
    <s v="INVERSIÓN"/>
    <x v="8"/>
    <n v="2024003050073"/>
    <x v="29"/>
    <s v="050081"/>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8"/>
    <s v="NO"/>
    <s v="ENERO "/>
    <s v="ENERO "/>
    <n v="21"/>
    <s v="VANESSA KAMMERER GUTIERREZ"/>
    <n v="61"/>
    <n v="12034880"/>
    <n v="0"/>
    <n v="1353924"/>
    <n v="10680956"/>
    <s v="613.43.4301.73.0-205128.2.3.2.02.02.008.17."/>
    <n v="52010703"/>
    <n v="1353924"/>
    <n v="12034880"/>
  </r>
  <r>
    <n v="108"/>
    <n v="80111600"/>
    <s v="SUBGERENCIA DE FOMENTO Y DESARROLLO"/>
    <s v="INVERSIÓN"/>
    <x v="9"/>
    <n v="2024003050074"/>
    <x v="30"/>
    <s v="050073"/>
    <n v="12034880"/>
    <s v="PRESTACIÓN DE SERVICIOS PROFESIONALES PARA APOYAR LOS PROCEDIMIENTOS ADMINISTRATIVOS Y FINANCIEROS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8"/>
    <s v="NO"/>
    <s v="ENERO "/>
    <s v="ENERO "/>
    <n v="21"/>
    <s v="VANESSA KAMMERER GUTIERREZ"/>
    <n v="61"/>
    <n v="12034880"/>
    <n v="0"/>
    <n v="1353924"/>
    <n v="10680956"/>
    <s v="613.43.4301.74.0-101024.2.3.2.02.02.008.18."/>
    <n v="52010701"/>
    <n v="1353924"/>
    <n v="12034880"/>
  </r>
  <r>
    <n v="109"/>
    <n v="80111600"/>
    <s v="SUBGERENCIA DE FOMENTO Y DESARROLLO"/>
    <s v="INVERSIÓN"/>
    <x v="5"/>
    <n v="2024003050101"/>
    <x v="26"/>
    <s v="050075"/>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9"/>
    <s v="NO"/>
    <s v="ENERO "/>
    <s v="ENERO "/>
    <n v="26"/>
    <s v="SANTIAGO ZAPATA MARIN"/>
    <n v="88"/>
    <n v="11034880"/>
    <n v="0"/>
    <n v="1103488"/>
    <n v="9931392"/>
    <s v="883.43.4301.01.0-205128.2.3.2.02.02.008.14."/>
    <n v="52010702"/>
    <n v="1103488"/>
    <n v="11034880"/>
  </r>
  <r>
    <n v="109"/>
    <n v="80111600"/>
    <s v="SUBGERENCIA DE FOMENTO Y DESARROLLO"/>
    <s v="INVERSIÓN"/>
    <x v="6"/>
    <n v="2024003050100"/>
    <x v="27"/>
    <s v="050071"/>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9"/>
    <s v="NO"/>
    <s v="ENERO "/>
    <s v="ENERO "/>
    <n v="26"/>
    <s v="SANTIAGO ZAPATA MARIN"/>
    <n v="88"/>
    <n v="11034880"/>
    <n v="0"/>
    <n v="1103488"/>
    <n v="9931392"/>
    <s v="883.43.4301.10.0-101024.2.3.2.02.02.008.15."/>
    <n v="52010705"/>
    <n v="1103488"/>
    <n v="11034880"/>
  </r>
  <r>
    <n v="109"/>
    <n v="80111600"/>
    <s v="SUBGERENCIA DE FOMENTO Y DESARROLLO"/>
    <s v="INVERSIÓN"/>
    <x v="7"/>
    <n v="2024003050072"/>
    <x v="28"/>
    <s v="050072"/>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9"/>
    <s v="NO"/>
    <s v="ENERO "/>
    <s v="ENERO "/>
    <n v="26"/>
    <s v="SANTIAGO ZAPATA MARIN"/>
    <n v="88"/>
    <n v="11034880"/>
    <n v="0"/>
    <n v="1103488"/>
    <n v="9931392"/>
    <s v="883.43.4301.72.0-205128.2.3.2.02.02.008.16."/>
    <n v="52010704"/>
    <n v="1103488"/>
    <n v="11034880"/>
  </r>
  <r>
    <n v="109"/>
    <n v="80111600"/>
    <s v="SUBGERENCIA DE FOMENTO Y DESARROLLO"/>
    <s v="INVERSIÓN"/>
    <x v="8"/>
    <n v="2024003050073"/>
    <x v="29"/>
    <s v="050081"/>
    <n v="11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9"/>
    <s v="NO"/>
    <s v="ENERO "/>
    <s v="ENERO "/>
    <n v="26"/>
    <s v="SANTIAGO ZAPATA MARIN"/>
    <n v="88"/>
    <n v="11034880"/>
    <n v="0"/>
    <n v="1103488"/>
    <n v="9931392"/>
    <s v="883.43.4301.73.0-205128.2.3.2.02.02.008.17."/>
    <n v="52010703"/>
    <n v="1103488"/>
    <n v="11034880"/>
  </r>
  <r>
    <n v="109"/>
    <n v="80111600"/>
    <s v="SUBGERENCIA DE FOMENTO Y DESARROLLO"/>
    <s v="INVERSIÓN"/>
    <x v="9"/>
    <n v="2024003050074"/>
    <x v="30"/>
    <s v="050073"/>
    <n v="16034880"/>
    <s v="PRESTACIÓN DE SERVICIOS PROFESIONALES PARA APOYAR ADMINISTRATIVA Y FINANCIERAMENTE LA SUBGERENCIA DE FOMENTO Y DESARROLLO DEPORTIVO DE INDEPORTES ANTIOQUIA ESPECIALMENTE EL PROYECTO DE COFINANCIACIÓN DE DOTACIÓN DE IMPLEMENTACIÓN PARA EL DEPORTE, LA RECREACIÓN Y LA ACTIVIDAD FÍSICA EN EL DEPARTAMENTO DE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9"/>
    <s v="NO"/>
    <s v="ENERO "/>
    <s v="ENERO "/>
    <n v="26"/>
    <s v="SANTIAGO ZAPATA MARIN"/>
    <n v="88"/>
    <n v="16034880"/>
    <n v="0"/>
    <n v="1603488"/>
    <n v="14431392"/>
    <s v="883.43.4301.74.0-101024.2.3.2.02.02.008.18."/>
    <n v="52010701"/>
    <n v="1603488"/>
    <n v="16034880"/>
  </r>
  <r>
    <n v="110"/>
    <n v="80111600"/>
    <s v="SUBGERENCIA DE FOMENTO Y DESARROLLO"/>
    <s v="INVERSIÓN"/>
    <x v="5"/>
    <n v="2024003050101"/>
    <x v="26"/>
    <s v="050075"/>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0"/>
    <s v="NO"/>
    <s v="ENERO "/>
    <s v="ENERO "/>
    <n v="20"/>
    <s v="SANDRA JANETH GARCIA ZABALA"/>
    <n v="62"/>
    <n v="13834880"/>
    <n v="0"/>
    <n v="6769620"/>
    <n v="7065260"/>
    <s v="623.43.4301.01.0-205128.2.3.2.02.02.008.14."/>
    <n v="52010702"/>
    <n v="6769620"/>
    <n v="13834880"/>
  </r>
  <r>
    <n v="110"/>
    <n v="80111600"/>
    <s v="SUBGERENCIA DE FOMENTO Y DESARROLLO"/>
    <s v="INVERSIÓN"/>
    <x v="6"/>
    <n v="2024003050100"/>
    <x v="27"/>
    <s v="050071"/>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0"/>
    <s v="NO"/>
    <s v="ENERO "/>
    <s v="ENERO "/>
    <n v="20"/>
    <s v="SANDRA JANETH GARCIA ZABALA"/>
    <n v="62"/>
    <n v="13834880"/>
    <n v="0"/>
    <n v="0"/>
    <n v="13834880"/>
    <s v="623.43.4301.10.0-101024.2.3.2.02.02.008.15."/>
    <n v="52010705"/>
    <n v="0"/>
    <n v="13834880"/>
  </r>
  <r>
    <n v="110"/>
    <n v="80111600"/>
    <s v="SUBGERENCIA DE FOMENTO Y DESARROLLO"/>
    <s v="INVERSIÓN"/>
    <x v="7"/>
    <n v="2024003050072"/>
    <x v="28"/>
    <s v="050072"/>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0"/>
    <s v="NO"/>
    <s v="ENERO "/>
    <s v="ENERO "/>
    <n v="20"/>
    <s v="SANDRA JANETH GARCIA ZABALA"/>
    <n v="62"/>
    <n v="13834880"/>
    <n v="0"/>
    <n v="0"/>
    <n v="13834880"/>
    <s v="623.43.4301.72.0-205128.2.3.2.02.02.008.16."/>
    <n v="52010704"/>
    <n v="0"/>
    <n v="13834880"/>
  </r>
  <r>
    <n v="110"/>
    <n v="80111600"/>
    <s v="SUBGERENCIA DE FOMENTO Y DESARROLLO"/>
    <s v="INVERSIÓN"/>
    <x v="8"/>
    <n v="2024003050073"/>
    <x v="29"/>
    <s v="050081"/>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0"/>
    <s v="NO"/>
    <s v="ENERO "/>
    <s v="ENERO "/>
    <n v="20"/>
    <s v="SANDRA JANETH GARCIA ZABALA"/>
    <n v="62"/>
    <n v="13834880"/>
    <n v="0"/>
    <n v="0"/>
    <n v="13834880"/>
    <s v="623.43.4301.73.0-205128.2.3.2.02.02.008.17."/>
    <n v="52010703"/>
    <n v="0"/>
    <n v="13834880"/>
  </r>
  <r>
    <n v="110"/>
    <n v="80111600"/>
    <s v="SUBGERENCIA DE FOMENTO Y DESARROLLO"/>
    <s v="INVERSIÓN"/>
    <x v="9"/>
    <n v="2024003050074"/>
    <x v="30"/>
    <s v="050073"/>
    <n v="13834880"/>
    <s v="PRESTACIÓN DE SERVICIOS PROFESIONALES PARA APOYAR LOS PROCEDIMIENTOS TÉCNICOS, ADMINISTRATIVOS Y FINANCIEROS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0"/>
    <s v="NO"/>
    <s v="ENERO "/>
    <s v="ENERO "/>
    <n v="20"/>
    <s v="SANDRA JANETH GARCIA ZABALA"/>
    <n v="62"/>
    <n v="13834880"/>
    <n v="0"/>
    <n v="0"/>
    <n v="13834880"/>
    <s v="623.43.4301.74.0-101024.2.3.2.02.02.008.18."/>
    <n v="52010701"/>
    <n v="0"/>
    <n v="13834880"/>
  </r>
  <r>
    <n v="111"/>
    <n v="80111600"/>
    <s v="SUBGERENCIA DE FOMENTO Y DESARROLLO"/>
    <s v="INVERSIÓN"/>
    <x v="5"/>
    <n v="2024003050101"/>
    <x v="26"/>
    <s v="050075"/>
    <n v="12034880"/>
    <s v="PRESTACIÓN DE SERVICIOS PROFESIONALES PARA APOYAR LA GESTIÓN ADMINISTRATIVA Y FINANCIERA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1"/>
    <s v="NO"/>
    <s v="ENERO "/>
    <s v="ENERO "/>
    <n v="27"/>
    <s v="MONICA ISABEL ALZATE VALENCIA"/>
    <n v="90"/>
    <n v="12034880"/>
    <n v="0"/>
    <n v="1203488"/>
    <n v="10831392"/>
    <s v="903.43.4301.01.0-205128.2.3.2.02.02.008.14."/>
    <n v="52010702"/>
    <n v="1203488"/>
    <n v="12034880"/>
  </r>
  <r>
    <n v="111"/>
    <n v="80111600"/>
    <s v="SUBGERENCIA DE FOMENTO Y DESARROLLO"/>
    <s v="INVERSIÓN"/>
    <x v="6"/>
    <n v="2024003050100"/>
    <x v="27"/>
    <s v="050071"/>
    <n v="12034880"/>
    <s v="PRESTACIÓN DE SERVICIOS PROFESIONALES PARA APOYAR LA GESTIÓN ADMINISTRATIVA Y FINANCIERA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1"/>
    <s v="NO"/>
    <s v="ENERO "/>
    <s v="ENERO "/>
    <n v="27"/>
    <s v="MONICA ISABEL ALZATE VALENCIA"/>
    <n v="90"/>
    <n v="12034880"/>
    <n v="0"/>
    <n v="1203488"/>
    <n v="10831392"/>
    <s v="903.43.4301.10.0-101024.2.3.2.02.02.008.15."/>
    <n v="52010705"/>
    <n v="1203488"/>
    <n v="12034880"/>
  </r>
  <r>
    <n v="111"/>
    <n v="80111600"/>
    <s v="SUBGERENCIA DE FOMENTO Y DESARROLLO"/>
    <s v="INVERSIÓN"/>
    <x v="7"/>
    <n v="2024003050072"/>
    <x v="28"/>
    <s v="050072"/>
    <n v="12034880"/>
    <s v="PRESTACIÓN DE SERVICIOS PROFESIONALES PARA APOYAR LA GESTIÓN ADMINISTRATIVA Y FINANCIERA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1"/>
    <s v="NO"/>
    <s v="ENERO "/>
    <s v="ENERO "/>
    <n v="27"/>
    <s v="MONICA ISABEL ALZATE VALENCIA"/>
    <n v="90"/>
    <n v="12034880"/>
    <n v="0"/>
    <n v="1203488"/>
    <n v="10831392"/>
    <s v="903.43.4301.72.0-205128.2.3.2.02.02.008.16."/>
    <n v="52010704"/>
    <n v="1203488"/>
    <n v="12034880"/>
  </r>
  <r>
    <n v="111"/>
    <n v="80111600"/>
    <s v="SUBGERENCIA DE FOMENTO Y DESARROLLO"/>
    <s v="INVERSIÓN"/>
    <x v="8"/>
    <n v="2024003050073"/>
    <x v="29"/>
    <s v="050081"/>
    <n v="12034880"/>
    <s v="PRESTACIÓN DE SERVICIOS PROFESIONALES PARA APOYAR LA GESTIÓN ADMINISTRATIVA Y FINANCIERA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1"/>
    <s v="NO"/>
    <s v="ENERO "/>
    <s v="ENERO "/>
    <n v="27"/>
    <s v="MONICA ISABEL ALZATE VALENCIA"/>
    <n v="90"/>
    <n v="12034880"/>
    <n v="0"/>
    <n v="1203488"/>
    <n v="10831392"/>
    <s v="903.43.4301.73.0-205128.2.3.2.02.02.008.17."/>
    <n v="52010703"/>
    <n v="1203488"/>
    <n v="12034880"/>
  </r>
  <r>
    <n v="111"/>
    <n v="80111600"/>
    <s v="SUBGERENCIA DE FOMENTO Y DESARROLLO"/>
    <s v="INVERSIÓN"/>
    <x v="9"/>
    <n v="2024003050074"/>
    <x v="30"/>
    <s v="050073"/>
    <n v="12034880"/>
    <s v="PRESTACIÓN DE SERVICIOS PROFESIONALES PARA APOYAR LA GESTIÓN ADMINISTRATIVA Y FINANCIERA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1"/>
    <s v="NO"/>
    <s v="ENERO "/>
    <s v="ENERO "/>
    <n v="27"/>
    <s v="MONICA ISABEL ALZATE VALENCIA"/>
    <n v="90"/>
    <n v="12034880"/>
    <n v="0"/>
    <n v="1203488"/>
    <n v="10831392"/>
    <s v="903.43.4301.74.0-101024.2.3.2.02.02.008.18."/>
    <n v="52010701"/>
    <n v="1203488"/>
    <n v="12034880"/>
  </r>
  <r>
    <n v="112"/>
    <n v="80111600"/>
    <s v="SUBGERENCIA DE FOMENTO Y DESARROLLO"/>
    <s v="INVERSIÓN"/>
    <x v="5"/>
    <n v="2024003050101"/>
    <x v="26"/>
    <s v="050075"/>
    <n v="24388687"/>
    <s v="PRESTACIÓN DE SERVICIOS PROFESIONALES ESPECIALIZADOS EN MATERIA JURÍDICA A LA SUBGERENCIA DE FOMENTO Y DESARROLLO DEPORTIV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24388687"/>
    <n v="0"/>
    <n v="0"/>
    <s v="3.43.4301.01.0-205128.2.3.2.02.02.008.14."/>
    <n v="52010702"/>
    <s v=""/>
    <s v=""/>
  </r>
  <r>
    <n v="112"/>
    <n v="80111600"/>
    <s v="SUBGERENCIA DE FOMENTO Y DESARROLLO"/>
    <s v="INVERSIÓN"/>
    <x v="6"/>
    <n v="2024003050100"/>
    <x v="27"/>
    <s v="050071"/>
    <n v="24388687"/>
    <s v="PRESTACIÓN DE SERVICIOS PROFESIONALES ESPECIALIZADOS EN MATERIA JURÍDICA A LA SUBGERENCIA DE FOMENTO Y DESARROLLO DEPORTIV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24388687"/>
    <n v="0"/>
    <n v="0"/>
    <s v="3.43.4301.10.0-101024.2.3.2.02.02.008.15."/>
    <n v="52010705"/>
    <s v=""/>
    <s v=""/>
  </r>
  <r>
    <n v="112"/>
    <n v="80111600"/>
    <s v="SUBGERENCIA DE FOMENTO Y DESARROLLO"/>
    <s v="INVERSIÓN"/>
    <x v="7"/>
    <n v="2024003050072"/>
    <x v="28"/>
    <s v="050072"/>
    <n v="24388675"/>
    <s v="PRESTACIÓN DE SERVICIOS PROFESIONALES ESPECIALIZADOS EN MATERIA JURÍDICA A LA SUBGERENCIA DE FOMENTO Y DESARROLLO DEPORTIV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24388675"/>
    <n v="0"/>
    <n v="0"/>
    <s v="3.43.4301.72.0-205128.2.3.2.02.02.008.16."/>
    <n v="52010704"/>
    <s v=""/>
    <s v=""/>
  </r>
  <r>
    <n v="112"/>
    <n v="80111600"/>
    <s v="SUBGERENCIA DE FOMENTO Y DESARROLLO"/>
    <s v="INVERSIÓN"/>
    <x v="8"/>
    <n v="2024003050073"/>
    <x v="29"/>
    <s v="050081"/>
    <n v="24388687"/>
    <s v="PRESTACIÓN DE SERVICIOS PROFESIONALES ESPECIALIZADOS EN MATERIA JURÍDICA A LA SUBGERENCIA DE FOMENTO Y DESARROLLO DEPORTIV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24388687"/>
    <n v="0"/>
    <n v="0"/>
    <s v="3.43.4301.73.0-205128.2.3.2.02.02.008.17."/>
    <n v="52010703"/>
    <s v=""/>
    <s v=""/>
  </r>
  <r>
    <n v="112"/>
    <n v="80111600"/>
    <s v="SUBGERENCIA DE FOMENTO Y DESARROLLO"/>
    <s v="INVERSIÓN"/>
    <x v="9"/>
    <n v="2024003050074"/>
    <x v="30"/>
    <s v="050073"/>
    <n v="24388687"/>
    <s v="PRESTACIÓN DE SERVICIOS PROFESIONALES ESPECIALIZADOS EN MATERIA JURÍDICA A LA SUBGERENCIA DE FOMENTO Y DESARROLLO DEPORTIV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24388687"/>
    <n v="0"/>
    <n v="0"/>
    <s v="3.43.4301.74.0-101024.2.3.2.02.02.008.18."/>
    <n v="52010701"/>
    <s v=""/>
    <s v=""/>
  </r>
  <r>
    <n v="113"/>
    <n v="80111600"/>
    <s v="SUBGERENCIA DE FOMENTO Y DESARROLLO"/>
    <s v="INVERSIÓN"/>
    <x v="5"/>
    <n v="2024003050101"/>
    <x v="26"/>
    <s v="050075"/>
    <n v="24388687"/>
    <s v="PRESTACIÓN DE SERVICIOS PROFESIONALES ESPECIALIZADOS EN MATERIA JURÍDICA A LA SUBGERENCIA DE FOMENTO Y DESARROLLO DEPORTIV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24388687"/>
    <n v="0"/>
    <n v="0"/>
    <s v="3.43.4301.01.0-205128.2.3.2.02.02.008.14."/>
    <n v="52010702"/>
    <s v=""/>
    <s v=""/>
  </r>
  <r>
    <n v="113"/>
    <n v="80111600"/>
    <s v="SUBGERENCIA DE FOMENTO Y DESARROLLO"/>
    <s v="INVERSIÓN"/>
    <x v="6"/>
    <n v="2024003050100"/>
    <x v="27"/>
    <s v="050071"/>
    <n v="24388687"/>
    <s v="PRESTACIÓN DE SERVICIOS PROFESIONALES ESPECIALIZADOS EN MATERIA JURÍDICA A LA SUBGERENCIA DE FOMENTO Y DESARROLLO DEPORTIV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24388687"/>
    <n v="0"/>
    <n v="0"/>
    <s v="3.43.4301.10.0-101024.2.3.2.02.02.008.15."/>
    <n v="52010705"/>
    <s v=""/>
    <s v=""/>
  </r>
  <r>
    <n v="113"/>
    <n v="80111600"/>
    <s v="SUBGERENCIA DE FOMENTO Y DESARROLLO"/>
    <s v="INVERSIÓN"/>
    <x v="7"/>
    <n v="2024003050072"/>
    <x v="28"/>
    <s v="050072"/>
    <n v="24388675"/>
    <s v="PRESTACIÓN DE SERVICIOS PROFESIONALES ESPECIALIZADOS EN MATERIA JURÍDICA A LA SUBGERENCIA DE FOMENTO Y DESARROLLO DEPORTIV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24388675"/>
    <n v="0"/>
    <n v="0"/>
    <s v="3.43.4301.72.0-205128.2.3.2.02.02.008.16."/>
    <n v="52010704"/>
    <s v=""/>
    <s v=""/>
  </r>
  <r>
    <n v="113"/>
    <n v="80111600"/>
    <s v="SUBGERENCIA DE FOMENTO Y DESARROLLO"/>
    <s v="INVERSIÓN"/>
    <x v="8"/>
    <n v="2024003050073"/>
    <x v="29"/>
    <s v="050081"/>
    <n v="24388687"/>
    <s v="PRESTACIÓN DE SERVICIOS PROFESIONALES ESPECIALIZADOS EN MATERIA JURÍDICA A LA SUBGERENCIA DE FOMENTO Y DESARROLLO DEPORTIV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24388687"/>
    <n v="0"/>
    <n v="0"/>
    <s v="3.43.4301.73.0-205128.2.3.2.02.02.008.17."/>
    <n v="52010703"/>
    <s v=""/>
    <s v=""/>
  </r>
  <r>
    <n v="113"/>
    <n v="80111600"/>
    <s v="SUBGERENCIA DE FOMENTO Y DESARROLLO"/>
    <s v="INVERSIÓN"/>
    <x v="9"/>
    <n v="2024003050074"/>
    <x v="30"/>
    <s v="050073"/>
    <n v="24388687"/>
    <s v="PRESTACIÓN DE SERVICIOS PROFESIONALES ESPECIALIZADOS EN MATERIA JURÍDICA A LA SUBGERENCIA DE FOMENTO Y DESARROLLO DEPORTIV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24388687"/>
    <n v="0"/>
    <n v="0"/>
    <s v="3.43.4301.74.0-101024.2.3.2.02.02.008.18."/>
    <n v="52010701"/>
    <s v=""/>
    <s v=""/>
  </r>
  <r>
    <n v="114"/>
    <n v="80111600"/>
    <s v="SUBGERENCIA DE FOMENTO Y DESARROLLO"/>
    <s v="INVERSIÓN"/>
    <x v="5"/>
    <n v="2024003050101"/>
    <x v="26"/>
    <s v="050075"/>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45"/>
    <s v="NO"/>
    <s v="ENERO "/>
    <s v="ENERO "/>
    <n v="8"/>
    <s v="LILIANA PATRICIA JIMENEZ OCAMPO"/>
    <n v="49"/>
    <n v="17117120"/>
    <n v="0"/>
    <n v="1978462"/>
    <n v="15138658"/>
    <s v="493.43.4301.01.0-205128.2.3.2.02.02.008.14."/>
    <n v="52010702"/>
    <n v="1978462"/>
    <n v="17117120"/>
  </r>
  <r>
    <n v="114"/>
    <n v="80111600"/>
    <s v="SUBGERENCIA DE FOMENTO Y DESARROLLO"/>
    <s v="INVERSIÓN"/>
    <x v="6"/>
    <n v="2024003050100"/>
    <x v="27"/>
    <s v="050071"/>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45"/>
    <s v="NO"/>
    <s v="ENERO "/>
    <s v="ENERO "/>
    <n v="8"/>
    <s v="LILIANA PATRICIA JIMENEZ OCAMPO"/>
    <n v="49"/>
    <n v="17117120"/>
    <n v="0"/>
    <n v="1978462"/>
    <n v="15138658"/>
    <s v="493.43.4301.10.0-101024.2.3.2.02.02.008.15."/>
    <n v="52010705"/>
    <n v="1978462"/>
    <n v="17117120"/>
  </r>
  <r>
    <n v="114"/>
    <n v="80111600"/>
    <s v="SUBGERENCIA DE FOMENTO Y DESARROLLO"/>
    <s v="INVERSIÓN"/>
    <x v="7"/>
    <n v="2024003050072"/>
    <x v="28"/>
    <s v="050072"/>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45"/>
    <s v="NO"/>
    <s v="ENERO "/>
    <s v="ENERO "/>
    <n v="8"/>
    <s v="LILIANA PATRICIA JIMENEZ OCAMPO"/>
    <n v="49"/>
    <n v="17117120"/>
    <n v="0"/>
    <n v="1978461"/>
    <n v="15138659"/>
    <s v="493.43.4301.72.0-205128.2.3.2.02.02.008.16."/>
    <n v="52010704"/>
    <n v="1978461"/>
    <n v="17117120"/>
  </r>
  <r>
    <n v="114"/>
    <n v="80111600"/>
    <s v="SUBGERENCIA DE FOMENTO Y DESARROLLO"/>
    <s v="INVERSIÓN"/>
    <x v="8"/>
    <n v="2024003050073"/>
    <x v="29"/>
    <s v="050081"/>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45"/>
    <s v="NO"/>
    <s v="ENERO "/>
    <s v="ENERO "/>
    <n v="8"/>
    <s v="LILIANA PATRICIA JIMENEZ OCAMPO"/>
    <n v="49"/>
    <n v="17117120"/>
    <n v="0"/>
    <n v="1978461"/>
    <n v="15138659"/>
    <s v="493.43.4301.73.0-205128.2.3.2.02.02.008.17."/>
    <n v="52010703"/>
    <n v="1978461"/>
    <n v="17117120"/>
  </r>
  <r>
    <n v="114"/>
    <n v="80111600"/>
    <s v="SUBGERENCIA DE FOMENTO Y DESARROLLO"/>
    <s v="INVERSIÓN"/>
    <x v="9"/>
    <n v="2024003050074"/>
    <x v="30"/>
    <s v="050073"/>
    <n v="171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45"/>
    <s v="NO"/>
    <s v="ENERO "/>
    <s v="ENERO "/>
    <n v="8"/>
    <s v="LILIANA PATRICIA JIMENEZ OCAMPO"/>
    <n v="49"/>
    <n v="17117120"/>
    <n v="0"/>
    <n v="1978461"/>
    <n v="15138659"/>
    <s v="493.43.4301.74.0-101024.2.3.2.02.02.008.18."/>
    <n v="52010701"/>
    <n v="1978461"/>
    <n v="17117120"/>
  </r>
  <r>
    <n v="115"/>
    <n v="80111600"/>
    <s v="SUBGERENCIA DE FOMENTO Y DESARROLLO"/>
    <s v="INVERSIÓN"/>
    <x v="5"/>
    <n v="2024003050101"/>
    <x v="26"/>
    <s v="050075"/>
    <n v="1773154"/>
    <s v="DISPONIBLE PS TÁCTICO ESTRATÉG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1773154"/>
    <n v="0"/>
    <n v="0"/>
    <s v="3.43.4301.01.0-205128.2.3.2.02.02.008.14."/>
    <n v="52010702"/>
    <s v=""/>
    <s v=""/>
  </r>
  <r>
    <n v="115"/>
    <n v="80111600"/>
    <s v="SUBGERENCIA DE FOMENTO Y DESARROLLO"/>
    <s v="INVERSIÓN"/>
    <x v="6"/>
    <n v="2024003050100"/>
    <x v="27"/>
    <s v="050071"/>
    <n v="1773154"/>
    <s v="DISPONIBLE PS TÁCTICO ESTRATÉG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1773154"/>
    <n v="0"/>
    <n v="0"/>
    <s v="3.43.4301.10.0-101024.2.3.2.02.02.008.15."/>
    <n v="52010705"/>
    <s v=""/>
    <s v=""/>
  </r>
  <r>
    <n v="115"/>
    <n v="80111600"/>
    <s v="SUBGERENCIA DE FOMENTO Y DESARROLLO"/>
    <s v="INVERSIÓN"/>
    <x v="7"/>
    <n v="2024003050072"/>
    <x v="28"/>
    <s v="050072"/>
    <n v="1773143"/>
    <s v="DISPONIBLE PS TÁCTICO ESTRATÉG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1773143"/>
    <n v="0"/>
    <n v="0"/>
    <s v="3.43.4301.72.0-205128.2.3.2.02.02.008.16."/>
    <n v="52010704"/>
    <s v=""/>
    <s v=""/>
  </r>
  <r>
    <n v="115"/>
    <n v="80111600"/>
    <s v="SUBGERENCIA DE FOMENTO Y DESARROLLO"/>
    <s v="INVERSIÓN"/>
    <x v="8"/>
    <n v="2024003050073"/>
    <x v="29"/>
    <s v="050081"/>
    <n v="1773154"/>
    <s v="DISPONIBLE PS TÁCTICO ESTRATÉG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1773154"/>
    <n v="0"/>
    <n v="0"/>
    <s v="3.43.4301.73.0-205128.2.3.2.02.02.008.17."/>
    <n v="52010703"/>
    <s v=""/>
    <s v=""/>
  </r>
  <r>
    <n v="115"/>
    <n v="80111600"/>
    <s v="SUBGERENCIA DE FOMENTO Y DESARROLLO"/>
    <s v="INVERSIÓN"/>
    <x v="9"/>
    <n v="2024003050074"/>
    <x v="30"/>
    <s v="050073"/>
    <n v="1773154"/>
    <s v="DISPONIBLE PS TÁCTICO ESTRATÉG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1773154"/>
    <n v="0"/>
    <n v="0"/>
    <s v="3.43.4301.74.0-101024.2.3.2.02.02.008.18."/>
    <n v="52010701"/>
    <s v=""/>
    <s v=""/>
  </r>
  <r>
    <n v="116"/>
    <n v="80111600"/>
    <s v="SUBGERENCIA DE FOMENTO Y DESARROLLO"/>
    <s v="INVERSIÓN"/>
    <x v="5"/>
    <n v="2024003050101"/>
    <x v="26"/>
    <s v="050075"/>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299"/>
    <s v="NO"/>
    <s v="ENERO "/>
    <s v="ENERO "/>
    <n v="246"/>
    <s v="JENIFER QUINTERO JIMENEZ"/>
    <n v="439"/>
    <n v="15317120"/>
    <n v="0"/>
    <n v="0"/>
    <n v="15317120"/>
    <s v="4393.43.4301.01.0-205128.2.3.2.02.02.008.14."/>
    <n v="52010702"/>
    <n v="0"/>
    <n v="15317120"/>
  </r>
  <r>
    <n v="116"/>
    <n v="80111600"/>
    <s v="SUBGERENCIA DE FOMENTO Y DESARROLLO"/>
    <s v="INVERSIÓN"/>
    <x v="6"/>
    <n v="2024003050100"/>
    <x v="27"/>
    <s v="050071"/>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299"/>
    <s v="NO"/>
    <s v="ENERO "/>
    <s v="ENERO "/>
    <n v="246"/>
    <s v="JENIFER QUINTERO JIMENEZ"/>
    <n v="439"/>
    <n v="15317120"/>
    <n v="0"/>
    <n v="0"/>
    <n v="15317120"/>
    <s v="4393.43.4301.10.0-101024.2.3.2.02.02.008.15."/>
    <n v="52010705"/>
    <n v="0"/>
    <n v="15317120"/>
  </r>
  <r>
    <n v="116"/>
    <n v="80111600"/>
    <s v="SUBGERENCIA DE FOMENTO Y DESARROLLO"/>
    <s v="INVERSIÓN"/>
    <x v="7"/>
    <n v="2024003050072"/>
    <x v="28"/>
    <s v="050072"/>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299"/>
    <s v="NO"/>
    <s v="ENERO "/>
    <s v="ENERO "/>
    <n v="246"/>
    <s v="JENIFER QUINTERO JIMENEZ"/>
    <n v="439"/>
    <n v="15317120"/>
    <n v="0"/>
    <n v="0"/>
    <n v="15317120"/>
    <s v="4393.43.4301.72.0-205128.2.3.2.02.02.008.16."/>
    <n v="52010704"/>
    <n v="0"/>
    <n v="15317120"/>
  </r>
  <r>
    <n v="116"/>
    <n v="80111600"/>
    <s v="SUBGERENCIA DE FOMENTO Y DESARROLLO"/>
    <s v="INVERSIÓN"/>
    <x v="8"/>
    <n v="2024003050073"/>
    <x v="29"/>
    <s v="050081"/>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299"/>
    <s v="NO"/>
    <s v="ENERO "/>
    <s v="ENERO "/>
    <n v="246"/>
    <s v="JENIFER QUINTERO JIMENEZ"/>
    <n v="439"/>
    <n v="15317120"/>
    <n v="0"/>
    <n v="0"/>
    <n v="15317120"/>
    <s v="4393.43.4301.73.0-205128.2.3.2.02.02.008.17."/>
    <n v="52010703"/>
    <n v="0"/>
    <n v="15317120"/>
  </r>
  <r>
    <n v="116"/>
    <n v="80111600"/>
    <s v="SUBGERENCIA DE FOMENTO Y DESARROLLO"/>
    <s v="INVERSIÓN"/>
    <x v="9"/>
    <n v="2024003050074"/>
    <x v="30"/>
    <s v="050073"/>
    <n v="15317120"/>
    <s v="PRESTACIÓN DE SERVICIOS PROFESIONALES JURÍDICOS ESPECIALIZADOS PARA APOYAR LOS PROCESOS ADMINISTRATIVOS Y DE CONTRATACIÓN DE INDEPORTES ANTIOQUIA, EN ESPECIAL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299"/>
    <s v="NO"/>
    <s v="ENERO "/>
    <s v="ENERO "/>
    <n v="246"/>
    <s v="JENIFER QUINTERO JIMENEZ"/>
    <n v="439"/>
    <n v="15317120"/>
    <n v="0"/>
    <n v="0"/>
    <n v="15317120"/>
    <s v="4393.43.4301.74.0-101024.2.3.2.02.02.008.18."/>
    <n v="52010701"/>
    <n v="0"/>
    <n v="15317120"/>
  </r>
  <r>
    <n v="117"/>
    <n v="80141607"/>
    <s v="SUBGERENCIA DE FOMENTO Y DESARROLLO"/>
    <s v="INVERSIÓN"/>
    <x v="5"/>
    <n v="2024003050101"/>
    <x v="31"/>
    <s v="050075"/>
    <n v="861960000"/>
    <s v="REALIZAR ENCUENTROS DE ARTICULACIÓN INSTITUCIONAL"/>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MARZO"/>
    <s v="MARZO"/>
    <s v=""/>
    <s v=""/>
    <s v=""/>
    <n v="0"/>
    <n v="861960000"/>
    <n v="0"/>
    <n v="0"/>
    <s v="3.43.4301.01.0-205400.2.3.2.02.02.009.06."/>
    <n v="52010702"/>
    <s v=""/>
    <s v=""/>
  </r>
  <r>
    <n v="118"/>
    <n v="80141607"/>
    <s v="SUBGERENCIA DE FOMENTO Y DESARROLLO"/>
    <s v="INVERSIÓN"/>
    <x v="5"/>
    <n v="2024003050101"/>
    <x v="32"/>
    <s v="050075"/>
    <n v="764418163"/>
    <s v="REALIZACIÓN DE MEGAEVENTOS DE ACTVIDAD FÍSICA"/>
    <s v="NO CONTRATADO"/>
    <s v="DIRECTA"/>
    <s v="CONTRATO INTERADMINISTRATIVO"/>
    <x v="66"/>
    <n v="73"/>
    <s v="Desarrollo y promoción del deporte formativo, la recreación y la actividad física en el departamento Antioquia. - Servicios para la comunidad, sociales y personales"/>
    <s v="01"/>
    <s v="0-205400"/>
    <n v="11"/>
    <s v="MESES"/>
    <s v=""/>
    <s v="NO"/>
    <s v="MARZO"/>
    <s v="MARZO"/>
    <s v=""/>
    <s v=""/>
    <s v=""/>
    <n v="0"/>
    <n v="764418163"/>
    <n v="0"/>
    <n v="0"/>
    <s v="3.43.4301.01.0-205400.2.3.2.02.02.009.06."/>
    <n v="52010702"/>
    <s v=""/>
    <s v=""/>
  </r>
  <r>
    <n v="119"/>
    <n v="80141607"/>
    <s v="SUBGERENCIA DE FOMENTO Y DESARROLLO"/>
    <s v="INVERSIÓN"/>
    <x v="5"/>
    <n v="2024003050101"/>
    <x v="33"/>
    <s v="050075"/>
    <n v="34114597"/>
    <s v="DISPONIBLE EVENTOS DEPORTE FORMATIVO"/>
    <s v="NO CONTRATADO"/>
    <s v="DIRECTA"/>
    <s v="CONTRATO INTERADMINISTRATIVO"/>
    <x v="66"/>
    <n v="73"/>
    <s v="Desarrollo y promoción del deporte formativo, la recreación y la actividad física en el departamento Antioquia. - Servicios para la comunidad, sociales y personales"/>
    <s v="01"/>
    <s v="0-205400"/>
    <n v="2"/>
    <s v="MESES"/>
    <s v=""/>
    <s v="NO"/>
    <s v="FEBRERO"/>
    <s v="FEBRERO"/>
    <s v=""/>
    <s v=""/>
    <s v=""/>
    <n v="0"/>
    <n v="34114597"/>
    <n v="0"/>
    <n v="0"/>
    <s v="3.43.4301.01.0-205400.2.3.2.02.02.009.06."/>
    <n v="52010702"/>
    <s v=""/>
    <s v=""/>
  </r>
  <r>
    <n v="582"/>
    <n v="80111600"/>
    <s v="SUBGERENCIA DE FOMENTO Y DESARROLLO"/>
    <s v="INVERSIÓN"/>
    <x v="5"/>
    <n v="2024003050101"/>
    <x v="34"/>
    <s v="050075"/>
    <n v="38646000"/>
    <s v="PRESTACIÓN DE SERVICIOS DE APOYO LOGÍSTICO PARA LAS ATIVIDADES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
    <s v="MESES"/>
    <n v="431"/>
    <s v="NO"/>
    <s v="MARZO"/>
    <s v="MARZO"/>
    <n v="361"/>
    <s v="JUAN CAMILO DUQUE HIDALGO"/>
    <s v=""/>
    <n v="0"/>
    <n v="38646000"/>
    <n v="0"/>
    <n v="0"/>
    <s v="3.43.4301.01.0-205400.2.3.2.02.02.009.06."/>
    <n v="52010702"/>
    <s v=""/>
    <s v=""/>
  </r>
  <r>
    <n v="120"/>
    <n v="80141607"/>
    <s v="SUBGERENCIA DE FOMENTO Y DESARROLLO"/>
    <s v="INVERSIÓN"/>
    <x v="5"/>
    <n v="2024003050101"/>
    <x v="35"/>
    <s v="050075"/>
    <n v="493746020"/>
    <s v="DISPONIBLE EVENTOS RECREACIÓN"/>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MARZO"/>
    <s v="MARZO"/>
    <s v=""/>
    <s v=""/>
    <s v=""/>
    <n v="0"/>
    <n v="493746020"/>
    <n v="0"/>
    <n v="0"/>
    <s v="3.43.4301.01.0-205400.2.3.2.02.02.009.06."/>
    <n v="52010702"/>
    <s v=""/>
    <s v=""/>
  </r>
  <r>
    <n v="121"/>
    <n v="80111600"/>
    <s v="SUBGERENCIA DE FOMENTO Y DESARROLLO"/>
    <s v="INVERSIÓN"/>
    <x v="5"/>
    <n v="2024003050101"/>
    <x v="34"/>
    <s v="050075"/>
    <n v="83968000"/>
    <s v="PRESTACIÓN DE SERVICIOS PROFESIONALES PARA LA PROMOCIÓN Y EJECUCIÓN DEL PROGRAMA DE RECREACIÓN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312"/>
    <s v="NO"/>
    <s v="MARZO"/>
    <s v="MARZO"/>
    <n v="247"/>
    <s v="RAUL ALERTO MEJIA HINCAPIE"/>
    <n v="430"/>
    <n v="83968000"/>
    <n v="0"/>
    <n v="0"/>
    <n v="83968000"/>
    <s v="4303.43.4301.01.0-205400.2.3.2.02.02.009.06."/>
    <n v="52010702"/>
    <n v="0"/>
    <n v="83968000"/>
  </r>
  <r>
    <n v="122"/>
    <n v="80111600"/>
    <s v="SUBGERENCIA DE FOMENTO Y DESARROLLO"/>
    <s v="INVERSIÓN"/>
    <x v="5"/>
    <n v="2024003050101"/>
    <x v="34"/>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3"/>
    <n v="80111600"/>
    <s v="SUBGERENCIA DE FOMENTO Y DESARROLLO"/>
    <s v="INVERSIÓN"/>
    <x v="5"/>
    <n v="2024003050101"/>
    <x v="36"/>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4"/>
    <n v="80111600"/>
    <s v="SUBGERENCIA DE FOMENTO Y DESARROLLO"/>
    <s v="INVERSIÓN"/>
    <x v="5"/>
    <n v="2024003050101"/>
    <x v="36"/>
    <s v="050075"/>
    <n v="0"/>
    <s v="N/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MARZO"/>
    <s v="MARZO"/>
    <s v=""/>
    <s v=""/>
    <s v=""/>
    <n v="0"/>
    <n v="0"/>
    <n v="0"/>
    <n v="0"/>
    <s v="3.43.4301.01.0-205400.2.3.2.02.02.009.06."/>
    <n v="52010702"/>
    <s v=""/>
    <s v=""/>
  </r>
  <r>
    <n v="125"/>
    <n v="80111600"/>
    <s v="SUBGERENCIA DE FOMENTO Y DESARROLLO"/>
    <s v="INVERSIÓN"/>
    <x v="5"/>
    <n v="2024003050101"/>
    <x v="34"/>
    <s v="050075"/>
    <n v="0"/>
    <s v="N/A"/>
    <s v="NO CONTRATADO"/>
    <s v="N/A"/>
    <s v="N/A"/>
    <x v="66"/>
    <n v="73"/>
    <s v="Desarrollo y promoción del deporte formativo, la recreación y la actividad física en el departamento Antioquia. - Servicios para la comunidad, sociales y personales"/>
    <s v="01"/>
    <s v="0-205400"/>
    <n v="11"/>
    <s v="MESES"/>
    <s v=""/>
    <s v="NO"/>
    <s v="FEBRERO"/>
    <s v="FEBRERO"/>
    <s v=""/>
    <s v=""/>
    <s v=""/>
    <n v="0"/>
    <n v="0"/>
    <n v="0"/>
    <n v="0"/>
    <s v="3.43.4301.01.0-205400.2.3.2.02.02.009.06."/>
    <n v="52010702"/>
    <s v=""/>
    <s v=""/>
  </r>
  <r>
    <n v="125"/>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6"/>
    <n v="80111600"/>
    <s v="SUBGERENCIA DE FOMENTO Y DESARROLLO"/>
    <s v="INVERSIÓN"/>
    <x v="5"/>
    <n v="2024003050101"/>
    <x v="37"/>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7"/>
    <n v="80111600"/>
    <s v="SUBGERENCIA DE FOMENTO Y DESARROLLO"/>
    <s v="INVERSIÓN"/>
    <x v="5"/>
    <n v="2024003050101"/>
    <x v="37"/>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28"/>
    <n v="80111600"/>
    <s v="SUBGERENCIA DE FOMENTO Y DESARROLLO"/>
    <s v="INVERSIÓN"/>
    <x v="5"/>
    <n v="2024003050101"/>
    <x v="37"/>
    <s v="050075"/>
    <n v="44190000"/>
    <s v="PRESTACIÓN DE SERVICIOS DE APOYO A LA GESTIÓN PARA LA PROMOCIÓN DE LA ACTIVIDAD FÍSICA EN 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54"/>
    <s v="NO"/>
    <s v="FEBRERO"/>
    <s v="FEBRERO"/>
    <n v="268"/>
    <s v="CLEN DAVID JARAMILLO AGUDELO"/>
    <n v="448"/>
    <n v="44190000"/>
    <n v="0"/>
    <n v="0"/>
    <n v="44190000"/>
    <s v="4483.43.4301.01.0-205128.2.3.2.02.02.009.07."/>
    <n v="52010702"/>
    <n v="0"/>
    <n v="44190000"/>
  </r>
  <r>
    <n v="129"/>
    <n v="80111600"/>
    <s v="SUBGERENCIA DE FOMENTO Y DESARROLLO"/>
    <s v="INVERSIÓN"/>
    <x v="5"/>
    <n v="2024003050101"/>
    <x v="37"/>
    <s v="050075"/>
    <n v="0"/>
    <s v="N/A"/>
    <s v="NO CONTRATADO"/>
    <s v="N/A"/>
    <s v="N/A"/>
    <x v="67"/>
    <n v="71"/>
    <s v="Desarrollo y promoción del deporte formativo, la recreación y la actividad física en el departamento Antioquia-Servicios para la comunidad, sociales y personales"/>
    <s v="01"/>
    <s v="0-205128"/>
    <n v="11"/>
    <s v="MESES"/>
    <s v=""/>
    <s v="NO"/>
    <s v="FEBRERO"/>
    <s v="FEBRERO"/>
    <s v=""/>
    <s v=""/>
    <s v=""/>
    <n v="0"/>
    <n v="0"/>
    <n v="0"/>
    <n v="0"/>
    <s v="3.43.4301.01.0-205128.2.3.2.02.02.009.07."/>
    <n v="52010702"/>
    <s v=""/>
    <s v=""/>
  </r>
  <r>
    <n v="130"/>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s v="N/A"/>
    <s v="N/A"/>
    <s v=""/>
    <s v="NO"/>
    <s v="N/A"/>
    <s v="N/A"/>
    <s v=""/>
    <s v=""/>
    <s v=""/>
    <n v="0"/>
    <n v="0"/>
    <n v="0"/>
    <n v="0"/>
    <s v="3.43.4301.01.0-205128.2.3.2.02.02.009.07."/>
    <n v="52010702"/>
    <s v=""/>
    <s v=""/>
  </r>
  <r>
    <n v="131"/>
    <n v="80111600"/>
    <s v="SUBGERENCIA DE FOMENTO Y DESARROLLO"/>
    <s v="INVERSIÓN"/>
    <x v="5"/>
    <n v="2024003050101"/>
    <x v="34"/>
    <s v="050075"/>
    <n v="0"/>
    <s v="N/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1"/>
    <s v="MESES"/>
    <s v=""/>
    <s v="NO"/>
    <s v="FEBRERO"/>
    <s v="FEBRERO"/>
    <s v=""/>
    <s v=""/>
    <s v=""/>
    <n v="0"/>
    <n v="0"/>
    <n v="0"/>
    <n v="0"/>
    <s v="3.43.4301.01.0-205128.2.3.2.02.02.009.07."/>
    <n v="52010702"/>
    <s v=""/>
    <s v=""/>
  </r>
  <r>
    <n v="132"/>
    <n v="93141506"/>
    <s v="SUBGERENCIA DE FOMENTO Y DESARROLLO"/>
    <s v="INVERSIÓN"/>
    <x v="5"/>
    <n v="2024003050101"/>
    <x v="38"/>
    <s v="050075"/>
    <n v="2342022553"/>
    <s v="DISPONIBLE PAGO POLÍTICA PÚBLICA DE LA BICICLETA"/>
    <s v="NO 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1"/>
    <s v="MESES"/>
    <s v=""/>
    <s v="NO"/>
    <s v="FEBRERO"/>
    <s v="FEBRERO"/>
    <s v=""/>
    <s v=""/>
    <s v=""/>
    <n v="0"/>
    <n v="2342022553"/>
    <n v="0"/>
    <n v="0"/>
    <s v="3.43.4301.01.0-205128.2.3.2.02.02.009.07."/>
    <n v="52010702"/>
    <s v=""/>
    <s v=""/>
  </r>
  <r>
    <n v="133"/>
    <n v="93141506"/>
    <s v="SUBGERENCIA DE FOMENTO Y DESARROLLO"/>
    <s v="INVERSIÓN"/>
    <x v="6"/>
    <n v="2024003050100"/>
    <x v="39"/>
    <s v="050071"/>
    <n v="9285353033"/>
    <s v="APOYO LEY DEL CIGARRILLO MUNICIPIOS DEL DEPARTAMENTO DE ANTIOQUIA"/>
    <s v="NO CONTRATADO"/>
    <s v="RESOLUCIÓN"/>
    <s v="RESOLUCIÓN"/>
    <x v="68"/>
    <n v="76"/>
    <s v="Asesoria y acompañamiento institucional para el deporte formativo, la recreación y la actividad física en el departamento de Antioquia -Actividades de promoción y desarrollo del Deporte"/>
    <s v="10"/>
    <s v="0-205617"/>
    <n v="11"/>
    <s v="MESES"/>
    <s v=""/>
    <s v="NO"/>
    <s v="FEBRERO"/>
    <s v="FEBRERO"/>
    <s v=""/>
    <s v=""/>
    <s v=""/>
    <n v="0"/>
    <n v="9285353033"/>
    <n v="0"/>
    <n v="0"/>
    <s v="3.43.4301.10.0-205617.2.3.3.09.17."/>
    <n v="52010705"/>
    <s v=""/>
    <s v=""/>
  </r>
  <r>
    <n v="134"/>
    <n v="80111600"/>
    <s v="SUBGERENCIA DE FOMENTO Y DESARROLLO"/>
    <s v="INVERSIÓN"/>
    <x v="6"/>
    <n v="2024003050100"/>
    <x v="27"/>
    <s v="050071"/>
    <n v="1997890"/>
    <s v="DISPONIBLE PS APOYO A LA PARAMETRIZACIÓN"/>
    <s v="NO CONTRATADO"/>
    <s v="DIRECTA"/>
    <s v="PRESTACIÓN DE SERVICIOS PROFESIONALES Y DE APOYO  A  LA GESTIÓN"/>
    <x v="69"/>
    <n v="75"/>
    <s v="Asesoria y acompañamiento institucional para el deporte formativo, la recreación y la actividad física en el departamento de Antioquia. - Servicios para la comunidad, sociales y personales"/>
    <s v="10"/>
    <s v="0-101024"/>
    <n v="10"/>
    <s v="MESES"/>
    <s v=""/>
    <s v="NO"/>
    <s v="MARZO"/>
    <s v="MARZO"/>
    <s v=""/>
    <s v=""/>
    <s v=""/>
    <n v="0"/>
    <n v="1997890"/>
    <n v="0"/>
    <n v="0"/>
    <s v="3.43.4301.10.0-101024.2.3.2.02.02.009.08."/>
    <n v="52010705"/>
    <s v=""/>
    <s v=""/>
  </r>
  <r>
    <n v="136"/>
    <n v="80111600"/>
    <s v="SUBGERENCIA DE FOMENTO Y DESARROLLO"/>
    <s v="INVERSIÓN"/>
    <x v="7"/>
    <n v="2024003050072"/>
    <x v="40"/>
    <s v="050072"/>
    <n v="0"/>
    <s v="N/A"/>
    <s v="NO 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s v=""/>
    <s v="NO"/>
    <s v="MARZO"/>
    <s v="MARZO"/>
    <s v=""/>
    <s v=""/>
    <s v=""/>
    <n v="0"/>
    <n v="0"/>
    <n v="0"/>
    <n v="0"/>
    <s v="3.43.4301.72.0-205128.2.3.2.02.02.009.09."/>
    <n v="52010704"/>
    <s v=""/>
    <s v=""/>
  </r>
  <r>
    <n v="137"/>
    <n v="80111600"/>
    <s v="SUBGERENCIA DE FOMENTO Y DESARROLLO"/>
    <s v="INVERSIÓN"/>
    <x v="7"/>
    <n v="2024003050072"/>
    <x v="40"/>
    <s v="050072"/>
    <n v="0"/>
    <s v="N/A"/>
    <s v="NO 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s v=""/>
    <s v="NO"/>
    <s v="MARZO"/>
    <s v="MARZO"/>
    <s v=""/>
    <s v=""/>
    <s v=""/>
    <n v="0"/>
    <n v="0"/>
    <n v="0"/>
    <n v="0"/>
    <s v="3.43.4301.72.0-205128.2.3.2.02.02.009.09."/>
    <n v="52010704"/>
    <s v=""/>
    <s v=""/>
  </r>
  <r>
    <n v="138"/>
    <n v="80111600"/>
    <s v="SUBGERENCIA DE FOMENTO Y DESARROLLO"/>
    <s v="INVERSIÓN"/>
    <x v="7"/>
    <n v="2024003050072"/>
    <x v="40"/>
    <s v="050072"/>
    <n v="85843000"/>
    <s v="PRESTACIÓN DE SERVICIOS PROFESIONALES PARA EL APOYO A LA FORMULACIÓN Y EJECU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310"/>
    <s v="NO"/>
    <s v="MARZO"/>
    <s v="MARZO"/>
    <n v="250"/>
    <s v="HECTOR ALONSO MONROY ESCUDERO"/>
    <n v="435"/>
    <n v="85843000"/>
    <n v="0"/>
    <n v="0"/>
    <n v="85843000"/>
    <s v="4353.43.4301.72.0-205128.2.3.2.02.02.009.09."/>
    <n v="52010704"/>
    <n v="0"/>
    <n v="85843000"/>
  </r>
  <r>
    <n v="139"/>
    <n v="86111602"/>
    <s v="SUBGERENCIA DE FOMENTO Y DESARROLLO"/>
    <s v="INVERSIÓN"/>
    <x v="7"/>
    <n v="2024003050072"/>
    <x v="41"/>
    <s v="050072"/>
    <n v="444991788"/>
    <s v="DISPONIBLE CAPACITACIONES SDC"/>
    <s v="NO CONTRATADO"/>
    <s v="DIRECTA"/>
    <s v="PRESTACIÓN DE SERVICIOS"/>
    <x v="70"/>
    <n v="79"/>
    <s v="Capacitación para el sector del deporte, la recreación y la actividad física en el Departamento de   Antioquia -Servicios para la comunidad, sociales y personales"/>
    <s v="72"/>
    <s v="0-205128"/>
    <n v="2"/>
    <s v="MESES"/>
    <s v=""/>
    <s v="NO"/>
    <s v="ABRIL"/>
    <s v="ABRIL"/>
    <s v=""/>
    <s v=""/>
    <s v=""/>
    <n v="0"/>
    <n v="444991788"/>
    <n v="0"/>
    <n v="0"/>
    <s v="3.43.4301.72.0-205128.2.3.2.02.02.009.09."/>
    <n v="52010704"/>
    <s v=""/>
    <s v=""/>
  </r>
  <r>
    <n v="608"/>
    <s v="80141607;_x000a_84101600"/>
    <s v="SUBGERENCIA DE FOMENTO Y DESARROLLO"/>
    <s v="INVERSIÓN"/>
    <x v="8"/>
    <n v="2024003050073"/>
    <x v="42"/>
    <s v="050081"/>
    <n v="725348816"/>
    <s v="CONVENIO INTERADMINISTRATIVO PARA EL APOYO EN EL DESARROLLO DE LOS JUEGOS DEPORTIVOS ESCOLARES DE INDEPORTES ANTIOQUIA, EN LA SUBREGIÓN DEL ORIENTE"/>
    <s v="CONTRATADO"/>
    <s v="DIRECTA"/>
    <s v="CONVENIO INTERADMINISTRATIVO"/>
    <x v="71"/>
    <n v="82"/>
    <s v="Fortalecimiento de los juegos deportivos institucionales en los municipios del departamento de Antioquia - Servicios para la comunidad, sociales y personales"/>
    <s v="73"/>
    <s v="0-205128"/>
    <n v="4"/>
    <s v="MESES"/>
    <n v="460"/>
    <s v="NO"/>
    <s v="ABRIL"/>
    <s v="ABRIL"/>
    <n v="364"/>
    <s v="INSTITUTO PARA EL FOMENTO DE LA RECREACION Y EL DEPORTE DE EL SANTUARIO "/>
    <s v=""/>
    <n v="0"/>
    <n v="725348816"/>
    <n v="0"/>
    <n v="0"/>
    <s v="3.43.4301.73.0-205128.2.3.2.02.02.009.10."/>
    <n v="52010703"/>
    <s v=""/>
    <s v=""/>
  </r>
  <r>
    <n v="608"/>
    <s v="80141607;_x000a_84101600"/>
    <s v="SUBGERENCIA DE FOMENTO Y DESARROLLO"/>
    <s v="INVERSIÓN"/>
    <x v="8"/>
    <n v="2024003050073"/>
    <x v="42"/>
    <s v="050081"/>
    <n v="445277800"/>
    <s v="CONVENIO INTERADMINISTRATIVO PARA EL APOYO EN EL DESARROLLO DE LOS JUEGOS DEPORTIVOS ESCOLARES DE INDEPORTES ANTIOQUIA, EN LA SUBREGIÓN DEL ORIENTE (TASA PRODEPORTE)"/>
    <s v="CONTRATADO"/>
    <s v="DIRECTA"/>
    <s v="CONVENIO INTERADMINISTRATIVO"/>
    <x v="72"/>
    <n v="83"/>
    <s v="Fortalecimiento de los juegos deportivos institucionales en los municipios del departamento de Antioquia - Servicios para la comunidad, sociales y personales"/>
    <s v="73"/>
    <s v="0-205400"/>
    <n v="4"/>
    <s v="MESES"/>
    <n v="460"/>
    <s v="NO"/>
    <s v="ABRIL"/>
    <s v="ABRIL"/>
    <n v="364"/>
    <s v="INSTITUTO PARA EL FOMENTO DE LA RECREACION Y EL DEPORTE DE EL SANTUARIO "/>
    <s v=""/>
    <n v="0"/>
    <n v="445277800"/>
    <n v="0"/>
    <n v="0"/>
    <s v="3.43.4301.73.0-205400.2.3.2.02.02.009.11."/>
    <n v="52010703"/>
    <s v=""/>
    <s v=""/>
  </r>
  <r>
    <n v="609"/>
    <s v="80141607;_x000a_84101600"/>
    <s v="SUBGERENCIA DE FOMENTO Y DESARROLLO"/>
    <s v="INVERSIÓN"/>
    <x v="8"/>
    <n v="2024003050073"/>
    <x v="42"/>
    <s v="050081"/>
    <n v="251477757"/>
    <s v="CONVENIO INTERADMINISTRATIVO PARA EL APOYO EN EL DESARROLLO DE LOS JUEGOS DEPORTIVOS ESCOLARES DE INDEPORTES ANTIOQUIA, EN LA SUBREGIÓN DEL URABÁ"/>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251477757"/>
    <n v="0"/>
    <n v="0"/>
    <s v="3.43.4301.73.0-205128.2.3.2.02.02.009.10."/>
    <n v="52010703"/>
    <s v=""/>
    <s v=""/>
  </r>
  <r>
    <n v="609"/>
    <s v="80141607;_x000a_84101600"/>
    <s v="SUBGERENCIA DE FOMENTO Y DESARROLLO"/>
    <s v="INVERSIÓN"/>
    <x v="8"/>
    <n v="2024003050073"/>
    <x v="42"/>
    <s v="050081"/>
    <n v="384558100"/>
    <s v="CONVENIO INTERADMINISTRATIVO PARA EL APOYO EN EL DESARROLLO DE LOS JUEGOS DEPORTIVOS ESCOLARES DE INDEPORTES ANTIOQUIA, EN LA SUBREGIÓN DEL URABÁ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384558100"/>
    <n v="0"/>
    <n v="0"/>
    <s v="3.43.4301.73.0-205400.2.3.2.02.02.009.11."/>
    <n v="52010703"/>
    <s v=""/>
    <s v=""/>
  </r>
  <r>
    <n v="610"/>
    <s v="80141607;_x000a_84101600"/>
    <s v="SUBGERENCIA DE FOMENTO Y DESARROLLO"/>
    <s v="INVERSIÓN"/>
    <x v="8"/>
    <n v="2024003050073"/>
    <x v="42"/>
    <s v="050081"/>
    <n v="179977150"/>
    <s v="CONVENIO INTERADMINISTRATIVO PARA EL APOYO EN EL DESARROLLO DE LOS JUEGOS DEPORTIVOS ESCOLARES DE INDEPORTES ANTIOQUIA, EN LA SUBREGIÓN DEL NORTE Y BAJO CAUCA"/>
    <s v="CONTRATADO"/>
    <s v="DIRECTA"/>
    <s v="CONVENIO INTERADMINISTRATIVO"/>
    <x v="71"/>
    <n v="82"/>
    <s v="Fortalecimiento de los juegos deportivos institucionales en los municipios del departamento de Antioquia - Servicios para la comunidad, sociales y personales"/>
    <s v="73"/>
    <s v="0-205128"/>
    <n v="4"/>
    <s v="MESES"/>
    <n v="457"/>
    <s v="NO"/>
    <s v="ABRIL"/>
    <s v="ABRIL"/>
    <n v="365"/>
    <s v="MUNICIPIO DE ENTRERRIOS"/>
    <s v=""/>
    <n v="0"/>
    <n v="179977150"/>
    <n v="0"/>
    <n v="0"/>
    <s v="3.43.4301.73.0-205128.2.3.2.02.02.009.10."/>
    <n v="52010703"/>
    <s v=""/>
    <s v=""/>
  </r>
  <r>
    <n v="610"/>
    <s v="80141607;_x000a_84101600"/>
    <s v="SUBGERENCIA DE FOMENTO Y DESARROLLO"/>
    <s v="INVERSIÓN"/>
    <x v="8"/>
    <n v="2024003050073"/>
    <x v="42"/>
    <s v="050081"/>
    <n v="425037900"/>
    <s v="CONVENIO INTERADMINISTRATIVO PARA EL APOYO EN EL DESARROLLO DE LOS JUEGOS DEPORTIVOS ESCOLARES DE INDEPORTES ANTIOQUIA, EN LA SUBREGIÓN DEL NORTE Y BAJO CAUCA (TASA PRODEPORTE)"/>
    <s v="CONTRATADO"/>
    <s v="DIRECTA"/>
    <s v="CONVENIO INTERADMINISTRATIVO"/>
    <x v="72"/>
    <n v="83"/>
    <s v="Fortalecimiento de los juegos deportivos institucionales en los municipios del departamento de Antioquia - Servicios para la comunidad, sociales y personales"/>
    <s v="73"/>
    <s v="0-205400"/>
    <n v="4"/>
    <s v="MESES"/>
    <n v="457"/>
    <s v="NO"/>
    <s v="ABRIL"/>
    <s v="ABRIL"/>
    <n v="365"/>
    <s v="MUNICIPIO DE ENTRERRIOS"/>
    <s v=""/>
    <n v="0"/>
    <n v="425037900"/>
    <n v="0"/>
    <n v="0"/>
    <s v="3.43.4301.73.0-205400.2.3.2.02.02.009.11."/>
    <n v="52010703"/>
    <s v=""/>
    <s v=""/>
  </r>
  <r>
    <n v="611"/>
    <s v="80141607;_x000a_84101600"/>
    <s v="SUBGERENCIA DE FOMENTO Y DESARROLLO"/>
    <s v="INVERSIÓN"/>
    <x v="8"/>
    <n v="2024003050073"/>
    <x v="42"/>
    <s v="050081"/>
    <n v="101847790"/>
    <s v="CONVENIO INTERADMINISTRATIVO PARA EL APOYO EN EL DESARROLLO DE LOS JUEGOS DEPORTIVOS ESCOLARES DE INDEPORTES ANTIOQUIA, EN LA SUBREGIÓN DEL NORDESTE Y MAGDALENA MEDIO"/>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01847790"/>
    <n v="0"/>
    <n v="0"/>
    <s v="3.43.4301.73.0-205128.2.3.2.02.02.009.10."/>
    <n v="52010703"/>
    <s v=""/>
    <s v=""/>
  </r>
  <r>
    <n v="611"/>
    <s v="80141607;_x000a_84101600"/>
    <s v="SUBGERENCIA DE FOMENTO Y DESARROLLO"/>
    <s v="INVERSIÓN"/>
    <x v="8"/>
    <n v="2024003050073"/>
    <x v="42"/>
    <s v="050081"/>
    <n v="151394452"/>
    <s v="CONVENIO INTERADMINISTRATIVO PARA EL APOYO EN EL DESARROLLO DE LOS JUEGOS DEPORTIVOS ESCOLARES DE INDEPORTES ANTIOQUIA, EN LA SUBREGIÓN DEL NORDESTE Y MAGDALENA MEDIO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151394452"/>
    <n v="0"/>
    <n v="0"/>
    <s v="3.43.4301.73.0-205400.2.3.2.02.02.009.11."/>
    <n v="52010703"/>
    <s v=""/>
    <s v=""/>
  </r>
  <r>
    <n v="612"/>
    <s v="80141607;_x000a_84101600"/>
    <s v="SUBGERENCIA DE FOMENTO Y DESARROLLO"/>
    <s v="INVERSIÓN"/>
    <x v="8"/>
    <n v="2024003050073"/>
    <x v="42"/>
    <s v="050081"/>
    <n v="99370520"/>
    <s v="CONVENIO INTERADMINISTRATIVO PARA EL APOYO EN EL DESARROLLO DE LOS JUEGOS DEPORTIVOS ESCOLARES DE INDEPORTES ANTIOQUIA, EN LA SUBREGIÓN DEL NORDESTE Y MAGDALENA MEDIO"/>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99370520"/>
    <n v="0"/>
    <n v="0"/>
    <s v="3.43.4301.73.0-205128.2.3.2.02.02.009.10."/>
    <n v="52010703"/>
    <s v=""/>
    <s v=""/>
  </r>
  <r>
    <n v="612"/>
    <s v="80141607;_x000a_84101600"/>
    <s v="SUBGERENCIA DE FOMENTO Y DESARROLLO"/>
    <s v="INVERSIÓN"/>
    <x v="8"/>
    <n v="2024003050073"/>
    <x v="42"/>
    <s v="050081"/>
    <n v="156252028"/>
    <s v="CONVENIO INTERADMINISTRATIVO PARA EL APOYO EN EL DESARROLLO DE LOS JUEGOS DEPORTIVOS ESCOLARES DE INDEPORTES ANTIOQUIA, EN LA SUBREGIÓN DEL NORDESTE Y MAGDALENA MEDIO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156252028"/>
    <n v="0"/>
    <n v="0"/>
    <s v="3.43.4301.73.0-205400.2.3.2.02.02.009.11."/>
    <n v="52010703"/>
    <s v=""/>
    <s v=""/>
  </r>
  <r>
    <n v="613"/>
    <s v="80141607;_x000a_84101600"/>
    <s v="SUBGERENCIA DE FOMENTO Y DESARROLLO"/>
    <s v="INVERSIÓN"/>
    <x v="8"/>
    <n v="2024003050073"/>
    <x v="42"/>
    <s v="050081"/>
    <n v="163134054"/>
    <s v="CONVENIO INTERADMINISTRATIVO PARA EL APOYO EN EL DESARROLLO DE LOS  JUEGOS DEPORTIVOS ESCOLARES DE INDEPORTES ANTIOQUIA, EN LA SUBREGIÓN DEL OCCIDENTE"/>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63134054"/>
    <n v="0"/>
    <n v="0"/>
    <s v="3.43.4301.73.0-205128.2.3.2.02.02.009.10."/>
    <n v="52010703"/>
    <s v=""/>
    <s v=""/>
  </r>
  <r>
    <n v="613"/>
    <s v="80141607;_x000a_84101600"/>
    <s v="SUBGERENCIA DE FOMENTO Y DESARROLLO"/>
    <s v="INVERSIÓN"/>
    <x v="8"/>
    <n v="2024003050073"/>
    <x v="42"/>
    <s v="050081"/>
    <n v="295502540"/>
    <s v="CONVENIO INTERADMINISTRATIVO PARA EL APOYO EN EL DESARROLLO DE LOS  JUEGOS DEPORTIVOS ESCOLARES DE INDEPORTES ANTIOQUIA, EN LA SUBREGIÓN DEL OCCIDENTE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295502540"/>
    <n v="0"/>
    <n v="0"/>
    <s v="3.43.4301.73.0-205400.2.3.2.02.02.009.11."/>
    <n v="52010703"/>
    <s v=""/>
    <s v=""/>
  </r>
  <r>
    <n v="614"/>
    <s v="80141607;_x000a_84101600"/>
    <s v="SUBGERENCIA DE FOMENTO Y DESARROLLO"/>
    <s v="INVERSIÓN"/>
    <x v="8"/>
    <n v="2024003050073"/>
    <x v="42"/>
    <s v="050081"/>
    <n v="157237940"/>
    <s v="CONVENIO INTERADMINISTRATIVO PARA EL APOYO EN EL DESARROLLO DE LOS JUEGOS DEPORTIVOS ESCOLARES DE INDEPORTES ANTIOQUIA, EN LA SUBREGIÓN DEL SUROESTE"/>
    <s v="NO CONTRATADO"/>
    <s v="DIRECTA"/>
    <s v="CONVENIO INTERADMINISTRATIVO"/>
    <x v="71"/>
    <n v="82"/>
    <s v="Fortalecimiento de los juegos deportivos institucionales en los municipios del departamento de Antioquia - Servicios para la comunidad, sociales y personales"/>
    <s v="73"/>
    <s v="0-205128"/>
    <n v="4"/>
    <s v="MESES"/>
    <s v=""/>
    <s v="NO"/>
    <s v="ABRIL"/>
    <s v="ABRIL"/>
    <s v=""/>
    <s v=""/>
    <s v=""/>
    <n v="0"/>
    <n v="157237940"/>
    <n v="0"/>
    <n v="0"/>
    <s v="3.43.4301.73.0-205128.2.3.2.02.02.009.10."/>
    <n v="52010703"/>
    <s v=""/>
    <s v=""/>
  </r>
  <r>
    <n v="614"/>
    <s v="80141607;_x000a_84101600"/>
    <s v="SUBGERENCIA DE FOMENTO Y DESARROLLO"/>
    <s v="INVERSIÓN"/>
    <x v="8"/>
    <n v="2024003050073"/>
    <x v="42"/>
    <s v="050081"/>
    <n v="277286630"/>
    <s v="CONVENIO INTERADMINISTRATIVO PARA EL APOYO EN EL DESARROLLO DE LOS JUEGOS DEPORTIVOS ESCOLARES DE INDEPORTES ANTIOQUIA, EN LA SUBREGIÓN DEL SUROESTE (TASA PRODEPORTE)"/>
    <s v="NO CONTRATADO"/>
    <s v="DIRECTA"/>
    <s v="CONVENIO INTERADMINISTRATIVO"/>
    <x v="72"/>
    <n v="83"/>
    <s v="Fortalecimiento de los juegos deportivos institucionales en los municipios del departamento de Antioquia - Servicios para la comunidad, sociales y personales"/>
    <s v="73"/>
    <s v="0-205400"/>
    <n v="4"/>
    <s v="MESES"/>
    <s v=""/>
    <s v="NO"/>
    <s v="ABRIL"/>
    <s v="ABRIL"/>
    <s v=""/>
    <s v=""/>
    <s v=""/>
    <n v="0"/>
    <n v="277286630"/>
    <n v="0"/>
    <n v="0"/>
    <s v="3.43.4301.73.0-205400.2.3.2.02.02.009.11."/>
    <n v="52010703"/>
    <s v=""/>
    <s v=""/>
  </r>
  <r>
    <n v="616"/>
    <s v="80141607_x000a_84101600"/>
    <s v="SUBGERENCIA DE FOMENTO Y DESARROLLO"/>
    <s v="INVERSIÓN"/>
    <x v="8"/>
    <n v="2024003050073"/>
    <x v="42"/>
    <s v="050081"/>
    <n v="240711817"/>
    <s v="CONVENIO INTERADMINISTRATIVO PARA EL APOYO EN EL DESARROLLO DE LOS JUEGOS DEPORTIVOS ESCOLARES DE INDEPORTES ANTIOQUIA, EN EL VALLE DE ABURRÁ"/>
    <s v="NO CONTRATADO"/>
    <s v="DIRECTA"/>
    <s v="CONVENIO INTERADMINISTRATIVO"/>
    <x v="71"/>
    <n v="82"/>
    <s v="Fortalecimiento de los juegos deportivos institucionales en los municipios del departamento de Antioquia - Servicios para la comunidad, sociales y personales"/>
    <s v="73"/>
    <s v="0-205128"/>
    <n v="5"/>
    <s v="MESES"/>
    <s v=""/>
    <s v="NO"/>
    <s v="ABRIL"/>
    <s v="ABRIL"/>
    <s v=""/>
    <s v=""/>
    <s v=""/>
    <n v="0"/>
    <n v="240711817"/>
    <n v="0"/>
    <n v="0"/>
    <s v="3.43.4301.73.0-205128.2.3.2.02.02.009.10."/>
    <n v="52010703"/>
    <s v=""/>
    <s v=""/>
  </r>
  <r>
    <n v="616"/>
    <s v="80141607_x000a_84101600"/>
    <s v="SUBGERENCIA DE FOMENTO Y DESARROLLO"/>
    <s v="INVERSIÓN"/>
    <x v="8"/>
    <n v="2024003050073"/>
    <x v="42"/>
    <s v="050081"/>
    <n v="211633000"/>
    <s v="CONVENIO INTERADMINISTRATIVO PARA EL APOYO EN EL DESARROLLO DE LOS JUEGOS DEPORTIVOS ESCOLARES DE INDEPORTES ANTIOQUIA, EN EL VALLE DE ABURRÁ (TASA PRODEPORTE)"/>
    <s v="NO CONTRATADO"/>
    <s v="DIRECTA"/>
    <s v="CONVENIO INTERADMINISTRATIVO"/>
    <x v="72"/>
    <n v="83"/>
    <s v="Fortalecimiento de los juegos deportivos institucionales en los municipios del departamento de Antioquia - Servicios para la comunidad, sociales y personales"/>
    <s v="73"/>
    <s v="0-205400"/>
    <n v="5"/>
    <s v="MESES"/>
    <s v=""/>
    <s v="NO"/>
    <s v="ABRIL"/>
    <s v="ABRIL"/>
    <s v=""/>
    <s v=""/>
    <s v=""/>
    <n v="0"/>
    <n v="211633000"/>
    <n v="0"/>
    <n v="0"/>
    <s v="3.43.4301.73.0-205400.2.3.2.02.02.009.11."/>
    <n v="52010703"/>
    <s v=""/>
    <s v=""/>
  </r>
  <r>
    <n v="141"/>
    <n v="80141607"/>
    <s v="SUBGERENCIA DE FOMENTO Y DESARROLLO"/>
    <s v="INVERSIÓN"/>
    <x v="8"/>
    <n v="2024003050073"/>
    <x v="43"/>
    <s v="050081"/>
    <n v="772858382"/>
    <s v="DISPONIBLE JUEGOS DEPORTIVOS CAMPESINOS"/>
    <s v="NO CONTRATADO"/>
    <s v="DIRECTA"/>
    <s v="CONVENIO INTERADMINISTRATIVO"/>
    <x v="71"/>
    <n v="82"/>
    <s v="Fortalecimiento de los juegos deportivos institucionales en los municipios del departamento de Antioquia - Servicios para la comunidad, sociales y personales"/>
    <s v="73"/>
    <s v="0-205128"/>
    <n v="10"/>
    <s v="MESES"/>
    <s v=""/>
    <s v="NO"/>
    <s v="ABRIL"/>
    <s v="ABRIL"/>
    <s v=""/>
    <s v=""/>
    <s v=""/>
    <n v="0"/>
    <n v="772858382"/>
    <n v="0"/>
    <n v="0"/>
    <s v="3.43.4301.73.0-205128.2.3.2.02.02.009.10."/>
    <n v="52010703"/>
    <s v=""/>
    <s v=""/>
  </r>
  <r>
    <n v="142"/>
    <s v="N/A"/>
    <s v="SUBGERENCIA DE FOMENTO Y DESARROLLO"/>
    <s v="INVERSIÓN"/>
    <x v="8"/>
    <n v="2024003050073"/>
    <x v="42"/>
    <s v="050081"/>
    <n v="0"/>
    <s v="N/A"/>
    <s v="NO CONTRATADO"/>
    <s v="N/A"/>
    <s v="N/A"/>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43"/>
    <s v="N/A"/>
    <s v="SUBGERENCIA DE FOMENTO Y DESARROLLO"/>
    <s v="INVERSIÓN"/>
    <x v="8"/>
    <n v="2024003050073"/>
    <x v="44"/>
    <s v="050081"/>
    <n v="0"/>
    <s v="N/A"/>
    <s v="NO CONTRATADO"/>
    <s v="N/A"/>
    <s v="N/A"/>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44"/>
    <n v="80111600"/>
    <s v="SUBGERENCIA DE FOMENTO Y DESARROLLO"/>
    <s v="INVERSIÓN"/>
    <x v="5"/>
    <n v="2024003050101"/>
    <x v="26"/>
    <s v="050075"/>
    <n v="25565400"/>
    <s v="PRESTACIÓN DE SERVICIOS PROFESIONALES PARA APOYAR LA GESTIÓN DE LA INFORMACIÓN DEL DEPORTE, LA ACTIVIDAD FÍSICA Y LA RECREACIÓN DEL DEPARTAMENTO  EN LA PLATAFORMA DEPORTESANT, Y APOYO A  LOS PROCESOS ADMINSITRATIVOS DE LA SUBGERENCIA DE FOMENTO Y DESARROLLO DEPORTIVO."/>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11"/>
    <s v="NO"/>
    <s v="FEBRERO"/>
    <s v="FEBRERO"/>
    <n v="260"/>
    <s v="GUILLERMO LEON RENDON RENDON"/>
    <n v="444"/>
    <n v="25565400"/>
    <n v="0"/>
    <n v="0"/>
    <n v="25565400"/>
    <s v="4443.43.4301.01.0-205128.2.3.2.02.02.009.07."/>
    <n v="52010702"/>
    <n v="0"/>
    <n v="25565400"/>
  </r>
  <r>
    <n v="144"/>
    <n v="80111600"/>
    <s v="SUBGERENCIA DE FOMENTO Y DESARROLLO"/>
    <s v="INVERSIÓN"/>
    <x v="8"/>
    <n v="2024003050073"/>
    <x v="44"/>
    <s v="050081"/>
    <n v="59652599.999999993"/>
    <s v="PRESTACIÓN DE SERVICIOS PROFESIONALES PARA APOYAR LA GESTIÓN DE LA INFORMACIÓN DEL DEPORTE, LA ACTIVIDAD FÍSICA Y LA RECREACIÓN DEL DEPARTAMENTO  EN LA PLATAFORMA DEPORTESANT, Y APOYO A  LOS PROCESOS ADMINSITRATIVO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11"/>
    <s v="NO"/>
    <s v="FEBRERO"/>
    <s v="FEBRERO"/>
    <n v="260"/>
    <s v="GUILLERMO LEON RENDON RENDON"/>
    <n v="444"/>
    <n v="59652600"/>
    <n v="-7.4505805969238281E-9"/>
    <n v="0"/>
    <n v="59652600"/>
    <s v="4443.43.4301.73.0-205128.2.3.2.02.02.009.10."/>
    <n v="52010703"/>
    <n v="0"/>
    <n v="59652600"/>
  </r>
  <r>
    <n v="145"/>
    <n v="80111600"/>
    <s v="SUBGERENCIA DE FOMENTO Y DESARROLLO"/>
    <s v="INVERSIÓN"/>
    <x v="8"/>
    <n v="2024003050073"/>
    <x v="44"/>
    <s v="050081"/>
    <n v="105732000"/>
    <s v="PRESTACIÓN DE SERVICIOS PROFESIONALES ESPECIALIZADOS DE APOYO A LA EJECUCION DEL PROGRAMA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7"/>
    <s v="NO"/>
    <s v="FEBRERO"/>
    <s v="FEBRERO"/>
    <n v="239"/>
    <s v="ERASMO HUMBERTO MUÑOZ GIRALDO"/>
    <n v="414"/>
    <n v="105732000"/>
    <n v="0"/>
    <n v="0"/>
    <n v="105732000"/>
    <s v="4143.43.4301.73.0-205128.2.3.2.02.02.009.10."/>
    <n v="52010703"/>
    <n v="0"/>
    <n v="105732000"/>
  </r>
  <r>
    <n v="146"/>
    <n v="80111600"/>
    <s v="SUBGERENCIA DE FOMENTO Y DESARROLLO"/>
    <s v="INVERSIÓN"/>
    <x v="8"/>
    <n v="2024003050073"/>
    <x v="44"/>
    <s v="050081"/>
    <n v="114482000"/>
    <s v="PRESTACIÓN DE SERVICIOS PROFESIONALES ESPECIALIZADOS EN GERENCIA DEPORTIVA COMO PROMOTOR EN LAS SUBREGIONES DEL NORDESTE Y DEL MAGDALENA MEDIO, PARA LA PLANEACIÓN, ACOMPAÑAMIENTO Y EVALUACIÓN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9"/>
    <s v="NO"/>
    <s v="FEBRERO"/>
    <s v="FEBRERO"/>
    <n v="262"/>
    <s v="TATIANA LEANY GOMEZ JARAMILLO"/>
    <s v=""/>
    <n v="0"/>
    <n v="114482000"/>
    <n v="0"/>
    <n v="0"/>
    <s v="3.43.4301.73.0-205128.2.3.2.02.02.009.10."/>
    <n v="52010703"/>
    <s v=""/>
    <s v=""/>
  </r>
  <r>
    <n v="147"/>
    <n v="80111600"/>
    <s v="SUBGERENCIA DE FOMENTO Y DESARROLLO"/>
    <s v="INVERSIÓN"/>
    <x v="8"/>
    <n v="2024003050073"/>
    <x v="44"/>
    <s v="050081"/>
    <n v="87218000"/>
    <s v="PRESTACION DE SERVICIOS PROFESIONALES DE APOYO A LA PARAMETRIZACIÓN Y MANEJO DE LA PLATAFORMA DEPORTESANT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08"/>
    <s v="NO"/>
    <s v="FEBRERO"/>
    <s v="FEBRERO"/>
    <n v="242"/>
    <s v="JULIANA JARAMILLO BETANCUR"/>
    <n v="393"/>
    <n v="87218000"/>
    <n v="0"/>
    <n v="0"/>
    <n v="87218000"/>
    <s v="3933.43.4301.73.0-205128.2.3.2.02.02.009.10."/>
    <n v="52010703"/>
    <n v="0"/>
    <n v="87218000"/>
  </r>
  <r>
    <n v="148"/>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49"/>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0"/>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1"/>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152"/>
    <n v="80111600"/>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1"/>
    <s v="MESES"/>
    <s v=""/>
    <s v="NO"/>
    <s v="FEBRERO"/>
    <s v="FEBRERO"/>
    <s v=""/>
    <s v=""/>
    <s v=""/>
    <n v="0"/>
    <n v="0"/>
    <n v="0"/>
    <n v="0"/>
    <s v="3.43.4301.73.0-205128.2.3.2.02.02.009.10."/>
    <n v="52010703"/>
    <s v=""/>
    <s v=""/>
  </r>
  <r>
    <n v="580"/>
    <n v="80111600"/>
    <s v="SUBGERENCIA DE FOMENTO Y DESARROLLO"/>
    <s v="INVERSIÓN"/>
    <x v="8"/>
    <n v="2024003050073"/>
    <x v="44"/>
    <s v="050081"/>
    <n v="39771000"/>
    <s v="PRESTACIÓN DE SERVICIOS DE APOYO A LA GESTIÓN EN EL DESARROLLO DE ACTIVIDADES LOGÍSTICAS Y OPERATIVAS DE LOS JUEGOS DEPORTIVOS INSTITUCIONALES."/>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9"/>
    <s v="MESES"/>
    <s v=""/>
    <s v="NO"/>
    <s v="MARZO"/>
    <s v="MARZO"/>
    <s v=""/>
    <s v=""/>
    <s v=""/>
    <n v="0"/>
    <n v="39771000"/>
    <n v="0"/>
    <n v="0"/>
    <s v="3.43.4301.73.0-205128.2.3.2.02.02.009.10."/>
    <n v="52010703"/>
    <s v=""/>
    <s v=""/>
  </r>
  <r>
    <n v="581"/>
    <n v="80111600"/>
    <s v="SUBGERENCIA DE FOMENTO Y DESARROLLO"/>
    <s v="INVERSIÓN"/>
    <x v="8"/>
    <n v="2024003050073"/>
    <x v="44"/>
    <s v="050081"/>
    <n v="39771000"/>
    <s v="PRESTACIÓN DE SERVICIOS DE APOYO A LA GESTIÓN EN LA PLATAFORMA DEPORTESANT Y APOYO LOGÍSTICO Y OPERATIVO EN LA EJECUCIÓN DE LOS JUEGOS DEPORTIVOS INSTITUCIONALES DE LA SUBGERENCIA DE FOMENTO Y DESARROLLO DEPORTIVO."/>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9"/>
    <s v="MESES"/>
    <s v=""/>
    <s v="NO"/>
    <s v="MARZO"/>
    <s v="MARZO"/>
    <s v=""/>
    <s v=""/>
    <s v=""/>
    <n v="0"/>
    <n v="39771000"/>
    <n v="0"/>
    <n v="0"/>
    <s v="3.43.4301.73.0-205128.2.3.2.02.02.009.10."/>
    <n v="52010703"/>
    <s v=""/>
    <s v=""/>
  </r>
  <r>
    <n v="153"/>
    <s v="N/A"/>
    <s v="SUBGERENCIA DE FOMENTO Y DESARROLLO"/>
    <s v="INVERSIÓN"/>
    <x v="8"/>
    <n v="2024003050073"/>
    <x v="44"/>
    <s v="050081"/>
    <n v="0"/>
    <s v="N/A"/>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s v="N/A"/>
    <s v="N/A"/>
    <s v=""/>
    <s v="NO"/>
    <s v="N/A"/>
    <s v="N/A"/>
    <s v=""/>
    <s v=""/>
    <s v=""/>
    <n v="0"/>
    <n v="0"/>
    <n v="0"/>
    <n v="0"/>
    <s v="3.43.4301.73.0-205128.2.3.2.02.02.009.10."/>
    <n v="52010703"/>
    <s v=""/>
    <s v=""/>
  </r>
  <r>
    <n v="154"/>
    <n v="80111600"/>
    <s v="SUBGERENCIA DE FOMENTO Y DESARROLLO"/>
    <s v="INVERSIÓN"/>
    <x v="8"/>
    <n v="2024003050073"/>
    <x v="44"/>
    <s v="050081"/>
    <n v="83218000"/>
    <s v="PRESTACIÓN DE SERVICIOS PROFESIONALES COMO PROMOTOR EN LA SUBREGIÓN DEL URABÁ,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313"/>
    <s v="NO"/>
    <s v="FEBRERO"/>
    <s v="FEBRERO"/>
    <n v="325"/>
    <s v="JAIME ANDRES LONDOÑO"/>
    <s v=""/>
    <n v="0"/>
    <n v="83218000"/>
    <n v="0"/>
    <n v="0"/>
    <s v="3.43.4301.73.0-205128.2.3.2.02.02.009.10."/>
    <n v="52010703"/>
    <s v=""/>
    <s v=""/>
  </r>
  <r>
    <n v="155"/>
    <n v="80111600"/>
    <s v="SUBGERENCIA DE FOMENTO Y DESARROLLO"/>
    <s v="INVERSIÓN"/>
    <x v="8"/>
    <n v="2024003050073"/>
    <x v="44"/>
    <s v="050081"/>
    <n v="79188933"/>
    <s v="PRESTACIÓN DE SERVICIOS PROFESIONALES DE APOYO A LA PARAMETRIZACIÓN Y MANEJO DE LA PLATAFORMA DEPORTESANT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8.5"/>
    <s v="MESES"/>
    <n v="451"/>
    <s v="NO"/>
    <s v="ABRIL"/>
    <s v="ABRIL"/>
    <n v="362"/>
    <s v="JAVIER FELIPE PEREZ FORERO"/>
    <s v=""/>
    <n v="0"/>
    <n v="79188933"/>
    <n v="0"/>
    <n v="0"/>
    <s v="3.43.4301.73.0-205128.2.3.2.02.02.009.10."/>
    <n v="52010703"/>
    <s v=""/>
    <s v=""/>
  </r>
  <r>
    <n v="156"/>
    <n v="80141607"/>
    <s v="SUBGERENCIA DE FOMENTO Y DESARROLLO"/>
    <s v="INVERSIÓN"/>
    <x v="8"/>
    <n v="2024003050073"/>
    <x v="42"/>
    <s v="050081"/>
    <n v="217882425"/>
    <s v="REALIZACIÓN DE LOS FESTIVALES ESCOLARES EN EL DEPARTAMENTO DE ANTIOQUIA (TASA PRODEPORTE)"/>
    <s v="NO CONTRATADO"/>
    <s v="DIRECTA"/>
    <s v="CONVENIO INTERADMINISTRATIVO"/>
    <x v="72"/>
    <n v="83"/>
    <s v="Fortalecimiento de los juegos deportivos institucionales en los municipios del departamento de Antioquia - Servicios para la comunidad, sociales y personales"/>
    <s v="73"/>
    <s v="0-205400"/>
    <s v="N/A"/>
    <s v="N/A"/>
    <s v=""/>
    <s v="NO"/>
    <s v="ABRIL"/>
    <s v="ABRIL"/>
    <s v=""/>
    <s v=""/>
    <s v=""/>
    <n v="0"/>
    <n v="217882425"/>
    <n v="0"/>
    <n v="0"/>
    <s v="3.43.4301.73.0-205400.2.3.2.02.02.009.11."/>
    <n v="52010703"/>
    <s v=""/>
    <s v=""/>
  </r>
  <r>
    <n v="157"/>
    <n v="80141607"/>
    <s v="SUBGERENCIA DE FOMENTO Y DESARROLLO"/>
    <s v="INVERSIÓN"/>
    <x v="8"/>
    <n v="2024003050073"/>
    <x v="45"/>
    <s v="050081"/>
    <n v="1084687020"/>
    <s v="REALIZACIÓN DE LA FASE ZONAL, LA FINAL DEPARTAMENTAL, LA FASE REGIONAL Y LA FINAL NACIONAL DE LOS JUEGOS DEPORTIVOS INTERCOLEGIADOS EN EL DEPARTAMENTO DE ANTIOQUIA (TASA PRODEPORTE)"/>
    <s v="NO CONTRATADO"/>
    <s v="DIRECTA"/>
    <s v="CONVENIO INTERADMINISTRATIVO"/>
    <x v="72"/>
    <n v="83"/>
    <s v="Fortalecimiento de los juegos deportivos institucionales en los municipios del departamento de Antioquia - Servicios para la comunidad, sociales y personales"/>
    <s v="73"/>
    <s v="0-205400"/>
    <n v="2"/>
    <s v="MESES"/>
    <s v=""/>
    <s v="NO"/>
    <s v="MAYO"/>
    <s v="MAYO"/>
    <s v=""/>
    <s v=""/>
    <s v=""/>
    <n v="0"/>
    <n v="1084687020"/>
    <n v="0"/>
    <n v="0"/>
    <s v="3.43.4301.73.0-205400.2.3.2.02.02.009.11."/>
    <n v="52010703"/>
    <s v=""/>
    <s v=""/>
  </r>
  <r>
    <n v="158"/>
    <n v="49221500"/>
    <s v="SUBGERENCIA DE FOMENTO Y DESARROLLO"/>
    <s v="INVERSIÓN"/>
    <x v="9"/>
    <n v="2024003050074"/>
    <x v="46"/>
    <s v="050073"/>
    <n v="214608013"/>
    <s v="DOTACIÓN DE IMPLEMENTACIÓN DE DEPORTIVA PARA EL PROGRAMA DE JUEGOS DEPORTIVOS INSTITUCIONALES"/>
    <s v="NO CONTRATADO"/>
    <s v="SELECCIÓN ABREVIADA MEDIANTE SUBASTA INVERSA "/>
    <s v="SUMINISTRO"/>
    <x v="73"/>
    <n v="84"/>
    <s v="Cofinanciación de dotación de implementación para el deporte la recreación y a la actividad física en el departamento de Antioquia -Otros bienes transportables (excepto productos metálicos, maquinaria y equipo)"/>
    <s v="74"/>
    <s v="0-101024"/>
    <n v="6"/>
    <s v="MESES"/>
    <s v=""/>
    <s v="NO"/>
    <s v="JUNIO"/>
    <s v="JUNIO"/>
    <s v=""/>
    <s v=""/>
    <s v=""/>
    <n v="0"/>
    <n v="214608013"/>
    <n v="0"/>
    <n v="0"/>
    <s v="3.43.4301.74.0-101024.2.3.2.02.01.003.03."/>
    <n v="52010701"/>
    <s v=""/>
    <s v=""/>
  </r>
  <r>
    <n v="159"/>
    <n v="49221500"/>
    <s v="SUBGERENCIA DE FOMENTO Y DESARROLLO"/>
    <s v="INVERSIÓN"/>
    <x v="9"/>
    <n v="2024003050074"/>
    <x v="47"/>
    <s v="050073"/>
    <n v="1071975465"/>
    <s v="DOTACIÓN DE IMPLEMENTACIÓN DEPORTIVA PARA EL PROGRAMA DE DEPORTE FORMATIVO"/>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1071975465"/>
    <n v="0"/>
    <n v="0"/>
    <s v="3.43.4301.74.0-205400.2.3.2.02.01.003.04."/>
    <n v="52010701"/>
    <s v=""/>
    <s v=""/>
  </r>
  <r>
    <n v="160"/>
    <n v="49221500"/>
    <s v="SUBGERENCIA DE FOMENTO Y DESARROLLO"/>
    <s v="INVERSIÓN"/>
    <x v="9"/>
    <n v="2024003050074"/>
    <x v="48"/>
    <s v="050073"/>
    <n v="638400000"/>
    <s v="DOTACIÓN DE IMPLEMENTACIÓN RECREATIVA PARA EL PROGRAMA DE RECREACIÓN"/>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638400000"/>
    <n v="0"/>
    <n v="0"/>
    <s v="3.43.4301.74.0-205400.2.3.2.02.01.003.04."/>
    <n v="52010701"/>
    <s v=""/>
    <s v=""/>
  </r>
  <r>
    <n v="161"/>
    <n v="95122306"/>
    <s v="SUBGERENCIA DE FOMENTO Y DESARROLLO"/>
    <s v="INVERSIÓN"/>
    <x v="9"/>
    <n v="2024003050074"/>
    <x v="49"/>
    <s v="050073"/>
    <n v="1521777821"/>
    <s v="DOTACIÓN DE IMPLEMENTACIÓN DE ACTIVIDAD FÍSICA PARA EL PROGRAMA DE POR SU SALUD, MUÉVASE PU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1521777821"/>
    <n v="0"/>
    <n v="0"/>
    <s v="3.43.4301.74.0-205400.2.3.2.02.01.003.04."/>
    <n v="52010701"/>
    <s v=""/>
    <s v=""/>
  </r>
  <r>
    <n v="162"/>
    <n v="49221500"/>
    <s v="SUBGERENCIA DE FOMENTO Y DESARROLLO"/>
    <s v="INVERSIÓN"/>
    <x v="9"/>
    <n v="2024003050074"/>
    <x v="46"/>
    <s v="050073"/>
    <n v="215838110"/>
    <s v="DOTACIÓN DE IMPLEMENTACIÓN DE DEPORTIVA PARA EL PROGRAMA DE JUEGOS DEPORTIVOS INSTITUCIONAL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215838110"/>
    <n v="0"/>
    <n v="0"/>
    <s v="3.43.4301.74.0-205400.2.3.2.02.01.003.04."/>
    <n v="52010701"/>
    <s v=""/>
    <s v=""/>
  </r>
  <r>
    <n v="163"/>
    <n v="49221500"/>
    <s v="SUBGERENCIA DE FOMENTO Y DESARROLLO"/>
    <s v="INVERSIÓN"/>
    <x v="9"/>
    <n v="2024003050074"/>
    <x v="46"/>
    <s v="050073"/>
    <n v="64553877"/>
    <s v="DOTACIÓN DE IMPLEMENTACIÓN DE DEPORTIVA PARA EL PROGRAMA DE JUEGOS DEPORTIVOS INSTITUCIONALES"/>
    <s v="NO CONTRATADO"/>
    <s v="SELECCIÓN ABREVIADA MEDIANTE SUBASTA INVERSA "/>
    <s v="SUMINISTRO"/>
    <x v="74"/>
    <n v="86"/>
    <s v="Cofinanciación de dotación de implementación para el deporte la recreación y a la actividad física en el departamento de Antioquia -Otros bienes transportables (excepto productos metálicos, maquinaria y equipo)"/>
    <s v="74"/>
    <s v="0-205400"/>
    <n v="6"/>
    <s v="MESES"/>
    <s v=""/>
    <s v="NO"/>
    <s v="MAYO"/>
    <s v="MAYO"/>
    <s v=""/>
    <s v=""/>
    <s v=""/>
    <n v="0"/>
    <n v="64553877"/>
    <n v="0"/>
    <n v="0"/>
    <s v="3.43.4301.74.0-205400.2.3.2.02.01.003.04."/>
    <n v="52010701"/>
    <s v=""/>
    <s v=""/>
  </r>
  <r>
    <n v="164"/>
    <n v="90141502"/>
    <s v="SUBGERENCIA DE ALTOS LOGROS Y DEPORTE ASOCIADO"/>
    <s v="INVERSIÓN"/>
    <x v="10"/>
    <n v="2024003050102"/>
    <x v="50"/>
    <s v="050076"/>
    <n v="500000000"/>
    <s v="CONVENIO CON EL CLUB ESCUELA DE CICLISMO ORGULLO PAISA PARA LA PREPARACIÓN Y PARTICIPACIÓN DE LOS CICLISTAS ANTIOQUEÑOS DE ALTO RENDIMIENTO, EN COMPETENCIAS DEPORTIVAS DE CARÁCTER NACIONAL E INTERNAICONAL, SUB 23 Y ÉLITES."/>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500000000"/>
    <n v="0"/>
    <n v="0"/>
    <s v="2.43.4301.02.0-205400.2.3.3.09.17."/>
    <n v="52010801"/>
    <s v=""/>
    <s v=""/>
  </r>
  <r>
    <n v="164"/>
    <n v="90141502"/>
    <s v="SUBGERENCIA DE ALTOS LOGROS Y DEPORTE ASOCIADO"/>
    <s v="INVERSIÓN"/>
    <x v="10"/>
    <n v="2024003050102"/>
    <x v="50"/>
    <s v="050076"/>
    <n v="500000000"/>
    <s v="CONVENIO CON EL CLUB ESCUELA DE CICLISMO ORGULLO PAISA PARA LA PREPARACIÓN Y PARTICIPACIÓN DE LOS CICLISTAS ANTIOQUEÑOS DE ALTO RENDIMIENTO, EN COMPETENCIAS DEPORTIVAS DE CARÁCTER NACIONAL E INTERNAICONAL, SUB 23 Y ÉLITES."/>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0"/>
    <n v="0"/>
    <n v="0"/>
    <s v="2.43.4301.02.0-205128.2.3.3.09.17."/>
    <n v="52010801"/>
    <s v=""/>
    <s v=""/>
  </r>
  <r>
    <n v="165"/>
    <n v="90141502"/>
    <s v="SUBGERENCIA DE ALTOS LOGROS Y DEPORTE ASOCIADO"/>
    <s v="INVERSIÓN"/>
    <x v="10"/>
    <n v="2024003050102"/>
    <x v="50"/>
    <s v="050076"/>
    <n v="200000000"/>
    <s v="CONVENIO CON LA LIGA DE ATLET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200000000"/>
    <n v="0"/>
    <n v="0"/>
    <s v="2.43.4301.02.0-205400.2.3.3.09.17."/>
    <n v="52010801"/>
    <s v=""/>
    <s v=""/>
  </r>
  <r>
    <n v="165"/>
    <n v="90141502"/>
    <s v="SUBGERENCIA DE ALTOS LOGROS Y DEPORTE ASOCIADO"/>
    <s v="INVERSIÓN"/>
    <x v="10"/>
    <n v="2024003050102"/>
    <x v="50"/>
    <s v="050076"/>
    <n v="100000000"/>
    <s v="CONVENIO CON LA LIGA DE ATLET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00000000"/>
    <n v="0"/>
    <n v="0"/>
    <s v="2.43.4301.02.0-205128.2.3.3.09.17."/>
    <n v="52010801"/>
    <s v=""/>
    <s v=""/>
  </r>
  <r>
    <n v="166"/>
    <n v="90141502"/>
    <s v="SUBGERENCIA DE ALTOS LOGROS Y DEPORTE ASOCIADO"/>
    <s v="INVERSIÓN"/>
    <x v="10"/>
    <n v="2024003050102"/>
    <x v="50"/>
    <s v="050076"/>
    <n v="20000000"/>
    <s v="CONVENIO CON LA  LIGA ANTIOQUEÑA DE BALONMAN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20000000"/>
    <n v="0"/>
    <n v="0"/>
    <s v="2.43.4301.02.0-205128.2.3.3.09.17."/>
    <n v="52010801"/>
    <s v=""/>
    <s v=""/>
  </r>
  <r>
    <n v="167"/>
    <n v="90141502"/>
    <s v="SUBGERENCIA DE ALTOS LOGROS Y DEPORTE ASOCIADO"/>
    <s v="INVERSIÓN"/>
    <x v="10"/>
    <n v="2024003050102"/>
    <x v="50"/>
    <s v="050076"/>
    <n v="40000000"/>
    <s v="CONVENIO CON LA LIGA DE PATINAJE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5"/>
    <n v="100"/>
    <s v="Apoyo Económico A Las Organizaciones Deportivas Que Representen Competencias Al Departamento De Antioquia -Actividades De Promoción Y   Desarrollo Del Deporte"/>
    <s v="02"/>
    <s v="0-205400"/>
    <n v="9"/>
    <s v="MESES"/>
    <n v="442"/>
    <s v="NO"/>
    <s v="MARZO"/>
    <s v="MARZO"/>
    <n v="363"/>
    <s v="LIGA DE PATINAJE DE ANTIOQUIA"/>
    <s v=""/>
    <n v="0"/>
    <n v="40000000"/>
    <n v="0"/>
    <n v="0"/>
    <s v="2.43.4301.02.0-205400.2.3.3.09.17."/>
    <n v="52010801"/>
    <s v=""/>
    <s v=""/>
  </r>
  <r>
    <n v="167"/>
    <n v="90141502"/>
    <s v="SUBGERENCIA DE ALTOS LOGROS Y DEPORTE ASOCIADO"/>
    <s v="INVERSIÓN"/>
    <x v="10"/>
    <n v="2024003050102"/>
    <x v="50"/>
    <s v="050076"/>
    <n v="80000000"/>
    <s v="CONVENIO CON LA LIGA DE PATINAJE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9"/>
    <s v="MESES"/>
    <n v="442"/>
    <s v="NO"/>
    <s v="MARZO"/>
    <s v="MARZO"/>
    <n v="363"/>
    <s v="LIGA DE PATINAJE DE ANTIOQUIA"/>
    <s v=""/>
    <n v="0"/>
    <n v="80000000"/>
    <n v="0"/>
    <n v="0"/>
    <s v="2.43.4301.02.0-205128.2.3.3.09.17."/>
    <n v="52010801"/>
    <s v=""/>
    <s v=""/>
  </r>
  <r>
    <n v="168"/>
    <n v="90141502"/>
    <s v="SUBGERENCIA DE ALTOS LOGROS Y DEPORTE ASOCIADO"/>
    <s v="INVERSIÓN"/>
    <x v="10"/>
    <n v="2024003050102"/>
    <x v="50"/>
    <s v="050076"/>
    <n v="120000000"/>
    <s v="CONVENIO CON LA LIGA DE AJEDREZ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285"/>
    <s v="DÍAS"/>
    <s v=""/>
    <s v="NO"/>
    <s v="MARZO"/>
    <s v="MARZO"/>
    <s v=""/>
    <s v=""/>
    <s v=""/>
    <n v="0"/>
    <n v="120000000"/>
    <n v="0"/>
    <n v="0"/>
    <s v="2.43.4301.02.0-205128.2.3.3.09.17."/>
    <n v="52010801"/>
    <s v=""/>
    <s v=""/>
  </r>
  <r>
    <n v="169"/>
    <n v="90141502"/>
    <s v="SUBGERENCIA DE ALTOS LOGROS Y DEPORTE ASOCIADO"/>
    <s v="INVERSIÓN"/>
    <x v="10"/>
    <n v="2024003050102"/>
    <x v="50"/>
    <s v="050076"/>
    <n v="44000000"/>
    <s v="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44000000"/>
    <n v="0"/>
    <n v="0"/>
    <s v="2.43.4301.02.0-205400.2.3.3.09.17."/>
    <n v="52010801"/>
    <s v=""/>
    <s v=""/>
  </r>
  <r>
    <n v="169"/>
    <n v="90141502"/>
    <s v="SUBGERENCIA DE ALTOS LOGROS Y DEPORTE ASOCIADO"/>
    <s v="INVERSIÓN"/>
    <x v="10"/>
    <n v="2024003050102"/>
    <x v="50"/>
    <s v="050076"/>
    <n v="36000000"/>
    <s v="CONVENIO CON LA LIGA ANTIOQUEÑA DE ACTIVIDADES SUBACUÁTICAS - LAS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6000000"/>
    <n v="0"/>
    <n v="0"/>
    <s v="2.43.4301.02.0-205128.2.3.3.09.17."/>
    <n v="52010801"/>
    <s v=""/>
    <s v=""/>
  </r>
  <r>
    <n v="170"/>
    <n v="90141502"/>
    <s v="SUBGERENCIA DE ALTOS LOGROS Y DEPORTE ASOCIADO"/>
    <s v="INVERSIÓN"/>
    <x v="10"/>
    <n v="2024003050102"/>
    <x v="50"/>
    <s v="050076"/>
    <n v="140000000"/>
    <s v="CONVENIO CON LA LIGA ANTIOQUEÑA DE LUCH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40000000"/>
    <n v="0"/>
    <n v="0"/>
    <s v="2.43.4301.02.0-205400.2.3.3.09.17."/>
    <n v="52010801"/>
    <s v=""/>
    <s v=""/>
  </r>
  <r>
    <n v="170"/>
    <n v="90141502"/>
    <s v="SUBGERENCIA DE ALTOS LOGROS Y DEPORTE ASOCIADO"/>
    <s v="INVERSIÓN"/>
    <x v="10"/>
    <n v="2024003050102"/>
    <x v="50"/>
    <s v="050076"/>
    <n v="60000000"/>
    <s v="CONVENIO CON LA LIGA ANTIOQUEÑA DE LUCH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1"/>
    <n v="90141502"/>
    <s v="SUBGERENCIA DE ALTOS LOGROS Y DEPORTE ASOCIADO"/>
    <s v="INVERSIÓN"/>
    <x v="10"/>
    <n v="2024003050102"/>
    <x v="50"/>
    <s v="050076"/>
    <n v="20000000"/>
    <s v="CONVENIO CON LA  LIGA ANTIOQUEÑA DE FÚTBOL DE SA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20000000"/>
    <n v="0"/>
    <n v="0"/>
    <s v="2.43.4301.02.0-205128.2.3.3.09.17."/>
    <n v="52010801"/>
    <s v=""/>
    <s v=""/>
  </r>
  <r>
    <n v="172"/>
    <n v="90141502"/>
    <s v="SUBGERENCIA DE ALTOS LOGROS Y DEPORTE ASOCIADO"/>
    <s v="INVERSIÓN"/>
    <x v="10"/>
    <n v="2024003050102"/>
    <x v="50"/>
    <s v="050076"/>
    <n v="1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VELA DE ANTIOQUIA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0000000"/>
    <n v="0"/>
    <n v="0"/>
    <s v="2.43.4301.02.0-205128.2.3.3.09.17."/>
    <n v="52010801"/>
    <s v=""/>
    <s v=""/>
  </r>
  <r>
    <n v="173"/>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ESGRIM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74"/>
    <n v="90141502"/>
    <s v="SUBGERENCIA DE ALTOS LOGROS Y DEPORTE ASOCIADO"/>
    <s v="INVERSIÓN"/>
    <x v="10"/>
    <n v="2024003050102"/>
    <x v="50"/>
    <s v="050076"/>
    <n v="100000000"/>
    <s v="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00000000"/>
    <n v="0"/>
    <n v="0"/>
    <s v="2.43.4301.02.0-205400.2.3.3.09.17."/>
    <n v="52010801"/>
    <s v=""/>
    <s v=""/>
  </r>
  <r>
    <n v="174"/>
    <n v="90141502"/>
    <s v="SUBGERENCIA DE ALTOS LOGROS Y DEPORTE ASOCIADO"/>
    <s v="INVERSIÓN"/>
    <x v="10"/>
    <n v="2024003050102"/>
    <x v="50"/>
    <s v="050076"/>
    <n v="50000000"/>
    <s v="CONVENIO CON LA LIGA DE TENIS DE MESA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75"/>
    <n v="90141502"/>
    <s v="SUBGERENCIA DE ALTOS LOGROS Y DEPORTE ASOCIADO"/>
    <s v="INVERSIÓN"/>
    <x v="10"/>
    <n v="2024003050102"/>
    <x v="50"/>
    <s v="050076"/>
    <n v="220000000"/>
    <s v="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220000000"/>
    <n v="0"/>
    <n v="0"/>
    <s v="2.43.4301.02.0-205400.2.3.3.09.17."/>
    <n v="52010801"/>
    <s v=""/>
    <s v=""/>
  </r>
  <r>
    <n v="175"/>
    <n v="90141502"/>
    <s v="SUBGERENCIA DE ALTOS LOGROS Y DEPORTE ASOCIADO"/>
    <s v="INVERSIÓN"/>
    <x v="10"/>
    <n v="2024003050102"/>
    <x v="50"/>
    <s v="050076"/>
    <n v="80000000"/>
    <s v="CONVENIO CON LA LIGA ANTIOQUEÑA DE LEVANTAMIENTO DE PESAS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0"/>
    <n v="0"/>
    <n v="0"/>
    <s v="2.43.4301.02.0-205128.2.3.3.09.17."/>
    <n v="52010801"/>
    <s v=""/>
    <s v=""/>
  </r>
  <r>
    <n v="176"/>
    <n v="90141502"/>
    <s v="SUBGERENCIA DE ALTOS LOGROS Y DEPORTE ASOCIADO"/>
    <s v="INVERSIÓN"/>
    <x v="10"/>
    <n v="2024003050102"/>
    <x v="50"/>
    <s v="050076"/>
    <n v="6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KARATE DO"/>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7"/>
    <n v="90141502"/>
    <s v="SUBGERENCIA DE ALTOS LOGROS Y DEPORTE ASOCIADO"/>
    <s v="INVERSIÓN"/>
    <x v="10"/>
    <n v="2024003050102"/>
    <x v="50"/>
    <s v="050076"/>
    <n v="15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EJ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15000000"/>
    <n v="0"/>
    <n v="0"/>
    <s v="2.43.4301.02.0-205128.2.3.3.09.17."/>
    <n v="52010801"/>
    <s v=""/>
    <s v=""/>
  </r>
  <r>
    <n v="178"/>
    <n v="90141502"/>
    <s v="SUBGERENCIA DE ALTOS LOGROS Y DEPORTE ASOCIADO"/>
    <s v="INVERSIÓN"/>
    <x v="10"/>
    <n v="2024003050102"/>
    <x v="50"/>
    <s v="050076"/>
    <n v="15889526"/>
    <s v="CONVENIO CON LA LIGA ANTIOQUEÑA DE BALONCEST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5889526"/>
    <n v="0"/>
    <n v="0"/>
    <s v="2.43.4301.02.0-205400.2.3.3.09.17."/>
    <n v="52010801"/>
    <s v=""/>
    <s v=""/>
  </r>
  <r>
    <n v="178"/>
    <n v="90141502"/>
    <s v="SUBGERENCIA DE ALTOS LOGROS Y DEPORTE ASOCIADO"/>
    <s v="INVERSIÓN"/>
    <x v="10"/>
    <n v="2024003050102"/>
    <x v="50"/>
    <s v="050076"/>
    <n v="60000000"/>
    <s v="CONVENIO CON LA LIGA ANTIOQUEÑA DE BALONCEST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60000000"/>
    <n v="0"/>
    <n v="0"/>
    <s v="2.43.4301.02.0-205128.2.3.3.09.17."/>
    <n v="52010801"/>
    <s v=""/>
    <s v=""/>
  </r>
  <r>
    <n v="179"/>
    <n v="90141502"/>
    <s v="SUBGERENCIA DE ALTOS LOGROS Y DEPORTE ASOCIADO"/>
    <s v="INVERSIÓN"/>
    <x v="10"/>
    <n v="2024003050102"/>
    <x v="50"/>
    <s v="050076"/>
    <n v="143000000"/>
    <s v="CONVENIO CON LA LIGA DE CICL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143000000"/>
    <n v="0"/>
    <n v="0"/>
    <s v="2.43.4301.02.0-205400.2.3.3.09.17."/>
    <n v="52010801"/>
    <s v=""/>
    <s v=""/>
  </r>
  <r>
    <n v="179"/>
    <n v="90141502"/>
    <s v="SUBGERENCIA DE ALTOS LOGROS Y DEPORTE ASOCIADO"/>
    <s v="INVERSIÓN"/>
    <x v="10"/>
    <n v="2024003050102"/>
    <x v="50"/>
    <s v="050076"/>
    <n v="77000000"/>
    <s v="CONVENIO CON LA LIGA DE CICLISMO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7000000"/>
    <n v="0"/>
    <n v="0"/>
    <s v="2.43.4301.02.0-205128.2.3.3.09.17."/>
    <n v="52010801"/>
    <s v=""/>
    <s v=""/>
  </r>
  <r>
    <n v="180"/>
    <n v="90141502"/>
    <s v="SUBGERENCIA DE ALTOS LOGROS Y DEPORTE ASOCIADO"/>
    <s v="INVERSIÓN"/>
    <x v="10"/>
    <n v="2024003050102"/>
    <x v="50"/>
    <s v="050076"/>
    <n v="130000000"/>
    <s v="CONVENIO CON LA  LIGA ANTIOQUEÑA DE JUDO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8.5"/>
    <s v="MESES"/>
    <s v=""/>
    <s v="NO"/>
    <s v="MARZO"/>
    <s v="ABRIL"/>
    <s v=""/>
    <s v=""/>
    <s v=""/>
    <n v="0"/>
    <n v="130000000"/>
    <n v="0"/>
    <n v="0"/>
    <s v="2.43.4301.02.0-205128.2.3.3.09.17."/>
    <n v="52010801"/>
    <s v=""/>
    <s v=""/>
  </r>
  <r>
    <n v="181"/>
    <n v="90141502"/>
    <s v="SUBGERENCIA DE ALTOS LOGROS Y DEPORTE ASOCIADO"/>
    <s v="INVERSIÓN"/>
    <x v="10"/>
    <n v="2024003050102"/>
    <x v="50"/>
    <s v="050076"/>
    <n v="140000000"/>
    <s v="CONVENIO CON LA LIGA ANTIOQUEÑA DE TAEKWONDO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5"/>
    <n v="100"/>
    <s v="Apoyo Económico A Las Organizaciones Deportivas Que Representen Competencias Al Departamento De Antioquia -Actividades De Promoción Y   Desarrollo Del Deporte"/>
    <s v="02"/>
    <s v="0-205400"/>
    <n v="9"/>
    <s v="MESES"/>
    <n v="445"/>
    <s v="NO"/>
    <s v="MARZO"/>
    <s v="MARZO"/>
    <n v="360"/>
    <s v="LIGA ANTIOQUEÑA DE TAEKWONDO"/>
    <s v=""/>
    <n v="0"/>
    <n v="140000000"/>
    <n v="0"/>
    <n v="0"/>
    <s v="2.43.4301.02.0-205400.2.3.3.09.17."/>
    <n v="52010801"/>
    <s v=""/>
    <s v=""/>
  </r>
  <r>
    <n v="181"/>
    <n v="90141502"/>
    <s v="SUBGERENCIA DE ALTOS LOGROS Y DEPORTE ASOCIADO"/>
    <s v="INVERSIÓN"/>
    <x v="10"/>
    <n v="2024003050102"/>
    <x v="50"/>
    <s v="050076"/>
    <n v="60000000"/>
    <s v="CONVENIO CON LA LIGA ANTIOQUEÑA DE TAEKWONDO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9"/>
    <s v="MESES"/>
    <n v="445"/>
    <s v="NO"/>
    <s v="MARZO"/>
    <s v="MARZO"/>
    <n v="360"/>
    <s v="LIGA ANTIOQUEÑA DE TAEKWONDO"/>
    <s v=""/>
    <n v="0"/>
    <n v="60000000"/>
    <n v="0"/>
    <n v="0"/>
    <s v="2.43.4301.02.0-205128.2.3.3.09.17."/>
    <n v="52010801"/>
    <s v=""/>
    <s v=""/>
  </r>
  <r>
    <n v="182"/>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TIRO DEPORTIV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83"/>
    <n v="90141502"/>
    <s v="SUBGERENCIA DE ALTOS LOGROS Y DEPORTE ASOCIADO"/>
    <s v="INVERSIÓN"/>
    <x v="10"/>
    <n v="2024003050102"/>
    <x v="50"/>
    <s v="050076"/>
    <n v="66360989"/>
    <s v="CONVENIO CON LA LIGA ANTIOQUEÑA DE GIMNAS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66360989"/>
    <n v="0"/>
    <n v="0"/>
    <s v="2.43.4301.02.0-205400.2.3.3.09.17."/>
    <n v="52010801"/>
    <s v=""/>
    <s v=""/>
  </r>
  <r>
    <n v="183"/>
    <n v="90141502"/>
    <s v="SUBGERENCIA DE ALTOS LOGROS Y DEPORTE ASOCIADO"/>
    <s v="INVERSIÓN"/>
    <x v="10"/>
    <n v="2024003050102"/>
    <x v="50"/>
    <s v="050076"/>
    <n v="83639011"/>
    <s v="CONVENIO CON LA LIGA ANTIOQUEÑA DE GIMNAS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83639011"/>
    <n v="0"/>
    <n v="0"/>
    <s v="2.43.4301.02.0-205128.2.3.3.09.17."/>
    <n v="52010801"/>
    <s v=""/>
    <s v=""/>
  </r>
  <r>
    <n v="184"/>
    <n v="90141502"/>
    <s v="SUBGERENCIA DE ALTOS LOGROS Y DEPORTE ASOCIADO"/>
    <s v="INVERSIÓN"/>
    <x v="10"/>
    <n v="2024003050102"/>
    <x v="50"/>
    <s v="050076"/>
    <n v="80000000"/>
    <s v="CONVENIO CON LA LIGA DE CANOTAJE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80000000"/>
    <n v="0"/>
    <n v="0"/>
    <s v="2.43.4301.02.0-205400.2.3.3.09.17."/>
    <n v="52010801"/>
    <s v=""/>
    <s v=""/>
  </r>
  <r>
    <n v="184"/>
    <n v="90141502"/>
    <s v="SUBGERENCIA DE ALTOS LOGROS Y DEPORTE ASOCIADO"/>
    <s v="INVERSIÓN"/>
    <x v="10"/>
    <n v="2024003050102"/>
    <x v="50"/>
    <s v="050076"/>
    <n v="70000000"/>
    <s v="CONVENIO CON LA LIGA DE CANOTAJE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0000000"/>
    <n v="0"/>
    <n v="0"/>
    <s v="2.43.4301.02.0-205128.2.3.3.09.17."/>
    <n v="52010801"/>
    <s v=""/>
    <s v=""/>
  </r>
  <r>
    <n v="185"/>
    <n v="90141502"/>
    <s v="SUBGERENCIA DE ALTOS LOGROS Y DEPORTE ASOCIADO"/>
    <s v="INVERSIÓN"/>
    <x v="10"/>
    <n v="2024003050102"/>
    <x v="50"/>
    <s v="050076"/>
    <n v="70000000"/>
    <s v="CONVENIO CON LA LIGA ANTIOQUEÑA DE TRIAT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70000000"/>
    <n v="0"/>
    <n v="0"/>
    <s v="2.43.4301.02.0-205400.2.3.3.09.17."/>
    <n v="52010801"/>
    <s v=""/>
    <s v=""/>
  </r>
  <r>
    <n v="185"/>
    <n v="90141502"/>
    <s v="SUBGERENCIA DE ALTOS LOGROS Y DEPORTE ASOCIADO"/>
    <s v="INVERSIÓN"/>
    <x v="10"/>
    <n v="2024003050102"/>
    <x v="50"/>
    <s v="050076"/>
    <n v="30000000"/>
    <s v="CONVENIO CON LA LIGA ANTIOQUEÑA DE TRIATLÓN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0000000"/>
    <n v="0"/>
    <n v="0"/>
    <s v="2.43.4301.02.0-205128.2.3.3.09.17."/>
    <n v="52010801"/>
    <s v=""/>
    <s v=""/>
  </r>
  <r>
    <n v="186"/>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OLO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87"/>
    <n v="90141502"/>
    <s v="SUBGERENCIA DE ALTOS LOGROS Y DEPORTE ASOCIADO"/>
    <s v="INVERSIÓN"/>
    <x v="10"/>
    <n v="2024003050102"/>
    <x v="50"/>
    <s v="050076"/>
    <n v="200000000"/>
    <s v="CONVENIO CON LA LIGA DE TENIS DE CAMPO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2"/>
    <s v="NO"/>
    <s v="MARZO"/>
    <s v="MARZO"/>
    <n v="344"/>
    <s v="LIGA DE TENIS DE CAMPO DE ANTIOQUIA -L.A.T."/>
    <s v=""/>
    <n v="0"/>
    <n v="200000000"/>
    <n v="0"/>
    <n v="0"/>
    <s v="2.43.4301.02.0-205128.2.3.3.09.17."/>
    <n v="52010801"/>
    <s v=""/>
    <s v=""/>
  </r>
  <r>
    <n v="188"/>
    <n v="90141502"/>
    <s v="SUBGERENCIA DE ALTOS LOGROS Y DEPORTE ASOCIADO"/>
    <s v="INVERSIÓN"/>
    <x v="10"/>
    <n v="2024003050102"/>
    <x v="50"/>
    <s v="050076"/>
    <n v="120000000"/>
    <s v="CONVENIO CON LA LIGA ANTIOQUEÑA DE RUGBY FÚTBOL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3"/>
    <s v="NO"/>
    <s v="MARZO"/>
    <s v="MARZO"/>
    <n v="346"/>
    <s v="LIGA ANTIOQUEÑA DE RUGBY FUTBOL"/>
    <s v=""/>
    <n v="0"/>
    <n v="120000000"/>
    <n v="0"/>
    <n v="0"/>
    <s v="2.43.4301.02.0-205128.2.3.3.09.17."/>
    <n v="52010801"/>
    <s v=""/>
    <s v=""/>
  </r>
  <r>
    <n v="189"/>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FÚTBOL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90"/>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HAPKIDO"/>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91"/>
    <n v="90141502"/>
    <s v="SUBGERENCIA DE ALTOS LOGROS Y DEPORTE ASOCIADO"/>
    <s v="INVERSIÓN"/>
    <x v="10"/>
    <n v="2024003050102"/>
    <x v="50"/>
    <s v="050076"/>
    <n v="5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ANTIOQUEÑA DE BÁDMINTON"/>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50000000"/>
    <n v="0"/>
    <n v="0"/>
    <s v="2.43.4301.02.0-205128.2.3.3.09.17."/>
    <n v="52010801"/>
    <s v=""/>
    <s v=""/>
  </r>
  <r>
    <n v="192"/>
    <n v="90141502"/>
    <s v="SUBGERENCIA DE ALTOS LOGROS Y DEPORTE ASOCIADO"/>
    <s v="INVERSIÓN"/>
    <x v="10"/>
    <n v="2024003050102"/>
    <x v="50"/>
    <s v="050076"/>
    <n v="70000000"/>
    <s v="CONVENIO CON LA LIGA DE SOFTBOL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s v=""/>
    <s v=""/>
    <s v=""/>
    <n v="0"/>
    <n v="70000000"/>
    <n v="0"/>
    <n v="0"/>
    <s v="2.43.4301.02.0-205400.2.3.3.09.17."/>
    <n v="52010801"/>
    <s v=""/>
    <s v=""/>
  </r>
  <r>
    <n v="192"/>
    <n v="90141502"/>
    <s v="SUBGERENCIA DE ALTOS LOGROS Y DEPORTE ASOCIADO"/>
    <s v="INVERSIÓN"/>
    <x v="10"/>
    <n v="2024003050102"/>
    <x v="50"/>
    <s v="050076"/>
    <n v="30000000"/>
    <s v="CONVENIO CON LA LIGA DE SOFTBOL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30000000"/>
    <n v="0"/>
    <n v="0"/>
    <s v="2.43.4301.02.0-205128.2.3.3.09.17."/>
    <n v="52010801"/>
    <s v=""/>
    <s v=""/>
  </r>
  <r>
    <n v="193"/>
    <n v="90141502"/>
    <s v="SUBGERENCIA DE ALTOS LOGROS Y DEPORTE ASOCIADO"/>
    <s v="INVERSIÓN"/>
    <x v="10"/>
    <n v="2024003050102"/>
    <x v="50"/>
    <s v="050076"/>
    <n v="40000000"/>
    <s v="CONVENIO PARA CONTRIBUIR AL DESARROLLO DEL PROGRAMA DE ALTOS LOGROS Y LIDERAZGO DEPORTIVO CON LA PARTICIPACIÓN DE LOS DEPORTISTAS QUE CONFORMAN LA SELECCIÓN DE ANTIOQUIA  EN PREPARACIÓN Y COMPETENCIAS DEPORTIVAS DE CARÁCTER NACIONAL E INTERNACIONAL DE ACUERDO A LAS DIFERENTES DISCIPLINAS DE LA LIGA DE BOXEO DE ANTIOQUIA  "/>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40000000"/>
    <n v="0"/>
    <n v="0"/>
    <s v="2.43.4301.02.0-205128.2.3.3.09.17."/>
    <n v="52010801"/>
    <s v=""/>
    <s v=""/>
  </r>
  <r>
    <n v="194"/>
    <n v="90141502"/>
    <s v="SUBGERENCIA DE ALTOS LOGROS Y DEPORTE ASOCIADO"/>
    <s v="INVERSIÓN"/>
    <x v="10"/>
    <n v="2024003050102"/>
    <x v="50"/>
    <s v="050076"/>
    <n v="130000000"/>
    <s v="CONVENIO CON LA LIGA ANTIOQUEÑA DE ARQUERÍ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m/>
    <m/>
    <s v=""/>
    <s v=""/>
    <s v=""/>
    <n v="0"/>
    <n v="130000000"/>
    <n v="0"/>
    <n v="0"/>
    <s v="2.43.4301.02.0-205400.2.3.3.09.17."/>
    <n v="52010801"/>
    <s v=""/>
    <s v=""/>
  </r>
  <r>
    <n v="194"/>
    <n v="90141502"/>
    <s v="SUBGERENCIA DE ALTOS LOGROS Y DEPORTE ASOCIADO"/>
    <s v="INVERSIÓN"/>
    <x v="10"/>
    <n v="2024003050102"/>
    <x v="50"/>
    <s v="050076"/>
    <n v="70000000"/>
    <s v="CONVENIO CON LA LIGA ANTIOQUEÑA DE ARQUERÍ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6"/>
    <n v="57"/>
    <s v="Apoyo económico a las organizaciones deportivas que representan en competencias al departamento de Antioquia -Actividades de promoción y desarrollo del Deporte"/>
    <s v="02"/>
    <s v="0-205128"/>
    <n v="9"/>
    <s v="MESES"/>
    <s v=""/>
    <s v="NO"/>
    <s v="MARZO"/>
    <s v="MARZO"/>
    <s v=""/>
    <s v=""/>
    <s v=""/>
    <n v="0"/>
    <n v="70000000"/>
    <n v="0"/>
    <n v="0"/>
    <s v="2.43.4301.02.0-205128.2.3.3.09.17."/>
    <n v="52010801"/>
    <s v=""/>
    <s v=""/>
  </r>
  <r>
    <n v="195"/>
    <n v="90141502"/>
    <s v="SUBGERENCIA DE ALTOS LOGROS Y DEPORTE ASOCIADO"/>
    <s v="INVERSIÓN"/>
    <x v="10"/>
    <n v="2024003050102"/>
    <x v="50"/>
    <s v="050076"/>
    <n v="64110474"/>
    <s v="N/A"/>
    <s v="NO CONTRATADO"/>
    <s v="DIRECTA"/>
    <s v="CONVENIO DE APOYO"/>
    <x v="76"/>
    <n v="57"/>
    <s v="Apoyo económico a las organizaciones deportivas que representan en competencias al departamento de Antioquia -Actividades de promoción y desarrollo del Deporte"/>
    <s v="02"/>
    <s v="0-205128"/>
    <n v="285"/>
    <s v="DÍAS"/>
    <s v=""/>
    <s v="NO"/>
    <s v="MARZO"/>
    <s v="MARZO"/>
    <s v=""/>
    <s v=""/>
    <s v=""/>
    <n v="0"/>
    <n v="64110474"/>
    <n v="0"/>
    <n v="0"/>
    <s v="2.43.4301.02.0-205128.2.3.3.09.17."/>
    <n v="52010801"/>
    <s v=""/>
    <s v=""/>
  </r>
  <r>
    <n v="196"/>
    <n v="90141502"/>
    <s v="SUBGERENCIA DE ALTOS LOGROS Y DEPORTE ASOCIADO"/>
    <s v="INVERSIÓN"/>
    <x v="10"/>
    <n v="2024003050102"/>
    <x v="50"/>
    <s v="050076"/>
    <n v="150000000"/>
    <s v="CONVENIO CON LA LIGA DE BÉISBOL DE ANTIOQUIA PARA FORTALECER EL PROCESO DE ALTO RENDIMIENTO DE LOS ATLETAS QUE REPRESENTARÁN AL DEPARTAMENTO ANTIOQUIA EN LOS PRÓXIMOS JUEGOS NACIONALES 2027, CONTRIBUYENDO A LA EJECUCIÓN DEL PROGRAMA DESARROLLO DEPORTIVO PARA LA COMPETENCIA."/>
    <s v="CONTRATADO"/>
    <s v="DIRECTA"/>
    <s v="CONVENIO DE APOYO"/>
    <x v="76"/>
    <n v="57"/>
    <s v="Apoyo económico a las organizaciones deportivas que representan en competencias al departamento de Antioquia -Actividades de promoción y desarrollo del Deporte"/>
    <s v="02"/>
    <s v="0-205128"/>
    <n v="285"/>
    <s v="DÍAS"/>
    <n v="394"/>
    <s v="NO"/>
    <s v="MARZO"/>
    <s v="MARZO"/>
    <n v="343"/>
    <s v="LIGA DE BEISBOL DE ANTIOQUIA"/>
    <s v=""/>
    <n v="0"/>
    <n v="150000000"/>
    <n v="0"/>
    <n v="0"/>
    <s v="2.43.4301.02.0-205128.2.3.3.09.17."/>
    <n v="52010801"/>
    <s v=""/>
    <s v=""/>
  </r>
  <r>
    <n v="197"/>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198"/>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199"/>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0"/>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1"/>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2"/>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3"/>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4"/>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5"/>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6"/>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7"/>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8"/>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09"/>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10"/>
    <n v="90141502"/>
    <s v="SUBGERENCIA DE ALTOS LOGROS Y DEPORTE ASOCIADO"/>
    <s v="INVERSIÓN"/>
    <x v="10"/>
    <n v="2024003050102"/>
    <x v="50"/>
    <s v="050076"/>
    <n v="0"/>
    <s v="N/A"/>
    <s v="NO CONTRATADO"/>
    <s v="DIRECTA"/>
    <s v="CONVENIO DE APOYO"/>
    <x v="76"/>
    <n v="57"/>
    <s v="Apoyo económico a las organizaciones deportivas que representan en competencias al departamento de Antioquia -Actividades de promoción y desarrollo del Deporte"/>
    <s v="02"/>
    <s v="0-205128"/>
    <s v="N/A"/>
    <s v="N/A"/>
    <s v=""/>
    <s v="NO"/>
    <s v="N/A"/>
    <s v="N/A"/>
    <s v=""/>
    <s v=""/>
    <s v=""/>
    <n v="0"/>
    <n v="0"/>
    <n v="0"/>
    <n v="0"/>
    <s v="2.43.4301.02.0-205128.2.3.3.09.17."/>
    <n v="52010801"/>
    <s v=""/>
    <s v=""/>
  </r>
  <r>
    <n v="211"/>
    <n v="80111600"/>
    <s v="SUBGERENCIA DE ALTOS LOGROS Y DEPORTE ASOCIADO"/>
    <s v="INVERSIÓN"/>
    <x v="11"/>
    <n v="2024003050087"/>
    <x v="51"/>
    <s v="050078"/>
    <n v="24571213"/>
    <s v="PRESTACIÓN DE SERVICIOS PROFESIONALES JURÍDICOS ESPECIALIZADOS PARA APOYAR LOS PROCESOS ADMINISTRATIVOS Y DE CONTRATACIÓN DE INDEPORTES ANTIOQUIA, EN ESPECIAL DE LA SUBGERENCIA DE DEPORTE ASOCIADO Y ALTOS LOGROS"/>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19"/>
    <s v="NO"/>
    <s v="ENERO "/>
    <s v="ENERO "/>
    <n v="3"/>
    <s v="MAURICIO VELASQUEZ CUADROS"/>
    <n v="48"/>
    <n v="24571213"/>
    <n v="0"/>
    <n v="0"/>
    <n v="24571213"/>
    <s v="482.43.4302.87.0-101024.2.3.2.02.02.008.12."/>
    <n v="52010805"/>
    <n v="0"/>
    <n v="24571213"/>
  </r>
  <r>
    <n v="211"/>
    <n v="80111600"/>
    <s v="SUBGERENCIA DE ALTOS LOGROS Y DEPORTE ASOCIADO"/>
    <s v="INVERSIÓN"/>
    <x v="10"/>
    <n v="2024003050102"/>
    <x v="52"/>
    <s v="050076"/>
    <n v="24571214"/>
    <s v="PRESTACIÓN DE SERVICIOS PROFESIONALES JURÍDICOS ESPECIALIZADOS PARA APOYAR LOS PROCESOS ADMINISTRATIVOS Y DE CONTRATACIÓN DE INDEPORTES ANTIOQUIA, EN ESPECIAL DE LA SUBGERENCIA DE DEPORTE ASOCIADO Y ALTOS LOGROS"/>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9"/>
    <s v="NO"/>
    <s v="ENERO "/>
    <s v="ENERO "/>
    <n v="3"/>
    <s v="MAURICIO VELASQUEZ CUADROS"/>
    <n v="48"/>
    <n v="24571214"/>
    <n v="0"/>
    <n v="9892307"/>
    <n v="14678907"/>
    <s v="482.43.4301.02.0-205128.2.3.2.02.02.008.09."/>
    <n v="52010801"/>
    <n v="9892307"/>
    <n v="24571214"/>
  </r>
  <r>
    <n v="212"/>
    <n v="80111600"/>
    <s v="SUBGERENCIA DE ALTOS LOGROS Y DEPORTE ASOCIADO"/>
    <s v="INVERSIÓN"/>
    <x v="11"/>
    <n v="2024003050087"/>
    <x v="51"/>
    <s v="050078"/>
    <n v="24571213"/>
    <s v="PRESTACIÓN DE SERVICIOS PROFESIONALES ESPECIALIZADOS  PARA EL APOYO EN LA PLANIFICACIÓN ADMINISTRATIVA Y EJECUCIÓN FINANCIERA DE LOS DIFERENTES PROYECTOS, PROGRMAS Y PROCESOS DE LA SUBGERENCIA DE DEPORTE ASOCIADO Y DE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20"/>
    <s v="NO"/>
    <s v="ENERO "/>
    <s v="ENERO "/>
    <n v="9"/>
    <s v="ASTRID ELENA CASTAÑO ALZATE"/>
    <n v="47"/>
    <n v="24571213"/>
    <n v="0"/>
    <n v="4946154"/>
    <n v="19625059"/>
    <s v="472.43.4302.87.0-101024.2.3.2.02.02.008.12."/>
    <n v="52010805"/>
    <n v="4946154"/>
    <n v="24571213"/>
  </r>
  <r>
    <n v="212"/>
    <n v="80111600"/>
    <s v="SUBGERENCIA DE ALTOS LOGROS Y DEPORTE ASOCIADO"/>
    <s v="INVERSIÓN"/>
    <x v="10"/>
    <n v="2024003050102"/>
    <x v="52"/>
    <s v="050076"/>
    <n v="24571214"/>
    <s v="PRESTACIÓN DE SERVICIOS PROFESIONALES ESPECIALIZADOS  PARA EL APOYO EN LA PLANIFICACIÓN ADMINISTRATIVA Y EJECUCIÓN FINANCIERA DE LOS DIFERENTES PROYECTOS, PROGRMAS Y PROCESOS DE LA SUBGERENCIA DE DEPORTE ASOCIADO Y DE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20"/>
    <s v="NO"/>
    <s v="ENERO "/>
    <s v="ENERO "/>
    <n v="9"/>
    <s v="ASTRID ELENA CASTAÑO ALZATE"/>
    <n v="47"/>
    <n v="24571214"/>
    <n v="0"/>
    <n v="4946153"/>
    <n v="19625061"/>
    <s v="472.43.4301.02.0-205128.2.3.2.02.02.008.09."/>
    <n v="52010801"/>
    <n v="4946153"/>
    <n v="24571214"/>
  </r>
  <r>
    <n v="213"/>
    <n v="80111600"/>
    <s v="SUBGERENCIA DE ALTOS LOGROS Y DEPORTE ASOCIADO"/>
    <s v="INVERSIÓN"/>
    <x v="11"/>
    <n v="2024003050087"/>
    <x v="51"/>
    <s v="050078"/>
    <n v="15043600"/>
    <s v="PRESTACIÓN DE SERVICIOS PROFESIONALES PARA EL APOYO A LA PLANEACIÓN Y  EJECUCION DESDE EL COMPONENTE ADMINISTRATIVO Y FINANCIERO A LOS  CONVENIOS Y CONTRATOS SUSCRITOS POR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4"/>
    <s v="MESES"/>
    <n v="352"/>
    <s v="NO"/>
    <s v="FEBRERO"/>
    <s v="FEBRERO"/>
    <n v="257"/>
    <s v="JUAN DAVID JARAMILLO RESTREPO "/>
    <n v="443"/>
    <n v="15043600"/>
    <n v="0"/>
    <n v="0"/>
    <n v="15043600"/>
    <s v="4432.43.4302.87.0-101024.2.3.2.02.02.008.12."/>
    <n v="52010805"/>
    <n v="0"/>
    <n v="15043600"/>
  </r>
  <r>
    <n v="213"/>
    <n v="80111600"/>
    <s v="SUBGERENCIA DE ALTOS LOGROS Y DEPORTE ASOCIADO"/>
    <s v="INVERSIÓN"/>
    <x v="10"/>
    <n v="2024003050102"/>
    <x v="52"/>
    <s v="050076"/>
    <n v="15043600"/>
    <s v="PRESTACIÓN DE SERVICIOS PROFESIONALES PARA EL APOYO A LA PLANEACIÓN Y  EJECUCION DESDE EL COMPONENTE ADMINISTRATIVO Y FINANCIERO A LOS  CONVENIOS Y CONTRATOS SUSCRITOS POR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4"/>
    <s v="MESES"/>
    <n v="352"/>
    <s v="NO"/>
    <s v="FEBRERO"/>
    <s v="FEBRERO"/>
    <n v="257"/>
    <s v="JUAN DAVID JARAMILLO RESTREPO "/>
    <n v="443"/>
    <n v="15043600"/>
    <n v="0"/>
    <n v="0"/>
    <n v="15043600"/>
    <s v="4432.43.4301.02.0-205128.2.3.2.02.02.008.09."/>
    <n v="52010801"/>
    <n v="0"/>
    <n v="15043600"/>
  </r>
  <r>
    <n v="214"/>
    <n v="80111600"/>
    <s v="SUBGERENCIA DE ALTOS LOGROS Y DEPORTE ASOCIADO"/>
    <s v="INVERSIÓN"/>
    <x v="11"/>
    <n v="2024003050087"/>
    <x v="51"/>
    <s v="050078"/>
    <n v="44401500"/>
    <s v="PRESTACIÓN DE SERVICIOS COMO ADMINISTRADORA DE NEGOCIOS  PARA INDEPORTES ANTIOQUIA "/>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44401500"/>
    <n v="0"/>
    <n v="0"/>
    <s v="2.43.4302.87.0-101024.2.3.2.02.02.008.12."/>
    <n v="52010805"/>
    <s v=""/>
    <s v=""/>
  </r>
  <r>
    <n v="214"/>
    <n v="80111600"/>
    <s v="SUBGERENCIA DE ALTOS LOGROS Y DEPORTE ASOCIADO"/>
    <s v="INVERSIÓN"/>
    <x v="10"/>
    <n v="2024003050102"/>
    <x v="52"/>
    <s v="050076"/>
    <n v="44401500"/>
    <s v="PRESTACIÓN DE SERVICIOS COMO ADMINISTRADORA DE NEGOCIOS  PARA INDEPORTES ANTIOQUIA "/>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4401500"/>
    <n v="0"/>
    <n v="0"/>
    <s v="2.43.4301.02.0-205128.2.3.2.02.02.008.09."/>
    <n v="52010801"/>
    <s v=""/>
    <s v=""/>
  </r>
  <r>
    <n v="215"/>
    <n v="80111600"/>
    <s v="SUBGERENCIA DE ALTOS LOGROS Y DEPORTE ASOCIADO"/>
    <s v="INVERSIÓN"/>
    <x v="11"/>
    <n v="2024003050087"/>
    <x v="51"/>
    <s v="050078"/>
    <n v="37609000"/>
    <s v="PRESTACIÓN DE SERVICIOS PROFESIONALES PARA EL APOYO ADMINISTRATIVO Y FINANCIERO  A LOS PROGRAMAS Y PROYECTOS DE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66"/>
    <s v="NO"/>
    <s v="FEBRERO"/>
    <s v="FEBRERO"/>
    <n v="32"/>
    <s v="LEIDY JOHANA GALLEGO GALLEGO"/>
    <n v="96"/>
    <n v="37609000"/>
    <n v="0"/>
    <n v="6017440"/>
    <n v="31591560"/>
    <s v="962.43.4302.87.0-101024.2.3.2.02.02.008.12."/>
    <n v="52010805"/>
    <n v="6017440"/>
    <n v="37609000"/>
  </r>
  <r>
    <n v="215"/>
    <n v="80111600"/>
    <s v="SUBGERENCIA DE ALTOS LOGROS Y DEPORTE ASOCIADO"/>
    <s v="INVERSIÓN"/>
    <x v="10"/>
    <n v="2024003050102"/>
    <x v="52"/>
    <s v="050076"/>
    <n v="37609000"/>
    <s v="PRESTACIÓN DE SERVICIOS PROFESIONALES PARA EL APOYO ADMINISTRATIVO Y FINANCIERO  A LOS PROGRAMAS Y PROYECT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6"/>
    <s v="NO"/>
    <s v="FEBRERO"/>
    <s v="FEBRERO"/>
    <n v="32"/>
    <s v="LEIDY JOHANA GALLEGO GALLEGO"/>
    <n v="96"/>
    <n v="37609000"/>
    <n v="0"/>
    <n v="0"/>
    <n v="37609000"/>
    <s v="962.43.4301.02.0-205128.2.3.2.02.02.008.09."/>
    <n v="52010801"/>
    <n v="0"/>
    <n v="37609000"/>
  </r>
  <r>
    <n v="216"/>
    <n v="80111600"/>
    <s v="SUBGERENCIA DE ALTOS LOGROS Y DEPORTE ASOCIADO"/>
    <s v="INVERSIÓN"/>
    <x v="11"/>
    <n v="2024003050087"/>
    <x v="51"/>
    <s v="050078"/>
    <n v="55268968"/>
    <s v="PRESTACIÓN DE SERVICIOS EN ALTA GERENCIA PARA INDEPORTES ANTIOQUIA"/>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55268968"/>
    <n v="0"/>
    <n v="0"/>
    <s v="2.43.4302.87.0-101024.2.3.2.02.02.008.12."/>
    <n v="52010805"/>
    <s v=""/>
    <s v=""/>
  </r>
  <r>
    <n v="216"/>
    <n v="80111600"/>
    <s v="SUBGERENCIA DE ALTOS LOGROS Y DEPORTE ASOCIADO"/>
    <s v="INVERSIÓN"/>
    <x v="11"/>
    <n v="2024003050087"/>
    <x v="51"/>
    <s v="050078"/>
    <n v="2295032"/>
    <s v="PRESTACIÓN DE SERVICIOS EN ALTA GERENCIA PARA INDEPORTES ANTIOQUIA"/>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2295032"/>
    <n v="0"/>
    <n v="0"/>
    <s v="2.43.4302.87.0-205128.2.3.2.02.02.008.13."/>
    <n v="52010805"/>
    <s v=""/>
    <s v=""/>
  </r>
  <r>
    <n v="216"/>
    <n v="80111600"/>
    <s v="SUBGERENCIA DE ALTOS LOGROS Y DEPORTE ASOCIADO"/>
    <s v="INVERSIÓN"/>
    <x v="10"/>
    <n v="2024003050102"/>
    <x v="52"/>
    <s v="050076"/>
    <n v="57564000"/>
    <s v="PRESTACIÓN DE SERVICIOS EN ALTA GERENCIA PARA INDEPORTES ANTIOQUIA"/>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57564000"/>
    <n v="0"/>
    <n v="0"/>
    <s v="2.43.4301.02.0-205128.2.3.2.02.02.008.09."/>
    <n v="52010801"/>
    <s v=""/>
    <s v=""/>
  </r>
  <r>
    <n v="217"/>
    <n v="80111600"/>
    <s v="SUBGERENCIA DE ALTOS LOGROS Y DEPORTE ASOCIADO"/>
    <s v="INVERSIÓN"/>
    <x v="11"/>
    <n v="2024003050087"/>
    <x v="51"/>
    <s v="050078"/>
    <n v="37609000"/>
    <s v="PRESTACIÓN DE SERVICIOS PROFESIONALES PARA APOYAR LA GESTIÓN ADMINISTRATIVA DE LOS PROCESOS DE LA SUBGERENCIA DE DEPORTE ASOCIADO Y ALTOS LOGR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67"/>
    <s v="NO"/>
    <s v="FEBRERO"/>
    <s v="FEBRERO"/>
    <n v="29"/>
    <s v="LEONARDO ALEXIS HIGUITA HERNANDEZ"/>
    <n v="94"/>
    <n v="37609000"/>
    <n v="0"/>
    <n v="3008720"/>
    <n v="34600280"/>
    <s v="942.43.4302.87.0-205128.2.3.2.02.02.008.13."/>
    <n v="52010805"/>
    <n v="3008720"/>
    <n v="37609000"/>
  </r>
  <r>
    <n v="217"/>
    <n v="80111600"/>
    <s v="SUBGERENCIA DE ALTOS LOGROS Y DEPORTE ASOCIADO"/>
    <s v="INVERSIÓN"/>
    <x v="10"/>
    <n v="2024003050102"/>
    <x v="52"/>
    <s v="050076"/>
    <n v="37609000"/>
    <s v="PRESTACIÓN DE SERVICIOS PROFESIONALES PARA APOYAR LA GESTIÓN ADMINISTRATIVA DE LOS PROCES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7"/>
    <s v="NO"/>
    <s v="FEBRERO"/>
    <s v="ENERO "/>
    <n v="29"/>
    <s v="LEONARDO ALEXIS HIGUITA HERNANDEZ"/>
    <n v="94"/>
    <n v="37609000"/>
    <n v="0"/>
    <n v="3008720"/>
    <n v="34600280"/>
    <s v="942.43.4301.02.0-205128.2.3.2.02.02.008.09."/>
    <n v="52010801"/>
    <n v="3008720"/>
    <n v="37609000"/>
  </r>
  <r>
    <n v="218"/>
    <n v="80111600"/>
    <s v="SUBGERENCIA DE ALTOS LOGROS Y DEPORTE ASOCIADO"/>
    <s v="INVERSIÓN"/>
    <x v="11"/>
    <n v="2024003050087"/>
    <x v="51"/>
    <s v="050078"/>
    <n v="37609000"/>
    <s v="PRESTACIÓN DE SERVICIOS PROFESIONALES PARA EL APOYO ADMINISTRATIVO Y FINANCIERO A LOS PROYECTOS, PROCESOS, PROGRAMAS, CONTRATOS Y CONVENIOS DE LA SUBGERENCIA DE DEPORTE ASOCIADO Y ALTOS LOGR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68"/>
    <s v="NO"/>
    <s v="ENERO "/>
    <s v="ENERO "/>
    <n v="31"/>
    <s v="JOHAN STEVEN HOLGUIN FRANCO"/>
    <n v="93"/>
    <n v="37609000"/>
    <n v="0"/>
    <n v="3008720"/>
    <n v="34600280"/>
    <s v="932.43.4302.87.0-205128.2.3.2.02.02.008.13."/>
    <n v="52010805"/>
    <n v="3008720"/>
    <n v="37609000"/>
  </r>
  <r>
    <n v="218"/>
    <n v="80111600"/>
    <s v="SUBGERENCIA DE ALTOS LOGROS Y DEPORTE ASOCIADO"/>
    <s v="INVERSIÓN"/>
    <x v="10"/>
    <n v="2024003050102"/>
    <x v="52"/>
    <s v="050076"/>
    <n v="37609000"/>
    <s v="PRESTACIÓN DE SERVICIOS PROFESIONALES PARA EL APOYO ADMINISTRATIVO Y FINANCIERO A LOS PROYECTOS, PROCESOS, PROGRAMAS, CONTRATOS Y CONVENIOS DE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68"/>
    <s v="NO"/>
    <s v="ENERO "/>
    <s v="ENERO "/>
    <n v="31"/>
    <s v="JOHAN STEVEN HOLGUIN FRANCO"/>
    <n v="93"/>
    <n v="37609000"/>
    <n v="0"/>
    <n v="3008720"/>
    <n v="34600280"/>
    <s v="932.43.4301.02.0-205128.2.3.2.02.02.008.09."/>
    <n v="52010801"/>
    <n v="3008720"/>
    <n v="37609000"/>
  </r>
  <r>
    <n v="219"/>
    <n v="80111600"/>
    <s v="SUBGERENCIA DE ALTOS LOGROS Y DEPORTE ASOCIADO"/>
    <s v="INVERSIÓN"/>
    <x v="11"/>
    <n v="2024003050087"/>
    <x v="51"/>
    <s v="050078"/>
    <n v="12285607"/>
    <s v="PRESTACIÓN DE SERVICIOS DE APOYO A LA GESTIÓN PARA EL ACOMPAÑAMIENTO ADMINISTRATIVO EN LOS PROGRAMAS,  PROYECTOS Y MANEJO DE LAS DIFERENTES PLATAFORMAS UTILIZADAS EN LA SUBGERENCIA DE DEPORTE ASOCIADO Y ALTOS LOGROS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54"/>
    <s v="DÍAS"/>
    <n v="17"/>
    <s v="NO"/>
    <s v="ENERO "/>
    <s v="ENERO "/>
    <n v="10"/>
    <s v="SARA LUCIANA URREGO VILLA"/>
    <n v="51"/>
    <n v="12285607"/>
    <n v="0"/>
    <n v="2393300"/>
    <n v="9892307"/>
    <s v="512.43.4302.87.0-101024.2.3.2.02.02.008.12."/>
    <n v="52010805"/>
    <n v="2393300"/>
    <n v="12285607"/>
  </r>
  <r>
    <n v="219"/>
    <n v="80111600"/>
    <s v="SUBGERENCIA DE ALTOS LOGROS Y DEPORTE ASOCIADO"/>
    <s v="INVERSIÓN"/>
    <x v="10"/>
    <n v="2024003050102"/>
    <x v="52"/>
    <s v="050076"/>
    <n v="12285606"/>
    <s v="PRESTACIÓN DE SERVICIOS DE APOYO A LA GESTIÓN PARA EL ACOMPAÑAMIENTO ADMINISTRATIVO EN LOS PROGRAMAS,  PROYECTOS Y MANEJO DE LAS DIFERENTES PLATAFORMAS UTILIZADAS EN LA SUBGERENCIA DE DEPORTE ASOCIADO Y ALTOS LOGROS DE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7"/>
    <s v="NO"/>
    <s v="ENERO "/>
    <s v="ENERO "/>
    <n v="10"/>
    <s v="SARA LUCIANA URREGO VILLA"/>
    <n v="51"/>
    <n v="12285606"/>
    <n v="0"/>
    <n v="2393300"/>
    <n v="9892306"/>
    <s v="512.43.4301.02.0-205128.2.3.2.02.02.008.09."/>
    <n v="52010801"/>
    <n v="2393300"/>
    <n v="12285606"/>
  </r>
  <r>
    <n v="220"/>
    <n v="80111600"/>
    <s v="SUBGERENCIA DE ALTOS LOGROS Y DEPORTE ASOCIADO"/>
    <s v="INVERSIÓN"/>
    <x v="11"/>
    <n v="2024003050087"/>
    <x v="51"/>
    <s v="050078"/>
    <n v="37609000"/>
    <s v="PRESTACIÓN DE SERVICIOS PROFESIONALES PARA EL APOYO ADMINISTRATIVO Y SEGUIMIENTO FINANCIERO  EN LA PLANEACION, EJECUCION Y LIQUIDACION DE LOS DIFERENTES PROCESOS DE LA SUBGERENCIA DE DEPORTE ASOCIADO Y ALTOS LOGROS"/>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350"/>
    <s v="NO"/>
    <s v="FEBRERO"/>
    <s v="FEBRERO"/>
    <n v="258"/>
    <s v="ANA MARIA MARTINEZ OBANDO"/>
    <n v="441"/>
    <n v="37609000"/>
    <n v="0"/>
    <n v="0"/>
    <n v="37609000"/>
    <s v="4412.43.4302.87.0-205128.2.3.2.02.02.008.13."/>
    <n v="52010805"/>
    <n v="0"/>
    <n v="37609000"/>
  </r>
  <r>
    <n v="220"/>
    <n v="80111600"/>
    <s v="SUBGERENCIA DE ALTOS LOGROS Y DEPORTE ASOCIADO"/>
    <s v="INVERSIÓN"/>
    <x v="10"/>
    <n v="2024003050102"/>
    <x v="52"/>
    <s v="050076"/>
    <n v="37609000"/>
    <s v="PRESTACIÓN DE SERVICIOS PROFESIONALES PARA EL APOYO ADMINISTRATIVO Y SEGUIMIENTO FINANCIERO  EN LA PLANEACION, EJECUCION Y LIQUIDACION DE LOS DIFERENTES PROCESOS DE LA SUBGERENCIA DE DEPORTE ASOCIADO Y ALTOS LOGROS"/>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0"/>
    <s v="MESES"/>
    <n v="350"/>
    <s v="NO"/>
    <s v="FEBRERO"/>
    <s v="FEBRERO"/>
    <n v="258"/>
    <s v="ANA MARIA MARTINEZ OBANDO"/>
    <n v="441"/>
    <n v="37609000"/>
    <n v="0"/>
    <n v="0"/>
    <n v="37609000"/>
    <s v="4412.43.4301.02.0-205128.2.3.2.02.02.008.09."/>
    <n v="52010801"/>
    <n v="0"/>
    <n v="37609000"/>
  </r>
  <r>
    <n v="221"/>
    <n v="80111600"/>
    <s v="SUBGERENCIA DE ALTOS LOGROS Y DEPORTE ASOCIADO"/>
    <s v="INVERSIÓN"/>
    <x v="11"/>
    <n v="2024003050087"/>
    <x v="51"/>
    <s v="050078"/>
    <n v="26863200"/>
    <s v="PRESTACIÓN DE SERVICIOS COMO APOYO A LA GESTIÓN ADMINISTRATIVA Y FINANCIERA DE LOS PROYECTOS DE LA SUBGERENCIA DE DEPORTE ASOCIADO Y ALTOS LOGROS."/>
    <s v="NO 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1.5"/>
    <s v="MESES"/>
    <s v=""/>
    <s v="NO"/>
    <s v="ENERO "/>
    <s v="ENERO "/>
    <s v=""/>
    <s v=""/>
    <s v=""/>
    <n v="0"/>
    <n v="26863200"/>
    <n v="0"/>
    <n v="0"/>
    <s v="2.43.4302.87.0-101024.2.3.2.02.02.008.12."/>
    <n v="52010805"/>
    <s v=""/>
    <s v=""/>
  </r>
  <r>
    <n v="221"/>
    <n v="80111600"/>
    <s v="SUBGERENCIA DE ALTOS LOGROS Y DEPORTE ASOCIADO"/>
    <s v="INVERSIÓN"/>
    <x v="10"/>
    <n v="2024003050102"/>
    <x v="52"/>
    <s v="050076"/>
    <n v="26863200"/>
    <s v="PRESTACIÓN DE SERVICIOS COMO APOYO A LA GESTIÓN ADMINISTRATIVA Y FINANCIERA DE LOS PROYECTOS DE LA SUBGERENCIA DE DEPORTE ASOCIADO Y ALTOS LOGROS."/>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26863200"/>
    <n v="0"/>
    <n v="0"/>
    <s v="2.43.4301.02.0-205128.2.3.2.02.02.008.09."/>
    <n v="52010801"/>
    <s v=""/>
    <s v=""/>
  </r>
  <r>
    <n v="222"/>
    <n v="80111600"/>
    <s v="SUBGERENCIA DE ALTOS LOGROS Y DEPORTE ASOCIADO"/>
    <s v="INVERSIÓN"/>
    <x v="11"/>
    <n v="2024003050087"/>
    <x v="51"/>
    <s v="050078"/>
    <n v="19305953"/>
    <s v="PRESTACIÓN DE SERVICIOS PROFESIONALES  JURÍDICOS EN LOS PROCESOS DE CONTRATACIÓN DE INDEPORTES ANTIOQUIA, EN ESPECIAL LOS DE LA OFICINA DE MEDICINA DEPORTIVA Y EN LA SUBGERENCIA DE DEPORTE ASOCIADO Y ALTOS LOGROS "/>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54"/>
    <s v="DÍAS"/>
    <n v="18"/>
    <s v="NO"/>
    <s v="ENERO "/>
    <s v="ENERO "/>
    <n v="12"/>
    <s v="WALTER FLORO RIVERA"/>
    <n v="89"/>
    <n v="19305953"/>
    <n v="0"/>
    <n v="0"/>
    <n v="19305953"/>
    <s v="892.43.4302.87.0-205128.2.3.2.02.02.008.13."/>
    <n v="52010805"/>
    <n v="0"/>
    <n v="19305953"/>
  </r>
  <r>
    <n v="222"/>
    <n v="80111600"/>
    <s v="SUBGERENCIA DE ALTOS LOGROS Y DEPORTE ASOCIADO"/>
    <s v="INVERSIÓN"/>
    <x v="10"/>
    <n v="2024003050102"/>
    <x v="52"/>
    <s v="050076"/>
    <n v="19305954"/>
    <s v="PRESTACIÓN DE SERVICIOS PROFESIONALES  JURÍDICOS EN LOS PROCESOS DE CONTRATACIÓN DE INDEPORTES ANTIOQUIA, EN ESPECIAL LOS DE LA OFICINA DE MEDICINA DEPORTIVA Y EN LA SUBGERENCIA DE DEPORTE ASOCIADO Y ALTOS LOGROS "/>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54"/>
    <s v="DÍAS"/>
    <n v="18"/>
    <s v="NO"/>
    <s v="ENERO "/>
    <s v="ENERO "/>
    <n v="12"/>
    <s v="WALTER FLORO RIVERA"/>
    <n v="89"/>
    <n v="19305954"/>
    <n v="0"/>
    <n v="6017440"/>
    <n v="13288514"/>
    <s v="892.43.4301.02.0-205128.2.3.2.02.02.008.09."/>
    <n v="52010801"/>
    <n v="6017440"/>
    <n v="19305954"/>
  </r>
  <r>
    <n v="223"/>
    <n v="80111600"/>
    <s v="SUBGERENCIA DE ALTOS LOGROS Y DEPORTE ASOCIADO"/>
    <s v="INVERSIÓN"/>
    <x v="11"/>
    <n v="2024003050087"/>
    <x v="51"/>
    <s v="050078"/>
    <n v="42213600"/>
    <s v="PRESTACIÓN DE SERVICIOS PROFESIONALES EN MATERIA JURÍDICA PARA LA ATENCIÓN DE SOLICITUDES REQUERIDAS POR LOS ORGANISMOS DEPORTIVOS "/>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42213600"/>
    <n v="0"/>
    <n v="0"/>
    <s v="2.43.4302.87.0-205128.2.3.2.02.02.008.13."/>
    <n v="52010805"/>
    <s v=""/>
    <s v=""/>
  </r>
  <r>
    <n v="223"/>
    <n v="80111600"/>
    <s v="SUBGERENCIA DE ALTOS LOGROS Y DEPORTE ASOCIADO"/>
    <s v="INVERSIÓN"/>
    <x v="10"/>
    <n v="2024003050102"/>
    <x v="52"/>
    <s v="050076"/>
    <n v="42213600"/>
    <s v="PRESTACIÓN DE SERVICIOS PROFESIONALES EN MATERIA JURÍDICA PARA LA ATENCIÓN DE SOLICITUDES REQUERIDAS POR LOS ORGANISMOS DEPORTIVOS "/>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2213600"/>
    <n v="0"/>
    <n v="0"/>
    <s v="2.43.4301.02.0-205128.2.3.2.02.02.008.09."/>
    <n v="52010801"/>
    <s v=""/>
    <s v=""/>
  </r>
  <r>
    <n v="224"/>
    <n v="80111600"/>
    <s v="SUBGERENCIA DE ALTOS LOGROS Y DEPORTE ASOCIADO"/>
    <s v="INVERSIÓN"/>
    <x v="11"/>
    <n v="2024003050087"/>
    <x v="51"/>
    <s v="050078"/>
    <n v="42213600"/>
    <s v="PRESTACIÓN DE SERVICIOS PROFESIONALES COMO INGENIERO  PARA INDEPORTES ANTIOQUIA"/>
    <s v="NO 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1.5"/>
    <s v="MESES"/>
    <s v=""/>
    <s v="NO"/>
    <s v="ENERO "/>
    <s v="ENERO "/>
    <s v=""/>
    <s v=""/>
    <s v=""/>
    <n v="0"/>
    <n v="42213600"/>
    <n v="0"/>
    <n v="0"/>
    <s v="2.43.4302.87.0-205128.2.3.2.02.02.008.13."/>
    <n v="52010805"/>
    <s v=""/>
    <s v=""/>
  </r>
  <r>
    <n v="224"/>
    <n v="80111600"/>
    <s v="SUBGERENCIA DE ALTOS LOGROS Y DEPORTE ASOCIADO"/>
    <s v="INVERSIÓN"/>
    <x v="10"/>
    <n v="2024003050102"/>
    <x v="52"/>
    <s v="050076"/>
    <n v="42213600"/>
    <s v="PRESTACIÓN DE SERVICIOS PROFESIONALES COMO INGENIERO  PARA INDEPORTES ANTIOQUIA"/>
    <s v="NO 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11.5"/>
    <s v="MESES"/>
    <s v=""/>
    <s v="NO"/>
    <s v="ENERO "/>
    <s v="ENERO "/>
    <s v=""/>
    <s v=""/>
    <s v=""/>
    <n v="0"/>
    <n v="42213600"/>
    <n v="0"/>
    <n v="0"/>
    <s v="2.43.4301.02.0-205128.2.3.2.02.02.008.09."/>
    <n v="52010801"/>
    <s v=""/>
    <s v=""/>
  </r>
  <r>
    <n v="225"/>
    <n v="42151900"/>
    <s v="SUBGERENCIA DE ALTOS LOGROS Y DEPORTE ASOCIADO"/>
    <s v="INVERSIÓN"/>
    <x v="12"/>
    <n v="2024003050103"/>
    <x v="53"/>
    <s v="050080"/>
    <n v="12293455"/>
    <s v="COMPRA DE INSUMOS Y MATERIALES ÚTILES PARA EL ÁREA DE READAPTACIÓN DEPORTIVA Y REHABILITACIÓN FÍSICA DE MEDICINA DEPORTIVA DE INDEPORTES ANTIOQUIA."/>
    <s v="NO CONTRATADO"/>
    <s v="MÍNIMA CUANTÍA"/>
    <s v="SUMINISTRO"/>
    <x v="80"/>
    <n v="58"/>
    <s v="Asesoria médica y de ciencias aplicadas al desarrollo del rendimiento deportivo de atletas y para-atletas de Antioquia -Otros bienes transportables (excepto productos metálicos, maquinaria y equipo)"/>
    <s v="03"/>
    <s v="0-205128"/>
    <n v="9"/>
    <s v="MESES"/>
    <s v=""/>
    <s v="NO"/>
    <s v="MARZO"/>
    <s v="MARZO"/>
    <s v=""/>
    <s v=""/>
    <s v=""/>
    <n v="0"/>
    <n v="12293455"/>
    <n v="0"/>
    <n v="0"/>
    <s v="2.43.4302.03.0-205128.2.3.2.02.01.003.02."/>
    <n v="52010804"/>
    <s v=""/>
    <s v=""/>
  </r>
  <r>
    <n v="226"/>
    <n v="85161500"/>
    <s v="SUBGERENCIA DE ALTOS LOGROS Y DEPORTE ASOCIADO"/>
    <s v="INVERSIÓN"/>
    <x v="12"/>
    <n v="2024003050103"/>
    <x v="54"/>
    <s v="050080"/>
    <n v="30000000"/>
    <s v="CONTRATACIÓN DE MANTENIMIENTO CORRECTIVO Y PREVENTIVO DE LOS EQUIPOS DEL LABORATORIO DE FISIOLOGÍA DEL EJERCICIO DE LA OFICIN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30000000"/>
    <n v="0"/>
    <n v="0"/>
    <s v="2.43.4302.03.0-205128.2.3.2.02.02.008.10."/>
    <n v="52010804"/>
    <s v=""/>
    <s v=""/>
  </r>
  <r>
    <n v="227"/>
    <n v="85161500"/>
    <s v="SUBGERENCIA DE ALTOS LOGROS Y DEPORTE ASOCIADO"/>
    <s v="INVERSIÓN"/>
    <x v="12"/>
    <n v="2024003050103"/>
    <x v="54"/>
    <s v="050080"/>
    <n v="11000000"/>
    <s v="CONTRATACIÓN SERVICIO DE CALIBRACIÓN DE LOS EQUIPOS E INSTRUMENTAL DE LOS CONSULTORIO EN EL ÁRE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1000000"/>
    <n v="0"/>
    <n v="0"/>
    <s v="2.43.4302.03.0-205128.2.3.2.02.02.008.10."/>
    <n v="52010804"/>
    <s v=""/>
    <s v=""/>
  </r>
  <r>
    <n v="228"/>
    <n v="85161500"/>
    <s v="SUBGERENCIA DE ALTOS LOGROS Y DEPORTE ASOCIADO"/>
    <s v="INVERSIÓN"/>
    <x v="12"/>
    <n v="2024003050103"/>
    <x v="54"/>
    <s v="050080"/>
    <n v="18500000"/>
    <s v="CONTRATACIÓN DEL SERVICIO DE MANTENIMIENTO PREVENTIVO Y/O CORRECTIVO Y SUMINISTRO DE REACTIVOS  INSUMOS Y REPUESTOS PARA EQUIPO AUTOMATIZADO DE MEDICIÓN DE LACTATO (BIOSEN C_LINE) DEL LABORATORIO CLÍNICO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8500000"/>
    <n v="0"/>
    <n v="0"/>
    <s v="2.43.4302.03.0-205128.2.3.2.02.02.008.10."/>
    <n v="52010804"/>
    <s v=""/>
    <s v=""/>
  </r>
  <r>
    <n v="229"/>
    <n v="85161500"/>
    <s v="SUBGERENCIA DE ALTOS LOGROS Y DEPORTE ASOCIADO"/>
    <s v="INVERSIÓN"/>
    <x v="12"/>
    <n v="2024003050103"/>
    <x v="54"/>
    <s v="050080"/>
    <n v="38000000"/>
    <s v="CONTRATACIÓN DEL SERVICIO DE MANTENIMIENTO PREVENTIVO, PREDICTIVO Y/O CORRECTIVO DEL ÁREA DE READAPTACIÓN DEPORTIVA Y REHABILITACIÓN FÍSIC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38000000"/>
    <n v="0"/>
    <n v="0"/>
    <s v="2.43.4302.03.0-205128.2.3.2.02.02.008.10."/>
    <n v="52010804"/>
    <s v=""/>
    <s v=""/>
  </r>
  <r>
    <n v="230"/>
    <n v="85161500"/>
    <s v="SUBGERENCIA DE ALTOS LOGROS Y DEPORTE ASOCIADO"/>
    <s v="INVERSIÓN"/>
    <x v="12"/>
    <n v="2024003050103"/>
    <x v="54"/>
    <s v="050080"/>
    <n v="18500000"/>
    <s v="CONTRATACIÓN DEL SERVICIO DE MANTENIMIENTO CORRECTIVO Y PREVENTIVO DE LOS EQUIPOS DE LA UNIDAD DE FISIOTERAPIA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8500000"/>
    <n v="0"/>
    <n v="0"/>
    <s v="2.43.4302.03.0-205128.2.3.2.02.02.008.10."/>
    <n v="52010804"/>
    <s v=""/>
    <s v=""/>
  </r>
  <r>
    <n v="231"/>
    <n v="85161500"/>
    <s v="SUBGERENCIA DE ALTOS LOGROS Y DEPORTE ASOCIADO"/>
    <s v="INVERSIÓN"/>
    <x v="12"/>
    <n v="2024003050103"/>
    <x v="54"/>
    <s v="050080"/>
    <n v="5000000"/>
    <s v="CONTRATACIÓN SERVICIO DE MANTENIMIENTO CORRECTIVO Y PREVENTIVO DE LOS EQUIPOS ODONTOLÓGICOS UTILIZADOS DENTRO DEL CONSULTORIO EN EL ÁREA DE MEDICINA DEPORTIV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5000000"/>
    <n v="0"/>
    <n v="0"/>
    <s v="2.43.4302.03.0-205128.2.3.2.02.02.008.10."/>
    <n v="52010804"/>
    <s v=""/>
    <s v=""/>
  </r>
  <r>
    <n v="232"/>
    <n v="85161500"/>
    <s v="SUBGERENCIA DE ALTOS LOGROS Y DEPORTE ASOCIADO"/>
    <s v="INVERSIÓN"/>
    <x v="12"/>
    <n v="2024003050103"/>
    <x v="54"/>
    <s v="050080"/>
    <n v="45000000"/>
    <s v="CONTRATACIÓN DEL SERVICIO DE MANTENIMIENTO PREVENTIVO Y/O CORRECTIVO DE LOS EQUIPOS SYSMEX Y ROCHE Y SUMINISTRO DEL KIT DE MANTENIMIENTO PREVENTIVO ANUAL PARA EL EQUIPO DE HEMATOLOGÍA SYSMEX XN 550 DEL LABORATORIO CLÍNICO DE INDEPORTES ANTIOQUIA."/>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45000000"/>
    <n v="0"/>
    <n v="0"/>
    <s v="2.43.4302.03.0-205128.2.3.2.02.02.008.10."/>
    <n v="52010804"/>
    <s v=""/>
    <s v=""/>
  </r>
  <r>
    <n v="233"/>
    <n v="85161500"/>
    <s v="SUBGERENCIA DE ALTOS LOGROS Y DEPORTE ASOCIADO"/>
    <s v="INVERSIÓN"/>
    <x v="12"/>
    <n v="2024003050103"/>
    <x v="54"/>
    <s v="050080"/>
    <n v="6000000"/>
    <s v="MANTENIMIENTO EQUIPO BIOIMPEDANCIA OCTOPOLAR - NUTRICIÓN"/>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6000000"/>
    <n v="0"/>
    <n v="0"/>
    <s v="2.43.4302.03.0-205128.2.3.2.02.02.008.10."/>
    <n v="52010804"/>
    <s v=""/>
    <s v=""/>
  </r>
  <r>
    <n v="234"/>
    <n v="85161500"/>
    <s v="SUBGERENCIA DE ALTOS LOGROS Y DEPORTE ASOCIADO"/>
    <s v="INVERSIÓN"/>
    <x v="12"/>
    <n v="2024003050103"/>
    <x v="54"/>
    <s v="050080"/>
    <n v="13000000"/>
    <s v="MANTENIMIENTO DE LOS EQUIPOS DEL LABORATORIO CLÍNICO "/>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3000000"/>
    <n v="0"/>
    <n v="0"/>
    <s v="2.43.4302.03.0-205128.2.3.2.02.02.008.10."/>
    <n v="52010804"/>
    <s v=""/>
    <s v=""/>
  </r>
  <r>
    <n v="235"/>
    <n v="85161500"/>
    <s v="SUBGERENCIA DE ALTOS LOGROS Y DEPORTE ASOCIADO"/>
    <s v="INVERSIÓN"/>
    <x v="12"/>
    <n v="2024003050103"/>
    <x v="54"/>
    <s v="050080"/>
    <n v="15000000"/>
    <s v="CONTRATACIÓN SERVICIO DE MANTENIMIENTO DE EQUIPOS DE MEDICINA, ENFERMERÍA, NUTRICIÓN Y PSICOLOGÍA "/>
    <s v="NO CONTRATADO"/>
    <s v="MÍNIMA CUANTÍA"/>
    <s v="PRESTACIÓN DE SERVICIOS"/>
    <x v="81"/>
    <n v="59"/>
    <s v="Asesoria médica y de ciencias aplicadas al desarrollo del rendimiento deportivo de atletas y para-atletas de Antioquia -Servicios prestados a las empresas y servicios de producción "/>
    <s v="03"/>
    <s v="0-205128"/>
    <n v="9"/>
    <s v="MESES"/>
    <s v=""/>
    <s v="NO"/>
    <s v="MARZO"/>
    <s v="MARZO"/>
    <s v=""/>
    <s v=""/>
    <s v=""/>
    <n v="0"/>
    <n v="15000000"/>
    <n v="0"/>
    <n v="0"/>
    <s v="2.43.4302.03.0-205128.2.3.2.02.02.008.10."/>
    <n v="52010804"/>
    <s v=""/>
    <s v=""/>
  </r>
  <r>
    <n v="236"/>
    <n v="80111600"/>
    <s v="SUBGERENCIA DE ALTOS LOGROS Y DEPORTE ASOCIADO"/>
    <s v="INVERSIÓN"/>
    <x v="12"/>
    <n v="2024003050103"/>
    <x v="55"/>
    <s v="050080"/>
    <n v="60174400"/>
    <s v="PRESTACIÓN DE SERVICIOS PROFESIONALES COMO ADMINISTRADOR EN SALUD PARA INDEPORTES ANTIOQUIA EN ESPECIAL PARA LA OFICINA DE MEDICINA DEPORTIVA"/>
    <s v="CONTRATADO"/>
    <s v="DIRECTA"/>
    <s v="PRESTACIÓN DE SERVICIOS PROFESIONALES Y DE APOYO  A  LA GESTIÓN"/>
    <x v="81"/>
    <n v="59"/>
    <s v="Asesoria médica y de ciencias aplicadas al desarrollo del rendimiento deportivo de atletas y para-atletas de Antioquia -Servicios prestados a las empresas y servicios de producción "/>
    <s v="03"/>
    <s v="0-205128"/>
    <n v="8"/>
    <s v="MESES"/>
    <n v="289"/>
    <s v="NO"/>
    <s v="FEBRERO"/>
    <s v="FEBRERO"/>
    <n v="66"/>
    <s v="DIEGO ARMANDO RENDON PARRA"/>
    <n v="128"/>
    <n v="60174400"/>
    <n v="0"/>
    <n v="3259447"/>
    <n v="56914953"/>
    <s v="1282.43.4302.03.0-205128.2.3.2.02.02.008.10."/>
    <n v="52010804"/>
    <n v="3259447"/>
    <n v="60174400"/>
  </r>
  <r>
    <n v="237"/>
    <n v="80111600"/>
    <s v="SUBGERENCIA DE ALTOS LOGROS Y DEPORTE ASOCIADO"/>
    <s v="INVERSIÓN"/>
    <x v="12"/>
    <n v="2024003050103"/>
    <x v="54"/>
    <s v="050080"/>
    <n v="15000000"/>
    <s v="CONTRATO DE PRESTACIÓN DEL SERVICIO DE CONTROL DE CALIDAD EXTERNO PARA QUÍMICA CLÍNICA Y HEMATOLOGÍA Y DEL SERVICIO DE GENERACIÓN DE REPORTES DE COMPARACIÓN INTER-LABORATORIOS POR 12 MESES PARA EL LABORATORIO CLÍNICO"/>
    <s v="NO CONTRATADO"/>
    <s v="MÍNIMA CUANTÍA"/>
    <s v="PRESTACIÓN DE SERVICIOS"/>
    <x v="82"/>
    <n v="60"/>
    <s v="Asesoria médica y de ciencias aplicadas al desarrollo del rendimiento deportivo de atletas y para-atletas de Antioquia -Servicios para la comunidad, sociales y personales"/>
    <s v="03"/>
    <s v="0-205128"/>
    <n v="9"/>
    <s v="MESES"/>
    <s v=""/>
    <s v="NO"/>
    <s v="MARZO"/>
    <s v="MARZO"/>
    <s v=""/>
    <s v=""/>
    <s v=""/>
    <n v="0"/>
    <n v="15000000"/>
    <n v="0"/>
    <n v="0"/>
    <s v="2.43.4302.03.0-205128.2.3.2.02.02.009.02."/>
    <n v="52010804"/>
    <s v=""/>
    <s v=""/>
  </r>
  <r>
    <n v="238"/>
    <n v="80111600"/>
    <s v="SUBGERENCIA DE ALTOS LOGROS Y DEPORTE ASOCIADO"/>
    <s v="INVERSIÓN"/>
    <x v="12"/>
    <n v="2024003050103"/>
    <x v="55"/>
    <s v="050080"/>
    <n v="60174400"/>
    <s v="PRESTACIÓN DE SERVICIOS PROFESIONALES COMO FISIOTERAPEUTA PARA INDEPORTES ANTIOQUIA EN LOS DEPORTES: VOLEIBOL PISO, VOLEIBOL PLAYA, PATINAJE, ESGRIMA, GIMNASIA, TENIS DE MESA Y CICLISMO"/>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3"/>
    <s v="NO"/>
    <s v="FEBRERO"/>
    <s v="FEBRERO"/>
    <n v="240"/>
    <s v="PABLO ANDRES URIBE CALLE"/>
    <n v="152"/>
    <n v="60174400"/>
    <n v="0"/>
    <n v="0"/>
    <n v="60174400"/>
    <s v="1522.43.4302.03.0-205128.2.3.2.02.02.009.02."/>
    <n v="52010804"/>
    <n v="0"/>
    <n v="60174400"/>
  </r>
  <r>
    <n v="239"/>
    <n v="80111600"/>
    <s v="SUBGERENCIA DE ALTOS LOGROS Y DEPORTE ASOCIADO"/>
    <s v="INVERSIÓN"/>
    <x v="12"/>
    <n v="2024003050103"/>
    <x v="55"/>
    <s v="050080"/>
    <n v="60174400"/>
    <s v="PRESTACIÓN DE SERVICIOS PROFESIONALES COMO PSICÓLOGO CLÍNICO PARA INDEPORTES ANTIOQUIA EN ESPECIAL PARA LA OFICINA DE MEDICINA DEPORTIV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290"/>
    <s v="NO"/>
    <s v="FEBRERO"/>
    <s v="FEBRERO"/>
    <n v="52"/>
    <s v="LAURA VICTORIA COLORADO NAVARRO"/>
    <n v="137"/>
    <n v="60174400"/>
    <n v="0"/>
    <n v="4513080"/>
    <n v="55661320"/>
    <s v="1372.43.4302.03.0-205128.2.3.2.02.02.009.02."/>
    <n v="52010804"/>
    <n v="4513080"/>
    <n v="60174400"/>
  </r>
  <r>
    <n v="240"/>
    <n v="80111600"/>
    <s v="SUBGERENCIA DE ALTOS LOGROS Y DEPORTE ASOCIADO"/>
    <s v="INVERSIÓN"/>
    <x v="12"/>
    <n v="2024003050103"/>
    <x v="55"/>
    <s v="050080"/>
    <n v="60174400"/>
    <s v="PRESTACIÓN DE SERVICIOS PROFESIONALES COMO FISIOTERAPEUTA PARA INDEPORTES ANTIOQUIA EN LOS DEPORTES: FÚTBOL DE SALÓN, CANOTAJE, ARQUERÍA, TAEKWONDO, BÁDMINTON, LUCHA, ESQUÍ NÁUTICO, ESQUÍ BOARD, WAKE BOARD Y REMO."/>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4"/>
    <s v="NO"/>
    <s v="FEBRERO"/>
    <s v="FEBRERO"/>
    <n v="271"/>
    <s v="MARIA ADELAYDA PUERTA ZAPATA"/>
    <s v=""/>
    <n v="0"/>
    <n v="60174400"/>
    <n v="0"/>
    <n v="0"/>
    <s v="2.43.4302.03.0-205128.2.3.2.02.02.009.02."/>
    <n v="52010804"/>
    <s v=""/>
    <s v=""/>
  </r>
  <r>
    <n v="241"/>
    <n v="80111600"/>
    <s v="SUBGERENCIA DE ALTOS LOGROS Y DEPORTE ASOCIADO"/>
    <s v="INVERSIÓN"/>
    <x v="12"/>
    <n v="2024003050103"/>
    <x v="55"/>
    <s v="050080"/>
    <n v="32822400"/>
    <s v="PRESTACIÓN DE SERVICIOS DE APOYO A LA GESTIÓN EN EL ÁREA DE MASOTERAPIA DE INDEPORTES ANTIOQUIA EN LOS DEPORTES CONVENCIONALES."/>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7"/>
    <s v="NO"/>
    <s v="FEBRERO"/>
    <s v="FEBRERO"/>
    <n v="252"/>
    <s v="JOHANA PATRICIA RAMIREZ ARGUMEDO"/>
    <n v="427"/>
    <n v="32822400"/>
    <n v="0"/>
    <n v="0"/>
    <n v="32822400"/>
    <s v="4272.43.4302.03.0-205128.2.3.2.02.02.009.02."/>
    <n v="52010804"/>
    <n v="0"/>
    <n v="32822400"/>
  </r>
  <r>
    <n v="242"/>
    <n v="80111600"/>
    <s v="SUBGERENCIA DE ALTOS LOGROS Y DEPORTE ASOCIADO"/>
    <s v="INVERSIÓN"/>
    <x v="12"/>
    <n v="2024003050103"/>
    <x v="55"/>
    <s v="050080"/>
    <n v="60174400"/>
    <s v="PRESTACIÓN DE SERVICIOS PROFESIONALES COMO PSICÓLOGO DEPORTIVO PARA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5"/>
    <s v="NO"/>
    <s v="FEBRERO"/>
    <s v="MARZO"/>
    <n v="275"/>
    <s v="DIEGO FERNANDO OSORIO JARAMILLO "/>
    <s v=""/>
    <n v="0"/>
    <n v="60174400"/>
    <n v="0"/>
    <n v="0"/>
    <s v="2.43.4302.03.0-205128.2.3.2.02.02.009.02."/>
    <n v="52010804"/>
    <s v=""/>
    <s v=""/>
  </r>
  <r>
    <n v="243"/>
    <n v="80111600"/>
    <s v="SUBGERENCIA DE ALTOS LOGROS Y DEPORTE ASOCIADO"/>
    <s v="INVERSIÓN"/>
    <x v="12"/>
    <n v="2024003050103"/>
    <x v="55"/>
    <s v="050080"/>
    <n v="60174400"/>
    <s v="PRESTACIÓN DE SERVICIOS PROFESIONALES COMO FISIOTERAPEUTA PARA INDEPORTES ANTIOQUIA EN LOS DEPORTES: BALONCESTO, KARATE, TENIS DE CAMPO, RUGBY, TIRO DEPORTIVO Y ACTIVIDADES SUBACUÁTICAS."/>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7"/>
    <s v="NO"/>
    <s v="FEBRERO"/>
    <s v="FEBRERO"/>
    <n v="276"/>
    <s v="FEDERICO CARDONA SERNA "/>
    <s v=""/>
    <n v="0"/>
    <n v="60174400"/>
    <n v="0"/>
    <n v="0"/>
    <s v="2.43.4302.03.0-205128.2.3.2.02.02.009.02."/>
    <n v="52010804"/>
    <s v=""/>
    <s v=""/>
  </r>
  <r>
    <n v="244"/>
    <n v="80111600"/>
    <s v="SUBGERENCIA DE ALTOS LOGROS Y DEPORTE ASOCIADO"/>
    <s v="INVERSIÓN"/>
    <x v="12"/>
    <n v="2024003050103"/>
    <x v="55"/>
    <s v="050080"/>
    <n v="60174400"/>
    <s v="PRESTACIÓN DE SERVICIOS PROFESIONALES COMO FISIOTERAPEUTA PARA INDEPORTES ANTIOQUIA EN LOS  DEPORTES: DE DISCAPACIDAD INTELECTUALES, AUDITIVOS, FÍSICOS SILLA DE RUEDAS, RUGBY EN SILLA DE RUEDAS YPARACYCLING."/>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8"/>
    <s v="NO"/>
    <s v="FEBRERO"/>
    <s v="FEBRERO"/>
    <n v="253"/>
    <s v="MARIA ALEJANDRA GARCES FLOREZ "/>
    <n v="426"/>
    <n v="60174400"/>
    <n v="0"/>
    <n v="0"/>
    <n v="60174400"/>
    <s v="4262.43.4302.03.0-205128.2.3.2.02.02.009.02."/>
    <n v="52010804"/>
    <n v="0"/>
    <n v="60174400"/>
  </r>
  <r>
    <n v="245"/>
    <n v="80111600"/>
    <s v="SUBGERENCIA DE ALTOS LOGROS Y DEPORTE ASOCIADO"/>
    <s v="INVERSIÓN"/>
    <x v="12"/>
    <n v="2024003050103"/>
    <x v="55"/>
    <s v="050080"/>
    <n v="32822400"/>
    <s v="PRESTACIÓN DE SERVICIOS DE APOYO A LA GESTIÓN EN EL ÁREA DE MASOTERAPIA DE INDEPORTES ANTIOQUIA EN LOS DEPORTES DE DISCAPACIDAD."/>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29"/>
    <s v="NO"/>
    <s v="FEBRERO"/>
    <s v="FEBRERO"/>
    <n v="269"/>
    <s v="SARA AGUDELO AGUDELO"/>
    <s v=""/>
    <n v="0"/>
    <n v="32822400"/>
    <n v="0"/>
    <n v="0"/>
    <s v="2.43.4302.03.0-205128.2.3.2.02.02.009.02."/>
    <n v="52010804"/>
    <s v=""/>
    <s v=""/>
  </r>
  <r>
    <n v="246"/>
    <n v="80111600"/>
    <s v="SUBGERENCIA DE ALTOS LOGROS Y DEPORTE ASOCIADO"/>
    <s v="INVERSIÓN"/>
    <x v="12"/>
    <n v="2024003050103"/>
    <x v="55"/>
    <s v="050080"/>
    <n v="60174400"/>
    <s v="PRESTACIÓN DE SERVICIOS PROFESIONALES COMO FISIOTERAPEUTA PARA LA OFICINA DE MEDICINA DEPORTIVA DE INDEPORTES ANTIOQUIA, APOYANDO LAS DISCIPLINAS DE JUEGO CON PELOTA Y EL ÁREA DE RECOVERY."/>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3"/>
    <s v="NO"/>
    <s v="FEBRERO"/>
    <s v="MARZO"/>
    <n v="277"/>
    <s v="STEFANIA PUERTA VALENCIA "/>
    <s v=""/>
    <n v="0"/>
    <n v="60174400"/>
    <n v="0"/>
    <n v="0"/>
    <s v="2.43.4302.03.0-205128.2.3.2.02.02.009.02."/>
    <n v="52010804"/>
    <s v=""/>
    <s v=""/>
  </r>
  <r>
    <n v="247"/>
    <n v="80111600"/>
    <s v="SUBGERENCIA DE ALTOS LOGROS Y DEPORTE ASOCIADO"/>
    <s v="INVERSIÓN"/>
    <x v="12"/>
    <n v="2024003050103"/>
    <x v="55"/>
    <s v="050080"/>
    <n v="32822400"/>
    <s v="PRESTACIÓN DE SERVICIOS COMO AUXILIAR DE ODONTOLOGÍA PARA ACOMPAÑAR LA ATENCIÓN DE USUARIOS DE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401"/>
    <s v="NO"/>
    <s v="MARZO"/>
    <s v="MARZO"/>
    <n v="338"/>
    <s v="VERONICA GONZALEZ ALEMAN"/>
    <s v=""/>
    <n v="0"/>
    <n v="32822400"/>
    <n v="0"/>
    <n v="0"/>
    <s v="2.43.4302.03.0-205128.2.3.2.02.02.009.02."/>
    <n v="52010804"/>
    <s v=""/>
    <s v=""/>
  </r>
  <r>
    <n v="248"/>
    <n v="80111600"/>
    <s v="SUBGERENCIA DE ALTOS LOGROS Y DEPORTE ASOCIADO"/>
    <s v="INVERSIÓN"/>
    <x v="12"/>
    <n v="2024003050103"/>
    <x v="55"/>
    <s v="050080"/>
    <n v="60174400"/>
    <s v="PRESTACIÓN DE SERVICIOS PROFESIONALES COMO ODONTOLOGA PARA ACOMPAÑAR LA ATENCION DE USUARIOS DE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9"/>
    <s v="NO"/>
    <s v="FEBRERO"/>
    <s v="MARZO"/>
    <n v="274"/>
    <s v="CLAUDIA ELENA MOLINA GONZALEZ"/>
    <s v=""/>
    <n v="0"/>
    <n v="60174400"/>
    <n v="0"/>
    <n v="0"/>
    <s v="2.43.4302.03.0-205128.2.3.2.02.02.009.02."/>
    <n v="52010804"/>
    <s v=""/>
    <s v=""/>
  </r>
  <r>
    <n v="249"/>
    <n v="80111600"/>
    <s v="SUBGERENCIA DE ALTOS LOGROS Y DEPORTE ASOCIADO"/>
    <s v="INVERSIÓN"/>
    <x v="12"/>
    <n v="2024003050103"/>
    <x v="55"/>
    <s v="050080"/>
    <n v="98626293"/>
    <s v="PRESTACIÓN DE SERVICIOS PROFESIONALES COMO MÉDICO ESPECIALIZADO PARA LA ATENCIÓN DE DEPORTES CONVENCIONALES Y ADAPTADOS PARA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16"/>
    <s v="NO"/>
    <s v="MARZO"/>
    <s v="MARZO"/>
    <n v="349"/>
    <s v="LUDWING ORLANDO LOZANO MUÑOZ"/>
    <s v=""/>
    <n v="0"/>
    <n v="98626293"/>
    <n v="0"/>
    <n v="0"/>
    <s v="2.43.4302.03.0-205128.2.3.2.02.02.009.02."/>
    <n v="52010804"/>
    <s v=""/>
    <s v=""/>
  </r>
  <r>
    <n v="250"/>
    <n v="80111600"/>
    <s v="SUBGERENCIA DE ALTOS LOGROS Y DEPORTE ASOCIADO"/>
    <s v="INVERSIÓN"/>
    <x v="12"/>
    <n v="2024003050103"/>
    <x v="55"/>
    <s v="050080"/>
    <n v="71206373"/>
    <s v="PRESTACIÓN DE SERVICIOS PROFESIONALES COMO NUTRICIONISTA PARA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03"/>
    <s v="NO"/>
    <s v="MARZO"/>
    <s v="MARZO"/>
    <n v="339"/>
    <s v="MARIA ALEJANDRA VALDERRAMA GONZALEZ"/>
    <s v=""/>
    <n v="0"/>
    <n v="71206373"/>
    <n v="0"/>
    <n v="0"/>
    <s v="2.43.4302.03.0-205128.2.3.2.02.02.009.02."/>
    <n v="52010804"/>
    <s v=""/>
    <s v=""/>
  </r>
  <r>
    <n v="251"/>
    <n v="80111600"/>
    <s v="SUBGERENCIA DE ALTOS LOGROS Y DEPORTE ASOCIADO"/>
    <s v="INVERSIÓN"/>
    <x v="12"/>
    <n v="2024003050103"/>
    <x v="55"/>
    <s v="050080"/>
    <n v="39413544"/>
    <s v="PRESTACIÓN DE SERVICIOS PROFESIONALES ESPECIALIZADOS COMO MÉDICO DE ORTOPEDIA Y TRAUMATOLOGÍA PARA LA OFICINA DE MEDICINA DEPORTIVA DE INDEPORTES ANTIOQUIA. "/>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6"/>
    <s v="NO"/>
    <s v="FEBRERO"/>
    <s v="MARZO"/>
    <n v="330"/>
    <s v="GABRIEL JAIME URIBE CADAVID"/>
    <s v=""/>
    <n v="0"/>
    <n v="39413544"/>
    <n v="0"/>
    <n v="0"/>
    <s v="2.43.4302.03.0-205128.2.3.2.02.02.009.02."/>
    <n v="52010804"/>
    <s v=""/>
    <s v=""/>
  </r>
  <r>
    <n v="252"/>
    <n v="80111600"/>
    <s v="SUBGERENCIA DE ALTOS LOGROS Y DEPORTE ASOCIADO"/>
    <s v="INVERSIÓN"/>
    <x v="12"/>
    <n v="2024003050103"/>
    <x v="55"/>
    <s v="050080"/>
    <n v="36138024"/>
    <s v="PRESTACIÓN DE SERVICIOS PROFESIONALES ESPECIALIZADOS COMO MÉDICO ECOGRAFISTA PARA LA OFICINA DE MEDICINA DEPORTIVA DE INDEPORTES ANTIOQUI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8"/>
    <s v="MESES"/>
    <n v="374"/>
    <s v="NO"/>
    <s v="FEBRERO"/>
    <s v="MARZO"/>
    <n v="352"/>
    <s v="JUAN FELIPE GIRALDO CARDONA "/>
    <s v=""/>
    <n v="0"/>
    <n v="36138024"/>
    <n v="0"/>
    <n v="0"/>
    <s v="2.43.4302.03.0-205128.2.3.2.02.02.009.02."/>
    <n v="52010804"/>
    <s v=""/>
    <s v=""/>
  </r>
  <r>
    <n v="253"/>
    <n v="80111600"/>
    <s v="SUBGERENCIA DE ALTOS LOGROS Y DEPORTE ASOCIADO"/>
    <s v="INVERSIÓN"/>
    <x v="12"/>
    <n v="2024003050103"/>
    <x v="55"/>
    <s v="050080"/>
    <n v="71206373"/>
    <s v="PRESTACIÓN DE SERVICIOS PROFESIONALES COMO FISIOTERAPEUTA PARA INDEPORTES ANTIOQUIA EN LOS SIGUIENTES DEPORTES: PARA ATLETISMO, PARA NATACIÓN, BOCCIA, PARAPOWERLIFTING, PARA TENIS DE MESA, PARA JUDO VISUAL."/>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02"/>
    <s v="NO"/>
    <s v="MARZO"/>
    <s v="MARZO"/>
    <n v="337"/>
    <s v="ANA MARIA CASTAÑO OCHOA"/>
    <s v=""/>
    <n v="0"/>
    <n v="71206373"/>
    <n v="0"/>
    <n v="0"/>
    <s v="2.43.4302.03.0-205128.2.3.2.02.02.009.02."/>
    <n v="52010804"/>
    <s v=""/>
    <s v=""/>
  </r>
  <r>
    <n v="254"/>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ARQUERÍA, EN LA MODALIDAD ARCO RECURV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88"/>
    <s v="NO"/>
    <s v="FEBRERO"/>
    <s v="FEBRERO"/>
    <n v="72"/>
    <s v="ANGEL HORACIO BARRIOS HERNANDEZ "/>
    <n v="157"/>
    <n v="61147776"/>
    <n v="0"/>
    <n v="0"/>
    <n v="61147776"/>
    <s v="1572.43.4302.84.0-205400.2.3.2.02.02.009.03."/>
    <n v="52010802"/>
    <n v="0"/>
    <n v="61147776"/>
  </r>
  <r>
    <n v="25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ARQUERÍA, EN LA MODALIDAD ARCO COMPUEST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89"/>
    <s v="NO"/>
    <s v="FEBRERO"/>
    <s v="FEBRERO"/>
    <n v="73"/>
    <s v="JUAN FERNANDO BONILLA SERNA "/>
    <n v="161"/>
    <n v="50609170"/>
    <n v="0"/>
    <n v="0"/>
    <n v="50609170"/>
    <s v="1612.43.4302.84.0-205400.2.3.2.02.02.009.03."/>
    <n v="52010802"/>
    <n v="0"/>
    <n v="50609170"/>
  </r>
  <r>
    <n v="25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ARQUERÍA, EN LA MODALIDAD ARCO COMPUEST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0"/>
    <s v="NO"/>
    <s v="FEBRERO"/>
    <s v="FEBRERO"/>
    <n v="74"/>
    <s v="MANUEL SEBASTIAN ARENAS DIAZ "/>
    <n v="163"/>
    <n v="40747479"/>
    <n v="0"/>
    <n v="0"/>
    <n v="40747479"/>
    <s v="1632.43.4302.84.0-205400.2.3.2.02.02.009.03."/>
    <n v="52010802"/>
    <n v="0"/>
    <n v="40747479"/>
  </r>
  <r>
    <n v="257"/>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ARQUERÍA, EN LA MODALIDAD ARCO RECURV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1"/>
    <s v="NO"/>
    <s v="FEBRERO"/>
    <s v="FEBRERO"/>
    <n v="75"/>
    <s v="YEISON ALEJANDRO HINESTROZA PARRA"/>
    <n v="164"/>
    <n v="40747479"/>
    <n v="0"/>
    <n v="0"/>
    <n v="40747479"/>
    <s v="1642.43.4302.84.0-205400.2.3.2.02.02.009.03."/>
    <n v="52010802"/>
    <n v="0"/>
    <n v="40747479"/>
  </r>
  <r>
    <n v="258"/>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ÁDMINTO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2"/>
    <s v="NO"/>
    <s v="FEBRERO"/>
    <s v="FEBRERO"/>
    <n v="278"/>
    <s v="CRISTINA RAMIREZ MORALES"/>
    <s v=""/>
    <n v="0"/>
    <n v="40747479"/>
    <n v="0"/>
    <n v="0"/>
    <s v="2.43.4302.84.0-205400.2.3.2.02.02.009.03."/>
    <n v="52010802"/>
    <s v=""/>
    <s v=""/>
  </r>
  <r>
    <n v="25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ÁDMINTO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3"/>
    <s v="NO"/>
    <s v="FEBRERO"/>
    <s v="FEBRERO"/>
    <n v="76"/>
    <s v="DIEGO ALEXANDER LOPERA GIRALDO"/>
    <n v="167"/>
    <n v="50609170"/>
    <n v="0"/>
    <n v="0"/>
    <n v="50609170"/>
    <s v="1672.43.4302.84.0-205400.2.3.2.02.02.009.03."/>
    <n v="52010802"/>
    <n v="0"/>
    <n v="50609170"/>
  </r>
  <r>
    <n v="260"/>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CEST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4"/>
    <s v="NO"/>
    <s v="FEBRERO"/>
    <s v="FEBRERO"/>
    <n v="279"/>
    <s v="RAUL EDGARDO PABON PORRAS"/>
    <s v=""/>
    <n v="0"/>
    <n v="40747479"/>
    <n v="0"/>
    <n v="0"/>
    <s v="2.43.4302.84.0-205400.2.3.2.02.02.009.03."/>
    <n v="52010802"/>
    <s v=""/>
    <s v=""/>
  </r>
  <r>
    <n v="261"/>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ALONCEST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5"/>
    <s v="NO"/>
    <s v="FEBRERO"/>
    <s v="FEBRERO"/>
    <n v="280"/>
    <s v="LUIS FERNANDO LOPERA MORALES"/>
    <s v=""/>
    <n v="0"/>
    <n v="50609170"/>
    <n v="0"/>
    <n v="0"/>
    <s v="2.43.4302.84.0-205400.2.3.2.02.02.009.03."/>
    <n v="52010802"/>
    <s v=""/>
    <s v=""/>
  </r>
  <r>
    <n v="262"/>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BALONCEST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6"/>
    <s v="NO"/>
    <s v="FEBRERO"/>
    <s v="FEBRERO"/>
    <n v="77"/>
    <s v="LUIS MIGUEL CUENCA MONTOYA"/>
    <n v="169"/>
    <n v="71344176"/>
    <n v="0"/>
    <n v="0"/>
    <n v="71344176"/>
    <s v="1692.43.4302.84.0-205400.2.3.2.02.02.009.03."/>
    <n v="52010802"/>
    <n v="0"/>
    <n v="71344176"/>
  </r>
  <r>
    <n v="263"/>
    <n v="80111600"/>
    <s v="SUBGERENCIA DE ALTOS LOGROS Y DEPORTE ASOCIADO"/>
    <s v="INVERSIÓN"/>
    <x v="13"/>
    <n v="2024003050084"/>
    <x v="56"/>
    <s v="050079"/>
    <n v="61147776"/>
    <s v="PRESTACIÓN DE SERVICIOS DE UN ENTRENADOR ASISTENTE PARA LA REALIZACIÓN DEL PROCESO SELECCIÓN, ENTRENAMIENTO DEPORTIVO Y PARTICIPACIÓN EN COMPETENCIAS EN LA LIGA ANTIOQUEÑA DE BALONCEST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7"/>
    <s v="NO"/>
    <s v="FEBRERO"/>
    <s v="FEBRERO"/>
    <n v="78"/>
    <s v="RICARDO PINZON MUÑOZ"/>
    <n v="170"/>
    <n v="61147776"/>
    <n v="0"/>
    <n v="0"/>
    <n v="61147776"/>
    <s v="1702.43.4302.84.0-205400.2.3.2.02.02.009.03."/>
    <n v="52010802"/>
    <n v="0"/>
    <n v="61147776"/>
  </r>
  <r>
    <n v="264"/>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BALONMAN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8"/>
    <s v="NO"/>
    <s v="FEBRERO"/>
    <s v="FEBRERO"/>
    <n v="79"/>
    <s v="ANA MARIA LOPERA RINCON"/>
    <n v="171"/>
    <n v="61147776"/>
    <n v="0"/>
    <n v="0"/>
    <n v="61147776"/>
    <s v="1712.43.4302.84.0-205400.2.3.2.02.02.009.03."/>
    <n v="52010802"/>
    <n v="0"/>
    <n v="61147776"/>
  </r>
  <r>
    <n v="265"/>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MAN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99"/>
    <s v="NO"/>
    <s v="FEBRERO"/>
    <s v="FEBRERO"/>
    <n v="80"/>
    <s v="DEISY VERONICA MAZO GARCES"/>
    <n v="172"/>
    <n v="40747479"/>
    <n v="0"/>
    <n v="0"/>
    <n v="40747479"/>
    <s v="1722.43.4302.84.0-205400.2.3.2.02.02.009.03."/>
    <n v="52010802"/>
    <n v="0"/>
    <n v="40747479"/>
  </r>
  <r>
    <n v="266"/>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BALONMANO,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0"/>
    <s v="NO"/>
    <s v="FEBRERO"/>
    <s v="FEBRERO"/>
    <n v="81"/>
    <s v="JUAN DAVID CASTAÑEDA TOBON"/>
    <n v="174"/>
    <n v="40747479"/>
    <n v="0"/>
    <n v="0"/>
    <n v="40747479"/>
    <s v="1742.43.4302.84.0-205400.2.3.2.02.02.009.03."/>
    <n v="52010802"/>
    <n v="0"/>
    <n v="40747479"/>
  </r>
  <r>
    <n v="267"/>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BALONMANO,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1"/>
    <s v="NO"/>
    <s v="FEBRERO"/>
    <s v="FEBRERO"/>
    <n v="82"/>
    <s v="MONICA VIVIANA OSPINA OROZCO"/>
    <n v="175"/>
    <n v="61147776"/>
    <n v="0"/>
    <n v="0"/>
    <n v="61147776"/>
    <s v="1752.43.4302.84.0-205400.2.3.2.02.02.009.03."/>
    <n v="52010802"/>
    <n v="0"/>
    <n v="61147776"/>
  </r>
  <r>
    <n v="268"/>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SALA EN LAS RAMAS FEMENINA Y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2"/>
    <s v="NO"/>
    <s v="FEBRERO"/>
    <s v="FEBRERO"/>
    <n v="83"/>
    <s v="DAVID ALONSO SANCHEZ POSADA"/>
    <n v="177"/>
    <n v="50609170"/>
    <n v="0"/>
    <n v="0"/>
    <n v="50609170"/>
    <s v="1772.43.4302.84.0-205400.2.3.2.02.02.009.03."/>
    <n v="52010802"/>
    <n v="0"/>
    <n v="50609170"/>
  </r>
  <r>
    <n v="26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CÉSPED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3"/>
    <s v="NO"/>
    <s v="FEBRERO"/>
    <s v="FEBRERO"/>
    <n v="281"/>
    <s v="MIGUEL ANDRES ZAPATA ALVAREZ"/>
    <s v=""/>
    <n v="0"/>
    <n v="50609170"/>
    <n v="0"/>
    <n v="0"/>
    <s v="2.43.4302.84.0-205400.2.3.2.02.02.009.03."/>
    <n v="52010802"/>
    <s v=""/>
    <s v=""/>
  </r>
  <r>
    <n v="270"/>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ÚTBOL, EN LA MODALIDAD FÚTBOL CÉSPED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4"/>
    <s v="NO"/>
    <s v="FEBRERO"/>
    <s v="FEBRERO"/>
    <n v="84"/>
    <s v="DEIVY JOHAN MEJIA TORRES"/>
    <n v="178"/>
    <n v="50609170"/>
    <n v="0"/>
    <n v="0"/>
    <n v="50609170"/>
    <s v="1782.43.4302.84.0-205400.2.3.2.02.02.009.03."/>
    <n v="52010802"/>
    <n v="0"/>
    <n v="50609170"/>
  </r>
  <r>
    <n v="271"/>
    <n v="80111600"/>
    <s v="SUBGERENCIA DE ALTOS LOGROS Y DEPORTE ASOCIADO"/>
    <s v="INVERSIÓN"/>
    <x v="13"/>
    <n v="2024003050084"/>
    <x v="56"/>
    <s v="050079"/>
    <n v="50609170"/>
    <s v="PRESTACIÓN DE SERVICIOS DE UN ENTRENADOR ASISTENTE PARA LA REALIZACIÓN DEL PROCESO SELECCIÓN, ENTRENAMIENTO DEPORTIVO Y PARTICIPACIÓN EN COMPETENCIAS EN LA LIGA ANTIOQUEÑA DE FÚTBOL, EN LA MODALIDAD FÚTBOL CÉSPED,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5"/>
    <s v="NO"/>
    <s v="FEBRERO"/>
    <s v="FEBRERO"/>
    <n v="85"/>
    <s v="SEBASTIAN DUQUE GOMEZ"/>
    <n v="180"/>
    <n v="50609170"/>
    <n v="0"/>
    <n v="0"/>
    <n v="50609170"/>
    <s v="1802.43.4302.84.0-205400.2.3.2.02.02.009.03."/>
    <n v="52010802"/>
    <n v="0"/>
    <n v="50609170"/>
  </r>
  <r>
    <n v="272"/>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GIMNASIA, EN LA MODALIDAD ARTÍSTIC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6"/>
    <s v="NO"/>
    <s v="FEBRERO"/>
    <s v="FEBRERO"/>
    <n v="86"/>
    <s v="DIEGO ALEJANDRO MEDINA GOMEZ"/>
    <n v="181"/>
    <n v="81536206"/>
    <n v="0"/>
    <n v="0"/>
    <n v="81536206"/>
    <s v="1812.43.4302.84.0-205400.2.3.2.02.02.009.03."/>
    <n v="52010802"/>
    <n v="0"/>
    <n v="81536206"/>
  </r>
  <r>
    <n v="27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GIMNASIA, EN LA MODALIDAD RÍTM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7"/>
    <s v="NO"/>
    <s v="FEBRERO"/>
    <s v="FEBRERO"/>
    <n v="87"/>
    <s v="DORA ALEJANDRA FORERO RAMIREZ"/>
    <n v="183"/>
    <n v="50609170"/>
    <n v="0"/>
    <n v="0"/>
    <n v="50609170"/>
    <s v="1832.43.4302.84.0-205400.2.3.2.02.02.009.03."/>
    <n v="52010802"/>
    <n v="0"/>
    <n v="50609170"/>
  </r>
  <r>
    <n v="274"/>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GIMNASIA, EN LA MODALIDAD RÍTMICA Y COREOGRAFÍ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8"/>
    <s v="NO"/>
    <s v="FEBRERO"/>
    <s v="FEBRERO"/>
    <n v="88"/>
    <s v="JUAN CARLOS MONTOYA URIBE"/>
    <n v="184"/>
    <n v="40747479"/>
    <n v="0"/>
    <n v="0"/>
    <n v="40747479"/>
    <s v="1842.43.4302.84.0-205400.2.3.2.02.02.009.03."/>
    <n v="52010802"/>
    <n v="0"/>
    <n v="40747479"/>
  </r>
  <r>
    <n v="27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GIMNASIA, MODALIDAD TRAMPOLÍ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09"/>
    <s v="NO"/>
    <s v="FEBRERO"/>
    <s v="FEBRERO"/>
    <n v="89"/>
    <s v="KATISH HIDARI RECALDE CAMPOS"/>
    <n v="185"/>
    <n v="61147776"/>
    <n v="0"/>
    <n v="0"/>
    <n v="61147776"/>
    <s v="1852.43.4302.84.0-205400.2.3.2.02.02.009.03."/>
    <n v="52010802"/>
    <n v="0"/>
    <n v="61147776"/>
  </r>
  <r>
    <n v="276"/>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GIMNASIA, EN LA MODALIDAD ARTÍSTICA FEMENINA Y COREOGRAFÍ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0"/>
    <s v="NO"/>
    <s v="FEBRERO"/>
    <s v="FEBRERO"/>
    <n v="90"/>
    <s v="LAISY FONSECA RAMIREZ"/>
    <n v="186"/>
    <n v="61147776"/>
    <n v="0"/>
    <n v="0"/>
    <n v="61147776"/>
    <s v="1862.43.4302.84.0-205400.2.3.2.02.02.009.03."/>
    <n v="52010802"/>
    <n v="0"/>
    <n v="61147776"/>
  </r>
  <r>
    <n v="277"/>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GIMNASIA, MODALIDAD ARTÍSTIC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1"/>
    <s v="NO"/>
    <s v="FEBRERO"/>
    <s v="FEBRERO"/>
    <n v="91"/>
    <s v="LEONARDO FABIO GONZALEZ GARCIA"/>
    <n v="187"/>
    <n v="71344176"/>
    <n v="0"/>
    <n v="0"/>
    <n v="71344176"/>
    <s v="1872.43.4302.84.0-205400.2.3.2.02.02.009.03."/>
    <n v="52010802"/>
    <n v="0"/>
    <n v="71344176"/>
  </r>
  <r>
    <n v="278"/>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VOLEIBOL, EN LA MODALIDAD VOLEIBOL PIS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2"/>
    <s v="NO"/>
    <s v="FEBRERO"/>
    <s v="FEBRERO"/>
    <n v="92"/>
    <s v="HERNAN ALONSO OSORIO ESTRADA"/>
    <n v="188"/>
    <n v="50609170"/>
    <n v="0"/>
    <n v="0"/>
    <n v="50609170"/>
    <s v="1882.43.4302.84.0-205400.2.3.2.02.02.009.03."/>
    <n v="52010802"/>
    <n v="0"/>
    <n v="50609170"/>
  </r>
  <r>
    <n v="279"/>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VOLEIBOL, EN LA MODALIDAD VOLEIBOL PLAY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3"/>
    <s v="NO"/>
    <s v="FEBRERO"/>
    <s v="FEBRERO"/>
    <n v="93"/>
    <s v="LUIS ALFONSO VARELA"/>
    <n v="189"/>
    <n v="50609170"/>
    <n v="0"/>
    <n v="0"/>
    <n v="50609170"/>
    <s v="1892.43.4302.84.0-205400.2.3.2.02.02.009.03."/>
    <n v="52010802"/>
    <n v="0"/>
    <n v="50609170"/>
  </r>
  <r>
    <n v="280"/>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ANTIOQUEÑA DE VOLEIBOL, EN LA MODALIDAD VOLEIBOL PISO,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4"/>
    <s v="NO"/>
    <s v="FEBRERO"/>
    <s v="FEBRERO"/>
    <n v="94"/>
    <s v="YEFERSON CORREA CANO"/>
    <n v="268"/>
    <n v="40747479"/>
    <n v="0"/>
    <n v="0"/>
    <n v="40747479"/>
    <s v="2682.43.4302.84.0-205400.2.3.2.02.02.009.03."/>
    <n v="52010802"/>
    <n v="0"/>
    <n v="40747479"/>
  </r>
  <r>
    <n v="281"/>
    <n v="80111600"/>
    <s v="SUBGERENCIA DE ALTOS LOGROS Y DEPORTE ASOCIADO"/>
    <s v="INVERSIÓN"/>
    <x v="13"/>
    <n v="2024003050084"/>
    <x v="56"/>
    <s v="050079"/>
    <n v="32653744"/>
    <s v="PRESTACIÓN DE SERVICIOS DE UN ENTRENADOR PRINCIPAL PARA LA REALIZACIÓN DEL PROCESO DE SELECCIÓN, ENTRENAMIENTO DEPORTIVO Y PARTICIPACIÓN EN COMPETENCIAS EN LA LIGA DE ATLETISMO DE ANTIOQUIA, EN LA MODALIDAD DE LANZAMIENTO DE BALA Y DE MARTILLO EN LAS CATEGORÍAS JUNIOR, JUVENILES Y MAY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157"/>
    <s v="DÍAS"/>
    <n v="115"/>
    <s v="NO"/>
    <s v="FEBRERO"/>
    <s v="FEBRERO"/>
    <n v="285"/>
    <s v="ANGEL SALCEDO GOMEZ"/>
    <s v=""/>
    <n v="0"/>
    <n v="32653744"/>
    <n v="0"/>
    <n v="0"/>
    <s v="2.43.4302.84.0-205400.2.3.2.02.02.009.03."/>
    <n v="52010802"/>
    <s v=""/>
    <s v=""/>
  </r>
  <r>
    <n v="282"/>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TLETISMO DE ANTIOQUIA, EN LA MODALIDAD DE LANZAMIENTO DE DISCO Y JABA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6"/>
    <s v="NO"/>
    <s v="FEBRERO"/>
    <s v="FEBRERO"/>
    <n v="95"/>
    <s v="CARLOS JOVANNY GARCIA CORDOBA"/>
    <n v="269"/>
    <n v="61147776"/>
    <n v="0"/>
    <n v="0"/>
    <n v="61147776"/>
    <s v="2692.43.4302.84.0-205400.2.3.2.02.02.009.03."/>
    <n v="52010802"/>
    <n v="0"/>
    <n v="61147776"/>
  </r>
  <r>
    <n v="283"/>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DE ATLETISMO DE ANTIOQUIA, EN LAS MODALIDADES DE FONDO, SEMIFONDO Y MARCH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7"/>
    <s v="NO"/>
    <s v="FEBRERO"/>
    <s v="FEBRERO"/>
    <n v="96"/>
    <s v="DANIEL CHAVERRA CHANCY"/>
    <n v="270"/>
    <n v="40747479"/>
    <n v="0"/>
    <n v="0"/>
    <n v="40747479"/>
    <s v="2702.43.4302.84.0-205400.2.3.2.02.02.009.03."/>
    <n v="52010802"/>
    <n v="0"/>
    <n v="40747479"/>
  </r>
  <r>
    <n v="284"/>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DE ATLETISMO DE ANTIOQUIA, EN LAS MODALIDADES FONDO, SEMIFONDO Y MARCH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8"/>
    <s v="NO"/>
    <s v="FEBRERO"/>
    <s v="FEBRERO"/>
    <n v="97"/>
    <s v="LIBARDO ANTONIO HOYOS CARMONA"/>
    <n v="271"/>
    <n v="81536206"/>
    <n v="0"/>
    <n v="0"/>
    <n v="81536206"/>
    <s v="2712.43.4302.84.0-205400.2.3.2.02.02.009.03."/>
    <n v="52010802"/>
    <n v="0"/>
    <n v="81536206"/>
  </r>
  <r>
    <n v="285"/>
    <n v="80111600"/>
    <s v="SUBGERENCIA DE ALTOS LOGROS Y DEPORTE ASOCIADO"/>
    <s v="INVERSIÓN"/>
    <x v="13"/>
    <n v="2024003050084"/>
    <x v="56"/>
    <s v="050079"/>
    <n v="61147776"/>
    <s v="PRESTACIÓN DE SERVICIOS DE UN ENTRENADOR ASISTENTE PARA LA REALIZACIÓN DEL PROCESO SELECCIÓN, ENTRENAMIENTO DEPORTIVO Y PARTICIPACIÓN EN COMPETENCIAS EN LA LIGA DE ATLETISMO DE ANTIOQUIA, EN LA MODALIDAD DE VELOCIDAD EN CATEGORÍAS JUVENIL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19"/>
    <s v="NO"/>
    <s v="FEBRERO"/>
    <s v="FEBRERO"/>
    <n v="98"/>
    <s v="LUIS JHONLEY MOSQUERA MURILLO"/>
    <n v="272"/>
    <n v="61147776"/>
    <n v="0"/>
    <n v="0"/>
    <n v="61147776"/>
    <s v="2722.43.4302.84.0-205400.2.3.2.02.02.009.03."/>
    <n v="52010802"/>
    <n v="0"/>
    <n v="61147776"/>
  </r>
  <r>
    <n v="286"/>
    <n v="80111600"/>
    <s v="SUBGERENCIA DE ALTOS LOGROS Y DEPORTE ASOCIADO"/>
    <s v="INVERSIÓN"/>
    <x v="13"/>
    <n v="2024003050084"/>
    <x v="56"/>
    <s v="050079"/>
    <n v="50609170"/>
    <s v="PRESTACIÓN DE SERVICIOS DE UN ENTRENADOR ASISTENTE EN DESARROLLO DEPORTIVO DE LOS ATLETAS EN LAS CATEGORÍAS JUNIOR, JUVENILES Y SUB 23 EN LA MODALIDAD DE SALTO DEL CENTRO DE DESARROLLO DE LA LIGA DE ATLETIS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0"/>
    <s v="NO"/>
    <s v="FEBRERO"/>
    <s v="FEBRERO"/>
    <n v="286"/>
    <s v="MANUEL ARTURO OREJUELA MOSQUERA"/>
    <s v=""/>
    <n v="0"/>
    <n v="50609170"/>
    <n v="0"/>
    <n v="0"/>
    <s v="2.43.4302.84.0-205400.2.3.2.02.02.009.03."/>
    <n v="52010802"/>
    <s v=""/>
    <s v=""/>
  </r>
  <r>
    <n v="287"/>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TLETISMO DE ANTIOQUIA, EN LA MODALIDAD DE PRUEBAS MÚLTIPLE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1"/>
    <s v="NO"/>
    <s v="FEBRERO"/>
    <s v="FEBRERO"/>
    <n v="99"/>
    <s v="NASLI PEREA"/>
    <n v="147"/>
    <n v="61147776"/>
    <n v="0"/>
    <n v="0"/>
    <n v="61147776"/>
    <s v="1472.43.4302.84.0-205400.2.3.2.02.02.009.03."/>
    <n v="52010802"/>
    <n v="0"/>
    <n v="61147776"/>
  </r>
  <r>
    <n v="288"/>
    <n v="80111600"/>
    <s v="SUBGERENCIA DE ALTOS LOGROS Y DEPORTE ASOCIADO"/>
    <s v="INVERSIÓN"/>
    <x v="13"/>
    <n v="2024003050084"/>
    <x v="56"/>
    <s v="050079"/>
    <n v="50609170"/>
    <s v="PRESTACIÓN DE SERVICIOS DE UN ENTRENADOR ASISTENTE EN DESARROLLO DEPORTIVO DE LOS ATLETAS EN LAS CATEGORÍAS JUNIOR, JUVENILES Y SUB 23 EN LA MODALIDAD DE LANZAMIENTO DEL CENTRO DE DESARROLLO DE LA LIGA DE ATLETIS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2"/>
    <s v="NO"/>
    <s v="FEBRERO"/>
    <s v="FEBRERO"/>
    <n v="287"/>
    <s v="NORALDO PALACIOS RIVAS"/>
    <s v=""/>
    <n v="0"/>
    <n v="50609170"/>
    <n v="0"/>
    <n v="0"/>
    <s v="2.43.4302.84.0-205400.2.3.2.02.02.009.03."/>
    <n v="52010802"/>
    <s v=""/>
    <s v=""/>
  </r>
  <r>
    <n v="289"/>
    <n v="80111600"/>
    <s v="SUBGERENCIA DE ALTOS LOGROS Y DEPORTE ASOCIADO"/>
    <s v="INVERSIÓN"/>
    <x v="13"/>
    <n v="2024003050084"/>
    <x v="56"/>
    <s v="050079"/>
    <n v="94982227"/>
    <s v="PRESTACIÓN DE SERVICIOS DE UN ENTRENADOR PRINCIPAL PARA LA REALIZACIÓN DEL PROCESO DE SELECCIÓN, ENTRENAMIENTO DEPORTIVO Y PARTICIPACIÓN EN COMPETENCIAS EN LA LIGA DE ATLETISMO DE ANTIOQUIA, EN LA MODALIDAD DE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3"/>
    <s v="NO"/>
    <s v="FEBRERO"/>
    <s v="FEBRERO"/>
    <n v="100"/>
    <s v="RAUL DIAZ QUEJADA"/>
    <n v="273"/>
    <n v="94982227"/>
    <n v="0"/>
    <n v="0"/>
    <n v="94982227"/>
    <s v="2732.43.4302.84.0-205400.2.3.2.02.02.009.03."/>
    <n v="52010802"/>
    <n v="0"/>
    <n v="94982227"/>
  </r>
  <r>
    <n v="290"/>
    <n v="80111600"/>
    <s v="SUBGERENCIA DE ALTOS LOGROS Y DEPORTE ASOCIADO"/>
    <s v="INVERSIÓN"/>
    <x v="13"/>
    <n v="2024003050084"/>
    <x v="56"/>
    <s v="050079"/>
    <n v="17601802"/>
    <s v="PRESTACIÓN DE SERVICIOS DE UN ENTRENADOR PRINCIPAL PARA LA REALIZACIÓN DEL PROCESO DE SELECCIÓN, ENTRENAMIENTO DEPORTIVO Y PARTICIPACIÓN EN COMPETENCIAS EN LA LIGA DE ATLETISMO DE ANTIOQUIA, EN LA MODALIDAD DE SALT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127"/>
    <s v="DÍAS"/>
    <n v="124"/>
    <s v="NO"/>
    <s v="FEBRERO"/>
    <s v="FEBRERO"/>
    <n v="101"/>
    <s v="LEYSNER ARAGON MENA"/>
    <n v="307"/>
    <n v="17601802"/>
    <n v="0"/>
    <n v="0"/>
    <n v="17601802"/>
    <s v="3072.43.4302.84.0-205400.2.3.2.02.02.009.03."/>
    <n v="52010802"/>
    <n v="0"/>
    <n v="17601802"/>
  </r>
  <r>
    <n v="291"/>
    <n v="80111600"/>
    <s v="SUBGERENCIA DE ALTOS LOGROS Y DEPORTE ASOCIADO"/>
    <s v="INVERSIÓN"/>
    <x v="13"/>
    <n v="2024003050084"/>
    <x v="56"/>
    <s v="050079"/>
    <n v="61147776"/>
    <s v="PRESTACIÓN DE SERVICIOS DE UN ENTRENADOR PRINCIPAL PARA LA REALIZACIÓN DEL PROCESO SELECCIÓN, ENTRENAMIENTO DEPORTIVO Y PARTICIPACIÓN EN COMPETENCIAS EN LA LIGA DE TENIS DE MESA DE ANTIOQUIA, EN LAS CATEGORÍAS DE FORMACIÓN DEPORTIVA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5"/>
    <s v="NO"/>
    <s v="FEBRERO"/>
    <s v="FEBRERO"/>
    <n v="102"/>
    <s v="JUAN DIEGO DIEZ GONZALEZ"/>
    <n v="283"/>
    <n v="61147776"/>
    <n v="0"/>
    <n v="0"/>
    <n v="61147776"/>
    <s v="2832.43.4302.84.0-205400.2.3.2.02.02.009.03."/>
    <n v="52010802"/>
    <n v="0"/>
    <n v="61147776"/>
  </r>
  <r>
    <n v="292"/>
    <n v="80111600"/>
    <s v="SUBGERENCIA DE ALTOS LOGROS Y DEPORTE ASOCIADO"/>
    <s v="INVERSIÓN"/>
    <x v="13"/>
    <n v="2024003050084"/>
    <x v="56"/>
    <s v="050079"/>
    <n v="50609170"/>
    <s v="PRESTACIÓN DE SERVICIOS DE UN ENTRENADOR ASISTENTE PARA LA REALIZACIÓN DEL PROCESO SELECCIÓN, ENTRENAMIENTO DEPORTIVO Y PARTICIPACIÓN EN COMPETENCIAS EN LA LIGA DE TENIS DE MESA DE ANTIOQUIA,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6"/>
    <s v="NO"/>
    <s v="FEBRERO"/>
    <s v="FEBRERO"/>
    <n v="103"/>
    <s v="OSCAR ALONSO ZULUAGA HERNANDEZ"/>
    <n v="285"/>
    <n v="50609170"/>
    <n v="0"/>
    <n v="0"/>
    <n v="50609170"/>
    <s v="2852.43.4302.84.0-205400.2.3.2.02.02.009.03."/>
    <n v="52010802"/>
    <n v="0"/>
    <n v="50609170"/>
  </r>
  <r>
    <n v="293"/>
    <n v="80111600"/>
    <s v="SUBGERENCIA DE ALTOS LOGROS Y DEPORTE ASOCIADO"/>
    <s v="INVERSIÓN"/>
    <x v="13"/>
    <n v="2024003050084"/>
    <x v="56"/>
    <s v="050079"/>
    <n v="40747479"/>
    <s v="PRESTACIÓN DE SERVICIOS DE UN ENTRENADOR ASISTENTE PARA LA REALIZACIÓN DEL PROCESO SELECCIÓN, ENTRENAMIENTO DEPORTIVO Y PARTICIPACIÓN EN COMPETENCIAS EN LA LIGA DE TENIS DE MESA DE ANTIOQUIA, EN LAS CATEGORÍAS DE FORMACIÓN DEPORTIVA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7"/>
    <s v="NO"/>
    <s v="FEBRERO"/>
    <s v="FEBRERO"/>
    <n v="104"/>
    <s v="JUAN CAMILO SOTO JARAMILLO"/>
    <n v="401"/>
    <n v="40747479"/>
    <n v="0"/>
    <n v="0"/>
    <n v="40747479"/>
    <s v="4012.43.4302.84.0-205400.2.3.2.02.02.009.03."/>
    <n v="52010802"/>
    <n v="0"/>
    <n v="40747479"/>
  </r>
  <r>
    <n v="294"/>
    <n v="80111600"/>
    <s v="SUBGERENCIA DE ALTOS LOGROS Y DEPORTE ASOCIADO"/>
    <s v="INVERSIÓN"/>
    <x v="13"/>
    <n v="2024003050084"/>
    <x v="56"/>
    <s v="050079"/>
    <n v="26545593"/>
    <s v="PRESTACIÓN DE SERVICIOS DE UN ENTRENADOR  PARA  EL PROCESO DE  ENTRENAMIENTO DEPORTIVO  INTERNACIONAL DE LOS ATLETAS DE LA LIGA DE TENIS DE MESA DE ANTIOQUIA, EN LA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8"/>
    <s v="NO"/>
    <s v="FEBRERO"/>
    <s v="FEBRERO"/>
    <n v="289"/>
    <s v="JUAN CAMILO GIRALDO ALVAREZ "/>
    <s v=""/>
    <n v="0"/>
    <n v="26545593"/>
    <n v="0"/>
    <n v="0"/>
    <s v="2.43.4302.84.0-205400.2.3.2.02.02.009.03."/>
    <n v="52010802"/>
    <s v=""/>
    <s v=""/>
  </r>
  <r>
    <n v="295"/>
    <n v="80111600"/>
    <s v="SUBGERENCIA DE ALTOS LOGROS Y DEPORTE ASOCIADO"/>
    <s v="INVERSIÓN"/>
    <x v="13"/>
    <n v="2024003050084"/>
    <x v="56"/>
    <s v="050079"/>
    <n v="50609170"/>
    <s v="PRESTACIÓN DE SERVICIOS DE UN ENTRENADOR PARA LA REALIZACIÓN DEL PROCESO DE PREPARACIÓN FÍSICA Y CONDICIONAL EN LOS DEPORTES DE ATLETISMO, BALONMANO Y TENIS DE MES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29"/>
    <s v="NO"/>
    <s v="FEBRERO"/>
    <s v="FEBRERO"/>
    <n v="105"/>
    <s v="EDWIN JOVANNY MENESES QUINTERO "/>
    <n v="394"/>
    <n v="50609170"/>
    <n v="0"/>
    <n v="0"/>
    <n v="50609170"/>
    <s v="3942.43.4302.84.0-205400.2.3.2.02.02.009.03."/>
    <n v="52010802"/>
    <n v="0"/>
    <n v="50609170"/>
  </r>
  <r>
    <n v="296"/>
    <n v="80111600"/>
    <s v="SUBGERENCIA DE ALTOS LOGROS Y DEPORTE ASOCIADO"/>
    <s v="INVERSIÓN"/>
    <x v="13"/>
    <n v="2024003050084"/>
    <x v="56"/>
    <s v="050079"/>
    <n v="50609170"/>
    <s v="PRESTACIÓN DE SERVICIOS DE UN ENTRENADOR PARA LA REALIZACIÓN DEL PROCESO DE PREPARACIÓN FÍSICA Y CONDICIONAL EN LOS DEPORTES DE BÁDMINTON, GIMNASIA Y ATLETISM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0"/>
    <s v="NO"/>
    <s v="FEBRERO"/>
    <s v="FEBRERO"/>
    <n v="106"/>
    <s v="ESTEBAN SERNA MORENO "/>
    <n v="395"/>
    <n v="50609170"/>
    <n v="0"/>
    <n v="0"/>
    <n v="50609170"/>
    <s v="3952.43.4302.84.0-205400.2.3.2.02.02.009.03."/>
    <n v="52010802"/>
    <n v="0"/>
    <n v="50609170"/>
  </r>
  <r>
    <n v="297"/>
    <n v="80111600"/>
    <s v="SUBGERENCIA DE ALTOS LOGROS Y DEPORTE ASOCIADO"/>
    <s v="INVERSIÓN"/>
    <x v="13"/>
    <n v="2024003050084"/>
    <x v="56"/>
    <s v="050079"/>
    <n v="50609170"/>
    <s v="PRESTACIÓN DE SERVICIOS DE UN ENTRENADOR PARA LA REALIZACIÓN DEL PROCESO DE PREPARACIÓN FÍSICA Y CONDICIONAL EN LOS DEPORTES DE ATLETISMO, VOLEIBOL Y ARQUERÍ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1"/>
    <s v="NO"/>
    <s v="FEBRERO"/>
    <s v="FEBRERO"/>
    <n v="290"/>
    <s v="JUAN DAVID PEÑA JIMENEZ "/>
    <s v=""/>
    <n v="0"/>
    <n v="50609170"/>
    <n v="0"/>
    <n v="0"/>
    <s v="2.43.4302.84.0-205400.2.3.2.02.02.009.03."/>
    <n v="52010802"/>
    <s v=""/>
    <s v=""/>
  </r>
  <r>
    <n v="298"/>
    <n v="80111600"/>
    <s v="SUBGERENCIA DE ALTOS LOGROS Y DEPORTE ASOCIADO"/>
    <s v="INVERSIÓN"/>
    <x v="13"/>
    <n v="2024003050084"/>
    <x v="56"/>
    <s v="050079"/>
    <n v="50609170"/>
    <s v="PRESTACIÓN DE SERVICIOS DE UN ENTRENADOR PARA LA REALIZACIÓN DEL PROCESO DE PREPARACIÓN FÍSICA Y CONDICIONAL EN LOS DEPORTES DE ATLETISMO, BALONCESTO Y ARQUERÍ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2"/>
    <s v="NO"/>
    <s v="FEBRERO"/>
    <s v="FEBRERO"/>
    <n v="107"/>
    <s v="JUAN MANUEL LOPEZ CUERVO"/>
    <n v="400"/>
    <n v="50609170"/>
    <n v="0"/>
    <n v="0"/>
    <n v="50609170"/>
    <s v="4002.43.4302.84.0-205400.2.3.2.02.02.009.03."/>
    <n v="52010802"/>
    <n v="0"/>
    <n v="50609170"/>
  </r>
  <r>
    <n v="299"/>
    <n v="80111600"/>
    <s v="SUBGERENCIA DE ALTOS LOGROS Y DEPORTE ASOCIADO"/>
    <s v="INVERSIÓN"/>
    <x v="13"/>
    <n v="2024003050084"/>
    <x v="56"/>
    <s v="050079"/>
    <n v="61147776"/>
    <s v="PRESTACIÓN DE SERVICIOS DE UN ENTRENADOR PARA LA REALIZACIÓN DEL PROCESO DE PREPARACIÓN FÍSICA Y CONDICIONAL EN LOS DEPORTES DE CONJUNT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3"/>
    <s v="NO"/>
    <s v="FEBRERO"/>
    <s v="FEBRERO"/>
    <n v="108"/>
    <s v="EDISON UREY CARDONA GONZALEZ"/>
    <n v="411"/>
    <n v="61147776"/>
    <n v="0"/>
    <n v="0"/>
    <n v="61147776"/>
    <s v="4112.43.4302.84.0-205400.2.3.2.02.02.009.03."/>
    <n v="52010802"/>
    <n v="0"/>
    <n v="61147776"/>
  </r>
  <r>
    <n v="300"/>
    <n v="80111600"/>
    <s v="SUBGERENCIA DE ALTOS LOGROS Y DEPORTE ASOCIADO"/>
    <s v="INVERSIÓN"/>
    <x v="13"/>
    <n v="2024003050084"/>
    <x v="56"/>
    <s v="050079"/>
    <n v="94982227"/>
    <s v="PRESTACIÓN DE SERVICIOS DE UN ENTRENADOR PRINCIPAL PARA LA REALIZACIÓN DEL PROCESO DE SELECCIÓN, ENTRENAMIENTO DEPORTIVO Y PARTICIPACIÓN EN COMPETENCIAS EN LA LIGA ANTIOQUEÑA DE BOLO, EN LAS CATEGORÍAS JUVENILES Y MAY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4"/>
    <s v="NO"/>
    <s v="FEBRERO"/>
    <s v="FEBRERO"/>
    <n v="109"/>
    <s v="DAVID RIVERA CASTRO"/>
    <n v="149"/>
    <n v="94982227"/>
    <n v="0"/>
    <n v="0"/>
    <n v="94982227"/>
    <s v="1492.43.4302.84.0-205400.2.3.2.02.02.009.03."/>
    <n v="52010802"/>
    <n v="0"/>
    <n v="94982227"/>
  </r>
  <r>
    <n v="301"/>
    <n v="80111600"/>
    <s v="SUBGERENCIA DE ALTOS LOGROS Y DEPORTE ASOCIADO"/>
    <s v="INVERSIÓN"/>
    <x v="13"/>
    <n v="2024003050084"/>
    <x v="56"/>
    <s v="050079"/>
    <n v="40747479"/>
    <s v="PRESTACIÓN DE SERVICIOS DE UN ENTRENADOR DE INICIACIÓN Y DESARROLLO PARA LA REALIZACIÓN DEL PROCESO DE SELECCIÓN, ENTRENAMIENTO DEPORTIVO Y PARTICIPACIÓN EN COMPETENCIAS DE LA LIGA ANTIOQUEÑA DE BOLO, EN CATEGORÍAS MENOR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5"/>
    <s v="NO"/>
    <s v="FEBRERO"/>
    <s v="FEBRERO"/>
    <n v="110"/>
    <s v="JAIR MANUEL GIL DIAZ"/>
    <n v="408"/>
    <n v="40747479"/>
    <n v="0"/>
    <n v="0"/>
    <n v="40747479"/>
    <s v="4082.43.4302.84.0-205400.2.3.2.02.02.009.03."/>
    <n v="52010802"/>
    <n v="0"/>
    <n v="40747479"/>
  </r>
  <r>
    <n v="302"/>
    <n v="80111600"/>
    <s v="SUBGERENCIA DE ALTOS LOGROS Y DEPORTE ASOCIADO"/>
    <s v="INVERSIÓN"/>
    <x v="13"/>
    <n v="2024003050084"/>
    <x v="56"/>
    <s v="050079"/>
    <n v="26545593"/>
    <s v="PRESTACIÓN DE SERVICIOS DE UN ENTRENADOR ASISTENTE ENLACE ENTRE LA BASE DEPORTIVA Y EL ALTO RENDIMIENTO PARA LA REALIZACIÓN DEL PROCESO DE SELECCIÓN, ENTRENAMIENTO DEPORTIVO Y PARTICIPACIÓN EN COMPETENCIAS EN LA LIGA ANTIOQUEÑA DE BOLO, EN LA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6"/>
    <s v="NO"/>
    <s v="FEBRERO"/>
    <s v="FEBRERO"/>
    <n v="111"/>
    <s v="FELIPE GIL AVENDAÑO"/>
    <n v="312"/>
    <n v="26545593"/>
    <n v="0"/>
    <n v="0"/>
    <n v="26545593"/>
    <s v="3122.43.4302.84.0-205400.2.3.2.02.02.009.03."/>
    <n v="52010802"/>
    <n v="0"/>
    <n v="26545593"/>
  </r>
  <r>
    <n v="303"/>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RUGBY, EN LA MODALIDAD SEVENS Y QUINCES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7"/>
    <s v="NO"/>
    <s v="FEBRERO"/>
    <s v="FEBRERO"/>
    <n v="112"/>
    <s v="DAVID ORLANDO JARAMILLO GOMEZ"/>
    <n v="313"/>
    <n v="61147776"/>
    <n v="0"/>
    <n v="0"/>
    <n v="61147776"/>
    <s v="3132.43.4302.84.0-205400.2.3.2.02.02.009.03."/>
    <n v="52010802"/>
    <n v="0"/>
    <n v="61147776"/>
  </r>
  <r>
    <n v="304"/>
    <n v="80111600"/>
    <s v="SUBGERENCIA DE ALTOS LOGROS Y DEPORTE ASOCIADO"/>
    <s v="INVERSIÓN"/>
    <x v="13"/>
    <n v="2024003050084"/>
    <x v="56"/>
    <s v="050079"/>
    <n v="26545593"/>
    <s v="PRESTACIÓN DE SERVICIOS DE UN ENTRENADOR DE INICIACIÓN Y DESARROLLO DEPORTIVO EN LA SUBREGIÓN DE URABÁ PARA LA CONSECUCIÓN DE NUEVOS TALENTOS PARA LA LIGA ANTIOQUEÑA DE RUGBY FÚTBOL,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8"/>
    <s v="NO"/>
    <s v="FEBRERO"/>
    <s v="FEBRERO"/>
    <n v="113"/>
    <s v="JORGE WILLIAM BLANDON BOHORQUEZ"/>
    <n v="391"/>
    <n v="26545593"/>
    <n v="0"/>
    <n v="0"/>
    <n v="26545593"/>
    <s v="3912.43.4302.84.0-205400.2.3.2.02.02.009.03."/>
    <n v="52010802"/>
    <n v="0"/>
    <n v="26545593"/>
  </r>
  <r>
    <n v="30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RUGBY, EN LA MODALIDAD SEVENS Y QUINCES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39"/>
    <s v="NO"/>
    <s v="FEBRERO"/>
    <s v="FEBRERO"/>
    <n v="114"/>
    <s v="JUAN SEBASTIAN GIRALDO RAMIREZ"/>
    <n v="314"/>
    <n v="50609170"/>
    <n v="0"/>
    <n v="0"/>
    <n v="50609170"/>
    <s v="3142.43.4302.84.0-205400.2.3.2.02.02.009.03."/>
    <n v="52010802"/>
    <n v="0"/>
    <n v="50609170"/>
  </r>
  <r>
    <n v="306"/>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RUGBY, EN LA MODALIDAD SEVENS Y QUINCES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0"/>
    <s v="NO"/>
    <s v="FEBRERO"/>
    <s v="FEBRERO"/>
    <n v="115"/>
    <s v="DIEGO ANDRES POSADA GIRALDO"/>
    <n v="315"/>
    <n v="26545593"/>
    <n v="0"/>
    <n v="0"/>
    <n v="26545593"/>
    <s v="3152.43.4302.84.0-205400.2.3.2.02.02.009.03."/>
    <n v="52010802"/>
    <n v="0"/>
    <n v="26545593"/>
  </r>
  <r>
    <n v="30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RUGBY, EN LA MODALIDAD SEVENS Y QUINCES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1"/>
    <s v="NO"/>
    <s v="FEBRERO"/>
    <s v="FEBRERO"/>
    <n v="116"/>
    <s v="DANIEL ESTEBAN VILLA SANCHEZ"/>
    <n v="316"/>
    <n v="26545593"/>
    <n v="0"/>
    <n v="0"/>
    <n v="26545593"/>
    <s v="3162.43.4302.84.0-205400.2.3.2.02.02.009.03."/>
    <n v="52010802"/>
    <n v="0"/>
    <n v="26545593"/>
  </r>
  <r>
    <n v="308"/>
    <n v="80111600"/>
    <s v="SUBGERENCIA DE ALTOS LOGROS Y DEPORTE ASOCIADO"/>
    <s v="INVERSIÓN"/>
    <x v="13"/>
    <n v="2024003050084"/>
    <x v="56"/>
    <s v="050079"/>
    <n v="40747479"/>
    <s v="PRESTACIÓN DE SERVICIOS DE UN ENTRENADOR ASISTENTE  PARA LA REALIZACIÓN DEL PROCESO DE SELECCIÓN, RESERVA DEPORTIVA, ENTRENAMIENTO Y PARTICIPACIÓN EN COMPETENCIAS EN LA LIGA DE TENIS DE CAMP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2"/>
    <s v="NO"/>
    <s v="FEBRERO"/>
    <s v="FEBRERO"/>
    <n v="117"/>
    <s v="SEBASTIAN PARRA BEDOYA "/>
    <n v="317"/>
    <n v="40747479"/>
    <n v="0"/>
    <n v="0"/>
    <n v="40747479"/>
    <s v="3172.43.4302.84.0-205400.2.3.2.02.02.009.03."/>
    <n v="52010802"/>
    <n v="0"/>
    <n v="40747479"/>
  </r>
  <r>
    <n v="309"/>
    <n v="80111600"/>
    <s v="SUBGERENCIA DE ALTOS LOGROS Y DEPORTE ASOCIADO"/>
    <s v="INVERSIÓN"/>
    <x v="13"/>
    <n v="2024003050084"/>
    <x v="56"/>
    <s v="050079"/>
    <n v="81536206"/>
    <s v="PRESTACIÓN DE SERVICIOS DE UN ENTRENADOR PARA EL PROCESO DE SELECCIÓN, ACOMPAÑAMIENTO DEPORTIVO Y PARTICIPACIÓN EN COMPETENCIAS DE LOS ATLETAS QUE SE PREPARAN EN EL EXTRANJERO EN LA LIGA ANTIOQUEÑA DE TENIS DE CAMPO, EN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3"/>
    <s v="NO"/>
    <s v="FEBRERO"/>
    <s v="FEBRERO"/>
    <n v="367"/>
    <s v="MIGUEL ANGEL TOBON ARISTIZABAL"/>
    <s v=""/>
    <n v="0"/>
    <n v="81536206"/>
    <n v="0"/>
    <n v="0"/>
    <s v="2.43.4302.84.0-205400.2.3.2.02.02.009.03."/>
    <n v="52010802"/>
    <s v=""/>
    <s v=""/>
  </r>
  <r>
    <n v="310"/>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ENIS DE CAMPO, EN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4"/>
    <s v="NO"/>
    <s v="FEBRERO"/>
    <s v="FEBRERO"/>
    <n v="292"/>
    <s v="JAIME ALONSO RESTREPO ESTRADA"/>
    <s v=""/>
    <n v="0"/>
    <n v="40747479"/>
    <n v="0"/>
    <n v="0"/>
    <s v="2.43.4302.84.0-205400.2.3.2.02.02.009.03."/>
    <n v="52010802"/>
    <s v=""/>
    <s v=""/>
  </r>
  <r>
    <n v="311"/>
    <n v="80111600"/>
    <s v="SUBGERENCIA DE ALTOS LOGROS Y DEPORTE ASOCIADO"/>
    <s v="INVERSIÓN"/>
    <x v="13"/>
    <n v="2024003050084"/>
    <x v="56"/>
    <s v="050079"/>
    <n v="40747479"/>
    <s v="PRESTACIÓN DE SERVICIOS DE UN ENTRENADOR DE INICIACIÓN Y DESARROLLO DEPORTIVO PARA LA CONSECUCIÓN DE NUEVOS TALENTOS PARA LA LIGA DE TENIS DE CAMP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5"/>
    <s v="NO"/>
    <s v="FEBRERO"/>
    <s v="FEBRERO"/>
    <n v="293"/>
    <s v="JHON FREDDY GOMEZ GARZON"/>
    <s v=""/>
    <n v="0"/>
    <n v="40747479"/>
    <n v="0"/>
    <n v="0"/>
    <s v="2.43.4302.84.0-205400.2.3.2.02.02.009.03."/>
    <n v="52010802"/>
    <s v=""/>
    <s v=""/>
  </r>
  <r>
    <n v="312"/>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SQUASH,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6"/>
    <s v="NO"/>
    <s v="FEBRERO"/>
    <s v="FEBRERO"/>
    <n v="118"/>
    <s v="IVAN HUMBERTO GERMAN ALVAREZ"/>
    <n v="319"/>
    <n v="40747479"/>
    <n v="0"/>
    <n v="0"/>
    <n v="40747479"/>
    <s v="3192.43.4302.84.0-205400.2.3.2.02.02.009.03."/>
    <n v="52010802"/>
    <n v="0"/>
    <n v="40747479"/>
  </r>
  <r>
    <n v="313"/>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SQUASH,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7"/>
    <s v="NO"/>
    <s v="FEBRERO"/>
    <s v="FEBRERO"/>
    <n v="119"/>
    <s v="RUBEN DARIO ARROYAVE RESTREPO"/>
    <n v="320"/>
    <n v="81536206"/>
    <n v="0"/>
    <n v="0"/>
    <n v="81536206"/>
    <s v="3202.43.4302.84.0-205400.2.3.2.02.02.009.03."/>
    <n v="52010802"/>
    <n v="0"/>
    <n v="81536206"/>
  </r>
  <r>
    <n v="314"/>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 MODALIDAD BATE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8"/>
    <s v="NO"/>
    <s v="FEBRERO"/>
    <s v="FEBRERO"/>
    <n v="120"/>
    <s v="PEDRO MANUEL HERNANDEZ LUNA"/>
    <n v="322"/>
    <n v="40747479"/>
    <n v="0"/>
    <n v="0"/>
    <n v="40747479"/>
    <s v="3222.43.4302.84.0-205400.2.3.2.02.02.009.03."/>
    <n v="52010802"/>
    <n v="0"/>
    <n v="40747479"/>
  </r>
  <r>
    <n v="31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BÉISBOL,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49"/>
    <s v="NO"/>
    <s v="FEBRERO"/>
    <s v="FEBRERO"/>
    <n v="121"/>
    <s v="JHONATAN ALBERTO OJEDA LEON"/>
    <n v="323"/>
    <n v="50609170"/>
    <n v="0"/>
    <n v="0"/>
    <n v="50609170"/>
    <s v="3232.43.4302.84.0-205400.2.3.2.02.02.009.03."/>
    <n v="52010802"/>
    <n v="0"/>
    <n v="50609170"/>
  </r>
  <r>
    <n v="31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 MODALIDAD PITHE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0"/>
    <s v="NO"/>
    <s v="FEBRERO"/>
    <s v="FEBRERO"/>
    <n v="122"/>
    <s v="CARLOS ALBERTO OJEDA MEJIA"/>
    <n v="324"/>
    <n v="40747479"/>
    <n v="0"/>
    <n v="0"/>
    <n v="40747479"/>
    <s v="3242.43.4302.84.0-205400.2.3.2.02.02.009.03."/>
    <n v="52010802"/>
    <n v="0"/>
    <n v="40747479"/>
  </r>
  <r>
    <n v="317"/>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BÉISBOL, EN LAS MODALIDADES PREPARADOR DE TERCERA Y PREPARADOR DE INFILDER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1"/>
    <s v="NO"/>
    <s v="FEBRERO"/>
    <s v="FEBRERO"/>
    <n v="123"/>
    <s v="ALEJANDRO VEGA OSORIO "/>
    <n v="325"/>
    <n v="40747479"/>
    <n v="0"/>
    <n v="0"/>
    <n v="40747479"/>
    <s v="3252.43.4302.84.0-205400.2.3.2.02.02.009.03."/>
    <n v="52010802"/>
    <n v="0"/>
    <n v="40747479"/>
  </r>
  <r>
    <n v="318"/>
    <n v="80111600"/>
    <s v="SUBGERENCIA DE ALTOS LOGROS Y DEPORTE ASOCIADO"/>
    <s v="INVERSIÓN"/>
    <x v="13"/>
    <n v="2024003050084"/>
    <x v="56"/>
    <s v="050079"/>
    <n v="26545593"/>
    <s v="PRESTACIÓN DE SERVICIOS DE UN ENTRENADOR PARA LA REALIZACIÓN DEL PROCESO DE SELECCIÓN, ENTRENAMIENTO DEPORTIVO EN LA SUBREGIÓN DE URABÁ ZONA NORTE Y PARTICIPACIÓN EN COMPETENCIAS EN LA LIGA ANTIOQUEÑA DE BÉISBOL,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2"/>
    <s v="NO"/>
    <s v="FEBRERO"/>
    <s v="FEBRERO"/>
    <n v="124"/>
    <s v="ANGEL AUGUSTO ARRIETA ARTEAGA"/>
    <n v="407"/>
    <n v="26545593"/>
    <n v="0"/>
    <n v="0"/>
    <n v="26545593"/>
    <s v="4072.43.4302.84.0-205400.2.3.2.02.02.009.03."/>
    <n v="52010802"/>
    <n v="0"/>
    <n v="26545593"/>
  </r>
  <r>
    <n v="319"/>
    <n v="80111600"/>
    <s v="SUBGERENCIA DE ALTOS LOGROS Y DEPORTE ASOCIADO"/>
    <s v="INVERSIÓN"/>
    <x v="13"/>
    <n v="2024003050084"/>
    <x v="56"/>
    <s v="050079"/>
    <n v="26545593"/>
    <s v="PRESTACIÓN DE SERVICIOS DE UN ENTRENADOR PARA LA REALIZACIÓN DEL PROCESO DE SELECCIÓN, ENTRENAMIENTO DEPORTIVO EN LA SUBREGIÓN DE URABÁ ZONA SUR Y PARTICIPACIÓN EN COMPETENCIAS EN LA LIGA ANTIOQUEÑA DE BÉISBOL, EN LOS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3"/>
    <s v="NO"/>
    <s v="FEBRERO"/>
    <s v="FEBRERO"/>
    <n v="125"/>
    <s v="EDILBERTO JORDAN SALGADO"/>
    <n v="392"/>
    <n v="26545593"/>
    <n v="0"/>
    <n v="0"/>
    <n v="26545593"/>
    <s v="3922.43.4302.84.0-205400.2.3.2.02.02.009.03."/>
    <n v="52010802"/>
    <n v="0"/>
    <n v="26545593"/>
  </r>
  <r>
    <n v="32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JEDREZ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4"/>
    <s v="NO"/>
    <s v="FEBRERO"/>
    <s v="FEBRERO"/>
    <n v="126"/>
    <s v="DAVID ARENAS VANEGAS"/>
    <n v="389"/>
    <n v="61147776"/>
    <n v="0"/>
    <n v="0"/>
    <n v="61147776"/>
    <s v="3892.43.4302.84.0-205400.2.3.2.02.02.009.03."/>
    <n v="52010802"/>
    <n v="0"/>
    <n v="61147776"/>
  </r>
  <r>
    <n v="32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 AJEDREZ DE ANTIOQUIA,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5"/>
    <s v="NO"/>
    <s v="FEBRERO"/>
    <s v="FEBRERO"/>
    <n v="127"/>
    <s v="HENRY JHONHADER PANESSO RIVERA"/>
    <n v="403"/>
    <n v="61147776"/>
    <n v="0"/>
    <n v="0"/>
    <n v="61147776"/>
    <s v="4032.43.4302.84.0-205400.2.3.2.02.02.009.03."/>
    <n v="52010802"/>
    <n v="0"/>
    <n v="61147776"/>
  </r>
  <r>
    <n v="322"/>
    <n v="80111600"/>
    <s v="SUBGERENCIA DE ALTOS LOGROS Y DEPORTE ASOCIADO"/>
    <s v="INVERSIÓN"/>
    <x v="13"/>
    <n v="2024003050084"/>
    <x v="56"/>
    <s v="050079"/>
    <n v="50609170"/>
    <s v="PRESTACIÓN DE SERVICIOS DE UN ENTRENADOR DE INICIACIÓN Y DESARROLLO DEPORTIVO PARA LA CONSECUCIÓN DE NUEVOS TALENTOS PARA LA  LIGA DE AJEDREZ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6"/>
    <s v="NO"/>
    <s v="FEBRERO"/>
    <s v="FEBRERO"/>
    <n v="128"/>
    <s v="WILSON ALEXANDER GARCÍA ARBELAEZ"/>
    <n v="399"/>
    <n v="50609170"/>
    <n v="0"/>
    <n v="0"/>
    <n v="50609170"/>
    <s v="3992.43.4302.84.0-205400.2.3.2.02.02.009.03."/>
    <n v="52010802"/>
    <n v="0"/>
    <n v="50609170"/>
  </r>
  <r>
    <n v="323"/>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DE AJEDREZ DE ANTIOQUIA,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7"/>
    <s v="NO"/>
    <s v="FEBRERO"/>
    <s v="FEBRERO"/>
    <n v="129"/>
    <s v="ESTEBAN ALBERTO VALDERRAMA QUICENO"/>
    <n v="402"/>
    <n v="40747479"/>
    <n v="0"/>
    <n v="0"/>
    <n v="40747479"/>
    <s v="4022.43.4302.84.0-205400.2.3.2.02.02.009.03."/>
    <n v="52010802"/>
    <n v="0"/>
    <n v="40747479"/>
  </r>
  <r>
    <n v="324"/>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AJEDREZ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8"/>
    <s v="NO"/>
    <s v="FEBRERO"/>
    <s v="FEBRERO"/>
    <n v="294"/>
    <s v="ROBERTO GARCIA PANTOJA "/>
    <s v=""/>
    <n v="0"/>
    <n v="26545593"/>
    <n v="0"/>
    <n v="0"/>
    <s v="2.43.4302.84.0-205400.2.3.2.02.02.009.03."/>
    <n v="52010802"/>
    <s v=""/>
    <s v=""/>
  </r>
  <r>
    <n v="325"/>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UTBOL DE SALÓN,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59"/>
    <s v="NO"/>
    <s v="FEBRERO"/>
    <s v="FEBRERO"/>
    <n v="130"/>
    <s v="DIEGO ALBERTO MONTOYA GOMEZ"/>
    <n v="308"/>
    <n v="50609170"/>
    <n v="0"/>
    <n v="0"/>
    <n v="50609170"/>
    <s v="3082.43.4302.84.0-205400.2.3.2.02.02.009.03."/>
    <n v="52010802"/>
    <n v="0"/>
    <n v="50609170"/>
  </r>
  <r>
    <n v="326"/>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FUTBOL DE SALÓN,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0"/>
    <s v="NO"/>
    <s v="FEBRERO"/>
    <s v="FEBRERO"/>
    <n v="131"/>
    <s v="JUAN DAVID ACEVEDO FLOREZ"/>
    <n v="309"/>
    <n v="50609170"/>
    <n v="0"/>
    <n v="0"/>
    <n v="50609170"/>
    <s v="3092.43.4302.84.0-205400.2.3.2.02.02.009.03."/>
    <n v="52010802"/>
    <n v="0"/>
    <n v="50609170"/>
  </r>
  <r>
    <n v="32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FUTBOL DE SALÓN,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1"/>
    <s v="NO"/>
    <s v="FEBRERO"/>
    <s v="FEBRERO"/>
    <n v="295"/>
    <s v="LUIS FELIPE JIMENEZ HINCAPIE"/>
    <s v=""/>
    <n v="0"/>
    <n v="26545593"/>
    <n v="0"/>
    <n v="0"/>
    <s v="2.43.4302.84.0-205400.2.3.2.02.02.009.03."/>
    <n v="52010802"/>
    <s v=""/>
    <s v=""/>
  </r>
  <r>
    <n v="328"/>
    <n v="80111600"/>
    <s v="SUBGERENCIA DE ALTOS LOGROS Y DEPORTE ASOCIADO"/>
    <s v="INVERSIÓN"/>
    <x v="13"/>
    <n v="2024003050084"/>
    <x v="56"/>
    <s v="050079"/>
    <n v="50609170"/>
    <s v="PRESTACIÓN DE SERVICIOS DE UN ENTRENADOR ASISTENTE PARA LA REALIZACIÓN DEL PROCESO DE SELECCIÓN, ENTRENAMIENTO DEPORTIVO Y PARTICIPACIÓN EN COMPETENCIAS EN LA LIGA ANTIOQUEÑA DE FUTBOL DE SALÓN, EN LA RAMA FEMEN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2"/>
    <s v="NO"/>
    <s v="FEBRERO"/>
    <s v="FEBRERO"/>
    <n v="132"/>
    <s v="JOHN ALEXANDER ALCARAZ CERON"/>
    <n v="333"/>
    <n v="50609170"/>
    <n v="0"/>
    <n v="0"/>
    <n v="50609170"/>
    <s v="3332.43.4302.84.0-205400.2.3.2.02.02.009.03."/>
    <n v="52010802"/>
    <n v="0"/>
    <n v="50609170"/>
  </r>
  <r>
    <n v="329"/>
    <n v="80111600"/>
    <s v="SUBGERENCIA DE ALTOS LOGROS Y DEPORTE ASOCIADO"/>
    <s v="INVERSIÓN"/>
    <x v="13"/>
    <n v="2024003050084"/>
    <x v="56"/>
    <s v="050079"/>
    <n v="50609170"/>
    <s v="PRESTACIÓN DE SERVICIOS DE UN ENTRENADOR DE INICIACIÓN Y DESARROLLO DEPORTIVO PARA LA CONSECUCIÓN DE NUEVOS TALENTOS PARA LA LIGA ANTIOQUEÑA DE FÚTBOL DE SALÓN,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3"/>
    <s v="NO"/>
    <s v="FEBRERO"/>
    <s v="FEBRERO"/>
    <n v="133"/>
    <s v="SEBASTIAN GONZALEZ TAMAYO "/>
    <n v="397"/>
    <n v="50609170"/>
    <n v="0"/>
    <n v="0"/>
    <n v="50609170"/>
    <s v="3972.43.4302.84.0-205400.2.3.2.02.02.009.03."/>
    <n v="52010802"/>
    <n v="0"/>
    <n v="50609170"/>
  </r>
  <r>
    <n v="330"/>
    <n v="80111600"/>
    <s v="SUBGERENCIA DE ALTOS LOGROS Y DEPORTE ASOCIADO"/>
    <s v="INVERSIÓN"/>
    <x v="13"/>
    <n v="2024003050084"/>
    <x v="56"/>
    <s v="050079"/>
    <n v="61147776"/>
    <s v="PRESTACIÓN DE SERVICIOS DE UN ENTRENADOR DE DESARROLLO DEPORTIVO PARA LA CONSECUCIÓN DE NUEVOS TALENTOS PARA LA LIGA ANTIOQUEÑA DE FÚTBOL DE SALÓN, EN CATEGORÍAS DE JUNIORS Y JUVENI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4"/>
    <s v="NO"/>
    <s v="FEBRERO"/>
    <s v="FEBRERO"/>
    <n v="134"/>
    <s v="JOHANY ALEJANDRO VERGARA CASTAÑO"/>
    <n v="396"/>
    <n v="61147776"/>
    <n v="0"/>
    <n v="0"/>
    <n v="61147776"/>
    <s v="3962.43.4302.84.0-205400.2.3.2.02.02.009.03."/>
    <n v="52010802"/>
    <n v="0"/>
    <n v="61147776"/>
  </r>
  <r>
    <n v="33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TIRO DEPORTIVO, EN LA MODALIDAD RIFL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5"/>
    <s v="NO"/>
    <s v="FEBRERO"/>
    <s v="FEBRERO"/>
    <n v="135"/>
    <s v="ALVARO DUBAN MUÑOZ ECHEVERRI"/>
    <n v="326"/>
    <n v="61147776"/>
    <n v="0"/>
    <n v="0"/>
    <n v="61147776"/>
    <s v="3262.43.4302.84.0-205400.2.3.2.02.02.009.03."/>
    <n v="52010802"/>
    <n v="0"/>
    <n v="61147776"/>
  </r>
  <r>
    <n v="33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IRO DEPORTIVO, EN LA MODALIDAD PISTOL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6"/>
    <s v="NO"/>
    <s v="FEBRERO"/>
    <s v="FEBRERO"/>
    <n v="136"/>
    <s v="JUANA RUEDA VARGAS"/>
    <n v="327"/>
    <n v="40747479"/>
    <n v="0"/>
    <n v="0"/>
    <n v="40747479"/>
    <s v="3272.43.4302.84.0-205400.2.3.2.02.02.009.03."/>
    <n v="52010802"/>
    <n v="0"/>
    <n v="40747479"/>
  </r>
  <r>
    <n v="33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SOFTBOL DE ANTIOQUIA,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7"/>
    <s v="NO"/>
    <s v="FEBRERO"/>
    <s v="FEBRERO"/>
    <n v="137"/>
    <s v="FREDY JOSE BARON MUÑOZ"/>
    <n v="335"/>
    <n v="50609170"/>
    <n v="0"/>
    <n v="0"/>
    <n v="50609170"/>
    <s v="3352.43.4302.84.0-205400.2.3.2.02.02.009.03."/>
    <n v="52010802"/>
    <n v="0"/>
    <n v="50609170"/>
  </r>
  <r>
    <n v="334"/>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SOFTBOL DE ANTIOQUIA,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8"/>
    <s v="NO"/>
    <s v="FEBRERO"/>
    <s v="FEBRERO"/>
    <n v="138"/>
    <s v="DARLYS PAOLA PEREZ BEGAMBRE "/>
    <n v="338"/>
    <n v="26545593"/>
    <n v="0"/>
    <n v="0"/>
    <n v="26545593"/>
    <s v="3382.43.4302.84.0-205400.2.3.2.02.02.009.03."/>
    <n v="52010802"/>
    <n v="0"/>
    <n v="26545593"/>
  </r>
  <r>
    <n v="335"/>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SOFTBOL DE ANTIOQUIA, EN LA RAMA MASCULIN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69"/>
    <s v="NO"/>
    <s v="FEBRERO"/>
    <s v="FEBRERO"/>
    <n v="298"/>
    <s v="LUIS ALBERTO GARCES CARVAJALINO"/>
    <s v=""/>
    <n v="0"/>
    <n v="26545593"/>
    <n v="0"/>
    <n v="0"/>
    <s v="2.43.4302.84.0-205400.2.3.2.02.02.009.03."/>
    <n v="52010802"/>
    <s v=""/>
    <s v=""/>
  </r>
  <r>
    <n v="336"/>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SOFTBOL DE ANTIOQUIA, RAMA MASCUL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0"/>
    <s v="NO"/>
    <s v="FEBRERO"/>
    <s v="FEBRERO"/>
    <n v="139"/>
    <s v="JADER CORREA BARON"/>
    <n v="343"/>
    <n v="26545593"/>
    <n v="0"/>
    <n v="0"/>
    <n v="26545593"/>
    <s v="3432.43.4302.84.0-205400.2.3.2.02.02.009.03."/>
    <n v="52010802"/>
    <n v="0"/>
    <n v="26545593"/>
  </r>
  <r>
    <n v="337"/>
    <n v="80111600"/>
    <s v="SUBGERENCIA DE ALTOS LOGROS Y DEPORTE ASOCIADO"/>
    <s v="INVERSIÓN"/>
    <x v="13"/>
    <n v="2024003050084"/>
    <x v="56"/>
    <s v="050079"/>
    <n v="26545593"/>
    <s v="PRESTACIÓN DE SERVICIOS DE UN ENTRENADOR DE INICIACIÓN Y DESARROLLO DEPORTIVO EN LA SUBREGIÓN DE URABÁ PARA LA CONSECUCIÓN DE NUEVOS TALENTOS PARA LA LIGA DE SÓFTBOL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1"/>
    <s v="NO"/>
    <s v="FEBRERO"/>
    <s v="FEBRERO"/>
    <n v="140"/>
    <s v="WALTER GABRIEL PINTO VILORIA"/>
    <n v="412"/>
    <n v="26545593"/>
    <n v="0"/>
    <n v="0"/>
    <n v="26545593"/>
    <s v="4122.43.4302.84.0-205400.2.3.2.02.02.009.03."/>
    <n v="52010802"/>
    <n v="0"/>
    <n v="26545593"/>
  </r>
  <r>
    <n v="338"/>
    <n v="80111600"/>
    <s v="SUBGERENCIA DE ALTOS LOGROS Y DEPORTE ASOCIADO"/>
    <s v="INVERSIÓN"/>
    <x v="13"/>
    <n v="2024003050084"/>
    <x v="56"/>
    <s v="050079"/>
    <n v="50609170"/>
    <s v="PRESTACIÓN DE SERVICIOS DE UN ENTRENADOR PARA LA REALIZACIÓN DEL PROCESO DE PREPARACIÓN FÍSICA Y CONDICIONAL EN LOS DEPORTES DE BOLO, BÉISBOL, SQUASH Y RUGBY O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2"/>
    <s v="NO"/>
    <s v="FEBRERO"/>
    <s v="FEBRERO"/>
    <n v="141"/>
    <s v="DIANA MARCELA GALLO GIRALDO "/>
    <n v="398"/>
    <n v="50609170"/>
    <n v="0"/>
    <n v="0"/>
    <n v="50609170"/>
    <s v="3982.43.4302.84.0-205400.2.3.2.02.02.009.03."/>
    <n v="52010802"/>
    <n v="0"/>
    <n v="50609170"/>
  </r>
  <r>
    <n v="339"/>
    <n v="80111600"/>
    <s v="SUBGERENCIA DE ALTOS LOGROS Y DEPORTE ASOCIADO"/>
    <s v="INVERSIÓN"/>
    <x v="13"/>
    <n v="2024003050084"/>
    <x v="56"/>
    <s v="050079"/>
    <n v="26545593"/>
    <s v="PRESTACIÓN DE SERVICIOS DE UN ENTRENADOR DE INICIACIÓN Y DESARROLLO EN LOS MUNICIPIOS DEL ÁREA METROPOLITANA PARA LA REALIZACIÓN DEL PROCESO DE SELECCIÓN, ENTRENAMIENTO DEPORTIVO Y PARTICIPACIÓN EN COMPETENCIAS DE LA LIGA DE BILLAR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3"/>
    <s v="NO"/>
    <s v="FEBRERO"/>
    <s v="FEBRERO"/>
    <n v="142"/>
    <s v="CARLOS ENRIQUE PLATA BUSTAMANTE"/>
    <n v="409"/>
    <n v="26545593"/>
    <n v="0"/>
    <n v="0"/>
    <n v="26545593"/>
    <s v="4092.43.4302.84.0-205400.2.3.2.02.02.009.03."/>
    <n v="52010802"/>
    <n v="0"/>
    <n v="26545593"/>
  </r>
  <r>
    <n v="340"/>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NATACIÓN CARRER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4"/>
    <s v="NO"/>
    <s v="FEBRERO"/>
    <s v="FEBRERO"/>
    <n v="299"/>
    <s v="JUAN ESTEBAN AGUDELO ZEA "/>
    <s v=""/>
    <n v="0"/>
    <n v="40747479"/>
    <n v="0"/>
    <n v="0"/>
    <s v="2.43.4302.84.0-205400.2.3.2.02.02.009.03."/>
    <n v="52010802"/>
    <s v=""/>
    <s v=""/>
  </r>
  <r>
    <n v="34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NATACIÓN CARRERAS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5"/>
    <s v="NO"/>
    <s v="FEBRERO"/>
    <s v="FEBRERO"/>
    <n v="143"/>
    <s v="MONICA MARIA CORTINEZ BEDOYA"/>
    <n v="351"/>
    <n v="40747479"/>
    <n v="0"/>
    <n v="0"/>
    <n v="40747479"/>
    <s v="3512.43.4302.84.0-205400.2.3.2.02.02.009.03."/>
    <n v="52010802"/>
    <n v="0"/>
    <n v="40747479"/>
  </r>
  <r>
    <n v="34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NATACIÓN CARRERAS,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6"/>
    <s v="NO"/>
    <s v="FEBRERO"/>
    <s v="FEBRERO"/>
    <n v="144"/>
    <s v="CLAUDIA ANDREA ARENAS CASTAÑO"/>
    <n v="353"/>
    <n v="40747479"/>
    <n v="0"/>
    <n v="0"/>
    <n v="40747479"/>
    <s v="3532.43.4302.84.0-205400.2.3.2.02.02.009.03."/>
    <n v="52010802"/>
    <n v="0"/>
    <n v="40747479"/>
  </r>
  <r>
    <n v="343"/>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MODALIDAD DE PARA NATACIÓN EN LAS DIFERENTES DISCAPACIDADES EN LA SUBREGIÓN DE URABÁ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7"/>
    <s v="NO"/>
    <s v="FEBRERO"/>
    <s v="FEBRERO"/>
    <n v="145"/>
    <s v="NESTOR IVAN MOYA ARIAS "/>
    <n v="355"/>
    <n v="26545593"/>
    <n v="0"/>
    <n v="0"/>
    <n v="26545593"/>
    <s v="3552.43.4302.84.0-205400.2.3.2.02.02.009.03."/>
    <n v="52010802"/>
    <n v="0"/>
    <n v="26545593"/>
  </r>
  <r>
    <n v="344"/>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NATACIÓN CARRERAS CON DISCAPACIDAD VISUA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8"/>
    <s v="NO"/>
    <s v="FEBRERO"/>
    <s v="FEBRERO"/>
    <n v="146"/>
    <s v="JOHN ALEJANDRO MACIAS GIL"/>
    <n v="358"/>
    <n v="40747479"/>
    <n v="0"/>
    <n v="0"/>
    <n v="40747479"/>
    <s v="3582.43.4302.84.0-205400.2.3.2.02.02.009.03."/>
    <n v="52010802"/>
    <n v="0"/>
    <n v="40747479"/>
  </r>
  <r>
    <n v="345"/>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FÚTBOL SAL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79"/>
    <s v="NO"/>
    <s v="FEBRERO"/>
    <s v="FEBRERO"/>
    <n v="147"/>
    <s v="WILBER OXFANDER QUINTERO ROJAS"/>
    <n v="148"/>
    <n v="40747479"/>
    <n v="0"/>
    <n v="0"/>
    <n v="40747479"/>
    <s v="1482.43.4302.84.0-205400.2.3.2.02.02.009.03."/>
    <n v="52010802"/>
    <n v="0"/>
    <n v="40747479"/>
  </r>
  <r>
    <n v="346"/>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DEPORTISTAS CON DISCAPACIDAD VISUAL DE ANTIOQUIA -DIVISA, EN LA MODALIDAD PARA JU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0"/>
    <s v="NO"/>
    <s v="FEBRERO"/>
    <s v="FEBRERO"/>
    <n v="300"/>
    <s v="JORGE MARIO ARBELAEZ AGUILAR "/>
    <s v=""/>
    <n v="0"/>
    <n v="26545593"/>
    <n v="0"/>
    <n v="0"/>
    <s v="2.43.4302.84.0-205400.2.3.2.02.02.009.03."/>
    <n v="52010802"/>
    <s v=""/>
    <s v=""/>
  </r>
  <r>
    <n v="34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DE DEPORTISTAS CON DISCAPACIDAD VISUAL DE ANTIOQUIA -DIVISA, EN LA MODALIDAD PARA JU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1"/>
    <s v="NO"/>
    <s v="FEBRERO"/>
    <s v="FEBRERO"/>
    <n v="301"/>
    <s v="MIGUEL MAURICIO MACIAS "/>
    <s v=""/>
    <n v="0"/>
    <n v="26545593"/>
    <n v="0"/>
    <n v="0"/>
    <s v="2.43.4302.84.0-205400.2.3.2.02.02.009.03."/>
    <n v="52010802"/>
    <s v=""/>
    <s v=""/>
  </r>
  <r>
    <n v="348"/>
    <n v="80111600"/>
    <s v="SUBGERENCIA DE ALTOS LOGROS Y DEPORTE ASOCIADO"/>
    <s v="INVERSIÓN"/>
    <x v="13"/>
    <n v="2024003050084"/>
    <x v="56"/>
    <s v="050079"/>
    <n v="50609170"/>
    <s v="PRESTACIÓN DE SERVICIOS DE UN INTÉRPRETE EN LENGUA DE SEÑAS PARA APOYAR A LOS PARA ATLETAS DE LA LIGA DEPORTIVA DE PERSONAS SORDAS DE ANTIOQUIA LISANT, EN LOS ENTRENAMIENTOS, LAS COMPETENCIAS Y ACOMPAÑAMIENTO EN EVENTOS PROPIOS DE LOS ATLETA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2"/>
    <s v="NO"/>
    <s v="FEBRERO"/>
    <s v="FEBRERO"/>
    <n v="148"/>
    <s v="MARIA ISABEL SANCHEZ PATIÑO"/>
    <n v="360"/>
    <n v="50609170"/>
    <n v="0"/>
    <n v="0"/>
    <n v="50609170"/>
    <s v="3602.43.4302.84.0-205400.2.3.2.02.02.009.03."/>
    <n v="52010802"/>
    <n v="0"/>
    <n v="50609170"/>
  </r>
  <r>
    <n v="34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PARA-POWERLIFTING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3"/>
    <s v="NO"/>
    <s v="FEBRERO"/>
    <s v="FEBRERO"/>
    <n v="149"/>
    <s v="FABIAN ALBERTO DÍAZ BEDOYA"/>
    <n v="150"/>
    <n v="40747479"/>
    <n v="0"/>
    <n v="0"/>
    <n v="40747479"/>
    <s v="1502.43.4302.84.0-205400.2.3.2.02.02.009.03."/>
    <n v="52010802"/>
    <n v="0"/>
    <n v="40747479"/>
  </r>
  <r>
    <n v="350"/>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TENIS DE MESA DE ANTIOQUIA, EN LA MODALIDAD PARA TENIS DE MESA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4"/>
    <s v="NO"/>
    <s v="FEBRERO"/>
    <s v="FEBRERO"/>
    <n v="291"/>
    <s v="JOHANA MARCELA ARAQUE MEJIA"/>
    <s v=""/>
    <n v="0"/>
    <n v="50609170"/>
    <n v="0"/>
    <n v="0"/>
    <s v="2.43.4302.84.0-205400.2.3.2.02.02.009.03."/>
    <n v="52010802"/>
    <s v=""/>
    <s v=""/>
  </r>
  <r>
    <n v="351"/>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DEPORTIVA DE PERSONAS SORDAS DE ANTIOQUIA, EN LA MODALIDAD PARA ATLETISMO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5"/>
    <s v="NO"/>
    <s v="FEBRERO"/>
    <s v="FEBRERO"/>
    <n v="150"/>
    <s v="DIONI ESTEBAN SANCHEZ DIOSA"/>
    <n v="344"/>
    <n v="61147776"/>
    <n v="0"/>
    <n v="0"/>
    <n v="61147776"/>
    <s v="3442.43.4302.84.0-205400.2.3.2.02.02.009.03."/>
    <n v="52010802"/>
    <n v="0"/>
    <n v="61147776"/>
  </r>
  <r>
    <n v="352"/>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SALA RAMA MASCUL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6"/>
    <s v="NO"/>
    <s v="FEBRERO"/>
    <s v="FEBRERO"/>
    <n v="151"/>
    <s v="JUAN CARLOS MUÑOZ AGUDELO"/>
    <n v="347"/>
    <n v="40747479"/>
    <n v="0"/>
    <n v="0"/>
    <n v="40747479"/>
    <s v="3472.43.4302.84.0-205400.2.3.2.02.02.009.03."/>
    <n v="52010802"/>
    <n v="0"/>
    <n v="40747479"/>
  </r>
  <r>
    <n v="353"/>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SALA RAMA FEMEN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7"/>
    <s v="NO"/>
    <s v="FEBRERO"/>
    <s v="FEBRERO"/>
    <n v="152"/>
    <s v="JUAN PABLO PEREZ MEDINA"/>
    <n v="349"/>
    <n v="40747479"/>
    <n v="0"/>
    <n v="0"/>
    <n v="40747479"/>
    <s v="3492.43.4302.84.0-205400.2.3.2.02.02.009.03."/>
    <n v="52010802"/>
    <n v="0"/>
    <n v="40747479"/>
  </r>
  <r>
    <n v="354"/>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TENIS DE MES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8"/>
    <s v="NO"/>
    <s v="FEBRERO"/>
    <s v="FEBRERO"/>
    <n v="153"/>
    <s v="MARIA PATRICIA HENAO ECHEVERRI"/>
    <n v="352"/>
    <n v="40747479"/>
    <n v="0"/>
    <n v="0"/>
    <n v="40747479"/>
    <s v="3522.43.4302.84.0-205400.2.3.2.02.02.009.03."/>
    <n v="52010802"/>
    <n v="0"/>
    <n v="40747479"/>
  </r>
  <r>
    <n v="355"/>
    <n v="80111600"/>
    <s v="SUBGERENCIA DE ALTOS LOGROS Y DEPORTE ASOCIADO"/>
    <s v="INVERSIÓN"/>
    <x v="13"/>
    <n v="2024003050084"/>
    <x v="56"/>
    <s v="050079"/>
    <n v="50609170"/>
    <s v="PRESTACIÓN DE SERVICIOS DE UN ENTRENADOR ASISTENTE PARA LA REALIZACIÓN DEL PROCESO DE SELECCIÓN, ENTRENAMIENTO DEPORTIVO Y PARTICIPACIÓN EN COMPETENCIAS, EN LA MODALIDAD DE PARA ATLETISMO EN LAS DIFERENTES DISCAPACIDADES EN LA SUBREGIÓN DE URABÁ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89"/>
    <s v="NO"/>
    <s v="FEBRERO"/>
    <s v="FEBRERO"/>
    <n v="318"/>
    <s v="SERGIO HERNANDEZ URANGO"/>
    <s v=""/>
    <n v="0"/>
    <n v="50609170"/>
    <n v="0"/>
    <n v="0"/>
    <s v="2.43.4302.84.0-205400.2.3.2.02.02.009.03."/>
    <n v="52010802"/>
    <s v=""/>
    <s v=""/>
  </r>
  <r>
    <n v="356"/>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FÚTBOL   RAMA MASCULINA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0"/>
    <s v="NO"/>
    <s v="FEBRERO"/>
    <s v="FEBRERO"/>
    <n v="154"/>
    <s v="WILLIAM ALONSO OSORIO SOSA"/>
    <n v="356"/>
    <n v="40747479"/>
    <n v="0"/>
    <n v="0"/>
    <n v="40747479"/>
    <s v="3562.43.4302.84.0-205400.2.3.2.02.02.009.03."/>
    <n v="52010802"/>
    <n v="0"/>
    <n v="40747479"/>
  </r>
  <r>
    <n v="35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PORTIVA DE PERSONAS SORDAS DE ANTIOQUIA, EN LA MODALIDAD PARA BALONCESTO CON DISCAPACIDAD AUDITIV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1"/>
    <s v="NO"/>
    <s v="FEBRERO"/>
    <s v="FEBRERO"/>
    <n v="155"/>
    <s v="MANUEL ARTURO MONCADA BETANCUR "/>
    <n v="361"/>
    <n v="40747479"/>
    <n v="0"/>
    <n v="0"/>
    <n v="40747479"/>
    <s v="3612.43.4302.84.0-205400.2.3.2.02.02.009.03."/>
    <n v="52010802"/>
    <n v="0"/>
    <n v="40747479"/>
  </r>
  <r>
    <n v="35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PARAATLETISMO DE LOS DEPORTISTAS CON PARÁLISIS CEREBRAL EN LAS PRUEBAS DE PISTA, CON LOS DEPORTISTAS CON DISCAPACIDAD VISUAL Y FÍSICA EN LAS PRUEBAS DE FOND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2"/>
    <s v="NO"/>
    <s v="FEBRERO"/>
    <s v="FEBRERO"/>
    <n v="156"/>
    <s v="JUAN DAVID CORTES AGUDELO"/>
    <n v="364"/>
    <n v="40747479"/>
    <n v="0"/>
    <n v="0"/>
    <n v="40747479"/>
    <s v="3642.43.4302.84.0-205400.2.3.2.02.02.009.03."/>
    <n v="52010802"/>
    <n v="0"/>
    <n v="40747479"/>
  </r>
  <r>
    <n v="35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BOCCIA LABC, EN LAS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3"/>
    <s v="NO"/>
    <s v="FEBRERO"/>
    <s v="FEBRERO"/>
    <n v="157"/>
    <s v="MAURICIO GIRALDO VILLA"/>
    <n v="369"/>
    <n v="40747479"/>
    <n v="0"/>
    <n v="0"/>
    <n v="40747479"/>
    <s v="3692.43.4302.84.0-205400.2.3.2.02.02.009.03."/>
    <n v="52010802"/>
    <n v="0"/>
    <n v="40747479"/>
  </r>
  <r>
    <n v="360"/>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PARA- FÚTBOL 7 CON PARÁLISIS CEREBRA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4"/>
    <s v="NO"/>
    <s v="FEBRERO"/>
    <s v="FEBRERO"/>
    <n v="158"/>
    <s v="YEFREY ALEXANDER JARAMILLO CEBALLOS"/>
    <n v="374"/>
    <n v="26545593"/>
    <n v="0"/>
    <n v="0"/>
    <n v="26545593"/>
    <s v="3742.43.4302.84.0-205400.2.3.2.02.02.009.03."/>
    <n v="52010802"/>
    <n v="0"/>
    <n v="26545593"/>
  </r>
  <r>
    <n v="36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CYCLING,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5"/>
    <s v="NO"/>
    <s v="FEBRERO"/>
    <s v="FEBRERO"/>
    <n v="159"/>
    <s v="CARLOS ALBERTO OROZCO SANCHEZ"/>
    <n v="366"/>
    <n v="40747479"/>
    <n v="0"/>
    <n v="0"/>
    <n v="40747479"/>
    <s v="3662.43.4302.84.0-205400.2.3.2.02.02.009.03."/>
    <n v="52010802"/>
    <n v="0"/>
    <n v="40747479"/>
  </r>
  <r>
    <n v="362"/>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DE LIMITACIÓN MENTAL DE ANTIOQUIA - LIDIMANT, EN LA MODALIDAD PARA ATLETISM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6"/>
    <s v="NO"/>
    <s v="FEBRERO"/>
    <s v="FEBRERO"/>
    <n v="160"/>
    <s v="OSCAR ALIRIO URREGO CARTAGENA"/>
    <n v="367"/>
    <n v="50609170"/>
    <n v="0"/>
    <n v="0"/>
    <n v="50609170"/>
    <s v="3672.43.4302.84.0-205400.2.3.2.02.02.009.03."/>
    <n v="52010802"/>
    <n v="0"/>
    <n v="50609170"/>
  </r>
  <r>
    <n v="363"/>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LIMITACIÓN MENTAL DE ANTIOQUIA - LIDIMANT, EN LA MODALIDAD PARA BALONCESTO,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7"/>
    <s v="NO"/>
    <s v="FEBRERO"/>
    <s v="FEBRERO"/>
    <n v="161"/>
    <s v="EMMANUEL VELASQUEZ ALZATE"/>
    <n v="371"/>
    <n v="40747479"/>
    <n v="0"/>
    <n v="0"/>
    <n v="40747479"/>
    <s v="3712.43.4302.84.0-205400.2.3.2.02.02.009.03."/>
    <n v="52010802"/>
    <n v="0"/>
    <n v="40747479"/>
  </r>
  <r>
    <n v="364"/>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DE LOS ATLETAS DE TIRO PARADEPORTIVO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8"/>
    <s v="NO"/>
    <s v="FEBRERO"/>
    <s v="FEBRERO"/>
    <n v="162"/>
    <s v="URIEL GIL RENDON"/>
    <n v="373"/>
    <n v="50609170"/>
    <n v="0"/>
    <n v="0"/>
    <n v="50609170"/>
    <s v="3732.43.4302.84.0-205400.2.3.2.02.02.009.03."/>
    <n v="52010802"/>
    <n v="0"/>
    <n v="50609170"/>
  </r>
  <r>
    <n v="36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PARAATLETISMO DE LOS ATLETAS CON DISCAPACIDAD FÍSICA Y PARÁLISIS CEREBRAL EN LA MODALIDAD DE LANZAMIENTOS,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199"/>
    <s v="NO"/>
    <s v="FEBRERO"/>
    <s v="FEBRERO"/>
    <n v="163"/>
    <s v="ANYELA MARCELA RIVAS MORENO"/>
    <n v="376"/>
    <n v="61147776"/>
    <n v="0"/>
    <n v="0"/>
    <n v="61147776"/>
    <s v="3762.43.4302.84.0-205400.2.3.2.02.02.009.03."/>
    <n v="52010802"/>
    <n v="0"/>
    <n v="61147776"/>
  </r>
  <r>
    <n v="366"/>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PARAATLETISMO DE LOS ATLETAS CON DISCAPACIDAD VISUAL EN LAS PRUEBAS DE PISTA Y CAMPO Y LOS ATLETAS CON DISCAPACIDAD FÍSICA EN LAS PRUEBAS DE PIST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0"/>
    <s v="NO"/>
    <s v="FEBRERO"/>
    <s v="FEBRERO"/>
    <n v="164"/>
    <s v="LUIS ESTEBAN AGUIRRE ESTRADA"/>
    <n v="381"/>
    <n v="61147776"/>
    <n v="0"/>
    <n v="0"/>
    <n v="61147776"/>
    <s v="3812.43.4302.84.0-205400.2.3.2.02.02.009.03."/>
    <n v="52010802"/>
    <n v="0"/>
    <n v="61147776"/>
  </r>
  <r>
    <n v="36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AJEDREZ,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1"/>
    <s v="NO"/>
    <s v="FEBRERO"/>
    <s v="FEBRERO"/>
    <n v="302"/>
    <s v="JUAN CARLOS BARCO CARDONA"/>
    <s v=""/>
    <n v="0"/>
    <n v="40747479"/>
    <n v="0"/>
    <n v="0"/>
    <s v="2.43.4302.84.0-205400.2.3.2.02.02.009.03."/>
    <n v="52010802"/>
    <s v=""/>
    <s v=""/>
  </r>
  <r>
    <n v="36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BOWLING,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2"/>
    <s v="NO"/>
    <s v="FEBRERO"/>
    <s v="FEBRERO"/>
    <n v="165"/>
    <s v="JUAN FRANCISCO MENDEZ PARDO"/>
    <n v="383"/>
    <n v="40747479"/>
    <n v="0"/>
    <n v="0"/>
    <n v="40747479"/>
    <s v="3832.43.4302.84.0-205400.2.3.2.02.02.009.03."/>
    <n v="52010802"/>
    <n v="0"/>
    <n v="40747479"/>
  </r>
  <r>
    <n v="369"/>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DE LOS ATLETAS DE RUGBY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3"/>
    <s v="NO"/>
    <s v="FEBRERO"/>
    <s v="FEBRERO"/>
    <n v="166"/>
    <s v="SANTIAGO MONTOYA ARTEAGA"/>
    <n v="384"/>
    <n v="40747479"/>
    <n v="0"/>
    <n v="0"/>
    <n v="40747479"/>
    <s v="3842.43.4302.84.0-205400.2.3.2.02.02.009.03."/>
    <n v="52010802"/>
    <n v="0"/>
    <n v="40747479"/>
  </r>
  <r>
    <n v="370"/>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BALONCESTO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4"/>
    <s v="NO"/>
    <s v="FEBRERO"/>
    <s v="FEBRERO"/>
    <n v="167"/>
    <s v="DIEGO ALEJANDRO TORRES TORRES"/>
    <n v="386"/>
    <n v="26545593"/>
    <n v="0"/>
    <n v="0"/>
    <n v="26545593"/>
    <s v="3862.43.4302.84.0-205400.2.3.2.02.02.009.03."/>
    <n v="52010802"/>
    <n v="0"/>
    <n v="26545593"/>
  </r>
  <r>
    <n v="371"/>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DEPORTISTAS CON DISCAPACIDAD VISUAL DE ANTIOQUIA -DIVISA, EN LA MODALIDAD PARA FÚTBOL 5,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5"/>
    <s v="NO"/>
    <s v="FEBRERO"/>
    <s v="FEBRERO"/>
    <n v="303"/>
    <s v="SERGIO ANDRES GIRALDO ARISTIZABAL"/>
    <s v=""/>
    <n v="0"/>
    <n v="40747479"/>
    <n v="0"/>
    <n v="0"/>
    <s v="2.43.4302.84.0-205400.2.3.2.02.02.009.03."/>
    <n v="52010802"/>
    <s v=""/>
    <s v=""/>
  </r>
  <r>
    <n v="372"/>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EN LA LIGA DE DEPORTISTAS CON DISCAPACIDAD VISUAL DE ANTIOQUIA -DIVISA, EN LA MODALIDAD GOALLBALL,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82"/>
    <s v="NO"/>
    <s v="FEBRERO"/>
    <s v="FEBRERO"/>
    <n v="304"/>
    <s v="SEBASTIAN QUINTO RUIZ"/>
    <s v=""/>
    <n v="0"/>
    <n v="26545593"/>
    <n v="0"/>
    <n v="0"/>
    <s v="2.43.4302.84.0-205400.2.3.2.02.02.009.03."/>
    <n v="52010802"/>
    <s v=""/>
    <s v=""/>
  </r>
  <r>
    <n v="373"/>
    <n v="80111600"/>
    <s v="SUBGERENCIA DE ALTOS LOGROS Y DEPORTE ASOCIADO"/>
    <s v="INVERSIÓN"/>
    <x v="13"/>
    <n v="2024003050084"/>
    <x v="56"/>
    <s v="050079"/>
    <n v="26545593"/>
    <s v="PRESTACIÓN DE SERVICIOS DE UN ENTRENADOR PRINCIPAL PARA LA REALIZACIÓN DEL PROCESO DE SELECCIÓN, ENTRENAMIENTO DEPORTIVO Y PARTICIPACIÓN EN COMPETENCIAS DE LOS ATLETAS DE TENIS EN SILLA DE RUEDAS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6"/>
    <s v="NO"/>
    <s v="FEBRERO"/>
    <s v="FEBRERO"/>
    <n v="168"/>
    <s v="DAVID SANTIAGO SANCHEZ PUERTA "/>
    <n v="378"/>
    <n v="26545593"/>
    <n v="0"/>
    <n v="0"/>
    <n v="26545593"/>
    <s v="3782.43.4302.84.0-205400.2.3.2.02.02.009.03."/>
    <n v="52010802"/>
    <n v="0"/>
    <n v="26545593"/>
  </r>
  <r>
    <n v="374"/>
    <n v="80111600"/>
    <s v="SUBGERENCIA DE ALTOS LOGROS Y DEPORTE ASOCIADO"/>
    <s v="INVERSIÓN"/>
    <x v="13"/>
    <n v="2024003050084"/>
    <x v="56"/>
    <s v="050079"/>
    <n v="50609170"/>
    <s v="PRESTACIÓN DE SERVICIOS DE UN ENTRENADOR PARA LA REALIZACIÓN DEL PROCESO DE PREPARACIÓN FÍSICA Y CONDICIONAL EN LOS DEPORTES DE PARA FÚTBOL SALA, PARA BALONCESTO Y RUGBY EN SILLA DE RUEDAS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7"/>
    <s v="NO"/>
    <s v="FEBRERO"/>
    <s v="FEBRERO"/>
    <n v="169"/>
    <s v="DIEGO ALEJANDRO CUERVO PUERTA "/>
    <n v="405"/>
    <n v="50609170"/>
    <n v="0"/>
    <n v="0"/>
    <n v="50609170"/>
    <s v="4052.43.4302.84.0-205400.2.3.2.02.02.009.03."/>
    <n v="52010802"/>
    <n v="0"/>
    <n v="50609170"/>
  </r>
  <r>
    <n v="375"/>
    <n v="80111600"/>
    <s v="SUBGERENCIA DE ALTOS LOGROS Y DEPORTE ASOCIADO"/>
    <s v="INVERSIÓN"/>
    <x v="13"/>
    <n v="2024003050084"/>
    <x v="56"/>
    <s v="050079"/>
    <n v="50609170"/>
    <s v="PRESTACIÓN DE SERVICIOS DE UN ENTRENADOR PARA LA REALIZACIÓN DEL PROCESO DE PREPARACIÓN FÍSICA Y CONDICIONAL EN LOS DEPORTES DE PARA POWERLIFTING, TIRO PARADEPORTIVO Y PARATENIS DE MESA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8"/>
    <s v="NO"/>
    <s v="FEBRERO"/>
    <s v="FEBRERO"/>
    <n v="170"/>
    <s v="GIOVANNY RIOS SARMIENTO "/>
    <n v="406"/>
    <n v="50609170"/>
    <n v="0"/>
    <n v="0"/>
    <n v="50609170"/>
    <s v="4062.43.4302.84.0-205400.2.3.2.02.02.009.03."/>
    <n v="52010802"/>
    <n v="0"/>
    <n v="50609170"/>
  </r>
  <r>
    <n v="376"/>
    <n v="80111600"/>
    <s v="SUBGERENCIA DE ALTOS LOGROS Y DEPORTE ASOCIADO"/>
    <s v="INVERSIÓN"/>
    <x v="13"/>
    <n v="2024003050084"/>
    <x v="56"/>
    <s v="050079"/>
    <n v="50609170"/>
    <s v="PRESTACIÓN DE SERVICIOS DE UN ENTRENADOR PARA LA REALIZACIÓN DEL PROCESO DE PREPARACIÓN FÍSICA Y CONDICIONAL EN EL DEPORTE DE PARA ATLETISMO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09"/>
    <s v="NO"/>
    <s v="FEBRERO"/>
    <s v="FEBRERO"/>
    <n v="171"/>
    <s v="JOHN FREDY ARANGO PANIAGUA "/>
    <n v="410"/>
    <n v="50609170"/>
    <n v="0"/>
    <n v="0"/>
    <n v="50609170"/>
    <s v="4102.43.4302.84.0-205400.2.3.2.02.02.009.03."/>
    <n v="52010802"/>
    <n v="0"/>
    <n v="50609170"/>
  </r>
  <r>
    <n v="377"/>
    <n v="80111600"/>
    <s v="SUBGERENCIA DE ALTOS LOGROS Y DEPORTE ASOCIADO"/>
    <s v="INVERSIÓN"/>
    <x v="13"/>
    <n v="2024003050084"/>
    <x v="56"/>
    <s v="050079"/>
    <n v="50609170"/>
    <s v="PRESTACIÓN DE SERVICIOS DE UN ENTRENADOR PARA LA REALIZACIÓN DEL PROCESO DE PREPARACIÓN FÍSICA Y CONDICIONAL EN LOS DEPORTES DE PARA NATACIÓN Y PARA AJEDREZ EN LAS MODALIDADES Y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0"/>
    <s v="NO"/>
    <s v="FEBRERO"/>
    <s v="FEBRERO"/>
    <n v="172"/>
    <s v="ALEJANDRO ESTEBAN VALENCIA CALDERON "/>
    <n v="404"/>
    <n v="50609170"/>
    <n v="0"/>
    <n v="0"/>
    <n v="50609170"/>
    <s v="4042.43.4302.84.0-205400.2.3.2.02.02.009.03."/>
    <n v="52010802"/>
    <n v="0"/>
    <n v="50609170"/>
  </r>
  <r>
    <n v="378"/>
    <n v="80111600"/>
    <s v="SUBGERENCIA DE ALTOS LOGROS Y DEPORTE ASOCIADO"/>
    <s v="INVERSIÓN"/>
    <x v="13"/>
    <n v="2024003050084"/>
    <x v="56"/>
    <s v="050079"/>
    <n v="26545593"/>
    <s v="PRESTACIÓN DE SERVICIOS DE UN ENTRENADOR PRINCIPAL PARA LA REALIZACIÓN DEL PROCESO DE DESARROLLO, SELECCIÓN, ENTRENAMIENTO DEPORTIVO Y PARTICIPACIÓN EN COMPETENCIAS DE ESQUÍ NÁUTICO, EN MODALIDADES Y CATEGORÍAS DE JUEGOS NACIONALES."/>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s v=""/>
    <s v="NO"/>
    <s v="FEBRERO"/>
    <s v="FEBRERO"/>
    <s v=""/>
    <s v=""/>
    <s v=""/>
    <n v="0"/>
    <n v="26545593"/>
    <n v="0"/>
    <n v="0"/>
    <s v="2.43.4302.84.0-205400.2.3.2.02.02.009.03."/>
    <n v="52010802"/>
    <s v=""/>
    <s v=""/>
  </r>
  <r>
    <n v="379"/>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ANOTAJE DE ANTIOQUIA, EN LA MODALIDAD CANO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2"/>
    <s v="NO"/>
    <s v="FEBRERO"/>
    <s v="FEBRERO"/>
    <n v="173"/>
    <s v="DANIEL JOSE CONTRERAS NAVARRO"/>
    <n v="388"/>
    <n v="61147776"/>
    <n v="0"/>
    <n v="0"/>
    <n v="61147776"/>
    <s v="3882.43.4302.84.0-205400.2.3.2.02.02.009.03."/>
    <n v="52010802"/>
    <n v="0"/>
    <n v="61147776"/>
  </r>
  <r>
    <n v="380"/>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ANOTAJE DE ANTIOQUIA, EN LA MODALIDAD KAYAK,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3"/>
    <s v="NO"/>
    <s v="FEBRERO"/>
    <s v="FEBRERO"/>
    <n v="174"/>
    <s v="JOSE MILLER CABANZO ACOSTA"/>
    <n v="382"/>
    <n v="61147776"/>
    <n v="0"/>
    <n v="0"/>
    <n v="61147776"/>
    <s v="3822.43.4302.84.0-205400.2.3.2.02.02.009.03."/>
    <n v="52010802"/>
    <n v="0"/>
    <n v="61147776"/>
  </r>
  <r>
    <n v="381"/>
    <n v="80111600"/>
    <s v="SUBGERENCIA DE ALTOS LOGROS Y DEPORTE ASOCIADO"/>
    <s v="INVERSIÓN"/>
    <x v="13"/>
    <n v="2024003050084"/>
    <x v="56"/>
    <s v="050079"/>
    <n v="61147776"/>
    <s v="PRESTACIÓN DE SERVICIOS DE UN ENTRENADOR DE INICIACIÓN Y DESARROLLO DEPORTIVO PARA LA CONSECUCIÓN DE NUEVOS TALENTOS PARA LA LIGA DE CANOTAJE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4"/>
    <s v="NO"/>
    <s v="FEBRERO"/>
    <s v="FEBRERO"/>
    <n v="175"/>
    <s v="CAMILO ARTURO HINCAPIE HERNANDEZ "/>
    <n v="380"/>
    <n v="61147776"/>
    <n v="0"/>
    <n v="0"/>
    <n v="61147776"/>
    <s v="3802.43.4302.84.0-205400.2.3.2.02.02.009.03."/>
    <n v="52010802"/>
    <n v="0"/>
    <n v="61147776"/>
  </r>
  <r>
    <n v="382"/>
    <n v="80111600"/>
    <s v="SUBGERENCIA DE ALTOS LOGROS Y DEPORTE ASOCIADO"/>
    <s v="INVERSIÓN"/>
    <x v="13"/>
    <n v="2024003050084"/>
    <x v="56"/>
    <s v="050079"/>
    <n v="26545593"/>
    <s v="PRESTACIÓN DE SERVICIOS DE UN ENTRENADOR PARA EL DESARROLLO DEPORTIVO DE LOS ATLETAS DE LA LIGA DE CANOTAJE DE ANTIOQUIA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5"/>
    <s v="NO"/>
    <s v="FEBRERO"/>
    <s v="FEBRERO"/>
    <n v="308"/>
    <s v="JORGE LEONARDO PALENCIA CORREA"/>
    <s v=""/>
    <n v="0"/>
    <n v="26545593"/>
    <n v="0"/>
    <n v="0"/>
    <s v="2.43.4302.84.0-205400.2.3.2.02.02.009.03."/>
    <n v="52010802"/>
    <s v=""/>
    <s v=""/>
  </r>
  <r>
    <n v="383"/>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LEVANTAMIENTO DE PESAS, RAMA MASCULIN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6"/>
    <s v="NO"/>
    <s v="FEBRERO"/>
    <s v="FEBRERO"/>
    <n v="309"/>
    <s v="JAIRO ANIBAL COSSIO ZAPATA"/>
    <s v=""/>
    <n v="0"/>
    <n v="61147776"/>
    <n v="0"/>
    <n v="0"/>
    <s v="2.43.4302.84.0-205400.2.3.2.02.02.009.03."/>
    <n v="52010802"/>
    <s v=""/>
    <s v=""/>
  </r>
  <r>
    <n v="384"/>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ANTIOQUEÑA DE LEVANTAMIENTO DE PESAS, RAMA MASCULINA, EN LAS MODALIDADES Y CATEGORÍAS DE JUEGOS NACIONALES.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7"/>
    <s v="NO"/>
    <s v="FEBRERO"/>
    <s v="FEBRERO"/>
    <n v="310"/>
    <s v="JUAN FRANCISCO RUIZ MORELOS"/>
    <s v=""/>
    <n v="0"/>
    <n v="71344176"/>
    <n v="0"/>
    <n v="0"/>
    <s v="2.43.4302.84.0-205400.2.3.2.02.02.009.03."/>
    <n v="52010802"/>
    <s v=""/>
    <s v=""/>
  </r>
  <r>
    <n v="385"/>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LEVANTAMIENTO DE PESAS, RAMA FEMENINA,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8"/>
    <s v="NO"/>
    <s v="FEBRERO"/>
    <s v="FEBRERO"/>
    <n v="176"/>
    <s v="LUIS CARLOS SANTAMARIA OSUNA"/>
    <n v="379"/>
    <n v="61147776"/>
    <n v="0"/>
    <n v="0"/>
    <n v="61147776"/>
    <s v="3792.43.4302.84.0-205400.2.3.2.02.02.009.03."/>
    <n v="52010802"/>
    <n v="0"/>
    <n v="61147776"/>
  </r>
  <r>
    <n v="386"/>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LEVANTAMIENTO DE PESAS, EN LA RAMA FEMENINA, EN DEPORT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19"/>
    <s v="NO"/>
    <s v="FEBRERO"/>
    <s v="FEBRERO"/>
    <n v="311"/>
    <s v="MONICA MARIA PICON VALENCIA"/>
    <s v=""/>
    <n v="0"/>
    <n v="81536206"/>
    <n v="0"/>
    <n v="0"/>
    <s v="2.43.4302.84.0-205400.2.3.2.02.02.009.03."/>
    <n v="52010802"/>
    <s v=""/>
    <s v=""/>
  </r>
  <r>
    <n v="387"/>
    <n v="80111600"/>
    <s v="SUBGERENCIA DE ALTOS LOGROS Y DEPORTE ASOCIADO"/>
    <s v="INVERSIÓN"/>
    <x v="13"/>
    <n v="2024003050084"/>
    <x v="56"/>
    <s v="050079"/>
    <n v="61147776"/>
    <s v="PRESTACIÓN DE SERVICIOS DE UN ENTRENADOR PRINCIPAL PARA EL DESARROLLO DEPORTIVO DE LOS ATLETAS DE LA LIGA ANTIOQUEÑA DE LEVANTAMIENTO DE PESAS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0"/>
    <s v="NO"/>
    <s v="FEBRERO"/>
    <s v="FEBRERO"/>
    <n v="177"/>
    <s v="JUAN PABLO ROBLEDO PEÑA  "/>
    <n v="390"/>
    <n v="61147776"/>
    <n v="0"/>
    <n v="0"/>
    <n v="61147776"/>
    <s v="3902.43.4302.84.0-205400.2.3.2.02.02.009.03."/>
    <n v="52010802"/>
    <n v="0"/>
    <n v="61147776"/>
  </r>
  <r>
    <n v="388"/>
    <n v="80111600"/>
    <s v="SUBGERENCIA DE ALTOS LOGROS Y DEPORTE ASOCIADO"/>
    <s v="INVERSIÓN"/>
    <x v="13"/>
    <n v="2024003050084"/>
    <x v="56"/>
    <s v="050079"/>
    <n v="26545593"/>
    <s v="PRESTACIÓN DE SERVICIOS DE UN ENTRENADOR ASISTENTE PARA EL DESARROLLO DEPORTIVO DE LOS ATLETAS DE LA LIGA ANTIOQUEÑA DE LEVANTAMIENTO DE PESAS DEL CENTRO DE DESARROLLO DEPORTIVO EN LA SUBREGIÓN DE URABÁ."/>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1"/>
    <s v="NO"/>
    <s v="FEBRERO"/>
    <s v="FEBRERO"/>
    <n v="312"/>
    <s v="GABRIEL MENA MARTINEZ "/>
    <s v=""/>
    <n v="0"/>
    <n v="26545593"/>
    <n v="0"/>
    <n v="0"/>
    <s v="2.43.4302.84.0-205400.2.3.2.02.02.009.03."/>
    <n v="52010802"/>
    <s v=""/>
    <s v=""/>
  </r>
  <r>
    <n v="389"/>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ICLISMO DE ANTIOQUIA, EN LA MODALIDAD PISTA, FONDO Y SEMI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2"/>
    <s v="NO"/>
    <s v="FEBRERO"/>
    <s v="FEBRERO"/>
    <n v="178"/>
    <s v="BENJAMIN DE JESUS LAVERDE SEGURO"/>
    <n v="377"/>
    <n v="61147776"/>
    <n v="0"/>
    <n v="0"/>
    <n v="61147776"/>
    <s v="3772.43.4302.84.0-205400.2.3.2.02.02.009.03."/>
    <n v="52010802"/>
    <n v="0"/>
    <n v="61147776"/>
  </r>
  <r>
    <n v="390"/>
    <n v="80111600"/>
    <s v="SUBGERENCIA DE ALTOS LOGROS Y DEPORTE ASOCIADO"/>
    <s v="INVERSIÓN"/>
    <x v="13"/>
    <n v="2024003050084"/>
    <x v="56"/>
    <s v="050079"/>
    <n v="50609170"/>
    <s v="PRESTACIÓN DE SERVICIOS DE UN ENTRENADOR ASISTENTE PARA LA REALIZACIÓN DEL PROCESO DE DESARROLLO, SELECCIÓN, ENTRENAMIENTO DEPORTIVO Y PARTICIPACIÓN EN COMPETENCIAS EN LA LIGA DE CICLISMO DE ANTIOQUIA, EN LA MODALIDAD BMX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3"/>
    <s v="NO"/>
    <s v="FEBRERO"/>
    <s v="FEBRERO"/>
    <n v="179"/>
    <s v="CESAR AUGUSTO ACEVEDO ARANGO"/>
    <n v="375"/>
    <n v="50609170"/>
    <n v="0"/>
    <n v="0"/>
    <n v="50609170"/>
    <s v="3752.43.4302.84.0-205400.2.3.2.02.02.009.03."/>
    <n v="52010802"/>
    <n v="0"/>
    <n v="50609170"/>
  </r>
  <r>
    <n v="391"/>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CICLISMO DE ANTIOQUIA, EN LA MODALIDAD MTB,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4"/>
    <s v="NO"/>
    <s v="FEBRERO"/>
    <s v="FEBRERO"/>
    <n v="180"/>
    <s v="HECTOR HERNANDO PEREZ MUÑOZ"/>
    <n v="372"/>
    <n v="61147776"/>
    <n v="0"/>
    <n v="0"/>
    <n v="61147776"/>
    <s v="3722.43.4302.84.0-205400.2.3.2.02.02.009.03."/>
    <n v="52010802"/>
    <n v="0"/>
    <n v="61147776"/>
  </r>
  <r>
    <n v="392"/>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CICLISMO DE ANTIOQUIA, EN LA MODALIDAD PISTA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5"/>
    <s v="NO"/>
    <s v="FEBRERO"/>
    <s v="FEBRERO"/>
    <n v="313"/>
    <s v="JOHN JAIME GONZALEZ JIMENEZ"/>
    <s v=""/>
    <n v="0"/>
    <n v="81536206"/>
    <n v="0"/>
    <n v="0"/>
    <s v="2.43.4302.84.0-205400.2.3.2.02.02.009.03."/>
    <n v="52010802"/>
    <s v=""/>
    <s v=""/>
  </r>
  <r>
    <n v="393"/>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CICLISMO DE ANTIOQUIA, EN LA MODALIDAD BMX,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6"/>
    <s v="NO"/>
    <s v="FEBRERO"/>
    <s v="FEBRERO"/>
    <n v="181"/>
    <s v="JORGE WILSON JARAMILLO CEBALLOS"/>
    <n v="370"/>
    <n v="81536206"/>
    <n v="0"/>
    <n v="0"/>
    <n v="81536206"/>
    <s v="3702.43.4302.84.0-205400.2.3.2.02.02.009.03."/>
    <n v="52010802"/>
    <n v="0"/>
    <n v="81536206"/>
  </r>
  <r>
    <n v="394"/>
    <n v="80111600"/>
    <s v="SUBGERENCIA DE ALTOS LOGROS Y DEPORTE ASOCIADO"/>
    <s v="INVERSIÓN"/>
    <x v="13"/>
    <n v="2024003050084"/>
    <x v="56"/>
    <s v="050079"/>
    <n v="50609170"/>
    <s v="PRESTACIÓN DE SERVICIOS DE UN ENTRENADOR PRINCIPAL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7"/>
    <s v="NO"/>
    <s v="FEBRERO"/>
    <s v="FEBRERO"/>
    <n v="182"/>
    <s v="LUIS FELIPE LAVERDE JIMENEZ"/>
    <n v="368"/>
    <n v="50609170"/>
    <n v="0"/>
    <n v="0"/>
    <n v="50609170"/>
    <s v="3682.43.4302.84.0-205400.2.3.2.02.02.009.03."/>
    <n v="52010802"/>
    <n v="0"/>
    <n v="50609170"/>
  </r>
  <r>
    <n v="395"/>
    <n v="80111600"/>
    <s v="SUBGERENCIA DE ALTOS LOGROS Y DEPORTE ASOCIADO"/>
    <s v="INVERSIÓN"/>
    <x v="13"/>
    <n v="2024003050084"/>
    <x v="56"/>
    <s v="050079"/>
    <n v="50609170"/>
    <s v="PRESTACIÓN DE SERVICIOS DE UN ENTRENADOR ASISTENTE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8"/>
    <s v="NO"/>
    <s v="FEBRERO"/>
    <s v="FEBRERO"/>
    <n v="183"/>
    <s v="LEOCADIO DE JESUS VELEZ LOPEZ "/>
    <n v="365"/>
    <n v="50609170"/>
    <n v="0"/>
    <n v="0"/>
    <n v="50609170"/>
    <s v="3652.43.4302.84.0-205400.2.3.2.02.02.009.03."/>
    <n v="52010802"/>
    <n v="0"/>
    <n v="50609170"/>
  </r>
  <r>
    <n v="396"/>
    <n v="80111600"/>
    <s v="SUBGERENCIA DE ALTOS LOGROS Y DEPORTE ASOCIADO"/>
    <s v="INVERSIÓN"/>
    <x v="13"/>
    <n v="2024003050084"/>
    <x v="56"/>
    <s v="050079"/>
    <n v="50609170"/>
    <s v="PRESTACIÓN DE SERVICIOS DE UN ENTRENADOR PARA EL DESARROLLO DEPORTIVO DE LOS ATLETAS DE LA LIGA DE CICLISMO DE ANTIOQUIA EN LA MODALIDAD BMX DEL CENTRO DE DESARROLLO."/>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29"/>
    <s v="NO"/>
    <s v="FEBRERO"/>
    <s v="FEBRERO"/>
    <n v="184"/>
    <s v="DIEGO ARMANDO ZULUAGA COGOLLO"/>
    <n v="363"/>
    <n v="50609170"/>
    <n v="0"/>
    <n v="0"/>
    <n v="50609170"/>
    <s v="3632.43.4302.84.0-205400.2.3.2.02.02.009.03."/>
    <n v="52010802"/>
    <n v="0"/>
    <n v="50609170"/>
  </r>
  <r>
    <n v="397"/>
    <n v="80111600"/>
    <s v="SUBGERENCIA DE ALTOS LOGROS Y DEPORTE ASOCIADO"/>
    <s v="INVERSIÓN"/>
    <x v="13"/>
    <n v="2024003050084"/>
    <x v="56"/>
    <s v="050079"/>
    <n v="50609170"/>
    <s v="PRESTACIÓN DE SERVICIOS DE UN ENTRENADOR PARA EL DESARROLLO DEPORTIVO DE LOS ATLETAS DE LA LIGA DE CICLISMO DE ANTIOQUIA EN LA MODALIDAD DE PISTA Y RU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0"/>
    <s v="NO"/>
    <s v="FEBRERO"/>
    <s v="FEBRERO"/>
    <n v="185"/>
    <s v="MATEO OTALVARO VAHOZ "/>
    <n v="362"/>
    <n v="50609170"/>
    <n v="0"/>
    <n v="0"/>
    <n v="50609170"/>
    <s v="3622.43.4302.84.0-205400.2.3.2.02.02.009.03."/>
    <n v="52010802"/>
    <n v="0"/>
    <n v="50609170"/>
  </r>
  <r>
    <n v="398"/>
    <n v="80111600"/>
    <s v="SUBGERENCIA DE ALTOS LOGROS Y DEPORTE ASOCIADO"/>
    <s v="INVERSIÓN"/>
    <x v="13"/>
    <n v="2024003050084"/>
    <x v="56"/>
    <s v="050079"/>
    <n v="50609170"/>
    <s v="PRESTACIÓN DE SERVICIOS DE UN ENTRENADOR PARA EL DESARROLLO DEPORTIVO DE LOS ATLETAS DE LA LIGA DE CICLISMO DE ANTIOQUIA EN LA MODALIDAD DE PISTA DEL CENTRO DE DESARROLLO. "/>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1"/>
    <s v="NO"/>
    <s v="FEBRERO"/>
    <s v="FEBRERO"/>
    <n v="186"/>
    <s v="CESAR AUGUSTO LAVERDE RUEDA  "/>
    <n v="359"/>
    <n v="50609170"/>
    <n v="0"/>
    <n v="0"/>
    <n v="50609170"/>
    <s v="3592.43.4302.84.0-205400.2.3.2.02.02.009.03."/>
    <n v="52010802"/>
    <n v="0"/>
    <n v="50609170"/>
  </r>
  <r>
    <n v="399"/>
    <n v="80111600"/>
    <s v="SUBGERENCIA DE ALTOS LOGROS Y DEPORTE ASOCIADO"/>
    <s v="INVERSIÓN"/>
    <x v="13"/>
    <n v="2024003050084"/>
    <x v="56"/>
    <s v="050079"/>
    <n v="101543523"/>
    <s v="PRESTACIÓN DE SERVICIOS DE UN ENTRENADOR PRINCIPAL PARA LA REALIZACIÓN DEL PROCESO DE DESARROLLO, SELECCIÓN, ENTRENAMIENTO DEPORTIVO Y PARTICIPACIÓN EN COMPETENCIAS EN LA LIGA ANTIOQUEÑA DE TRIATLÓN, EN LA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2"/>
    <s v="NO"/>
    <s v="FEBRERO"/>
    <s v="FEBRERO"/>
    <n v="187"/>
    <s v="JORGE LUCIANO FARIAS "/>
    <n v="357"/>
    <n v="101543523"/>
    <n v="0"/>
    <n v="0"/>
    <n v="101543523"/>
    <s v="3572.43.4302.84.0-205400.2.3.2.02.02.009.03."/>
    <n v="52010802"/>
    <n v="0"/>
    <n v="101543523"/>
  </r>
  <r>
    <n v="400"/>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ANTIOQUEÑA DE TRIATLÓN,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3"/>
    <s v="NO"/>
    <s v="FEBRERO"/>
    <s v="FEBRERO"/>
    <n v="314"/>
    <s v="MARTHA CECILIA PEMBERTY MAZO"/>
    <s v=""/>
    <n v="0"/>
    <n v="61147776"/>
    <n v="0"/>
    <n v="0"/>
    <s v="2.43.4302.84.0-205400.2.3.2.02.02.009.03."/>
    <n v="52010802"/>
    <s v=""/>
    <s v=""/>
  </r>
  <r>
    <n v="401"/>
    <n v="80111600"/>
    <s v="SUBGERENCIA DE ALTOS LOGROS Y DEPORTE ASOCIADO"/>
    <s v="INVERSIÓN"/>
    <x v="13"/>
    <n v="2024003050084"/>
    <x v="56"/>
    <s v="050079"/>
    <n v="26545593"/>
    <s v="PRESTACIÓN DE SERVICIOS DE UN ENTRENADOR PRINCIPAL PARA LA REALIZACIÓN DEL PROCESO DE DESARROLLO, SELECCIÓN, ENTRENAMIENTO DEPORTIVO Y PARTICIPACIÓN EN COMPETENCIAS DE LA LIGA ANTIOQUEÑA DE ACTIVIDADES SUBACUÁTIC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4"/>
    <s v="NO"/>
    <s v="FEBRERO"/>
    <s v="FEBRERO"/>
    <n v="188"/>
    <s v="YESICA ALEJANDRA SALAZAR SOLORZANO"/>
    <n v="354"/>
    <n v="26545593"/>
    <n v="0"/>
    <n v="0"/>
    <n v="26545593"/>
    <s v="3542.43.4302.84.0-205400.2.3.2.02.02.009.03."/>
    <n v="52010802"/>
    <n v="0"/>
    <n v="26545593"/>
  </r>
  <r>
    <n v="402"/>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REMO DE ANTIOQUI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5"/>
    <s v="NO"/>
    <s v="FEBRERO"/>
    <s v="FEBRERO"/>
    <n v="189"/>
    <s v="ZULAY TATIANA GIL ARISTIZABAL "/>
    <n v="387"/>
    <n v="26545593"/>
    <n v="0"/>
    <n v="0"/>
    <n v="26545593"/>
    <s v="3872.43.4302.84.0-205400.2.3.2.02.02.009.03."/>
    <n v="52010802"/>
    <n v="0"/>
    <n v="26545593"/>
  </r>
  <r>
    <n v="403"/>
    <n v="80111600"/>
    <s v="SUBGERENCIA DE ALTOS LOGROS Y DEPORTE ASOCIADO"/>
    <s v="INVERSIÓN"/>
    <x v="13"/>
    <n v="2024003050084"/>
    <x v="56"/>
    <s v="050079"/>
    <n v="50609170"/>
    <s v="PRESTACIÓN DE SERVICIOS DE UN ENTRENADOR ASISTENTE PARA LA REALIZACIÓN DEL PROCESO DE DESARROLLO, SELECCIÓN, ENTRENAMIENTO DEPORTIVO Y PARTICIPACIÓN EN COMPETENCIAS EN LA LIGA DE NATACIÓN DE ANTIOQUIA, EN LA MODALIDAD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6"/>
    <s v="NO"/>
    <s v="FEBRERO"/>
    <s v="FEBRERO"/>
    <n v="190"/>
    <s v="CAROLINA ACEVEDO JIMENEZ"/>
    <n v="350"/>
    <n v="50609170"/>
    <n v="0"/>
    <n v="0"/>
    <n v="50609170"/>
    <s v="3502.43.4302.84.0-205400.2.3.2.02.02.009.03."/>
    <n v="52010802"/>
    <n v="0"/>
    <n v="50609170"/>
  </r>
  <r>
    <n v="404"/>
    <n v="80111600"/>
    <s v="SUBGERENCIA DE ALTOS LOGROS Y DEPORTE ASOCIADO"/>
    <s v="INVERSIÓN"/>
    <x v="13"/>
    <n v="2024003050084"/>
    <x v="56"/>
    <s v="050079"/>
    <n v="61147776"/>
    <s v="PRESTACIÓN DE SERVICIOS DE UN ENTRENADOR ASISTENTE PARA LA REALIZACIÓN DEL PROCESO DE DESARROLLO, SELECCIÓN, ENTRENAMIENTO DEPORTIVO Y PARTICIPACIÓN EN COMPETENCIAS EN LA LIGA DE NATACIÓN DE ANTIOQUIA, EN LA MODALIDAD CARRER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7"/>
    <s v="NO"/>
    <s v="FEBRERO"/>
    <s v="FEBRERO"/>
    <n v="191"/>
    <s v="JULIO YOANDY PEREZ MARTINEZ"/>
    <n v="348"/>
    <n v="61147776"/>
    <n v="0"/>
    <n v="0"/>
    <n v="61147776"/>
    <s v="3482.43.4302.84.0-205400.2.3.2.02.02.009.03."/>
    <n v="52010802"/>
    <n v="0"/>
    <n v="61147776"/>
  </r>
  <r>
    <n v="405"/>
    <n v="80111600"/>
    <s v="SUBGERENCIA DE ALTOS LOGROS Y DEPORTE ASOCIADO"/>
    <s v="INVERSIÓN"/>
    <x v="13"/>
    <n v="2024003050084"/>
    <x v="56"/>
    <s v="050079"/>
    <n v="61147776"/>
    <s v="PRESTACIÓN DE SERVICIOS DE UN ENTRENADOR PRINCIPAL PARA LA REALIZACIÓN DEL PROCESO DE DESARROLLO, SELECCIÓN, ENTRENAMIENTO DEPORTIVO Y PARTICIPACIÓN EN COMPETENCIAS EN LA LIGA DE NATACIÓN DE ANTIOQUIA, EN LA MODALIDAD DE NATACIÓN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8"/>
    <s v="NO"/>
    <s v="FEBRERO"/>
    <s v="FEBRERO"/>
    <n v="192"/>
    <s v="SHARA STEFANIA MUNERA PULGARIN"/>
    <n v="346"/>
    <n v="61147776"/>
    <n v="0"/>
    <n v="0"/>
    <n v="61147776"/>
    <s v="3462.43.4302.84.0-205400.2.3.2.02.02.009.03."/>
    <n v="52010802"/>
    <n v="0"/>
    <n v="61147776"/>
  </r>
  <r>
    <n v="406"/>
    <n v="80111600"/>
    <s v="SUBGERENCIA DE ALTOS LOGROS Y DEPORTE ASOCIADO"/>
    <s v="INVERSIÓN"/>
    <x v="13"/>
    <n v="2024003050084"/>
    <x v="56"/>
    <s v="050079"/>
    <n v="26545593"/>
    <s v="PRESTACIÓN DE SERVICIOS DE UN ENTRENADOR ASISTENTE PARA LA REALIZACIÓN DEL PROCESO DE DESARROLLO, SELECCIÓN, ENTRENAMIENTO DEPORTIVO Y PARTICIPACIÓN EN COMPETENCIAS EN LA LIGA DE NATACIÓN DE ANTIOQUIA, EN LA MODALIDAD CLAVAD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39"/>
    <s v="NO"/>
    <s v="FEBRERO"/>
    <s v="FEBRERO"/>
    <n v="193"/>
    <s v="DIANA MARCELA URAN SALAZAR"/>
    <n v="345"/>
    <n v="26545593"/>
    <n v="0"/>
    <n v="0"/>
    <n v="26545593"/>
    <s v="3452.43.4302.84.0-205400.2.3.2.02.02.009.03."/>
    <n v="52010802"/>
    <n v="0"/>
    <n v="26545593"/>
  </r>
  <r>
    <n v="407"/>
    <n v="80111600"/>
    <s v="SUBGERENCIA DE ALTOS LOGROS Y DEPORTE ASOCIADO"/>
    <s v="INVERSIÓN"/>
    <x v="13"/>
    <n v="2024003050084"/>
    <x v="56"/>
    <s v="050079"/>
    <n v="40747479"/>
    <s v="PRESTACIÓN DE SERVICIOS DE UN ENTRENADOR ASISTENTE PARA LA REALIZACIÓN DEL PROCESO DE DESARROLLO, SELECCIÓN, ENTRENAMIENTO DEPORTIVO Y PARTICIPACIÓN EN COMPETENCIAS EN LA LIGA DE NATACIÓN DE ANTIOQUIA, EN LA MODALIDAD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0"/>
    <s v="NO"/>
    <s v="FEBRERO"/>
    <s v="FEBRERO"/>
    <n v="194"/>
    <s v="DIEGO FERNANDO GOMEZ VANEGAS"/>
    <n v="342"/>
    <n v="40747479"/>
    <n v="0"/>
    <n v="0"/>
    <n v="40747479"/>
    <s v="3422.43.4302.84.0-205400.2.3.2.02.02.009.03."/>
    <n v="52010802"/>
    <n v="0"/>
    <n v="40747479"/>
  </r>
  <r>
    <n v="408"/>
    <n v="80111600"/>
    <s v="SUBGERENCIA DE ALTOS LOGROS Y DEPORTE ASOCIADO"/>
    <s v="INVERSIÓN"/>
    <x v="13"/>
    <n v="2024003050084"/>
    <x v="56"/>
    <s v="050079"/>
    <n v="26545593"/>
    <s v="PRESTACIÓN DE SERVICIOS DE UN ENTRENADOR ASISTENTE PARA LA REALIZACIÓN DEL PROCESO DE DESARROLLO, SELECCIÓN Y RECLUTAMIENTO DE ATLETAS, ENTRENAMIENTO DEPORTIVO Y PARTICIPACIÓN EN COMPETENCIAS EN LA LIGA DE NATACIÓN DE ANTIOQUIA, EN LA MODALIDAD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1"/>
    <s v="NO"/>
    <s v="FEBRERO"/>
    <s v="FEBRERO"/>
    <n v="195"/>
    <s v="JUAN FERNANDO MESA RIVERA"/>
    <n v="155"/>
    <n v="26545593"/>
    <n v="0"/>
    <n v="0"/>
    <n v="26545593"/>
    <s v="1552.43.4302.84.0-205400.2.3.2.02.02.009.03."/>
    <n v="52010802"/>
    <n v="0"/>
    <n v="26545593"/>
  </r>
  <r>
    <n v="409"/>
    <n v="80111600"/>
    <s v="SUBGERENCIA DE ALTOS LOGROS Y DEPORTE ASOCIADO"/>
    <s v="INVERSIÓN"/>
    <x v="13"/>
    <n v="2024003050084"/>
    <x v="56"/>
    <s v="050079"/>
    <n v="81536206"/>
    <s v="PRESTACIÓN DE SERVICIOS DE UN ENTRENADOR PRINCIPAL PARA LA REALIZACIÓN DEL PROCESO DE DESARROLLO, SELECCIÓN, ENTRENAMIENTO DEPORTIVO Y PARTICIPACIÓN EN COMPETENCIAS EN LA LIGA DE NATACIÓN DE ANTIOQUIA, EN LA MODALIDAD NATACIÓN CARRERAS SEMI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2"/>
    <s v="NO"/>
    <s v="FEBRERO"/>
    <s v="FEBRERO"/>
    <n v="196"/>
    <s v="CESAR ARNOLFO DELGADO ALARCON"/>
    <n v="341"/>
    <n v="81536206"/>
    <n v="0"/>
    <n v="0"/>
    <n v="81536206"/>
    <s v="3412.43.4302.84.0-205400.2.3.2.02.02.009.03."/>
    <n v="52010802"/>
    <n v="0"/>
    <n v="81536206"/>
  </r>
  <r>
    <n v="410"/>
    <n v="80111600"/>
    <s v="SUBGERENCIA DE ALTOS LOGROS Y DEPORTE ASOCIADO"/>
    <s v="INVERSIÓN"/>
    <x v="13"/>
    <n v="2024003050084"/>
    <x v="56"/>
    <s v="050079"/>
    <n v="71344176"/>
    <s v="PRESTACIÓN DE SERVICIOS DE UN ENTRENADOR PRINCIPAL PARA LA REALIZACIÓN DEL PROCESO DE DESARROLLO, SELECCIÓN, ENTRENAMIENTO DEPORTIVO Y PARTICIPACIÓN EN COMPETENCIAS EN LA LIGA DE NATACIÓN DE ANTIOQUIA, EN LA MODALIDAD NATACIÓN CARRERAS FON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3"/>
    <s v="NO"/>
    <s v="FEBRERO"/>
    <s v="FEBRERO"/>
    <n v="197"/>
    <s v="JOSE NEBER ARIAS MENDEZ"/>
    <n v="385"/>
    <n v="71344176"/>
    <n v="0"/>
    <n v="0"/>
    <n v="71344176"/>
    <s v="3852.43.4302.84.0-205400.2.3.2.02.02.009.03."/>
    <n v="52010802"/>
    <n v="0"/>
    <n v="71344176"/>
  </r>
  <r>
    <n v="411"/>
    <n v="80111600"/>
    <s v="SUBGERENCIA DE ALTOS LOGROS Y DEPORTE ASOCIADO"/>
    <s v="INVERSIÓN"/>
    <x v="13"/>
    <n v="2024003050084"/>
    <x v="56"/>
    <s v="050079"/>
    <n v="50609170"/>
    <s v="PRESTACIÓN DE SERVICIOS DE UN ENTRENADOR PRINCIPAL PARA LA REALIZACIÓN DEL PROCESO DE DESARROLLO, SELECCIÓN, ENTRENAMIENTO DEPORTIVO Y PARTICIPACIÓN EN COMPETENCIAS EN LA LIGA DE NATACIÓN DE ANTIOQUIA, EN LA MODALIDAD DE NATACIÓN CLAVADO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4"/>
    <s v="NO"/>
    <s v="FEBRERO"/>
    <s v="FEBRERO"/>
    <n v="198"/>
    <s v="DIANA CAROLINA SALDARRIAGA BUSTAMANTE"/>
    <n v="340"/>
    <n v="50609170"/>
    <n v="0"/>
    <n v="0"/>
    <n v="50609170"/>
    <s v="3402.43.4302.84.0-205400.2.3.2.02.02.009.03."/>
    <n v="52010802"/>
    <n v="0"/>
    <n v="50609170"/>
  </r>
  <r>
    <n v="412"/>
    <n v="80111600"/>
    <s v="SUBGERENCIA DE ALTOS LOGROS Y DEPORTE ASOCIADO"/>
    <s v="INVERSIÓN"/>
    <x v="13"/>
    <n v="2024003050084"/>
    <x v="56"/>
    <s v="050079"/>
    <n v="40747479"/>
    <s v="PRESTACIÓN DE SERVICIOS DE UN ENTRENADOR PARA LA REALIZACIÓN DEL PROCESO DE PREPARACIÓN FÍSICA Y CONDICIONAL EN EL DEPORTE DE NATACIÓN CLAVADOS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5"/>
    <s v="NO"/>
    <s v="FEBRERO"/>
    <s v="FEBRERO"/>
    <n v="199"/>
    <s v="JOSE JOANY TAMAYO "/>
    <n v="339"/>
    <n v="40747479"/>
    <n v="0"/>
    <n v="0"/>
    <n v="40747479"/>
    <s v="3392.43.4302.84.0-205400.2.3.2.02.02.009.03."/>
    <n v="52010802"/>
    <n v="0"/>
    <n v="40747479"/>
  </r>
  <r>
    <n v="413"/>
    <n v="80111600"/>
    <s v="SUBGERENCIA DE ALTOS LOGROS Y DEPORTE ASOCIADO"/>
    <s v="INVERSIÓN"/>
    <x v="13"/>
    <n v="2024003050084"/>
    <x v="56"/>
    <s v="050079"/>
    <n v="40747479"/>
    <s v="PRESTACIÓN DE SERVICIOS DE UN ENTRENADOR PARA LA REALIZACIÓN DEL PROCESO DE PREPARACIÓN FÍSICA Y CONDICIONAL EN EL DEPORTE DE NATACIÓN, MODALIDADES CARRERAS Y POLO ACUÁTI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6"/>
    <s v="NO"/>
    <s v="FEBRERO"/>
    <s v="FEBRERO"/>
    <n v="200"/>
    <s v="CHARICK ALVAREZ TORRES"/>
    <n v="266"/>
    <n v="40747479"/>
    <n v="0"/>
    <n v="0"/>
    <n v="40747479"/>
    <s v="2662.43.4302.84.0-205400.2.3.2.02.02.009.03."/>
    <n v="52010802"/>
    <n v="0"/>
    <n v="40747479"/>
  </r>
  <r>
    <n v="414"/>
    <n v="80111600"/>
    <s v="SUBGERENCIA DE ALTOS LOGROS Y DEPORTE ASOCIADO"/>
    <s v="INVERSIÓN"/>
    <x v="13"/>
    <n v="2024003050084"/>
    <x v="56"/>
    <s v="050079"/>
    <n v="26545593"/>
    <s v="PRESTACIÓN DE SERVICIOS DE UN ENTRENADOR PARA LA REALIZACIÓN DEL PROCESO DE PREPARACIÓN FÍSICA Y CONDICIONAL EN EL DEPORTE DE NATACIÓN MODALIDAD ARTÍSTIC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7"/>
    <s v="NO"/>
    <s v="FEBRERO"/>
    <s v="FEBRERO"/>
    <n v="315"/>
    <s v="JOSE JULIAN SALDARRIAGA ZAPATA "/>
    <s v=""/>
    <n v="0"/>
    <n v="26545593"/>
    <n v="0"/>
    <n v="0"/>
    <s v="2.43.4302.84.0-205400.2.3.2.02.02.009.03."/>
    <n v="52010802"/>
    <s v=""/>
    <s v=""/>
  </r>
  <r>
    <n v="415"/>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VELA DE ANTIOQUIA EN LA MODALIDAD BARCO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8"/>
    <s v="NO"/>
    <s v="FEBRERO"/>
    <s v="FEBRERO"/>
    <n v="201"/>
    <s v="MARIA CAMILA CRESPO SALAZAR"/>
    <n v="182"/>
    <n v="26545593"/>
    <n v="0"/>
    <n v="0"/>
    <n v="26545593"/>
    <s v="1822.43.4302.84.0-205400.2.3.2.02.02.009.03."/>
    <n v="52010802"/>
    <n v="0"/>
    <n v="26545593"/>
  </r>
  <r>
    <n v="416"/>
    <n v="80111600"/>
    <s v="SUBGERENCIA DE ALTOS LOGROS Y DEPORTE ASOCIADO"/>
    <s v="INVERSIÓN"/>
    <x v="13"/>
    <n v="2024003050084"/>
    <x v="56"/>
    <s v="050079"/>
    <n v="26545593"/>
    <s v="PRESTACIÓN DE SERVICIOS DE UN ENTRENADOR DE INICIACIÓN Y DESARROLLO DEPORTIVO PARA LA REALIZACIÓN DE ENTRENAMIENTO Y PARTICIPACIÓN EN COMPETENCIAS DE LA LIGA DE VELA DE ANTIOQUIA EN LA MODALIDAD DE TABLAS Y COMETA"/>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49"/>
    <s v="NO"/>
    <s v="FEBRERO"/>
    <s v="FEBRERO"/>
    <n v="202"/>
    <s v="JOSE FERNANDO GOMEZ GIRALDO"/>
    <n v="179"/>
    <n v="26545593"/>
    <n v="0"/>
    <n v="0"/>
    <n v="26545593"/>
    <s v="1792.43.4302.84.0-205400.2.3.2.02.02.009.03."/>
    <n v="52010802"/>
    <n v="0"/>
    <n v="26545593"/>
  </r>
  <r>
    <n v="417"/>
    <n v="80111600"/>
    <s v="SUBGERENCIA DE ALTOS LOGROS Y DEPORTE ASOCIADO"/>
    <s v="INVERSIÓN"/>
    <x v="13"/>
    <n v="2024003050084"/>
    <x v="56"/>
    <s v="050079"/>
    <n v="61147776"/>
    <s v="PRESTACIÓN DE SERVICIOS DE UN ENTRENADOR PARA LA REALIZACIÓN DEL PROCESO DE PLANIFICACIÓN Y PREPARACIÓN FÍSICA Y CONDICIONAL EN LOS DEPORTES DE CICLISMO, LEVANTAMIENTO DE PESAS Y ACTIVIDADES SUBACUÁTICAS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0"/>
    <s v="NO"/>
    <s v="FEBRERO"/>
    <s v="FEBRERO"/>
    <n v="203"/>
    <s v="MÓNICA URREGO MONTOYA "/>
    <n v="337"/>
    <n v="61147776"/>
    <n v="0"/>
    <n v="0"/>
    <n v="61147776"/>
    <s v="3372.43.4302.84.0-205400.2.3.2.02.02.009.03."/>
    <n v="52010802"/>
    <n v="0"/>
    <n v="61147776"/>
  </r>
  <r>
    <n v="418"/>
    <n v="80111600"/>
    <s v="SUBGERENCIA DE ALTOS LOGROS Y DEPORTE ASOCIADO"/>
    <s v="INVERSIÓN"/>
    <x v="13"/>
    <n v="2024003050084"/>
    <x v="56"/>
    <s v="050079"/>
    <n v="50609170"/>
    <s v="PRESTACIÓN DE SERVICIOS DE UN ENTRENADOR PARA LA REALIZACIÓN DEL PROCESO DE PLANIFICACIÓN Y PREPARACIÓN FÍSICA Y CONDICIONAL EN LOS DEPORTES DE CANOTAJE Y TRIATLÓN EN LAS MODALIDADES Y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1"/>
    <s v="NO"/>
    <s v="FEBRERO"/>
    <s v="FEBRERO"/>
    <n v="204"/>
    <s v="LIZETH TATIANA MUÑOZ LONDOÑO"/>
    <n v="336"/>
    <n v="50609170"/>
    <n v="0"/>
    <n v="0"/>
    <n v="50609170"/>
    <s v="3362.43.4302.84.0-205400.2.3.2.02.02.009.03."/>
    <n v="52010802"/>
    <n v="0"/>
    <n v="50609170"/>
  </r>
  <r>
    <n v="419"/>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ESGRIMA, EN LA MODALIDAD ESPAD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2"/>
    <s v="NO"/>
    <s v="FEBRERO"/>
    <s v="FEBRERO"/>
    <n v="205"/>
    <s v="ENMANUEL HOYOS VICTORIA"/>
    <n v="334"/>
    <n v="61147776"/>
    <n v="0"/>
    <n v="0"/>
    <n v="61147776"/>
    <s v="3342.43.4302.84.0-205400.2.3.2.02.02.009.03."/>
    <n v="52010802"/>
    <n v="0"/>
    <n v="61147776"/>
  </r>
  <r>
    <n v="42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ESGRIMA, EN LA MODALIDAD SABL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3"/>
    <s v="NO"/>
    <s v="FEBRERO"/>
    <s v="FEBRERO"/>
    <n v="206"/>
    <s v="DAYLON GILBERTO DIAZ ACOSTA"/>
    <n v="176"/>
    <n v="61147776"/>
    <n v="0"/>
    <n v="0"/>
    <n v="61147776"/>
    <s v="1762.43.4302.84.0-205400.2.3.2.02.02.009.03."/>
    <n v="52010802"/>
    <n v="0"/>
    <n v="61147776"/>
  </r>
  <r>
    <n v="421"/>
    <n v="80111600"/>
    <s v="SUBGERENCIA DE ALTOS LOGROS Y DEPORTE ASOCIADO"/>
    <s v="INVERSIÓN"/>
    <x v="13"/>
    <n v="2024003050084"/>
    <x v="56"/>
    <s v="050079"/>
    <n v="26545593"/>
    <s v="PRESTACIÓN DE SERVICIOS DE UN ENTRENADOR DE INICIACIÓN Y DESARROLLO DEPORTIVO PARA LA CONSECUCIÓN DE NUEVOS TALENTOS PARA LA LIGA ANTIOQUEÑA DE ESGRIMA, EN CATEGORÍAS MENOR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4"/>
    <s v="NO"/>
    <s v="FEBRERO"/>
    <s v="FEBRERO"/>
    <n v="369"/>
    <s v="VALERIA JULIETH GAVIRIA HERRERA"/>
    <s v=""/>
    <n v="0"/>
    <n v="26545593"/>
    <n v="0"/>
    <n v="0"/>
    <s v="2.43.4302.84.0-205400.2.3.2.02.02.009.03."/>
    <n v="52010802"/>
    <s v=""/>
    <s v=""/>
  </r>
  <r>
    <n v="422"/>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5"/>
    <s v="NO"/>
    <s v="FEBRERO"/>
    <s v="FEBRERO"/>
    <n v="207"/>
    <s v="JOSE MIGUEL DUQUE ARANGO"/>
    <n v="332"/>
    <n v="40747479"/>
    <n v="0"/>
    <n v="0"/>
    <n v="40747479"/>
    <s v="3322.43.4302.84.0-205400.2.3.2.02.02.009.03."/>
    <n v="52010802"/>
    <n v="0"/>
    <n v="40747479"/>
  </r>
  <r>
    <n v="423"/>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LUCHA EN LA MODALIDAD GRE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6"/>
    <s v="NO"/>
    <s v="FEBRERO"/>
    <s v="FEBRERO"/>
    <n v="208"/>
    <s v="IVAN DE JESUS DUQUE ARANGO"/>
    <n v="173"/>
    <n v="50609170"/>
    <n v="0"/>
    <n v="0"/>
    <n v="50609170"/>
    <s v="1732.43.4302.84.0-205400.2.3.2.02.02.009.03."/>
    <n v="52010802"/>
    <n v="0"/>
    <n v="50609170"/>
  </r>
  <r>
    <n v="424"/>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LUCHA EN LAS MODALIDADES LIBRE Y GREC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7"/>
    <s v="NO"/>
    <s v="FEBRERO"/>
    <s v="FEBRERO"/>
    <n v="209"/>
    <s v="JONATHAN NICOLAS SIERRA RAMIREZ"/>
    <n v="331"/>
    <n v="40747479"/>
    <n v="0"/>
    <n v="0"/>
    <n v="40747479"/>
    <s v="3312.43.4302.84.0-205400.2.3.2.02.02.009.03."/>
    <n v="52010802"/>
    <n v="0"/>
    <n v="40747479"/>
  </r>
  <r>
    <n v="42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8"/>
    <s v="NO"/>
    <s v="FEBRERO"/>
    <s v="FEBRERO"/>
    <n v="210"/>
    <s v="DAVID GUTIERREZ PUENTES "/>
    <n v="330"/>
    <n v="61147776"/>
    <n v="0"/>
    <n v="0"/>
    <n v="61147776"/>
    <s v="3302.43.4302.84.0-205400.2.3.2.02.02.009.03."/>
    <n v="52010802"/>
    <n v="0"/>
    <n v="61147776"/>
  </r>
  <r>
    <n v="426"/>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59"/>
    <s v="NO"/>
    <s v="FEBRERO"/>
    <s v="FEBRERO"/>
    <n v="211"/>
    <s v="ABELARDO PARRA LEMOS"/>
    <n v="168"/>
    <n v="81536206"/>
    <n v="0"/>
    <n v="0"/>
    <n v="81536206"/>
    <s v="1682.43.4302.84.0-205400.2.3.2.02.02.009.03."/>
    <n v="52010802"/>
    <n v="0"/>
    <n v="81536206"/>
  </r>
  <r>
    <n v="427"/>
    <n v="80111600"/>
    <s v="SUBGERENCIA DE ALTOS LOGROS Y DEPORTE ASOCIADO"/>
    <s v="INVERSIÓN"/>
    <x v="13"/>
    <n v="2024003050084"/>
    <x v="56"/>
    <s v="050079"/>
    <n v="50609170"/>
    <s v="PRESTACIÓN DE SERVICIOS DE UN ENTRENADOR PRINCIPAL PARA LA REALIZACIÓN DEL PROCESO SELECCIÓN, ENTRENAMIENTO DEPORTIVO Y PARTICIPACIÓN EN COMPETENCIAS, EN EL VALLE DE ABURRÁ DE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0"/>
    <s v="NO"/>
    <s v="FEBRERO"/>
    <s v="FEBRERO"/>
    <n v="212"/>
    <s v="BEIBIS ANTONIO MENDOZA POLO"/>
    <n v="166"/>
    <n v="50609170"/>
    <n v="0"/>
    <n v="0"/>
    <n v="50609170"/>
    <s v="1662.43.4302.84.0-205400.2.3.2.02.02.009.03."/>
    <n v="52010802"/>
    <n v="0"/>
    <n v="50609170"/>
  </r>
  <r>
    <n v="428"/>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DE BOXEO DE ANTIOQUIA,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1"/>
    <s v="NO"/>
    <s v="FEBRERO"/>
    <s v="FEBRERO"/>
    <n v="213"/>
    <s v="MANUEL ENRIQUE ARBOLEDA PEREZ "/>
    <n v="329"/>
    <n v="40747479"/>
    <n v="0"/>
    <n v="0"/>
    <n v="40747479"/>
    <s v="3292.43.4302.84.0-205400.2.3.2.02.02.009.03."/>
    <n v="52010802"/>
    <n v="0"/>
    <n v="40747479"/>
  </r>
  <r>
    <n v="429"/>
    <n v="80111600"/>
    <s v="SUBGERENCIA DE ALTOS LOGROS Y DEPORTE ASOCIADO"/>
    <s v="INVERSIÓN"/>
    <x v="13"/>
    <n v="2024003050084"/>
    <x v="56"/>
    <s v="050079"/>
    <n v="81536206"/>
    <s v="PRESTACIÓN DE SERVICIOS DE UN ENTRENADOR PRINCIPAL PARA LA REALIZACIÓN DEL PROCESO DE SELECCIÓN, ENTRENAMIENTO DEPORTIVO Y PARTICIPACIÓN EN COMPETENCIAS EN LA LIGA ANTIOQUEÑA DE JUDO, EN LA MODALIDAD COMBATE, EN CATEGORÍAS DE JUEGOS NACIONALES."/>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s v=""/>
    <s v="NO"/>
    <s v="FEBRERO"/>
    <s v="FEBRERO"/>
    <s v=""/>
    <s v=""/>
    <s v=""/>
    <n v="0"/>
    <n v="81536206"/>
    <n v="0"/>
    <n v="0"/>
    <s v="2.43.4302.84.0-205400.2.3.2.02.02.009.03."/>
    <n v="52010802"/>
    <s v=""/>
    <s v=""/>
  </r>
  <r>
    <n v="430"/>
    <n v="80111600"/>
    <s v="SUBGERENCIA DE ALTOS LOGROS Y DEPORTE ASOCIADO"/>
    <s v="INVERSIÓN"/>
    <x v="13"/>
    <n v="2024003050084"/>
    <x v="56"/>
    <s v="050079"/>
    <n v="26545593"/>
    <s v="PRESTACIÓN DE SERVICIOS DE UN ENTRENADOR DE INICIACIÓN Y DESARROLLO DEPORTIVO DE LA LIGA ANTIOQUEÑA DE JUDO, EN LAS MODALIDAD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3"/>
    <s v="NO"/>
    <s v="FEBRERO"/>
    <s v="FEBRERO"/>
    <n v="215"/>
    <s v="JUAN CAMILO ZAPATA HERNANDEZ"/>
    <n v="311"/>
    <n v="26545593"/>
    <n v="0"/>
    <n v="0"/>
    <n v="26545593"/>
    <s v="3112.43.4302.84.0-205400.2.3.2.02.02.009.03."/>
    <n v="52010802"/>
    <n v="0"/>
    <n v="26545593"/>
  </r>
  <r>
    <n v="431"/>
    <n v="80111600"/>
    <s v="SUBGERENCIA DE ALTOS LOGROS Y DEPORTE ASOCIADO"/>
    <s v="INVERSIÓN"/>
    <x v="13"/>
    <n v="2024003050084"/>
    <x v="56"/>
    <s v="050079"/>
    <n v="40747479"/>
    <s v="PRESTACIÓN DE SERVICIOS DE UN ENTRENADOR PRINCIPAL PARA LA REALIZACIÓN DEL PROCESO SELECCIÓN, ENTRENAMIENTO DEPORTIVO Y PARTICIPACIÓN EN COMPETENCIAS DE LA LIGA ANTIOQUEÑA DE JUDO, EN LA MODALIDAD KATAS,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4"/>
    <s v="NO"/>
    <s v="FEBRERO"/>
    <s v="FEBRERO"/>
    <n v="216"/>
    <s v="MARGARITA ROSA CASTAÑO MURILLO"/>
    <n v="165"/>
    <n v="40747479"/>
    <n v="0"/>
    <n v="0"/>
    <n v="40747479"/>
    <s v="1652.43.4302.84.0-205400.2.3.2.02.02.009.03."/>
    <n v="52010802"/>
    <n v="0"/>
    <n v="40747479"/>
  </r>
  <r>
    <n v="432"/>
    <n v="80111600"/>
    <s v="SUBGERENCIA DE ALTOS LOGROS Y DEPORTE ASOCIADO"/>
    <s v="INVERSIÓN"/>
    <x v="13"/>
    <n v="2024003050084"/>
    <x v="56"/>
    <s v="050079"/>
    <n v="40747479"/>
    <s v="PRESTACIÓN DE SERVICIOS DE UN ENTRENADOR PARA DESARROLLAR Y FORTALECER LAS TÉCNICAS DE PISO EN COMBATE PARA LA LIGA ANTIOQUEÑA DE JUDO,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5"/>
    <s v="NO"/>
    <s v="FEBRERO"/>
    <s v="FEBRERO"/>
    <n v="320"/>
    <s v="YEISON DARIO VARGAS ZAPATA"/>
    <s v=""/>
    <n v="0"/>
    <n v="40747479"/>
    <n v="0"/>
    <n v="0"/>
    <s v="2.43.4302.84.0-205400.2.3.2.02.02.009.03."/>
    <n v="52010802"/>
    <s v=""/>
    <s v=""/>
  </r>
  <r>
    <n v="433"/>
    <n v="80111600"/>
    <s v="SUBGERENCIA DE ALTOS LOGROS Y DEPORTE ASOCIADO"/>
    <s v="INVERSIÓN"/>
    <x v="13"/>
    <n v="2024003050084"/>
    <x v="56"/>
    <s v="050079"/>
    <n v="26545593"/>
    <s v="PRESTACIÓN DE SERVICIOS DE UN ENTRENADOR DE INICIACIÓN Y DESARROLLO DEPORTIVO EN LA MODALIDAD DE KATA DE LA LIGA ANTIOQUEÑA DE JUDO, EN LAS MODALIDADE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6"/>
    <s v="NO"/>
    <s v="FEBRERO"/>
    <s v="FEBRERO"/>
    <n v="321"/>
    <s v="SARA ZAPATA HERNANDEZ"/>
    <s v=""/>
    <n v="0"/>
    <n v="26545593"/>
    <n v="0"/>
    <n v="0"/>
    <s v="2.43.4302.84.0-205400.2.3.2.02.02.009.03."/>
    <n v="52010802"/>
    <s v=""/>
    <s v=""/>
  </r>
  <r>
    <n v="434"/>
    <n v="80111600"/>
    <s v="SUBGERENCIA DE ALTOS LOGROS Y DEPORTE ASOCIADO"/>
    <s v="INVERSIÓN"/>
    <x v="13"/>
    <n v="2024003050084"/>
    <x v="56"/>
    <s v="050079"/>
    <n v="50609170"/>
    <s v="PRESTACIÓN DE SERVICIOS DE UN ENTRENADOR PRINCIPAL PARA LA REALIZACIÓN DEL PROCESO DE SELECCIÓN, ENTRENAMIENTO DEPORTIVO Y PARTICIPACIÓN EN COMPETENCIAS EN LA LIGA ANTIOQUEÑA DE KARATE -DO, MODALIDAD COMBATE CON JUNIORS   JUVENILES,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94"/>
    <s v="DÍAS"/>
    <n v="267"/>
    <s v="NO"/>
    <s v="FEBRERO"/>
    <s v="FEBRERO"/>
    <n v="322"/>
    <s v="JUAN CAMILO CARDENAS ZAPATA"/>
    <s v=""/>
    <n v="0"/>
    <n v="50609170"/>
    <n v="0"/>
    <n v="0"/>
    <s v="2.43.4302.84.0-205400.2.3.2.02.02.009.03."/>
    <n v="52010802"/>
    <s v=""/>
    <s v=""/>
  </r>
  <r>
    <n v="435"/>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KARATE -DO, MODALIDAD KAT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68"/>
    <s v="NO"/>
    <s v="FEBRERO"/>
    <s v="FEBRERO"/>
    <n v="217"/>
    <s v="DAVID FELIPE CONTRERAS CONTRERAS"/>
    <n v="162"/>
    <n v="61147776"/>
    <n v="0"/>
    <n v="0"/>
    <n v="61147776"/>
    <s v="1622.43.4302.84.0-205128.2.3.2.02.02.009.04."/>
    <n v="52010802"/>
    <n v="0"/>
    <n v="61147776"/>
  </r>
  <r>
    <n v="436"/>
    <n v="80111600"/>
    <s v="SUBGERENCIA DE ALTOS LOGROS Y DEPORTE ASOCIADO"/>
    <s v="INVERSIÓN"/>
    <x v="13"/>
    <n v="2024003050084"/>
    <x v="56"/>
    <s v="050079"/>
    <n v="40747479"/>
    <s v="PRESTACIÓN DE SERVICIOS DE UN ENTRENADOR ASISTENTE PARA LA REALIZACIÓN DEL PROCESO DE SELECCIÓN, ENTRENAMIENTO DEPORTIVO Y PARTICIPACIÓN EN COMPETENCIAS EN LA LIGA ANTIOQUEÑA DE KARATE -DO, MODALIDAD COMBATE CON JUVENILES Y MAYORES,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69"/>
    <s v="NO"/>
    <s v="FEBRERO"/>
    <s v="FEBRERO"/>
    <n v="218"/>
    <s v="OSCAR ALEXANDER RAMOS GARCIA "/>
    <n v="310"/>
    <n v="40747479"/>
    <n v="0"/>
    <n v="0"/>
    <n v="40747479"/>
    <s v="3102.43.4302.84.0-205128.2.3.2.02.02.009.04."/>
    <n v="52010802"/>
    <n v="0"/>
    <n v="40747479"/>
  </r>
  <r>
    <n v="437"/>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TAEKWONDO, MODALIDAD COMBAT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0"/>
    <s v="NO"/>
    <s v="FEBRERO"/>
    <s v="FEBRERO"/>
    <n v="219"/>
    <s v="WILMAR ANDRES RUEDA LONDOÑO"/>
    <n v="328"/>
    <n v="26545593"/>
    <n v="0"/>
    <n v="0"/>
    <n v="26545593"/>
    <s v="3282.43.4302.84.0-205128.2.3.2.02.02.009.04."/>
    <n v="52010802"/>
    <n v="0"/>
    <n v="26545593"/>
  </r>
  <r>
    <n v="438"/>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ANTIOQUEÑA DE TAEKWONDO, EN LA MODALIDAD COMBATE JUVENILES Y MAYORES,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1"/>
    <s v="NO"/>
    <s v="FEBRERO"/>
    <s v="FEBRERO"/>
    <n v="220"/>
    <s v="WALTER SALDARRIAGA MONSALVE"/>
    <n v="318"/>
    <n v="40747479"/>
    <n v="0"/>
    <n v="0"/>
    <n v="40747479"/>
    <s v="3182.43.4302.84.0-205128.2.3.2.02.02.009.04."/>
    <n v="52010802"/>
    <n v="0"/>
    <n v="40747479"/>
  </r>
  <r>
    <n v="439"/>
    <n v="80111600"/>
    <s v="SUBGERENCIA DE ALTOS LOGROS Y DEPORTE ASOCIADO"/>
    <s v="INVERSIÓN"/>
    <x v="13"/>
    <n v="2024003050084"/>
    <x v="56"/>
    <s v="050079"/>
    <n v="61147776"/>
    <s v="PRESTACIÓN DE SERVICIOS DE UN ENTRENADOR DE INICIACIÓN EN ATLETAS JUNIORS DE LA LIGA ANTIOQUEÑA DE TAEKWONDO,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2"/>
    <s v="NO"/>
    <s v="FEBRERO"/>
    <s v="FEBRERO"/>
    <n v="221"/>
    <s v="JESSICA ALEJANDRA ESTRADA RESTREPO"/>
    <n v="321"/>
    <n v="61147776"/>
    <n v="0"/>
    <n v="0"/>
    <n v="61147776"/>
    <s v="3212.43.4302.84.0-205128.2.3.2.02.02.009.04."/>
    <n v="52010802"/>
    <n v="0"/>
    <n v="61147776"/>
  </r>
  <r>
    <n v="440"/>
    <n v="80111600"/>
    <s v="SUBGERENCIA DE ALTOS LOGROS Y DEPORTE ASOCIADO"/>
    <s v="INVERSIÓN"/>
    <x v="13"/>
    <n v="2024003050084"/>
    <x v="56"/>
    <s v="050079"/>
    <n v="61147776"/>
    <s v="PRESTACIÓN DE SERVICIOS DE UN ENTRENADOR PRINCIPAL PARA LA REALIZACIÓN DEL PROCESO DE SELECCIÓN, ENTRENAMIENTO DEPORTIVO Y PARTICIPACIÓN EN COMPETENCIAS EN LA LIGA ANTIOQUEÑA DE TAEKWONDO, EN LA MODALIDAD POOMSA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3"/>
    <s v="NO"/>
    <s v="FEBRERO"/>
    <s v="FEBRERO"/>
    <n v="222"/>
    <s v="OSCAR WILLINGTON ORTIZ VELASQUEZ"/>
    <n v="160"/>
    <n v="61147776"/>
    <n v="0"/>
    <n v="0"/>
    <n v="61147776"/>
    <s v="1602.43.4302.84.0-205128.2.3.2.02.02.009.04."/>
    <n v="52010802"/>
    <n v="0"/>
    <n v="61147776"/>
  </r>
  <r>
    <n v="441"/>
    <n v="80111600"/>
    <s v="SUBGERENCIA DE ALTOS LOGROS Y DEPORTE ASOCIADO"/>
    <s v="INVERSIÓN"/>
    <x v="13"/>
    <n v="2024003050084"/>
    <x v="56"/>
    <s v="050079"/>
    <n v="26545593"/>
    <s v="PRESTACIÓN DE SERVICIOS DE UN ENTRENADOR ASISTENTE PARA LA REALIZACIÓN DEL PROCESO DE SELECCIÓN, ENTRENAMIENTO DEPORTIVO Y PARTICIPACIÓN EN COMPETENCIAS EN LA LIGA ANTIOQUEÑA DE TAEKWONDO, EN LA MODALIDAD FREESTYL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4"/>
    <s v="NO"/>
    <s v="FEBRERO"/>
    <s v="FEBRERO"/>
    <n v="323"/>
    <s v="HAROLD DAVID CUESTA RIOS"/>
    <s v=""/>
    <n v="0"/>
    <n v="26545593"/>
    <n v="0"/>
    <n v="0"/>
    <s v="2.43.4302.84.0-205128.2.3.2.02.02.009.04."/>
    <n v="52010802"/>
    <s v=""/>
    <s v=""/>
  </r>
  <r>
    <n v="442"/>
    <n v="80111600"/>
    <s v="SUBGERENCIA DE ALTOS LOGROS Y DEPORTE ASOCIADO"/>
    <s v="INVERSIÓN"/>
    <x v="13"/>
    <n v="2024003050084"/>
    <x v="56"/>
    <s v="050079"/>
    <n v="26545593"/>
    <s v="PRESTACIÓN DE SERVICIOS DE UN ENTRENADOR DE INICIACIÓN Y DESARROLLO DEPORTIVO EN LA LIGA ANTIOQUEÑA DE TAEKWONDO, EN LA MODALIDAD POOMSAES, EN CATEGORÍAS DE JUEGOS NACIONALES."/>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s v=""/>
    <s v="NO"/>
    <s v="FEBRERO"/>
    <s v="FEBRERO"/>
    <s v=""/>
    <s v=""/>
    <s v=""/>
    <n v="0"/>
    <n v="26545593"/>
    <n v="0"/>
    <n v="0"/>
    <s v="2.43.4302.84.0-205128.2.3.2.02.02.009.04."/>
    <n v="52010802"/>
    <s v=""/>
    <s v=""/>
  </r>
  <r>
    <n v="443"/>
    <n v="80111600"/>
    <s v="SUBGERENCIA DE ALTOS LOGROS Y DEPORTE ASOCIADO"/>
    <s v="INVERSIÓN"/>
    <x v="13"/>
    <n v="2024003050084"/>
    <x v="56"/>
    <s v="050079"/>
    <n v="81536206"/>
    <s v="PRESTACIÓN DE SERVICIOS DE UN ENTRENADOR PRINCIPAL PARA LA PREPARACIÓN Y PROCESO DE SELECCIÓN, ENTRENAMIENTO DEPORTIVO Y PARTICIPACIÓN EN COMPETENCIAS EN LA LIGA DE PATINAJE DE ANTIOQUIA, MODALIDAD VELOCIDAD,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6"/>
    <s v="NO"/>
    <s v="FEBRERO"/>
    <s v="FEBRERO"/>
    <n v="224"/>
    <s v="IVAN ALEJANDRO VARGAS LOPERA"/>
    <n v="159"/>
    <n v="81536206"/>
    <n v="0"/>
    <n v="0"/>
    <n v="81536206"/>
    <s v="1592.43.4302.84.0-205128.2.3.2.02.02.009.04."/>
    <n v="52010802"/>
    <n v="0"/>
    <n v="81536206"/>
  </r>
  <r>
    <n v="444"/>
    <n v="80111600"/>
    <s v="SUBGERENCIA DE ALTOS LOGROS Y DEPORTE ASOCIADO"/>
    <s v="INVERSIÓN"/>
    <x v="13"/>
    <n v="2024003050084"/>
    <x v="56"/>
    <s v="050079"/>
    <n v="26545593"/>
    <s v="PRESTACIÓN DE SERVICIOS DE UN ENTRENADOR PRINCIPAL PARA LA PREPARACIÓN DE LOS ATLETAS DE LAS CATEGORÍAS JUNIOR, PREJUVENILES Y JUVENILES DE LA LIGA DE PATINAJE DE ANTIOQUIA EN LA MODALIDAD VELOCIDAD.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7"/>
    <s v="NO"/>
    <s v="FEBRERO"/>
    <s v="FEBRERO"/>
    <n v="225"/>
    <s v="JUAN CAMILO BERRIO CARDONA"/>
    <n v="158"/>
    <n v="26545593"/>
    <n v="0"/>
    <n v="0"/>
    <n v="26545593"/>
    <s v="1582.43.4302.84.0-205128.2.3.2.02.02.009.04."/>
    <n v="52010802"/>
    <n v="0"/>
    <n v="26545593"/>
  </r>
  <r>
    <n v="445"/>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PATINAJE DE ANTIOQUIA, MODALIDAD SKATEBOARDING,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8"/>
    <s v="NO"/>
    <s v="FEBRERO"/>
    <s v="FEBRERO"/>
    <n v="226"/>
    <s v="SEBASTIAN MONTOYA ARANGO"/>
    <n v="156"/>
    <n v="40747479"/>
    <n v="0"/>
    <n v="0"/>
    <n v="40747479"/>
    <s v="1562.43.4302.84.0-205128.2.3.2.02.02.009.04."/>
    <n v="52010802"/>
    <n v="0"/>
    <n v="40747479"/>
  </r>
  <r>
    <n v="446"/>
    <n v="80111600"/>
    <s v="SUBGERENCIA DE ALTOS LOGROS Y DEPORTE ASOCIADO"/>
    <s v="INVERSIÓN"/>
    <x v="13"/>
    <n v="2024003050084"/>
    <x v="56"/>
    <s v="050079"/>
    <n v="71344176"/>
    <s v="PRESTACIÓN DE SERVICIOS DE UN ENTRENADOR PRINCIPAL PARA LA REALIZACIÓN DEL PROCESO DE SELECCIÓN, ENTRENAMIENTO DEPORTIVO Y PARTICIPACIÓN EN COMPETENCIAS EN LA LIGA DE PATINAJE DE ANTIOQUIA, MODALIDAD ARTÍSTICO FIGURAS Y LIBR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79"/>
    <s v="NO"/>
    <s v="FEBRERO"/>
    <s v="FEBRERO"/>
    <n v="227"/>
    <s v="OSCAR ALEJANDRO RIVERA BUITRAGO"/>
    <n v="422"/>
    <n v="71344176"/>
    <n v="0"/>
    <n v="0"/>
    <n v="71344176"/>
    <s v="4222.43.4302.84.0-205128.2.3.2.02.02.009.04."/>
    <n v="52010802"/>
    <n v="0"/>
    <n v="71344176"/>
  </r>
  <r>
    <n v="447"/>
    <n v="80111600"/>
    <s v="SUBGERENCIA DE ALTOS LOGROS Y DEPORTE ASOCIADO"/>
    <s v="INVERSIÓN"/>
    <x v="13"/>
    <n v="2024003050084"/>
    <x v="56"/>
    <s v="050079"/>
    <n v="40747479"/>
    <s v="PRESTACIÓN DE SERVICIOS DE UN ENTRENADOR PRINCIPAL PARA LA REALIZACIÓN DEL PROCESO DE SELECCIÓN, ENTRENAMIENTO DEPORTIVO Y PARTICIPACIÓN EN COMPETENCIAS EN LA LIGA DE PATINAJE DE ANTIOQUIA, MODALIDAD ARTÍSTICO SOLO DANZ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80"/>
    <s v="NO"/>
    <s v="FEBRERO"/>
    <s v="FEBRERO"/>
    <n v="228"/>
    <s v="SULMA SHIRLEY LAGUNA CUBIDES"/>
    <n v="421"/>
    <n v="40747479"/>
    <n v="0"/>
    <n v="0"/>
    <n v="40747479"/>
    <s v="4212.43.4302.84.0-205128.2.3.2.02.02.009.04."/>
    <n v="52010802"/>
    <n v="0"/>
    <n v="40747479"/>
  </r>
  <r>
    <n v="448"/>
    <n v="80111600"/>
    <s v="SUBGERENCIA DE ALTOS LOGROS Y DEPORTE ASOCIADO"/>
    <s v="INVERSIÓN"/>
    <x v="13"/>
    <n v="2024003050084"/>
    <x v="56"/>
    <s v="050079"/>
    <n v="50609170"/>
    <s v="PRESTACIÓN DE SERVICIOS DE UN ENTRENADOR DE INICIACIÓN Y DESARROLLO PARA LA REALIZACIÓN DEL PROCESO DE SELECCIÓN, ENTRENAMIENTO DEPORTIVO Y PARTICIPACIÓN EN COMPETENCIAS DE LA LIGA DE PATINAJE DE ANTIOQUIA, EN LA MODALIDAD DE PATINAJE ARTÍSTICO.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94"/>
    <s v="DÍAS"/>
    <n v="281"/>
    <s v="NO"/>
    <s v="FEBRERO"/>
    <s v="FEBRERO"/>
    <n v="229"/>
    <s v="JULIANA GIRALDO JARAMILLO "/>
    <n v="420"/>
    <n v="50609170"/>
    <n v="0"/>
    <n v="0"/>
    <n v="50609170"/>
    <s v="4202.43.4302.84.0-205128.2.3.2.02.02.009.04."/>
    <n v="52010802"/>
    <n v="0"/>
    <n v="50609170"/>
  </r>
  <r>
    <n v="449"/>
    <n v="80111600"/>
    <s v="SUBGERENCIA DE ALTOS LOGROS Y DEPORTE ASOCIADO"/>
    <s v="INVERSIÓN"/>
    <x v="13"/>
    <n v="2024003050084"/>
    <x v="56"/>
    <s v="050079"/>
    <n v="57820006"/>
    <s v="PRESTACIÓN DE SERVICIOS DE UN ENTRENADOR PRINCIPAL PARA LA REALIZACIÓN DEL PROCESO DE SELECCIÓN, ENTRENAMIENTO DEPORTIVO Y PARTICIPACIÓN EN COMPETENCIAS EN LA LIGA ANTIOQUEÑA DE GIMNASIA, MODALIDAD TRAMPOLÍN, EN CATEGORÍAS DE JUEGOS NACIONALES."/>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s v=""/>
    <s v="NO"/>
    <s v="FEBRERO"/>
    <s v="MARZO"/>
    <s v=""/>
    <s v=""/>
    <s v=""/>
    <n v="0"/>
    <n v="57820006"/>
    <n v="0"/>
    <n v="0"/>
    <s v="2.43.4302.84.0-205128.2.3.2.02.02.009.04."/>
    <n v="52010802"/>
    <s v=""/>
    <s v=""/>
  </r>
  <r>
    <n v="450"/>
    <n v="80111600"/>
    <s v="SUBGERENCIA DE ALTOS LOGROS Y DEPORTE ASOCIADO"/>
    <s v="INVERSIÓN"/>
    <x v="13"/>
    <n v="2024003050084"/>
    <x v="56"/>
    <s v="050079"/>
    <n v="47854929"/>
    <s v="PRESTACIÓN DE SERVICIOS DE UN ENTRENADOR PARA LA REALIZACIÓN DEL PROCESO DE PREPARACIÓN FÍSICA  EN EL DEPORTE DE FUTBOL FEMENINO EN LAS MODALIDADES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1"/>
    <s v="NO"/>
    <s v="FEBRERO"/>
    <s v="MARZO"/>
    <n v="282"/>
    <s v="JORGE IGNACIO RUIZ GUTIERREZ "/>
    <s v=""/>
    <n v="0"/>
    <n v="47854929"/>
    <n v="0"/>
    <n v="0"/>
    <s v="2.43.4302.84.0-205128.2.3.2.02.02.009.04."/>
    <n v="52010802"/>
    <s v=""/>
    <s v=""/>
  </r>
  <r>
    <n v="451"/>
    <n v="80111600"/>
    <s v="SUBGERENCIA DE ALTOS LOGROS Y DEPORTE ASOCIADO"/>
    <s v="INVERSIÓN"/>
    <x v="13"/>
    <n v="2024003050084"/>
    <x v="56"/>
    <s v="050079"/>
    <n v="38529929"/>
    <s v="PRESTACIÓN DE SERVICIOS DE UN ENTRENADOR ASISTENTE PARA LA REALIZACIÓN DEL PROCESO SELECCIÓN, ENTRENAMIENTO DEPORTIVO Y PARTICIPACIÓN EN COMPETENCIAS EN LA LIGA ANTIOQUEÑA DE VOLEIBOL, EN LA MODALIDAD VOLEIBOL PISO, RAMA FEMEN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0"/>
    <s v="NO"/>
    <s v="FEBRERO"/>
    <s v="MARZO"/>
    <n v="283"/>
    <s v="JOHN ALEXANDER HOYOS OCAMPO"/>
    <s v=""/>
    <n v="0"/>
    <n v="38529929"/>
    <n v="0"/>
    <n v="0"/>
    <s v="2.43.4302.84.0-205128.2.3.2.02.02.009.04."/>
    <n v="52010802"/>
    <s v=""/>
    <s v=""/>
  </r>
  <r>
    <n v="452"/>
    <n v="80111600"/>
    <s v="SUBGERENCIA DE ALTOS LOGROS Y DEPORTE ASOCIADO"/>
    <s v="INVERSIÓN"/>
    <x v="13"/>
    <n v="2024003050084"/>
    <x v="56"/>
    <s v="050079"/>
    <n v="47854929"/>
    <s v="PRESTACIÓN DE SERVICIOS DE UN ENTRENADOR ASISTENTE EN DESARROLLO DEPORTIVO DE LOS ATLETAS EN LAS CATEGORÍAS INFANTIL Y JUNIOR EN LA MODALIDAD DE VELOCIDAD DEL CENTRO DE DESARROLLO DE LA LIGA DE ATLETISMO DE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2"/>
    <s v="NO"/>
    <s v="FEBRERO"/>
    <s v="MARZO"/>
    <n v="284"/>
    <s v="PRINCESA MARIA OLIVEROS BOHORQUEZ"/>
    <s v=""/>
    <n v="0"/>
    <n v="47854929"/>
    <n v="0"/>
    <n v="0"/>
    <s v="2.43.4302.84.0-205128.2.3.2.02.02.009.04."/>
    <n v="52010802"/>
    <s v=""/>
    <s v=""/>
  </r>
  <r>
    <n v="453"/>
    <n v="80111600"/>
    <s v="SUBGERENCIA DE ALTOS LOGROS Y DEPORTE ASOCIADO"/>
    <s v="INVERSIÓN"/>
    <x v="13"/>
    <n v="2024003050084"/>
    <x v="56"/>
    <s v="050079"/>
    <n v="25100935"/>
    <s v="PRESTACIÓN DE SERVICIOS DE UN ENTRENADOR ASISTENTE PARA LA REALIZACIÓN DE PROCESOS DE SELECCIÓN SUBREGIONALES Y PARTICIPACIÓN EN COMPETENCIAS EN LA LIGA DE TENIS DE MESA DE ANTIOQUIA, EN LAS CATEGORÍAS DE FORMACIÓN DEPORTIVA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3"/>
    <s v="NO"/>
    <s v="FEBRERO"/>
    <s v="MARZO"/>
    <n v="288"/>
    <s v="JUAN JIMENEZ PÉREZ "/>
    <s v=""/>
    <n v="0"/>
    <n v="25100935"/>
    <n v="0"/>
    <n v="0"/>
    <s v="2.43.4302.84.0-205128.2.3.2.02.02.009.04."/>
    <n v="52010802"/>
    <s v=""/>
    <s v=""/>
  </r>
  <r>
    <n v="454"/>
    <n v="80111600"/>
    <s v="SUBGERENCIA DE ALTOS LOGROS Y DEPORTE ASOCIADO"/>
    <s v="INVERSIÓN"/>
    <x v="13"/>
    <n v="2024003050084"/>
    <x v="56"/>
    <s v="050079"/>
    <n v="57820006"/>
    <s v="PRESTACIÓN DE SERVICIOS DE UN ENTRENADOR DE INICIACIÓN Y DESARROLLO DEPORTIVO PARA LA CONSECUCIÓN DE NUEVOS TALENTOS PARA DEPORTES DE CONJUNTO EN LA SUBREGIÓN DEL SUROESTE ANTIOQUEÑO,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4"/>
    <s v="NO"/>
    <s v="FEBRERO"/>
    <s v="MARZO"/>
    <n v="296"/>
    <s v="CRISTIAN CAMILO HIGUITA ALVAREZ "/>
    <s v=""/>
    <n v="0"/>
    <n v="57820006"/>
    <n v="0"/>
    <n v="0"/>
    <s v="2.43.4302.84.0-205128.2.3.2.02.02.009.04."/>
    <n v="52010802"/>
    <s v=""/>
    <s v=""/>
  </r>
  <r>
    <n v="455"/>
    <n v="80111600"/>
    <s v="SUBGERENCIA DE ALTOS LOGROS Y DEPORTE ASOCIADO"/>
    <s v="INVERSIÓN"/>
    <x v="13"/>
    <n v="2024003050084"/>
    <x v="56"/>
    <s v="050079"/>
    <n v="47854929"/>
    <s v="PRESTACIÓN DE SERVICIOS DE UN ENTRENADOR PRINCIPAL PARA LA REALIZACIÓN DEL PROCESO DE SELECCIÓN, ENTRENAMIENTO DEPORTIVO Y PARTICIPACIÓN EN COMPETENCIAS EN LA LIGA ANTIOQUEÑA DE RUGBY, EN LA MODALIDAD QUINCES RAMA FEMENINA Y MASCULINA, EN CATEGORÍAS MAYORES Y JUVENILES.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6"/>
    <s v="NO"/>
    <s v="FEBRERO"/>
    <s v="MARZO"/>
    <n v="297"/>
    <s v="SEBASTIAN MEJIA GIL"/>
    <s v=""/>
    <n v="0"/>
    <n v="47854929"/>
    <n v="0"/>
    <n v="0"/>
    <s v="2.43.4302.84.0-205128.2.3.2.02.02.009.04."/>
    <n v="52010802"/>
    <s v=""/>
    <s v=""/>
  </r>
  <r>
    <n v="456"/>
    <n v="80111600"/>
    <s v="SUBGERENCIA DE ALTOS LOGROS Y DEPORTE ASOCIADO"/>
    <s v="INVERSIÓN"/>
    <x v="13"/>
    <n v="2024003050084"/>
    <x v="56"/>
    <s v="050079"/>
    <n v="38529929"/>
    <s v="PRESTACIÓN DE SERVICIOS DE UN ENTRENADOR DE INICIACIÓN Y DESARROLLO DEPORTIVO PARA LA CONSECUCIÓN DE NUEVOS TALENTOS PARA LA LIGA ANTIOQUEÑA DE TEJO, QUE PUEDAN LLEGAR A LAS SELECCIONES DE ANTIOQUIA. "/>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9"/>
    <s v="NO"/>
    <s v="FEBRERO"/>
    <s v="MARZO"/>
    <n v="305"/>
    <s v="JOSE ALIRIO RODRIGUEZ "/>
    <s v=""/>
    <n v="0"/>
    <n v="38529929"/>
    <n v="0"/>
    <n v="0"/>
    <s v="2.43.4302.84.0-205128.2.3.2.02.02.009.04."/>
    <n v="52010802"/>
    <s v=""/>
    <s v=""/>
  </r>
  <r>
    <n v="457"/>
    <n v="80111600"/>
    <s v="SUBGERENCIA DE ALTOS LOGROS Y DEPORTE ASOCIADO"/>
    <s v="INVERSIÓN"/>
    <x v="13"/>
    <n v="2024003050084"/>
    <x v="56"/>
    <s v="050079"/>
    <n v="25100935"/>
    <s v="PRESTACIÓN DE SERVICIOS DE UN ENTRENADOR PARA LA REALIZACIÓN DEL PROCESO DE SELECCIÓN, ENTRENAMIENTO DEPORTIVO Y PARTICIPACIÓN EN COMPETENCIAS EN LA LIGA ANTIOQUEÑA DE TEJO, EN LA RAMA FEMEN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1"/>
    <s v="NO"/>
    <s v="FEBRERO"/>
    <s v="MARZO"/>
    <n v="306"/>
    <s v="DIANA MARCELA AGUASACO RABA"/>
    <s v=""/>
    <n v="0"/>
    <n v="25100935"/>
    <n v="0"/>
    <n v="0"/>
    <s v="2.43.4302.84.0-205128.2.3.2.02.02.009.04."/>
    <n v="52010802"/>
    <s v=""/>
    <s v=""/>
  </r>
  <r>
    <n v="458"/>
    <n v="80111600"/>
    <s v="SUBGERENCIA DE ALTOS LOGROS Y DEPORTE ASOCIADO"/>
    <s v="INVERSIÓN"/>
    <x v="13"/>
    <n v="2024003050084"/>
    <x v="56"/>
    <s v="050079"/>
    <n v="38529929"/>
    <s v="PRESTACIÓN DE SERVICIOS DE UN ENTRENADOR PARA LA REALIZACIÓN DEL PROCESO DE SELECCIÓN, ENTRENAMIENTO DEPORTIVO Y PARTICIPACIÓN EN COMPETENCIAS EN LA LIGA ANTIOQUEÑA DE TEJO, EN LA RAMA MASCULINA,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5"/>
    <s v="NO"/>
    <s v="FEBRERO"/>
    <s v="MARZO"/>
    <n v="307"/>
    <s v="JONATHAN ARLEY NARANJO HURTADO "/>
    <s v=""/>
    <n v="0"/>
    <n v="38529929"/>
    <n v="0"/>
    <n v="0"/>
    <s v="2.43.4302.84.0-205128.2.3.2.02.02.009.04."/>
    <n v="52010802"/>
    <s v=""/>
    <s v=""/>
  </r>
  <r>
    <n v="459"/>
    <n v="80111600"/>
    <s v="SUBGERENCIA DE ALTOS LOGROS Y DEPORTE ASOCIADO"/>
    <s v="INVERSIÓN"/>
    <x v="13"/>
    <n v="2024003050084"/>
    <x v="56"/>
    <s v="050079"/>
    <n v="25100935"/>
    <s v="PRESTACIÓN DE SERVICIOS DE UN ENTRENADOR ASISTENTE PARA EL DESARROLLO DEPORTIVO DE LOS ATLETAS DE LA LIGA ANTIOQUEÑA DE ACTIVIDADES SUBACUÁTICAS EN LA MODALIDAD NATACIÓN CON ALETAS DEL CENTRO DE DESARROLLO DEPORTIVO."/>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67"/>
    <s v="NO"/>
    <s v="FEBRERO"/>
    <s v="MARZO"/>
    <n v="316"/>
    <s v="VALENTINA HIDALGO LÓPEZ "/>
    <s v=""/>
    <n v="0"/>
    <n v="25100935"/>
    <n v="0"/>
    <n v="0"/>
    <s v="2.43.4302.84.0-205128.2.3.2.02.02.009.04."/>
    <n v="52010802"/>
    <s v=""/>
    <s v=""/>
  </r>
  <r>
    <n v="460"/>
    <n v="80111600"/>
    <s v="SUBGERENCIA DE ALTOS LOGROS Y DEPORTE ASOCIADO"/>
    <s v="INVERSIÓN"/>
    <x v="13"/>
    <n v="2024003050084"/>
    <x v="56"/>
    <s v="050079"/>
    <n v="95732000"/>
    <s v="PRESTACIÓN DE SERVICIOS PROFESIONALES ESPECIALIZADOS PARA EL ACOMPAÑAMIENTO DE LOS PROCESOS METODOLÓGICOS PARA LA PREPARACIÓN, PARTICIPACIÓN Y FORTALECIMIENTO TÉCNICO  DE LOS PARA-ATLETAS Y DE LOS ORGANISMOS DEPORTIVOS QUE APOYA INDEPORTES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10"/>
    <s v="MESES"/>
    <n v="321"/>
    <s v="NO"/>
    <s v="FEBRERO"/>
    <s v="FEBRERO"/>
    <n v="241"/>
    <s v="ANDRES FELIPE MUÑOZ PRIETO"/>
    <n v="154"/>
    <n v="95732000"/>
    <n v="0"/>
    <n v="3510173"/>
    <n v="92221827"/>
    <s v="1542.43.4302.84.0-205128.2.3.2.02.02.009.04."/>
    <n v="52010802"/>
    <n v="3510173"/>
    <n v="95732000"/>
  </r>
  <r>
    <n v="461"/>
    <n v="80111600"/>
    <s v="SUBGERENCIA DE ALTOS LOGROS Y DEPORTE ASOCIADO"/>
    <s v="INVERSIÓN"/>
    <x v="13"/>
    <n v="2024003050084"/>
    <x v="56"/>
    <s v="050079"/>
    <n v="75218000"/>
    <s v="PRESTACIÓN DE SERVICIOS PROFESIONALES PARA EL ACOMPAÑAMIENTO DE LOS PROCESOS METODOLÓGICOS PARA LA PREPARACIÓN, PARTICIPACIÓN Y FORTALECIMIENTO TÉCNICO DE LOS ATLETAS QUE APOYA INDEPORTES ANTIOQUIA"/>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10"/>
    <s v="MESES"/>
    <n v="298"/>
    <s v="NO"/>
    <s v="FEBRERO"/>
    <s v="FEBRERO"/>
    <n v="62"/>
    <s v="DANIEL ALEJANDRO CUERVO ARANGO"/>
    <n v="132"/>
    <n v="75218000"/>
    <n v="0"/>
    <n v="3510173"/>
    <n v="71707827"/>
    <s v="1322.43.4302.84.0-205128.2.3.2.02.02.009.04."/>
    <n v="52010802"/>
    <n v="3510173"/>
    <n v="75218000"/>
  </r>
  <r>
    <n v="462"/>
    <s v="N/A"/>
    <s v="SUBGERENCIA DE ALTOS LOGROS Y DEPORTE ASOCIADO"/>
    <s v="INVERSIÓN"/>
    <x v="14"/>
    <n v="2024003050085"/>
    <x v="57"/>
    <s v="050077"/>
    <n v="523524200"/>
    <s v="ENTREGAR ESTÍMULO ALIMENTACIÓN PARA LOS ATLETAS Y PARA-ATLETA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FEBRERO"/>
    <s v="FEBRERO"/>
    <s v=""/>
    <s v=""/>
    <s v=""/>
    <n v="0"/>
    <n v="523524200"/>
    <n v="0"/>
    <n v="0"/>
    <s v="2.43.4302.85.0-205128.2.3.3.08.06."/>
    <n v="52010803"/>
    <s v=""/>
    <s v=""/>
  </r>
  <r>
    <n v="463"/>
    <s v="N/A"/>
    <s v="SUBGERENCIA DE ALTOS LOGROS Y DEPORTE ASOCIADO"/>
    <s v="INVERSIÓN"/>
    <x v="14"/>
    <n v="2024003050085"/>
    <x v="58"/>
    <s v="050077"/>
    <n v="100000000"/>
    <s v="ENTREGAR ESTÍMULO ECONÓMICO A LOS ATLETAS Y PARA-ATLETAS PARA LA PARTICIPACIÓN EN EVENTO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FEBRERO"/>
    <s v="FEBRERO"/>
    <s v=""/>
    <s v=""/>
    <s v=""/>
    <n v="0"/>
    <n v="100000000"/>
    <n v="0"/>
    <n v="0"/>
    <s v="2.43.4302.85.0-205128.2.3.3.08.06."/>
    <n v="52010803"/>
    <s v=""/>
    <s v=""/>
  </r>
  <r>
    <n v="464"/>
    <n v="80111600"/>
    <s v="SUBGERENCIA DE ALTOS LOGROS Y DEPORTE ASOCIADO"/>
    <s v="INVERSIÓN"/>
    <x v="14"/>
    <n v="2024003050085"/>
    <x v="59"/>
    <s v="050077"/>
    <n v="41028000"/>
    <s v="PRESTACIÓN DE SERVICIOS DE APOYO A LA GESTIÓN ADMINISTRATIVA  DE LOS DIFERENTES PROGRAMAS DE LA SUBGERENCIA DE DEPORTE ASOCIADO Y ALTOS LOGROS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70"/>
    <s v="NO"/>
    <s v="FEBRERO"/>
    <s v="FEBRERO"/>
    <n v="30"/>
    <s v="DARLYN VANESA OTALVARO MONTOYA"/>
    <n v="95"/>
    <n v="41028000"/>
    <n v="0"/>
    <n v="3282240"/>
    <n v="37745760"/>
    <s v="952.43.4302.85.0-205128.2.3.2.02.02.008.11."/>
    <n v="52010803"/>
    <n v="3282240"/>
    <n v="41028000"/>
  </r>
  <r>
    <n v="465"/>
    <n v="80111600"/>
    <s v="SUBGERENCIA DE ALTOS LOGROS Y DEPORTE ASOCIADO"/>
    <s v="INVERSIÓN"/>
    <x v="14"/>
    <n v="2024003050085"/>
    <x v="59"/>
    <s v="050077"/>
    <n v="47860000"/>
    <s v="PRESTACIÓN DE SERVICIOS DE APOYO A LA GESTIÓN EN LOS PROCESOS ADMINISTRATIVOS Y DE OPERACIÓN PARA EL FUNCIONAMIENTO DE LAS DIFERENTES SEDES DE INDEPORTES ANTIOQUIA "/>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69"/>
    <s v="NO"/>
    <s v="FEBRERO"/>
    <s v="FEBRERO"/>
    <n v="47"/>
    <s v="SANTIAGO AGUILAR RIOS"/>
    <n v="111"/>
    <n v="47706447"/>
    <n v="153553"/>
    <n v="2871960"/>
    <n v="44834487"/>
    <s v="1112.43.4302.85.0-205128.2.3.2.02.02.008.11."/>
    <n v="52010803"/>
    <n v="2871960"/>
    <n v="47706447"/>
  </r>
  <r>
    <n v="466"/>
    <n v="80111600"/>
    <s v="SUBGERENCIA DE ALTOS LOGROS Y DEPORTE ASOCIADO"/>
    <s v="INVERSIÓN"/>
    <x v="14"/>
    <n v="2024003050085"/>
    <x v="59"/>
    <s v="050077"/>
    <n v="34190000"/>
    <s v="PRESTACIÓN DE SERVICIOS DE APOYO A LA GESTIÓN OPERATIVA Y DE MANTENIMIENTO DE LA SEDE VILLA DEPORTIVA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10"/>
    <s v="MESES"/>
    <n v="326"/>
    <s v="NO"/>
    <s v="FEBRERO"/>
    <s v="FEBRERO"/>
    <n v="328"/>
    <s v="OMAR JOSE TANGARIFE VANEGAS"/>
    <s v=""/>
    <n v="0"/>
    <n v="34190000"/>
    <n v="0"/>
    <n v="0"/>
    <s v="2.43.4302.85.0-205128.2.3.2.02.02.008.11."/>
    <n v="52010803"/>
    <s v=""/>
    <s v=""/>
  </r>
  <r>
    <n v="467"/>
    <n v="80111600"/>
    <s v="SUBGERENCIA DE ALTOS LOGROS Y DEPORTE ASOCIADO"/>
    <s v="INVERSIÓN"/>
    <x v="14"/>
    <n v="2024003050085"/>
    <x v="59"/>
    <s v="050077"/>
    <n v="75218000"/>
    <s v="PRESTACIÓN DE SERVICIOS PROFESIONALES PARA EL ACOMPAÑAMIENTO PSICOSOCIAL Y PARA LA CLASIFICACIÓN FUNCIONAL DE LOS PARA-ATLETAS ATENDIDOS POR LA SUBGERENCIA DE DEPORTE ASOCIADO Y ALTOS LOGROS DE INDEPORTES ANTIOQUIA"/>
    <s v="CONTRATADO"/>
    <s v="DIRECTA"/>
    <s v="PRESTACIÓN DE SERVICIOS PROFESIONALES Y DE APOYO  A  LA GESTIÓN"/>
    <x v="87"/>
    <n v="64"/>
    <s v="Apoyo y subvención para satisfacer necesidades propias del proceso de preparación y competencia de los Atletas y Para-atletas de alto rendimiento del departamento de Antioquia - Servicios para la comunidad, sociales y personales"/>
    <s v="85"/>
    <s v="0-205128"/>
    <n v="10"/>
    <s v="MESES"/>
    <n v="306"/>
    <s v="NO"/>
    <s v="FEBRERO"/>
    <s v="FEBRERO"/>
    <n v="60"/>
    <s v="ANDREA FERNANDA ARIAS CORENA"/>
    <n v="131"/>
    <n v="75218000"/>
    <n v="0"/>
    <n v="3510173"/>
    <n v="71707827"/>
    <s v="1312.43.4302.85.0-205128.2.3.2.02.02.009.05."/>
    <n v="52010803"/>
    <n v="3510173"/>
    <n v="75218000"/>
  </r>
  <r>
    <n v="468"/>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69"/>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0"/>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1"/>
    <n v="90141502"/>
    <s v="SUBGERENCIA DE ALTOS LOGROS Y DEPORTE ASOCIADO"/>
    <s v="INVERSIÓN"/>
    <x v="11"/>
    <n v="2024003050087"/>
    <x v="60"/>
    <s v="050078"/>
    <n v="0"/>
    <s v="N/A"/>
    <s v="NO CONTRATADO"/>
    <s v="DIRECTA"/>
    <s v="CONVENIO DE APOYO"/>
    <x v="88"/>
    <n v="69"/>
    <s v="Fortalecimiento del desarrollo deportivo con miras al alto rendimiento competitivo de los atletas del departamento de Antioquia -Actividades de promoción y desarrollo del Deporte"/>
    <s v="87"/>
    <s v="0-205128"/>
    <n v="9"/>
    <s v="MESES"/>
    <s v=""/>
    <s v="NO"/>
    <s v="MARZO"/>
    <s v="MARZO"/>
    <s v=""/>
    <s v=""/>
    <s v=""/>
    <n v="0"/>
    <n v="0"/>
    <n v="0"/>
    <n v="0"/>
    <s v="2.43.4302.87.0-205128.2.3.3.09.17."/>
    <n v="52010805"/>
    <s v=""/>
    <s v=""/>
  </r>
  <r>
    <n v="472"/>
    <n v="90141502"/>
    <s v="SUBGERENCIA DE ALTOS LOGROS Y DEPORTE ASOCIADO"/>
    <s v="INVERSIÓN"/>
    <x v="11"/>
    <n v="2024003050087"/>
    <x v="60"/>
    <s v="050078"/>
    <n v="0"/>
    <s v="N/A"/>
    <s v="NO CONTRATADO"/>
    <s v="DIRECTA"/>
    <s v="CONVENIO DE APOYO"/>
    <x v="89"/>
    <n v="67"/>
    <s v="Fortalecimiento del desarrollo deportivo con miras al alto rendimiento competitivo de los atletas del departamento de Antioquia -Actividades de promoción y desarrollo del Deporte"/>
    <s v="87"/>
    <s v="0-101024"/>
    <n v="9"/>
    <s v="MESES"/>
    <s v=""/>
    <s v="NO"/>
    <s v="MARZO"/>
    <s v="MARZO"/>
    <s v=""/>
    <s v=""/>
    <s v=""/>
    <n v="0"/>
    <n v="0"/>
    <n v="0"/>
    <n v="0"/>
    <s v="2.43.4302.87.0-101024.2.3.3.09.17."/>
    <n v="52010805"/>
    <s v=""/>
    <s v=""/>
  </r>
  <r>
    <n v="473"/>
    <n v="80111600"/>
    <s v="SUBGERENCIA DE ALTOS LOGROS Y DEPORTE ASOCIADO"/>
    <s v="INVERSIÓN"/>
    <x v="11"/>
    <n v="2024003050087"/>
    <x v="51"/>
    <s v="050078"/>
    <n v="34190000"/>
    <s v="PRESTACIÓN DE SERVICIOS DE APOYO A LA GESTIÓN EN LOS PROCESOS ADMINISTRATIVOS Y DE OPERACIÓN NECESARIOS PARA EL DESARROLLO Y FUNCIONAMIENTO DEL CENTRO DE DESARROLLO DEPORTIVO &quot;CEDEP&quot; DE URABÁ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357"/>
    <s v="NO"/>
    <s v="FEBRERO"/>
    <s v="FEBRERO"/>
    <n v="273"/>
    <s v="LUIS ADONIS DURAN PEREIRA"/>
    <s v=""/>
    <n v="0"/>
    <n v="34190000"/>
    <n v="0"/>
    <n v="0"/>
    <s v="2.43.4302.87.0-101024.2.3.2.02.02.008.12."/>
    <n v="52010805"/>
    <s v=""/>
    <s v=""/>
  </r>
  <r>
    <n v="474"/>
    <n v="80111600"/>
    <s v="SUBGERENCIA DE ALTOS LOGROS Y DEPORTE ASOCIADO"/>
    <s v="INVERSIÓN"/>
    <x v="11"/>
    <n v="2024003050087"/>
    <x v="51"/>
    <s v="050078"/>
    <n v="47866000"/>
    <s v="PRESTACIÓN DE SERVICIOS DE APOYO A LA GESTIÓN EN LOS PROCESOS ADMINISTRATIVOS DE LA SUBGERENCIA DE DEPORTE ASOCIADO Y ALTOS LOGROS, NECESARIOS PARA ACOMPAÑAR LA OPERACIÓN Y DESARROLLO DE LAS ACTIVIDADES EN LAS INSTALACIONES DEPORTIVAS DE LA VILLA NÁUTICA EN GUATAPÉ."/>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10"/>
    <s v="MESES"/>
    <n v="351"/>
    <s v="NO"/>
    <s v="FEBRERO"/>
    <s v="FEBRERO"/>
    <n v="324"/>
    <s v="NATALI ATEHORTUA ZULUAGA"/>
    <s v=""/>
    <n v="0"/>
    <n v="47866000"/>
    <n v="0"/>
    <n v="0"/>
    <s v="2.43.4302.87.0-101024.2.3.2.02.02.008.12."/>
    <n v="52010805"/>
    <s v=""/>
    <s v=""/>
  </r>
  <r>
    <n v="475"/>
    <s v="81111800; 81161801;81112101"/>
    <s v="SUBGERENCIA ADMINISTRATIVA Y FINANCIERA"/>
    <s v="FUNCIONAMIENTO"/>
    <x v="1"/>
    <n v="2024003050077"/>
    <x v="11"/>
    <s v="220387"/>
    <n v="177246765"/>
    <s v="PRESTACIÓN DE SERVICIOS DE INFRAESTRUCTURA TECNOLOGICA  PARA INDEPORTES ANTIOQUIA"/>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n v="64"/>
    <s v="NO"/>
    <s v="ENERO "/>
    <s v="ENERO "/>
    <n v="256"/>
    <s v="UNE EPM TELECOMUNICACIONES S.A"/>
    <n v="442"/>
    <n v="176682395"/>
    <n v="564370"/>
    <n v="0"/>
    <n v="176682395"/>
    <s v="4421.45.4599.77.0-205128.2.3.2.02.02.008.05."/>
    <n v="52011001"/>
    <n v="0"/>
    <n v="176682395"/>
  </r>
  <r>
    <n v="476"/>
    <s v="81111800; 81111811;43231602"/>
    <s v="SUBGERENCIA ADMINISTRATIVA Y FINANCIERA"/>
    <s v="FUNCIONAMIENTO"/>
    <x v="1"/>
    <n v="2024003050077"/>
    <x v="11"/>
    <s v="220387"/>
    <n v="235516324"/>
    <s v="PRESTACIÓN DE SERVICIOS DE SICOF ERP EN MODALIDAD CLOUD COMPUTING  PARA INDEPORTES ANTIOQUIA, ASI COMO EL SOPORTE Y MANTENIMIENTO, ACOMPAÑAMIENTO EN SITIO Y HORAS DE DESARROLLO"/>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0"/>
    <s v="MESES"/>
    <n v="305"/>
    <s v="NO"/>
    <s v="FEBRERO"/>
    <s v="FEBRERO"/>
    <n v="248"/>
    <s v="ADA S.A.S."/>
    <n v="437"/>
    <n v="233927172"/>
    <n v="1589152"/>
    <n v="0"/>
    <n v="233927172"/>
    <s v="4371.45.4599.77.0-205128.2.3.2.02.02.008.05."/>
    <n v="52011001"/>
    <n v="0"/>
    <n v="233927172"/>
  </r>
  <r>
    <n v="477"/>
    <n v="43231500"/>
    <s v="SUBGERENCIA ADMINISTRATIVA Y FINANCIERA"/>
    <s v="FUNCIONAMIENTO"/>
    <x v="1"/>
    <n v="2024003050077"/>
    <x v="61"/>
    <s v="220387"/>
    <n v="43109912"/>
    <s v="SOPORTE TÉCNICO, ACTUALIZACIÓN Y MANTENIMIENTO DEL SISTEMA DE GESTIÓN DOCUMENTAL MERCURIO"/>
    <s v="CONTRATADO"/>
    <s v="DIRECT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n v="65"/>
    <s v="NO"/>
    <s v="ENERO "/>
    <s v="ENERO "/>
    <n v="264"/>
    <s v="SERVISOFT S.A."/>
    <s v=""/>
    <n v="0"/>
    <n v="43109912"/>
    <n v="0"/>
    <n v="0"/>
    <s v="1.45.4599.77.0-205128.2.3.2.02.02.008.05."/>
    <n v="52011001"/>
    <s v=""/>
    <s v=""/>
  </r>
  <r>
    <n v="478"/>
    <s v="44103125;_x000a_81101707;_x000a_44103100;_x000a_43212100"/>
    <s v="SUBGERENCIA ADMINISTRATIVA Y FINANCIERA"/>
    <s v="FUNCIONAMIENTO"/>
    <x v="1"/>
    <n v="2024003050077"/>
    <x v="11"/>
    <s v="220387"/>
    <n v="35000000"/>
    <s v="SUMINISTRO Y SERVICIO DE MANTENIMIENTO DE EQUIPOS DE IMPRESIÓN, ESCÁNERES Y/O MULTIMEDIA DE INDEPORTES ANTIOQUIA"/>
    <s v="NO CONTRATADO"/>
    <s v="SELECCIÓN ABREVIADA MENOR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9"/>
    <s v="MESES"/>
    <s v=""/>
    <s v="NO"/>
    <s v="MARZO"/>
    <s v="MARZO"/>
    <s v=""/>
    <s v=""/>
    <s v=""/>
    <n v="0"/>
    <n v="35000000"/>
    <n v="0"/>
    <n v="0"/>
    <s v="1.45.4599.77.0-205128.2.3.2.02.02.008.05."/>
    <n v="52011001"/>
    <s v=""/>
    <s v=""/>
  </r>
  <r>
    <n v="479"/>
    <n v="43231501"/>
    <s v="SUBGERENCIA ADMINISTRATIVA Y FINANCIERA"/>
    <s v="FUNCIONAMIENTO"/>
    <x v="1"/>
    <n v="2024003050077"/>
    <x v="11"/>
    <s v="220387"/>
    <n v="40000000"/>
    <s v="LICENCIAMIENTO DE SOFTWARE DE MESA DE AYUDA  PARA INDEPORTES ANTIOQUIA EN MODALIDAD DE SOFTWARE COMO SERVICIO (SAAS). "/>
    <s v="NO CONTRATADO"/>
    <s v="MÍNIMA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3"/>
    <s v="MESES"/>
    <s v=""/>
    <s v="NO"/>
    <s v="MARZO"/>
    <s v="MARZO"/>
    <s v=""/>
    <s v=""/>
    <s v=""/>
    <n v="0"/>
    <n v="40000000"/>
    <n v="0"/>
    <n v="0"/>
    <s v="1.45.4599.77.0-205128.2.3.2.02.02.008.05."/>
    <n v="52011001"/>
    <s v=""/>
    <s v=""/>
  </r>
  <r>
    <n v="480"/>
    <s v="43233200;81111801  "/>
    <s v="SUBGERENCIA ADMINISTRATIVA Y FINANCIERA"/>
    <s v="FUNCIONAMIENTO"/>
    <x v="1"/>
    <n v="2024003050077"/>
    <x v="61"/>
    <s v="220387"/>
    <n v="29676184"/>
    <s v="PRESTACIÓN DE SERVICIOS DE SEGURIDAD DE LA INFORMACIÓN PARA INDEPORTES ANTIOQUIA"/>
    <s v="NO CONTRATADO"/>
    <s v="SELECCIÓN ABREVIADA MENOR CUANTÍA"/>
    <s v="PRESTACIÓN DE SERVICIOS"/>
    <x v="90"/>
    <n v="50"/>
    <s v="Fortalecimiento de los sistemas de información y la gestión estratégica para el deporte, la recreación y la actividad física de Antioquia (sistemas) - Servicios prestados a las empresas y servicios de producción "/>
    <s v="77"/>
    <s v="0-205128"/>
    <n v="11"/>
    <s v="MESES"/>
    <s v=""/>
    <s v="NO"/>
    <s v="MAYO"/>
    <s v="MAYO"/>
    <s v=""/>
    <s v=""/>
    <s v=""/>
    <n v="0"/>
    <n v="29676184"/>
    <n v="0"/>
    <n v="0"/>
    <s v="1.45.4599.77.0-205128.2.3.2.02.02.008.05."/>
    <n v="52011001"/>
    <s v=""/>
    <s v=""/>
  </r>
  <r>
    <n v="481"/>
    <n v="80111600"/>
    <s v="SUBGERENCIA ADMINISTRATIVA Y FINANCIERA"/>
    <s v="FUNCIONAMIENTO"/>
    <x v="1"/>
    <n v="2024003050077"/>
    <x v="12"/>
    <s v="220387"/>
    <n v="34797836"/>
    <s v="PRESTACIÓN DE SERVICIOS PROFESIONALES PARA LA GESTIÓN DE LA POLÍTICA DE GOBIERNO DIGITAL EN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4000000000000004"/>
    <s v="MESES"/>
    <n v="12"/>
    <s v="NO"/>
    <s v="ENERO "/>
    <s v="ENERO "/>
    <n v="55"/>
    <s v="YEISON NOLBERTO HENAO"/>
    <n v="118"/>
    <n v="34600280"/>
    <n v="197556"/>
    <n v="4513080"/>
    <n v="30087200"/>
    <s v="1181.45.4599.77.0-205128.2.3.2.02.02.008.05."/>
    <n v="52011001"/>
    <n v="4513080"/>
    <n v="34600280"/>
  </r>
  <r>
    <n v="482"/>
    <n v="80111600"/>
    <s v="SUBGERENCIA ADMINISTRATIVA Y FINANCIERA"/>
    <s v="FUNCIONAMIENTO"/>
    <x v="1"/>
    <n v="2024003050077"/>
    <x v="12"/>
    <s v="220387"/>
    <n v="0"/>
    <s v="PRESTACIÓN DE SERVICIOS DE APOYO A LA GESTIÓN PARA LA ADMINISTRACIÓN DE LA PLATAFORMA DEPORTESANT DE INDEPORTES ANTIOQUIA"/>
    <s v="NO 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s v="N/A"/>
    <s v="N/A"/>
    <s v=""/>
    <s v="NO"/>
    <s v="N/A"/>
    <s v="N/A"/>
    <s v=""/>
    <s v=""/>
    <s v=""/>
    <n v="0"/>
    <n v="0"/>
    <n v="0"/>
    <n v="0"/>
    <s v="1.45.4599.77.0-205128.2.3.2.02.02.008.05."/>
    <n v="52011001"/>
    <s v=""/>
    <s v=""/>
  </r>
  <r>
    <n v="483"/>
    <n v="80111600"/>
    <s v="SUBGERENCIA ADMINISTRATIVA Y FINANCIERA"/>
    <s v="FUNCIONAMIENTO"/>
    <x v="1"/>
    <n v="2024003050077"/>
    <x v="12"/>
    <s v="220387"/>
    <n v="34797836"/>
    <s v="PRESTACIÓN DE SERVICIOS PROFESIONALES COMO DESARROLLADOR WEB DE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0999999999999996"/>
    <s v="MESES"/>
    <n v="316"/>
    <s v="NO"/>
    <s v="ENERO "/>
    <s v="ENERO "/>
    <n v="238"/>
    <s v="JHON MARIO NONSOQUE GARCIA"/>
    <n v="153"/>
    <n v="34600280"/>
    <n v="197556"/>
    <n v="0"/>
    <n v="34600280"/>
    <s v="1531.45.4599.77.0-205128.2.3.2.02.02.008.05."/>
    <n v="52011001"/>
    <n v="0"/>
    <n v="34600280"/>
  </r>
  <r>
    <n v="484"/>
    <n v="80111600"/>
    <s v="SUBGERENCIA ADMINISTRATIVA Y FINANCIERA"/>
    <s v="FUNCIONAMIENTO"/>
    <x v="1"/>
    <n v="2024003050077"/>
    <x v="12"/>
    <s v="220387"/>
    <n v="34797836"/>
    <s v="PRESTACIÓN DE SERVICIOS PROFESIONALES PARA APOYAR LA EJECUCIÓN DE ACTIVIDADES RELACIONADAS CON  DESARROLLOS WEB EN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4000000000000004"/>
    <s v="MESES"/>
    <n v="384"/>
    <s v="NO"/>
    <s v="ENERO "/>
    <s v="ENERO "/>
    <n v="333"/>
    <s v="CARLOS ALBERTO HENAO MESA"/>
    <s v=""/>
    <n v="0"/>
    <n v="34797836"/>
    <n v="0"/>
    <n v="0"/>
    <s v="1.45.4599.77.0-205128.2.3.2.02.02.008.05."/>
    <n v="52011001"/>
    <s v=""/>
    <s v=""/>
  </r>
  <r>
    <n v="485"/>
    <n v="80111600"/>
    <s v="SUBGERENCIA ADMINISTRATIVA Y FINANCIERA"/>
    <s v="FUNCIONAMIENTO"/>
    <x v="1"/>
    <n v="2024003050077"/>
    <x v="12"/>
    <s v="220387"/>
    <n v="42292508"/>
    <s v="PRESTACIÓN DE SERVICIOS PROFESIONALES PARA POYAR LOS PROCESOS DE ADQUISICIÓN, ESTABILIZACIÓN Y PUESTA EN FUNCIONAMIENTO DE LOS PROYECTOS DE TECNOLOGÍA EN INDEPORTES ANTIOQUIA."/>
    <s v="NO 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2"/>
    <s v="MESES"/>
    <s v=""/>
    <s v="NO"/>
    <s v="ENERO "/>
    <s v="ENERO "/>
    <s v=""/>
    <s v=""/>
    <s v=""/>
    <n v="0"/>
    <n v="42292508"/>
    <n v="0"/>
    <n v="0"/>
    <s v="1.45.4599.77.0-205128.2.3.2.02.02.008.05."/>
    <n v="52011001"/>
    <s v=""/>
    <s v=""/>
  </r>
  <r>
    <n v="486"/>
    <n v="80111600"/>
    <s v="SUBGERENCIA ADMINISTRATIVA Y FINANCIERA"/>
    <s v="FUNCIONAMIENTO"/>
    <x v="1"/>
    <n v="2024003050077"/>
    <x v="12"/>
    <s v="220387"/>
    <n v="20244709"/>
    <s v="PRESTACIÓN DE SERVICIOS DE APOYO PARA EL SOPORTE TÉCNICO Y LA GESTIÓN DE LA OFICINA DE SISTEMAS E INFORMÁTICA DE INDEPORTES ANTIOQUIA."/>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4.0999999999999996"/>
    <s v="MESES"/>
    <n v="11"/>
    <s v="NO"/>
    <s v="ENERO "/>
    <s v="ENERO "/>
    <n v="14"/>
    <s v="SEBASTIAN BEDOYA GIRALDO "/>
    <n v="99"/>
    <n v="20103720"/>
    <n v="140989"/>
    <n v="3191067"/>
    <n v="16912653"/>
    <s v="991.45.4599.77.0-205128.2.3.2.02.02.008.05."/>
    <n v="52011001"/>
    <n v="3191067"/>
    <n v="20103720"/>
  </r>
  <r>
    <n v="487"/>
    <n v="80111600"/>
    <s v="SUBGERENCIA ADMINISTRATIVA Y FINANCIERA"/>
    <s v="FUNCIONAMIENTO"/>
    <x v="1"/>
    <n v="2024003050077"/>
    <x v="12"/>
    <s v="220387"/>
    <n v="52385167"/>
    <s v="PRESTACIÓN DE SERVICIOS PROFESIONALES PARA APOYAR LA GESTIÓN DE SEGURIDAD DE LA INFORMACIÓN EN  INDEPORTES ANTIOQUIA. "/>
    <s v="CONTRATADO"/>
    <s v="DIRECTA"/>
    <s v="PRESTACIÓN DE SERVICIOS PROFESIONALES Y DE APOYO  A  LA GESTIÓN"/>
    <x v="90"/>
    <n v="50"/>
    <s v="Fortalecimiento de los sistemas de información y la gestión estratégica para el deporte, la recreación y la actividad física de Antioquia (sistemas) - Servicios prestados a las empresas y servicios de producción "/>
    <s v="77"/>
    <s v="0-205128"/>
    <n v="6"/>
    <s v="MESES"/>
    <n v="389"/>
    <s v="NO"/>
    <s v="MARZO"/>
    <s v="MARZO"/>
    <n v="335"/>
    <s v="BEATRIZ EUGENIA CHAVERRA CORDOBA"/>
    <s v=""/>
    <n v="0"/>
    <n v="52385167"/>
    <n v="0"/>
    <n v="0"/>
    <s v="1.45.4599.77.0-205128.2.3.2.02.02.008.05."/>
    <n v="52011001"/>
    <s v=""/>
    <s v=""/>
  </r>
  <r>
    <n v="488"/>
    <s v="81111800; 81161801;81112101"/>
    <s v="SUBGERENCIA ADMINISTRATIVA Y FINANCIERA"/>
    <s v="FUNCIONAMIENTO"/>
    <x v="1"/>
    <n v="2024003050077"/>
    <x v="11"/>
    <s v="220387"/>
    <n v="81847907"/>
    <s v="PRESTACIÓN DE SERVICIOS DE INFRAESTRUCTURA TECNOLOGICA  PARA INDEPORTES ANTIOQUIA VF"/>
    <s v="CONTRATADO"/>
    <s v="DIRECTA"/>
    <s v="PRESTACIÓN DE SERVICIOS"/>
    <x v="91"/>
    <n v="51"/>
    <s v="VF-Fortalecimiento de los sistemas de información y la gestión estratégica para el deporte, la recreación y la actividad física de Antioquia (sistemas) -Servicios prestados a las empresas y servicios de producción "/>
    <s v="77"/>
    <s v="0-205128"/>
    <n v="2"/>
    <s v="MESES"/>
    <n v="1"/>
    <s v="NO"/>
    <s v="ENERO "/>
    <s v="ENERO "/>
    <n v="6052024"/>
    <s v="UNE EPM TELECOMUNICACIONES S.A"/>
    <n v="3"/>
    <n v="80272162"/>
    <n v="1575745"/>
    <n v="39286989"/>
    <n v="40985173"/>
    <s v="31.45.4599.77.0-205128.2.3.2.02.02.008.06."/>
    <n v="52011001"/>
    <n v="39286989"/>
    <n v="80272162"/>
  </r>
  <r>
    <n v="489"/>
    <s v="81111800; 81111811;43231602"/>
    <s v="SUBGERENCIA ADMINISTRATIVA Y FINANCIERA"/>
    <s v="FUNCIONAMIENTO"/>
    <x v="1"/>
    <n v="2024003050077"/>
    <x v="11"/>
    <s v="220387"/>
    <n v="41481095"/>
    <s v="PRESTACIÓN DE SERVICIOS DE SICOF ERP EN MODALIDAD CLOUD COMPUTING, SOPORTE Y MANTENIMIENTO, ACOMPAÑAMIENTO EN SITIO Y HORAS DE DESARROLLO. VF - CONTRATO 612 DE 2024"/>
    <s v="CONTRATADO"/>
    <s v="MODIFICACIÓN"/>
    <s v="PRESTACIÓN DE SERVICIOS"/>
    <x v="91"/>
    <n v="51"/>
    <s v="VF-Fortalecimiento de los sistemas de información y la gestión estratégica para el deporte, la recreación y la actividad física de Antioquia (sistemas) -Servicios prestados a las empresas y servicios de producción "/>
    <s v="77"/>
    <s v="0-205128"/>
    <n v="2"/>
    <s v="MESES"/>
    <n v="5"/>
    <s v="NO"/>
    <s v="ENERO "/>
    <s v="ENERO "/>
    <n v="6122024"/>
    <s v="ADA S.A.S."/>
    <n v="4"/>
    <n v="41481095"/>
    <n v="0"/>
    <n v="17632700"/>
    <n v="23848395"/>
    <s v="41.45.4599.77.0-205128.2.3.2.02.02.008.06."/>
    <n v="52011001"/>
    <n v="17632700"/>
    <n v="41481095"/>
  </r>
  <r>
    <n v="490"/>
    <s v="80141607; 80141902"/>
    <s v="SUBGERENCIA ADMINISTRATIVA Y FINANCIERA"/>
    <s v="FUNCIONAMIENTO"/>
    <x v="1"/>
    <n v="2024003050077"/>
    <x v="2"/>
    <s v="220387"/>
    <n v="50000000"/>
    <s v="PRESTACIÓN DE SERVICIOS PARA LA REALIZACIÓN DE LA CELEBRACIÓN ESPECIAL DEL DÍA DEPARTAMENTAL DEL DEPORTISTA ANTIOQUEÑO 2024."/>
    <s v="CONTRATADO"/>
    <s v="DIRECTA"/>
    <s v="PRESTACIÓN DE SERVICIOS"/>
    <x v="43"/>
    <n v="55"/>
    <s v="Fortalecimiento de los sistemas de información y la gestión estratégica para el deporte, la recreación y la actividad física de Antioquia (comunicaciones) -Servicios para la comunidad, sociales y personales"/>
    <s v="77"/>
    <s v="0-271130"/>
    <n v="2"/>
    <s v="MESES"/>
    <n v="29"/>
    <s v="NO"/>
    <s v="ENERO "/>
    <s v="ENERO "/>
    <n v="11"/>
    <s v="ASOCIACIÓN COLOMBIANA DE REDACTORES DEPORTIVOS CAPITULO ANTIOQUIA - ACORD ANTIOQUIA"/>
    <n v="50"/>
    <n v="50000000"/>
    <n v="0"/>
    <n v="50000000"/>
    <n v="0"/>
    <s v="501.45.4599.77.0-271130.2.3.2.02.02.009.01."/>
    <n v="52011001"/>
    <n v="50000000"/>
    <n v="50000000"/>
  </r>
  <r>
    <n v="491"/>
    <n v="80111600"/>
    <s v="SUBGERENCIA ADMINISTRATIVA Y FINANCIERA"/>
    <s v="FUNCIONAMIENTO"/>
    <x v="0"/>
    <n v="999999"/>
    <x v="0"/>
    <n v="999999"/>
    <n v="17095000"/>
    <s v="PRESTACIÓN DE SERVICIOS DE APOYO A LA GESTIÓN PARA LA IMPLEMENTACIÓN DEL PROCESO DE SERVICIO AL CIUDADANO DE INDEPORTES ANTIOQUIA."/>
    <s v="CONTRATADO"/>
    <s v="DIRECTA"/>
    <s v="PRESTACIÓN DE SERVICIOS PROFESIONALES Y DE APOYO  A  LA GESTIÓN"/>
    <x v="32"/>
    <n v="30"/>
    <s v="Servicios prestados a las empresas y servicios de producción "/>
    <s v="00"/>
    <s v="0-205616"/>
    <n v="5"/>
    <s v="MESES"/>
    <n v="22"/>
    <s v="NO"/>
    <s v="ENERO "/>
    <s v="ENERO "/>
    <n v="16"/>
    <s v="ANYI DANIELA RODRIGUEZ"/>
    <n v="86"/>
    <n v="17095000"/>
    <n v="0"/>
    <n v="2735200"/>
    <n v="14359800"/>
    <s v="861.00.0000.00.0-205616.2.1.2.02.02.008.01."/>
    <s v=""/>
    <n v="2735200"/>
    <n v="17095000"/>
  </r>
  <r>
    <n v="492"/>
    <n v="80111600"/>
    <s v="SUBGERENCIA ADMINISTRATIVA Y FINANCIERA"/>
    <s v="FUNCIONAMIENTO"/>
    <x v="0"/>
    <n v="999999"/>
    <x v="0"/>
    <n v="999999"/>
    <n v="47866000"/>
    <s v="PRESTACIÓN DE SERVICIOS PROFESIONALES ESPECIALIZADOS, PARA APOYAR LOS PROCESOS ADMINISTRATIVOS, FINANCIERO Y DE GESTIÓN CONTRACTUAL DE INDEPORTES ANTIOQUIA."/>
    <s v="CONTRATADO"/>
    <s v="DIRECTA"/>
    <s v="PRESTACIÓN DE SERVICIOS PROFESIONALES Y DE APOYO  A  LA GESTIÓN"/>
    <x v="32"/>
    <n v="30"/>
    <s v="Servicios prestados a las empresas y servicios de producción "/>
    <s v="00"/>
    <s v="0-205616"/>
    <n v="5"/>
    <s v="MESES"/>
    <n v="25"/>
    <s v="NO"/>
    <s v="ENERO "/>
    <s v="ENERO "/>
    <n v="5"/>
    <s v="CECILIA ALZATE GOMEZ"/>
    <n v="59"/>
    <n v="47866000"/>
    <n v="0"/>
    <n v="8296773"/>
    <n v="39569227"/>
    <s v="591.00.0000.00.0-205616.2.1.2.02.02.008.01."/>
    <s v=""/>
    <n v="8296773"/>
    <n v="47866000"/>
  </r>
  <r>
    <n v="493"/>
    <n v="80111600"/>
    <s v="SUBGERENCIA ADMINISTRATIVA Y FINANCIERA"/>
    <s v="FUNCIONAMIENTO"/>
    <x v="0"/>
    <n v="999999"/>
    <x v="0"/>
    <n v="999999"/>
    <n v="47866000"/>
    <s v="PRESTACIÓN DE SERVICIOS PROFESIONALES ESPECIALIZADOS, PARA APOYAR LOS PROCESOS ADMINISTRATIVOS, FINANCIERO Y DE GESTIÓN  CALIDAD DE INDEPORTES ANTIOQUIA."/>
    <s v="CONTRATADO"/>
    <s v="DIRECTA"/>
    <s v="PRESTACIÓN DE SERVICIOS PROFESIONALES Y DE APOYO  A  LA GESTIÓN"/>
    <x v="32"/>
    <n v="30"/>
    <s v="Servicios prestados a las empresas y servicios de producción "/>
    <s v="00"/>
    <s v="0-205616"/>
    <n v="5"/>
    <s v="MESES"/>
    <n v="21"/>
    <s v="NO"/>
    <s v="ENERO "/>
    <s v="ENERO "/>
    <n v="4"/>
    <s v="ANA MILENA BERNAL GOMEZ"/>
    <n v="58"/>
    <n v="47866000"/>
    <n v="0"/>
    <n v="8615880"/>
    <n v="39250120"/>
    <s v="581.00.0000.00.0-205616.2.1.2.02.02.008.01."/>
    <s v=""/>
    <n v="8615880"/>
    <n v="47866000"/>
  </r>
  <r>
    <n v="494"/>
    <n v="80111600"/>
    <s v="SUBGERENCIA ADMINISTRATIVA Y FINANCIERA"/>
    <s v="FUNCIONAMIENTO"/>
    <x v="0"/>
    <n v="999999"/>
    <x v="0"/>
    <n v="999999"/>
    <n v="47866000"/>
    <s v="PRESTACIÓN DE SERVICIOS PROFESIONALES ESPECIALIZADOS EN ESTRATEGIA GERENCIAL, PROSPECTIVA, ADMINISTRATIVA Y FINANCIERA PARA EL APOYO, ASESORÍA Y ACOMPAÑAMIENTO EN LAS ACTIVIDADES RELACIONADAS CON LA ESTRUCTURACIÓN Y PLANIFICACIÓN TÉCNICA Y ADMINISTRATIVA DE LOS CONTRATOS, PROYECTOS Y PROGRAMAS PROPIOS INDEPORTES ANTIOQUIA."/>
    <s v="CONTRATADO"/>
    <s v="DIRECTA"/>
    <s v="PRESTACIÓN DE SERVICIOS PROFESIONALES Y DE APOYO  A  LA GESTIÓN"/>
    <x v="32"/>
    <n v="30"/>
    <s v="Servicios prestados a las empresas y servicios de producción "/>
    <s v="00"/>
    <s v="0-205616"/>
    <n v="5"/>
    <s v="MESES"/>
    <n v="15"/>
    <s v="NO"/>
    <s v="ENERO "/>
    <s v="ENERO "/>
    <n v="25"/>
    <s v="CARLOS FELIPE GALLEGO RESTREPO"/>
    <n v="63"/>
    <n v="47866000"/>
    <n v="0"/>
    <n v="0"/>
    <n v="47866000"/>
    <s v="631.00.0000.00.0-205616.2.1.2.02.02.008.01."/>
    <s v=""/>
    <n v="0"/>
    <n v="47866000"/>
  </r>
  <r>
    <n v="495"/>
    <n v="80111600"/>
    <s v="SUBGERENCIA ADMINISTRATIVA Y FINANCIERA"/>
    <s v="FUNCIONAMIENTO"/>
    <x v="0"/>
    <n v="999999"/>
    <x v="0"/>
    <n v="999999"/>
    <n v="37609000"/>
    <s v="PRESTACIÓN DE SERVICIOS PROFESIONALES PARA APOYAR LOS PROCESOS ADMINISTRATIVOS Y FINANCIEROS DE INDEPORTES ANTIOQUIA."/>
    <s v="CONTRATADO"/>
    <s v="DIRECTA"/>
    <s v="PRESTACIÓN DE SERVICIOS PROFESIONALES Y DE APOYO  A  LA GESTIÓN"/>
    <x v="32"/>
    <n v="30"/>
    <s v="Servicios prestados a las empresas y servicios de producción "/>
    <s v="00"/>
    <s v="0-205616"/>
    <n v="5"/>
    <s v="MESES"/>
    <n v="24"/>
    <s v="NO"/>
    <s v="ENERO "/>
    <s v="ENERO "/>
    <n v="6"/>
    <s v="JULIAN ESTEBAN ARBELAEZ ZAPATA"/>
    <n v="64"/>
    <n v="37609000"/>
    <n v="0"/>
    <n v="6518893"/>
    <n v="31090107"/>
    <s v="641.00.0000.00.0-205616.2.1.2.02.02.008.01."/>
    <s v=""/>
    <n v="6518893"/>
    <n v="37609000"/>
  </r>
  <r>
    <n v="496"/>
    <n v="80111600"/>
    <s v="SUBGERENCIA ADMINISTRATIVA Y FINANCIERA"/>
    <s v="FUNCIONAMIENTO"/>
    <x v="0"/>
    <n v="999999"/>
    <x v="0"/>
    <n v="999999"/>
    <n v="37609000"/>
    <s v="PRESTACIÓN DE SERVICIOS PROFESIONALES PARA EL ACOMPAÑAMIENTO A LOS PROCESOS ADMINISTRATIVOS, TRIBUTARIOS Y FINANCIEROS DE INDEPORTES ANTIOQUIA."/>
    <s v="CONTRATADO"/>
    <s v="DIRECTA"/>
    <s v="PRESTACIÓN DE SERVICIOS PROFESIONALES Y DE APOYO  A  LA GESTIÓN"/>
    <x v="32"/>
    <n v="30"/>
    <s v="Servicios prestados a las empresas y servicios de producción "/>
    <s v="00"/>
    <s v="0-205616"/>
    <n v="5"/>
    <s v="MESES"/>
    <n v="32"/>
    <s v="NO"/>
    <s v="ENERO "/>
    <s v="ENERO "/>
    <n v="39"/>
    <s v="YENNY PATRICIA LOPEZ LOPEZ"/>
    <n v="112"/>
    <n v="37609000"/>
    <n v="0"/>
    <n v="4513080"/>
    <n v="33095920"/>
    <s v="1121.00.0000.00.0-205616.2.1.2.02.02.008.01."/>
    <s v=""/>
    <n v="4513080"/>
    <n v="37609000"/>
  </r>
  <r>
    <n v="497"/>
    <n v="80111600"/>
    <s v="SUBGERENCIA ADMINISTRATIVA Y FINANCIERA"/>
    <s v="FUNCIONAMIENTO"/>
    <x v="0"/>
    <n v="999999"/>
    <x v="0"/>
    <n v="999999"/>
    <n v="17095000"/>
    <s v="PRESTACIÓN DE SERVICIOS DE APOYO A LA GESTIÓN PARA LAS LABORES OPERATIVAS Y DEL PLAN DE MANTENIMIENTO DE INDEPORTES ANTIOQUIA."/>
    <s v="CONTRATADO"/>
    <s v="DIRECTA"/>
    <s v="PRESTACIÓN DE SERVICIOS PROFESIONALES Y DE APOYO  A  LA GESTIÓN"/>
    <x v="32"/>
    <n v="30"/>
    <s v="Servicios prestados a las empresas y servicios de producción "/>
    <s v="00"/>
    <s v="0-205616"/>
    <n v="5"/>
    <s v="MESES"/>
    <n v="23"/>
    <s v="NO"/>
    <s v="ENERO "/>
    <s v="ENERO "/>
    <n v="40"/>
    <s v="DIEGO RAFAEL ECHAVARRIA MUÑOZ"/>
    <n v="106"/>
    <n v="17095000"/>
    <n v="0"/>
    <n v="2051400"/>
    <n v="15043600"/>
    <s v="1061.00.0000.00.0-205616.2.1.2.02.02.008.01."/>
    <s v=""/>
    <n v="2051400"/>
    <n v="17095000"/>
  </r>
  <r>
    <n v="498"/>
    <n v="80111600"/>
    <s v="SUBGERENCIA ADMINISTRATIVA Y FINANCIERA"/>
    <s v="FUNCIONAMIENTO"/>
    <x v="0"/>
    <n v="999999"/>
    <x v="0"/>
    <n v="999999"/>
    <n v="37609000"/>
    <s v="PRESTACIÓN DE SERVICIOS PROFESIONALES PARA APOYAR LA IMPLEMENTACIÓN DE PROCEDIMIENTOS ADMINISTRATIVOS Y/O FINANCIEROS DE LA OFICINA DE TALENTO HUMANO"/>
    <s v="CONTRATADO"/>
    <s v="DIRECTA"/>
    <s v="PRESTACIÓN DE SERVICIOS PROFESIONALES Y DE APOYO  A  LA GESTIÓN"/>
    <x v="32"/>
    <n v="30"/>
    <s v="Servicios prestados a las empresas y servicios de producción "/>
    <s v="00"/>
    <s v="0-205616"/>
    <n v="5"/>
    <s v="MESES"/>
    <n v="55"/>
    <s v="NO"/>
    <s v="ENERO "/>
    <s v="ENERO "/>
    <n v="45"/>
    <s v="MARIA CAMILA TORO ECHEVERRI"/>
    <n v="108"/>
    <n v="37609000"/>
    <n v="0"/>
    <n v="4513080"/>
    <n v="33095920"/>
    <s v="1081.00.0000.00.0-205616.2.1.2.02.02.008.01."/>
    <s v=""/>
    <n v="4513080"/>
    <n v="37609000"/>
  </r>
  <r>
    <n v="499"/>
    <n v="80111600"/>
    <s v="SUBGERENCIA ADMINISTRATIVA Y FINANCIERA"/>
    <s v="FUNCIONAMIENTO"/>
    <x v="0"/>
    <n v="999999"/>
    <x v="0"/>
    <n v="999999"/>
    <n v="23933000"/>
    <s v="PRESTACIÓN DE SERVICIOS DE APOYO A LA GESTIÓN EN EL SISTEMA DE GESTIÓN DE SEGURIDAD Y SALUD EN EL TRABAJO (SGSST) Y APOYO A LAS ACTIVIDADES QUE SE REALIZAN DESDE LA OFICINA DE TALENTO HUMANO DE INDEPORTES ANTIOQUIA."/>
    <s v="CONTRATADO"/>
    <s v="DIRECTA"/>
    <s v="PRESTACIÓN DE SERVICIOS PROFESIONALES Y DE APOYO  A  LA GESTIÓN"/>
    <x v="32"/>
    <n v="30"/>
    <s v="Servicios prestados a las empresas y servicios de producción "/>
    <s v="00"/>
    <s v="0-205616"/>
    <n v="5"/>
    <s v="MESES"/>
    <n v="300"/>
    <s v="NO"/>
    <s v="FEBRERO"/>
    <s v="FEBRERO"/>
    <n v="214"/>
    <s v="ANA MARIA RIVERA HENAO"/>
    <n v="419"/>
    <n v="23933000"/>
    <n v="0"/>
    <n v="0"/>
    <n v="23933000"/>
    <s v="4191.00.0000.00.0-205616.2.1.2.02.02.008.01."/>
    <s v=""/>
    <n v="0"/>
    <n v="23933000"/>
  </r>
  <r>
    <n v="500"/>
    <n v="80111600"/>
    <s v="SUBGERENCIA ADMINISTRATIVA Y FINANCIERA"/>
    <s v="FUNCIONAMIENTO"/>
    <x v="0"/>
    <n v="999999"/>
    <x v="0"/>
    <n v="999999"/>
    <n v="23933000"/>
    <s v="PRESTACIÓN DE SERVICIOS DE APOYO PARA EL ACOMPAÑAMIENTO EN LA PLANIFICACIÓN, APLICACIÓN, DESARROLLO, EVALUACIÓN, AUDITORIA Y ACCIONES DE MEJORA DEL SISTEMA DE GESTIÓN DE SEGURIDAD Y SALUD EN EL TRABAJO (SG-SST) Y SISTEMA INTEGRADO DE GESTIÓN (SIG)."/>
    <s v="CONTRATADO"/>
    <s v="DIRECTA"/>
    <s v="PRESTACIÓN DE SERVICIOS PROFESIONALES Y DE APOYO  A  LA GESTIÓN"/>
    <x v="32"/>
    <n v="30"/>
    <s v="Servicios prestados a las empresas y servicios de producción "/>
    <s v="00"/>
    <s v="0-205616"/>
    <n v="5"/>
    <s v="MESES"/>
    <n v="407"/>
    <s v="NO"/>
    <s v="MARZO"/>
    <s v="MARZO"/>
    <n v="348"/>
    <s v="ISABEL STELLA EUSE VALENCIA"/>
    <s v=""/>
    <n v="0"/>
    <n v="23933000"/>
    <n v="0"/>
    <n v="0"/>
    <s v="1.00.0000.00.0-205616.2.1.2.02.02.008.01."/>
    <s v=""/>
    <s v=""/>
    <s v=""/>
  </r>
  <r>
    <n v="501"/>
    <n v="80111600"/>
    <s v="SUBGERENCIA ADMINISTRATIVA Y FINANCIERA"/>
    <s v="FUNCIONAMIENTO"/>
    <x v="0"/>
    <n v="999999"/>
    <x v="0"/>
    <n v="999999"/>
    <n v="37609000"/>
    <s v="PRESTACIÓN DE SERVICIOS PROFESIONALES JURÍDICOS PARA INDEPORTES ANTIOQUIA"/>
    <s v="CONTRATADO"/>
    <s v="DIRECTA"/>
    <s v="PRESTACIÓN DE SERVICIOS PROFESIONALES Y DE APOYO  A  LA GESTIÓN"/>
    <x v="32"/>
    <n v="30"/>
    <s v="Servicios prestados a las empresas y servicios de producción "/>
    <s v="00"/>
    <s v="0-205616"/>
    <n v="5"/>
    <s v="MESES"/>
    <n v="33"/>
    <s v="NO"/>
    <s v="ENERO "/>
    <s v="ENERO "/>
    <n v="7"/>
    <s v="SEBASTIAN LOPEZ HERNANDEZ"/>
    <n v="60"/>
    <n v="37609000"/>
    <n v="0"/>
    <n v="6518893"/>
    <n v="31090107"/>
    <s v="601.00.0000.00.0-205616.2.1.2.02.02.008.01."/>
    <s v=""/>
    <n v="6518893"/>
    <n v="37609000"/>
  </r>
  <r>
    <n v="502"/>
    <n v="80111600"/>
    <s v="SUBGERENCIA ADMINISTRATIVA Y FINANCIERA"/>
    <s v="FUNCIONAMIENTO"/>
    <x v="0"/>
    <n v="999999"/>
    <x v="0"/>
    <n v="999999"/>
    <n v="37609000"/>
    <s v="PRESTACIÓN DE SERVICIOS PROFESIONALES JURÍDICOS PARA INDEPORTES ANTIOQUIA"/>
    <s v="CONTRATADO"/>
    <s v="DIRECTA"/>
    <s v="PRESTACIÓN DE SERVICIOS PROFESIONALES Y DE APOYO  A  LA GESTIÓN"/>
    <x v="32"/>
    <n v="30"/>
    <s v="Servicios prestados a las empresas y servicios de producción "/>
    <s v="00"/>
    <s v="0-205616"/>
    <n v="5"/>
    <s v="MESES"/>
    <n v="46"/>
    <s v="NO"/>
    <s v="ENERO "/>
    <s v="ENERO "/>
    <n v="33"/>
    <s v="NATALIA ANDREA ARBELAEZ PEREZ"/>
    <n v="104"/>
    <n v="37609000"/>
    <n v="0"/>
    <n v="5014533"/>
    <n v="32594467"/>
    <s v="1041.00.0000.00.0-205616.2.1.2.02.02.008.01."/>
    <s v=""/>
    <n v="5014533"/>
    <n v="37609000"/>
  </r>
  <r>
    <n v="503"/>
    <n v="80111600"/>
    <s v="SUBGERENCIA ADMINISTRATIVA Y FINANCIERA"/>
    <s v="FUNCIONAMIENTO"/>
    <x v="0"/>
    <n v="999999"/>
    <x v="0"/>
    <n v="999999"/>
    <n v="37609000"/>
    <s v="PRESTACIÓN DE SERVICIOS PROFESIONALES PARA APOYAR LOS PROCESOS ADMINISTRATIVOS DE LA OFICINA ASESORA JURIDICA"/>
    <s v="CONTRATADO"/>
    <s v="DIRECTA"/>
    <s v="PRESTACIÓN DE SERVICIOS PROFESIONALES Y DE APOYO  A  LA GESTIÓN"/>
    <x v="32"/>
    <n v="30"/>
    <s v="Servicios prestados a las empresas y servicios de producción "/>
    <s v="00"/>
    <s v="0-205616"/>
    <n v="5"/>
    <s v="MESES"/>
    <n v="30"/>
    <s v="NO"/>
    <s v="ENERO "/>
    <s v="ENERO "/>
    <n v="28"/>
    <s v="ANGELA MARIA OQUENDO HERNANDEZ"/>
    <n v="70"/>
    <n v="37609000"/>
    <n v="0"/>
    <n v="6518893"/>
    <n v="31090107"/>
    <s v="701.00.0000.00.0-205616.2.1.2.02.02.008.01."/>
    <s v=""/>
    <n v="6518893"/>
    <n v="37609000"/>
  </r>
  <r>
    <n v="504"/>
    <n v="80111600"/>
    <s v="SUBGERENCIA ADMINISTRATIVA Y FINANCIERA"/>
    <s v="FUNCIONAMIENTO"/>
    <x v="0"/>
    <n v="999999"/>
    <x v="0"/>
    <n v="999999"/>
    <n v="47866000"/>
    <s v="PRESTACIÓN DE SERVICIOS PROFESIONALES ESPECIALIZADOS EN CONTADURÍA PÚBLICA PARA LLEVAR A CABO LA VERIFICACIÓN Y EVALUACIÓN CONTINUA DEL SISTEMA DE CONTROL INTERNO DE INDEPORTES ANTIOQUIA."/>
    <s v="CONTRATADO"/>
    <s v="DIRECTA"/>
    <s v="PRESTACIÓN DE SERVICIOS PROFESIONALES Y DE APOYO  A  LA GESTIÓN"/>
    <x v="32"/>
    <n v="30"/>
    <s v="Servicios prestados a las empresas y servicios de producción "/>
    <s v="00"/>
    <s v="0-205616"/>
    <n v="5"/>
    <s v="MESES"/>
    <n v="14"/>
    <s v="NO"/>
    <s v="ENERO "/>
    <s v="ENERO "/>
    <n v="1"/>
    <s v="ANDERSON DE JESUS CASTAÑO CATAÑO"/>
    <n v="15"/>
    <n v="47866000"/>
    <n v="0"/>
    <n v="10530520"/>
    <n v="37335480"/>
    <s v="151.00.0000.00.0-205616.2.1.2.02.02.008.01."/>
    <s v=""/>
    <n v="10530520"/>
    <n v="47866000"/>
  </r>
  <r>
    <n v="505"/>
    <n v="80111600"/>
    <s v="SUBGERENCIA ESCENARIOS DEPORTIVOS Y EQUIPAMIENTOS"/>
    <s v="INVERSIÓN"/>
    <x v="3"/>
    <n v="2024003050075"/>
    <x v="23"/>
    <s v="050070"/>
    <n v="50418853"/>
    <s v="PRESTACIÓN DE SERVICIOS PROFESIONALES ESPECIALIZADOS FINANCIEROS PARA APOYAR LOS PROCEDIMIENTOS ADMINISTRATIVOS Y FINANCIEROS DE LOS PROYECTOS DE LA SUBGERENCIA DE ESCENARIOS DEPORTIVOS Y EQUIPAMIENTOS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26"/>
    <s v="NO"/>
    <s v="ENERO "/>
    <s v="ENERO "/>
    <n v="2"/>
    <s v="VICTOR HUGO SIERRA DUQUE"/>
    <n v="45"/>
    <n v="50099747"/>
    <n v="319106"/>
    <n v="10211413"/>
    <n v="39888334"/>
    <s v="454.43.4302.75.0-101024.2.3.2.02.02.008.20."/>
    <n v="52010902"/>
    <n v="10211413"/>
    <n v="50099747"/>
  </r>
  <r>
    <n v="506"/>
    <n v="80111600"/>
    <s v="SUBGERENCIA ESCENARIOS DEPORTIVOS Y EQUIPAMIENTOS"/>
    <s v="INVERSIÓN"/>
    <x v="3"/>
    <n v="2024003050075"/>
    <x v="23"/>
    <s v="050070"/>
    <n v="39614813"/>
    <s v="PRESTACIÓN DE SERVICIOS PROFESIONALES EN MATERIA AMBIENTAL  PARA APOYAR LOS TEMAS AMBIENTALES DE LOS PROYECTOS DE INFRAESTRUCTURA  LA SUBGERENCIA DE ESCENARIOS DEPORTIVOS Y EQUIPAMIENTOS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43"/>
    <s v="NO"/>
    <s v="ENERO "/>
    <s v="ENERO "/>
    <n v="50"/>
    <s v="MARIA ALEJANDRA RENDON CORREA"/>
    <n v="107"/>
    <n v="39614813"/>
    <n v="0"/>
    <n v="4513080"/>
    <n v="35101733"/>
    <s v="1074.43.4302.75.0-101024.2.3.2.02.02.008.20."/>
    <n v="52010902"/>
    <n v="4513080"/>
    <n v="39614813"/>
  </r>
  <r>
    <n v="507"/>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28"/>
    <s v="NO"/>
    <s v="ENERO "/>
    <s v="ENERO "/>
    <n v="41"/>
    <s v="JUAN CAMILO VALENCIA GALVIS"/>
    <n v="113"/>
    <n v="39614813"/>
    <n v="0"/>
    <n v="4513080"/>
    <n v="35101733"/>
    <s v="1134.43.4302.76.0-205128.2.3.2.02.02.008.21."/>
    <n v="52010901"/>
    <n v="4513080"/>
    <n v="39614813"/>
  </r>
  <r>
    <n v="508"/>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4"/>
    <s v="NO"/>
    <s v="ENERO "/>
    <s v="ENERO "/>
    <n v="23"/>
    <s v="MAURICIO ALONSO PATIÑO ZAPATA"/>
    <n v="105"/>
    <n v="39614813"/>
    <n v="0"/>
    <n v="5618420"/>
    <n v="33996393"/>
    <s v="1054.43.4302.76.0-205128.2.3.2.02.02.008.21."/>
    <n v="52010901"/>
    <n v="5618420"/>
    <n v="39614813"/>
  </r>
  <r>
    <n v="509"/>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1"/>
    <s v="NO"/>
    <s v="ENERO "/>
    <s v="ENERO "/>
    <n v="24"/>
    <s v="MIGUEL ANGEL RAMIREZ VELEZ"/>
    <n v="103"/>
    <n v="39614813"/>
    <n v="0"/>
    <n v="5555789"/>
    <n v="34059024"/>
    <s v="1034.43.4302.76.0-205128.2.3.2.02.02.008.21."/>
    <n v="52010901"/>
    <n v="5555789"/>
    <n v="39614813"/>
  </r>
  <r>
    <n v="510"/>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2"/>
    <s v="NO"/>
    <s v="ENERO "/>
    <s v="ENERO "/>
    <n v="42"/>
    <s v="VANESSA GOMEZ ARROYAVE"/>
    <n v="116"/>
    <n v="39614813"/>
    <n v="0"/>
    <n v="4854926"/>
    <n v="34759887"/>
    <s v="1164.43.4302.76.0-205128.2.3.2.02.02.008.21."/>
    <n v="52010901"/>
    <n v="4854926"/>
    <n v="39614813"/>
  </r>
  <r>
    <n v="511"/>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39"/>
    <s v="NO"/>
    <s v="ENERO "/>
    <s v="ENERO "/>
    <n v="43"/>
    <s v="MARIA ALEJANDRA PAREJO ORTIZ"/>
    <n v="115"/>
    <n v="39614813"/>
    <n v="0"/>
    <n v="4513080"/>
    <n v="35101733"/>
    <s v="1154.43.4302.76.0-205128.2.3.2.02.02.008.21."/>
    <n v="52010901"/>
    <n v="4513080"/>
    <n v="39614813"/>
  </r>
  <r>
    <n v="512"/>
    <n v="80111600"/>
    <s v="SUBGERENCIA ESCENARIOS DEPORTIVOS Y EQUIPAMIENTOS"/>
    <s v="INVERSIÓN"/>
    <x v="4"/>
    <n v="2024003050076"/>
    <x v="25"/>
    <s v="050074"/>
    <n v="39614813"/>
    <s v="PRESTACIÓN DE SERVICIOS PROFESIONALES PARA APOYAR LA GESTIÓN TÉCNICA  DE LOS PROYECTOS DE INFRAESTRUCTURA DE LA SUBGERENCIA DE ESCENARIOS DEPORTIVOS Y EQUIPAMIENTOS DE INDEPORTES ANTIOQUIA"/>
    <s v="CONTRATADO"/>
    <s v="DIRECTA"/>
    <s v="PRESTACIÓN DE SERVICIOS PROFESIONALES Y DE APOYO  A  LA GESTIÓN"/>
    <x v="58"/>
    <n v="92"/>
    <s v="Construcción de escenarios deportivos en el departamento de Antioquia - Servicios prestados a las empresas y servicios de producción "/>
    <s v="76"/>
    <s v="0-205128"/>
    <n v="5"/>
    <s v="MESES"/>
    <n v="40"/>
    <s v="NO"/>
    <s v="ENERO "/>
    <s v="ENERO "/>
    <n v="44"/>
    <s v="VIVIAN MELISA TAMAYO HIGUITA"/>
    <n v="120"/>
    <n v="39614813"/>
    <n v="0"/>
    <n v="4513080"/>
    <n v="35101733"/>
    <s v="1204.43.4302.76.0-205128.2.3.2.02.02.008.21."/>
    <n v="52010901"/>
    <n v="4513080"/>
    <n v="39614813"/>
  </r>
  <r>
    <n v="513"/>
    <n v="80111600"/>
    <s v="SUBGERENCIA ADMINISTRATIVA Y FINANCIERA"/>
    <s v="FUNCIONAMIENTO"/>
    <x v="0"/>
    <n v="999999"/>
    <x v="0"/>
    <n v="999999"/>
    <n v="17095000"/>
    <s v="PRESTACIÓN DE SERVICIOS DE APOYO A LA GESTIÓN EN LA ORGANIZACIÓN DEL ARCHIVO DE INDEPORTES ANTIOQUIA"/>
    <s v="CONTRATADO"/>
    <s v="DIRECTA"/>
    <s v="PRESTACIÓN DE SERVICIOS PROFESIONALES Y DE APOYO  A  LA GESTIÓN"/>
    <x v="32"/>
    <n v="30"/>
    <s v="Servicios prestados a las empresas y servicios de producción "/>
    <s v="00"/>
    <s v="0-205616"/>
    <n v="5"/>
    <s v="MESES"/>
    <n v="37"/>
    <s v="NO"/>
    <s v="ENERO "/>
    <s v="ENERO "/>
    <n v="34"/>
    <s v="MARIA CRISTINA OSORIO FRANCO "/>
    <n v="432"/>
    <n v="0"/>
    <n v="17095000"/>
    <n v="0"/>
    <n v="0"/>
    <s v="4321.00.0000.00.0-205616.2.1.2.02.02.008.01."/>
    <s v=""/>
    <s v=""/>
    <s v=""/>
  </r>
  <r>
    <n v="514"/>
    <n v="80111600"/>
    <s v="SUBGERENCIA ADMINISTRATIVA Y FINANCIERA"/>
    <s v="FUNCIONAMIENTO"/>
    <x v="0"/>
    <n v="999999"/>
    <x v="0"/>
    <n v="999999"/>
    <n v="40609000"/>
    <s v="PRESTACIÓN DE SERVICIOS PROFESIONALES EN INGENIERÍA CIVIL PARA REALIZAR LAS EVALUACIONES Y SEGUIMIENTO TÉCNICO EN EL MARCO DE LAS POLÍTICAS DE VIGILANCIA Y CONTROL IMPLEMENTADAS POR LA OFICINA DE CONTROL INTERNO A LOS PROCESOS DE COFINANCIACIÓN E INFRAESTRUCTURA DE LA SUBGERENCIA DE ESCENARIOS DEPORTIVOS Y EQUIPAMIENTOS."/>
    <s v="CONTRATADO"/>
    <s v="DIRECTA"/>
    <s v="PRESTACIÓN DE SERVICIOS PROFESIONALES Y DE APOYO  A  LA GESTIÓN"/>
    <x v="32"/>
    <n v="30"/>
    <s v="Servicios prestados a las empresas y servicios de producción "/>
    <s v="00"/>
    <s v="0-205616"/>
    <n v="5"/>
    <s v="MESES"/>
    <n v="62"/>
    <s v="NO"/>
    <s v="ENERO "/>
    <s v="ENERO "/>
    <n v="17"/>
    <s v="MATEO MEJIA HERRERA"/>
    <n v="67"/>
    <n v="40609000"/>
    <n v="0"/>
    <n v="6518893"/>
    <n v="34090107"/>
    <s v="671.00.0000.00.0-205616.2.1.2.02.02.008.01."/>
    <s v=""/>
    <n v="6518893"/>
    <n v="40609000"/>
  </r>
  <r>
    <n v="515"/>
    <n v="80111600"/>
    <s v="SUBGERENCIA ADMINISTRATIVA Y FINANCIERA"/>
    <s v="FUNCIONAMIENTO"/>
    <x v="1"/>
    <n v="2024003050077"/>
    <x v="3"/>
    <s v="220387"/>
    <n v="42609000"/>
    <s v="PRESTACIÓN DE SERVICIOS PROFESIONALES PARA APOYAR LAS ACTIVIDADES COMUNICATIVAS   Y   PERIODÍSTICAS CON EL FIN DE DIVULGAR LAS ACCIONES MISIONALES DE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n v="36"/>
    <s v="NO"/>
    <s v="FEBRERO"/>
    <s v="FEBRERO"/>
    <n v="56"/>
    <s v="SARA HENRIQUEZ ARANGO"/>
    <n v="117"/>
    <n v="42609000"/>
    <n v="0"/>
    <n v="4513080"/>
    <n v="38095920"/>
    <s v="1171.45.4599.77.0-271130.2.3.2.02.02.008.01."/>
    <n v="52011001"/>
    <n v="4513080"/>
    <n v="42609000"/>
  </r>
  <r>
    <n v="516"/>
    <n v="80111600"/>
    <s v="SUBGERENCIA ADMINISTRATIVA Y FINANCIERA"/>
    <s v="FUNCIONAMIENTO"/>
    <x v="1"/>
    <n v="2024003050077"/>
    <x v="3"/>
    <s v="220387"/>
    <n v="20514000"/>
    <s v="PRESTACIÓN DE SERVICIOS DE APOYO A LA GESTIÓN PARA DISEÑO GRÁFICO Y PRODUCCIÓN AUDIO VISUAL EN INDEPORTES ANTIOQUIA."/>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5"/>
    <s v="MESES"/>
    <n v="37"/>
    <s v="NO"/>
    <s v="FEBRERO"/>
    <s v="FEBRERO"/>
    <n v="232"/>
    <s v="SIMON PINEDA DUQUE"/>
    <n v="432"/>
    <n v="20514000"/>
    <n v="0"/>
    <n v="0"/>
    <n v="20514000"/>
    <s v="4321.45.4599.77.0-271130.2.3.2.02.02.008.01."/>
    <n v="52011001"/>
    <n v="0"/>
    <n v="20514000"/>
  </r>
  <r>
    <n v="517"/>
    <n v="80111600"/>
    <s v="SUBGERENCIA ESCENARIOS DEPORTIVOS Y EQUIPAMIENTOS"/>
    <s v="INVERSIÓN"/>
    <x v="3"/>
    <n v="2024003050075"/>
    <x v="23"/>
    <s v="050070"/>
    <n v="76585600"/>
    <s v="PRESTACIÓN DE SERVICIOS PROFESIONALES ESPECIALIZADOS JURÍDICOS PARA APOYAR LOS PROCESOS DE CONTRATACIÓN DE INDEPORTES ANTIOQUIA EN ESPECIAL DE LA SUBGERENCIA DE ESCENARIOS DEPORTIVOS Y EQUIPAMIENTO DE INDEPORTES ANTIOQUIA."/>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8"/>
    <s v="MESES"/>
    <n v="71"/>
    <s v="NO"/>
    <s v="ENERO "/>
    <s v="ENERO "/>
    <n v="251"/>
    <s v="JUAN CAMILO VELASQUEZ RUEDA"/>
    <n v="434"/>
    <n v="76585600"/>
    <n v="0"/>
    <n v="0"/>
    <n v="76585600"/>
    <s v="4344.43.4302.75.0-101024.2.3.2.02.02.008.20."/>
    <n v="52010902"/>
    <n v="0"/>
    <n v="76585600"/>
  </r>
  <r>
    <n v="518"/>
    <n v="80111600"/>
    <s v="SUBGERENCIA DE FOMENTO Y DESARROLLO"/>
    <s v="INVERSIÓN"/>
    <x v="5"/>
    <n v="2024003050101"/>
    <x v="26"/>
    <s v="050075"/>
    <n v="7270400"/>
    <s v="PRESTACION DE SERVICIOS DE APOYO A LA GESTION ADMINISTRATIVA, JURIDICA Y CONTRACTUAL PARA LOS PROYECTOS DE LA SUBGERENCIA DE FOMENTO Y DESARROLLO DEPORTIVO."/>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2"/>
    <s v="NO"/>
    <s v="ENERO "/>
    <s v="ENERO "/>
    <n v="22"/>
    <s v="ANA MARIA SERNA SORA"/>
    <n v="65"/>
    <n v="7270400"/>
    <n v="0"/>
    <n v="615420"/>
    <n v="6654980"/>
    <s v="653.43.4301.01.0-205128.2.3.2.02.02.008.14."/>
    <n v="52010702"/>
    <n v="615420"/>
    <n v="7270400"/>
  </r>
  <r>
    <n v="518"/>
    <n v="80111600"/>
    <s v="SUBGERENCIA DE FOMENTO Y DESARROLLO"/>
    <s v="INVERSIÓN"/>
    <x v="6"/>
    <n v="2024003050100"/>
    <x v="27"/>
    <s v="050071"/>
    <n v="7270400"/>
    <s v="PRESTACION DE SERVICIOS DE APOYO A LA GESTION ADMINISTRATIVA, JURIDICA Y CONTRACTUAL PARA LOS PROYECTOS DE LA SUBGERENCIA DE FOMENTO Y DESARROLLO DEPORTIVO."/>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2"/>
    <s v="NO"/>
    <s v="ENERO "/>
    <s v="ENERO "/>
    <n v="22"/>
    <s v="ANA MARIA SERNA SORA"/>
    <n v="65"/>
    <n v="7270400"/>
    <n v="0"/>
    <n v="615420"/>
    <n v="6654980"/>
    <s v="653.43.4301.10.0-101024.2.3.2.02.02.008.15."/>
    <n v="52010705"/>
    <n v="615420"/>
    <n v="7270400"/>
  </r>
  <r>
    <n v="518"/>
    <n v="80111600"/>
    <s v="SUBGERENCIA DE FOMENTO Y DESARROLLO"/>
    <s v="INVERSIÓN"/>
    <x v="7"/>
    <n v="2024003050072"/>
    <x v="28"/>
    <s v="050072"/>
    <n v="7270400"/>
    <s v="PRESTACION DE SERVICIOS DE APOYO A LA GESTION ADMINISTRATIVA, JURIDICA Y CONTRACTUAL PARA LOS PROYECTOS DE LA SUBGERENCIA DE FOMENTO Y DESARROLLO DEPORTIVO."/>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2"/>
    <s v="NO"/>
    <s v="ENERO "/>
    <s v="ENERO "/>
    <n v="22"/>
    <s v="ANA MARIA SERNA SORA"/>
    <n v="65"/>
    <n v="7270400"/>
    <n v="0"/>
    <n v="615420"/>
    <n v="6654980"/>
    <s v="653.43.4301.72.0-205128.2.3.2.02.02.008.16."/>
    <n v="52010704"/>
    <n v="615420"/>
    <n v="7270400"/>
  </r>
  <r>
    <n v="518"/>
    <n v="80111600"/>
    <s v="SUBGERENCIA DE FOMENTO Y DESARROLLO"/>
    <s v="INVERSIÓN"/>
    <x v="8"/>
    <n v="2024003050073"/>
    <x v="29"/>
    <s v="050081"/>
    <n v="7270400"/>
    <s v="PRESTACION DE SERVICIOS DE APOYO A LA GESTION ADMINISTRATIVA, JURIDICA Y CONTRACTUAL PARA LOS PROYECTOS DE LA SUBGERENCIA DE FOMENTO Y DESARROLLO DEPORTIVO."/>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2"/>
    <s v="NO"/>
    <s v="ENERO "/>
    <s v="ENERO "/>
    <n v="22"/>
    <s v="ANA MARIA SERNA SORA"/>
    <n v="65"/>
    <n v="7270400"/>
    <n v="0"/>
    <n v="615420"/>
    <n v="6654980"/>
    <s v="653.43.4301.73.0-205128.2.3.2.02.02.008.17."/>
    <n v="52010703"/>
    <n v="615420"/>
    <n v="7270400"/>
  </r>
  <r>
    <n v="518"/>
    <n v="80111600"/>
    <s v="SUBGERENCIA DE FOMENTO Y DESARROLLO"/>
    <s v="INVERSIÓN"/>
    <x v="9"/>
    <n v="2024003050074"/>
    <x v="30"/>
    <s v="050073"/>
    <n v="7270400"/>
    <s v="PRESTACION DE SERVICIOS DE APOYO A LA GESTION ADMINISTRATIVA, JURIDICA Y CONTRACTUAL PARA LOS PROYECTOS DE LA SUBGERENCIA DE FOMENTO Y DESARROLLO DEPORTIVO."/>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2"/>
    <s v="NO"/>
    <s v="ENERO "/>
    <s v="ENERO "/>
    <n v="22"/>
    <s v="ANA MARIA SERNA SORA"/>
    <n v="65"/>
    <n v="7270400"/>
    <n v="0"/>
    <n v="615420"/>
    <n v="6654980"/>
    <s v="653.43.4301.74.0-101024.2.3.2.02.02.008.18."/>
    <n v="52010701"/>
    <n v="615420"/>
    <n v="7270400"/>
  </r>
  <r>
    <n v="519"/>
    <n v="80111600"/>
    <s v="SUBGERENCIA DE FOMENTO Y DESARROLLO"/>
    <s v="INVERSIÓN"/>
    <x v="5"/>
    <n v="2024003050101"/>
    <x v="26"/>
    <s v="050075"/>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8"/>
    <s v="MESES"/>
    <n v="53"/>
    <s v="NO"/>
    <s v="ENERO "/>
    <s v="ENERO "/>
    <n v="18"/>
    <s v="HAROLD PULGARIN RAMIREZ"/>
    <n v="66"/>
    <n v="12034880"/>
    <n v="0"/>
    <n v="1353924"/>
    <n v="10680956"/>
    <s v="663.43.4301.01.0-205128.2.3.2.02.02.008.14."/>
    <n v="52010702"/>
    <n v="1353924"/>
    <n v="12034880"/>
  </r>
  <r>
    <n v="519"/>
    <n v="80111600"/>
    <s v="SUBGERENCIA DE FOMENTO Y DESARROLLO"/>
    <s v="INVERSIÓN"/>
    <x v="6"/>
    <n v="2024003050100"/>
    <x v="27"/>
    <s v="050071"/>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8"/>
    <s v="MESES"/>
    <n v="53"/>
    <s v="NO"/>
    <s v="ENERO "/>
    <s v="ENERO "/>
    <n v="18"/>
    <s v="HAROLD PULGARIN RAMIREZ"/>
    <n v="66"/>
    <n v="12034880"/>
    <n v="0"/>
    <n v="1353924"/>
    <n v="10680956"/>
    <s v="663.43.4301.10.0-101024.2.3.2.02.02.008.15."/>
    <n v="52010705"/>
    <n v="1353924"/>
    <n v="12034880"/>
  </r>
  <r>
    <n v="519"/>
    <n v="80111600"/>
    <s v="SUBGERENCIA DE FOMENTO Y DESARROLLO"/>
    <s v="INVERSIÓN"/>
    <x v="7"/>
    <n v="2024003050072"/>
    <x v="28"/>
    <s v="050072"/>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8"/>
    <s v="MESES"/>
    <n v="53"/>
    <s v="NO"/>
    <s v="ENERO "/>
    <s v="ENERO "/>
    <n v="18"/>
    <s v="HAROLD PULGARIN RAMIREZ"/>
    <n v="66"/>
    <n v="12034880"/>
    <n v="0"/>
    <n v="1353924"/>
    <n v="10680956"/>
    <s v="663.43.4301.72.0-205128.2.3.2.02.02.008.16."/>
    <n v="52010704"/>
    <n v="1353924"/>
    <n v="12034880"/>
  </r>
  <r>
    <n v="519"/>
    <n v="80111600"/>
    <s v="SUBGERENCIA DE FOMENTO Y DESARROLLO"/>
    <s v="INVERSIÓN"/>
    <x v="8"/>
    <n v="2024003050073"/>
    <x v="29"/>
    <s v="050081"/>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8"/>
    <s v="MESES"/>
    <n v="53"/>
    <s v="NO"/>
    <s v="ENERO "/>
    <s v="ENERO "/>
    <n v="18"/>
    <s v="HAROLD PULGARIN RAMIREZ"/>
    <n v="66"/>
    <n v="12034880"/>
    <n v="0"/>
    <n v="1353924"/>
    <n v="10680956"/>
    <s v="663.43.4301.73.0-205128.2.3.2.02.02.008.17."/>
    <n v="52010703"/>
    <n v="1353924"/>
    <n v="12034880"/>
  </r>
  <r>
    <n v="519"/>
    <n v="80111600"/>
    <s v="SUBGERENCIA DE FOMENTO Y DESARROLLO"/>
    <s v="INVERSIÓN"/>
    <x v="9"/>
    <n v="2024003050074"/>
    <x v="30"/>
    <s v="050073"/>
    <n v="12034880"/>
    <s v="PRESTACIÓN DE SERVICIOS PROFESIONALES PARA LA GESTIÓN ESTRATÉGICA Y TÁCTICA Y EL SEGUIMIENTO A LOS PLANES INDICATIVOS Y DE ACCIÓN DE LOS PROYECTO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8"/>
    <s v="MESES"/>
    <n v="53"/>
    <s v="NO"/>
    <s v="ENERO "/>
    <s v="ENERO "/>
    <n v="18"/>
    <s v="HAROLD PULGARIN RAMIREZ"/>
    <n v="66"/>
    <n v="12034880"/>
    <n v="0"/>
    <n v="1353924"/>
    <n v="10680956"/>
    <s v="663.43.4301.74.0-101024.2.3.2.02.02.008.18."/>
    <n v="52010701"/>
    <n v="1353924"/>
    <n v="12034880"/>
  </r>
  <r>
    <n v="520"/>
    <s v="80141607;_x000a_84101600"/>
    <s v="SUBGERENCIA DE FOMENTO Y DESARROLLO"/>
    <s v="INVERSIÓN"/>
    <x v="8"/>
    <n v="2024003050073"/>
    <x v="45"/>
    <s v="050081"/>
    <n v="237637776"/>
    <s v="AUNAR ESFUERZOS TÉCNICOS, ADMINISTRATIVOS Y FINANCIEROS ENTRE EL MINISTERIO DEL DEPORTE Y EL ENTE DEPORTIVO TERRITORIAL PARA LA EJECUCIÓN DEL PROGRAMA JUEGOS INTERCOLEGIADOS."/>
    <s v="NO CONTRATADO"/>
    <s v="DIRECTA"/>
    <s v="CONVENIO INTERADMINISTRATIVO"/>
    <x v="72"/>
    <n v="83"/>
    <s v="Fortalecimiento de los juegos deportivos institucionales en los municipios del departamento de Antioquia - Servicios para la comunidad, sociales y personales"/>
    <s v="73"/>
    <s v="0-205400"/>
    <m/>
    <m/>
    <s v=""/>
    <s v="NO"/>
    <s v="ENERO "/>
    <s v="ENERO "/>
    <s v=""/>
    <s v=""/>
    <s v=""/>
    <n v="0"/>
    <n v="237637776"/>
    <n v="0"/>
    <n v="0"/>
    <s v="3.43.4301.73.0-205400.2.3.2.02.02.009.11."/>
    <n v="52010703"/>
    <s v=""/>
    <s v=""/>
  </r>
  <r>
    <n v="521"/>
    <n v="80111600"/>
    <s v="SUBGERENCIA DE FOMENTO Y DESARROLLO"/>
    <s v="INVERSIÓN"/>
    <x v="7"/>
    <n v="2024003050072"/>
    <x v="40"/>
    <s v="050072"/>
    <n v="85843000"/>
    <s v="PRESTACIÓN DE SERVICIOS PROFESIONALES PARA LA PLANEACIÓN E IMPLEMENTA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4"/>
    <s v="NO"/>
    <s v="FEBRERO"/>
    <s v="FEBRERO"/>
    <n v="65"/>
    <s v="FREDY ALEXANDER URIBE HENAO"/>
    <n v="135"/>
    <n v="85843000"/>
    <n v="0"/>
    <n v="3259447"/>
    <n v="82583553"/>
    <s v="1353.43.4301.72.0-205128.2.3.2.02.02.009.09."/>
    <n v="52010704"/>
    <n v="3259447"/>
    <n v="85843000"/>
  </r>
  <r>
    <n v="522"/>
    <n v="80111600"/>
    <s v="SUBGERENCIA DE FOMENTO Y DESARROLLO"/>
    <s v="INVERSIÓN"/>
    <x v="7"/>
    <n v="2024003050072"/>
    <x v="40"/>
    <s v="050072"/>
    <n v="87093000"/>
    <s v="PRESTACIÓN DE SERVICIOS PROFESIONALES PARA LA IMPLEMENTACIÓN Y SISTEMATIZACIÓN DEL PLAN DE CAPACITACIONES Y DE LA ESTRATEGIA DE FORMACIÓN Y CAPACITACIÓN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6"/>
    <s v="NO"/>
    <s v="FEBRERO"/>
    <s v="FEBRERO"/>
    <n v="49"/>
    <s v="LENIS SORELY SUAREZ TOBON"/>
    <n v="123"/>
    <n v="87093000"/>
    <n v="0"/>
    <n v="4262353"/>
    <n v="82830647"/>
    <s v="1233.43.4301.72.0-205128.2.3.2.02.02.009.09."/>
    <n v="52010704"/>
    <n v="4262353"/>
    <n v="87093000"/>
  </r>
  <r>
    <n v="523"/>
    <n v="80111600"/>
    <s v="SUBGERENCIA DE FOMENTO Y DESARROLLO"/>
    <s v="INVERSIÓN"/>
    <x v="7"/>
    <n v="2024003050072"/>
    <x v="40"/>
    <s v="050072"/>
    <n v="85843000"/>
    <s v="PRESTACIÓN DE SERVICIOS PROFESIONALES PARA LA PLANEACIÓN, EJECUCIÓN Y SEGUIMIENTO DEL PLAN DE CAPACITACIÓN EN DEPORTE, RECREACIÓN Y ACTIVIDAD FÍSICA DE INDEPORTES ANTIOQUIA PARA LA VIGENCIA 2025"/>
    <s v="CONTRATADO"/>
    <s v="DIRECTA"/>
    <s v="PRESTACIÓN DE SERVICIOS PROFESIONALES Y DE APOYO  A  LA GESTIÓN"/>
    <x v="70"/>
    <n v="79"/>
    <s v="Capacitación para el sector del deporte, la recreación y la actividad física en el Departamento de   Antioquia -Servicios para la comunidad, sociales y personales"/>
    <s v="72"/>
    <s v="0-205128"/>
    <n v="10"/>
    <s v="MESES"/>
    <n v="75"/>
    <s v="NO"/>
    <s v="FEBRERO"/>
    <s v="FEBRERO"/>
    <n v="51"/>
    <s v="NATALIA BUSTAMANTE SALAZAR"/>
    <n v="125"/>
    <n v="85843000"/>
    <n v="0"/>
    <n v="4262353"/>
    <n v="81580647"/>
    <s v="1253.43.4301.72.0-205128.2.3.2.02.02.009.09."/>
    <n v="52010704"/>
    <n v="4262353"/>
    <n v="85843000"/>
  </r>
  <r>
    <n v="524"/>
    <n v="80111600"/>
    <s v="SUBGERENCIA DE FOMENTO Y DESARROLLO"/>
    <s v="INVERSIÓN"/>
    <x v="5"/>
    <n v="2024003050101"/>
    <x v="36"/>
    <s v="050075"/>
    <n v="85218000"/>
    <s v="PRESTACIÓN DE SERVICIOS PROFESIONALES PARA LA PROMOCIÓN Y EJECUCIÓN DEL PROGRAMA DE DEPORTE FORMATIVO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78"/>
    <s v="NO"/>
    <s v="FEBRERO"/>
    <s v="FEBRERO"/>
    <n v="67"/>
    <s v="ALEJANDRO RODRIGUEZ HENAO"/>
    <n v="146"/>
    <n v="85218000"/>
    <n v="0"/>
    <n v="2757993"/>
    <n v="82460007"/>
    <s v="1463.43.4301.01.0-205400.2.3.2.02.02.009.06."/>
    <n v="52010702"/>
    <n v="2757993"/>
    <n v="85218000"/>
  </r>
  <r>
    <n v="525"/>
    <n v="80111600"/>
    <s v="SUBGERENCIA DE FOMENTO Y DESARROLLO"/>
    <s v="INVERSIÓN"/>
    <x v="5"/>
    <n v="2024003050101"/>
    <x v="36"/>
    <s v="050075"/>
    <n v="108232000"/>
    <s v="PRESTACIÓN DE SERVICIOS PROFESIONALES ESPECIALIZADO PARA EL ASESORAMIENTO METODOLÓGICO, LA PROMOCIÓN Y EJECUCIÓN DEL PROGRAMA DE DEPORTE FORMATIVO EN LAS SUBREGIONES DEL DEPARTAMENTO DE ANTIOQUIA."/>
    <s v="NO 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s v=""/>
    <s v="NO"/>
    <s v="FEBRERO"/>
    <s v="FEBRERO"/>
    <s v=""/>
    <s v=""/>
    <s v=""/>
    <n v="0"/>
    <n v="108232000"/>
    <n v="0"/>
    <n v="0"/>
    <s v="3.43.4301.01.0-205400.2.3.2.02.02.009.06."/>
    <n v="52010702"/>
    <s v=""/>
    <s v=""/>
  </r>
  <r>
    <n v="526"/>
    <n v="80111600"/>
    <s v="SUBGERENCIA DE FOMENTO Y DESARROLLO"/>
    <s v="INVERSIÓN"/>
    <x v="5"/>
    <n v="2024003050101"/>
    <x v="34"/>
    <s v="050075"/>
    <n v="83968000"/>
    <s v="PRESTACIÓN DE SERVICIOS PROFESIONALES PARA LA PROMOCIÓN Y EJECUCIÓN DEL PROGRAMA DE RECREACIÓN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80"/>
    <s v="NO"/>
    <s v="FEBRERO"/>
    <s v="FEBRERO"/>
    <n v="58"/>
    <s v="FFRANQUIN LEÓN TAMAYO"/>
    <n v="126"/>
    <n v="83968000"/>
    <n v="0"/>
    <n v="3510173"/>
    <n v="80457827"/>
    <s v="1263.43.4301.01.0-205400.2.3.2.02.02.009.06."/>
    <n v="52010702"/>
    <n v="3510173"/>
    <n v="83968000"/>
  </r>
  <r>
    <n v="527"/>
    <n v="80111600"/>
    <s v="SUBGERENCIA DE FOMENTO Y DESARROLLO"/>
    <s v="INVERSIÓN"/>
    <x v="5"/>
    <n v="2024003050101"/>
    <x v="34"/>
    <s v="050075"/>
    <n v="42940000"/>
    <s v="PRESTACIÓN DE SERVICIOS DE APOYO A LA GESTIÓN PARA LA ACTIVACIÓN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81"/>
    <s v="NO"/>
    <s v="FEBRERO"/>
    <s v="FEBRERO"/>
    <n v="57"/>
    <s v="KAREN TATIANA RIVERA MUÑOZ"/>
    <n v="127"/>
    <n v="42940000"/>
    <n v="0"/>
    <n v="1595533"/>
    <n v="41344467"/>
    <s v="1273.43.4301.01.0-205400.2.3.2.02.02.009.06."/>
    <n v="52010702"/>
    <n v="1595533"/>
    <n v="42940000"/>
  </r>
  <r>
    <n v="528"/>
    <n v="80111600"/>
    <s v="SUBGERENCIA DE FOMENTO Y DESARROLLO"/>
    <s v="INVERSIÓN"/>
    <x v="8"/>
    <n v="2024003050073"/>
    <x v="44"/>
    <s v="050081"/>
    <n v="93968000"/>
    <s v="PRESTACIÓN DE SERVICIOS PROFESIONALES COMO PROMOTOR EN LA SUBREGIÓN DEL ORIEN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2"/>
    <s v="NO"/>
    <s v="FEBRERO"/>
    <s v="FEBRERO"/>
    <n v="69"/>
    <s v="ROBINSON DE JESUS RAMIREZ RAMIREZ "/>
    <n v="139"/>
    <n v="93968000"/>
    <n v="0"/>
    <n v="3008720"/>
    <n v="90959280"/>
    <s v="1393.43.4301.73.0-205128.2.3.2.02.02.009.10."/>
    <n v="52010703"/>
    <n v="3008720"/>
    <n v="93968000"/>
  </r>
  <r>
    <n v="529"/>
    <n v="80111600"/>
    <s v="SUBGERENCIA DE FOMENTO Y DESARROLLO"/>
    <s v="INVERSIÓN"/>
    <x v="8"/>
    <n v="2024003050073"/>
    <x v="44"/>
    <s v="050081"/>
    <n v="93968000"/>
    <s v="PRESTACIÓN DE SERVICIOS PROFESIONALES COMO PROMOTOR EN LA SUBREGIÓN DEL OCCIDEN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3"/>
    <s v="NO"/>
    <s v="FEBRERO"/>
    <s v="FEBRERO"/>
    <n v="244"/>
    <s v="CARLOS ANDRES FRANCO SANCHEZ"/>
    <n v="425"/>
    <n v="93968000"/>
    <n v="0"/>
    <n v="0"/>
    <n v="93968000"/>
    <s v="4253.43.4301.73.0-205128.2.3.2.02.02.009.10."/>
    <n v="52010703"/>
    <n v="0"/>
    <n v="93968000"/>
  </r>
  <r>
    <n v="530"/>
    <n v="80111600"/>
    <s v="SUBGERENCIA DE FOMENTO Y DESARROLLO"/>
    <s v="INVERSIÓN"/>
    <x v="8"/>
    <n v="2024003050073"/>
    <x v="44"/>
    <s v="050081"/>
    <n v="93968000"/>
    <s v="PRESTACIÓN DE SERVICIOS PROFESIONALES COMO PROMOTOR EN LAS SUBREGIONES DEL NORTE Y DEL BAJO CAUCA,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4"/>
    <s v="NO"/>
    <s v="FEBRERO"/>
    <s v="FEBRERO"/>
    <n v="245"/>
    <s v="CARLOS ALBERTO POSADA ZAPATA"/>
    <n v="447"/>
    <n v="93968000"/>
    <n v="0"/>
    <n v="0"/>
    <n v="93968000"/>
    <s v="4473.43.4301.73.0-205128.2.3.2.02.02.009.10."/>
    <n v="52010703"/>
    <n v="0"/>
    <n v="93968000"/>
  </r>
  <r>
    <n v="531"/>
    <n v="80111600"/>
    <s v="SUBGERENCIA DE FOMENTO Y DESARROLLO"/>
    <s v="INVERSIÓN"/>
    <x v="8"/>
    <n v="2024003050073"/>
    <x v="44"/>
    <s v="050081"/>
    <n v="93968000"/>
    <s v="PRESTACIÓN DE SERVICIOS PROFESIONALES COMO PROMOTOR EN LA SUBREGIÓN DEL SUROESTE,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5"/>
    <s v="NO"/>
    <s v="FEBRERO"/>
    <s v="FEBRERO"/>
    <n v="70"/>
    <s v="JUAN ESTEBAN SILVA ORDOÑEZ"/>
    <n v="142"/>
    <n v="93968000"/>
    <n v="0"/>
    <n v="3008720"/>
    <n v="90959280"/>
    <s v="1423.43.4301.73.0-205128.2.3.2.02.02.009.10."/>
    <n v="52010703"/>
    <n v="3008720"/>
    <n v="93968000"/>
  </r>
  <r>
    <n v="532"/>
    <n v="80111600"/>
    <s v="SUBGERENCIA DE FOMENTO Y DESARROLLO"/>
    <s v="INVERSIÓN"/>
    <x v="8"/>
    <n v="2024003050073"/>
    <x v="44"/>
    <s v="050081"/>
    <n v="44190000"/>
    <s v="PRESTACIÓN DE SERVICIOS DE APOYO A LA GESTIÓN EN EL DESARROLLO DE ACTIVIDADES LOGÍSTICAS Y OPERATIVAS DE LOS JUEGOS DEPORTIVOS INSTITUCIONALES."/>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73"/>
    <s v="NO"/>
    <s v="FEBRERO"/>
    <s v="FEBRERO"/>
    <n v="235"/>
    <s v="EDER ALEISO SANDOVAL VALENCIA"/>
    <n v="417"/>
    <n v="44190000"/>
    <n v="0"/>
    <n v="0"/>
    <n v="44190000"/>
    <s v="4173.43.4301.73.0-205128.2.3.2.02.02.009.10."/>
    <n v="52010703"/>
    <n v="0"/>
    <n v="44190000"/>
  </r>
  <r>
    <n v="533"/>
    <n v="80111600"/>
    <s v="SUBGERENCIA DE FOMENTO Y DESARROLLO"/>
    <s v="INVERSIÓN"/>
    <x v="8"/>
    <n v="2024003050073"/>
    <x v="44"/>
    <s v="050081"/>
    <n v="44190000"/>
    <s v="PRESTACIÓN DE SERVICIOS DE APOYO A LA GESTIÓN EN EL DESARROLLO DE ACTIVIDADES RELACIONADAS CON LA IMAGEN INSTITUCIONAL Y PROTOCOLARIA EN LA EJECUCIÓN DE LOS JUEGOS DEPORTIVOS INSTITUCIONALES."/>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6"/>
    <s v="NO"/>
    <s v="FEBRERO"/>
    <s v="FEBRERO"/>
    <n v="255"/>
    <s v="ESTEBAN SANDOVAL VALENCIA"/>
    <n v="424"/>
    <n v="44190000"/>
    <n v="0"/>
    <n v="0"/>
    <n v="44190000"/>
    <s v="4243.43.4301.73.0-205128.2.3.2.02.02.009.10."/>
    <n v="52010703"/>
    <n v="0"/>
    <n v="44190000"/>
  </r>
  <r>
    <n v="534"/>
    <n v="80111600"/>
    <s v="SUBGERENCIA DE FOMENTO Y DESARROLLO"/>
    <s v="INVERSIÓN"/>
    <x v="8"/>
    <n v="2024003050073"/>
    <x v="44"/>
    <s v="050081"/>
    <n v="44190000"/>
    <s v="PRESTACIÓN DE SERVICIOS DE APOYO A LA GESTIÓN EN LA PLATAFORMA DEPORTESANT Y APOYO LOGÍSTICO Y OPERATIVO EN LA EJECUCIÓN DE LOS JUEGOS DEPORTIVOS INSTITUCIONALES DE LA SUBGERENCIA DE FOMENTO Y DESARROLLO DEPORTIVO."/>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87"/>
    <s v="NO"/>
    <s v="FEBRERO"/>
    <s v="FEBRERO"/>
    <n v="234"/>
    <s v="JULIAN DAVID OSPINA OSPINA"/>
    <n v="416"/>
    <n v="44190000"/>
    <n v="0"/>
    <n v="0"/>
    <n v="44190000"/>
    <s v="4163.43.4301.73.0-205128.2.3.2.02.02.009.10."/>
    <n v="52010703"/>
    <n v="0"/>
    <n v="44190000"/>
  </r>
  <r>
    <n v="535"/>
    <n v="80111600"/>
    <s v="SUBGERENCIA DE FOMENTO Y DESARROLLO"/>
    <s v="INVERSIÓN"/>
    <x v="6"/>
    <n v="2024003050100"/>
    <x v="27"/>
    <s v="050071"/>
    <n v="56616000"/>
    <s v="PRESTACIÓN DE SERVICIOS DE APOYO PARA LA PARAMETRIZACIÓN Y SISTEMATIZACIÓN DE LA INFORMACIÓN, PRODUCTO DEL ACOMPAÑAMIENTO INSTITUCIONAL DE LA SUBGERENCIA DE FOMENTO Y DESARROLLO DEPORTIVO"/>
    <s v="CONTRATADO"/>
    <s v="DIRECTA"/>
    <s v="PRESTACIÓN DE SERVICIOS PROFESIONALES Y DE APOYO  A  LA GESTIÓN"/>
    <x v="69"/>
    <n v="75"/>
    <s v="Asesoria y acompañamiento institucional para el deporte formativo, la recreación y la actividad física en el departamento de Antioquia. - Servicios para la comunidad, sociales y personales"/>
    <s v="10"/>
    <s v="0-101024"/>
    <n v="10"/>
    <s v="MESES"/>
    <n v="77"/>
    <s v="NO"/>
    <s v="FEBRERO"/>
    <s v="FEBRERO"/>
    <n v="48"/>
    <s v="JUAN FERNANDO LOPERA MALO"/>
    <n v="122"/>
    <n v="56616000"/>
    <n v="0"/>
    <n v="2712407"/>
    <n v="53903593"/>
    <s v="1223.43.4301.10.0-101024.2.3.2.02.02.009.08."/>
    <n v="52010705"/>
    <n v="2712407"/>
    <n v="56616000"/>
  </r>
  <r>
    <n v="536"/>
    <n v="80111600"/>
    <s v="SUBGERENCIA ADMINISTRATIVA Y FINANCIERA"/>
    <s v="FUNCIONAMIENTO"/>
    <x v="0"/>
    <n v="999999"/>
    <x v="0"/>
    <n v="999999"/>
    <n v="37609000"/>
    <s v="PRESTACIÓN DE SERVICIOS PROFESIONALES DE APOYO A LOS PROCESOS ADMINISTRATIVOS Y GESTIÓN DE PAGOS DE INDEPORTES ANTIOQUIA"/>
    <s v="CONTRATADO"/>
    <s v="DIRECTA"/>
    <s v="PRESTACIÓN DE SERVICIOS PROFESIONALES Y DE APOYO  A  LA GESTIÓN"/>
    <x v="32"/>
    <n v="30"/>
    <s v="Servicios prestados a las empresas y servicios de producción "/>
    <s v="00"/>
    <s v="0-205616"/>
    <n v="5"/>
    <s v="MESES"/>
    <n v="285"/>
    <s v="NO"/>
    <s v="FEBRERO"/>
    <s v="FEBRERO"/>
    <n v="46"/>
    <s v="MAGDALENA ROLDAN ESPINAL"/>
    <n v="119"/>
    <n v="37609000"/>
    <n v="0"/>
    <n v="4262353"/>
    <n v="33346647"/>
    <s v="1191.00.0000.00.0-205616.2.1.2.02.02.008.01."/>
    <s v=""/>
    <n v="4262353"/>
    <n v="37609000"/>
  </r>
  <r>
    <n v="537"/>
    <n v="80111600"/>
    <s v="SUBGERENCIA DE FOMENTO Y DESARROLLO"/>
    <s v="INVERSIÓN"/>
    <x v="5"/>
    <n v="2024003050101"/>
    <x v="37"/>
    <s v="050075"/>
    <n v="83968000"/>
    <s v="PRESTACIÓN DE SERVICIOS PROFESIONALES PARA LA PROMOCIÓN Y EJECUCIÓN DEL PROGRAMA DEPARTAMENTAL DE ACTIVIDAD FÍSICA, DESDE EL COMPONENTE DE LA FUERZA EN EL CICLO VITAL."/>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86"/>
    <s v="NO"/>
    <s v="FEBRERO"/>
    <s v="FEBRERO"/>
    <n v="63"/>
    <s v="FRANCISCO HERNANDO ALVAREZ LONDOÑO "/>
    <n v="134"/>
    <n v="83968000"/>
    <n v="0"/>
    <n v="3259447"/>
    <n v="80708553"/>
    <s v="1343.43.4301.01.0-205128.2.3.2.02.02.009.07."/>
    <n v="52010702"/>
    <n v="3259447"/>
    <n v="83968000"/>
  </r>
  <r>
    <n v="538"/>
    <n v="80111600"/>
    <s v="SUBGERENCIA DE FOMENTO Y DESARROLLO"/>
    <s v="INVERSIÓN"/>
    <x v="5"/>
    <n v="2024003050101"/>
    <x v="37"/>
    <s v="050075"/>
    <n v="83968000"/>
    <s v="PRESTACIÓN DE SERVICIOS PROFESIONALES PARA LA PROMOCIÓN Y EJECUCIÓN DEL PROGRAMA DEPARTAMENTAL DE ACTIVIDAD FÍSICA, DESDE EL COMPONENTE NUTRICIONAL, PARA PROMOVER HABITOS DE VIDA ALIMENTARIOS SALUDABLES EN LA POBLACIÓN ANTIOQUEÑ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87"/>
    <s v="NO"/>
    <s v="FEBRERO"/>
    <s v="FEBRERO"/>
    <n v="59"/>
    <s v="DORA NANCY MARULANDA DIAZ"/>
    <n v="140"/>
    <n v="83968000"/>
    <n v="0"/>
    <n v="3259447"/>
    <n v="80708553"/>
    <s v="1403.43.4301.01.0-205128.2.3.2.02.02.009.07."/>
    <n v="52010702"/>
    <n v="3259447"/>
    <n v="83968000"/>
  </r>
  <r>
    <n v="539"/>
    <n v="80111600"/>
    <s v="SUBGERENCIA DE FOMENTO Y DESARROLLO"/>
    <s v="INVERSIÓN"/>
    <x v="5"/>
    <n v="2024003050101"/>
    <x v="26"/>
    <s v="050075"/>
    <n v="83968000"/>
    <s v="PRESTACIÓN DE SERVICIOS PROFESIONALES PARA LA PLANEACIÓN TÉCNICA Y EJECUCIÓN DEL PROYECTO DE DESARROLLO Y PROMOCIÓN DE LA SUBGERENCIA DE FOMENTO Y DESARROLLO DEPORTIVO DE INDEPORTES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1"/>
    <s v="NO"/>
    <s v="FEBRERO"/>
    <s v="FEBRERO"/>
    <n v="54"/>
    <s v="SANDRA MABEL SALAZAR ACEVEDO "/>
    <n v="121"/>
    <n v="83968000"/>
    <n v="0"/>
    <n v="4262353"/>
    <n v="79705647"/>
    <s v="1213.43.4301.01.0-205128.2.3.2.02.02.009.07."/>
    <n v="52010702"/>
    <n v="4262353"/>
    <n v="83968000"/>
  </r>
  <r>
    <n v="540"/>
    <n v="80111600"/>
    <s v="SUBGERENCIA DE FOMENTO Y DESARROLLO"/>
    <s v="INVERSIÓN"/>
    <x v="5"/>
    <n v="2024003050101"/>
    <x v="34"/>
    <s v="050075"/>
    <n v="42940000"/>
    <s v="PRESTACIÓN DE SERVICIOS DE APOYO A LA GESTIÓN PARA LA ACTIVACIÓN EN TERRITORIO DEL PROGRAMA DE RECREACIÓN DE LA SUBGERENCIA DE FOMENTO Y DESARROLLO DEPORTIVO."/>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2"/>
    <s v="NO"/>
    <s v="FEBRERO"/>
    <s v="FEBRERO"/>
    <n v="53"/>
    <s v="SEBASTIAN VALENCIA AGUIRRE "/>
    <n v="133"/>
    <n v="42940000"/>
    <n v="0"/>
    <n v="1595533"/>
    <n v="41344467"/>
    <s v="1333.43.4301.01.0-205128.2.3.2.02.02.009.07."/>
    <n v="52010702"/>
    <n v="1595533"/>
    <n v="42940000"/>
  </r>
  <r>
    <n v="541"/>
    <n v="80111600"/>
    <s v="SUBGERENCIA DE FOMENTO Y DESARROLLO"/>
    <s v="INVERSIÓN"/>
    <x v="8"/>
    <n v="2024003050073"/>
    <x v="44"/>
    <s v="050081"/>
    <n v="87718000"/>
    <s v="PRESTACIÓN DE SERVICIOS PROFESIONALES COMO PROMOTOR EN LA SUBREGIÓN DEL VALLE DE ABURRÁ, PARA LA PLANEACIÓN Y ACOMPAÑAMIENTO EN LA EJECUCIÓN DE LOS JUEGOS DEPORTIVOS INSTITUCIONALES DE INDEPORTES ANTIOQUIA Y EL ACOMPAÑAMIENTO A LA PARTICIPACIÓN A NIVEL NACIONAL DE LOS DIFERENTES JUEGOS ORGANIZADOS POR EL MINISTERIO DEL DEPORTE."/>
    <s v="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n v="288"/>
    <s v="NO"/>
    <s v="FEBRERO"/>
    <s v="FEBRERO"/>
    <n v="231"/>
    <s v="OSCAR ALEJANDRO OSPINA BOHORQUEZ"/>
    <n v="415"/>
    <n v="87718000"/>
    <n v="0"/>
    <n v="0"/>
    <n v="87718000"/>
    <s v="4153.43.4301.73.0-205128.2.3.2.02.02.009.10."/>
    <n v="52010703"/>
    <n v="0"/>
    <n v="87718000"/>
  </r>
  <r>
    <n v="542"/>
    <n v="80111600"/>
    <s v="SUBGERENCIA DE FOMENTO Y DESARROLLO"/>
    <s v="INVERSIÓN"/>
    <x v="5"/>
    <n v="2024003050101"/>
    <x v="38"/>
    <s v="050075"/>
    <n v="85218000"/>
    <s v="PRESTACIÓN DE SERVICIOS PROFESIONALES PARA LA PROMOCIÓN Y EJECUCIÓN DEL PROGRAMA DEPARTAMENTAL DE ACTIVIDAD FÍSICA, DESDE EL COMPONENTE DEL USO DE LA BICICLET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3"/>
    <s v="NO"/>
    <s v="FEBRERO"/>
    <s v="FEBRERO"/>
    <n v="71"/>
    <s v="JUAN CAMILO HERRERA CANO"/>
    <n v="141"/>
    <n v="83968000"/>
    <n v="1250000"/>
    <n v="3259447"/>
    <n v="80708553"/>
    <s v="1413.43.4301.01.0-205128.2.3.2.02.02.009.07."/>
    <n v="52010702"/>
    <n v="3259447"/>
    <n v="83968000"/>
  </r>
  <r>
    <n v="543"/>
    <n v="80111600"/>
    <s v="SUBGERENCIA DE FOMENTO Y DESARROLLO"/>
    <s v="INVERSIÓN"/>
    <x v="5"/>
    <n v="2024003050101"/>
    <x v="36"/>
    <s v="050075"/>
    <n v="85218000"/>
    <s v="PRESTACIÓN DE SERVICIOS PROFESIONALES PARA LA PROMOCIÓN Y EJECUCIÓN DEL PROGRAMA DE DEPORTE FORMATIVO EN LAS SUBREGIONES D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294"/>
    <s v="NO"/>
    <s v="FEBRERO"/>
    <s v="FEBRERO"/>
    <n v="68"/>
    <s v="JULIAN DAVID ARANGO VASCO"/>
    <n v="143"/>
    <n v="85218000"/>
    <n v="0"/>
    <n v="2757993"/>
    <n v="82460007"/>
    <s v="1433.43.4301.01.0-205128.2.3.2.02.02.009.07."/>
    <n v="52010702"/>
    <n v="2757993"/>
    <n v="85218000"/>
  </r>
  <r>
    <n v="544"/>
    <n v="80111600"/>
    <s v="SUBGERENCIA DE FOMENTO Y DESARROLLO"/>
    <s v="INVERSIÓN"/>
    <x v="5"/>
    <n v="2024003050101"/>
    <x v="26"/>
    <s v="050075"/>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0"/>
    <s v="MESES"/>
    <n v="295"/>
    <s v="NO"/>
    <s v="FEBRERO"/>
    <s v="FEBRERO"/>
    <n v="236"/>
    <s v="ALEJANDRA JIMENEZ ECHEVERRI"/>
    <n v="423"/>
    <n v="18293600"/>
    <n v="0"/>
    <n v="0"/>
    <n v="18293600"/>
    <s v="4233.43.4301.01.0-205128.2.3.2.02.02.008.14."/>
    <n v="52010702"/>
    <n v="0"/>
    <n v="18293600"/>
  </r>
  <r>
    <n v="544"/>
    <n v="80111600"/>
    <s v="SUBGERENCIA DE FOMENTO Y DESARROLLO"/>
    <s v="INVERSIÓN"/>
    <x v="6"/>
    <n v="2024003050100"/>
    <x v="27"/>
    <s v="050071"/>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0"/>
    <s v="MESES"/>
    <n v="295"/>
    <s v="NO"/>
    <s v="FEBRERO"/>
    <s v="FEBRERO"/>
    <n v="236"/>
    <s v="ALEJANDRA JIMENEZ ECHEVERRI"/>
    <n v="423"/>
    <n v="18293600"/>
    <n v="0"/>
    <n v="0"/>
    <n v="18293600"/>
    <s v="4233.43.4301.10.0-101024.2.3.2.02.02.008.15."/>
    <n v="52010705"/>
    <n v="0"/>
    <n v="18293600"/>
  </r>
  <r>
    <n v="544"/>
    <n v="80111600"/>
    <s v="SUBGERENCIA DE FOMENTO Y DESARROLLO"/>
    <s v="INVERSIÓN"/>
    <x v="7"/>
    <n v="2024003050072"/>
    <x v="28"/>
    <s v="050072"/>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0"/>
    <s v="MESES"/>
    <n v="295"/>
    <s v="NO"/>
    <s v="FEBRERO"/>
    <s v="FEBRERO"/>
    <n v="236"/>
    <s v="ALEJANDRA JIMENEZ ECHEVERRI"/>
    <n v="423"/>
    <n v="18293600"/>
    <n v="0"/>
    <n v="0"/>
    <n v="18293600"/>
    <s v="4233.43.4301.72.0-205128.2.3.2.02.02.008.16."/>
    <n v="52010704"/>
    <n v="0"/>
    <n v="18293600"/>
  </r>
  <r>
    <n v="544"/>
    <n v="80111600"/>
    <s v="SUBGERENCIA DE FOMENTO Y DESARROLLO"/>
    <s v="INVERSIÓN"/>
    <x v="8"/>
    <n v="2024003050073"/>
    <x v="29"/>
    <s v="050081"/>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0"/>
    <s v="MESES"/>
    <n v="295"/>
    <s v="NO"/>
    <s v="FEBRERO"/>
    <s v="FEBRERO"/>
    <n v="236"/>
    <s v="ALEJANDRA JIMENEZ ECHEVERRI"/>
    <n v="423"/>
    <n v="18293600"/>
    <n v="0"/>
    <n v="0"/>
    <n v="18293600"/>
    <s v="4233.43.4301.73.0-205128.2.3.2.02.02.008.17."/>
    <n v="52010703"/>
    <n v="0"/>
    <n v="18293600"/>
  </r>
  <r>
    <n v="544"/>
    <n v="80111600"/>
    <s v="SUBGERENCIA DE FOMENTO Y DESARROLLO"/>
    <s v="INVERSIÓN"/>
    <x v="9"/>
    <n v="2024003050074"/>
    <x v="30"/>
    <s v="050073"/>
    <n v="18293600"/>
    <s v="PRESTACIÓN DE SERVICIOS PROFESIONALES PARA LA PROMOCIÓN Y DIVULGACIÓN DE LAS ACTIVIDADES DE LOS PROGRAMAS DE LA SUBGERENCIA DE FOMENTO Y DESARROLLO DEPORTIVO DE INDEPORTES ANTIOQUIA"/>
    <s v="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0"/>
    <s v="MESES"/>
    <n v="295"/>
    <s v="NO"/>
    <s v="FEBRERO"/>
    <s v="FEBRERO"/>
    <n v="236"/>
    <s v="ALEJANDRA JIMENEZ ECHEVERRI"/>
    <n v="423"/>
    <n v="18293600"/>
    <n v="0"/>
    <n v="0"/>
    <n v="18293600"/>
    <s v="4233.43.4301.74.0-101024.2.3.2.02.02.008.18."/>
    <n v="52010701"/>
    <n v="0"/>
    <n v="18293600"/>
  </r>
  <r>
    <n v="545"/>
    <n v="80111600"/>
    <s v="SUBGERENCIA DE ALTOS LOGROS Y DEPORTE ASOCIADO"/>
    <s v="INVERSIÓN"/>
    <x v="11"/>
    <n v="2024003050087"/>
    <x v="51"/>
    <s v="050078"/>
    <n v="38292800"/>
    <s v="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8"/>
    <s v="MESES"/>
    <n v="297"/>
    <s v="NO"/>
    <s v="FEBRERO"/>
    <s v="FEBRERO"/>
    <n v="61"/>
    <s v="WILLINTON OSPINA MADRIGAL"/>
    <n v="130"/>
    <n v="38292800"/>
    <n v="0"/>
    <n v="0"/>
    <n v="38292800"/>
    <s v="1302.43.4302.87.0-101024.2.3.2.02.02.008.12."/>
    <n v="52010805"/>
    <n v="0"/>
    <n v="38292800"/>
  </r>
  <r>
    <n v="545"/>
    <n v="80111600"/>
    <s v="SUBGERENCIA DE ALTOS LOGROS Y DEPORTE ASOCIADO"/>
    <s v="INVERSIÓN"/>
    <x v="10"/>
    <n v="2024003050102"/>
    <x v="52"/>
    <s v="050076"/>
    <n v="38292800"/>
    <s v="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8"/>
    <s v="MESES"/>
    <n v="297"/>
    <s v="NO"/>
    <s v="FEBRERO"/>
    <s v="FEBRERO"/>
    <n v="61"/>
    <s v="WILLINTON OSPINA MADRIGAL"/>
    <n v="130"/>
    <n v="38292800"/>
    <n v="0"/>
    <n v="5424813"/>
    <n v="32867987"/>
    <s v="1302.43.4301.02.0-205128.2.3.2.02.02.008.09."/>
    <n v="52010801"/>
    <n v="5424813"/>
    <n v="38292800"/>
  </r>
  <r>
    <n v="546"/>
    <n v="80111600"/>
    <s v="SUBGERENCIA ADMINISTRATIVA Y FINANCIERA"/>
    <s v="FUNCIONAMIENTO"/>
    <x v="0"/>
    <n v="999999"/>
    <x v="0"/>
    <n v="999999"/>
    <n v="17095000"/>
    <s v="PRESTACIÓN DE SERVICIOS DE APOYO A LA GESTIÓN EN ACTIVIDADES ADMINISTRATIVAS Y OPERATIVAS DE INDEPORTES ANTIOQUIA, EN ESPECIAL EN LA SUBGERENCIA ADMINISTRATIVA Y FINANCIERA"/>
    <s v="CONTRATADO"/>
    <s v="DIRECTA"/>
    <s v="PRESTACIÓN DE SERVICIOS PROFESIONALES Y DE APOYO  A  LA GESTIÓN"/>
    <x v="32"/>
    <n v="30"/>
    <s v="Servicios prestados a las empresas y servicios de producción "/>
    <s v="00"/>
    <s v="0-205616"/>
    <n v="5"/>
    <s v="MESES"/>
    <n v="301"/>
    <s v="NO"/>
    <s v="FEBRERO"/>
    <s v="FEBRERO"/>
    <n v="233"/>
    <s v="WALTER ANDRES AGUDELO TOBON"/>
    <n v="418"/>
    <n v="17095000"/>
    <n v="0"/>
    <n v="0"/>
    <n v="17095000"/>
    <s v="4181.00.0000.00.0-205616.2.1.2.02.02.008.01."/>
    <s v=""/>
    <n v="0"/>
    <n v="17095000"/>
  </r>
  <r>
    <n v="547"/>
    <n v="80111600"/>
    <s v="SUBGERENCIA ADMINISTRATIVA Y FINANCIERA"/>
    <s v="FUNCIONAMIENTO"/>
    <x v="0"/>
    <n v="999999"/>
    <x v="0"/>
    <n v="999999"/>
    <n v="37609000"/>
    <s v="PRESTACIÓN DE SERVICIOS PROFESIONALES COMO ABOGADO, PARA APOYAR LOS PROCESOS DISCIPLINARIOS Y JURÍDICOS DE LA OFICINA DE TALENTO HUMANO PARA INDEPORTES ANTIOQUIA."/>
    <s v="CONTRATADO"/>
    <s v="DIRECTA"/>
    <s v="PRESTACIÓN DE SERVICIOS PROFESIONALES Y DE APOYO  A  LA GESTIÓN"/>
    <x v="32"/>
    <n v="30"/>
    <s v="Servicios prestados a las empresas y servicios de producción "/>
    <s v="00"/>
    <s v="0-205616"/>
    <n v="5"/>
    <s v="MESES"/>
    <n v="315"/>
    <s v="NO"/>
    <s v="FEBRERO"/>
    <s v="FEBRERO"/>
    <n v="237"/>
    <s v="HAROLD ALEXANDER LEON ARIAS"/>
    <n v="433"/>
    <n v="37609000"/>
    <n v="0"/>
    <n v="0"/>
    <n v="37609000"/>
    <s v="4331.00.0000.00.0-205616.2.1.2.02.02.008.01."/>
    <s v=""/>
    <n v="0"/>
    <n v="37609000"/>
  </r>
  <r>
    <n v="548"/>
    <n v="80111600"/>
    <s v="SUBGERENCIA ADMINISTRATIVA Y FINANCIERA"/>
    <s v="FUNCIONAMIENTO"/>
    <x v="0"/>
    <n v="999999"/>
    <x v="0"/>
    <n v="999999"/>
    <n v="37609000"/>
    <s v="PRESTACIÓN DE SERVICIOS PROFESIONALES PARA REALIZAR ACTIVIDADES DE DIAGNÓSTICO, ASESORAMIENTO, INTERVENCIÓN Y DESARROLLO ORGANIZACIONAL EN INDEPORTES ANTIOQUIA"/>
    <s v="CONTRATADO"/>
    <s v="DIRECTA"/>
    <s v="PRESTACIÓN DE SERVICIOS PROFESIONALES Y DE APOYO  A  LA GESTIÓN"/>
    <x v="32"/>
    <n v="30"/>
    <s v="Servicios prestados a las empresas y servicios de producción "/>
    <s v="00"/>
    <s v="0-205616"/>
    <n v="5"/>
    <s v="MESES"/>
    <n v="344"/>
    <s v="NO"/>
    <s v="FEBRERO"/>
    <s v="FEBRERO"/>
    <n v="267"/>
    <s v="YUDI ANDREA CASTAÑEDA VELEZ"/>
    <s v=""/>
    <n v="0"/>
    <n v="37609000"/>
    <n v="0"/>
    <n v="0"/>
    <s v="1.00.0000.00.0-205616.2.1.2.02.02.008.01."/>
    <s v=""/>
    <s v=""/>
    <s v=""/>
  </r>
  <r>
    <n v="549"/>
    <n v="80111600"/>
    <s v="SUBGERENCIA ADMINISTRATIVA Y FINANCIERA"/>
    <s v="FUNCIONAMIENTO"/>
    <x v="0"/>
    <n v="999999"/>
    <x v="0"/>
    <n v="999999"/>
    <n v="17095000"/>
    <s v="PRESTACIÓN DE SERVICIOS DE APOYO A LA GESTIÓN EN LA ORGANIZACIÓN DEL ARCHIVO DE INDEPORTES ANTIOQUIA, EN ESPECIAL EN LA OFICINA DE TALENTO HUMANO"/>
    <s v="CONTRATADO"/>
    <s v="DIRECTA"/>
    <s v="PRESTACIÓN DE SERVICIOS PROFESIONALES Y DE APOYO  A  LA GESTIÓN"/>
    <x v="32"/>
    <n v="30"/>
    <s v="Servicios prestados a las empresas y servicios de producción "/>
    <s v="00"/>
    <s v="0-205616"/>
    <n v="5"/>
    <s v="MESES"/>
    <n v="343"/>
    <s v="NO"/>
    <s v="FEBRERO"/>
    <s v="FEBRERO"/>
    <n v="270"/>
    <s v="LILIANA PATRICIA MARTINEZ"/>
    <s v=""/>
    <n v="0"/>
    <n v="17095000"/>
    <n v="0"/>
    <n v="0"/>
    <s v="1.00.0000.00.0-205616.2.1.2.02.02.008.01."/>
    <s v=""/>
    <s v=""/>
    <s v=""/>
  </r>
  <r>
    <n v="550"/>
    <n v="80111600"/>
    <s v="SUBGERENCIA ADMINISTRATIVA Y FINANCIERA"/>
    <s v="FUNCIONAMIENTO"/>
    <x v="0"/>
    <n v="999999"/>
    <x v="0"/>
    <n v="999999"/>
    <n v="73780000"/>
    <s v="CONTRATO DE PRESTACIÓN DE SERVICIOS PROFESIONALES PARA REPRESENTAR JUDICIAL Y EXTRAJUDICIALMENTE A INDEPORTES ANTIOQUIA, PRESTAR ASESORÍA JURÍDICA Y RENDIR CONCEPTOS"/>
    <s v="CONTRATADO"/>
    <s v="DIRECTA"/>
    <s v="PRESTACIÓN DE SERVICIOS "/>
    <x v="32"/>
    <n v="30"/>
    <s v="Servicios prestados a las empresas y servicios de producción "/>
    <s v="00"/>
    <s v="0-205616"/>
    <n v="4"/>
    <s v="MESES"/>
    <n v="340"/>
    <s v="NO"/>
    <s v="FEBRERO"/>
    <s v="FEBRERO"/>
    <n v="261"/>
    <s v="ESTUDIO JURIDICO PEREZ &amp; ASOC. S.A.S."/>
    <n v="782"/>
    <n v="73780000"/>
    <n v="0"/>
    <n v="0"/>
    <n v="73780000"/>
    <s v="7821.00.0000.00.0-205616.2.1.2.02.02.008.01."/>
    <s v=""/>
    <n v="0"/>
    <n v="73780000"/>
  </r>
  <r>
    <n v="551"/>
    <n v="80111600"/>
    <s v="SUBGERENCIA DE ALTOS LOGROS Y DEPORTE ASOCIADO"/>
    <s v="INVERSIÓN"/>
    <x v="11"/>
    <n v="2024003050087"/>
    <x v="51"/>
    <s v="050078"/>
    <n v="34190000"/>
    <s v="PRESTACIÓN DE SERVICIOS DE APOYO A LA GESTIÓN EN EL DESARROLLO DE LOS EVENTOS DEPORTIVOS DE INDEPORTES ANTIOQUIA."/>
    <s v="CONTRATADO"/>
    <s v="DIRECTA"/>
    <s v="PRESTACIÓN DE SERVICIOS PROFESIONALES Y DE APOYO  A  LA GESTIÓN"/>
    <x v="79"/>
    <n v="68"/>
    <s v="Fortalecimiento del desarrollo deportivo con miras al alto rendimiento competitivo de los atletas del departamento de Antioquia - Servicios prestados a las empresas y servicios de producción "/>
    <s v="87"/>
    <s v="0-205128"/>
    <n v="10"/>
    <s v="MESES"/>
    <n v="325"/>
    <s v="NO"/>
    <s v="FEBRERO"/>
    <s v="FEBRERO"/>
    <n v="331"/>
    <s v="HECTOR ORLANDO  ORTIZ ECHEVERRI"/>
    <s v=""/>
    <n v="0"/>
    <n v="34190000"/>
    <n v="0"/>
    <n v="0"/>
    <s v="2.43.4302.87.0-205128.2.3.2.02.02.008.13."/>
    <n v="52010805"/>
    <s v=""/>
    <s v=""/>
  </r>
  <r>
    <n v="552"/>
    <n v="86111602"/>
    <s v="SUBGERENCIA DE FOMENTO Y DESARROLLO"/>
    <s v="INVERSIÓN"/>
    <x v="7"/>
    <n v="2024003050072"/>
    <x v="41"/>
    <s v="050072"/>
    <n v="129600000"/>
    <s v="PRESTACIÓN DE SERVICIOS PARA CAPACITACIONES VIRTUALES EN ADMINISTRACIÓN, MARKETING, GESTIÓN Y PLANIFICACIÓN DEPORTIVA"/>
    <s v="CONTRATADO"/>
    <s v="DIRECTA"/>
    <s v="PRESTACIÓN DE SERVICIOS"/>
    <x v="70"/>
    <n v="79"/>
    <s v="Capacitación para el sector del deporte, la recreación y la actividad física en el Departamento de   Antioquia -Servicios para la comunidad, sociales y personales"/>
    <s v="72"/>
    <s v="0-205128"/>
    <n v="10"/>
    <s v="MESES"/>
    <n v="332"/>
    <s v="NO"/>
    <s v="FEBRERO"/>
    <s v="FEBRERO"/>
    <n v="249"/>
    <s v="UNIVERSIDAD AUTONOMA LATINOAMERICANA UNAULA"/>
    <n v="431"/>
    <n v="129600000"/>
    <n v="0"/>
    <n v="0"/>
    <n v="129600000"/>
    <s v="4313.43.4301.72.0-205128.2.3.2.02.02.009.09."/>
    <n v="52010704"/>
    <n v="0"/>
    <n v="129600000"/>
  </r>
  <r>
    <n v="553"/>
    <n v="86111602"/>
    <s v="SUBGERENCIA DE FOMENTO Y DESARROLLO"/>
    <s v="INVERSIÓN"/>
    <x v="7"/>
    <n v="2024003050072"/>
    <x v="41"/>
    <s v="050072"/>
    <n v="88935122"/>
    <s v="PRESTACIÓN DE SERVICIOS PARA CAPACITACIONES E INICIACIÓN Y DESARROLLO DEPORTIVO, MOTRICIDAD Y NUTRICIÓN EN EL DEPARTAMENTO DE ANTIOQUIA"/>
    <s v="CONTRATADO"/>
    <s v="DIRECTA"/>
    <s v="PRESTACIÓN DE SERVICIOS"/>
    <x v="70"/>
    <n v="79"/>
    <s v="Capacitación para el sector del deporte, la recreación y la actividad física en el Departamento de   Antioquia -Servicios para la comunidad, sociales y personales"/>
    <s v="72"/>
    <s v="0-205128"/>
    <n v="10"/>
    <s v="MESES"/>
    <n v="333"/>
    <s v="NO"/>
    <s v="FEBRERO"/>
    <s v="FEBRERO"/>
    <n v="259"/>
    <s v="UNIVERSIDAD DE ANTIOQUIA"/>
    <s v=""/>
    <n v="0"/>
    <n v="88935122"/>
    <n v="0"/>
    <n v="0"/>
    <s v="3.43.4301.72.0-205128.2.3.2.02.02.009.09."/>
    <n v="52010704"/>
    <s v=""/>
    <s v=""/>
  </r>
  <r>
    <n v="554"/>
    <n v="86111602"/>
    <s v="SUBGERENCIA DE FOMENTO Y DESARROLLO"/>
    <s v="INVERSIÓN"/>
    <x v="7"/>
    <n v="2024003050072"/>
    <x v="41"/>
    <s v="050072"/>
    <n v="222478000"/>
    <s v="PRESTACIÓN DE SERVICIOS PARA CAPACITACIONES PARA EL FORTALECIMIENTO DE COMPETENCIAS Y DESARROLLO HUMANO Y COMPETENCIAS DIRIGIDA A LOS ACTORES DEL SECTOR DEPORTE, RECREACIÓN Y ACTIVIDAD FÍSICA EN EL DEPARTAMENTO DE ANTIOQUIA "/>
    <s v="CONTRATADO"/>
    <s v="DIRECTA"/>
    <s v="PRESTACIÓN DE SERVICIOS"/>
    <x v="70"/>
    <n v="79"/>
    <s v="Capacitación para el sector del deporte, la recreación y la actividad física en el Departamento de   Antioquia -Servicios para la comunidad, sociales y personales"/>
    <s v="72"/>
    <s v="0-205128"/>
    <n v="10"/>
    <s v="MESES"/>
    <n v="330"/>
    <s v="NO"/>
    <s v="FEBRERO"/>
    <s v="FEBRERO"/>
    <n v="326"/>
    <s v="UNIVERSIDAD CATOLICA DE ORIENTE"/>
    <s v=""/>
    <n v="0"/>
    <n v="222478000"/>
    <n v="0"/>
    <n v="0"/>
    <s v="3.43.4301.72.0-205128.2.3.2.02.02.009.09."/>
    <n v="52010704"/>
    <s v=""/>
    <s v=""/>
  </r>
  <r>
    <n v="555"/>
    <n v="84101600"/>
    <s v="SUBGERENCIA DE FOMENTO Y DESARROLLO"/>
    <s v="INVERSIÓN"/>
    <x v="5"/>
    <n v="2024003050101"/>
    <x v="62"/>
    <s v="050075"/>
    <n v="100000000"/>
    <s v="CONVENIO INTERADMINISTRATIVO PARA PROMOVER LA LUCHA OLÍMPICA EN EL MUNICIPIO DE ENVIGADO"/>
    <s v="NO CONTRATADO"/>
    <s v="DIRECTA"/>
    <s v="CONTRATO INTERADMINISTRATIVO"/>
    <x v="66"/>
    <n v="73"/>
    <s v="Desarrollo y promoción del deporte formativo, la recreación y la actividad física en el departamento Antioquia. - Servicios para la comunidad, sociales y personales"/>
    <s v="01"/>
    <s v="0-205400"/>
    <n v="10"/>
    <s v="MESES"/>
    <s v=""/>
    <s v="NO"/>
    <s v="FEBRERO"/>
    <s v="FEBRERO"/>
    <s v=""/>
    <s v=""/>
    <s v=""/>
    <n v="0"/>
    <n v="100000000"/>
    <n v="0"/>
    <n v="0"/>
    <s v="3.43.4301.01.0-205400.2.3.2.02.02.009.06."/>
    <n v="52010702"/>
    <s v=""/>
    <s v=""/>
  </r>
  <r>
    <n v="556"/>
    <n v="80111600"/>
    <s v="SUBGERENCIA ESCENARIOS DEPORTIVOS Y EQUIPAMIENTOS"/>
    <s v="INVERSIÓN"/>
    <x v="3"/>
    <n v="2024003050075"/>
    <x v="23"/>
    <s v="050070"/>
    <n v="37609000"/>
    <s v="PRESTACIÓN DE SERVICIOS PROFESIONALES COMO ABOGADO PARA APOYAR EL PROCESO DE CONTRATACIÓN Y EL PROCESO LEGAL DE INDEPORTES ANTIOQUIA, EN ESPECIAL DE LA SUBGERENCIA DE ESCENARIOS DEPORTIVOS Y DE EQUIPAMIENTO"/>
    <s v="CONTRATADO"/>
    <s v="DIRECTA"/>
    <s v="PRESTACIÓN DE SERVICIOS PROFESIONALES Y DE APOYO  A  LA GESTIÓN"/>
    <x v="56"/>
    <n v="87"/>
    <s v="Mantenimiento, adecuación, mejoras de escenarios deportivos o equipamientos en el departamento de Antioquia.. - Servicios prestados a las empresas y servicios de producción "/>
    <s v="75"/>
    <s v="0-101024"/>
    <n v="5"/>
    <s v="MESES"/>
    <n v="338"/>
    <s v="NO"/>
    <s v="FEBRERO"/>
    <s v="FEBRERO"/>
    <n v="254"/>
    <s v="MONICA PATRICIA ROMAN GARCES"/>
    <n v="445"/>
    <n v="37609000"/>
    <n v="0"/>
    <n v="0"/>
    <n v="37609000"/>
    <s v="4454.43.4302.75.0-101024.2.3.2.02.02.008.20."/>
    <n v="52010902"/>
    <n v="0"/>
    <n v="37609000"/>
  </r>
  <r>
    <n v="557"/>
    <n v="72101500"/>
    <s v="SUBGERENCIA ESCENARIOS DEPORTIVOS Y EQUIPAMIENTOS"/>
    <s v="INVERSIÓN"/>
    <x v="3"/>
    <n v="2024003050075"/>
    <x v="22"/>
    <s v="050070"/>
    <n v="374209826"/>
    <s v="MODIFICACIÓN 2, Y ADICIÓN 1 AL CONTRATO 653 DE 2023 CON OBJETO: AUNAR ESFUERZOS PARA COFINANCIAR LAS OBRAS DE ADECUACIÓN DE LA PISCINA Y EL COLISEO MUNICIPAL EN EL MUNICIPIO DE SAN ANDRÉS DE CUERQUIA, ANTIOQUIA"/>
    <s v="NO CONTRATADO"/>
    <s v="MODIFICACIÓN"/>
    <s v="CONVENIO INTERADMINISTRATIVO "/>
    <x v="53"/>
    <n v="89"/>
    <s v="Mantenimiento, adecuación, mejoras de escenarios deportivos o equipamientos en el departamento de Antioquia -Construcción y servicios de la construcción"/>
    <s v="75"/>
    <s v="0-205128"/>
    <n v="5"/>
    <s v="MESES"/>
    <s v=""/>
    <s v="NO"/>
    <s v="FEBRERO"/>
    <s v="FEBRERO"/>
    <s v=""/>
    <s v=""/>
    <s v=""/>
    <n v="0"/>
    <n v="374209826"/>
    <n v="0"/>
    <n v="0"/>
    <s v="4.43.4302.75.0-205128.2.3.2.02.02.005.02."/>
    <n v="52010902"/>
    <s v=""/>
    <s v=""/>
  </r>
  <r>
    <n v="558"/>
    <n v="80111600"/>
    <s v="SUBGERENCIA DE FOMENTO Y DESARROLLO"/>
    <s v="INVERSIÓN"/>
    <x v="5"/>
    <n v="2024003050101"/>
    <x v="37"/>
    <s v="050075"/>
    <n v="67112743"/>
    <s v="PRESTACIÓN DE SERVICIOS PROFESIONALES PARA LA PROMOCIÓN Y EJECUCIÓN DEL PROGRAMA DEPARTAMENTAL DE ACTIVIDAD FÍSICA, DESDE EL COMPONENTE DE LA DISCAPACIDAD."/>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47"/>
    <s v="NO"/>
    <s v="FEBRERO"/>
    <s v="FEBRERO"/>
    <n v="265"/>
    <s v="ERIKA INES RAMIREZ PEREZ"/>
    <s v=""/>
    <n v="0"/>
    <n v="67112743"/>
    <n v="0"/>
    <n v="0"/>
    <s v="3.43.4301.01.0-205128.2.3.2.02.02.009.07."/>
    <n v="52010702"/>
    <s v=""/>
    <s v=""/>
  </r>
  <r>
    <n v="558"/>
    <n v="80111600"/>
    <s v="SUBGERENCIA DE FOMENTO Y DESARROLLO"/>
    <s v="INVERSIÓN"/>
    <x v="5"/>
    <n v="2024003050101"/>
    <x v="37"/>
    <s v="050075"/>
    <n v="16855257"/>
    <s v="PRESTACIÓN DE SERVICIOS PROFESIONALES PARA LA PROMOCIÓN Y EJECUCIÓN DEL PROGRAMA DEPARTAMENTAL DE ACTIVIDAD FÍSICA, DESDE EL COMPONENTE DE LA DISCAPACIDAD."/>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10"/>
    <s v="MESES"/>
    <n v="347"/>
    <s v="NO"/>
    <s v="FEBRERO"/>
    <s v="FEBRERO"/>
    <n v="265"/>
    <s v="ERIKA INES RAMIREZ PEREZ"/>
    <s v=""/>
    <n v="0"/>
    <n v="16855257"/>
    <n v="0"/>
    <n v="0"/>
    <s v="3.43.4301.01.0-205400.2.3.2.02.02.009.06."/>
    <n v="52010702"/>
    <s v=""/>
    <s v=""/>
  </r>
  <r>
    <n v="559"/>
    <n v="80111600"/>
    <s v="SUBGERENCIA DE FOMENTO Y DESARROLLO"/>
    <s v="INVERSIÓN"/>
    <x v="5"/>
    <n v="2024003050101"/>
    <x v="38"/>
    <s v="050075"/>
    <n v="44190000"/>
    <s v="PRESTACIÓN DE SERVICIOS DE APOYO A LA GESTIÓN PARA LA PROMOCIÓN DEL USO DE LA BICICLETA EN EL DEPARTAMENTO DE ANTIOQUIA"/>
    <s v="CONTRATADO"/>
    <s v="DIRECTA"/>
    <s v="PRESTACIÓN DE SERVICIOS PROFESIONALES Y DE APOYO  A  LA GESTIÓN"/>
    <x v="67"/>
    <n v="71"/>
    <s v="Desarrollo y promoción del deporte formativo, la recreación y la actividad física en el departamento Antioquia-Servicios para la comunidad, sociales y personales"/>
    <s v="01"/>
    <s v="0-205128"/>
    <n v="10"/>
    <s v="MESES"/>
    <n v="348"/>
    <s v="NO"/>
    <s v="FEBRERO"/>
    <s v="FEBRERO"/>
    <n v="266"/>
    <s v="SEBASTIAN DE JESUS MATTOS SOTO"/>
    <n v="781"/>
    <n v="44190000"/>
    <n v="0"/>
    <n v="0"/>
    <n v="44190000"/>
    <s v="7813.43.4301.01.0-205128.2.3.2.02.02.009.07."/>
    <n v="52010702"/>
    <n v="0"/>
    <n v="44190000"/>
  </r>
  <r>
    <n v="560"/>
    <n v="8011600"/>
    <s v="SUBGERENCIA ADMINISTRATIVA Y FINANCIERA"/>
    <s v="FUNCIONAMIENTO"/>
    <x v="1"/>
    <n v="2024003050077"/>
    <x v="63"/>
    <s v="220387"/>
    <n v="75218000"/>
    <s v="PRESTACIÓN DE SERVICIOS PROFESIONALES PARA EL APOYO A LA PLANIFICACIÓN ADMINISTRATIVA DE LOS DIFERENTES PROYECTOS, PROGRAMAS Y PROCESOS DE LA OFICINA ASESORA DE COMUNICACIONES."/>
    <s v="CONTRATADO"/>
    <s v="DIRECTA"/>
    <s v="PRESTACIÓN DE SERVICIOS PROFESIONALES Y DE APOYO  A  LA GESTIÓN"/>
    <x v="48"/>
    <n v="54"/>
    <s v="Fortalecimiento de los sistemas de información y la gestión estratégica para el deporte, la recreación y la actividad física de Antioquia (Comunicaciones) -Servicios prestados a las empresas y servicios de producción "/>
    <s v="77"/>
    <s v="0-271130"/>
    <n v="10"/>
    <s v="MESES"/>
    <n v="349"/>
    <s v="NO"/>
    <s v="FEBRERO"/>
    <s v="FEBRERO"/>
    <n v="272"/>
    <s v="CINDY PAULINA BUITRAGO ECHEVERRI"/>
    <s v=""/>
    <n v="0"/>
    <n v="75218000"/>
    <n v="0"/>
    <n v="0"/>
    <s v="1.45.4599.77.0-271130.2.3.2.02.02.008.01."/>
    <n v="52011001"/>
    <s v=""/>
    <s v=""/>
  </r>
  <r>
    <n v="561"/>
    <n v="78111800"/>
    <s v="SUBGERENCIA ESCENARIOS DEPORTIVOS Y EQUIPAMIENTOS"/>
    <s v="INVERSIÓN"/>
    <x v="3"/>
    <n v="2024003050075"/>
    <x v="23"/>
    <s v="050070"/>
    <n v="302240700"/>
    <s v="CONTRATO INTERADMINISTRATIVO DE MANDATO SIN REPRESENTACIÓN PARA LA PRESTACIÓN DEL SERVICIO DE TRANSPORTE TERRESTRE Y _x000a_EL ALQUILER DE VEHÍCULOS PARA INDEPORTES ANTIOQUIA"/>
    <s v="CONTRATADO"/>
    <s v="DIRECTA"/>
    <s v="CONVENIO INTERADMINISTRATIVO"/>
    <x v="92"/>
    <n v="94"/>
    <s v="Mantenimiento, Adecuación, Mejoras De Escenarios   Deportivos O Equipamientos En El Departamento De Antioquia - Comercio Y Distribución; Alojamiento; Servicios De Suministro De Comidas Y   Bebidas; Servicios De Transporte; Y   Servicios De Distribución De Electricidad, Gas Y Agua."/>
    <s v="75"/>
    <s v="0-205128"/>
    <n v="10"/>
    <s v="MESES"/>
    <n v="382"/>
    <s v="NO"/>
    <s v="FEBRERO"/>
    <s v="FEBRERO"/>
    <n v="329"/>
    <s v="RENTING DE ANTIOQUIA"/>
    <s v=""/>
    <n v="0"/>
    <n v="302240700"/>
    <n v="0"/>
    <n v="0"/>
    <s v="4.43.4302.75.0-205128.2.3.2.02.02.006.04."/>
    <n v="52010902"/>
    <s v=""/>
    <s v=""/>
  </r>
  <r>
    <n v="561"/>
    <n v="78111800"/>
    <s v="SUBGERENCIA ADMINISTRATIVA Y FINANCIERA"/>
    <s v="FUNCIONAMIENTO"/>
    <x v="0"/>
    <n v="999999"/>
    <x v="0"/>
    <n v="999999"/>
    <n v="130213545"/>
    <s v="CONTRATO INTERADMINISTRATIVO DE MANDATO SIN REPRESENTACIÓN PARA LA PRESTACIÓN DEL SERVICIO DE TRANSPORTE TERRESTRE Y EL ALQUILER DE VEHÍCULOS PARA INDEPORTES ANTIOQUIA"/>
    <s v="CONTRATADO"/>
    <s v="DIRECTA"/>
    <s v="CONTRATO INTERADMINISTRATIVO"/>
    <x v="38"/>
    <n v="27"/>
    <s v="Servicios de alojamiento; servicios de suministro de comidas y bebidas; servicios de transporte; y servicios de distribución de electricidad, gas y agua"/>
    <s v="00"/>
    <s v="0-205616"/>
    <n v="10"/>
    <s v="MESES"/>
    <n v="382"/>
    <s v="NO"/>
    <s v="FEBRERO"/>
    <s v="FEBRERO"/>
    <n v="329"/>
    <s v="RENTING DE ANTIOQUIA"/>
    <s v=""/>
    <n v="0"/>
    <n v="130213545"/>
    <n v="0"/>
    <n v="0"/>
    <s v="1.00.0000.00.0-205616.2.1.2.02.02.006.01."/>
    <s v=""/>
    <s v=""/>
    <s v=""/>
  </r>
  <r>
    <n v="561"/>
    <n v="78111800"/>
    <s v="SUBGERENCIA DE FOMENTO Y DESARROLLO"/>
    <s v="INVERSIÓN"/>
    <x v="5"/>
    <n v="2024003050101"/>
    <x v="64"/>
    <s v="050075"/>
    <n v="132000000"/>
    <s v="CONTRATO INTERADMINISTRATIVO DE MANDATO SIN REPRESENTACIÓN PARA LA PRESTACIÓN DEL SERVICIO DE TRANSPORTE TERRESTRE Y EL ALQUILER DE VEHÍCULOS PARA INDEPORTES ANTIOQUIA"/>
    <s v="CONTRATADO"/>
    <s v="DIRECTA"/>
    <s v="CONTRATO INTERADMINISTRATIVO"/>
    <x v="93"/>
    <n v="72"/>
    <s v="Desarrollo y promoción del deporte formativo, la recreación y la actividad física en el departamento Antioquia - Comercio y distribución; alojamiento; servicios de suministro de comidas y bebidas; servicios de transporte; y servicios de distribución de electricidad, gas y agua"/>
    <s v="01"/>
    <s v="0-205400"/>
    <n v="10"/>
    <s v="MESES"/>
    <n v="382"/>
    <s v="NO"/>
    <s v="FEBRERO"/>
    <s v="FEBRERO"/>
    <n v="329"/>
    <s v="RENTING DE ANTIOQUIA"/>
    <s v=""/>
    <n v="0"/>
    <n v="132000000"/>
    <n v="0"/>
    <n v="0"/>
    <s v="3.43.4301.01.0-205400.2.3.2.02.02.006.01."/>
    <n v="52010702"/>
    <s v=""/>
    <s v=""/>
  </r>
  <r>
    <n v="561"/>
    <n v="78111800"/>
    <s v="SUBGERENCIA DE FOMENTO Y DESARROLLO"/>
    <s v="INVERSIÓN"/>
    <x v="7"/>
    <n v="2024003050072"/>
    <x v="65"/>
    <s v="050072"/>
    <n v="16217719"/>
    <s v="CONTRATO INTERADMINISTRATIVO DE MANDATO SIN REPRESENTACIÓN PARA LA PRESTACIÓN DEL SERVICIO DE TRANSPORTE TERRESTRE Y EL ALQUILER DE VEHÍCULOS PARA INDEPORTES ANTIOQUIA"/>
    <s v="CONTRATADO"/>
    <s v="DIRECTA"/>
    <s v="CONTRATO INTERADMINISTRATIVO"/>
    <x v="94"/>
    <n v="77"/>
    <s v="Capacitación para el sector del deporte, la recreación y la actividad física en el Departamento de   Antioquia -Comercio y distribución; alojamiento; servicios de suministro de comidas y bebidas; servicios de transporte; y servicios de distribución de electricidad, gas y agua"/>
    <s v="72"/>
    <s v="0-205128"/>
    <n v="10"/>
    <s v="MESES"/>
    <n v="382"/>
    <s v="NO"/>
    <s v="FEBRERO"/>
    <s v="FEBRERO"/>
    <n v="329"/>
    <s v="RENTING DE ANTIOQUIA"/>
    <s v=""/>
    <n v="0"/>
    <n v="16217719"/>
    <n v="0"/>
    <n v="0"/>
    <s v="3.43.4301.72.0-205128.2.3.2.02.02.006.02."/>
    <n v="52010704"/>
    <s v=""/>
    <s v=""/>
  </r>
  <r>
    <n v="561"/>
    <n v="78111800"/>
    <s v="SUBGERENCIA DE FOMENTO Y DESARROLLO"/>
    <s v="INVERSIÓN"/>
    <x v="8"/>
    <n v="2024003050073"/>
    <x v="66"/>
    <s v="050081"/>
    <n v="306983638"/>
    <s v="CONTRATO INTERADMINISTRATIVO DE MANDATO SIN REPRESENTACIÓN PARA LA PRESTACIÓN DEL SERVICIO DE TRANSPORTE TERRESTRE Y EL ALQUILER DE VEHÍCULOS PARA INDEPORTES ANTIOQUIA"/>
    <s v="CONTRATADO"/>
    <s v="DIRECTA"/>
    <s v="CONTRATO INTERADMINISTRATIVO"/>
    <x v="95"/>
    <n v="80"/>
    <s v="Fortalecimiento de los juegos deportivos institucionales en los municipios del departamento de Antioquia -Comercio y distribución; alojamiento; servicios de suministro de comidas y bebidas; servicios de transporte; y servicios de distribución de electricidad, gas y agua"/>
    <s v="73"/>
    <s v="0-205128"/>
    <n v="10"/>
    <s v="MESES"/>
    <n v="382"/>
    <s v="NO"/>
    <s v="FEBRERO"/>
    <s v="FEBRERO"/>
    <n v="329"/>
    <s v="RENTING DE ANTIOQUIA"/>
    <s v=""/>
    <n v="0"/>
    <n v="306983638"/>
    <n v="0"/>
    <n v="0"/>
    <s v="3.43.4301.73.0-205128.2.3.2.02.02.006.03."/>
    <n v="52010703"/>
    <s v=""/>
    <s v=""/>
  </r>
  <r>
    <n v="562"/>
    <n v="84101600"/>
    <s v="SUBGERENCIA DE FOMENTO Y DESARROLLO"/>
    <s v="INVERSIÓN"/>
    <x v="5"/>
    <n v="2024003050101"/>
    <x v="67"/>
    <s v="050075"/>
    <n v="50000000"/>
    <s v="CONVENIO INTERADMINISTRATIVO PARA FOMENTAR LA ACTIVIDAD FÍSICA EN EL MUNICIPIO DE EL RETIRO"/>
    <s v="CONTRATADO"/>
    <s v="DIRECTA"/>
    <s v="CONVENIO INTERADMINISTRATIVO"/>
    <x v="66"/>
    <n v="73"/>
    <s v="Desarrollo y promoción del deporte formativo, la recreación y la actividad física en el departamento Antioquia. - Servicios para la comunidad, sociales y personales"/>
    <s v="01"/>
    <s v="0-205400"/>
    <n v="10"/>
    <s v="MESES"/>
    <n v="353"/>
    <s v="NO"/>
    <s v="FEBRERO"/>
    <s v="FEBRERO"/>
    <n v="357"/>
    <s v="INSTITUTO MUNICIPAL DE DEPORTE Y RECREACIÓN &quot;IMDER&quot; DE EL RETIRO"/>
    <s v=""/>
    <n v="0"/>
    <n v="50000000"/>
    <n v="0"/>
    <n v="0"/>
    <s v="3.43.4301.01.0-205400.2.3.2.02.02.009.06."/>
    <n v="52010702"/>
    <s v=""/>
    <s v=""/>
  </r>
  <r>
    <n v="563"/>
    <n v="80111600"/>
    <s v="SUBGERENCIA DE ALTOS LOGROS Y DEPORTE ASOCIADO"/>
    <s v="INVERSIÓN"/>
    <x v="13"/>
    <n v="2024003050084"/>
    <x v="56"/>
    <s v="050079"/>
    <n v="38529929"/>
    <s v="PRESTACIÓN DE SERVICIOS DE UN ENTRENADOR PARA EL DESARROLLO DEPORTIVO DE LOS ATLETAS DE LA LIGA DE CANOTAJE DE ANTIOQUIA  DEL CENTRO DE DESARROLLO DEPORTIVO EN LA SUBREGIÓN ORIENTE."/>
    <s v="NO 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s v=""/>
    <s v="NO"/>
    <s v="FEBRERO"/>
    <s v="MARZO"/>
    <s v=""/>
    <s v=""/>
    <s v=""/>
    <n v="0"/>
    <n v="38529929"/>
    <n v="0"/>
    <n v="0"/>
    <s v="2.43.4302.84.0-205128.2.3.2.02.02.009.04."/>
    <n v="52010802"/>
    <s v=""/>
    <s v=""/>
  </r>
  <r>
    <n v="564"/>
    <n v="80111600"/>
    <s v="SUBGERENCIA DE ALTOS LOGROS Y DEPORTE ASOCIADO"/>
    <s v="INVERSIÓN"/>
    <x v="13"/>
    <n v="2024003050084"/>
    <x v="56"/>
    <s v="050079"/>
    <n v="47854929"/>
    <s v="PRESTACIÓN DE SERVICIOS DE UN ENTRENADOR PARA LA REALIZACIÓN DEL PROCESO DE PREPARACIÓN FÍSICA Y CONDICIONAL EN LOS DEPORTES DE JUDO, LUCHA, KARATE, ESGRIMA Y TAEKWONDO EN LAS MODALIDADES Y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0"/>
    <s v="NO"/>
    <s v="FEBRERO"/>
    <s v="MARZO"/>
    <n v="317"/>
    <s v="LINA FERNANDA VARGAS ALZATE "/>
    <s v=""/>
    <n v="0"/>
    <n v="47854929"/>
    <n v="0"/>
    <n v="0"/>
    <s v="2.43.4302.84.0-205128.2.3.2.02.02.009.04."/>
    <n v="52010802"/>
    <s v=""/>
    <s v=""/>
  </r>
  <r>
    <n v="565"/>
    <n v="80111600"/>
    <s v="SUBGERENCIA DE ALTOS LOGROS Y DEPORTE ASOCIADO"/>
    <s v="INVERSIÓN"/>
    <x v="13"/>
    <n v="2024003050084"/>
    <x v="56"/>
    <s v="050079"/>
    <n v="57820006"/>
    <s v="PRESTACIÓN DE SERVICIOS DE UN ENTRENADOR PRINCIPAL PARA LA REALIZACIÓN DEL PROCESO DE SELECCIÓN, ENTRENAMIENTO DEPORTIVO Y PARTICIPACIÓN EN COMPETENCIAS EN LA LIGA ANTIOQUEÑA DE ESGRIMA, EN LA MODALIDAD FLORET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278"/>
    <s v="DÍAS"/>
    <n v="372"/>
    <s v="NO"/>
    <s v="FEBRERO"/>
    <s v="MARZO"/>
    <n v="319"/>
    <s v="YOANYS PEREZ MUÑOZ"/>
    <s v=""/>
    <n v="0"/>
    <n v="57820006"/>
    <n v="0"/>
    <n v="0"/>
    <s v="2.43.4302.84.0-205128.2.3.2.02.02.009.04."/>
    <n v="52010802"/>
    <s v=""/>
    <s v=""/>
  </r>
  <r>
    <n v="566"/>
    <n v="80111600"/>
    <s v="SUBGERENCIA DE FOMENTO Y DESARROLLO"/>
    <s v="INVERSIÓN"/>
    <x v="5"/>
    <n v="2024003050101"/>
    <x v="36"/>
    <s v="050075"/>
    <n v="80957100"/>
    <s v="PRESTACIÓN DE SERVICIOS PROFESIONALES PARA LA PROMOCIÓN Y EJECUCIÓN DEL PROGRAMA DE DEPORTE FORMATIVO EN LAS SUBREGIONES DEL DEPARTAMENTO DE ANTIOQUIA."/>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5"/>
    <s v="MESES"/>
    <n v="380"/>
    <s v="NO"/>
    <s v="FEBRERO"/>
    <s v="FEBRERO"/>
    <n v="327"/>
    <s v="JACKSON DAVID PEREZ BOTERO"/>
    <s v=""/>
    <n v="0"/>
    <n v="80957100"/>
    <n v="0"/>
    <n v="0"/>
    <s v="3.43.4301.01.0-205400.2.3.2.02.02.009.06."/>
    <n v="52010702"/>
    <s v=""/>
    <s v=""/>
  </r>
  <r>
    <n v="567"/>
    <n v="80111600"/>
    <s v="SUBGERENCIA ADMINISTRATIVA Y FINANCIERA"/>
    <s v="FUNCIONAMIENTO"/>
    <x v="0"/>
    <n v="999999"/>
    <x v="0"/>
    <n v="999999"/>
    <n v="17095000"/>
    <s v="PRESTACIÓN DE SERVICIOS DE APOYO A LA GESTIÓN EN LA INTERVENCIÓN DEL ACERVO DOCUMENTAL DE INDEPORTES ANTIOQUIA."/>
    <s v="CONTRATADO"/>
    <s v="DIRECTA"/>
    <s v="PRESTACIÓN DE SERVICIOS PROFESIONALES Y DE APOYO  A  LA GESTIÓN"/>
    <x v="32"/>
    <n v="30"/>
    <s v="Servicios prestados a las empresas y servicios de producción "/>
    <s v="00"/>
    <s v="0-205616"/>
    <n v="5"/>
    <s v="MESES"/>
    <n v="388"/>
    <s v="NO"/>
    <s v="FEBRERO"/>
    <s v="FEBRERO"/>
    <n v="347"/>
    <s v="SANDRA JANETH BUSTAMANTE CASTRILLON"/>
    <s v=""/>
    <n v="0"/>
    <n v="17095000"/>
    <n v="0"/>
    <n v="0"/>
    <s v="1.00.0000.00.0-205616.2.1.2.02.02.008.01."/>
    <s v=""/>
    <s v=""/>
    <s v=""/>
  </r>
  <r>
    <n v="568"/>
    <n v="80111600"/>
    <s v="SUBGERENCIA DE ALTOS LOGROS Y DEPORTE ASOCIADO"/>
    <s v="INVERSIÓN"/>
    <x v="10"/>
    <n v="2024003050102"/>
    <x v="52"/>
    <s v="050076"/>
    <n v="9000000"/>
    <s v="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8"/>
    <n v="56"/>
    <s v="Apoyo económico a las organizaciones deportivas que representan en competencias al departamento de Antioquia - Servicios prestados a las empresas y servicios de producción "/>
    <s v="02"/>
    <s v="0-205128"/>
    <n v="7"/>
    <s v="MESES"/>
    <n v="397"/>
    <s v="NO"/>
    <s v="MARZO"/>
    <s v="MARZO"/>
    <n v="61"/>
    <s v="WILLINTON OSPINA MADRIGAL"/>
    <s v=""/>
    <n v="0"/>
    <n v="9000000"/>
    <n v="0"/>
    <n v="0"/>
    <s v="2.43.4301.02.0-205128.2.3.2.02.02.008.09."/>
    <n v="52010801"/>
    <s v=""/>
    <s v=""/>
  </r>
  <r>
    <n v="568"/>
    <n v="80111600"/>
    <s v="SUBGERENCIA DE ALTOS LOGROS Y DEPORTE ASOCIADO"/>
    <s v="INVERSIÓN"/>
    <x v="11"/>
    <n v="2024003050087"/>
    <x v="51"/>
    <s v="050078"/>
    <n v="9000000"/>
    <s v="ADICIÓN 1 AL CONTRATO 061 DE 2025 CUYO OBJETO ES: PRESTACIÓN DE SERVICIOS PROFESIONALES ESPECIALIZADOS, PARA APOYAR EL SEGUIMIENTO A LA EJECUCIÓN DE LOS PLANES, PROGRAMAS Y PROYECTOS ENMARCADOS DEL PLAN DE DESARROLLO 2024 - 2027 Y LA IMPLEMENTACIÓN DE POLÍTICAS PÚBLICAS PARA PROMOVER LA RECREACIÓN, LA ACTIVIDAD FÍSICA Y EL DEPORTE EN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7"/>
    <s v="MESES"/>
    <n v="397"/>
    <s v="NO"/>
    <s v="MARZO"/>
    <s v="MARZO"/>
    <n v="61"/>
    <s v="WILLINTON OSPINA MADRIGAL"/>
    <s v=""/>
    <n v="0"/>
    <n v="9000000"/>
    <n v="0"/>
    <n v="0"/>
    <s v="2.43.4302.87.0-101024.2.3.2.02.02.008.12."/>
    <n v="52010805"/>
    <s v=""/>
    <s v=""/>
  </r>
  <r>
    <n v="569"/>
    <n v="80111600"/>
    <s v="SUBGERENCIA DE FOMENTO Y DESARROLLO"/>
    <s v="INVERSIÓN"/>
    <x v="5"/>
    <n v="2024003050101"/>
    <x v="34"/>
    <s v="050075"/>
    <n v="38646000"/>
    <s v="PRESTACIÓN DE SERVICIOS DE APOYO A LA GESTIÓN PARA LA ACTIVACIÓN EN TERRITORIO DEL PROGRAMA DE RECREACIÓN DE LA SUBGERENCIA DE FOMENTO Y DESARROLLO DEPORTIVO."/>
    <s v="CONTRATADO"/>
    <s v="DIRECTA"/>
    <s v="PRESTACIÓN DE SERVICIOS PROFESIONALES Y DE APOYO A  LA GESTIÓN"/>
    <x v="66"/>
    <n v="73"/>
    <s v="Desarrollo y promoción del deporte formativo, la recreación y la actividad física en el departamento Antioquia. - Servicios para la comunidad, sociales y personales"/>
    <s v="01"/>
    <s v="0-205400"/>
    <n v="9.5"/>
    <s v="MESES"/>
    <n v="390"/>
    <s v="NO"/>
    <s v="MARZO"/>
    <s v="MARZO"/>
    <n v="342"/>
    <s v="JORGE LUIS CASTRO GARCIA"/>
    <s v=""/>
    <n v="0"/>
    <n v="38646000"/>
    <n v="0"/>
    <n v="0"/>
    <s v="3.43.4301.01.0-205400.2.3.2.02.02.009.06."/>
    <n v="52010702"/>
    <s v=""/>
    <s v=""/>
  </r>
  <r>
    <n v="570"/>
    <n v="80141607"/>
    <s v="SUBGERENCIA DE FOMENTO Y DESARROLLO"/>
    <s v="INVERSIÓN"/>
    <x v="8"/>
    <n v="2024003050073"/>
    <x v="68"/>
    <s v="050081"/>
    <n v="500000000"/>
    <s v="REALIZAR LOS JUEGOS DEPORTIVOS INDÍGENAS DEL DEPARTAMENTO DE ANTIOQUIA VERSIÓN 2025 EN EL MARCO DEL PLAN DE DESARROLLO “POR ANTIOQUIA FIRME 2024-2027” PARA PROMOVER LA IDENTIDAD CULTURAL, EL DEPORTE SOCIAL COMUNITARIO Y LAS PRÁCTICAS AUTÓCTONAS TRADICIONALES DE LAS COMUNIDADES INDÍGENAS"/>
    <s v="CONTRATADO"/>
    <s v="DIRECTA"/>
    <s v="CONTRATO INTERADMINISTRATIVO"/>
    <x v="71"/>
    <n v="82"/>
    <s v="Fortalecimiento de los juegos deportivos institucionales en los municipios del departamento de Antioquia - Servicios para la comunidad, sociales y personales"/>
    <s v="73"/>
    <s v="0-205128"/>
    <n v="4"/>
    <s v="MESES"/>
    <n v="391"/>
    <s v="NO"/>
    <s v="MARZO"/>
    <s v="MARZO"/>
    <n v="332"/>
    <s v="ASOCIACIÓN DE CABILDOS INDIGENAS Y DE AUTORIDADES TRADICIONALES DE ANTIOQUIA OIA"/>
    <s v=""/>
    <n v="0"/>
    <n v="500000000"/>
    <n v="0"/>
    <n v="0"/>
    <s v="3.43.4301.73.0-205128.2.3.2.02.02.009.10."/>
    <n v="52010703"/>
    <s v=""/>
    <s v=""/>
  </r>
  <r>
    <n v="571"/>
    <n v="80111600"/>
    <s v="SUBGERENCIA ADMINISTRATIVA Y FINANCIERA"/>
    <s v="FUNCIONAMIENTO"/>
    <x v="0"/>
    <n v="999999"/>
    <x v="0"/>
    <n v="999999"/>
    <n v="17095000"/>
    <s v="PRESTACIÓN DE SERVICIOS DE APOYO A LA GESTIÓN EN LA ORGANIZACIÓN DEL ARCHIVO DE INDEPORTES ANTIOQUIA."/>
    <s v="CONTRATADO"/>
    <s v="DIRECTA"/>
    <s v="PRESTACIÓN DE SERVICIOS PROFESIONALES Y DE APOYO  A  LA GESTIÓN"/>
    <x v="32"/>
    <n v="30"/>
    <s v="Servicios prestados a las empresas y servicios de producción "/>
    <s v="00"/>
    <s v="0-205616"/>
    <n v="5"/>
    <s v="MESES"/>
    <n v="400"/>
    <s v="NO"/>
    <s v="MARZO"/>
    <s v="MARZO"/>
    <n v="336"/>
    <s v="DIANA PATRICIA SUAREZ ARENAS"/>
    <s v=""/>
    <n v="0"/>
    <n v="17095000"/>
    <n v="0"/>
    <n v="0"/>
    <s v="1.00.0000.00.0-205616.2.1.2.02.02.008.01."/>
    <s v=""/>
    <s v=""/>
    <s v=""/>
  </r>
  <r>
    <n v="572"/>
    <n v="80111600"/>
    <s v="SUBGERENCIA ADMINISTRATIVA Y FINANCIERA"/>
    <s v="FUNCIONAMIENTO"/>
    <x v="0"/>
    <n v="999999"/>
    <x v="0"/>
    <n v="999999"/>
    <n v="37609000"/>
    <s v="PRESTACIÓN DE SERVICIOS PROFESIONALES JURÍDICOS PARA REALIZAR LA VERIFICACIÓN Y EVALUACIÓN CONTINUA DEL SISTEMA DE CONTROL INTERNO DE INDEPORTES ANTIOQUIA DESDE UNA PERSPECTIVA JURÍDICA."/>
    <s v="CONTRATADO"/>
    <s v="DIRECTA"/>
    <s v="PRESTACIÓN DE SERVICIOS PROFESIONALES Y DE APOYO  A  LA GESTIÓN"/>
    <x v="32"/>
    <n v="30"/>
    <s v="Servicios prestados a las empresas y servicios de producción "/>
    <s v="00"/>
    <s v="0-205616"/>
    <n v="5"/>
    <s v="MESES"/>
    <n v="408"/>
    <s v="NO"/>
    <s v="MARZO"/>
    <s v="MARZO"/>
    <n v="340"/>
    <s v="MIRIAM DEL SOCORRO GOMEZ JIMENEZ"/>
    <s v=""/>
    <n v="0"/>
    <n v="37609000"/>
    <n v="0"/>
    <n v="0"/>
    <s v="1.00.0000.00.0-205616.2.1.2.02.02.008.01."/>
    <s v=""/>
    <s v=""/>
    <s v=""/>
  </r>
  <r>
    <n v="573"/>
    <s v="N/A"/>
    <s v="SUBGERENCIA DE ALTOS LOGROS Y DEPORTE ASOCIADO"/>
    <s v="INVERSIÓN"/>
    <x v="14"/>
    <n v="2024003050085"/>
    <x v="69"/>
    <s v="050077"/>
    <n v="2056386278"/>
    <s v="ENTREGAR ESTÍMULO ECONÓMICO PARA LOS ATLETAS Y PARA-ATLETAS "/>
    <s v="NO CONTRATADO"/>
    <s v="RESOLUCIÓN"/>
    <s v="RESOLUCIÓN"/>
    <x v="85"/>
    <n v="65"/>
    <s v="Apoyo y subvención para satisfacer necesidades propias del proceso de preparación y competencia de los Atletas y Para-atletas de alto rendimiento del departamento de Antioquia-Estímulos y beneficios a los deportistas"/>
    <s v="85"/>
    <s v="0-205128"/>
    <s v="N/A"/>
    <s v="N/A"/>
    <s v=""/>
    <s v="NO"/>
    <s v="MARZO"/>
    <s v="MARZO"/>
    <s v=""/>
    <s v=""/>
    <s v=""/>
    <n v="0"/>
    <n v="2056386278"/>
    <n v="0"/>
    <n v="0"/>
    <s v="2.43.4302.85.0-205128.2.3.3.08.06."/>
    <n v="52010803"/>
    <s v=""/>
    <s v=""/>
  </r>
  <r>
    <n v="573"/>
    <s v="N/A"/>
    <s v="SUBGERENCIA DE ALTOS LOGROS Y DEPORTE ASOCIADO"/>
    <s v="INVERSIÓN"/>
    <x v="14"/>
    <n v="2024003050085"/>
    <x v="70"/>
    <s v="050077"/>
    <n v="543613722"/>
    <s v="ENTREGAR ESTÍMULO ECONÓMICO PARA LOS ATLETAS Y PARA-ATLETAS "/>
    <s v="NO CONTRATADO"/>
    <s v="RESOLUCIÓN"/>
    <s v="RESOLUCIÓN"/>
    <x v="96"/>
    <n v="96"/>
    <s v="Apoyo Y   Subvención Para Satisfacer Necesidades Propias Del Proceso De Preparación Y   Competencia De Los Atletas Y   Para-Atletas De Alto Rendimiento Del Departamento De Antioquia-Estímulos Y   Beneficios A Los Deportistas "/>
    <s v="85"/>
    <s v="0-101024"/>
    <s v="N/A"/>
    <s v="N/A"/>
    <s v=""/>
    <s v="NO"/>
    <s v="MARZO"/>
    <s v="MARZO"/>
    <s v=""/>
    <s v=""/>
    <s v=""/>
    <n v="0"/>
    <n v="543613722"/>
    <n v="0"/>
    <n v="0"/>
    <s v="2.43.4302.85.0-101024.2.3.3.08.06."/>
    <n v="52010803"/>
    <s v=""/>
    <s v=""/>
  </r>
  <r>
    <n v="574"/>
    <s v="84131600;_x000a_85101500;_x000a_85101600;_x000a_85121500"/>
    <s v="SUBGERENCIA ADMINISTRATIVA Y FINANCIERA"/>
    <s v="FUNCIONAMIENTO"/>
    <x v="0"/>
    <n v="999999"/>
    <x v="0"/>
    <n v="999999"/>
    <n v="15000000"/>
    <s v="CONTRATAR EL SERVICIO DE ÁREA PROTEGIDA PARA LAS SEDES DE INDEPORTES ANTIOQUIA."/>
    <s v="NO CONTRATADO"/>
    <s v="MÍNIMA CUANTÍA"/>
    <s v="PRESTACIÓN DE SERVICIOS"/>
    <x v="97"/>
    <n v="97"/>
    <s v="SERVICIO DE EMERGENCIA MÉDICA- SERVICIOS PARA LA COMUNIDAD, SOCIALES Y PERSONALES"/>
    <s v="00"/>
    <s v="0-205616"/>
    <n v="1"/>
    <s v="AÑO"/>
    <s v=""/>
    <s v="NO"/>
    <s v="MARZO"/>
    <s v="MARZO"/>
    <s v=""/>
    <s v=""/>
    <s v=""/>
    <n v="0"/>
    <n v="15000000"/>
    <n v="0"/>
    <n v="0"/>
    <s v="1.00.0000.00.0-205616.2.1.2.02.02.009.03."/>
    <s v=""/>
    <s v=""/>
    <s v=""/>
  </r>
  <r>
    <n v="575"/>
    <n v="81112501"/>
    <s v="SUBGERENCIA ESCENARIOS DEPORTIVOS Y EQUIPAMIENTOS"/>
    <s v="INVERSIÓN"/>
    <x v="3"/>
    <n v="2024003050075"/>
    <x v="23"/>
    <s v="050070"/>
    <n v="4043676"/>
    <s v="RENOVACIÓN LICENCIAMIENTO ARCGIS PARA INDEPORTES ANTIOQUIA"/>
    <s v="CONTRATADO"/>
    <s v="SELECCIÓN ABREVIADA MEDIANTE ACUERDO MARCO DE PRECIOS "/>
    <s v="SUMINISTRO"/>
    <x v="55"/>
    <n v="90"/>
    <s v="Mantenimiento, adecuación, mejoras de escenarios deportivos o equipamientos en el departamento de Antioquia.. - Servicios prestados a las empresas y servicios de producción "/>
    <s v="75"/>
    <s v="0-205128"/>
    <n v="10"/>
    <s v="MESES"/>
    <n v="410"/>
    <s v="NO"/>
    <s v="MARZO"/>
    <s v="MARZO"/>
    <n v="351"/>
    <n v="0"/>
    <s v=""/>
    <n v="0"/>
    <n v="4043676"/>
    <n v="0"/>
    <n v="0"/>
    <s v="4.43.4302.75.0-205128.2.3.2.02.02.008.19."/>
    <n v="52010902"/>
    <s v=""/>
    <s v=""/>
  </r>
  <r>
    <n v="576"/>
    <n v="80141607"/>
    <s v="SUBGERENCIA DE FOMENTO Y DESARROLLO"/>
    <s v="INVERSIÓN"/>
    <x v="5"/>
    <n v="2024003050101"/>
    <x v="31"/>
    <s v="050075"/>
    <n v="90040000"/>
    <s v="CONTRATO INTERADMINISTRATIVO PARA LA REALIZACIÓN DEL ENCUENTRO DEPARTAMENTAL DE GERENTES, DIRECTORES O COORDINADORES DE ENTES DEPORTIVOS MUNICIPALES 2025"/>
    <s v="CONTRATADO"/>
    <s v="DIRECTA"/>
    <s v="CONTRATO INTERADMINISTRATIVO"/>
    <x v="66"/>
    <n v="73"/>
    <s v="Desarrollo y promoción del deporte formativo, la recreación y la actividad física en el departamento Antioquia. - Servicios para la comunidad, sociales y personales"/>
    <s v="01"/>
    <s v="0-205400"/>
    <n v="9"/>
    <s v="MESES"/>
    <n v="411"/>
    <s v="NO"/>
    <s v="MARZO"/>
    <s v="MARZO"/>
    <n v="345"/>
    <s v="ASOCIACIÓN DE ENTES DEPORTIVOS DEL SUROESTE ANTIOQUEÑO"/>
    <s v=""/>
    <n v="0"/>
    <n v="90040000"/>
    <n v="0"/>
    <n v="0"/>
    <s v="3.43.4301.01.0-205400.2.3.2.02.02.009.06."/>
    <n v="52010702"/>
    <s v=""/>
    <s v=""/>
  </r>
  <r>
    <n v="577"/>
    <n v="80131500"/>
    <s v="SUBGERENCIA ADMINISTRATIVA Y FINANCIERA"/>
    <s v="FUNCIONAMIENTO"/>
    <x v="0"/>
    <n v="999999"/>
    <x v="0"/>
    <n v="999999"/>
    <n v="0"/>
    <s v="MODIFICACIÓN No.1 AL COMODATO No. 224 DE 2021 CUYO OBJETO ES: INDEPORTES ANTIOQUIA HACE ENTREGA REAL Y MATERIAL A LA FUNDACIÓN APOYO AL DEPORTISTA ANTIOQUEÑO –ADA, A TÍTULO DE COMODATO, PARA SU USO GRATUITO Y CON CARGO A RESTITUIRLO, EL INMUEBLE CASA HUÉSPEDES, UBICADO EN LA CARRERA 69 # 49 A – 27 DE LA CIUDAD DE MEDELLÍN. "/>
    <s v="NO CONTRATADO"/>
    <s v="MODIFICACIÓN"/>
    <s v="COMODATO"/>
    <x v="32"/>
    <n v="30"/>
    <s v="Servicios prestados a las empresas y servicios de producción "/>
    <s v="00"/>
    <s v="0-205616"/>
    <n v="48"/>
    <s v="MESES"/>
    <s v=""/>
    <s v="NO"/>
    <s v="MARZO"/>
    <s v="MARZO"/>
    <s v=""/>
    <s v=""/>
    <s v=""/>
    <n v="0"/>
    <n v="0"/>
    <n v="0"/>
    <n v="0"/>
    <s v="1.00.0000.00.0-205616.2.1.2.02.02.008.01."/>
    <s v=""/>
    <s v=""/>
    <s v=""/>
  </r>
  <r>
    <n v="578"/>
    <n v="80111600"/>
    <s v="SUBGERENCIA DE ALTOS LOGROS Y DEPORTE ASOCIADO"/>
    <s v="INVERSIÓN"/>
    <x v="14"/>
    <n v="2024003050085"/>
    <x v="59"/>
    <s v="050077"/>
    <n v="14245834"/>
    <s v="PRESTACIÓN DE SERVICIOS DE APOYO A LA GESTIÓN EN EL DESARROLLO DE ACTIVIDADES NECESARIAS PARA EL FUNCIONAMIENTO DE LAS INSTALACIONES DE LA VILLA DEPORTIVA ANTONIO ROLDÁN BETANCUR DE INDEPORTES ANTIOQUIA."/>
    <s v="CONTRATADO"/>
    <s v="DIRECTA"/>
    <s v="PRESTACIÓN DE SERVICIOS PROFESIONALES Y DE APOYO  A  LA GESTIÓN"/>
    <x v="86"/>
    <n v="63"/>
    <s v="Apoyo y subvención para satisfacer necesidades propias del proceso de preparación y competencia de los Atletas y Para-atletas de alto rendimiento del departamento de Antioquia - Servicios prestados a las empresas y servicios de producción "/>
    <s v="85"/>
    <s v="0-205128"/>
    <n v="280"/>
    <s v="DÍAS"/>
    <n v="417"/>
    <s v="NO"/>
    <s v="MARZO"/>
    <s v="MARZO"/>
    <n v="350"/>
    <s v="MARIA MONICA PUERTA JARAMILLO"/>
    <s v=""/>
    <n v="0"/>
    <n v="14245834"/>
    <n v="0"/>
    <n v="0"/>
    <s v="2.43.4302.85.0-205128.2.3.2.02.02.008.11."/>
    <n v="52010803"/>
    <s v=""/>
    <s v=""/>
  </r>
  <r>
    <n v="578"/>
    <n v="80111600"/>
    <s v="SUBGERENCIA DE ALTOS LOGROS Y DEPORTE ASOCIADO"/>
    <s v="INVERSIÓN"/>
    <x v="11"/>
    <n v="2024003050087"/>
    <x v="51"/>
    <s v="050078"/>
    <n v="14245833"/>
    <s v="PRESTACIÓN DE SERVICIOS DE APOYO A LA GESTIÓN EN EL DESARROLLO DE ACTIVIDADES NECESARIAS PARA EL FUNCIONAMIENTO DE LAS INSTALACIONES DE LA VILLA DEPORTIVA ANTONIO ROLDÁN BETANCUR DE INDEPORTES ANTIOQUIA."/>
    <s v="CONTRATADO"/>
    <s v="DIRECTA"/>
    <s v="PRESTACIÓN DE SERVICIOS PROFESIONALES Y DE APOYO  A  LA GESTIÓN"/>
    <x v="77"/>
    <n v="66"/>
    <s v="Fortalecimiento del desarrollo deportivo con miras al alto rendimiento competitivo de los atletas del departamento de Antioquia - Servicios prestados a las empresas y servicios de producción "/>
    <s v="87"/>
    <s v="0-101024"/>
    <n v="280"/>
    <s v="DÍAS"/>
    <n v="417"/>
    <s v="NO"/>
    <s v="MARZO"/>
    <s v="MARZO"/>
    <n v="350"/>
    <s v="MARIA MONICA PUERTA JARAMILLO"/>
    <s v=""/>
    <n v="0"/>
    <n v="14245833"/>
    <n v="0"/>
    <n v="0"/>
    <s v="2.43.4302.87.0-101024.2.3.2.02.02.008.12."/>
    <n v="52010805"/>
    <s v=""/>
    <s v=""/>
  </r>
  <r>
    <s v="D"/>
    <n v="80111600"/>
    <s v="SUBGERENCIA DE ALTOS LOGROS Y DEPORTE ASOCIADO"/>
    <s v="INVERSIÓN"/>
    <x v="12"/>
    <n v="2024003050103"/>
    <x v="55"/>
    <s v="050080"/>
    <n v="24252800"/>
    <s v="DISPONIBLE PRESTACIÓN DE SERVICIOS "/>
    <s v="NO CONTRATADO"/>
    <s v="N/A"/>
    <s v="N/A"/>
    <x v="81"/>
    <n v="59"/>
    <s v="Asesoria médica y de ciencias aplicadas al desarrollo del rendimiento deportivo de atletas y para-atletas de Antioquia -Servicios prestados a las empresas y servicios de producción "/>
    <s v="03"/>
    <s v="0-205128"/>
    <s v="N/A"/>
    <s v="N/A"/>
    <s v=""/>
    <s v="NO"/>
    <s v="N/A"/>
    <s v="N/A"/>
    <s v=""/>
    <s v=""/>
    <s v=""/>
    <n v="0"/>
    <n v="24252800"/>
    <n v="0"/>
    <n v="0"/>
    <s v="2.43.4302.03.0-205128.2.3.2.02.02.008.10."/>
    <n v="52010804"/>
    <s v=""/>
    <s v=""/>
  </r>
  <r>
    <n v="607"/>
    <n v="80111600"/>
    <s v="SUBGERENCIA DE ALTOS LOGROS Y DEPORTE ASOCIADO"/>
    <s v="INVERSIÓN"/>
    <x v="12"/>
    <n v="2024003050103"/>
    <x v="55"/>
    <s v="050080"/>
    <n v="71191840"/>
    <s v="PRESTACIÓN DE SERVICIOS PROFESIONALES COMO FISIOTERAPEUTA PARA INDEPORTES ANTIOQUIA EN LOS SIGUIENTES DEPORTES: PARA ESGRIMA, PARA ARQUERÍA, TIRO PARADEPORTIVO, PARA FUTBOL 11, PARA FUTBOL 5, PARA FUTBOL 7 Y PARA FUTBOL SALA."/>
    <s v="CONTRATADO"/>
    <s v="DIRECTA"/>
    <s v="PRESTACIÓN DE SERVICIOS PROFESIONALES Y DE APOYO  A  LA GESTIÓN"/>
    <x v="82"/>
    <n v="60"/>
    <s v="Asesoria médica y de ciencias aplicadas al desarrollo del rendimiento deportivo de atletas y para-atletas de Antioquia -Servicios para la comunidad, sociales y personales"/>
    <s v="03"/>
    <s v="0-205128"/>
    <n v="284"/>
    <s v="DÍAS"/>
    <n v="456"/>
    <s v="NO"/>
    <s v="ABRIL"/>
    <s v="ABRIL"/>
    <n v="371"/>
    <s v="ALEJANDRO MEJIA CASTAÑEDA"/>
    <s v=""/>
    <n v="0"/>
    <n v="71191840"/>
    <n v="0"/>
    <n v="0"/>
    <s v="2.43.4302.03.0-205128.2.3.2.02.02.009.02."/>
    <n v="52010804"/>
    <s v=""/>
    <s v=""/>
  </r>
  <r>
    <s v="D"/>
    <n v="80111600"/>
    <s v="SUBGERENCIA DE ALTOS LOGROS Y DEPORTE ASOCIADO"/>
    <s v="INVERSIÓN"/>
    <x v="12"/>
    <n v="2024003050103"/>
    <x v="55"/>
    <s v="050080"/>
    <n v="352198754"/>
    <s v="DISPONIBLE PRESTACIÓN DE SERVICIOS "/>
    <s v="NO CONTRATADO"/>
    <s v="N/A"/>
    <s v="N/A"/>
    <x v="82"/>
    <n v="60"/>
    <s v="Asesoria médica y de ciencias aplicadas al desarrollo del rendimiento deportivo de atletas y para-atletas de Antioquia -Servicios para la comunidad, sociales y personales"/>
    <s v="03"/>
    <s v="0-205128"/>
    <s v="N/A"/>
    <s v="N/A"/>
    <s v=""/>
    <s v="NO"/>
    <s v="N/A"/>
    <s v="N/A"/>
    <s v=""/>
    <s v=""/>
    <s v=""/>
    <n v="0"/>
    <n v="352198754"/>
    <n v="0"/>
    <n v="0"/>
    <s v="2.43.4302.03.0-205128.2.3.2.02.02.009.02."/>
    <n v="52010804"/>
    <s v=""/>
    <s v=""/>
  </r>
  <r>
    <s v="D"/>
    <n v="80111600"/>
    <s v="SUBGERENCIA DE FOMENTO Y DESARROLLO"/>
    <s v="INVERSIÓN"/>
    <x v="8"/>
    <n v="2024003050073"/>
    <x v="44"/>
    <s v="050081"/>
    <n v="6419343"/>
    <s v="DISPONIBLE PS JDI"/>
    <s v="NO CONTRATADO"/>
    <s v="DIRECTA"/>
    <s v="PRESTACIÓN DE SERVICIOS PROFESIONALES Y DE APOYO  A  LA GESTIÓN"/>
    <x v="71"/>
    <n v="82"/>
    <s v="Fortalecimiento de los juegos deportivos institucionales en los municipios del departamento de Antioquia - Servicios para la comunidad, sociales y personales"/>
    <s v="73"/>
    <s v="0-205128"/>
    <n v="10"/>
    <s v="MESES"/>
    <s v=""/>
    <s v="NO"/>
    <s v="FEBRERO"/>
    <s v="FEBRERO"/>
    <s v=""/>
    <s v=""/>
    <s v=""/>
    <n v="0"/>
    <n v="6419343"/>
    <n v="0"/>
    <n v="0"/>
    <s v="3.43.4301.73.0-205128.2.3.2.02.02.009.10."/>
    <n v="52010703"/>
    <s v=""/>
    <s v=""/>
  </r>
  <r>
    <s v="D"/>
    <n v="80111600"/>
    <s v="SUBGERENCIA DE FOMENTO Y DESARROLLO"/>
    <s v="INVERSIÓN"/>
    <x v="5"/>
    <n v="2024003050101"/>
    <x v="34"/>
    <s v="050075"/>
    <n v="0"/>
    <s v="N/A"/>
    <s v="NO CONTRATADO"/>
    <s v="N/A"/>
    <s v="N/A"/>
    <x v="66"/>
    <n v="73"/>
    <s v="Desarrollo y promoción del deporte formativo, la recreación y la actividad física en el departamento Antioquia. - Servicios para la comunidad, sociales y personales"/>
    <s v="01"/>
    <s v="0-205400"/>
    <s v="N/A"/>
    <s v="N/A"/>
    <s v=""/>
    <s v="NO"/>
    <s v="N/A"/>
    <s v="N/A"/>
    <s v=""/>
    <s v=""/>
    <s v=""/>
    <n v="0"/>
    <n v="0"/>
    <n v="0"/>
    <n v="0"/>
    <s v="3.43.4301.01.0-205400.2.3.2.02.02.009.06."/>
    <n v="52010702"/>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9143580"/>
    <s v="DISPONIBLE PS APOYO ADMINISTRATIVO Y FINANCIER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9143580"/>
    <n v="0"/>
    <n v="0"/>
    <s v="3.43.4301.01.0-205128.2.3.2.02.02.008.14."/>
    <n v="52010702"/>
    <s v=""/>
    <s v=""/>
  </r>
  <r>
    <s v="D"/>
    <n v="80111600"/>
    <s v="SUBGERENCIA DE FOMENTO Y DESARROLLO"/>
    <s v="INVERSIÓN"/>
    <x v="6"/>
    <n v="2024003050100"/>
    <x v="27"/>
    <s v="050071"/>
    <n v="9143580"/>
    <s v="DISPONIBLE PS APOYO ADMINISTRATIVO Y FINANCIER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9143580"/>
    <n v="0"/>
    <n v="0"/>
    <s v="3.43.4301.10.0-101024.2.3.2.02.02.008.15."/>
    <n v="52010705"/>
    <s v=""/>
    <s v=""/>
  </r>
  <r>
    <s v="D"/>
    <n v="80111600"/>
    <s v="SUBGERENCIA DE FOMENTO Y DESARROLLO"/>
    <s v="INVERSIÓN"/>
    <x v="7"/>
    <n v="2024003050072"/>
    <x v="28"/>
    <s v="050072"/>
    <n v="9143558"/>
    <s v="DISPONIBLE PS APOYO ADMINISTRATIVO Y FINANCIER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9143558"/>
    <n v="0"/>
    <n v="0"/>
    <s v="3.43.4301.72.0-205128.2.3.2.02.02.008.16."/>
    <n v="52010704"/>
    <s v=""/>
    <s v=""/>
  </r>
  <r>
    <s v="D"/>
    <n v="80111600"/>
    <s v="SUBGERENCIA DE FOMENTO Y DESARROLLO"/>
    <s v="INVERSIÓN"/>
    <x v="8"/>
    <n v="2024003050073"/>
    <x v="29"/>
    <s v="050081"/>
    <n v="9143591"/>
    <s v="DISPONIBLE PS APOYO ADMINISTRATIVO Y FINANCIER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9143591"/>
    <n v="0"/>
    <n v="0"/>
    <s v="3.43.4301.73.0-205128.2.3.2.02.02.008.17."/>
    <n v="52010703"/>
    <s v=""/>
    <s v=""/>
  </r>
  <r>
    <s v="D"/>
    <n v="80111600"/>
    <s v="SUBGERENCIA DE FOMENTO Y DESARROLLO"/>
    <s v="INVERSIÓN"/>
    <x v="9"/>
    <n v="2024003050074"/>
    <x v="30"/>
    <s v="050073"/>
    <n v="4143580"/>
    <s v="DISPONIBLE PS APOYO ADMINISTRATIVO Y FINANCIER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4143580"/>
    <n v="0"/>
    <n v="0"/>
    <s v="3.43.4301.74.0-101024.2.3.2.02.02.008.18."/>
    <n v="52010701"/>
    <s v=""/>
    <s v=""/>
  </r>
  <r>
    <s v="D"/>
    <n v="80111600"/>
    <s v="SUBGERENCIA DE FOMENTO Y DESARROLLO"/>
    <s v="INVERSIÓN"/>
    <x v="5"/>
    <n v="2024003050101"/>
    <x v="26"/>
    <s v="050075"/>
    <n v="0"/>
    <s v="N/A"/>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0"/>
    <n v="0"/>
    <n v="0"/>
    <s v="3.43.4301.01.0-205128.2.3.2.02.02.008.14."/>
    <n v="52010702"/>
    <s v=""/>
    <s v=""/>
  </r>
  <r>
    <s v="D"/>
    <n v="80111600"/>
    <s v="SUBGERENCIA DE FOMENTO Y DESARROLLO"/>
    <s v="INVERSIÓN"/>
    <x v="6"/>
    <n v="2024003050100"/>
    <x v="27"/>
    <s v="050071"/>
    <n v="0"/>
    <s v="N/A"/>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0"/>
    <n v="0"/>
    <n v="0"/>
    <s v="3.43.4301.10.0-101024.2.3.2.02.02.008.15."/>
    <n v="52010705"/>
    <s v=""/>
    <s v=""/>
  </r>
  <r>
    <s v="D"/>
    <n v="80111600"/>
    <s v="SUBGERENCIA DE FOMENTO Y DESARROLLO"/>
    <s v="INVERSIÓN"/>
    <x v="7"/>
    <n v="2024003050072"/>
    <x v="28"/>
    <s v="050072"/>
    <n v="0"/>
    <s v="N/A"/>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0"/>
    <n v="0"/>
    <n v="0"/>
    <s v="3.43.4301.72.0-205128.2.3.2.02.02.008.16."/>
    <n v="52010704"/>
    <s v=""/>
    <s v=""/>
  </r>
  <r>
    <s v="D"/>
    <n v="80111600"/>
    <s v="SUBGERENCIA DE FOMENTO Y DESARROLLO"/>
    <s v="INVERSIÓN"/>
    <x v="8"/>
    <n v="2024003050073"/>
    <x v="29"/>
    <s v="050081"/>
    <n v="0"/>
    <s v="N/A"/>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0"/>
    <n v="0"/>
    <n v="0"/>
    <s v="3.43.4301.73.0-205128.2.3.2.02.02.008.17."/>
    <n v="52010703"/>
    <s v=""/>
    <s v=""/>
  </r>
  <r>
    <s v="D"/>
    <n v="80111600"/>
    <s v="SUBGERENCIA DE FOMENTO Y DESARROLLO"/>
    <s v="INVERSIÓN"/>
    <x v="9"/>
    <n v="2024003050074"/>
    <x v="30"/>
    <s v="050073"/>
    <n v="0"/>
    <s v="N/A"/>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0"/>
    <n v="0"/>
    <n v="0"/>
    <s v="3.43.4301.74.0-101024.2.3.2.02.02.008.18."/>
    <n v="52010701"/>
    <s v=""/>
    <s v=""/>
  </r>
  <r>
    <s v="D"/>
    <n v="80111600"/>
    <s v="SUBGERENCIA DE FOMENTO Y DESARROLLO"/>
    <s v="INVERSIÓN"/>
    <x v="5"/>
    <n v="2024003050101"/>
    <x v="26"/>
    <s v="050075"/>
    <n v="9072734"/>
    <s v="DISPONIBLE PS APOYO JURÍD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9072734"/>
    <n v="0"/>
    <n v="0"/>
    <s v="3.43.4301.01.0-205128.2.3.2.02.02.008.14."/>
    <n v="52010702"/>
    <s v=""/>
    <s v=""/>
  </r>
  <r>
    <s v="D"/>
    <n v="80111600"/>
    <s v="SUBGERENCIA DE FOMENTO Y DESARROLLO"/>
    <s v="INVERSIÓN"/>
    <x v="6"/>
    <n v="2024003050100"/>
    <x v="27"/>
    <s v="050071"/>
    <n v="9072734"/>
    <s v="DISPONIBLE PS APOYO JURÍD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9072734"/>
    <n v="0"/>
    <n v="0"/>
    <s v="3.43.4301.10.0-101024.2.3.2.02.02.008.15."/>
    <n v="52010705"/>
    <s v=""/>
    <s v=""/>
  </r>
  <r>
    <s v="D"/>
    <n v="80111600"/>
    <s v="SUBGERENCIA DE FOMENTO Y DESARROLLO"/>
    <s v="INVERSIÓN"/>
    <x v="7"/>
    <n v="2024003050072"/>
    <x v="28"/>
    <s v="050072"/>
    <n v="9072710"/>
    <s v="DISPONIBLE PS APOYO JURÍD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9072710"/>
    <n v="0"/>
    <n v="0"/>
    <s v="3.43.4301.72.0-205128.2.3.2.02.02.008.16."/>
    <n v="52010704"/>
    <s v=""/>
    <s v=""/>
  </r>
  <r>
    <s v="D"/>
    <n v="80111600"/>
    <s v="SUBGERENCIA DE FOMENTO Y DESARROLLO"/>
    <s v="INVERSIÓN"/>
    <x v="8"/>
    <n v="2024003050073"/>
    <x v="29"/>
    <s v="050081"/>
    <n v="9072734"/>
    <s v="DISPONIBLE PS APOYO JURÍD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9072734"/>
    <n v="0"/>
    <n v="0"/>
    <s v="3.43.4301.73.0-205128.2.3.2.02.02.008.17."/>
    <n v="52010703"/>
    <s v=""/>
    <s v=""/>
  </r>
  <r>
    <s v="D"/>
    <n v="80111600"/>
    <s v="SUBGERENCIA DE FOMENTO Y DESARROLLO"/>
    <s v="INVERSIÓN"/>
    <x v="9"/>
    <n v="2024003050074"/>
    <x v="30"/>
    <s v="050073"/>
    <n v="9072734"/>
    <s v="DISPONIBLE PS APOYO JURÍD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9072734"/>
    <n v="0"/>
    <n v="0"/>
    <s v="3.43.4301.74.0-101024.2.3.2.02.02.008.18."/>
    <n v="52010701"/>
    <s v=""/>
    <s v=""/>
  </r>
  <r>
    <s v="D"/>
    <n v="80111600"/>
    <s v="SUBGERENCIA DE FOMENTO Y DESARROLLO"/>
    <s v="INVERSIÓN"/>
    <x v="5"/>
    <n v="2024003050101"/>
    <x v="26"/>
    <s v="050075"/>
    <n v="8031874"/>
    <s v="DISPONIBLE PS TÁCTICO ESTRATÉGIC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8031874"/>
    <n v="0"/>
    <n v="0"/>
    <s v="3.43.4301.01.0-205128.2.3.2.02.02.008.14."/>
    <n v="52010702"/>
    <s v=""/>
    <s v=""/>
  </r>
  <r>
    <s v="D"/>
    <n v="80111600"/>
    <s v="SUBGERENCIA DE FOMENTO Y DESARROLLO"/>
    <s v="INVERSIÓN"/>
    <x v="6"/>
    <n v="2024003050100"/>
    <x v="27"/>
    <s v="050071"/>
    <n v="8031874"/>
    <s v="DISPONIBLE PS TÁCTICO ESTRATÉGIC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8031874"/>
    <n v="0"/>
    <n v="0"/>
    <s v="3.43.4301.10.0-101024.2.3.2.02.02.008.15."/>
    <n v="52010705"/>
    <s v=""/>
    <s v=""/>
  </r>
  <r>
    <s v="D"/>
    <n v="80111600"/>
    <s v="SUBGERENCIA DE FOMENTO Y DESARROLLO"/>
    <s v="INVERSIÓN"/>
    <x v="7"/>
    <n v="2024003050072"/>
    <x v="28"/>
    <s v="050072"/>
    <n v="8031863"/>
    <s v="DISPONIBLE PS TÁCTICO ESTRATÉGIC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8031863"/>
    <n v="0"/>
    <n v="0"/>
    <s v="3.43.4301.72.0-205128.2.3.2.02.02.008.16."/>
    <n v="52010704"/>
    <s v=""/>
    <s v=""/>
  </r>
  <r>
    <s v="D"/>
    <n v="80111600"/>
    <s v="SUBGERENCIA DE FOMENTO Y DESARROLLO"/>
    <s v="INVERSIÓN"/>
    <x v="8"/>
    <n v="2024003050073"/>
    <x v="29"/>
    <s v="050081"/>
    <n v="8031874"/>
    <s v="DISPONIBLE PS TÁCTICO ESTRATÉGIC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8031874"/>
    <n v="0"/>
    <n v="0"/>
    <s v="3.43.4301.73.0-205128.2.3.2.02.02.008.17."/>
    <n v="52010703"/>
    <s v=""/>
    <s v=""/>
  </r>
  <r>
    <s v="D"/>
    <n v="80111600"/>
    <s v="SUBGERENCIA DE FOMENTO Y DESARROLLO"/>
    <s v="INVERSIÓN"/>
    <x v="9"/>
    <n v="2024003050074"/>
    <x v="30"/>
    <s v="050073"/>
    <n v="8031874"/>
    <s v="DISPONIBLE PS TÁCTICO ESTRATÉGIC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8031874"/>
    <n v="0"/>
    <n v="0"/>
    <s v="3.43.4301.74.0-101024.2.3.2.02.02.008.18."/>
    <n v="52010701"/>
    <s v=""/>
    <s v=""/>
  </r>
  <r>
    <s v="D"/>
    <n v="80111600"/>
    <s v="SUBGERENCIA DE FOMENTO Y DESARROLLO"/>
    <s v="INVERSIÓN"/>
    <x v="5"/>
    <n v="2024003050101"/>
    <x v="26"/>
    <s v="050075"/>
    <n v="8031874"/>
    <s v="DISPONIBLE PS APOYO TÉCNICO ADMINISTRATIVO FOMENTO"/>
    <s v="NO CONTRATADO"/>
    <s v="DIRECTA"/>
    <s v="PRESTACIÓN DE SERVICIOS PROFESIONALES Y DE APOYO  A  LA GESTIÓN"/>
    <x v="61"/>
    <n v="70"/>
    <s v="Desarrollo y promoción del deporte formativo, la recreación y la actividad física en el departamento Antioquia - Servicios prestados a las empresas y servicios de producción "/>
    <s v="01"/>
    <s v="0-205128"/>
    <n v="11.5"/>
    <s v="MESES"/>
    <s v=""/>
    <s v="NO"/>
    <s v="ENERO "/>
    <s v="ENERO "/>
    <s v=""/>
    <s v=""/>
    <s v=""/>
    <n v="0"/>
    <n v="8031874"/>
    <n v="0"/>
    <n v="0"/>
    <s v="3.43.4301.01.0-205128.2.3.2.02.02.008.14."/>
    <n v="52010702"/>
    <s v=""/>
    <s v=""/>
  </r>
  <r>
    <s v="D"/>
    <n v="80111600"/>
    <s v="SUBGERENCIA DE FOMENTO Y DESARROLLO"/>
    <s v="INVERSIÓN"/>
    <x v="6"/>
    <n v="2024003050100"/>
    <x v="27"/>
    <s v="050071"/>
    <n v="8031874"/>
    <s v="DISPONIBLE PS APOYO TÉCNICO ADMINISTRATIVO FOMENTO"/>
    <s v="NO CONTRATADO"/>
    <s v="DIRECTA"/>
    <s v="PRESTACIÓN DE SERVICIOS PROFESIONALES Y DE APOYO  A  LA GESTIÓN"/>
    <x v="62"/>
    <n v="74"/>
    <s v="Asesoria y acompañamiento institucional para el deporte formativo, la recreación y la actividad física en el departamento de Antioquia. - Servicios prestados a las empresas y servicios de producción "/>
    <s v="10"/>
    <s v="0-101024"/>
    <n v="11.5"/>
    <s v="MESES"/>
    <s v=""/>
    <s v="NO"/>
    <s v="ENERO "/>
    <s v="ENERO "/>
    <s v=""/>
    <s v=""/>
    <s v=""/>
    <n v="0"/>
    <n v="8031874"/>
    <n v="0"/>
    <n v="0"/>
    <s v="3.43.4301.10.0-101024.2.3.2.02.02.008.15."/>
    <n v="52010705"/>
    <s v=""/>
    <s v=""/>
  </r>
  <r>
    <s v="D"/>
    <n v="80111600"/>
    <s v="SUBGERENCIA DE FOMENTO Y DESARROLLO"/>
    <s v="INVERSIÓN"/>
    <x v="7"/>
    <n v="2024003050072"/>
    <x v="28"/>
    <s v="050072"/>
    <n v="8031863"/>
    <s v="DISPONIBLE PS APOYO TÉCNICO ADMINISTRATIVO FOMENTO"/>
    <s v="NO CONTRATADO"/>
    <s v="DIRECTA"/>
    <s v="PRESTACIÓN DE SERVICIOS PROFESIONALES Y DE APOYO  A  LA GESTIÓN"/>
    <x v="63"/>
    <n v="78"/>
    <s v="Capacitación para el sector del deporte, la recreación y la actividad física en el Departamento de   Antioquia - Servicios prestados a las empresas y servicios de producción "/>
    <s v="72"/>
    <s v="0-205128"/>
    <n v="11.5"/>
    <s v="MESES"/>
    <s v=""/>
    <s v="NO"/>
    <s v="ENERO "/>
    <s v="ENERO "/>
    <s v=""/>
    <s v=""/>
    <s v=""/>
    <n v="0"/>
    <n v="8031863"/>
    <n v="0"/>
    <n v="0"/>
    <s v="3.43.4301.72.0-205128.2.3.2.02.02.008.16."/>
    <n v="52010704"/>
    <s v=""/>
    <s v=""/>
  </r>
  <r>
    <s v="D"/>
    <n v="80111600"/>
    <s v="SUBGERENCIA DE FOMENTO Y DESARROLLO"/>
    <s v="INVERSIÓN"/>
    <x v="8"/>
    <n v="2024003050073"/>
    <x v="29"/>
    <s v="050081"/>
    <n v="8031874"/>
    <s v="DISPONIBLE PS APOYO TÉCNICO ADMINISTRATIVO FOMENTO"/>
    <s v="NO CONTRATADO"/>
    <s v="DIRECTA"/>
    <s v="PRESTACIÓN DE SERVICIOS PROFESIONALES Y DE APOYO  A  LA GESTIÓN"/>
    <x v="64"/>
    <n v="81"/>
    <s v="Fortalecimiento de los juegos deportivos institucionales en los municipios del departamento de Antioquia - Servicios prestados a las empresas y servicios de producción "/>
    <s v="73"/>
    <s v="0-205128"/>
    <n v="11.5"/>
    <s v="MESES"/>
    <s v=""/>
    <s v="NO"/>
    <s v="ENERO "/>
    <s v="ENERO "/>
    <s v=""/>
    <s v=""/>
    <s v=""/>
    <n v="0"/>
    <n v="8031874"/>
    <n v="0"/>
    <n v="0"/>
    <s v="3.43.4301.73.0-205128.2.3.2.02.02.008.17."/>
    <n v="52010703"/>
    <s v=""/>
    <s v=""/>
  </r>
  <r>
    <s v="D"/>
    <n v="80141607"/>
    <s v="SUBGERENCIA DE FOMENTO Y DESARROLLO"/>
    <s v="INVERSIÓN"/>
    <x v="8"/>
    <n v="2024003050073"/>
    <x v="45"/>
    <s v="050081"/>
    <n v="4112850329"/>
    <s v="DISPONIBLE JUEGOS INTERCOLEGIADOS (TASA PRODEPORTE)"/>
    <s v="NO CONTRATADO"/>
    <s v="DIRECTA"/>
    <s v="CONVENIO INTERADMINISTRATIVO"/>
    <x v="72"/>
    <n v="83"/>
    <s v="Fortalecimiento de los juegos deportivos institucionales en los municipios del departamento de Antioquia - Servicios para la comunidad, sociales y personales"/>
    <s v="73"/>
    <s v="0-205400"/>
    <n v="9.5"/>
    <s v="MESES"/>
    <s v=""/>
    <s v="NO"/>
    <s v="MARZO"/>
    <s v="MARZO"/>
    <s v=""/>
    <s v=""/>
    <s v=""/>
    <n v="0"/>
    <n v="4112850329"/>
    <n v="0"/>
    <n v="0"/>
    <s v="3.43.4301.73.0-205400.2.3.2.02.02.009.11."/>
    <n v="52010703"/>
    <s v=""/>
    <s v=""/>
  </r>
  <r>
    <s v="D"/>
    <n v="80141607"/>
    <s v="SUBGERENCIA DE FOMENTO Y DESARROLLO"/>
    <s v="INVERSIÓN"/>
    <x v="8"/>
    <n v="2024003050073"/>
    <x v="43"/>
    <s v="050081"/>
    <n v="5112266888"/>
    <s v="DISPONIBLE JDI"/>
    <s v="NO CONTRATADO"/>
    <s v="DIRECTA"/>
    <s v="CONVENIO INTERADMINISTRATIVO"/>
    <x v="98"/>
    <n v="98"/>
    <s v="Fortalecimiento De Los Juegos Deportivos institucionales En Los   Municipios Del Departamento De Antioquia -  Servicios Para La Comunidad, Sociales Y   Personales"/>
    <s v="73"/>
    <s v="0-205400"/>
    <n v="9.5"/>
    <s v="MESES"/>
    <s v=""/>
    <s v="NO"/>
    <s v="MARZO"/>
    <s v="MARZO"/>
    <s v=""/>
    <s v=""/>
    <s v=""/>
    <n v="0"/>
    <n v="5112266888"/>
    <n v="0"/>
    <n v="0"/>
    <s v="3.43.4301.73.0-205400.2.3.2.02.02.009.12."/>
    <n v="52010703"/>
    <s v=""/>
    <s v=""/>
  </r>
  <r>
    <s v="D"/>
    <s v="49221500_x000a_95122306"/>
    <s v="SUBGERENCIA DE FOMENTO Y DESARROLLO"/>
    <s v="INVERSIÓN"/>
    <x v="9"/>
    <n v="2024003050074"/>
    <x v="49"/>
    <s v="050073"/>
    <n v="1057008604"/>
    <s v="DIPONIBLE DOTACIÓN DE IMPLEMENTACIÓN"/>
    <s v="NO CONTRATADO"/>
    <s v="SELECCIÓN ABREVIADA MEDIANTE SUBASTA INVERSA "/>
    <s v="SUMINISTRO"/>
    <x v="99"/>
    <n v="99"/>
    <s v="Cofinanciación De Dotación de Implementación Para El Deporte La Recreación Y A La Actividad Física En El Departamento De Antioquia -Otros Bienes Transportables (Excepto Productos"/>
    <s v="74"/>
    <s v="0-205400"/>
    <n v="9.5"/>
    <s v="MESES"/>
    <s v=""/>
    <s v="NO"/>
    <s v="MARZO"/>
    <s v="MARZO"/>
    <s v=""/>
    <s v=""/>
    <s v=""/>
    <n v="0"/>
    <n v="1057008604"/>
    <n v="0"/>
    <n v="0"/>
    <s v="3.43.4301.74.0-205400.2.3.2.02.01.003.05."/>
    <n v="52010701"/>
    <s v=""/>
    <s v=""/>
  </r>
  <r>
    <s v="D"/>
    <n v="80111600"/>
    <s v="SUBGERENCIA DE FOMENTO Y DESARROLLO"/>
    <s v="INVERSIÓN"/>
    <x v="9"/>
    <n v="2024003050074"/>
    <x v="30"/>
    <s v="050073"/>
    <n v="8031874"/>
    <s v="DISPONIBLE PS APOYO TÉCNICO ADMINISTRATIVO FOMENTO"/>
    <s v="NO CONTRATADO"/>
    <s v="DIRECTA"/>
    <s v="PRESTACIÓN DE SERVICIOS PROFESIONALES Y DE APOYO  A  LA GESTIÓN"/>
    <x v="65"/>
    <n v="85"/>
    <s v="Cofinanciación de dotación de implementación para el deporte la recreación y a la actividad física en el departamento de Antioquia - Servicios prestados a las empresas y servicios de producción "/>
    <s v="74"/>
    <s v="0-101024"/>
    <n v="11.5"/>
    <s v="MESES"/>
    <s v=""/>
    <s v="NO"/>
    <s v="ENERO "/>
    <s v="ENERO "/>
    <s v=""/>
    <s v=""/>
    <s v=""/>
    <n v="0"/>
    <n v="8031874"/>
    <n v="0"/>
    <n v="0"/>
    <s v="3.43.4301.74.0-101024.2.3.2.02.02.008.18."/>
    <n v="52010701"/>
    <s v=""/>
    <s v=""/>
  </r>
  <r>
    <s v="D"/>
    <s v="N/A"/>
    <s v="SUBGERENCIA ADMINISTRATIVA Y FINANCIERA"/>
    <s v="FUNCIONAMIENTO"/>
    <x v="0"/>
    <n v="999999"/>
    <x v="0"/>
    <n v="999999"/>
    <n v="157750014"/>
    <s v="DISPONIBLE PRESTACIÓN DE SERVICIOS - FUNCIONAMIENTO"/>
    <s v="NO CONTRATADO"/>
    <s v="DIRECTA"/>
    <s v="PRESTACIÓN DE SERVICIOS PROFESIONALES Y DE APOYO  A  LA GESTIÓN"/>
    <x v="32"/>
    <n v="30"/>
    <s v="Servicios prestados a las empresas y servicios de producción "/>
    <s v="00"/>
    <s v="0-205616"/>
    <s v="N/A"/>
    <s v="N/A"/>
    <s v=""/>
    <s v="NO"/>
    <s v="ENERO "/>
    <s v="ENERO "/>
    <s v=""/>
    <s v=""/>
    <s v=""/>
    <n v="0"/>
    <n v="157750014"/>
    <n v="0"/>
    <n v="0"/>
    <s v="1.00.0000.00.0-205616.2.1.2.02.02.008.01."/>
    <s v=""/>
    <s v=""/>
    <s v=""/>
  </r>
  <r>
    <s v="D"/>
    <n v="80111600"/>
    <s v="SUBGERENCIA DE ALTOS LOGROS Y DEPORTE ASOCIADO"/>
    <s v="INVERSIÓN"/>
    <x v="10"/>
    <n v="2024003050102"/>
    <x v="52"/>
    <s v="050076"/>
    <n v="172466712"/>
    <s v="DISPONIBLE PARA PRESTACIÓN DE SERVICIOS "/>
    <s v="NO CONTRATADO"/>
    <s v="N/A"/>
    <s v="N/A"/>
    <x v="78"/>
    <n v="56"/>
    <s v="Apoyo económico a las organizaciones deportivas que representan en competencias al departamento de Antioquia - Servicios prestados a las empresas y servicios de producción "/>
    <s v="02"/>
    <s v="0-205128"/>
    <s v="N/A"/>
    <s v="N/A"/>
    <s v=""/>
    <s v="NO"/>
    <s v="N/A"/>
    <s v="N/A"/>
    <s v=""/>
    <s v=""/>
    <s v=""/>
    <n v="0"/>
    <n v="172466712"/>
    <n v="0"/>
    <n v="0"/>
    <s v="2.43.4301.02.0-205128.2.3.2.02.02.008.09."/>
    <n v="52010801"/>
    <s v=""/>
    <s v=""/>
  </r>
  <r>
    <s v="D"/>
    <n v="80111600"/>
    <s v="SUBGERENCIA DE ALTOS LOGROS Y DEPORTE ASOCIADO"/>
    <s v="INVERSIÓN"/>
    <x v="13"/>
    <n v="2024003050084"/>
    <x v="56"/>
    <s v="050079"/>
    <n v="155282940"/>
    <s v="DISPONIBLE PRESTACIÓN DE SERVICIOS ENTRENADORES "/>
    <s v="NO CONTRATADO"/>
    <s v="N/A"/>
    <s v="N/A"/>
    <x v="83"/>
    <n v="62"/>
    <s v="Apoyo técnico a atletas y para-atletas que representan en alto rendimiento deportivo al departamento de Antioquia. - Servicios para la comunidad, sociales y personales"/>
    <s v="84"/>
    <s v="0-205400"/>
    <s v="N/A"/>
    <s v="N/A"/>
    <s v=""/>
    <s v="NO"/>
    <s v="N/A"/>
    <s v="N/A"/>
    <s v=""/>
    <s v=""/>
    <s v=""/>
    <n v="0"/>
    <n v="155282940"/>
    <n v="0"/>
    <n v="0"/>
    <s v="2.43.4302.84.0-205400.2.3.2.02.02.009.03."/>
    <n v="52010802"/>
    <s v=""/>
    <s v=""/>
  </r>
  <r>
    <n v="579"/>
    <n v="80111600"/>
    <s v="SUBGERENCIA DE ALTOS LOGROS Y DEPORTE ASOCIADO"/>
    <s v="INVERSIÓN"/>
    <x v="13"/>
    <n v="2024003050084"/>
    <x v="56"/>
    <s v="050079"/>
    <n v="11618077"/>
    <s v="ADICIÓN 1 AL CONTRATO 210 DE 2025 CUYO OBJETO ES: PRESTACIÓN DE SERVICIOS DE UN ENTRENADOR PRINCIPAL PARA LA REALIZACIÓN DEL PROCESO DE SELECCIÓN, ENTRENAMIENTO DEPORTIVO Y PARTICIPACIÓN EN COMPETENCIAS EN LA LIGA ANTIOQUEÑA DE LUCHA EN LA MODALIDAD LIBRE, EN CATEGORÍAS DE JUEGOS NACIONALES."/>
    <s v="CONTRATADO"/>
    <s v="DIRECTA"/>
    <s v="PRESTACIÓN DE SERVICIOS PROFESIONALES Y DE APOYO  A  LA GESTIÓN"/>
    <x v="84"/>
    <n v="61"/>
    <s v="Apoyo técnico a atletas y para-atletas que representan en alto rendimiento deportivo al departamento de Antioquia. - Servicios para la comunidad, sociales y personales"/>
    <s v="84"/>
    <s v="0-205128"/>
    <n v="9"/>
    <s v="MESES"/>
    <n v="424"/>
    <s v="NO"/>
    <s v="MARZO"/>
    <s v="MARZO"/>
    <n v="210"/>
    <s v="DAVID GUTIERREZ PUENTES "/>
    <s v=""/>
    <n v="0"/>
    <n v="11618077"/>
    <n v="0"/>
    <n v="0"/>
    <s v="2.43.4302.84.0-205128.2.3.2.02.02.009.04."/>
    <n v="52010802"/>
    <s v=""/>
    <s v=""/>
  </r>
  <r>
    <s v="D"/>
    <n v="80111600"/>
    <s v="SUBGERENCIA DE ALTOS LOGROS Y DEPORTE ASOCIADO"/>
    <s v="INVERSIÓN"/>
    <x v="13"/>
    <n v="2024003050084"/>
    <x v="56"/>
    <s v="050079"/>
    <n v="917789"/>
    <s v="DISPONIBLE PRESTACIÓN DE SERVICIOS ENTRENADORES "/>
    <s v="NO CONTRATADO"/>
    <s v="N/A"/>
    <s v="N/A"/>
    <x v="84"/>
    <n v="61"/>
    <s v="Apoyo técnico a atletas y para-atletas que representan en alto rendimiento deportivo al departamento de Antioquia. - Servicios para la comunidad, sociales y personales"/>
    <s v="84"/>
    <s v="0-205128"/>
    <s v="N/A"/>
    <s v="N/A"/>
    <s v=""/>
    <s v="NO"/>
    <s v="N/A"/>
    <s v="N/A"/>
    <s v=""/>
    <s v=""/>
    <s v=""/>
    <n v="0"/>
    <n v="917789"/>
    <n v="0"/>
    <n v="0"/>
    <s v="2.43.4302.84.0-205128.2.3.2.02.02.009.04."/>
    <n v="52010802"/>
    <s v=""/>
    <s v=""/>
  </r>
  <r>
    <s v="D"/>
    <n v="80111600"/>
    <s v="SUBGERENCIA DE ALTOS LOGROS Y DEPORTE ASOCIADO"/>
    <s v="INVERSIÓN"/>
    <x v="14"/>
    <n v="2024003050085"/>
    <x v="59"/>
    <s v="050077"/>
    <n v="26884400"/>
    <s v="DISPONIBLE PARA PRESTACIÓN DE SERVICIOS "/>
    <s v="NO CONTRATADO"/>
    <s v="N/A"/>
    <s v="N/A"/>
    <x v="87"/>
    <n v="64"/>
    <s v="Apoyo y subvención para satisfacer necesidades propias del proceso de preparación y competencia de los Atletas y Para-atletas de alto rendimiento del departamento de Antioquia - Servicios para la comunidad, sociales y personales"/>
    <s v="85"/>
    <s v="0-205128"/>
    <s v="N/A"/>
    <s v="N/A"/>
    <s v=""/>
    <s v="NO"/>
    <s v="N/A"/>
    <s v="N/A"/>
    <s v=""/>
    <s v=""/>
    <s v=""/>
    <n v="0"/>
    <n v="26884400"/>
    <n v="0"/>
    <n v="0"/>
    <s v="2.43.4302.85.0-205128.2.3.2.02.02.009.05."/>
    <n v="52010803"/>
    <s v=""/>
    <s v=""/>
  </r>
  <r>
    <s v="D"/>
    <n v="80111600"/>
    <s v="SUBGERENCIA DE ALTOS LOGROS Y DEPORTE ASOCIADO"/>
    <s v="INVERSIÓN"/>
    <x v="14"/>
    <n v="2024003050085"/>
    <x v="59"/>
    <s v="050077"/>
    <n v="11289566"/>
    <s v="DISPONIBLE PARA PRESTACIÓN DE SERVICIOS "/>
    <s v="NO CONTRATADO"/>
    <s v="N/A"/>
    <s v="N/A"/>
    <x v="86"/>
    <n v="63"/>
    <s v="Apoyo y subvención para satisfacer necesidades propias del proceso de preparación y competencia de los Atletas y Para-atletas de alto rendimiento del departamento de Antioquia - Servicios prestados a las empresas y servicios de producción "/>
    <s v="85"/>
    <s v="0-205128"/>
    <s v="N/A"/>
    <s v="N/A"/>
    <s v=""/>
    <s v="NO"/>
    <s v="N/A"/>
    <s v="N/A"/>
    <s v=""/>
    <s v=""/>
    <s v=""/>
    <n v="0"/>
    <n v="11289566"/>
    <n v="0"/>
    <n v="0"/>
    <s v="2.43.4302.85.0-205128.2.3.2.02.02.008.11."/>
    <n v="52010803"/>
    <s v=""/>
    <s v=""/>
  </r>
  <r>
    <s v="D"/>
    <n v="80111600"/>
    <s v="SUBGERENCIA DE ALTOS LOGROS Y DEPORTE ASOCIADO"/>
    <s v="INVERSIÓN"/>
    <x v="11"/>
    <n v="2024003050087"/>
    <x v="51"/>
    <s v="050078"/>
    <n v="5028865"/>
    <s v="DISPONIBLE PARA PRESTACIÓN DE SERVICIOS "/>
    <s v="NO CONTRATADO"/>
    <s v="N/A"/>
    <s v="N/A"/>
    <x v="77"/>
    <n v="66"/>
    <s v="Fortalecimiento del desarrollo deportivo con miras al alto rendimiento competitivo de los atletas del departamento de Antioquia - Servicios prestados a las empresas y servicios de producción "/>
    <s v="87"/>
    <s v="0-101024"/>
    <s v="N/A"/>
    <s v="N/A"/>
    <s v=""/>
    <s v="NO"/>
    <s v="N/A"/>
    <s v="N/A"/>
    <s v=""/>
    <s v=""/>
    <s v=""/>
    <n v="0"/>
    <n v="5028865"/>
    <n v="0"/>
    <n v="0"/>
    <s v="2.43.4302.87.0-101024.2.3.2.02.02.008.12."/>
    <n v="52010805"/>
    <s v=""/>
    <s v=""/>
  </r>
  <r>
    <s v="D"/>
    <n v="80111600"/>
    <s v="SUBGERENCIA DE ALTOS LOGROS Y DEPORTE ASOCIADO"/>
    <s v="INVERSIÓN"/>
    <x v="11"/>
    <n v="2024003050087"/>
    <x v="51"/>
    <s v="050078"/>
    <n v="35434694"/>
    <s v="DISPONIBLE PARA PRESTACIÓN DE SERVICIOS "/>
    <s v="NO CONTRATADO"/>
    <s v="N/A"/>
    <s v="N/A"/>
    <x v="79"/>
    <n v="68"/>
    <s v="Fortalecimiento del desarrollo deportivo con miras al alto rendimiento competitivo de los atletas del departamento de Antioquia - Servicios prestados a las empresas y servicios de producción "/>
    <s v="87"/>
    <s v="0-205128"/>
    <s v="N/A"/>
    <s v="N/A"/>
    <s v=""/>
    <s v="NO"/>
    <s v="N/A"/>
    <s v="N/A"/>
    <s v=""/>
    <s v=""/>
    <s v=""/>
    <n v="0"/>
    <n v="35434694"/>
    <n v="0"/>
    <n v="0"/>
    <s v="2.43.4302.87.0-205128.2.3.2.02.02.008.13."/>
    <n v="52010805"/>
    <s v=""/>
    <s v=""/>
  </r>
  <r>
    <n v="583"/>
    <n v="90141502"/>
    <s v="SUBGERENCIA DE ALTOS LOGROS Y DEPORTE ASOCIADO"/>
    <s v="INVERSIÓN"/>
    <x v="10"/>
    <n v="2024003050102"/>
    <x v="50"/>
    <s v="050076"/>
    <n v="370000000"/>
    <s v="CONVENIO CON LA LIGA DE NATACIÓN DE ANTIOQUIA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370000000"/>
    <n v="0"/>
    <n v="0"/>
    <s v="2.43.4301.02.0-205400.2.3.3.09.17."/>
    <n v="52010801"/>
    <s v=""/>
    <s v=""/>
  </r>
  <r>
    <n v="584"/>
    <n v="90141502"/>
    <s v="SUBGERENCIA DE ALTOS LOGROS Y DEPORTE ASOCIADO"/>
    <s v="INVERSIÓN"/>
    <x v="10"/>
    <n v="2024003050102"/>
    <x v="50"/>
    <s v="050076"/>
    <n v="170000000"/>
    <s v="CONVENIO CON LA LIGA DEPORTIVA DE PERSONAS SORDAS DE ANTIOQUIA -LISANT PARA FORTALECER EL PROCESO DE ALTO RENDIMIENTO DE LOS ATLETAS QUE REPRESENTARÁN AL DEPARTAMENTO ANTIOQUIA EN LOS PRÓXIMOS JUEGOS PARA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170000000"/>
    <n v="0"/>
    <n v="0"/>
    <s v="2.43.4301.02.0-205400.2.3.3.09.17."/>
    <n v="52010801"/>
    <s v=""/>
    <s v=""/>
  </r>
  <r>
    <n v="585"/>
    <n v="90141502"/>
    <s v="SUBGERENCIA DE ALTOS LOGROS Y DEPORTE ASOCIADO"/>
    <s v="INVERSIÓN"/>
    <x v="10"/>
    <n v="2024003050102"/>
    <x v="50"/>
    <s v="050076"/>
    <n v="210000000"/>
    <s v="CONVENIO CON LA LIGA DE LIMITACIÓN MENTAL DE ANTIOQUIA LIDIMANT PARA FORTALECER EL PROCESO DE ALTO RENDIMIENTO DE LOS ATLETAS QUE REPRESENTARÁN AL DEPARTAMENTO ANTIOQUIA EN LOS PRÓXIMOS JUEGOS PARA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210000000"/>
    <n v="0"/>
    <n v="0"/>
    <s v="2.43.4301.02.0-205400.2.3.3.09.17."/>
    <n v="52010801"/>
    <s v=""/>
    <s v=""/>
  </r>
  <r>
    <n v="586"/>
    <n v="90141502"/>
    <s v="SUBGERENCIA DE ALTOS LOGROS Y DEPORTE ASOCIADO"/>
    <s v="INVERSIÓN"/>
    <x v="10"/>
    <n v="2024003050102"/>
    <x v="50"/>
    <s v="050076"/>
    <n v="100000000"/>
    <s v="CONVENIO CON LA LIGA ANTIOQUEÑA DE VOLEIBOL  PARA FORTALECER EL PROCESO DE ALTO RENDIMIENTO DE LOS ATLETAS QUE REPRESENTARÁN AL DEPARTAMENTO ANTIOQUIA EN LOS PRÓXIMOS JUEGOS NACIONALES 2027, CONTRIBUYENDO A LA EJECUCIÓN DEL PROGRAMA DESARROLLO DEPORTIVO PARA LA COMPETENCIA."/>
    <s v="NO CONTRATADO"/>
    <s v="DIRECTA"/>
    <s v="CONVENIO DE APOYO"/>
    <x v="75"/>
    <n v="100"/>
    <s v="Apoyo Económico A Las Organizaciones Deportivas Que Representen Competencias Al Departamento De Antioquia -Actividades De Promoción Y   Desarrollo Del Deporte"/>
    <s v="02"/>
    <s v="0-205400"/>
    <n v="9"/>
    <s v="MESES"/>
    <s v=""/>
    <s v="NO"/>
    <s v="MARZO"/>
    <s v="MARZO "/>
    <s v=""/>
    <s v=""/>
    <s v=""/>
    <n v="0"/>
    <n v="100000000"/>
    <n v="0"/>
    <n v="0"/>
    <s v="2.43.4301.02.0-205400.2.3.3.09.17."/>
    <n v="52010801"/>
    <s v=""/>
    <s v=""/>
  </r>
  <r>
    <n v="463"/>
    <s v="N/A"/>
    <s v="SUBGERENCIA DE ALTOS LOGROS Y DEPORTE ASOCIADO"/>
    <s v="INVERSIÓN"/>
    <x v="14"/>
    <n v="2024003050085"/>
    <x v="71"/>
    <s v="050077"/>
    <n v="300000000"/>
    <s v="ENTREGAR ESTÍMULO ECONÓMICO A LOS ATLETAS Y PARA-ATLETAS PARA LA PARTICIPACIÓN EN EVENTO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300000000"/>
    <n v="0"/>
    <n v="0"/>
    <s v="2.43.4302.85.0-205400.2.3.3.08.06."/>
    <n v="52010803"/>
    <s v=""/>
    <s v=""/>
  </r>
  <r>
    <n v="588"/>
    <s v="N/A"/>
    <s v="SUBGERENCIA DE ALTOS LOGROS Y DEPORTE ASOCIADO"/>
    <s v="INVERSIÓN"/>
    <x v="14"/>
    <n v="2024003050085"/>
    <x v="72"/>
    <s v="050077"/>
    <n v="800000000"/>
    <s v="ESTÍMULO EDUCATIVO PARA ATLETAS, PARA-ATLETAS Y ENTRENADORES"/>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800000000"/>
    <n v="0"/>
    <n v="0"/>
    <s v="2.43.4302.85.0-205400.2.3.3.08.06."/>
    <n v="52010803"/>
    <s v=""/>
    <s v=""/>
  </r>
  <r>
    <n v="462"/>
    <s v="N/A"/>
    <s v="SUBGERENCIA DE ALTOS LOGROS Y DEPORTE ASOCIADO"/>
    <s v="INVERSIÓN"/>
    <x v="14"/>
    <n v="2024003050085"/>
    <x v="57"/>
    <s v="050077"/>
    <n v="185000000"/>
    <s v="ENTREGAR ESTÍMULO ALIMENTACIÓN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MARZO"/>
    <s v="ABRIL "/>
    <s v=""/>
    <s v=""/>
    <s v=""/>
    <n v="0"/>
    <n v="185000000"/>
    <n v="0"/>
    <n v="0"/>
    <s v="2.43.4302.85.0-205400.2.3.3.08.06."/>
    <n v="52010803"/>
    <s v=""/>
    <s v=""/>
  </r>
  <r>
    <n v="604"/>
    <n v="80111600"/>
    <s v="SUBGERENCIA DE ALTOS LOGROS Y DEPORTE ASOCIADO"/>
    <s v="INVERSIÓN"/>
    <x v="13"/>
    <n v="2024003050084"/>
    <x v="56"/>
    <s v="050079"/>
    <n v="22572783"/>
    <s v="PRESTACIÓN DE SERVICIOS DE UN ENTRENADOR ASISTENTE PARA LA REALIZACIÓN DEL PROCESO DE SELECCIÓN, ENTRENAMIENTO DEPORTIVO Y PARTICIPACIÓN EN COMPETENCIAS EN LA LIGA DE PATINAJE DE ANTIOQUIA, MODALIDAD VELOCIDAD, EN CATEGORÍAS DE JUEGOS 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50"/>
    <s v="DÍAS"/>
    <n v="449"/>
    <s v="NO"/>
    <s v="MARZO"/>
    <s v="ABRIL "/>
    <n v="366"/>
    <s v="JOHN JADER FIGUEROA ORLAS "/>
    <s v=""/>
    <n v="0"/>
    <n v="22572783"/>
    <n v="0"/>
    <n v="0"/>
    <s v="2.43.4302.84.0-205400.2.3.2.02.02.009.03."/>
    <n v="52010802"/>
    <s v=""/>
    <s v=""/>
  </r>
  <r>
    <n v="605"/>
    <n v="80111600"/>
    <s v="SUBGERENCIA DE ALTOS LOGROS Y DEPORTE ASOCIADO"/>
    <s v="INVERSIÓN"/>
    <x v="13"/>
    <n v="2024003050084"/>
    <x v="56"/>
    <s v="050079"/>
    <n v="34649217"/>
    <s v="PRESTACIÓN DE SERVICIOS DE UN ENTRENADOR PRINCIPAL PARA LA REALIZACIÓN DEL PROCESO DE SELECCIÓN, ENTRENAMIENTO DEPORTIVO Y PARTICIPACIÓN EN COMPETENCIAS DE LOS ATLETAS DE VOLEIBOL SENTADO CON DISCAPACIDAD FÍSICA, EN CATEGORÍAS DE JUEGOS PARANACIONALES."/>
    <s v="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n v="250"/>
    <s v="DÍAS"/>
    <n v="447"/>
    <s v="NO"/>
    <s v="MARZO"/>
    <s v="ABRIL "/>
    <n v="368"/>
    <s v="NICOLAS BAYRON LOPEZ CARMONA"/>
    <s v=""/>
    <n v="0"/>
    <n v="34649217"/>
    <n v="0"/>
    <n v="0"/>
    <s v="2.43.4302.84.0-205400.2.3.2.02.02.009.03."/>
    <n v="52010802"/>
    <s v=""/>
    <s v=""/>
  </r>
  <r>
    <n v="573"/>
    <s v="N/A"/>
    <s v="SUBGERENCIA DE ALTOS LOGROS Y DEPORTE ASOCIADO"/>
    <s v="INVERSIÓN"/>
    <x v="14"/>
    <n v="2024003050085"/>
    <x v="69"/>
    <s v="050077"/>
    <n v="2455735217"/>
    <s v="ENTREGAR ESTÍMULO ECONÓMICO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2455735217"/>
    <n v="0"/>
    <n v="0"/>
    <s v="2.43.4302.85.0-205400.2.3.3.08.06."/>
    <n v="52010803"/>
    <s v=""/>
    <s v=""/>
  </r>
  <r>
    <n v="573"/>
    <s v="N/A"/>
    <s v="SUBGERENCIA DE ALTOS LOGROS Y DEPORTE ASOCIADO"/>
    <s v="INVERSIÓN"/>
    <x v="14"/>
    <n v="2024003050085"/>
    <x v="70"/>
    <s v="050077"/>
    <n v="650000000"/>
    <s v="ENTREGAR ESTÍMULO ECONÓMICO PARA LOS ATLETAS Y PARA-ATLETAS "/>
    <s v="NO CONTRATADO"/>
    <s v="RESOLUCIÓN"/>
    <s v="RESOLUCIÓN"/>
    <x v="100"/>
    <n v="103"/>
    <s v="Apoyo Y Subvención Para Satisfacer Necesidades Propias Del Proceso De Preparación Y   Competencia De Los Atletas Y   Para-Atletas De Alto Rendimiento Del Departamento De Antioquia -Estímulos Y   Beneficios A Los Deportistas"/>
    <s v="85"/>
    <s v="0-205400"/>
    <s v="N/A"/>
    <s v="N/A"/>
    <s v=""/>
    <s v="NO"/>
    <s v="N/A"/>
    <s v="N/A"/>
    <s v=""/>
    <s v=""/>
    <s v=""/>
    <n v="0"/>
    <n v="650000000"/>
    <n v="0"/>
    <n v="0"/>
    <s v="2.43.4302.85.0-205400.2.3.3.08.06."/>
    <n v="52010803"/>
    <s v=""/>
    <s v=""/>
  </r>
  <r>
    <n v="600"/>
    <n v="91111603"/>
    <s v="SUBGERENCIA DE ALTOS LOGROS Y DEPORTE ASOCIADO"/>
    <s v="INVERSIÓN"/>
    <x v="14"/>
    <n v="2024003050085"/>
    <x v="73"/>
    <s v="050077"/>
    <n v="1300000000"/>
    <s v="AUNAR ESFUERZOS TÉCNICOS, ADMINISTRATIVOS Y FINANCIEROS PARA CONTRIBUIR AL MEJORAMIENTO DE LA SEGURIDAD ALIMENTARIA Y NUTRICIONAL MEDIANTE EL APORTE DE LOS INSUMOS, LA PREPARACIÓN Y LA DISTRIBUCIÓN DE LA ALIMENTACIÓN REQUERIDA POR LOS ATLETAS RESIDENTES Y NO RESIDENTES DE LA VILLA DEPORTIVA ANTONIO ROLDÁN BETANCUR DE INDEPORTES ANTIOQUIA."/>
    <s v="NO CONTRATADO"/>
    <s v="DIRECTA"/>
    <s v="PROCESO COMPETITIVO"/>
    <x v="101"/>
    <n v="102"/>
    <s v="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
    <s v="85"/>
    <s v="0-205400"/>
    <n v="8"/>
    <s v="MESES"/>
    <s v=""/>
    <s v="NO"/>
    <s v="MARZO"/>
    <s v="ABRIL "/>
    <s v=""/>
    <s v=""/>
    <s v=""/>
    <n v="0"/>
    <n v="1300000000"/>
    <n v="0"/>
    <n v="0"/>
    <s v="2.43.4302.85.0-205400.2.3.2.02.02.006.05."/>
    <n v="52010803"/>
    <s v=""/>
    <s v=""/>
  </r>
  <r>
    <s v="D"/>
    <n v="80111600"/>
    <s v="SUBGERENCIA DE ALTOS LOGROS Y DEPORTE ASOCIADO"/>
    <s v="INVERSIÓN"/>
    <x v="13"/>
    <n v="2024003050084"/>
    <x v="56"/>
    <s v="050079"/>
    <n v="706819823"/>
    <s v="DISPONIBLE PRESTACIÓN DE SERVICIOS ENTRENADORES "/>
    <s v="NO CONTRATADO"/>
    <s v="DIRECTA"/>
    <s v="PRESTACIÓN DE SERVICIOS PROFESIONALES Y DE APOYO  A  LA GESTIÓN"/>
    <x v="83"/>
    <n v="62"/>
    <s v="Apoyo técnico a atletas y para-atletas que representan en alto rendimiento deportivo al departamento de Antioquia. - Servicios para la comunidad, sociales y personales"/>
    <s v="84"/>
    <s v="0-205400"/>
    <m/>
    <m/>
    <s v=""/>
    <s v="NO"/>
    <s v="N/A"/>
    <s v="N/A"/>
    <s v=""/>
    <s v=""/>
    <s v=""/>
    <n v="0"/>
    <n v="706819823"/>
    <n v="0"/>
    <n v="0"/>
    <s v="2.43.4302.84.0-205400.2.3.2.02.02.009.03."/>
    <n v="52010802"/>
    <s v=""/>
    <s v=""/>
  </r>
  <r>
    <n v="601"/>
    <n v="90141502"/>
    <s v="SUBGERENCIA DE ALTOS LOGROS Y DEPORTE ASOCIADO"/>
    <s v="INVERSIÓN"/>
    <x v="11"/>
    <n v="2024003050087"/>
    <x v="60"/>
    <s v="050078"/>
    <n v="850000000"/>
    <s v="CONVENIO CON LA LIGA ANTIOQUEÑA DE LEVANTAMIENTO DE PESAS, PARA EL FORTALECIMIENTO DEL POTENCIAL  Y LA CONSOLIDACIÓN DE LA RESERVA DEPORTIVA EN EL DEPARTAMENTO DE ANTIOQUIA"/>
    <s v="NO CONTRATADO"/>
    <s v="DIRECTA"/>
    <s v="CONVENIO DE APOYO"/>
    <x v="102"/>
    <n v="104"/>
    <s v="Fortalecimiento Del Desarrollo Deportivo Con Miras Al Alto Rendimiento Competitivo De Los Atletas Del Departamento De Antioquia -Actividades De Promoción Y   Desarrollo Del Deporte "/>
    <s v="87"/>
    <s v="0-205400"/>
    <n v="8"/>
    <s v="MESES"/>
    <s v=""/>
    <s v="NO"/>
    <s v="MARZO"/>
    <s v="ABRIL "/>
    <s v=""/>
    <s v=""/>
    <s v=""/>
    <n v="0"/>
    <n v="850000000"/>
    <n v="0"/>
    <n v="0"/>
    <s v="2.43.4302.87.0-205400.2.3.3.09.17."/>
    <n v="52010805"/>
    <s v=""/>
    <s v=""/>
  </r>
  <r>
    <n v="602"/>
    <n v="90141502"/>
    <s v="SUBGERENCIA DE ALTOS LOGROS Y DEPORTE ASOCIADO"/>
    <s v="INVERSIÓN"/>
    <x v="11"/>
    <n v="2024003050087"/>
    <x v="60"/>
    <s v="050078"/>
    <n v="73613722"/>
    <s v="CONVENIO CON LA LIGA DE ATLETISMO DE ANTIOQUIA, PARA EL FORTALECIMIENTO DEL POTENCIAL Y LA CONSOLIDACIÓN DE LA RESERVA DEPORTIVA EN EL DEPARTAMENTO DE ANTIOQUIA."/>
    <s v="NO CONTRATADO"/>
    <s v="DIRECTA"/>
    <s v="CONVENIO DE APOYO"/>
    <x v="102"/>
    <n v="104"/>
    <s v="Fortalecimiento Del Desarrollo Deportivo Con Miras Al Alto Rendimiento Competitivo De Los Atletas Del Departamento De Antioquia -Actividades De Promoción Y   Desarrollo Del Deporte "/>
    <s v="87"/>
    <s v="0-205400"/>
    <n v="8"/>
    <s v="MESES"/>
    <s v=""/>
    <s v="NO"/>
    <s v="MARZO"/>
    <s v="ABRIL "/>
    <s v=""/>
    <s v=""/>
    <s v=""/>
    <n v="0"/>
    <n v="73613722"/>
    <n v="0"/>
    <n v="0"/>
    <s v="2.43.4302.87.0-205400.2.3.3.09.17."/>
    <n v="52010805"/>
    <s v=""/>
    <s v=""/>
  </r>
  <r>
    <s v="D"/>
    <s v="81101706;_x000a_41116500;_x000a_41116004"/>
    <s v="SUBGERENCIA DE ALTOS LOGROS Y DEPORTE ASOCIADO"/>
    <s v="INVERSIÓN"/>
    <x v="12"/>
    <n v="2024003050103"/>
    <x v="74"/>
    <s v="050080"/>
    <n v="151706545"/>
    <s v="DISPONIBLE PARA COMPRA DE SUMINISTROS, INSUMOS Y MATERIALES "/>
    <s v="NO CONTRATADO"/>
    <s v="SELECCIÓN ABREVIADA"/>
    <s v="SUMINISTROS "/>
    <x v="103"/>
    <n v="101"/>
    <s v="Asesoría Médica Y   De Ciencias Aplicadas Al    Desarrollo Del Rendimiento Deportivo De   Atletas Y Para-Atletas De Antioquia -Otros   Bienes Transportables (Excepto Productos Metálicos, Maquinaria Y   Equipo)"/>
    <s v="03"/>
    <s v="0-205400"/>
    <s v="N/A"/>
    <s v="N/A"/>
    <s v=""/>
    <s v="NO"/>
    <s v="ABRIL"/>
    <s v="ABRIL "/>
    <s v=""/>
    <s v=""/>
    <s v=""/>
    <n v="0"/>
    <n v="151706545"/>
    <n v="0"/>
    <n v="0"/>
    <s v="2.43.4302.03.0-205400.2.3.2.02.01.003.06."/>
    <n v="52010804"/>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D10" firstHeaderRow="0" firstDataRow="1" firstDataCol="1"/>
  <pivotFields count="35">
    <pivotField showAll="0"/>
    <pivotField showAll="0"/>
    <pivotField showAll="0"/>
    <pivotField showAll="0"/>
    <pivotField axis="axisRow" showAll="0">
      <items count="31">
        <item h="1" m="1" x="19"/>
        <item h="1" m="1" x="20"/>
        <item h="1" m="1" x="27"/>
        <item h="1" m="1" x="22"/>
        <item h="1" m="1" x="16"/>
        <item h="1" m="1" x="24"/>
        <item h="1" m="1" x="15"/>
        <item h="1" m="1" x="26"/>
        <item h="1" m="1" x="25"/>
        <item h="1" m="1" x="29"/>
        <item h="1" m="1" x="17"/>
        <item h="1" m="1" x="21"/>
        <item h="1" m="1" x="23"/>
        <item h="1" x="0"/>
        <item h="1" m="1" x="28"/>
        <item h="1" m="1" x="18"/>
        <item h="1" x="8"/>
        <item h="1" x="5"/>
        <item h="1" x="1"/>
        <item h="1" x="2"/>
        <item h="1" x="13"/>
        <item x="10"/>
        <item h="1" x="12"/>
        <item h="1" x="11"/>
        <item h="1" x="14"/>
        <item h="1" x="3"/>
        <item h="1" x="9"/>
        <item h="1" x="6"/>
        <item h="1" x="7"/>
        <item h="1" x="4"/>
        <item t="default"/>
      </items>
    </pivotField>
    <pivotField showAll="0"/>
    <pivotField axis="axisRow" showAll="0">
      <items count="230">
        <item m="1" x="228"/>
        <item m="1" x="218"/>
        <item m="1" x="221"/>
        <item m="1" x="110"/>
        <item m="1" x="104"/>
        <item m="1" x="107"/>
        <item m="1" x="111"/>
        <item m="1" x="93"/>
        <item m="1" x="118"/>
        <item m="1" x="121"/>
        <item m="1" x="122"/>
        <item m="1" x="89"/>
        <item m="1" x="222"/>
        <item m="1" x="94"/>
        <item m="1" x="92"/>
        <item m="1" x="105"/>
        <item m="1" x="108"/>
        <item m="1" x="120"/>
        <item m="1" x="119"/>
        <item m="1" x="90"/>
        <item m="1" x="109"/>
        <item m="1" x="182"/>
        <item m="1" x="91"/>
        <item m="1" x="103"/>
        <item m="1" x="95"/>
        <item m="1" x="156"/>
        <item m="1" x="102"/>
        <item m="1" x="100"/>
        <item m="1" x="99"/>
        <item m="1" x="98"/>
        <item m="1" x="96"/>
        <item m="1" x="101"/>
        <item m="1" x="97"/>
        <item m="1" x="106"/>
        <item m="1" x="224"/>
        <item m="1" x="78"/>
        <item m="1" x="79"/>
        <item m="1" x="77"/>
        <item m="1" x="148"/>
        <item m="1" x="117"/>
        <item m="1" x="86"/>
        <item m="1" x="226"/>
        <item m="1" x="88"/>
        <item m="1" x="85"/>
        <item m="1" x="87"/>
        <item m="1" x="84"/>
        <item m="1" x="220"/>
        <item m="1" x="81"/>
        <item m="1" x="83"/>
        <item m="1" x="80"/>
        <item m="1" x="82"/>
        <item m="1" x="126"/>
        <item m="1" x="128"/>
        <item m="1" x="127"/>
        <item m="1" x="123"/>
        <item m="1" x="196"/>
        <item m="1" x="124"/>
        <item m="1" x="125"/>
        <item m="1" x="131"/>
        <item m="1" x="137"/>
        <item m="1" x="223"/>
        <item m="1" x="112"/>
        <item m="1" x="130"/>
        <item m="1" x="133"/>
        <item m="1" x="141"/>
        <item m="1" x="132"/>
        <item m="1" x="225"/>
        <item m="1" x="114"/>
        <item m="1" x="140"/>
        <item m="1" x="135"/>
        <item m="1" x="138"/>
        <item m="1" x="139"/>
        <item m="1" x="113"/>
        <item m="1" x="147"/>
        <item m="1" x="136"/>
        <item m="1" x="134"/>
        <item m="1" x="142"/>
        <item m="1" x="143"/>
        <item m="1" x="115"/>
        <item m="1" x="144"/>
        <item m="1" x="145"/>
        <item m="1" x="76"/>
        <item m="1" x="116"/>
        <item x="0"/>
        <item m="1" x="219"/>
        <item m="1" x="227"/>
        <item m="1" x="149"/>
        <item m="1" x="75"/>
        <item x="62"/>
        <item m="1" x="146"/>
        <item m="1" x="151"/>
        <item m="1" x="150"/>
        <item m="1" x="152"/>
        <item m="1" x="153"/>
        <item m="1" x="154"/>
        <item m="1" x="155"/>
        <item m="1" x="157"/>
        <item x="4"/>
        <item m="1" x="158"/>
        <item m="1" x="159"/>
        <item m="1" x="160"/>
        <item m="1" x="161"/>
        <item m="1" x="162"/>
        <item m="1" x="163"/>
        <item m="1" x="164"/>
        <item m="1" x="165"/>
        <item m="1" x="166"/>
        <item m="1" x="167"/>
        <item m="1" x="168"/>
        <item m="1" x="169"/>
        <item m="1" x="170"/>
        <item m="1" x="171"/>
        <item m="1" x="172"/>
        <item m="1" x="173"/>
        <item m="1" x="174"/>
        <item m="1" x="175"/>
        <item m="1" x="176"/>
        <item m="1" x="177"/>
        <item m="1" x="178"/>
        <item m="1" x="179"/>
        <item m="1" x="180"/>
        <item m="1" x="181"/>
        <item m="1" x="183"/>
        <item m="1" x="184"/>
        <item m="1" x="185"/>
        <item m="1" x="186"/>
        <item x="73"/>
        <item m="1" x="187"/>
        <item m="1" x="188"/>
        <item m="1" x="189"/>
        <item x="74"/>
        <item x="69"/>
        <item m="1" x="190"/>
        <item x="72"/>
        <item x="71"/>
        <item m="1" x="192"/>
        <item m="1" x="193"/>
        <item m="1" x="194"/>
        <item x="70"/>
        <item m="1" x="195"/>
        <item m="1" x="129"/>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191"/>
        <item x="1"/>
        <item x="2"/>
        <item x="3"/>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3"/>
        <item x="42"/>
        <item x="44"/>
        <item x="45"/>
        <item x="46"/>
        <item x="47"/>
        <item x="48"/>
        <item x="49"/>
        <item x="50"/>
        <item x="51"/>
        <item x="52"/>
        <item x="53"/>
        <item x="54"/>
        <item x="55"/>
        <item x="56"/>
        <item x="57"/>
        <item x="58"/>
        <item x="59"/>
        <item x="60"/>
        <item x="61"/>
        <item x="63"/>
        <item x="64"/>
        <item x="65"/>
        <item x="66"/>
        <item x="67"/>
        <item x="68"/>
        <item t="default"/>
      </items>
    </pivotField>
    <pivotField showAll="0"/>
    <pivotField dataField="1" showAll="0"/>
    <pivotField showAll="0"/>
    <pivotField showAll="0"/>
    <pivotField showAll="0"/>
    <pivotField showAll="0"/>
    <pivotField axis="axisRow" showAll="0">
      <items count="314">
        <item m="1" x="312"/>
        <item m="1" x="311"/>
        <item x="0"/>
        <item x="1"/>
        <item x="2"/>
        <item x="6"/>
        <item x="4"/>
        <item x="5"/>
        <item x="3"/>
        <item x="7"/>
        <item x="8"/>
        <item x="9"/>
        <item x="10"/>
        <item x="11"/>
        <item x="12"/>
        <item x="13"/>
        <item x="14"/>
        <item x="15"/>
        <item x="16"/>
        <item x="18"/>
        <item x="19"/>
        <item x="20"/>
        <item x="22"/>
        <item x="36"/>
        <item x="37"/>
        <item x="25"/>
        <item m="1" x="132"/>
        <item x="38"/>
        <item x="26"/>
        <item x="27"/>
        <item m="1" x="125"/>
        <item x="32"/>
        <item x="28"/>
        <item x="39"/>
        <item x="41"/>
        <item x="42"/>
        <item x="23"/>
        <item x="24"/>
        <item x="33"/>
        <item x="34"/>
        <item x="31"/>
        <item m="1" x="127"/>
        <item m="1" x="128"/>
        <item m="1" x="130"/>
        <item m="1" x="131"/>
        <item m="1" x="145"/>
        <item m="1" x="126"/>
        <item m="1" x="146"/>
        <item m="1" x="155"/>
        <item m="1" x="157"/>
        <item m="1" x="160"/>
        <item m="1" x="156"/>
        <item m="1" x="158"/>
        <item m="1" x="159"/>
        <item m="1" x="161"/>
        <item m="1" x="239"/>
        <item m="1" x="162"/>
        <item m="1" x="166"/>
        <item m="1" x="163"/>
        <item m="1" x="165"/>
        <item m="1" x="164"/>
        <item m="1" x="175"/>
        <item m="1" x="173"/>
        <item m="1" x="170"/>
        <item m="1" x="195"/>
        <item m="1" x="171"/>
        <item m="1" x="176"/>
        <item m="1" x="172"/>
        <item m="1" x="190"/>
        <item m="1" x="191"/>
        <item m="1" x="192"/>
        <item m="1" x="240"/>
        <item m="1" x="168"/>
        <item m="1" x="198"/>
        <item m="1" x="174"/>
        <item m="1" x="169"/>
        <item m="1" x="180"/>
        <item m="1" x="181"/>
        <item m="1" x="177"/>
        <item m="1" x="178"/>
        <item m="1" x="189"/>
        <item m="1" x="188"/>
        <item m="1" x="179"/>
        <item m="1" x="194"/>
        <item m="1" x="167"/>
        <item m="1" x="196"/>
        <item m="1" x="197"/>
        <item m="1" x="193"/>
        <item m="1" x="211"/>
        <item m="1" x="182"/>
        <item m="1" x="212"/>
        <item m="1" x="221"/>
        <item m="1" x="219"/>
        <item m="1" x="230"/>
        <item m="1" x="291"/>
        <item m="1" x="223"/>
        <item m="1" x="183"/>
        <item m="1" x="213"/>
        <item m="1" x="224"/>
        <item m="1" x="222"/>
        <item m="1" x="225"/>
        <item m="1" x="184"/>
        <item m="1" x="214"/>
        <item m="1" x="220"/>
        <item m="1" x="310"/>
        <item m="1" x="185"/>
        <item m="1" x="217"/>
        <item m="1" x="226"/>
        <item m="1" x="233"/>
        <item m="1" x="231"/>
        <item m="1" x="186"/>
        <item m="1" x="216"/>
        <item m="1" x="142"/>
        <item m="1" x="143"/>
        <item m="1" x="228"/>
        <item m="1" x="227"/>
        <item m="1" x="229"/>
        <item m="1" x="232"/>
        <item m="1" x="187"/>
        <item m="1" x="215"/>
        <item m="1" x="218"/>
        <item m="1" x="202"/>
        <item m="1" x="203"/>
        <item m="1" x="200"/>
        <item m="1" x="205"/>
        <item m="1" x="199"/>
        <item m="1" x="208"/>
        <item m="1" x="206"/>
        <item m="1" x="204"/>
        <item m="1" x="201"/>
        <item m="1" x="210"/>
        <item m="1" x="209"/>
        <item m="1" x="104"/>
        <item m="1" x="105"/>
        <item m="1" x="106"/>
        <item m="1" x="107"/>
        <item m="1" x="108"/>
        <item m="1" x="109"/>
        <item m="1" x="110"/>
        <item m="1" x="111"/>
        <item m="1" x="112"/>
        <item m="1" x="113"/>
        <item m="1" x="114"/>
        <item m="1" x="115"/>
        <item m="1" x="116"/>
        <item m="1" x="117"/>
        <item m="1" x="118"/>
        <item m="1" x="119"/>
        <item m="1" x="120"/>
        <item m="1" x="121"/>
        <item m="1" x="122"/>
        <item m="1" x="123"/>
        <item m="1" x="124"/>
        <item m="1" x="129"/>
        <item x="35"/>
        <item x="97"/>
        <item m="1" x="133"/>
        <item m="1" x="134"/>
        <item m="1" x="135"/>
        <item m="1" x="136"/>
        <item m="1" x="137"/>
        <item m="1" x="138"/>
        <item m="1" x="139"/>
        <item m="1" x="140"/>
        <item m="1" x="141"/>
        <item m="1" x="144"/>
        <item m="1" x="147"/>
        <item m="1" x="148"/>
        <item m="1" x="149"/>
        <item m="1" x="150"/>
        <item m="1" x="151"/>
        <item m="1" x="152"/>
        <item m="1" x="153"/>
        <item m="1" x="154"/>
        <item m="1" x="235"/>
        <item m="1" x="236"/>
        <item m="1" x="237"/>
        <item m="1" x="238"/>
        <item m="1" x="241"/>
        <item m="1" x="242"/>
        <item m="1" x="243"/>
        <item m="1" x="244"/>
        <item m="1" x="245"/>
        <item m="1" x="246"/>
        <item m="1" x="247"/>
        <item m="1" x="248"/>
        <item m="1" x="249"/>
        <item m="1" x="250"/>
        <item m="1" x="251"/>
        <item x="75"/>
        <item m="1" x="252"/>
        <item m="1" x="253"/>
        <item x="96"/>
        <item m="1" x="254"/>
        <item m="1" x="255"/>
        <item m="1" x="256"/>
        <item x="102"/>
        <item m="1" x="257"/>
        <item m="1" x="258"/>
        <item m="1" x="259"/>
        <item m="1" x="260"/>
        <item m="1" x="261"/>
        <item m="1" x="262"/>
        <item m="1" x="263"/>
        <item m="1" x="264"/>
        <item m="1" x="265"/>
        <item m="1" x="266"/>
        <item m="1" x="267"/>
        <item m="1" x="268"/>
        <item m="1" x="269"/>
        <item m="1" x="270"/>
        <item m="1" x="271"/>
        <item m="1" x="272"/>
        <item x="85"/>
        <item m="1" x="273"/>
        <item m="1" x="274"/>
        <item m="1" x="275"/>
        <item m="1" x="276"/>
        <item m="1" x="277"/>
        <item m="1" x="278"/>
        <item m="1" x="279"/>
        <item m="1" x="280"/>
        <item m="1" x="281"/>
        <item m="1" x="285"/>
        <item m="1" x="284"/>
        <item x="54"/>
        <item m="1" x="286"/>
        <item m="1" x="287"/>
        <item m="1" x="288"/>
        <item m="1" x="289"/>
        <item m="1" x="290"/>
        <item m="1" x="292"/>
        <item m="1" x="293"/>
        <item m="1" x="294"/>
        <item m="1" x="295"/>
        <item m="1" x="296"/>
        <item m="1" x="297"/>
        <item m="1" x="298"/>
        <item m="1" x="299"/>
        <item m="1" x="300"/>
        <item m="1" x="301"/>
        <item x="68"/>
        <item m="1" x="302"/>
        <item m="1" x="303"/>
        <item m="1" x="304"/>
        <item m="1" x="305"/>
        <item m="1" x="306"/>
        <item m="1" x="307"/>
        <item m="1" x="308"/>
        <item x="100"/>
        <item m="1" x="207"/>
        <item m="1" x="234"/>
        <item m="1" x="282"/>
        <item m="1" x="283"/>
        <item m="1" x="309"/>
        <item x="17"/>
        <item x="21"/>
        <item x="29"/>
        <item x="30"/>
        <item x="40"/>
        <item x="43"/>
        <item x="44"/>
        <item x="45"/>
        <item x="46"/>
        <item x="47"/>
        <item x="48"/>
        <item x="49"/>
        <item x="50"/>
        <item x="51"/>
        <item x="52"/>
        <item x="53"/>
        <item x="55"/>
        <item x="56"/>
        <item x="57"/>
        <item x="58"/>
        <item x="60"/>
        <item x="61"/>
        <item x="62"/>
        <item x="63"/>
        <item x="64"/>
        <item x="65"/>
        <item x="66"/>
        <item x="67"/>
        <item x="69"/>
        <item x="70"/>
        <item x="71"/>
        <item x="72"/>
        <item x="73"/>
        <item x="74"/>
        <item x="76"/>
        <item x="77"/>
        <item x="78"/>
        <item x="79"/>
        <item x="80"/>
        <item x="81"/>
        <item x="82"/>
        <item x="83"/>
        <item x="84"/>
        <item x="86"/>
        <item x="87"/>
        <item x="88"/>
        <item x="89"/>
        <item x="90"/>
        <item x="91"/>
        <item x="92"/>
        <item x="93"/>
        <item x="94"/>
        <item x="95"/>
        <item x="98"/>
        <item x="99"/>
        <item x="101"/>
        <item x="103"/>
        <item x="59"/>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showAll="0"/>
  </pivotFields>
  <rowFields count="3">
    <field x="4"/>
    <field x="6"/>
    <field x="13"/>
  </rowFields>
  <rowItems count="7">
    <i>
      <x v="21"/>
    </i>
    <i r="1">
      <x v="211"/>
    </i>
    <i r="2">
      <x v="189"/>
    </i>
    <i r="2">
      <x v="289"/>
    </i>
    <i r="1">
      <x v="213"/>
    </i>
    <i r="2">
      <x v="291"/>
    </i>
    <i t="grand">
      <x/>
    </i>
  </rowItems>
  <colFields count="1">
    <field x="-2"/>
  </colFields>
  <colItems count="3">
    <i>
      <x/>
    </i>
    <i i="1">
      <x v="1"/>
    </i>
    <i i="2">
      <x v="2"/>
    </i>
  </colItems>
  <dataFields count="3">
    <dataField name="Suma de Valor definitivo (manual)" fld="8" baseField="0" baseItem="0"/>
    <dataField name="Suma de COMPROMETIDO" fld="27" baseField="4" baseItem="0"/>
    <dataField name="Suma de VALOR A LIBERAR" fld="28" baseField="4" baseItem="0"/>
  </dataFields>
  <formats count="298">
    <format dxfId="316">
      <pivotArea outline="0" collapsedLevelsAreSubtotals="1" fieldPosition="0"/>
    </format>
    <format dxfId="315">
      <pivotArea collapsedLevelsAreSubtotals="1" fieldPosition="0">
        <references count="3">
          <reference field="4" count="1" selected="0">
            <x v="0"/>
          </reference>
          <reference field="6" count="1" selected="0">
            <x v="9"/>
          </reference>
          <reference field="13" count="1">
            <x v="85"/>
          </reference>
        </references>
      </pivotArea>
    </format>
    <format dxfId="314">
      <pivotArea dataOnly="0" labelOnly="1" fieldPosition="0">
        <references count="3">
          <reference field="4" count="1" selected="0">
            <x v="0"/>
          </reference>
          <reference field="6" count="1" selected="0">
            <x v="9"/>
          </reference>
          <reference field="13" count="1">
            <x v="85"/>
          </reference>
        </references>
      </pivotArea>
    </format>
    <format dxfId="313">
      <pivotArea collapsedLevelsAreSubtotals="1" fieldPosition="0">
        <references count="1">
          <reference field="4" count="1">
            <x v="0"/>
          </reference>
        </references>
      </pivotArea>
    </format>
    <format dxfId="312">
      <pivotArea dataOnly="0" labelOnly="1" fieldPosition="0">
        <references count="1">
          <reference field="4" count="1">
            <x v="0"/>
          </reference>
        </references>
      </pivotArea>
    </format>
    <format dxfId="311">
      <pivotArea collapsedLevelsAreSubtotals="1" fieldPosition="0">
        <references count="3">
          <reference field="4" count="1" selected="0">
            <x v="0"/>
          </reference>
          <reference field="6" count="1" selected="0">
            <x v="10"/>
          </reference>
          <reference field="13" count="1">
            <x v="86"/>
          </reference>
        </references>
      </pivotArea>
    </format>
    <format dxfId="310">
      <pivotArea dataOnly="0" labelOnly="1" fieldPosition="0">
        <references count="3">
          <reference field="4" count="1" selected="0">
            <x v="0"/>
          </reference>
          <reference field="6" count="1" selected="0">
            <x v="10"/>
          </reference>
          <reference field="13" count="1">
            <x v="86"/>
          </reference>
        </references>
      </pivotArea>
    </format>
    <format dxfId="309">
      <pivotArea collapsedLevelsAreSubtotals="1" fieldPosition="0">
        <references count="3">
          <reference field="4" count="1" selected="0">
            <x v="0"/>
          </reference>
          <reference field="6" count="1" selected="0">
            <x v="11"/>
          </reference>
          <reference field="13" count="1">
            <x v="87"/>
          </reference>
        </references>
      </pivotArea>
    </format>
    <format dxfId="308">
      <pivotArea dataOnly="0" labelOnly="1" fieldPosition="0">
        <references count="3">
          <reference field="4" count="1" selected="0">
            <x v="0"/>
          </reference>
          <reference field="6" count="1" selected="0">
            <x v="11"/>
          </reference>
          <reference field="13" count="1">
            <x v="87"/>
          </reference>
        </references>
      </pivotArea>
    </format>
    <format dxfId="307">
      <pivotArea collapsedLevelsAreSubtotals="1" fieldPosition="0">
        <references count="3">
          <reference field="4" count="1" selected="0">
            <x v="0"/>
          </reference>
          <reference field="6" count="1" selected="0">
            <x v="19"/>
          </reference>
          <reference field="13" count="1">
            <x v="87"/>
          </reference>
        </references>
      </pivotArea>
    </format>
    <format dxfId="306">
      <pivotArea dataOnly="0" labelOnly="1" fieldPosition="0">
        <references count="3">
          <reference field="4" count="1" selected="0">
            <x v="0"/>
          </reference>
          <reference field="6" count="1" selected="0">
            <x v="19"/>
          </reference>
          <reference field="13" count="1">
            <x v="87"/>
          </reference>
        </references>
      </pivotArea>
    </format>
    <format dxfId="305">
      <pivotArea collapsedLevelsAreSubtotals="1" fieldPosition="0">
        <references count="3">
          <reference field="4" count="1" selected="0">
            <x v="0"/>
          </reference>
          <reference field="6" count="1" selected="0">
            <x v="11"/>
          </reference>
          <reference field="13" count="1">
            <x v="87"/>
          </reference>
        </references>
      </pivotArea>
    </format>
    <format dxfId="304">
      <pivotArea dataOnly="0" labelOnly="1" fieldPosition="0">
        <references count="3">
          <reference field="4" count="1" selected="0">
            <x v="0"/>
          </reference>
          <reference field="6" count="1" selected="0">
            <x v="11"/>
          </reference>
          <reference field="13" count="1">
            <x v="87"/>
          </reference>
        </references>
      </pivotArea>
    </format>
    <format dxfId="303">
      <pivotArea collapsedLevelsAreSubtotals="1" fieldPosition="0">
        <references count="3">
          <reference field="4" count="1" selected="0">
            <x v="0"/>
          </reference>
          <reference field="6" count="1" selected="0">
            <x v="19"/>
          </reference>
          <reference field="13" count="1">
            <x v="87"/>
          </reference>
        </references>
      </pivotArea>
    </format>
    <format dxfId="302">
      <pivotArea dataOnly="0" labelOnly="1" fieldPosition="0">
        <references count="3">
          <reference field="4" count="1" selected="0">
            <x v="0"/>
          </reference>
          <reference field="6" count="1" selected="0">
            <x v="19"/>
          </reference>
          <reference field="13" count="1">
            <x v="87"/>
          </reference>
        </references>
      </pivotArea>
    </format>
    <format dxfId="301">
      <pivotArea collapsedLevelsAreSubtotals="1" fieldPosition="0">
        <references count="3">
          <reference field="4" count="1" selected="0">
            <x v="0"/>
          </reference>
          <reference field="6" count="1" selected="0">
            <x v="19"/>
          </reference>
          <reference field="13" count="1">
            <x v="83"/>
          </reference>
        </references>
      </pivotArea>
    </format>
    <format dxfId="300">
      <pivotArea dataOnly="0" labelOnly="1" fieldPosition="0">
        <references count="3">
          <reference field="4" count="1" selected="0">
            <x v="0"/>
          </reference>
          <reference field="6" count="1" selected="0">
            <x v="19"/>
          </reference>
          <reference field="13" count="1">
            <x v="83"/>
          </reference>
        </references>
      </pivotArea>
    </format>
    <format dxfId="299">
      <pivotArea collapsedLevelsAreSubtotals="1" fieldPosition="0">
        <references count="3">
          <reference field="4" count="1" selected="0">
            <x v="0"/>
          </reference>
          <reference field="6" count="1" selected="0">
            <x v="11"/>
          </reference>
          <reference field="13" count="1">
            <x v="83"/>
          </reference>
        </references>
      </pivotArea>
    </format>
    <format dxfId="298">
      <pivotArea dataOnly="0" labelOnly="1" fieldPosition="0">
        <references count="3">
          <reference field="4" count="1" selected="0">
            <x v="0"/>
          </reference>
          <reference field="6" count="1" selected="0">
            <x v="11"/>
          </reference>
          <reference field="13" count="1">
            <x v="83"/>
          </reference>
        </references>
      </pivotArea>
    </format>
    <format dxfId="297">
      <pivotArea collapsedLevelsAreSubtotals="1" fieldPosition="0">
        <references count="1">
          <reference field="4" count="1">
            <x v="0"/>
          </reference>
        </references>
      </pivotArea>
    </format>
    <format dxfId="296">
      <pivotArea collapsedLevelsAreSubtotals="1" fieldPosition="0">
        <references count="2">
          <reference field="4" count="1" selected="0">
            <x v="0"/>
          </reference>
          <reference field="6" count="1">
            <x v="9"/>
          </reference>
        </references>
      </pivotArea>
    </format>
    <format dxfId="295">
      <pivotArea collapsedLevelsAreSubtotals="1" fieldPosition="0">
        <references count="3">
          <reference field="4" count="1" selected="0">
            <x v="0"/>
          </reference>
          <reference field="6" count="1" selected="0">
            <x v="9"/>
          </reference>
          <reference field="13" count="1">
            <x v="85"/>
          </reference>
        </references>
      </pivotArea>
    </format>
    <format dxfId="294">
      <pivotArea collapsedLevelsAreSubtotals="1" fieldPosition="0">
        <references count="2">
          <reference field="4" count="1" selected="0">
            <x v="0"/>
          </reference>
          <reference field="6" count="1">
            <x v="10"/>
          </reference>
        </references>
      </pivotArea>
    </format>
    <format dxfId="293">
      <pivotArea collapsedLevelsAreSubtotals="1" fieldPosition="0">
        <references count="3">
          <reference field="4" count="1" selected="0">
            <x v="0"/>
          </reference>
          <reference field="6" count="1" selected="0">
            <x v="10"/>
          </reference>
          <reference field="13" count="1">
            <x v="86"/>
          </reference>
        </references>
      </pivotArea>
    </format>
    <format dxfId="292">
      <pivotArea collapsedLevelsAreSubtotals="1" fieldPosition="0">
        <references count="2">
          <reference field="4" count="1" selected="0">
            <x v="0"/>
          </reference>
          <reference field="6" count="1">
            <x v="11"/>
          </reference>
        </references>
      </pivotArea>
    </format>
    <format dxfId="291">
      <pivotArea collapsedLevelsAreSubtotals="1" fieldPosition="0">
        <references count="3">
          <reference field="4" count="1" selected="0">
            <x v="0"/>
          </reference>
          <reference field="6" count="1" selected="0">
            <x v="11"/>
          </reference>
          <reference field="13" count="3">
            <x v="83"/>
            <x v="84"/>
            <x v="87"/>
          </reference>
        </references>
      </pivotArea>
    </format>
    <format dxfId="290">
      <pivotArea collapsedLevelsAreSubtotals="1" fieldPosition="0">
        <references count="2">
          <reference field="4" count="1" selected="0">
            <x v="0"/>
          </reference>
          <reference field="6" count="1">
            <x v="19"/>
          </reference>
        </references>
      </pivotArea>
    </format>
    <format dxfId="289">
      <pivotArea collapsedLevelsAreSubtotals="1" fieldPosition="0">
        <references count="3">
          <reference field="4" count="1" selected="0">
            <x v="0"/>
          </reference>
          <reference field="6" count="1" selected="0">
            <x v="19"/>
          </reference>
          <reference field="13" count="3">
            <x v="83"/>
            <x v="84"/>
            <x v="87"/>
          </reference>
        </references>
      </pivotArea>
    </format>
    <format dxfId="288">
      <pivotArea dataOnly="0" labelOnly="1" fieldPosition="0">
        <references count="1">
          <reference field="4" count="1">
            <x v="0"/>
          </reference>
        </references>
      </pivotArea>
    </format>
    <format dxfId="287">
      <pivotArea dataOnly="0" labelOnly="1" fieldPosition="0">
        <references count="2">
          <reference field="4" count="1" selected="0">
            <x v="0"/>
          </reference>
          <reference field="6" count="4">
            <x v="9"/>
            <x v="10"/>
            <x v="11"/>
            <x v="19"/>
          </reference>
        </references>
      </pivotArea>
    </format>
    <format dxfId="286">
      <pivotArea dataOnly="0" labelOnly="1" fieldPosition="0">
        <references count="3">
          <reference field="4" count="1" selected="0">
            <x v="0"/>
          </reference>
          <reference field="6" count="1" selected="0">
            <x v="9"/>
          </reference>
          <reference field="13" count="1">
            <x v="85"/>
          </reference>
        </references>
      </pivotArea>
    </format>
    <format dxfId="285">
      <pivotArea dataOnly="0" labelOnly="1" fieldPosition="0">
        <references count="3">
          <reference field="4" count="1" selected="0">
            <x v="0"/>
          </reference>
          <reference field="6" count="1" selected="0">
            <x v="10"/>
          </reference>
          <reference field="13" count="1">
            <x v="86"/>
          </reference>
        </references>
      </pivotArea>
    </format>
    <format dxfId="284">
      <pivotArea dataOnly="0" labelOnly="1" fieldPosition="0">
        <references count="3">
          <reference field="4" count="1" selected="0">
            <x v="0"/>
          </reference>
          <reference field="6" count="1" selected="0">
            <x v="11"/>
          </reference>
          <reference field="13" count="3">
            <x v="83"/>
            <x v="84"/>
            <x v="87"/>
          </reference>
        </references>
      </pivotArea>
    </format>
    <format dxfId="283">
      <pivotArea dataOnly="0" labelOnly="1" fieldPosition="0">
        <references count="3">
          <reference field="4" count="1" selected="0">
            <x v="0"/>
          </reference>
          <reference field="6" count="1" selected="0">
            <x v="19"/>
          </reference>
          <reference field="13" count="3">
            <x v="83"/>
            <x v="84"/>
            <x v="87"/>
          </reference>
        </references>
      </pivotArea>
    </format>
    <format dxfId="282">
      <pivotArea collapsedLevelsAreSubtotals="1" fieldPosition="0">
        <references count="1">
          <reference field="4" count="1">
            <x v="0"/>
          </reference>
        </references>
      </pivotArea>
    </format>
    <format dxfId="281">
      <pivotArea collapsedLevelsAreSubtotals="1" fieldPosition="0">
        <references count="2">
          <reference field="4" count="1" selected="0">
            <x v="0"/>
          </reference>
          <reference field="6" count="1">
            <x v="9"/>
          </reference>
        </references>
      </pivotArea>
    </format>
    <format dxfId="280">
      <pivotArea collapsedLevelsAreSubtotals="1" fieldPosition="0">
        <references count="3">
          <reference field="4" count="1" selected="0">
            <x v="0"/>
          </reference>
          <reference field="6" count="1" selected="0">
            <x v="9"/>
          </reference>
          <reference field="13" count="1">
            <x v="85"/>
          </reference>
        </references>
      </pivotArea>
    </format>
    <format dxfId="279">
      <pivotArea collapsedLevelsAreSubtotals="1" fieldPosition="0">
        <references count="2">
          <reference field="4" count="1" selected="0">
            <x v="0"/>
          </reference>
          <reference field="6" count="1">
            <x v="10"/>
          </reference>
        </references>
      </pivotArea>
    </format>
    <format dxfId="278">
      <pivotArea collapsedLevelsAreSubtotals="1" fieldPosition="0">
        <references count="3">
          <reference field="4" count="1" selected="0">
            <x v="0"/>
          </reference>
          <reference field="6" count="1" selected="0">
            <x v="10"/>
          </reference>
          <reference field="13" count="1">
            <x v="86"/>
          </reference>
        </references>
      </pivotArea>
    </format>
    <format dxfId="277">
      <pivotArea collapsedLevelsAreSubtotals="1" fieldPosition="0">
        <references count="2">
          <reference field="4" count="1" selected="0">
            <x v="0"/>
          </reference>
          <reference field="6" count="1">
            <x v="11"/>
          </reference>
        </references>
      </pivotArea>
    </format>
    <format dxfId="276">
      <pivotArea collapsedLevelsAreSubtotals="1" fieldPosition="0">
        <references count="3">
          <reference field="4" count="1" selected="0">
            <x v="0"/>
          </reference>
          <reference field="6" count="1" selected="0">
            <x v="11"/>
          </reference>
          <reference field="13" count="3">
            <x v="83"/>
            <x v="84"/>
            <x v="87"/>
          </reference>
        </references>
      </pivotArea>
    </format>
    <format dxfId="275">
      <pivotArea collapsedLevelsAreSubtotals="1" fieldPosition="0">
        <references count="2">
          <reference field="4" count="1" selected="0">
            <x v="0"/>
          </reference>
          <reference field="6" count="1">
            <x v="19"/>
          </reference>
        </references>
      </pivotArea>
    </format>
    <format dxfId="274">
      <pivotArea collapsedLevelsAreSubtotals="1" fieldPosition="0">
        <references count="3">
          <reference field="4" count="1" selected="0">
            <x v="0"/>
          </reference>
          <reference field="6" count="1" selected="0">
            <x v="19"/>
          </reference>
          <reference field="13" count="3">
            <x v="83"/>
            <x v="84"/>
            <x v="87"/>
          </reference>
        </references>
      </pivotArea>
    </format>
    <format dxfId="273">
      <pivotArea collapsedLevelsAreSubtotals="1" fieldPosition="0">
        <references count="1">
          <reference field="4" count="1">
            <x v="1"/>
          </reference>
        </references>
      </pivotArea>
    </format>
    <format dxfId="272">
      <pivotArea collapsedLevelsAreSubtotals="1" fieldPosition="0">
        <references count="2">
          <reference field="4" count="1" selected="0">
            <x v="1"/>
          </reference>
          <reference field="6" count="1">
            <x v="3"/>
          </reference>
        </references>
      </pivotArea>
    </format>
    <format dxfId="271">
      <pivotArea collapsedLevelsAreSubtotals="1" fieldPosition="0">
        <references count="3">
          <reference field="4" count="1" selected="0">
            <x v="1"/>
          </reference>
          <reference field="6" count="1" selected="0">
            <x v="3"/>
          </reference>
          <reference field="13" count="1">
            <x v="76"/>
          </reference>
        </references>
      </pivotArea>
    </format>
    <format dxfId="270">
      <pivotArea collapsedLevelsAreSubtotals="1" fieldPosition="0">
        <references count="2">
          <reference field="4" count="1" selected="0">
            <x v="1"/>
          </reference>
          <reference field="6" count="1">
            <x v="4"/>
          </reference>
        </references>
      </pivotArea>
    </format>
    <format dxfId="269">
      <pivotArea collapsedLevelsAreSubtotals="1" fieldPosition="0">
        <references count="3">
          <reference field="4" count="1" selected="0">
            <x v="1"/>
          </reference>
          <reference field="6" count="1" selected="0">
            <x v="4"/>
          </reference>
          <reference field="13" count="2">
            <x v="74"/>
            <x v="79"/>
          </reference>
        </references>
      </pivotArea>
    </format>
    <format dxfId="268">
      <pivotArea collapsedLevelsAreSubtotals="1" fieldPosition="0">
        <references count="2">
          <reference field="4" count="1" selected="0">
            <x v="1"/>
          </reference>
          <reference field="6" count="1">
            <x v="5"/>
          </reference>
        </references>
      </pivotArea>
    </format>
    <format dxfId="267">
      <pivotArea collapsedLevelsAreSubtotals="1" fieldPosition="0">
        <references count="3">
          <reference field="4" count="1" selected="0">
            <x v="1"/>
          </reference>
          <reference field="6" count="1" selected="0">
            <x v="5"/>
          </reference>
          <reference field="13" count="1">
            <x v="78"/>
          </reference>
        </references>
      </pivotArea>
    </format>
    <format dxfId="266">
      <pivotArea collapsedLevelsAreSubtotals="1" fieldPosition="0">
        <references count="2">
          <reference field="4" count="1" selected="0">
            <x v="1"/>
          </reference>
          <reference field="6" count="1">
            <x v="6"/>
          </reference>
        </references>
      </pivotArea>
    </format>
    <format dxfId="265">
      <pivotArea collapsedLevelsAreSubtotals="1" fieldPosition="0">
        <references count="3">
          <reference field="4" count="1" selected="0">
            <x v="1"/>
          </reference>
          <reference field="6" count="1" selected="0">
            <x v="6"/>
          </reference>
          <reference field="13" count="1">
            <x v="77"/>
          </reference>
        </references>
      </pivotArea>
    </format>
    <format dxfId="264">
      <pivotArea collapsedLevelsAreSubtotals="1" fieldPosition="0">
        <references count="2">
          <reference field="4" count="1" selected="0">
            <x v="1"/>
          </reference>
          <reference field="6" count="1">
            <x v="7"/>
          </reference>
        </references>
      </pivotArea>
    </format>
    <format dxfId="263">
      <pivotArea collapsedLevelsAreSubtotals="1" fieldPosition="0">
        <references count="3">
          <reference field="4" count="1" selected="0">
            <x v="1"/>
          </reference>
          <reference field="6" count="1" selected="0">
            <x v="7"/>
          </reference>
          <reference field="13" count="3">
            <x v="71"/>
            <x v="75"/>
            <x v="80"/>
          </reference>
        </references>
      </pivotArea>
    </format>
    <format dxfId="262">
      <pivotArea collapsedLevelsAreSubtotals="1" fieldPosition="0">
        <references count="2">
          <reference field="4" count="1" selected="0">
            <x v="1"/>
          </reference>
          <reference field="6" count="1">
            <x v="8"/>
          </reference>
        </references>
      </pivotArea>
    </format>
    <format dxfId="261">
      <pivotArea collapsedLevelsAreSubtotals="1" fieldPosition="0">
        <references count="3">
          <reference field="4" count="1" selected="0">
            <x v="1"/>
          </reference>
          <reference field="6" count="1" selected="0">
            <x v="8"/>
          </reference>
          <reference field="13" count="1">
            <x v="81"/>
          </reference>
        </references>
      </pivotArea>
    </format>
    <format dxfId="260">
      <pivotArea collapsedLevelsAreSubtotals="1" fieldPosition="0">
        <references count="2">
          <reference field="4" count="1" selected="0">
            <x v="1"/>
          </reference>
          <reference field="6" count="1">
            <x v="13"/>
          </reference>
        </references>
      </pivotArea>
    </format>
    <format dxfId="259">
      <pivotArea collapsedLevelsAreSubtotals="1" fieldPosition="0">
        <references count="3">
          <reference field="4" count="1" selected="0">
            <x v="1"/>
          </reference>
          <reference field="6" count="1" selected="0">
            <x v="13"/>
          </reference>
          <reference field="13" count="2">
            <x v="75"/>
            <x v="82"/>
          </reference>
        </references>
      </pivotArea>
    </format>
    <format dxfId="258">
      <pivotArea collapsedLevelsAreSubtotals="1" fieldPosition="0">
        <references count="2">
          <reference field="4" count="1" selected="0">
            <x v="1"/>
          </reference>
          <reference field="6" count="1">
            <x v="14"/>
          </reference>
        </references>
      </pivotArea>
    </format>
    <format dxfId="257">
      <pivotArea collapsedLevelsAreSubtotals="1" fieldPosition="0">
        <references count="3">
          <reference field="4" count="1" selected="0">
            <x v="1"/>
          </reference>
          <reference field="6" count="1" selected="0">
            <x v="14"/>
          </reference>
          <reference field="13" count="3">
            <x v="71"/>
            <x v="72"/>
            <x v="75"/>
          </reference>
        </references>
      </pivotArea>
    </format>
    <format dxfId="256">
      <pivotArea collapsedLevelsAreSubtotals="1" fieldPosition="0">
        <references count="2">
          <reference field="4" count="1" selected="0">
            <x v="1"/>
          </reference>
          <reference field="6" count="1">
            <x v="15"/>
          </reference>
        </references>
      </pivotArea>
    </format>
    <format dxfId="255">
      <pivotArea collapsedLevelsAreSubtotals="1" fieldPosition="0">
        <references count="3">
          <reference field="4" count="1" selected="0">
            <x v="1"/>
          </reference>
          <reference field="6" count="1" selected="0">
            <x v="15"/>
          </reference>
          <reference field="13" count="2">
            <x v="73"/>
            <x v="74"/>
          </reference>
        </references>
      </pivotArea>
    </format>
    <format dxfId="254">
      <pivotArea collapsedLevelsAreSubtotals="1" fieldPosition="0">
        <references count="2">
          <reference field="4" count="1" selected="0">
            <x v="1"/>
          </reference>
          <reference field="6" count="1">
            <x v="16"/>
          </reference>
        </references>
      </pivotArea>
    </format>
    <format dxfId="253">
      <pivotArea collapsedLevelsAreSubtotals="1" fieldPosition="0">
        <references count="3">
          <reference field="4" count="1" selected="0">
            <x v="1"/>
          </reference>
          <reference field="6" count="1" selected="0">
            <x v="16"/>
          </reference>
          <reference field="13" count="1">
            <x v="78"/>
          </reference>
        </references>
      </pivotArea>
    </format>
    <format dxfId="252">
      <pivotArea collapsedLevelsAreSubtotals="1" fieldPosition="0">
        <references count="2">
          <reference field="4" count="1" selected="0">
            <x v="1"/>
          </reference>
          <reference field="6" count="1">
            <x v="17"/>
          </reference>
        </references>
      </pivotArea>
    </format>
    <format dxfId="251">
      <pivotArea collapsedLevelsAreSubtotals="1" fieldPosition="0">
        <references count="3">
          <reference field="4" count="1" selected="0">
            <x v="1"/>
          </reference>
          <reference field="6" count="1" selected="0">
            <x v="17"/>
          </reference>
          <reference field="13" count="2">
            <x v="71"/>
            <x v="80"/>
          </reference>
        </references>
      </pivotArea>
    </format>
    <format dxfId="250">
      <pivotArea collapsedLevelsAreSubtotals="1" fieldPosition="0">
        <references count="2">
          <reference field="4" count="1" selected="0">
            <x v="1"/>
          </reference>
          <reference field="6" count="1">
            <x v="18"/>
          </reference>
        </references>
      </pivotArea>
    </format>
    <format dxfId="249">
      <pivotArea collapsedLevelsAreSubtotals="1" fieldPosition="0">
        <references count="3">
          <reference field="4" count="1" selected="0">
            <x v="1"/>
          </reference>
          <reference field="6" count="1" selected="0">
            <x v="18"/>
          </reference>
          <reference field="13" count="1">
            <x v="80"/>
          </reference>
        </references>
      </pivotArea>
    </format>
    <format dxfId="248">
      <pivotArea collapsedLevelsAreSubtotals="1" fieldPosition="0">
        <references count="2">
          <reference field="4" count="1" selected="0">
            <x v="1"/>
          </reference>
          <reference field="6" count="1">
            <x v="20"/>
          </reference>
        </references>
      </pivotArea>
    </format>
    <format dxfId="247">
      <pivotArea collapsedLevelsAreSubtotals="1" fieldPosition="0">
        <references count="3">
          <reference field="4" count="1" selected="0">
            <x v="1"/>
          </reference>
          <reference field="6" count="1" selected="0">
            <x v="20"/>
          </reference>
          <reference field="13" count="2">
            <x v="75"/>
            <x v="82"/>
          </reference>
        </references>
      </pivotArea>
    </format>
    <format dxfId="246">
      <pivotArea collapsedLevelsAreSubtotals="1" fieldPosition="0">
        <references count="2">
          <reference field="4" count="1" selected="0">
            <x v="1"/>
          </reference>
          <reference field="6" count="1">
            <x v="21"/>
          </reference>
        </references>
      </pivotArea>
    </format>
    <format dxfId="245">
      <pivotArea collapsedLevelsAreSubtotals="1" fieldPosition="0">
        <references count="3">
          <reference field="4" count="1" selected="0">
            <x v="1"/>
          </reference>
          <reference field="6" count="1" selected="0">
            <x v="21"/>
          </reference>
          <reference field="13" count="1">
            <x v="71"/>
          </reference>
        </references>
      </pivotArea>
    </format>
    <format dxfId="244">
      <pivotArea collapsedLevelsAreSubtotals="1" fieldPosition="0">
        <references count="2">
          <reference field="4" count="1" selected="0">
            <x v="1"/>
          </reference>
          <reference field="6" count="1">
            <x v="84"/>
          </reference>
        </references>
      </pivotArea>
    </format>
    <format dxfId="243">
      <pivotArea collapsedLevelsAreSubtotals="1" fieldPosition="0">
        <references count="3">
          <reference field="4" count="1" selected="0">
            <x v="1"/>
          </reference>
          <reference field="6" count="1" selected="0">
            <x v="84"/>
          </reference>
          <reference field="13" count="1">
            <x v="71"/>
          </reference>
        </references>
      </pivotArea>
    </format>
    <format dxfId="242">
      <pivotArea collapsedLevelsAreSubtotals="1" fieldPosition="0">
        <references count="1">
          <reference field="4" count="1">
            <x v="2"/>
          </reference>
        </references>
      </pivotArea>
    </format>
    <format dxfId="241">
      <pivotArea collapsedLevelsAreSubtotals="1" fieldPosition="0">
        <references count="2">
          <reference field="4" count="1" selected="0">
            <x v="2"/>
          </reference>
          <reference field="6" count="1">
            <x v="38"/>
          </reference>
        </references>
      </pivotArea>
    </format>
    <format dxfId="240">
      <pivotArea collapsedLevelsAreSubtotals="1" fieldPosition="0">
        <references count="3">
          <reference field="4" count="1" selected="0">
            <x v="2"/>
          </reference>
          <reference field="6" count="1" selected="0">
            <x v="38"/>
          </reference>
          <reference field="13" count="1">
            <x v="120"/>
          </reference>
        </references>
      </pivotArea>
    </format>
    <format dxfId="239">
      <pivotArea collapsedLevelsAreSubtotals="1" fieldPosition="0">
        <references count="2">
          <reference field="4" count="1" selected="0">
            <x v="2"/>
          </reference>
          <reference field="6" count="1">
            <x v="39"/>
          </reference>
        </references>
      </pivotArea>
    </format>
    <format dxfId="238">
      <pivotArea collapsedLevelsAreSubtotals="1" fieldPosition="0">
        <references count="3">
          <reference field="4" count="1" selected="0">
            <x v="2"/>
          </reference>
          <reference field="6" count="1" selected="0">
            <x v="39"/>
          </reference>
          <reference field="13" count="3">
            <x v="118"/>
            <x v="119"/>
            <x v="120"/>
          </reference>
        </references>
      </pivotArea>
    </format>
    <format dxfId="237">
      <pivotArea collapsedLevelsAreSubtotals="1" fieldPosition="0">
        <references count="1">
          <reference field="4" count="1">
            <x v="3"/>
          </reference>
        </references>
      </pivotArea>
    </format>
    <format dxfId="236">
      <pivotArea collapsedLevelsAreSubtotals="1" fieldPosition="0">
        <references count="2">
          <reference field="4" count="1" selected="0">
            <x v="3"/>
          </reference>
          <reference field="6" count="1">
            <x v="26"/>
          </reference>
        </references>
      </pivotArea>
    </format>
    <format dxfId="235">
      <pivotArea collapsedLevelsAreSubtotals="1" fieldPosition="0">
        <references count="3">
          <reference field="4" count="1" selected="0">
            <x v="3"/>
          </reference>
          <reference field="6" count="1" selected="0">
            <x v="26"/>
          </reference>
          <reference field="13" count="1">
            <x v="67"/>
          </reference>
        </references>
      </pivotArea>
    </format>
    <format dxfId="234">
      <pivotArea collapsedLevelsAreSubtotals="1" fieldPosition="0">
        <references count="2">
          <reference field="4" count="1" selected="0">
            <x v="3"/>
          </reference>
          <reference field="6" count="1">
            <x v="27"/>
          </reference>
        </references>
      </pivotArea>
    </format>
    <format dxfId="233">
      <pivotArea collapsedLevelsAreSubtotals="1" fieldPosition="0">
        <references count="3">
          <reference field="4" count="1" selected="0">
            <x v="3"/>
          </reference>
          <reference field="6" count="1" selected="0">
            <x v="27"/>
          </reference>
          <reference field="13" count="2">
            <x v="67"/>
            <x v="70"/>
          </reference>
        </references>
      </pivotArea>
    </format>
    <format dxfId="232">
      <pivotArea collapsedLevelsAreSubtotals="1" fieldPosition="0">
        <references count="2">
          <reference field="4" count="1" selected="0">
            <x v="3"/>
          </reference>
          <reference field="6" count="1">
            <x v="28"/>
          </reference>
        </references>
      </pivotArea>
    </format>
    <format dxfId="231">
      <pivotArea collapsedLevelsAreSubtotals="1" fieldPosition="0">
        <references count="3">
          <reference field="4" count="1" selected="0">
            <x v="3"/>
          </reference>
          <reference field="6" count="1" selected="0">
            <x v="28"/>
          </reference>
          <reference field="13" count="1">
            <x v="67"/>
          </reference>
        </references>
      </pivotArea>
    </format>
    <format dxfId="230">
      <pivotArea collapsedLevelsAreSubtotals="1" fieldPosition="0">
        <references count="2">
          <reference field="4" count="1" selected="0">
            <x v="3"/>
          </reference>
          <reference field="6" count="1">
            <x v="29"/>
          </reference>
        </references>
      </pivotArea>
    </format>
    <format dxfId="229">
      <pivotArea collapsedLevelsAreSubtotals="1" fieldPosition="0">
        <references count="3">
          <reference field="4" count="1" selected="0">
            <x v="3"/>
          </reference>
          <reference field="6" count="1" selected="0">
            <x v="29"/>
          </reference>
          <reference field="13" count="2">
            <x v="67"/>
            <x v="70"/>
          </reference>
        </references>
      </pivotArea>
    </format>
    <format dxfId="228">
      <pivotArea collapsedLevelsAreSubtotals="1" fieldPosition="0">
        <references count="2">
          <reference field="4" count="1" selected="0">
            <x v="3"/>
          </reference>
          <reference field="6" count="1">
            <x v="30"/>
          </reference>
        </references>
      </pivotArea>
    </format>
    <format dxfId="227">
      <pivotArea collapsedLevelsAreSubtotals="1" fieldPosition="0">
        <references count="3">
          <reference field="4" count="1" selected="0">
            <x v="3"/>
          </reference>
          <reference field="6" count="1" selected="0">
            <x v="30"/>
          </reference>
          <reference field="13" count="2">
            <x v="67"/>
            <x v="70"/>
          </reference>
        </references>
      </pivotArea>
    </format>
    <format dxfId="226">
      <pivotArea collapsedLevelsAreSubtotals="1" fieldPosition="0">
        <references count="2">
          <reference field="4" count="1" selected="0">
            <x v="3"/>
          </reference>
          <reference field="6" count="1">
            <x v="31"/>
          </reference>
        </references>
      </pivotArea>
    </format>
    <format dxfId="225">
      <pivotArea collapsedLevelsAreSubtotals="1" fieldPosition="0">
        <references count="3">
          <reference field="4" count="1" selected="0">
            <x v="3"/>
          </reference>
          <reference field="6" count="1" selected="0">
            <x v="31"/>
          </reference>
          <reference field="13" count="1">
            <x v="67"/>
          </reference>
        </references>
      </pivotArea>
    </format>
    <format dxfId="224">
      <pivotArea collapsedLevelsAreSubtotals="1" fieldPosition="0">
        <references count="2">
          <reference field="4" count="1" selected="0">
            <x v="3"/>
          </reference>
          <reference field="6" count="1">
            <x v="32"/>
          </reference>
        </references>
      </pivotArea>
    </format>
    <format dxfId="223">
      <pivotArea collapsedLevelsAreSubtotals="1" fieldPosition="0">
        <references count="3">
          <reference field="4" count="1" selected="0">
            <x v="3"/>
          </reference>
          <reference field="6" count="1" selected="0">
            <x v="32"/>
          </reference>
          <reference field="13" count="3">
            <x v="67"/>
            <x v="69"/>
            <x v="70"/>
          </reference>
        </references>
      </pivotArea>
    </format>
    <format dxfId="222">
      <pivotArea collapsedLevelsAreSubtotals="1" fieldPosition="0">
        <references count="2">
          <reference field="4" count="1" selected="0">
            <x v="3"/>
          </reference>
          <reference field="6" count="1">
            <x v="33"/>
          </reference>
        </references>
      </pivotArea>
    </format>
    <format dxfId="221">
      <pivotArea collapsedLevelsAreSubtotals="1" fieldPosition="0">
        <references count="3">
          <reference field="4" count="1" selected="0">
            <x v="3"/>
          </reference>
          <reference field="6" count="1" selected="0">
            <x v="33"/>
          </reference>
          <reference field="13" count="2">
            <x v="66"/>
            <x v="68"/>
          </reference>
        </references>
      </pivotArea>
    </format>
    <format dxfId="220">
      <pivotArea collapsedLevelsAreSubtotals="1" fieldPosition="0">
        <references count="1">
          <reference field="4" count="1">
            <x v="4"/>
          </reference>
        </references>
      </pivotArea>
    </format>
    <format dxfId="219">
      <pivotArea collapsedLevelsAreSubtotals="1" fieldPosition="0">
        <references count="2">
          <reference field="4" count="1" selected="0">
            <x v="4"/>
          </reference>
          <reference field="6" count="1">
            <x v="35"/>
          </reference>
        </references>
      </pivotArea>
    </format>
    <format dxfId="218">
      <pivotArea collapsedLevelsAreSubtotals="1" fieldPosition="0">
        <references count="3">
          <reference field="4" count="1" selected="0">
            <x v="4"/>
          </reference>
          <reference field="6" count="1" selected="0">
            <x v="35"/>
          </reference>
          <reference field="13" count="3">
            <x v="49"/>
            <x v="51"/>
            <x v="53"/>
          </reference>
        </references>
      </pivotArea>
    </format>
    <format dxfId="217">
      <pivotArea collapsedLevelsAreSubtotals="1" fieldPosition="0">
        <references count="2">
          <reference field="4" count="1" selected="0">
            <x v="4"/>
          </reference>
          <reference field="6" count="1">
            <x v="36"/>
          </reference>
        </references>
      </pivotArea>
    </format>
    <format dxfId="216">
      <pivotArea collapsedLevelsAreSubtotals="1" fieldPosition="0">
        <references count="3">
          <reference field="4" count="1" selected="0">
            <x v="4"/>
          </reference>
          <reference field="6" count="1" selected="0">
            <x v="36"/>
          </reference>
          <reference field="13" count="1">
            <x v="52"/>
          </reference>
        </references>
      </pivotArea>
    </format>
    <format dxfId="215">
      <pivotArea collapsedLevelsAreSubtotals="1" fieldPosition="0">
        <references count="2">
          <reference field="4" count="1" selected="0">
            <x v="4"/>
          </reference>
          <reference field="6" count="1">
            <x v="37"/>
          </reference>
        </references>
      </pivotArea>
    </format>
    <format dxfId="214">
      <pivotArea collapsedLevelsAreSubtotals="1" fieldPosition="0">
        <references count="3">
          <reference field="4" count="1" selected="0">
            <x v="4"/>
          </reference>
          <reference field="6" count="1" selected="0">
            <x v="37"/>
          </reference>
          <reference field="13" count="5">
            <x v="48"/>
            <x v="49"/>
            <x v="50"/>
            <x v="51"/>
            <x v="52"/>
          </reference>
        </references>
      </pivotArea>
    </format>
    <format dxfId="213">
      <pivotArea collapsedLevelsAreSubtotals="1" fieldPosition="0">
        <references count="1">
          <reference field="4" count="1">
            <x v="5"/>
          </reference>
        </references>
      </pivotArea>
    </format>
    <format dxfId="212">
      <pivotArea collapsedLevelsAreSubtotals="1" fieldPosition="0">
        <references count="2">
          <reference field="4" count="1" selected="0">
            <x v="5"/>
          </reference>
          <reference field="6" count="1">
            <x v="70"/>
          </reference>
        </references>
      </pivotArea>
    </format>
    <format dxfId="211">
      <pivotArea collapsedLevelsAreSubtotals="1" fieldPosition="0">
        <references count="3">
          <reference field="4" count="1" selected="0">
            <x v="5"/>
          </reference>
          <reference field="6" count="1" selected="0">
            <x v="70"/>
          </reference>
          <reference field="13" count="2">
            <x v="98"/>
            <x v="99"/>
          </reference>
        </references>
      </pivotArea>
    </format>
    <format dxfId="210">
      <pivotArea collapsedLevelsAreSubtotals="1" fieldPosition="0">
        <references count="2">
          <reference field="4" count="1" selected="0">
            <x v="5"/>
          </reference>
          <reference field="6" count="1">
            <x v="71"/>
          </reference>
        </references>
      </pivotArea>
    </format>
    <format dxfId="209">
      <pivotArea collapsedLevelsAreSubtotals="1" fieldPosition="0">
        <references count="3">
          <reference field="4" count="1" selected="0">
            <x v="5"/>
          </reference>
          <reference field="6" count="1" selected="0">
            <x v="71"/>
          </reference>
          <reference field="13" count="1">
            <x v="98"/>
          </reference>
        </references>
      </pivotArea>
    </format>
    <format dxfId="208">
      <pivotArea collapsedLevelsAreSubtotals="1" fieldPosition="0">
        <references count="2">
          <reference field="4" count="1" selected="0">
            <x v="5"/>
          </reference>
          <reference field="6" count="1">
            <x v="72"/>
          </reference>
        </references>
      </pivotArea>
    </format>
    <format dxfId="207">
      <pivotArea collapsedLevelsAreSubtotals="1" fieldPosition="0">
        <references count="3">
          <reference field="4" count="1" selected="0">
            <x v="5"/>
          </reference>
          <reference field="6" count="1" selected="0">
            <x v="72"/>
          </reference>
          <reference field="13" count="3">
            <x v="94"/>
            <x v="96"/>
            <x v="97"/>
          </reference>
        </references>
      </pivotArea>
    </format>
    <format dxfId="206">
      <pivotArea collapsedLevelsAreSubtotals="1" fieldPosition="0">
        <references count="2">
          <reference field="4" count="1" selected="0">
            <x v="5"/>
          </reference>
          <reference field="6" count="1">
            <x v="74"/>
          </reference>
        </references>
      </pivotArea>
    </format>
    <format dxfId="205">
      <pivotArea collapsedLevelsAreSubtotals="1" fieldPosition="0">
        <references count="3">
          <reference field="4" count="1" selected="0">
            <x v="5"/>
          </reference>
          <reference field="6" count="1" selected="0">
            <x v="74"/>
          </reference>
          <reference field="13" count="1">
            <x v="95"/>
          </reference>
        </references>
      </pivotArea>
    </format>
    <format dxfId="204">
      <pivotArea collapsedLevelsAreSubtotals="1" fieldPosition="0">
        <references count="2">
          <reference field="4" count="1" selected="0">
            <x v="5"/>
          </reference>
          <reference field="6" count="1">
            <x v="75"/>
          </reference>
        </references>
      </pivotArea>
    </format>
    <format dxfId="203">
      <pivotArea collapsedLevelsAreSubtotals="1" fieldPosition="0">
        <references count="3">
          <reference field="4" count="1" selected="0">
            <x v="5"/>
          </reference>
          <reference field="6" count="1" selected="0">
            <x v="75"/>
          </reference>
          <reference field="13" count="3">
            <x v="94"/>
            <x v="98"/>
            <x v="99"/>
          </reference>
        </references>
      </pivotArea>
    </format>
    <format dxfId="202">
      <pivotArea collapsedLevelsAreSubtotals="1" fieldPosition="0">
        <references count="1">
          <reference field="4" count="1">
            <x v="6"/>
          </reference>
        </references>
      </pivotArea>
    </format>
    <format dxfId="201">
      <pivotArea collapsedLevelsAreSubtotals="1" fieldPosition="0">
        <references count="2">
          <reference field="4" count="1" selected="0">
            <x v="6"/>
          </reference>
          <reference field="6" count="1">
            <x v="1"/>
          </reference>
        </references>
      </pivotArea>
    </format>
    <format dxfId="200">
      <pivotArea collapsedLevelsAreSubtotals="1" fieldPosition="0">
        <references count="3">
          <reference field="4" count="1" selected="0">
            <x v="6"/>
          </reference>
          <reference field="6" count="1" selected="0">
            <x v="1"/>
          </reference>
          <reference field="13" count="1">
            <x v="113"/>
          </reference>
        </references>
      </pivotArea>
    </format>
    <format dxfId="199">
      <pivotArea collapsedLevelsAreSubtotals="1" fieldPosition="0">
        <references count="2">
          <reference field="4" count="1" selected="0">
            <x v="6"/>
          </reference>
          <reference field="6" count="1">
            <x v="79"/>
          </reference>
        </references>
      </pivotArea>
    </format>
    <format dxfId="198">
      <pivotArea collapsedLevelsAreSubtotals="1" fieldPosition="0">
        <references count="3">
          <reference field="4" count="1" selected="0">
            <x v="6"/>
          </reference>
          <reference field="6" count="1" selected="0">
            <x v="79"/>
          </reference>
          <reference field="13" count="5">
            <x v="109"/>
            <x v="112"/>
            <x v="113"/>
            <x v="114"/>
            <x v="115"/>
          </reference>
        </references>
      </pivotArea>
    </format>
    <format dxfId="197">
      <pivotArea collapsedLevelsAreSubtotals="1" fieldPosition="0">
        <references count="2">
          <reference field="4" count="1" selected="0">
            <x v="6"/>
          </reference>
          <reference field="6" count="1">
            <x v="80"/>
          </reference>
        </references>
      </pivotArea>
    </format>
    <format dxfId="196">
      <pivotArea collapsedLevelsAreSubtotals="1" fieldPosition="0">
        <references count="3">
          <reference field="4" count="1" selected="0">
            <x v="6"/>
          </reference>
          <reference field="6" count="1" selected="0">
            <x v="80"/>
          </reference>
          <reference field="13" count="5">
            <x v="109"/>
            <x v="112"/>
            <x v="113"/>
            <x v="114"/>
            <x v="115"/>
          </reference>
        </references>
      </pivotArea>
    </format>
    <format dxfId="195">
      <pivotArea collapsedLevelsAreSubtotals="1" fieldPosition="0">
        <references count="2">
          <reference field="4" count="1" selected="0">
            <x v="6"/>
          </reference>
          <reference field="6" count="1">
            <x v="81"/>
          </reference>
        </references>
      </pivotArea>
    </format>
    <format dxfId="194">
      <pivotArea collapsedLevelsAreSubtotals="1" fieldPosition="0">
        <references count="3">
          <reference field="4" count="1" selected="0">
            <x v="6"/>
          </reference>
          <reference field="6" count="1" selected="0">
            <x v="81"/>
          </reference>
          <reference field="13" count="2">
            <x v="112"/>
            <x v="113"/>
          </reference>
        </references>
      </pivotArea>
    </format>
    <format dxfId="193">
      <pivotArea collapsedLevelsAreSubtotals="1" fieldPosition="0">
        <references count="2">
          <reference field="4" count="1" selected="0">
            <x v="6"/>
          </reference>
          <reference field="6" count="1">
            <x v="82"/>
          </reference>
        </references>
      </pivotArea>
    </format>
    <format dxfId="192">
      <pivotArea collapsedLevelsAreSubtotals="1" fieldPosition="0">
        <references count="3">
          <reference field="4" count="1" selected="0">
            <x v="6"/>
          </reference>
          <reference field="6" count="1" selected="0">
            <x v="82"/>
          </reference>
          <reference field="13" count="4">
            <x v="109"/>
            <x v="110"/>
            <x v="111"/>
            <x v="112"/>
          </reference>
        </references>
      </pivotArea>
    </format>
    <format dxfId="191">
      <pivotArea collapsedLevelsAreSubtotals="1" fieldPosition="0">
        <references count="1">
          <reference field="4" count="1">
            <x v="7"/>
          </reference>
        </references>
      </pivotArea>
    </format>
    <format dxfId="190">
      <pivotArea collapsedLevelsAreSubtotals="1" fieldPosition="0">
        <references count="2">
          <reference field="4" count="1" selected="0">
            <x v="7"/>
          </reference>
          <reference field="6" count="1">
            <x v="76"/>
          </reference>
        </references>
      </pivotArea>
    </format>
    <format dxfId="189">
      <pivotArea collapsedLevelsAreSubtotals="1" fieldPosition="0">
        <references count="3">
          <reference field="4" count="1" selected="0">
            <x v="7"/>
          </reference>
          <reference field="6" count="1" selected="0">
            <x v="76"/>
          </reference>
          <reference field="13" count="1">
            <x v="107"/>
          </reference>
        </references>
      </pivotArea>
    </format>
    <format dxfId="188">
      <pivotArea collapsedLevelsAreSubtotals="1" fieldPosition="0">
        <references count="2">
          <reference field="4" count="1" selected="0">
            <x v="7"/>
          </reference>
          <reference field="6" count="1">
            <x v="77"/>
          </reference>
        </references>
      </pivotArea>
    </format>
    <format dxfId="187">
      <pivotArea collapsedLevelsAreSubtotals="1" fieldPosition="0">
        <references count="3">
          <reference field="4" count="1" selected="0">
            <x v="7"/>
          </reference>
          <reference field="6" count="1" selected="0">
            <x v="77"/>
          </reference>
          <reference field="13" count="3">
            <x v="104"/>
            <x v="107"/>
            <x v="108"/>
          </reference>
        </references>
      </pivotArea>
    </format>
    <format dxfId="186">
      <pivotArea collapsedLevelsAreSubtotals="1" fieldPosition="0">
        <references count="2">
          <reference field="4" count="1" selected="0">
            <x v="7"/>
          </reference>
          <reference field="6" count="1">
            <x v="78"/>
          </reference>
        </references>
      </pivotArea>
    </format>
    <format dxfId="185">
      <pivotArea collapsedLevelsAreSubtotals="1" fieldPosition="0">
        <references count="3">
          <reference field="4" count="1" selected="0">
            <x v="7"/>
          </reference>
          <reference field="6" count="1" selected="0">
            <x v="78"/>
          </reference>
          <reference field="13" count="3">
            <x v="105"/>
            <x v="106"/>
            <x v="107"/>
          </reference>
        </references>
      </pivotArea>
    </format>
    <format dxfId="184">
      <pivotArea collapsedLevelsAreSubtotals="1" fieldPosition="0">
        <references count="1">
          <reference field="4" count="1">
            <x v="8"/>
          </reference>
        </references>
      </pivotArea>
    </format>
    <format dxfId="183">
      <pivotArea collapsedLevelsAreSubtotals="1" fieldPosition="0">
        <references count="2">
          <reference field="4" count="1" selected="0">
            <x v="8"/>
          </reference>
          <reference field="6" count="1">
            <x v="64"/>
          </reference>
        </references>
      </pivotArea>
    </format>
    <format dxfId="182">
      <pivotArea collapsedLevelsAreSubtotals="1" fieldPosition="0">
        <references count="3">
          <reference field="4" count="1" selected="0">
            <x v="8"/>
          </reference>
          <reference field="6" count="1" selected="0">
            <x v="64"/>
          </reference>
          <reference field="13" count="1">
            <x v="103"/>
          </reference>
        </references>
      </pivotArea>
    </format>
    <format dxfId="181">
      <pivotArea collapsedLevelsAreSubtotals="1" fieldPosition="0">
        <references count="2">
          <reference field="4" count="1" selected="0">
            <x v="8"/>
          </reference>
          <reference field="6" count="1">
            <x v="65"/>
          </reference>
        </references>
      </pivotArea>
    </format>
    <format dxfId="180">
      <pivotArea collapsedLevelsAreSubtotals="1" fieldPosition="0">
        <references count="3">
          <reference field="4" count="1" selected="0">
            <x v="8"/>
          </reference>
          <reference field="6" count="1" selected="0">
            <x v="65"/>
          </reference>
          <reference field="13" count="1">
            <x v="103"/>
          </reference>
        </references>
      </pivotArea>
    </format>
    <format dxfId="179">
      <pivotArea collapsedLevelsAreSubtotals="1" fieldPosition="0">
        <references count="2">
          <reference field="4" count="1" selected="0">
            <x v="8"/>
          </reference>
          <reference field="6" count="1">
            <x v="67"/>
          </reference>
        </references>
      </pivotArea>
    </format>
    <format dxfId="178">
      <pivotArea collapsedLevelsAreSubtotals="1" fieldPosition="0">
        <references count="3">
          <reference field="4" count="1" selected="0">
            <x v="8"/>
          </reference>
          <reference field="6" count="1" selected="0">
            <x v="67"/>
          </reference>
          <reference field="13" count="2">
            <x v="101"/>
            <x v="102"/>
          </reference>
        </references>
      </pivotArea>
    </format>
    <format dxfId="177">
      <pivotArea collapsedLevelsAreSubtotals="1" fieldPosition="0">
        <references count="2">
          <reference field="4" count="1" selected="0">
            <x v="8"/>
          </reference>
          <reference field="6" count="1">
            <x v="68"/>
          </reference>
        </references>
      </pivotArea>
    </format>
    <format dxfId="176">
      <pivotArea collapsedLevelsAreSubtotals="1" fieldPosition="0">
        <references count="3">
          <reference field="4" count="1" selected="0">
            <x v="8"/>
          </reference>
          <reference field="6" count="1" selected="0">
            <x v="68"/>
          </reference>
          <reference field="13" count="1">
            <x v="100"/>
          </reference>
        </references>
      </pivotArea>
    </format>
    <format dxfId="175">
      <pivotArea collapsedLevelsAreSubtotals="1" fieldPosition="0">
        <references count="2">
          <reference field="4" count="1" selected="0">
            <x v="8"/>
          </reference>
          <reference field="6" count="1">
            <x v="69"/>
          </reference>
        </references>
      </pivotArea>
    </format>
    <format dxfId="174">
      <pivotArea collapsedLevelsAreSubtotals="1" fieldPosition="0">
        <references count="3">
          <reference field="4" count="1" selected="0">
            <x v="8"/>
          </reference>
          <reference field="6" count="1" selected="0">
            <x v="69"/>
          </reference>
          <reference field="13" count="1">
            <x v="103"/>
          </reference>
        </references>
      </pivotArea>
    </format>
    <format dxfId="173">
      <pivotArea collapsedLevelsAreSubtotals="1" fieldPosition="0">
        <references count="1">
          <reference field="4" count="1">
            <x v="9"/>
          </reference>
        </references>
      </pivotArea>
    </format>
    <format dxfId="172">
      <pivotArea collapsedLevelsAreSubtotals="1" fieldPosition="0">
        <references count="2">
          <reference field="4" count="1" selected="0">
            <x v="9"/>
          </reference>
          <reference field="6" count="1">
            <x v="73"/>
          </reference>
        </references>
      </pivotArea>
    </format>
    <format dxfId="171">
      <pivotArea collapsedLevelsAreSubtotals="1" fieldPosition="0">
        <references count="3">
          <reference field="4" count="1" selected="0">
            <x v="9"/>
          </reference>
          <reference field="6" count="1" selected="0">
            <x v="73"/>
          </reference>
          <reference field="13" count="2">
            <x v="116"/>
            <x v="117"/>
          </reference>
        </references>
      </pivotArea>
    </format>
    <format dxfId="170">
      <pivotArea collapsedLevelsAreSubtotals="1" fieldPosition="0">
        <references count="1">
          <reference field="4" count="1">
            <x v="10"/>
          </reference>
        </references>
      </pivotArea>
    </format>
    <format dxfId="169">
      <pivotArea collapsedLevelsAreSubtotals="1" fieldPosition="0">
        <references count="2">
          <reference field="4" count="1" selected="0">
            <x v="10"/>
          </reference>
          <reference field="6" count="1">
            <x v="47"/>
          </reference>
        </references>
      </pivotArea>
    </format>
    <format dxfId="168">
      <pivotArea collapsedLevelsAreSubtotals="1" fieldPosition="0">
        <references count="3">
          <reference field="4" count="1" selected="0">
            <x v="10"/>
          </reference>
          <reference field="6" count="1" selected="0">
            <x v="47"/>
          </reference>
          <reference field="13" count="3">
            <x v="54"/>
            <x v="55"/>
            <x v="56"/>
          </reference>
        </references>
      </pivotArea>
    </format>
    <format dxfId="167">
      <pivotArea collapsedLevelsAreSubtotals="1" fieldPosition="0">
        <references count="2">
          <reference field="4" count="1" selected="0">
            <x v="10"/>
          </reference>
          <reference field="6" count="1">
            <x v="48"/>
          </reference>
        </references>
      </pivotArea>
    </format>
    <format dxfId="166">
      <pivotArea collapsedLevelsAreSubtotals="1" fieldPosition="0">
        <references count="3">
          <reference field="4" count="1" selected="0">
            <x v="10"/>
          </reference>
          <reference field="6" count="1" selected="0">
            <x v="48"/>
          </reference>
          <reference field="13" count="1">
            <x v="54"/>
          </reference>
        </references>
      </pivotArea>
    </format>
    <format dxfId="165">
      <pivotArea collapsedLevelsAreSubtotals="1" fieldPosition="0">
        <references count="2">
          <reference field="4" count="1" selected="0">
            <x v="10"/>
          </reference>
          <reference field="6" count="1">
            <x v="49"/>
          </reference>
        </references>
      </pivotArea>
    </format>
    <format dxfId="164">
      <pivotArea collapsedLevelsAreSubtotals="1" fieldPosition="0">
        <references count="3">
          <reference field="4" count="1" selected="0">
            <x v="10"/>
          </reference>
          <reference field="6" count="1" selected="0">
            <x v="49"/>
          </reference>
          <reference field="13" count="1">
            <x v="54"/>
          </reference>
        </references>
      </pivotArea>
    </format>
    <format dxfId="163">
      <pivotArea collapsedLevelsAreSubtotals="1" fieldPosition="0">
        <references count="2">
          <reference field="4" count="1" selected="0">
            <x v="10"/>
          </reference>
          <reference field="6" count="1">
            <x v="50"/>
          </reference>
        </references>
      </pivotArea>
    </format>
    <format dxfId="162">
      <pivotArea collapsedLevelsAreSubtotals="1" fieldPosition="0">
        <references count="3">
          <reference field="4" count="1" selected="0">
            <x v="10"/>
          </reference>
          <reference field="6" count="1" selected="0">
            <x v="50"/>
          </reference>
          <reference field="13" count="1">
            <x v="54"/>
          </reference>
        </references>
      </pivotArea>
    </format>
    <format dxfId="161">
      <pivotArea collapsedLevelsAreSubtotals="1" fieldPosition="0">
        <references count="1">
          <reference field="4" count="1">
            <x v="11"/>
          </reference>
        </references>
      </pivotArea>
    </format>
    <format dxfId="160">
      <pivotArea collapsedLevelsAreSubtotals="1" fieldPosition="0">
        <references count="2">
          <reference field="4" count="1" selected="0">
            <x v="11"/>
          </reference>
          <reference field="6" count="1">
            <x v="22"/>
          </reference>
        </references>
      </pivotArea>
    </format>
    <format dxfId="159">
      <pivotArea collapsedLevelsAreSubtotals="1" fieldPosition="0">
        <references count="3">
          <reference field="4" count="1" selected="0">
            <x v="11"/>
          </reference>
          <reference field="6" count="1" selected="0">
            <x v="22"/>
          </reference>
          <reference field="13" count="2">
            <x v="63"/>
            <x v="65"/>
          </reference>
        </references>
      </pivotArea>
    </format>
    <format dxfId="158">
      <pivotArea collapsedLevelsAreSubtotals="1" fieldPosition="0">
        <references count="2">
          <reference field="4" count="1" selected="0">
            <x v="11"/>
          </reference>
          <reference field="6" count="1">
            <x v="23"/>
          </reference>
        </references>
      </pivotArea>
    </format>
    <format dxfId="157">
      <pivotArea collapsedLevelsAreSubtotals="1" fieldPosition="0">
        <references count="3">
          <reference field="4" count="1" selected="0">
            <x v="11"/>
          </reference>
          <reference field="6" count="1" selected="0">
            <x v="23"/>
          </reference>
          <reference field="13" count="5">
            <x v="61"/>
            <x v="62"/>
            <x v="63"/>
            <x v="64"/>
            <x v="65"/>
          </reference>
        </references>
      </pivotArea>
    </format>
    <format dxfId="156">
      <pivotArea collapsedLevelsAreSubtotals="1" fieldPosition="0">
        <references count="2">
          <reference field="4" count="1" selected="0">
            <x v="11"/>
          </reference>
          <reference field="6" count="1">
            <x v="24"/>
          </reference>
        </references>
      </pivotArea>
    </format>
    <format dxfId="155">
      <pivotArea collapsedLevelsAreSubtotals="1" fieldPosition="0">
        <references count="3">
          <reference field="4" count="1" selected="0">
            <x v="11"/>
          </reference>
          <reference field="6" count="1" selected="0">
            <x v="24"/>
          </reference>
          <reference field="13" count="2">
            <x v="63"/>
            <x v="65"/>
          </reference>
        </references>
      </pivotArea>
    </format>
    <format dxfId="154">
      <pivotArea collapsedLevelsAreSubtotals="1" fieldPosition="0">
        <references count="2">
          <reference field="4" count="1" selected="0">
            <x v="11"/>
          </reference>
          <reference field="6" count="1">
            <x v="25"/>
          </reference>
        </references>
      </pivotArea>
    </format>
    <format dxfId="153">
      <pivotArea collapsedLevelsAreSubtotals="1" fieldPosition="0">
        <references count="3">
          <reference field="4" count="1" selected="0">
            <x v="11"/>
          </reference>
          <reference field="6" count="1" selected="0">
            <x v="25"/>
          </reference>
          <reference field="13" count="1">
            <x v="64"/>
          </reference>
        </references>
      </pivotArea>
    </format>
    <format dxfId="152">
      <pivotArea collapsedLevelsAreSubtotals="1" fieldPosition="0">
        <references count="1">
          <reference field="4" count="1">
            <x v="12"/>
          </reference>
        </references>
      </pivotArea>
    </format>
    <format dxfId="151">
      <pivotArea collapsedLevelsAreSubtotals="1" fieldPosition="0">
        <references count="2">
          <reference field="4" count="1" selected="0">
            <x v="12"/>
          </reference>
          <reference field="6" count="1">
            <x v="58"/>
          </reference>
        </references>
      </pivotArea>
    </format>
    <format dxfId="150">
      <pivotArea collapsedLevelsAreSubtotals="1" fieldPosition="0">
        <references count="3">
          <reference field="4" count="1" selected="0">
            <x v="12"/>
          </reference>
          <reference field="6" count="1" selected="0">
            <x v="58"/>
          </reference>
          <reference field="13" count="2">
            <x v="92"/>
            <x v="93"/>
          </reference>
        </references>
      </pivotArea>
    </format>
    <format dxfId="149">
      <pivotArea collapsedLevelsAreSubtotals="1" fieldPosition="0">
        <references count="2">
          <reference field="4" count="1" selected="0">
            <x v="12"/>
          </reference>
          <reference field="6" count="1">
            <x v="59"/>
          </reference>
        </references>
      </pivotArea>
    </format>
    <format dxfId="148">
      <pivotArea collapsedLevelsAreSubtotals="1" fieldPosition="0">
        <references count="3">
          <reference field="4" count="1" selected="0">
            <x v="12"/>
          </reference>
          <reference field="6" count="1" selected="0">
            <x v="59"/>
          </reference>
          <reference field="13" count="1">
            <x v="91"/>
          </reference>
        </references>
      </pivotArea>
    </format>
    <format dxfId="147">
      <pivotArea collapsedLevelsAreSubtotals="1" fieldPosition="0">
        <references count="2">
          <reference field="4" count="1" selected="0">
            <x v="12"/>
          </reference>
          <reference field="6" count="1">
            <x v="61"/>
          </reference>
        </references>
      </pivotArea>
    </format>
    <format dxfId="146">
      <pivotArea collapsedLevelsAreSubtotals="1" fieldPosition="0">
        <references count="3">
          <reference field="4" count="1" selected="0">
            <x v="12"/>
          </reference>
          <reference field="6" count="1" selected="0">
            <x v="61"/>
          </reference>
          <reference field="13" count="2">
            <x v="89"/>
            <x v="90"/>
          </reference>
        </references>
      </pivotArea>
    </format>
    <format dxfId="145">
      <pivotArea collapsedLevelsAreSubtotals="1" fieldPosition="0">
        <references count="2">
          <reference field="4" count="1" selected="0">
            <x v="12"/>
          </reference>
          <reference field="6" count="1">
            <x v="62"/>
          </reference>
        </references>
      </pivotArea>
    </format>
    <format dxfId="144">
      <pivotArea collapsedLevelsAreSubtotals="1" fieldPosition="0">
        <references count="3">
          <reference field="4" count="1" selected="0">
            <x v="12"/>
          </reference>
          <reference field="6" count="1" selected="0">
            <x v="62"/>
          </reference>
          <reference field="13" count="1">
            <x v="88"/>
          </reference>
        </references>
      </pivotArea>
    </format>
    <format dxfId="143">
      <pivotArea collapsedLevelsAreSubtotals="1" fieldPosition="0">
        <references count="2">
          <reference field="4" count="1" selected="0">
            <x v="12"/>
          </reference>
          <reference field="6" count="1">
            <x v="63"/>
          </reference>
        </references>
      </pivotArea>
    </format>
    <format dxfId="142">
      <pivotArea collapsedLevelsAreSubtotals="1" fieldPosition="0">
        <references count="3">
          <reference field="4" count="1" selected="0">
            <x v="12"/>
          </reference>
          <reference field="6" count="1" selected="0">
            <x v="63"/>
          </reference>
          <reference field="13" count="1">
            <x v="91"/>
          </reference>
        </references>
      </pivotArea>
    </format>
    <format dxfId="141">
      <pivotArea collapsedLevelsAreSubtotals="1" fieldPosition="0">
        <references count="1">
          <reference field="4" count="1">
            <x v="13"/>
          </reference>
        </references>
      </pivotArea>
    </format>
    <format dxfId="140">
      <pivotArea collapsedLevelsAreSubtotals="1" fieldPosition="0">
        <references count="2">
          <reference field="4" count="1" selected="0">
            <x v="13"/>
          </reference>
          <reference field="6" count="1">
            <x v="83"/>
          </reference>
        </references>
      </pivotArea>
    </format>
    <format dxfId="139">
      <pivotArea collapsedLevelsAreSubtotals="1" fieldPosition="0">
        <references count="3">
          <reference field="4" count="1" selected="0">
            <x v="13"/>
          </reference>
          <reference field="6" count="1" selected="0">
            <x v="83"/>
          </reference>
          <reference field="13"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138">
      <pivotArea collapsedLevelsAreSubtotals="1" fieldPosition="0">
        <references count="1">
          <reference field="4" count="1">
            <x v="14"/>
          </reference>
        </references>
      </pivotArea>
    </format>
    <format dxfId="137">
      <pivotArea collapsedLevelsAreSubtotals="1" fieldPosition="0">
        <references count="2">
          <reference field="4" count="1" selected="0">
            <x v="14"/>
          </reference>
          <reference field="6" count="1">
            <x v="51"/>
          </reference>
        </references>
      </pivotArea>
    </format>
    <format dxfId="136">
      <pivotArea collapsedLevelsAreSubtotals="1" fieldPosition="0">
        <references count="3">
          <reference field="4" count="1" selected="0">
            <x v="14"/>
          </reference>
          <reference field="6" count="1" selected="0">
            <x v="51"/>
          </reference>
          <reference field="13" count="2">
            <x v="121"/>
            <x v="129"/>
          </reference>
        </references>
      </pivotArea>
    </format>
    <format dxfId="135">
      <pivotArea collapsedLevelsAreSubtotals="1" fieldPosition="0">
        <references count="2">
          <reference field="4" count="1" selected="0">
            <x v="14"/>
          </reference>
          <reference field="6" count="1">
            <x v="52"/>
          </reference>
        </references>
      </pivotArea>
    </format>
    <format dxfId="134">
      <pivotArea collapsedLevelsAreSubtotals="1" fieldPosition="0">
        <references count="3">
          <reference field="4" count="1" selected="0">
            <x v="14"/>
          </reference>
          <reference field="6" count="1" selected="0">
            <x v="52"/>
          </reference>
          <reference field="13" count="2">
            <x v="124"/>
            <x v="127"/>
          </reference>
        </references>
      </pivotArea>
    </format>
    <format dxfId="133">
      <pivotArea collapsedLevelsAreSubtotals="1" fieldPosition="0">
        <references count="2">
          <reference field="4" count="1" selected="0">
            <x v="14"/>
          </reference>
          <reference field="6" count="1">
            <x v="53"/>
          </reference>
        </references>
      </pivotArea>
    </format>
    <format dxfId="132">
      <pivotArea collapsedLevelsAreSubtotals="1" fieldPosition="0">
        <references count="3">
          <reference field="4" count="1" selected="0">
            <x v="14"/>
          </reference>
          <reference field="6" count="1" selected="0">
            <x v="53"/>
          </reference>
          <reference field="13" count="4">
            <x v="124"/>
            <x v="126"/>
            <x v="130"/>
            <x v="131"/>
          </reference>
        </references>
      </pivotArea>
    </format>
    <format dxfId="131">
      <pivotArea collapsedLevelsAreSubtotals="1" fieldPosition="0">
        <references count="2">
          <reference field="4" count="1" selected="0">
            <x v="14"/>
          </reference>
          <reference field="6" count="1">
            <x v="54"/>
          </reference>
        </references>
      </pivotArea>
    </format>
    <format dxfId="130">
      <pivotArea collapsedLevelsAreSubtotals="1" fieldPosition="0">
        <references count="3">
          <reference field="4" count="1" selected="0">
            <x v="14"/>
          </reference>
          <reference field="6" count="1" selected="0">
            <x v="54"/>
          </reference>
          <reference field="13" count="2">
            <x v="124"/>
            <x v="125"/>
          </reference>
        </references>
      </pivotArea>
    </format>
    <format dxfId="129">
      <pivotArea collapsedLevelsAreSubtotals="1" fieldPosition="0">
        <references count="2">
          <reference field="4" count="1" selected="0">
            <x v="14"/>
          </reference>
          <reference field="6" count="1">
            <x v="55"/>
          </reference>
        </references>
      </pivotArea>
    </format>
    <format dxfId="128">
      <pivotArea collapsedLevelsAreSubtotals="1" fieldPosition="0">
        <references count="3">
          <reference field="4" count="1" selected="0">
            <x v="14"/>
          </reference>
          <reference field="6" count="1" selected="0">
            <x v="55"/>
          </reference>
          <reference field="13" count="1">
            <x v="124"/>
          </reference>
        </references>
      </pivotArea>
    </format>
    <format dxfId="127">
      <pivotArea collapsedLevelsAreSubtotals="1" fieldPosition="0">
        <references count="2">
          <reference field="4" count="1" selected="0">
            <x v="14"/>
          </reference>
          <reference field="6" count="1">
            <x v="56"/>
          </reference>
        </references>
      </pivotArea>
    </format>
    <format dxfId="126">
      <pivotArea collapsedLevelsAreSubtotals="1" fieldPosition="0">
        <references count="3">
          <reference field="4" count="1" selected="0">
            <x v="14"/>
          </reference>
          <reference field="6" count="1" selected="0">
            <x v="56"/>
          </reference>
          <reference field="13" count="1">
            <x v="123"/>
          </reference>
        </references>
      </pivotArea>
    </format>
    <format dxfId="125">
      <pivotArea collapsedLevelsAreSubtotals="1" fieldPosition="0">
        <references count="2">
          <reference field="4" count="1" selected="0">
            <x v="14"/>
          </reference>
          <reference field="6" count="1">
            <x v="57"/>
          </reference>
        </references>
      </pivotArea>
    </format>
    <format dxfId="124">
      <pivotArea collapsedLevelsAreSubtotals="1" fieldPosition="0">
        <references count="3">
          <reference field="4" count="1" selected="0">
            <x v="14"/>
          </reference>
          <reference field="6" count="1" selected="0">
            <x v="57"/>
          </reference>
          <reference field="13" count="4">
            <x v="122"/>
            <x v="123"/>
            <x v="128"/>
            <x v="129"/>
          </reference>
        </references>
      </pivotArea>
    </format>
    <format dxfId="123">
      <pivotArea collapsedLevelsAreSubtotals="1" fieldPosition="0">
        <references count="1">
          <reference field="4" count="1">
            <x v="15"/>
          </reference>
        </references>
      </pivotArea>
    </format>
    <format dxfId="122">
      <pivotArea collapsedLevelsAreSubtotals="1" fieldPosition="0">
        <references count="2">
          <reference field="4" count="1" selected="0">
            <x v="15"/>
          </reference>
          <reference field="6" count="1">
            <x v="40"/>
          </reference>
        </references>
      </pivotArea>
    </format>
    <format dxfId="121">
      <pivotArea collapsedLevelsAreSubtotals="1" fieldPosition="0">
        <references count="3">
          <reference field="4" count="1" selected="0">
            <x v="15"/>
          </reference>
          <reference field="6" count="1" selected="0">
            <x v="40"/>
          </reference>
          <reference field="13" count="2">
            <x v="58"/>
            <x v="60"/>
          </reference>
        </references>
      </pivotArea>
    </format>
    <format dxfId="120">
      <pivotArea collapsedLevelsAreSubtotals="1" fieldPosition="0">
        <references count="2">
          <reference field="4" count="1" selected="0">
            <x v="15"/>
          </reference>
          <reference field="6" count="1">
            <x v="42"/>
          </reference>
        </references>
      </pivotArea>
    </format>
    <format dxfId="119">
      <pivotArea collapsedLevelsAreSubtotals="1" fieldPosition="0">
        <references count="3">
          <reference field="4" count="1" selected="0">
            <x v="15"/>
          </reference>
          <reference field="6" count="1" selected="0">
            <x v="42"/>
          </reference>
          <reference field="13" count="2">
            <x v="58"/>
            <x v="60"/>
          </reference>
        </references>
      </pivotArea>
    </format>
    <format dxfId="118">
      <pivotArea collapsedLevelsAreSubtotals="1" fieldPosition="0">
        <references count="2">
          <reference field="4" count="1" selected="0">
            <x v="15"/>
          </reference>
          <reference field="6" count="1">
            <x v="43"/>
          </reference>
        </references>
      </pivotArea>
    </format>
    <format dxfId="117">
      <pivotArea collapsedLevelsAreSubtotals="1" fieldPosition="0">
        <references count="3">
          <reference field="4" count="1" selected="0">
            <x v="15"/>
          </reference>
          <reference field="6" count="1" selected="0">
            <x v="43"/>
          </reference>
          <reference field="13" count="3">
            <x v="57"/>
            <x v="58"/>
            <x v="60"/>
          </reference>
        </references>
      </pivotArea>
    </format>
    <format dxfId="116">
      <pivotArea collapsedLevelsAreSubtotals="1" fieldPosition="0">
        <references count="2">
          <reference field="4" count="1" selected="0">
            <x v="15"/>
          </reference>
          <reference field="6" count="1">
            <x v="44"/>
          </reference>
        </references>
      </pivotArea>
    </format>
    <format dxfId="115">
      <pivotArea collapsedLevelsAreSubtotals="1" fieldPosition="0">
        <references count="3">
          <reference field="4" count="1" selected="0">
            <x v="15"/>
          </reference>
          <reference field="6" count="1" selected="0">
            <x v="44"/>
          </reference>
          <reference field="13" count="3">
            <x v="58"/>
            <x v="59"/>
            <x v="60"/>
          </reference>
        </references>
      </pivotArea>
    </format>
    <format dxfId="114">
      <pivotArea collapsedLevelsAreSubtotals="1" fieldPosition="0">
        <references count="2">
          <reference field="4" count="1" selected="0">
            <x v="15"/>
          </reference>
          <reference field="6" count="1">
            <x v="45"/>
          </reference>
        </references>
      </pivotArea>
    </format>
    <format dxfId="113">
      <pivotArea collapsedLevelsAreSubtotals="1" fieldPosition="0">
        <references count="3">
          <reference field="4" count="1" selected="0">
            <x v="15"/>
          </reference>
          <reference field="6" count="1" selected="0">
            <x v="45"/>
          </reference>
          <reference field="13" count="2">
            <x v="58"/>
            <x v="60"/>
          </reference>
        </references>
      </pivotArea>
    </format>
    <format dxfId="112">
      <pivotArea dataOnly="0" labelOnly="1" fieldPosition="0">
        <references count="1">
          <reference field="4" count="0"/>
        </references>
      </pivotArea>
    </format>
    <format dxfId="111">
      <pivotArea dataOnly="0" labelOnly="1" fieldPosition="0">
        <references count="2">
          <reference field="4" count="1" selected="0">
            <x v="0"/>
          </reference>
          <reference field="6" count="4">
            <x v="9"/>
            <x v="10"/>
            <x v="11"/>
            <x v="19"/>
          </reference>
        </references>
      </pivotArea>
    </format>
    <format dxfId="110">
      <pivotArea dataOnly="0" labelOnly="1" fieldPosition="0">
        <references count="2">
          <reference field="4" count="1" selected="0">
            <x v="1"/>
          </reference>
          <reference field="6" count="15">
            <x v="3"/>
            <x v="4"/>
            <x v="5"/>
            <x v="6"/>
            <x v="7"/>
            <x v="8"/>
            <x v="13"/>
            <x v="14"/>
            <x v="15"/>
            <x v="16"/>
            <x v="17"/>
            <x v="18"/>
            <x v="20"/>
            <x v="21"/>
            <x v="84"/>
          </reference>
        </references>
      </pivotArea>
    </format>
    <format dxfId="109">
      <pivotArea dataOnly="0" labelOnly="1" fieldPosition="0">
        <references count="2">
          <reference field="4" count="1" selected="0">
            <x v="2"/>
          </reference>
          <reference field="6" count="2">
            <x v="38"/>
            <x v="39"/>
          </reference>
        </references>
      </pivotArea>
    </format>
    <format dxfId="108">
      <pivotArea dataOnly="0" labelOnly="1" fieldPosition="0">
        <references count="2">
          <reference field="4" count="1" selected="0">
            <x v="3"/>
          </reference>
          <reference field="6" count="8">
            <x v="26"/>
            <x v="27"/>
            <x v="28"/>
            <x v="29"/>
            <x v="30"/>
            <x v="31"/>
            <x v="32"/>
            <x v="33"/>
          </reference>
        </references>
      </pivotArea>
    </format>
    <format dxfId="107">
      <pivotArea dataOnly="0" labelOnly="1" fieldPosition="0">
        <references count="2">
          <reference field="4" count="1" selected="0">
            <x v="4"/>
          </reference>
          <reference field="6" count="3">
            <x v="35"/>
            <x v="36"/>
            <x v="37"/>
          </reference>
        </references>
      </pivotArea>
    </format>
    <format dxfId="106">
      <pivotArea dataOnly="0" labelOnly="1" fieldPosition="0">
        <references count="2">
          <reference field="4" count="1" selected="0">
            <x v="5"/>
          </reference>
          <reference field="6" count="5">
            <x v="70"/>
            <x v="71"/>
            <x v="72"/>
            <x v="74"/>
            <x v="75"/>
          </reference>
        </references>
      </pivotArea>
    </format>
    <format dxfId="105">
      <pivotArea dataOnly="0" labelOnly="1" fieldPosition="0">
        <references count="2">
          <reference field="4" count="1" selected="0">
            <x v="6"/>
          </reference>
          <reference field="6" count="5">
            <x v="1"/>
            <x v="79"/>
            <x v="80"/>
            <x v="81"/>
            <x v="82"/>
          </reference>
        </references>
      </pivotArea>
    </format>
    <format dxfId="104">
      <pivotArea dataOnly="0" labelOnly="1" fieldPosition="0">
        <references count="2">
          <reference field="4" count="1" selected="0">
            <x v="7"/>
          </reference>
          <reference field="6" count="3">
            <x v="76"/>
            <x v="77"/>
            <x v="78"/>
          </reference>
        </references>
      </pivotArea>
    </format>
    <format dxfId="103">
      <pivotArea dataOnly="0" labelOnly="1" fieldPosition="0">
        <references count="2">
          <reference field="4" count="1" selected="0">
            <x v="8"/>
          </reference>
          <reference field="6" count="5">
            <x v="64"/>
            <x v="65"/>
            <x v="67"/>
            <x v="68"/>
            <x v="69"/>
          </reference>
        </references>
      </pivotArea>
    </format>
    <format dxfId="102">
      <pivotArea dataOnly="0" labelOnly="1" fieldPosition="0">
        <references count="2">
          <reference field="4" count="1" selected="0">
            <x v="9"/>
          </reference>
          <reference field="6" count="1">
            <x v="73"/>
          </reference>
        </references>
      </pivotArea>
    </format>
    <format dxfId="101">
      <pivotArea dataOnly="0" labelOnly="1" fieldPosition="0">
        <references count="2">
          <reference field="4" count="1" selected="0">
            <x v="10"/>
          </reference>
          <reference field="6" count="4">
            <x v="47"/>
            <x v="48"/>
            <x v="49"/>
            <x v="50"/>
          </reference>
        </references>
      </pivotArea>
    </format>
    <format dxfId="100">
      <pivotArea dataOnly="0" labelOnly="1" fieldPosition="0">
        <references count="2">
          <reference field="4" count="1" selected="0">
            <x v="11"/>
          </reference>
          <reference field="6" count="4">
            <x v="22"/>
            <x v="23"/>
            <x v="24"/>
            <x v="25"/>
          </reference>
        </references>
      </pivotArea>
    </format>
    <format dxfId="99">
      <pivotArea dataOnly="0" labelOnly="1" fieldPosition="0">
        <references count="2">
          <reference field="4" count="1" selected="0">
            <x v="12"/>
          </reference>
          <reference field="6" count="5">
            <x v="58"/>
            <x v="59"/>
            <x v="61"/>
            <x v="62"/>
            <x v="63"/>
          </reference>
        </references>
      </pivotArea>
    </format>
    <format dxfId="98">
      <pivotArea dataOnly="0" labelOnly="1" fieldPosition="0">
        <references count="2">
          <reference field="4" count="1" selected="0">
            <x v="13"/>
          </reference>
          <reference field="6" count="1">
            <x v="83"/>
          </reference>
        </references>
      </pivotArea>
    </format>
    <format dxfId="97">
      <pivotArea dataOnly="0" labelOnly="1" fieldPosition="0">
        <references count="2">
          <reference field="4" count="1" selected="0">
            <x v="14"/>
          </reference>
          <reference field="6" count="7">
            <x v="51"/>
            <x v="52"/>
            <x v="53"/>
            <x v="54"/>
            <x v="55"/>
            <x v="56"/>
            <x v="57"/>
          </reference>
        </references>
      </pivotArea>
    </format>
    <format dxfId="96">
      <pivotArea dataOnly="0" labelOnly="1" fieldPosition="0">
        <references count="2">
          <reference field="4" count="1" selected="0">
            <x v="15"/>
          </reference>
          <reference field="6" count="5">
            <x v="40"/>
            <x v="42"/>
            <x v="43"/>
            <x v="44"/>
            <x v="45"/>
          </reference>
        </references>
      </pivotArea>
    </format>
    <format dxfId="95">
      <pivotArea dataOnly="0" labelOnly="1" fieldPosition="0">
        <references count="3">
          <reference field="4" count="1" selected="0">
            <x v="0"/>
          </reference>
          <reference field="6" count="1" selected="0">
            <x v="9"/>
          </reference>
          <reference field="13" count="1">
            <x v="85"/>
          </reference>
        </references>
      </pivotArea>
    </format>
    <format dxfId="94">
      <pivotArea dataOnly="0" labelOnly="1" fieldPosition="0">
        <references count="3">
          <reference field="4" count="1" selected="0">
            <x v="0"/>
          </reference>
          <reference field="6" count="1" selected="0">
            <x v="10"/>
          </reference>
          <reference field="13" count="1">
            <x v="86"/>
          </reference>
        </references>
      </pivotArea>
    </format>
    <format dxfId="93">
      <pivotArea dataOnly="0" labelOnly="1" fieldPosition="0">
        <references count="3">
          <reference field="4" count="1" selected="0">
            <x v="0"/>
          </reference>
          <reference field="6" count="1" selected="0">
            <x v="11"/>
          </reference>
          <reference field="13" count="3">
            <x v="83"/>
            <x v="84"/>
            <x v="87"/>
          </reference>
        </references>
      </pivotArea>
    </format>
    <format dxfId="92">
      <pivotArea dataOnly="0" labelOnly="1" fieldPosition="0">
        <references count="3">
          <reference field="4" count="1" selected="0">
            <x v="0"/>
          </reference>
          <reference field="6" count="1" selected="0">
            <x v="19"/>
          </reference>
          <reference field="13" count="3">
            <x v="83"/>
            <x v="84"/>
            <x v="87"/>
          </reference>
        </references>
      </pivotArea>
    </format>
    <format dxfId="91">
      <pivotArea dataOnly="0" labelOnly="1" fieldPosition="0">
        <references count="3">
          <reference field="4" count="1" selected="0">
            <x v="1"/>
          </reference>
          <reference field="6" count="1" selected="0">
            <x v="3"/>
          </reference>
          <reference field="13" count="1">
            <x v="76"/>
          </reference>
        </references>
      </pivotArea>
    </format>
    <format dxfId="90">
      <pivotArea dataOnly="0" labelOnly="1" fieldPosition="0">
        <references count="3">
          <reference field="4" count="1" selected="0">
            <x v="1"/>
          </reference>
          <reference field="6" count="1" selected="0">
            <x v="4"/>
          </reference>
          <reference field="13" count="2">
            <x v="74"/>
            <x v="79"/>
          </reference>
        </references>
      </pivotArea>
    </format>
    <format dxfId="89">
      <pivotArea dataOnly="0" labelOnly="1" fieldPosition="0">
        <references count="3">
          <reference field="4" count="1" selected="0">
            <x v="1"/>
          </reference>
          <reference field="6" count="1" selected="0">
            <x v="5"/>
          </reference>
          <reference field="13" count="1">
            <x v="78"/>
          </reference>
        </references>
      </pivotArea>
    </format>
    <format dxfId="88">
      <pivotArea dataOnly="0" labelOnly="1" fieldPosition="0">
        <references count="3">
          <reference field="4" count="1" selected="0">
            <x v="1"/>
          </reference>
          <reference field="6" count="1" selected="0">
            <x v="6"/>
          </reference>
          <reference field="13" count="1">
            <x v="77"/>
          </reference>
        </references>
      </pivotArea>
    </format>
    <format dxfId="87">
      <pivotArea dataOnly="0" labelOnly="1" fieldPosition="0">
        <references count="3">
          <reference field="4" count="1" selected="0">
            <x v="1"/>
          </reference>
          <reference field="6" count="1" selected="0">
            <x v="7"/>
          </reference>
          <reference field="13" count="3">
            <x v="71"/>
            <x v="75"/>
            <x v="80"/>
          </reference>
        </references>
      </pivotArea>
    </format>
    <format dxfId="86">
      <pivotArea dataOnly="0" labelOnly="1" fieldPosition="0">
        <references count="3">
          <reference field="4" count="1" selected="0">
            <x v="1"/>
          </reference>
          <reference field="6" count="1" selected="0">
            <x v="8"/>
          </reference>
          <reference field="13" count="1">
            <x v="81"/>
          </reference>
        </references>
      </pivotArea>
    </format>
    <format dxfId="85">
      <pivotArea dataOnly="0" labelOnly="1" fieldPosition="0">
        <references count="3">
          <reference field="4" count="1" selected="0">
            <x v="1"/>
          </reference>
          <reference field="6" count="1" selected="0">
            <x v="13"/>
          </reference>
          <reference field="13" count="2">
            <x v="75"/>
            <x v="82"/>
          </reference>
        </references>
      </pivotArea>
    </format>
    <format dxfId="84">
      <pivotArea dataOnly="0" labelOnly="1" fieldPosition="0">
        <references count="3">
          <reference field="4" count="1" selected="0">
            <x v="1"/>
          </reference>
          <reference field="6" count="1" selected="0">
            <x v="14"/>
          </reference>
          <reference field="13" count="3">
            <x v="71"/>
            <x v="72"/>
            <x v="75"/>
          </reference>
        </references>
      </pivotArea>
    </format>
    <format dxfId="83">
      <pivotArea dataOnly="0" labelOnly="1" fieldPosition="0">
        <references count="3">
          <reference field="4" count="1" selected="0">
            <x v="1"/>
          </reference>
          <reference field="6" count="1" selected="0">
            <x v="15"/>
          </reference>
          <reference field="13" count="2">
            <x v="73"/>
            <x v="74"/>
          </reference>
        </references>
      </pivotArea>
    </format>
    <format dxfId="82">
      <pivotArea dataOnly="0" labelOnly="1" fieldPosition="0">
        <references count="3">
          <reference field="4" count="1" selected="0">
            <x v="1"/>
          </reference>
          <reference field="6" count="1" selected="0">
            <x v="16"/>
          </reference>
          <reference field="13" count="1">
            <x v="78"/>
          </reference>
        </references>
      </pivotArea>
    </format>
    <format dxfId="81">
      <pivotArea dataOnly="0" labelOnly="1" fieldPosition="0">
        <references count="3">
          <reference field="4" count="1" selected="0">
            <x v="1"/>
          </reference>
          <reference field="6" count="1" selected="0">
            <x v="17"/>
          </reference>
          <reference field="13" count="2">
            <x v="71"/>
            <x v="80"/>
          </reference>
        </references>
      </pivotArea>
    </format>
    <format dxfId="80">
      <pivotArea dataOnly="0" labelOnly="1" fieldPosition="0">
        <references count="3">
          <reference field="4" count="1" selected="0">
            <x v="1"/>
          </reference>
          <reference field="6" count="1" selected="0">
            <x v="18"/>
          </reference>
          <reference field="13" count="1">
            <x v="80"/>
          </reference>
        </references>
      </pivotArea>
    </format>
    <format dxfId="79">
      <pivotArea dataOnly="0" labelOnly="1" fieldPosition="0">
        <references count="3">
          <reference field="4" count="1" selected="0">
            <x v="1"/>
          </reference>
          <reference field="6" count="1" selected="0">
            <x v="20"/>
          </reference>
          <reference field="13" count="2">
            <x v="75"/>
            <x v="82"/>
          </reference>
        </references>
      </pivotArea>
    </format>
    <format dxfId="78">
      <pivotArea dataOnly="0" labelOnly="1" fieldPosition="0">
        <references count="3">
          <reference field="4" count="1" selected="0">
            <x v="1"/>
          </reference>
          <reference field="6" count="1" selected="0">
            <x v="21"/>
          </reference>
          <reference field="13" count="1">
            <x v="71"/>
          </reference>
        </references>
      </pivotArea>
    </format>
    <format dxfId="77">
      <pivotArea dataOnly="0" labelOnly="1" fieldPosition="0">
        <references count="3">
          <reference field="4" count="1" selected="0">
            <x v="1"/>
          </reference>
          <reference field="6" count="1" selected="0">
            <x v="84"/>
          </reference>
          <reference field="13" count="1">
            <x v="71"/>
          </reference>
        </references>
      </pivotArea>
    </format>
    <format dxfId="76">
      <pivotArea dataOnly="0" labelOnly="1" fieldPosition="0">
        <references count="3">
          <reference field="4" count="1" selected="0">
            <x v="2"/>
          </reference>
          <reference field="6" count="1" selected="0">
            <x v="38"/>
          </reference>
          <reference field="13" count="1">
            <x v="120"/>
          </reference>
        </references>
      </pivotArea>
    </format>
    <format dxfId="75">
      <pivotArea dataOnly="0" labelOnly="1" fieldPosition="0">
        <references count="3">
          <reference field="4" count="1" selected="0">
            <x v="2"/>
          </reference>
          <reference field="6" count="1" selected="0">
            <x v="39"/>
          </reference>
          <reference field="13" count="3">
            <x v="118"/>
            <x v="119"/>
            <x v="120"/>
          </reference>
        </references>
      </pivotArea>
    </format>
    <format dxfId="74">
      <pivotArea dataOnly="0" labelOnly="1" fieldPosition="0">
        <references count="3">
          <reference field="4" count="1" selected="0">
            <x v="3"/>
          </reference>
          <reference field="6" count="1" selected="0">
            <x v="26"/>
          </reference>
          <reference field="13" count="1">
            <x v="67"/>
          </reference>
        </references>
      </pivotArea>
    </format>
    <format dxfId="73">
      <pivotArea dataOnly="0" labelOnly="1" fieldPosition="0">
        <references count="3">
          <reference field="4" count="1" selected="0">
            <x v="3"/>
          </reference>
          <reference field="6" count="1" selected="0">
            <x v="27"/>
          </reference>
          <reference field="13" count="2">
            <x v="67"/>
            <x v="70"/>
          </reference>
        </references>
      </pivotArea>
    </format>
    <format dxfId="72">
      <pivotArea dataOnly="0" labelOnly="1" fieldPosition="0">
        <references count="3">
          <reference field="4" count="1" selected="0">
            <x v="3"/>
          </reference>
          <reference field="6" count="1" selected="0">
            <x v="28"/>
          </reference>
          <reference field="13" count="1">
            <x v="67"/>
          </reference>
        </references>
      </pivotArea>
    </format>
    <format dxfId="71">
      <pivotArea dataOnly="0" labelOnly="1" fieldPosition="0">
        <references count="3">
          <reference field="4" count="1" selected="0">
            <x v="3"/>
          </reference>
          <reference field="6" count="1" selected="0">
            <x v="29"/>
          </reference>
          <reference field="13" count="2">
            <x v="67"/>
            <x v="70"/>
          </reference>
        </references>
      </pivotArea>
    </format>
    <format dxfId="70">
      <pivotArea dataOnly="0" labelOnly="1" fieldPosition="0">
        <references count="3">
          <reference field="4" count="1" selected="0">
            <x v="3"/>
          </reference>
          <reference field="6" count="1" selected="0">
            <x v="30"/>
          </reference>
          <reference field="13" count="2">
            <x v="67"/>
            <x v="70"/>
          </reference>
        </references>
      </pivotArea>
    </format>
    <format dxfId="69">
      <pivotArea dataOnly="0" labelOnly="1" fieldPosition="0">
        <references count="3">
          <reference field="4" count="1" selected="0">
            <x v="3"/>
          </reference>
          <reference field="6" count="1" selected="0">
            <x v="31"/>
          </reference>
          <reference field="13" count="1">
            <x v="67"/>
          </reference>
        </references>
      </pivotArea>
    </format>
    <format dxfId="68">
      <pivotArea dataOnly="0" labelOnly="1" fieldPosition="0">
        <references count="3">
          <reference field="4" count="1" selected="0">
            <x v="3"/>
          </reference>
          <reference field="6" count="1" selected="0">
            <x v="32"/>
          </reference>
          <reference field="13" count="3">
            <x v="67"/>
            <x v="69"/>
            <x v="70"/>
          </reference>
        </references>
      </pivotArea>
    </format>
    <format dxfId="67">
      <pivotArea dataOnly="0" labelOnly="1" fieldPosition="0">
        <references count="3">
          <reference field="4" count="1" selected="0">
            <x v="3"/>
          </reference>
          <reference field="6" count="1" selected="0">
            <x v="33"/>
          </reference>
          <reference field="13" count="2">
            <x v="66"/>
            <x v="68"/>
          </reference>
        </references>
      </pivotArea>
    </format>
    <format dxfId="66">
      <pivotArea dataOnly="0" labelOnly="1" fieldPosition="0">
        <references count="3">
          <reference field="4" count="1" selected="0">
            <x v="4"/>
          </reference>
          <reference field="6" count="1" selected="0">
            <x v="35"/>
          </reference>
          <reference field="13" count="3">
            <x v="49"/>
            <x v="51"/>
            <x v="53"/>
          </reference>
        </references>
      </pivotArea>
    </format>
    <format dxfId="65">
      <pivotArea dataOnly="0" labelOnly="1" fieldPosition="0">
        <references count="3">
          <reference field="4" count="1" selected="0">
            <x v="4"/>
          </reference>
          <reference field="6" count="1" selected="0">
            <x v="36"/>
          </reference>
          <reference field="13" count="1">
            <x v="52"/>
          </reference>
        </references>
      </pivotArea>
    </format>
    <format dxfId="64">
      <pivotArea dataOnly="0" labelOnly="1" fieldPosition="0">
        <references count="3">
          <reference field="4" count="1" selected="0">
            <x v="4"/>
          </reference>
          <reference field="6" count="1" selected="0">
            <x v="37"/>
          </reference>
          <reference field="13" count="5">
            <x v="48"/>
            <x v="49"/>
            <x v="50"/>
            <x v="51"/>
            <x v="52"/>
          </reference>
        </references>
      </pivotArea>
    </format>
    <format dxfId="63">
      <pivotArea dataOnly="0" labelOnly="1" fieldPosition="0">
        <references count="3">
          <reference field="4" count="1" selected="0">
            <x v="5"/>
          </reference>
          <reference field="6" count="1" selected="0">
            <x v="70"/>
          </reference>
          <reference field="13" count="2">
            <x v="98"/>
            <x v="99"/>
          </reference>
        </references>
      </pivotArea>
    </format>
    <format dxfId="62">
      <pivotArea dataOnly="0" labelOnly="1" fieldPosition="0">
        <references count="3">
          <reference field="4" count="1" selected="0">
            <x v="5"/>
          </reference>
          <reference field="6" count="1" selected="0">
            <x v="71"/>
          </reference>
          <reference field="13" count="1">
            <x v="98"/>
          </reference>
        </references>
      </pivotArea>
    </format>
    <format dxfId="61">
      <pivotArea dataOnly="0" labelOnly="1" fieldPosition="0">
        <references count="3">
          <reference field="4" count="1" selected="0">
            <x v="5"/>
          </reference>
          <reference field="6" count="1" selected="0">
            <x v="72"/>
          </reference>
          <reference field="13" count="3">
            <x v="94"/>
            <x v="96"/>
            <x v="97"/>
          </reference>
        </references>
      </pivotArea>
    </format>
    <format dxfId="60">
      <pivotArea dataOnly="0" labelOnly="1" fieldPosition="0">
        <references count="3">
          <reference field="4" count="1" selected="0">
            <x v="5"/>
          </reference>
          <reference field="6" count="1" selected="0">
            <x v="74"/>
          </reference>
          <reference field="13" count="1">
            <x v="95"/>
          </reference>
        </references>
      </pivotArea>
    </format>
    <format dxfId="59">
      <pivotArea dataOnly="0" labelOnly="1" fieldPosition="0">
        <references count="3">
          <reference field="4" count="1" selected="0">
            <x v="5"/>
          </reference>
          <reference field="6" count="1" selected="0">
            <x v="75"/>
          </reference>
          <reference field="13" count="3">
            <x v="94"/>
            <x v="98"/>
            <x v="99"/>
          </reference>
        </references>
      </pivotArea>
    </format>
    <format dxfId="58">
      <pivotArea dataOnly="0" labelOnly="1" fieldPosition="0">
        <references count="3">
          <reference field="4" count="1" selected="0">
            <x v="6"/>
          </reference>
          <reference field="6" count="1" selected="0">
            <x v="1"/>
          </reference>
          <reference field="13" count="1">
            <x v="113"/>
          </reference>
        </references>
      </pivotArea>
    </format>
    <format dxfId="57">
      <pivotArea dataOnly="0" labelOnly="1" fieldPosition="0">
        <references count="3">
          <reference field="4" count="1" selected="0">
            <x v="6"/>
          </reference>
          <reference field="6" count="1" selected="0">
            <x v="79"/>
          </reference>
          <reference field="13" count="5">
            <x v="109"/>
            <x v="112"/>
            <x v="113"/>
            <x v="114"/>
            <x v="115"/>
          </reference>
        </references>
      </pivotArea>
    </format>
    <format dxfId="56">
      <pivotArea dataOnly="0" labelOnly="1" fieldPosition="0">
        <references count="3">
          <reference field="4" count="1" selected="0">
            <x v="6"/>
          </reference>
          <reference field="6" count="1" selected="0">
            <x v="80"/>
          </reference>
          <reference field="13" count="5">
            <x v="109"/>
            <x v="112"/>
            <x v="113"/>
            <x v="114"/>
            <x v="115"/>
          </reference>
        </references>
      </pivotArea>
    </format>
    <format dxfId="55">
      <pivotArea dataOnly="0" labelOnly="1" fieldPosition="0">
        <references count="3">
          <reference field="4" count="1" selected="0">
            <x v="6"/>
          </reference>
          <reference field="6" count="1" selected="0">
            <x v="81"/>
          </reference>
          <reference field="13" count="2">
            <x v="112"/>
            <x v="113"/>
          </reference>
        </references>
      </pivotArea>
    </format>
    <format dxfId="54">
      <pivotArea dataOnly="0" labelOnly="1" fieldPosition="0">
        <references count="3">
          <reference field="4" count="1" selected="0">
            <x v="6"/>
          </reference>
          <reference field="6" count="1" selected="0">
            <x v="82"/>
          </reference>
          <reference field="13" count="4">
            <x v="109"/>
            <x v="110"/>
            <x v="111"/>
            <x v="112"/>
          </reference>
        </references>
      </pivotArea>
    </format>
    <format dxfId="53">
      <pivotArea dataOnly="0" labelOnly="1" fieldPosition="0">
        <references count="3">
          <reference field="4" count="1" selected="0">
            <x v="7"/>
          </reference>
          <reference field="6" count="1" selected="0">
            <x v="76"/>
          </reference>
          <reference field="13" count="1">
            <x v="107"/>
          </reference>
        </references>
      </pivotArea>
    </format>
    <format dxfId="52">
      <pivotArea dataOnly="0" labelOnly="1" fieldPosition="0">
        <references count="3">
          <reference field="4" count="1" selected="0">
            <x v="7"/>
          </reference>
          <reference field="6" count="1" selected="0">
            <x v="77"/>
          </reference>
          <reference field="13" count="3">
            <x v="104"/>
            <x v="107"/>
            <x v="108"/>
          </reference>
        </references>
      </pivotArea>
    </format>
    <format dxfId="51">
      <pivotArea dataOnly="0" labelOnly="1" fieldPosition="0">
        <references count="3">
          <reference field="4" count="1" selected="0">
            <x v="7"/>
          </reference>
          <reference field="6" count="1" selected="0">
            <x v="78"/>
          </reference>
          <reference field="13" count="3">
            <x v="105"/>
            <x v="106"/>
            <x v="107"/>
          </reference>
        </references>
      </pivotArea>
    </format>
    <format dxfId="50">
      <pivotArea dataOnly="0" labelOnly="1" fieldPosition="0">
        <references count="3">
          <reference field="4" count="1" selected="0">
            <x v="8"/>
          </reference>
          <reference field="6" count="1" selected="0">
            <x v="64"/>
          </reference>
          <reference field="13" count="1">
            <x v="103"/>
          </reference>
        </references>
      </pivotArea>
    </format>
    <format dxfId="49">
      <pivotArea dataOnly="0" labelOnly="1" fieldPosition="0">
        <references count="3">
          <reference field="4" count="1" selected="0">
            <x v="8"/>
          </reference>
          <reference field="6" count="1" selected="0">
            <x v="65"/>
          </reference>
          <reference field="13" count="1">
            <x v="103"/>
          </reference>
        </references>
      </pivotArea>
    </format>
    <format dxfId="48">
      <pivotArea dataOnly="0" labelOnly="1" fieldPosition="0">
        <references count="3">
          <reference field="4" count="1" selected="0">
            <x v="8"/>
          </reference>
          <reference field="6" count="1" selected="0">
            <x v="67"/>
          </reference>
          <reference field="13" count="2">
            <x v="101"/>
            <x v="102"/>
          </reference>
        </references>
      </pivotArea>
    </format>
    <format dxfId="47">
      <pivotArea dataOnly="0" labelOnly="1" fieldPosition="0">
        <references count="3">
          <reference field="4" count="1" selected="0">
            <x v="8"/>
          </reference>
          <reference field="6" count="1" selected="0">
            <x v="68"/>
          </reference>
          <reference field="13" count="1">
            <x v="100"/>
          </reference>
        </references>
      </pivotArea>
    </format>
    <format dxfId="46">
      <pivotArea dataOnly="0" labelOnly="1" fieldPosition="0">
        <references count="3">
          <reference field="4" count="1" selected="0">
            <x v="8"/>
          </reference>
          <reference field="6" count="1" selected="0">
            <x v="69"/>
          </reference>
          <reference field="13" count="1">
            <x v="103"/>
          </reference>
        </references>
      </pivotArea>
    </format>
    <format dxfId="45">
      <pivotArea dataOnly="0" labelOnly="1" fieldPosition="0">
        <references count="3">
          <reference field="4" count="1" selected="0">
            <x v="9"/>
          </reference>
          <reference field="6" count="1" selected="0">
            <x v="73"/>
          </reference>
          <reference field="13" count="2">
            <x v="116"/>
            <x v="117"/>
          </reference>
        </references>
      </pivotArea>
    </format>
    <format dxfId="44">
      <pivotArea dataOnly="0" labelOnly="1" fieldPosition="0">
        <references count="3">
          <reference field="4" count="1" selected="0">
            <x v="10"/>
          </reference>
          <reference field="6" count="1" selected="0">
            <x v="47"/>
          </reference>
          <reference field="13" count="3">
            <x v="54"/>
            <x v="55"/>
            <x v="56"/>
          </reference>
        </references>
      </pivotArea>
    </format>
    <format dxfId="43">
      <pivotArea dataOnly="0" labelOnly="1" fieldPosition="0">
        <references count="3">
          <reference field="4" count="1" selected="0">
            <x v="10"/>
          </reference>
          <reference field="6" count="1" selected="0">
            <x v="48"/>
          </reference>
          <reference field="13" count="1">
            <x v="54"/>
          </reference>
        </references>
      </pivotArea>
    </format>
    <format dxfId="42">
      <pivotArea dataOnly="0" labelOnly="1" fieldPosition="0">
        <references count="3">
          <reference field="4" count="1" selected="0">
            <x v="10"/>
          </reference>
          <reference field="6" count="1" selected="0">
            <x v="49"/>
          </reference>
          <reference field="13" count="1">
            <x v="54"/>
          </reference>
        </references>
      </pivotArea>
    </format>
    <format dxfId="41">
      <pivotArea dataOnly="0" labelOnly="1" fieldPosition="0">
        <references count="3">
          <reference field="4" count="1" selected="0">
            <x v="10"/>
          </reference>
          <reference field="6" count="1" selected="0">
            <x v="50"/>
          </reference>
          <reference field="13" count="1">
            <x v="54"/>
          </reference>
        </references>
      </pivotArea>
    </format>
    <format dxfId="40">
      <pivotArea dataOnly="0" labelOnly="1" fieldPosition="0">
        <references count="3">
          <reference field="4" count="1" selected="0">
            <x v="11"/>
          </reference>
          <reference field="6" count="1" selected="0">
            <x v="22"/>
          </reference>
          <reference field="13" count="2">
            <x v="63"/>
            <x v="65"/>
          </reference>
        </references>
      </pivotArea>
    </format>
    <format dxfId="39">
      <pivotArea dataOnly="0" labelOnly="1" fieldPosition="0">
        <references count="3">
          <reference field="4" count="1" selected="0">
            <x v="11"/>
          </reference>
          <reference field="6" count="1" selected="0">
            <x v="23"/>
          </reference>
          <reference field="13" count="5">
            <x v="61"/>
            <x v="62"/>
            <x v="63"/>
            <x v="64"/>
            <x v="65"/>
          </reference>
        </references>
      </pivotArea>
    </format>
    <format dxfId="38">
      <pivotArea dataOnly="0" labelOnly="1" fieldPosition="0">
        <references count="3">
          <reference field="4" count="1" selected="0">
            <x v="11"/>
          </reference>
          <reference field="6" count="1" selected="0">
            <x v="24"/>
          </reference>
          <reference field="13" count="2">
            <x v="63"/>
            <x v="65"/>
          </reference>
        </references>
      </pivotArea>
    </format>
    <format dxfId="37">
      <pivotArea dataOnly="0" labelOnly="1" fieldPosition="0">
        <references count="3">
          <reference field="4" count="1" selected="0">
            <x v="11"/>
          </reference>
          <reference field="6" count="1" selected="0">
            <x v="25"/>
          </reference>
          <reference field="13" count="1">
            <x v="64"/>
          </reference>
        </references>
      </pivotArea>
    </format>
    <format dxfId="36">
      <pivotArea dataOnly="0" labelOnly="1" fieldPosition="0">
        <references count="3">
          <reference field="4" count="1" selected="0">
            <x v="12"/>
          </reference>
          <reference field="6" count="1" selected="0">
            <x v="58"/>
          </reference>
          <reference field="13" count="2">
            <x v="92"/>
            <x v="93"/>
          </reference>
        </references>
      </pivotArea>
    </format>
    <format dxfId="35">
      <pivotArea dataOnly="0" labelOnly="1" fieldPosition="0">
        <references count="3">
          <reference field="4" count="1" selected="0">
            <x v="12"/>
          </reference>
          <reference field="6" count="1" selected="0">
            <x v="59"/>
          </reference>
          <reference field="13" count="1">
            <x v="91"/>
          </reference>
        </references>
      </pivotArea>
    </format>
    <format dxfId="34">
      <pivotArea dataOnly="0" labelOnly="1" fieldPosition="0">
        <references count="3">
          <reference field="4" count="1" selected="0">
            <x v="12"/>
          </reference>
          <reference field="6" count="1" selected="0">
            <x v="61"/>
          </reference>
          <reference field="13" count="2">
            <x v="89"/>
            <x v="90"/>
          </reference>
        </references>
      </pivotArea>
    </format>
    <format dxfId="33">
      <pivotArea dataOnly="0" labelOnly="1" fieldPosition="0">
        <references count="3">
          <reference field="4" count="1" selected="0">
            <x v="12"/>
          </reference>
          <reference field="6" count="1" selected="0">
            <x v="62"/>
          </reference>
          <reference field="13" count="1">
            <x v="88"/>
          </reference>
        </references>
      </pivotArea>
    </format>
    <format dxfId="32">
      <pivotArea dataOnly="0" labelOnly="1" fieldPosition="0">
        <references count="3">
          <reference field="4" count="1" selected="0">
            <x v="12"/>
          </reference>
          <reference field="6" count="1" selected="0">
            <x v="63"/>
          </reference>
          <reference field="13" count="1">
            <x v="91"/>
          </reference>
        </references>
      </pivotArea>
    </format>
    <format dxfId="31">
      <pivotArea dataOnly="0" labelOnly="1" fieldPosition="0">
        <references count="3">
          <reference field="4" count="1" selected="0">
            <x v="13"/>
          </reference>
          <reference field="6" count="1" selected="0">
            <x v="83"/>
          </reference>
          <reference field="13" count="48">
            <x v="0"/>
            <x v="1"/>
            <x v="2"/>
            <x v="3"/>
            <x v="4"/>
            <x v="5"/>
            <x v="6"/>
            <x v="7"/>
            <x v="8"/>
            <x v="9"/>
            <x v="10"/>
            <x v="11"/>
            <x v="12"/>
            <x v="13"/>
            <x v="14"/>
            <x v="15"/>
            <x v="16"/>
            <x v="17"/>
            <x v="18"/>
            <x v="19"/>
            <x v="20"/>
            <x v="21"/>
            <x v="22"/>
            <x v="23"/>
            <x v="24"/>
            <x v="25"/>
            <x v="26"/>
            <x v="27"/>
            <x v="28"/>
            <x v="29"/>
            <x v="30"/>
            <x v="31"/>
            <x v="32"/>
            <x v="33"/>
            <x v="34"/>
            <x v="35"/>
            <x v="36"/>
            <x v="37"/>
            <x v="38"/>
            <x v="39"/>
            <x v="40"/>
            <x v="41"/>
            <x v="42"/>
            <x v="43"/>
            <x v="44"/>
            <x v="45"/>
            <x v="46"/>
            <x v="47"/>
          </reference>
        </references>
      </pivotArea>
    </format>
    <format dxfId="30">
      <pivotArea dataOnly="0" labelOnly="1" fieldPosition="0">
        <references count="3">
          <reference field="4" count="1" selected="0">
            <x v="14"/>
          </reference>
          <reference field="6" count="1" selected="0">
            <x v="51"/>
          </reference>
          <reference field="13" count="2">
            <x v="121"/>
            <x v="129"/>
          </reference>
        </references>
      </pivotArea>
    </format>
    <format dxfId="29">
      <pivotArea dataOnly="0" labelOnly="1" fieldPosition="0">
        <references count="3">
          <reference field="4" count="1" selected="0">
            <x v="14"/>
          </reference>
          <reference field="6" count="1" selected="0">
            <x v="52"/>
          </reference>
          <reference field="13" count="2">
            <x v="124"/>
            <x v="127"/>
          </reference>
        </references>
      </pivotArea>
    </format>
    <format dxfId="28">
      <pivotArea dataOnly="0" labelOnly="1" fieldPosition="0">
        <references count="3">
          <reference field="4" count="1" selected="0">
            <x v="14"/>
          </reference>
          <reference field="6" count="1" selected="0">
            <x v="53"/>
          </reference>
          <reference field="13" count="4">
            <x v="124"/>
            <x v="126"/>
            <x v="130"/>
            <x v="131"/>
          </reference>
        </references>
      </pivotArea>
    </format>
    <format dxfId="27">
      <pivotArea dataOnly="0" labelOnly="1" fieldPosition="0">
        <references count="3">
          <reference field="4" count="1" selected="0">
            <x v="14"/>
          </reference>
          <reference field="6" count="1" selected="0">
            <x v="54"/>
          </reference>
          <reference field="13" count="2">
            <x v="124"/>
            <x v="125"/>
          </reference>
        </references>
      </pivotArea>
    </format>
    <format dxfId="26">
      <pivotArea dataOnly="0" labelOnly="1" fieldPosition="0">
        <references count="3">
          <reference field="4" count="1" selected="0">
            <x v="14"/>
          </reference>
          <reference field="6" count="1" selected="0">
            <x v="55"/>
          </reference>
          <reference field="13" count="1">
            <x v="124"/>
          </reference>
        </references>
      </pivotArea>
    </format>
    <format dxfId="25">
      <pivotArea dataOnly="0" labelOnly="1" fieldPosition="0">
        <references count="3">
          <reference field="4" count="1" selected="0">
            <x v="14"/>
          </reference>
          <reference field="6" count="1" selected="0">
            <x v="56"/>
          </reference>
          <reference field="13" count="1">
            <x v="123"/>
          </reference>
        </references>
      </pivotArea>
    </format>
    <format dxfId="24">
      <pivotArea dataOnly="0" labelOnly="1" fieldPosition="0">
        <references count="3">
          <reference field="4" count="1" selected="0">
            <x v="14"/>
          </reference>
          <reference field="6" count="1" selected="0">
            <x v="57"/>
          </reference>
          <reference field="13" count="4">
            <x v="122"/>
            <x v="123"/>
            <x v="128"/>
            <x v="129"/>
          </reference>
        </references>
      </pivotArea>
    </format>
    <format dxfId="23">
      <pivotArea dataOnly="0" labelOnly="1" fieldPosition="0">
        <references count="3">
          <reference field="4" count="1" selected="0">
            <x v="15"/>
          </reference>
          <reference field="6" count="1" selected="0">
            <x v="40"/>
          </reference>
          <reference field="13" count="2">
            <x v="58"/>
            <x v="60"/>
          </reference>
        </references>
      </pivotArea>
    </format>
    <format dxfId="22">
      <pivotArea dataOnly="0" labelOnly="1" fieldPosition="0">
        <references count="3">
          <reference field="4" count="1" selected="0">
            <x v="15"/>
          </reference>
          <reference field="6" count="1" selected="0">
            <x v="42"/>
          </reference>
          <reference field="13" count="2">
            <x v="58"/>
            <x v="60"/>
          </reference>
        </references>
      </pivotArea>
    </format>
    <format dxfId="21">
      <pivotArea dataOnly="0" labelOnly="1" fieldPosition="0">
        <references count="3">
          <reference field="4" count="1" selected="0">
            <x v="15"/>
          </reference>
          <reference field="6" count="1" selected="0">
            <x v="43"/>
          </reference>
          <reference field="13" count="3">
            <x v="57"/>
            <x v="58"/>
            <x v="60"/>
          </reference>
        </references>
      </pivotArea>
    </format>
    <format dxfId="20">
      <pivotArea dataOnly="0" labelOnly="1" fieldPosition="0">
        <references count="3">
          <reference field="4" count="1" selected="0">
            <x v="15"/>
          </reference>
          <reference field="6" count="1" selected="0">
            <x v="44"/>
          </reference>
          <reference field="13" count="3">
            <x v="58"/>
            <x v="59"/>
            <x v="60"/>
          </reference>
        </references>
      </pivotArea>
    </format>
    <format dxfId="19">
      <pivotArea dataOnly="0" labelOnly="1" fieldPosition="0">
        <references count="3">
          <reference field="4" count="1" selected="0">
            <x v="15"/>
          </reference>
          <reference field="6" count="1" selected="0">
            <x v="45"/>
          </reference>
          <reference field="13" count="2">
            <x v="58"/>
            <x v="6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name="DatosExternos_2" connectionId="5" autoFormatId="16" applyNumberFormats="0" applyBorderFormats="0" applyFontFormats="0" applyPatternFormats="0" applyAlignmentFormats="0" applyWidthHeightFormats="0">
  <queryTableRefresh nextId="16">
    <queryTableFields count="15">
      <queryTableField id="1" name="consecutivo" tableColumnId="1"/>
      <queryTableField id="2" name="fecha_aprobacion" tableColumnId="2"/>
      <queryTableField id="3" name="descripcion" tableColumnId="3"/>
      <queryTableField id="4" name="codigo_resumido" tableColumnId="4"/>
      <queryTableField id="5" name="valor_total_rubro" tableColumnId="5"/>
      <queryTableField id="6" name="descripcion_1" tableColumnId="6"/>
      <queryTableField id="7" name="ano" tableColumnId="7"/>
      <queryTableField id="8" name="rubro" tableColumnId="8"/>
      <queryTableField id="9" name="nombre_proyecto" tableColumnId="9"/>
      <queryTableField id="10" name="nombre_empresa" tableColumnId="10"/>
      <queryTableField id="11" name="nombre_dependencia" tableColumnId="11"/>
      <queryTableField id="12" name="reintegros" tableColumnId="12"/>
      <queryTableField id="13" name="total_compromisos" tableColumnId="13"/>
      <queryTableField id="14" name="total_cancelado" tableColumnId="14"/>
      <queryTableField id="15" name="Saldo" tableColumnId="15"/>
    </queryTableFields>
  </queryTableRefresh>
</queryTable>
</file>

<file path=xl/queryTables/queryTable2.xml><?xml version="1.0" encoding="utf-8"?>
<queryTable xmlns="http://schemas.openxmlformats.org/spreadsheetml/2006/main" name="DatosExternos_3" connectionId="2" autoFormatId="16" applyNumberFormats="0" applyBorderFormats="0" applyFontFormats="0" applyPatternFormats="0" applyAlignmentFormats="0" applyWidthHeightFormats="0">
  <queryTableRefresh nextId="33" unboundColumnsRight="6">
    <queryTableFields count="25">
      <queryTableField id="1" name="consecutivo" tableColumnId="1"/>
      <queryTableField id="2" name="fecha_aprobacion" tableColumnId="2"/>
      <queryTableField id="3" name="descripcion" tableColumnId="3"/>
      <queryTableField id="4" name="descripcion_1" tableColumnId="4"/>
      <queryTableField id="5" name="num_contrato" tableColumnId="5"/>
      <queryTableField id="6" name="disponibilidad" tableColumnId="6"/>
      <queryTableField id="7" name="codigo_resumido" tableColumnId="7"/>
      <queryTableField id="8" name="rubro" tableColumnId="8"/>
      <queryTableField id="9" name="nombre_proyecto" tableColumnId="9"/>
      <queryTableField id="10" name="valor_total" tableColumnId="10"/>
      <queryTableField id="11" name="ano" tableColumnId="11"/>
      <queryTableField id="12" name="nit" tableColumnId="12"/>
      <queryTableField id="13" name="nombre" tableColumnId="13"/>
      <queryTableField id="14" name="nombre_empresa" tableColumnId="14"/>
      <queryTableField id="15" name="nombre_dependencia" tableColumnId="15"/>
      <queryTableField id="16" name="reintegros" tableColumnId="16"/>
      <queryTableField id="17" name="total_ordenes" tableColumnId="17"/>
      <queryTableField id="18" name="total_cancelado" tableColumnId="18"/>
      <queryTableField id="19" name="Saldo" tableColumnId="19"/>
      <queryTableField id="20" dataBound="0" tableColumnId="20"/>
      <queryTableField id="21" dataBound="0" tableColumnId="21"/>
      <queryTableField id="27" dataBound="0" tableColumnId="27"/>
      <queryTableField id="29" dataBound="0" tableColumnId="29"/>
      <queryTableField id="30" dataBound="0" tableColumnId="30"/>
      <queryTableField id="31" dataBound="0" tableColumnId="31"/>
    </queryTableFields>
  </queryTableRefresh>
</queryTable>
</file>

<file path=xl/queryTables/queryTable3.xml><?xml version="1.0" encoding="utf-8"?>
<queryTable xmlns="http://schemas.openxmlformats.org/spreadsheetml/2006/main" name="DatosExternos_1" connectionId="3" autoFormatId="16" applyNumberFormats="0" applyBorderFormats="0" applyFontFormats="0" applyPatternFormats="0" applyAlignmentFormats="0" applyWidthHeightFormats="0">
  <queryTableRefresh nextId="7">
    <queryTableFields count="6">
      <queryTableField id="1" name="Name" tableColumnId="1"/>
      <queryTableField id="2" name="Extension" tableColumnId="2"/>
      <queryTableField id="3" name="Date accessed" tableColumnId="3"/>
      <queryTableField id="4" name="Date modified" tableColumnId="4"/>
      <queryTableField id="5" name="Date created" tableColumnId="5"/>
      <queryTableField id="6" name="Folder Path" tableColumnId="6"/>
    </queryTableFields>
  </queryTableRefresh>
</queryTable>
</file>

<file path=xl/queryTables/queryTable4.xml><?xml version="1.0" encoding="utf-8"?>
<queryTable xmlns="http://schemas.openxmlformats.org/spreadsheetml/2006/main" name="DatosExternos_2" connectionId="8" autoFormatId="16" applyNumberFormats="0" applyBorderFormats="0" applyFontFormats="0" applyPatternFormats="0" applyAlignmentFormats="0" applyWidthHeightFormats="0">
  <queryTableRefresh nextId="11" unboundColumnsRight="1">
    <queryTableFields count="9">
      <queryTableField id="1" name="nit" tableColumnId="1"/>
      <queryTableField id="2" name="apellido1" tableColumnId="2"/>
      <queryTableField id="3" name="apellido2" tableColumnId="3"/>
      <queryTableField id="4" name="nombre1" tableColumnId="4"/>
      <queryTableField id="5" name="nombre2" tableColumnId="5"/>
      <queryTableField id="9" name="email" tableColumnId="9"/>
      <queryTableField id="6" name="NOMBRE COMPLETO" tableColumnId="6"/>
      <queryTableField id="7" name="DOCUMENTO" tableColumnId="7"/>
      <queryTableField id="8" dataBound="0" tableColumnId="8"/>
    </queryTableFields>
  </queryTableRefresh>
</queryTable>
</file>

<file path=xl/tables/_rels/table11.xml.rels><?xml version="1.0" encoding="UTF-8" standalone="yes"?>
<Relationships xmlns="http://schemas.openxmlformats.org/package/2006/relationships"><Relationship Id="rId1" Type="http://schemas.openxmlformats.org/officeDocument/2006/relationships/queryTable" Target="../queryTables/queryTable4.xml"/></Relationships>
</file>

<file path=xl/tables/_rels/table4.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6.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8.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2" name="PAA" displayName="PAA" ref="A6:AI771" totalsRowShown="0" headerRowDxfId="516" dataDxfId="515" totalsRowDxfId="513" tableBorderDxfId="514">
  <autoFilter ref="A6:AI771">
    <filterColumn colId="12">
      <filters>
        <filter val="N/A"/>
        <filter val="RESOLUCIÓN"/>
      </filters>
    </filterColumn>
    <filterColumn colId="16">
      <filters>
        <filter val="01"/>
        <filter val="02"/>
        <filter val="03"/>
        <filter val="04"/>
        <filter val="10"/>
        <filter val="72"/>
        <filter val="73"/>
        <filter val="74"/>
        <filter val="75"/>
        <filter val="76"/>
        <filter val="77"/>
        <filter val="84"/>
        <filter val="85"/>
        <filter val="87"/>
      </filters>
    </filterColumn>
  </autoFilter>
  <tableColumns count="35">
    <tableColumn id="1" name="ITEM" dataDxfId="512" totalsRowDxfId="511"/>
    <tableColumn id="2" name="Código UNSPSC (Manual)" dataDxfId="510" totalsRowDxfId="509"/>
    <tableColumn id="3" name="UNIDAD DE CONTRATACION (formulado)" dataDxfId="508" totalsRowDxfId="507">
      <calculatedColumnFormula>VLOOKUP(PAA[[#This Row],[PROYECTO (formulado)2]],PROYECTOS!$G$1:$L$32,6,0)</calculatedColumnFormula>
    </tableColumn>
    <tableColumn id="4" name="Funci/ inversion (formulado)" dataDxfId="506" totalsRowDxfId="505">
      <calculatedColumnFormula>+IF(PAA[[#This Row],[UNIDAD DE CONTRATACION (formulado)]]="Subgerencia Administrativa y Financiera","FUNCIONAMIENTO","INVERSIÓN")</calculatedColumnFormula>
    </tableColumn>
    <tableColumn id="5" name="Nombre Proyecto  (formulado)" dataDxfId="504" totalsRowDxfId="503">
      <calculatedColumnFormula>VLOOKUP(Q7,PROYECTOS!$G$1:$K$32,5,0)</calculatedColumnFormula>
    </tableColumn>
    <tableColumn id="40" name="Código BPIN (FORMULADO)" dataDxfId="502" totalsRowDxfId="501">
      <calculatedColumnFormula>VLOOKUP(E7,PROYECTOS!$K$1:$M$32,3,0)</calculatedColumnFormula>
    </tableColumn>
    <tableColumn id="24" name="Actividad3" dataDxfId="500" totalsRowDxfId="499"/>
    <tableColumn id="6" name="Proyecto (formulado)" dataDxfId="498" totalsRowDxfId="497">
      <calculatedColumnFormula>VLOOKUP(Q7,PROYECTOS!$V$1:$W$32,2,0)</calculatedColumnFormula>
    </tableColumn>
    <tableColumn id="7" name="Valor definitivo (manual)" dataDxfId="496" totalsRowDxfId="495" dataCellStyle="Moneda"/>
    <tableColumn id="8" name="Descripción - Objeto del Contrato (manual)" dataDxfId="494" totalsRowDxfId="493"/>
    <tableColumn id="9" name="ESTADO (formulado)" dataDxfId="492" totalsRowDxfId="491">
      <calculatedColumnFormula>IF(ISNONTEXT(Y7)=TRUE,"CONTRATADO","NO CONTRATADO")</calculatedColumnFormula>
    </tableColumn>
    <tableColumn id="10" name="MODALIDAD DE CONTRATACION (manual)" dataDxfId="490" totalsRowDxfId="489"/>
    <tableColumn id="11" name="TIPO DE CONTRATACION (Manual)" dataDxfId="488" totalsRowDxfId="487"/>
    <tableColumn id="12" name="RUBRO(BASEDEINFORMACION)MANUAL" dataDxfId="486" totalsRowDxfId="485"/>
    <tableColumn id="13" name="Rubro Corto (Formulado)" dataDxfId="484" totalsRowDxfId="483">
      <calculatedColumnFormula>VLOOKUP(N7,RUBROS[#All],3,0)</calculatedColumnFormula>
    </tableColumn>
    <tableColumn id="14" name="NOMBRE RUBRO (Formulado)" dataDxfId="482" totalsRowDxfId="481">
      <calculatedColumnFormula>VLOOKUP(N7,RUBROS[#All],2,0)</calculatedColumnFormula>
    </tableColumn>
    <tableColumn id="15" name="PROYECTO (formulado)2" dataDxfId="480" totalsRowDxfId="479">
      <calculatedColumnFormula>+MID(N7,11,2)</calculatedColumnFormula>
    </tableColumn>
    <tableColumn id="16" name="FONDO (formulado)" dataDxfId="478">
      <calculatedColumnFormula>+MID(N7,14,8)</calculatedColumnFormula>
    </tableColumn>
    <tableColumn id="17" name="PLAZO (manual)" dataDxfId="477" totalsRowDxfId="476"/>
    <tableColumn id="18" name="MES DIA O AÑO (manual)" dataDxfId="475" totalsRowDxfId="474" dataCellStyle="Normal 11"/>
    <tableColumn id="19" name="CDP (manual)" dataDxfId="473" totalsRowDxfId="472" dataCellStyle="Millares [0]">
      <calculatedColumnFormula>_xlfn.XLOOKUP(PAA[[#This Row],[ITEM]],Contrato!A:A,Contrato!Q:Q,"",0)</calculatedColumnFormula>
    </tableColumn>
    <tableColumn id="20" name="¿Se requieren vigencias futuras? (MANUAL)" dataDxfId="471" totalsRowDxfId="470"/>
    <tableColumn id="21" name="Fecha estimada de inicio de proceso de selección (mes) (manual)" dataDxfId="469" totalsRowDxfId="468"/>
    <tableColumn id="22" name="Fecha estimada de presentación de ofertas (mes) (manual)" dataDxfId="467" totalsRowDxfId="466"/>
    <tableColumn id="25" name="NUMERO CONTRATO" dataDxfId="465" totalsRowDxfId="464" dataCellStyle="Millares [0]">
      <calculatedColumnFormula>_xlfn.XLOOKUP(PAA[[#This Row],[ITEM]],Contrato!A:A,Contrato!B:B,"",0)</calculatedColumnFormula>
    </tableColumn>
    <tableColumn id="26" name="CONTRATISTA" dataDxfId="463" totalsRowDxfId="462">
      <calculatedColumnFormula>_xlfn.XLOOKUP(PAA[[#This Row],[ITEM]],Contrato!A:A,Contrato!G:G,"",0)</calculatedColumnFormula>
    </tableColumn>
    <tableColumn id="27" name="NUMERO COMPROMISO -RCP" dataDxfId="461" totalsRowDxfId="460">
      <calculatedColumnFormula>_xlfn.XLOOKUP(PAA[[#This Row],[ITEM]],Contrato!A:A,Contrato!T:T,"",0)</calculatedColumnFormula>
    </tableColumn>
    <tableColumn id="28" name="COMPROMETIDO" dataDxfId="459" totalsRowDxfId="458" dataCellStyle="Millares [0]">
      <calculatedColumnFormula>+MAX(PAA[[#This Row],[Comprometido Contrato]],)</calculatedColumnFormula>
    </tableColumn>
    <tableColumn id="29" name="VALOR A LIBERAR" dataDxfId="457" totalsRowDxfId="456" dataCellStyle="Millares [0]">
      <calculatedColumnFormula>IFERROR(I7-AB7,"")</calculatedColumnFormula>
    </tableColumn>
    <tableColumn id="30" name="PAGADO" dataDxfId="455" totalsRowDxfId="454" dataCellStyle="Millares [0]">
      <calculatedColumnFormula>+MAX(PAA[[#This Row],[Pago por Contrato]],)</calculatedColumnFormula>
    </tableColumn>
    <tableColumn id="31" name="FALTANTE POR PAGAR" dataDxfId="453" totalsRowDxfId="452" dataCellStyle="Millares [0]">
      <calculatedColumnFormula>+IFERROR(AB7-AD7,"")</calculatedColumnFormula>
    </tableColumn>
    <tableColumn id="32" name="RCP-RUBRO" dataDxfId="451" totalsRowDxfId="450">
      <calculatedColumnFormula>+CONCATENATE(AA7,N7)</calculatedColumnFormula>
    </tableColumn>
    <tableColumn id="33" name="INDICADOR" dataDxfId="449" totalsRowDxfId="448">
      <calculatedColumnFormula>IFERROR(_xlfn.NUMBERVALUE(MID(G7,1,8)),"")</calculatedColumnFormula>
    </tableColumn>
    <tableColumn id="35" name="Pago por Contrato" dataDxfId="447" totalsRowDxfId="446">
      <calculatedColumnFormula array="1">_xlfn.XLOOKUP(PAA[[#This Row],[RCP-RUBRO]],COMPROMISOS_2025[[#All],[concatenado]],COMPROMISOS_2025[[#All],[Total pagado]],"",0)</calculatedColumnFormula>
    </tableColumn>
    <tableColumn id="37" name="Comprometido Contrato" dataDxfId="445" totalsRowDxfId="444">
      <calculatedColumnFormula array="1">_xlfn.XLOOKUP(PAA[[#This Row],[RCP-RUBRO]],COMPROMISOS_2025[[#All],[concatenado]],COMPROMISOS_2025[[#All],[Total Comprometido]],"",0)</calculatedColumnFormula>
    </tableColumn>
  </tableColumns>
  <tableStyleInfo name="TableStyleMedium2" showFirstColumn="0" showLastColumn="0" showRowStripes="1" showColumnStripes="0"/>
</table>
</file>

<file path=xl/tables/table10.xml><?xml version="1.0" encoding="utf-8"?>
<table xmlns="http://schemas.openxmlformats.org/spreadsheetml/2006/main" id="10" name="Dependencia" displayName="Dependencia" ref="A1:A13" totalsRowShown="0" dataDxfId="2">
  <autoFilter ref="A1:A13"/>
  <tableColumns count="1">
    <tableColumn id="1" name="DEPENDENCIA" dataDxfId="1"/>
  </tableColumns>
  <tableStyleInfo name="TableStyleMedium2" showFirstColumn="0" showLastColumn="0" showRowStripes="1" showColumnStripes="0"/>
</table>
</file>

<file path=xl/tables/table11.xml><?xml version="1.0" encoding="utf-8"?>
<table xmlns="http://schemas.openxmlformats.org/spreadsheetml/2006/main" id="1" name="PERSONAL_ACTIVO_2025" displayName="PERSONAL_ACTIVO_2025" ref="A1:I131" tableType="queryTable" totalsRowShown="0">
  <autoFilter ref="A1:I131"/>
  <sortState ref="A2:I131">
    <sortCondition ref="I1:I131"/>
  </sortState>
  <tableColumns count="9">
    <tableColumn id="1" uniqueName="1" name="nit" queryTableFieldId="1"/>
    <tableColumn id="2" uniqueName="2" name="apellido1" queryTableFieldId="2"/>
    <tableColumn id="3" uniqueName="3" name="apellido2" queryTableFieldId="3"/>
    <tableColumn id="4" uniqueName="4" name="nombre1" queryTableFieldId="4"/>
    <tableColumn id="5" uniqueName="5" name="nombre2" queryTableFieldId="5"/>
    <tableColumn id="9" uniqueName="9" name="email" queryTableFieldId="9"/>
    <tableColumn id="6" uniqueName="6" name="NOMBRE COMPLETO" queryTableFieldId="6"/>
    <tableColumn id="7" uniqueName="7" name="DOCUMENTO" queryTableFieldId="7"/>
    <tableColumn id="8" uniqueName="8" name="NOMBRES Y APELLIDOS" queryTableFieldId="8" dataDxfId="0">
      <calculatedColumnFormula>TRIM(PERSONAL_ACTIVO_2025[[#This Row],[NOMBRE COMPLETO]])</calculatedColumnFormula>
    </tableColumn>
  </tableColumns>
  <tableStyleInfo name="TableStyleMedium7" showFirstColumn="0" showLastColumn="0" showRowStripes="1" showColumnStripes="0"/>
</table>
</file>

<file path=xl/tables/table2.xml><?xml version="1.0" encoding="utf-8"?>
<table xmlns="http://schemas.openxmlformats.org/spreadsheetml/2006/main" id="3" name="Contrato" displayName="Contrato" ref="A1:AR398" totalsRowShown="0" headerRowDxfId="443" dataDxfId="441" totalsRowDxfId="439" headerRowBorderDxfId="442" tableBorderDxfId="440">
  <autoFilter ref="A1:AR398"/>
  <tableColumns count="44">
    <tableColumn id="1" name="LINEA PAA" dataDxfId="438" totalsRowDxfId="437"/>
    <tableColumn id="2" name="CONTRATO" dataDxfId="436" totalsRowDxfId="435"/>
    <tableColumn id="3" name="OBJETO" dataDxfId="434" totalsRowDxfId="433"/>
    <tableColumn id="4" name="DEPENDENCIA " dataDxfId="432" totalsRowDxfId="431"/>
    <tableColumn id="5" name="MODALIDAD DE CONTRATACIÓN " dataDxfId="430" totalsRowDxfId="429"/>
    <tableColumn id="6" name="TIPO DE CONTRATO " dataDxfId="428" totalsRowDxfId="427"/>
    <tableColumn id="7" name="CONTRATISTA" dataDxfId="426" totalsRowDxfId="425"/>
    <tableColumn id="8" name="CÉDULA O NIT" dataDxfId="424" totalsRowDxfId="423"/>
    <tableColumn id="9" name="HONORARIOS MES " dataDxfId="422" totalsRowDxfId="421" dataCellStyle="Moneda"/>
    <tableColumn id="10" name="VALOR CONTRATO" dataDxfId="420" totalsRowDxfId="419" dataCellStyle="Moneda"/>
    <tableColumn id="11" name="OBSERVACIONES " dataDxfId="418" totalsRowDxfId="417"/>
    <tableColumn id="12" name="NÚMERO COMITÉ" dataDxfId="416" totalsRowDxfId="415"/>
    <tableColumn id="13" name="SUPERVISOR TITULAR" dataDxfId="414" totalsRowDxfId="413"/>
    <tableColumn id="14" name="DOCUMENTO " dataDxfId="412" totalsRowDxfId="411">
      <calculatedColumnFormula array="1">_xlfn.XLOOKUP(Contrato[[#This Row],[SUPERVISOR TITULAR]],PERSONAL_ACTIVO_2025[[#All],[NOMBRES Y APELLIDOS]],PERSONAL_ACTIVO_2025[[#All],[DOCUMENTO]],"",0)</calculatedColumnFormula>
    </tableColumn>
    <tableColumn id="15" name="SUPERVISOR SUPLENTE " dataDxfId="410" totalsRowDxfId="409"/>
    <tableColumn id="16" name="DOCUMENTO" dataDxfId="408" totalsRowDxfId="407">
      <calculatedColumnFormula array="1">_xlfn.XLOOKUP(Contrato[[#This Row],[SUPERVISOR SUPLENTE ]],PERSONAL_ACTIVO_2025[[#All],[NOMBRES Y APELLIDOS]],PERSONAL_ACTIVO_2025[[#All],[DOCUMENTO]],"",0)</calculatedColumnFormula>
    </tableColumn>
    <tableColumn id="17" name="CDP" dataDxfId="406" totalsRowDxfId="405"/>
    <tableColumn id="18" name="FECHA CDP" dataDxfId="404" totalsRowDxfId="403">
      <calculatedColumnFormula array="1">_xlfn.XLOOKUP(Contrato[[#This Row],[CDP]],#REF!,#REF!,"",0)</calculatedColumnFormula>
    </tableColumn>
    <tableColumn id="19" name="VALOR CDP" dataDxfId="402" totalsRowDxfId="401" dataCellStyle="Millares">
      <calculatedColumnFormula>SUMIF(#REF!,Contrato[[#This Row],[CDP]],#REF!)</calculatedColumnFormula>
    </tableColumn>
    <tableColumn id="20" name="RCP" dataDxfId="400" totalsRowDxfId="399">
      <calculatedColumnFormula array="1">_xlfn.XLOOKUP(Contrato[[#This Row],[CONTRATO]]&amp;Contrato[[#This Row],[CDP]],#REF!,#REF!,_xlfn.XLOOKUP(Contrato[[#This Row],[CDP]],#REF!,#REF!,"",0),0)</calculatedColumnFormula>
    </tableColumn>
    <tableColumn id="21" name="FECHA RCP" dataDxfId="398" totalsRowDxfId="397">
      <calculatedColumnFormula>+_xlfn.XLOOKUP(Contrato[[#This Row],[RCP]],#REF!,#REF!,"",0)</calculatedColumnFormula>
    </tableColumn>
    <tableColumn id="22" name="VALOR RCP" dataDxfId="396" totalsRowDxfId="395">
      <calculatedColumnFormula>SUMIF(#REF!,Contrato[[#This Row],[RCP]],#REF!)</calculatedColumnFormula>
    </tableColumn>
    <tableColumn id="23" name="FECHA DE FIRMA " dataDxfId="394" totalsRowDxfId="393"/>
    <tableColumn id="24" name="FECHA APROBACIÓN POLIZA " dataDxfId="392" totalsRowDxfId="391"/>
    <tableColumn id="25" name="FECHA DE INICIO" dataDxfId="390" totalsRowDxfId="389">
      <calculatedColumnFormula>+LEFT(_xlfn.XLOOKUP(Contrato[[#This Row],[CONTRATO3DIG]],SECOP_II!AE:AE,SECOP_II!F:F,"",0),10)</calculatedColumnFormula>
    </tableColumn>
    <tableColumn id="26" name="FECHA TERMINACIÓN " dataDxfId="388" totalsRowDxfId="387">
      <calculatedColumnFormula>+LEFT(_xlfn.XLOOKUP(Contrato[[#This Row],[CONTRATO3DIG]],SECOP_II!AE:AE,SECOP_II!G:G,"",0),10)</calculatedColumnFormula>
    </tableColumn>
    <tableColumn id="27" name="LINK DE PUBLICACIÓN" dataDxfId="386" totalsRowDxfId="385"/>
    <tableColumn id="28" name="PLAZO " dataDxfId="384" totalsRowDxfId="383"/>
    <tableColumn id="36" name="Prorroga" dataDxfId="382" totalsRowDxfId="381"/>
    <tableColumn id="29" name="EXPEDIENTE" dataDxfId="380" totalsRowDxfId="379"/>
    <tableColumn id="30" name="RENDIDO " dataDxfId="378" totalsRowDxfId="377"/>
    <tableColumn id="31" name="Contrato2" dataDxfId="376" totalsRowDxfId="375">
      <calculatedColumnFormula>TEXT(LEFT(Contrato[[#This Row],[CONTRATO]],3),"0")</calculatedColumnFormula>
    </tableColumn>
    <tableColumn id="32" name="CONTRATO3DIG" dataDxfId="374" totalsRowDxfId="373">
      <calculatedColumnFormula>IF(LEN(Contrato[[#This Row],[Contrato2]])=3,Contrato[[#This Row],[Contrato2]],TEXT(Contrato[[#This Row],[Contrato2]],"000"))</calculatedColumnFormula>
    </tableColumn>
    <tableColumn id="33" name="Tiempo entre FPL y hoy (meses)" dataDxfId="372" totalsRowDxfId="371">
      <calculatedColumnFormula>IFERROR(_xlfn.DAYS(Contrato[[#This Row],[Fecha Proyectada liquidación]],TODAY())/30,"")</calculatedColumnFormula>
    </tableColumn>
    <tableColumn id="34" name="Fecha Proyectada liquidación" dataDxfId="370" totalsRowDxfId="369">
      <calculatedColumnFormula>+Contrato[[#This Row],[FECHA TERMINACIÓN ]]+120</calculatedColumnFormula>
    </tableColumn>
    <tableColumn id="35" name="Fecha Real de liquiidación " dataDxfId="368" totalsRowDxfId="367"/>
    <tableColumn id="40" name="Estado" dataDxfId="366" totalsRowDxfId="365">
      <calculatedColumnFormula>IF(Contrato[[#This Row],[FECHA TERMINACIÓN ]]&lt;TODAY(), "Terminado",IF(ISNUMBER(Contrato[[#This Row],[Fecha Real de liquiidación ]]),"Liquidado",IF(Contrato[[#This Row],[FECHA TERMINACIÓN ]]&gt;=TODAY(),"En ejecución","")))</calculatedColumnFormula>
    </tableColumn>
    <tableColumn id="38" name="Pagos" dataDxfId="364" totalsRowDxfId="363" dataCellStyle="Moneda">
      <calculatedColumnFormula>SUMIF(COMPROMISOS_2025[[#All],[consecutivo]],Contrato[[#This Row],[RCP]],COMPROMISOS_2025[[#All],[Total pagado]])</calculatedColumnFormula>
    </tableColumn>
    <tableColumn id="39" name="%" dataDxfId="362" totalsRowDxfId="361">
      <calculatedColumnFormula>IFERROR(Contrato[[#This Row],[Pagos]]/Contrato[[#This Row],[VALOR CONTRATO]],0)</calculatedColumnFormula>
    </tableColumn>
    <tableColumn id="37" name="Valor pendiente de ejecutar" dataDxfId="360" totalsRowDxfId="359">
      <calculatedColumnFormula>+Contrato[[#This Row],[VALOR CONTRATO]]-Contrato[[#This Row],[Pagos]]</calculatedColumnFormula>
    </tableColumn>
    <tableColumn id="41" name="Correo supervisor" dataDxfId="358" totalsRowDxfId="357">
      <calculatedColumnFormula array="1">_xlfn.XLOOKUP(Contrato[[#This Row],[DOCUMENTO ]],PERSONAL_ACTIVO_2025[[#All],[DOCUMENTO]],PERSONAL_ACTIVO_2025[[#All],[email]],0,0)</calculatedColumnFormula>
    </tableColumn>
    <tableColumn id="42" name="Correo suplente" dataDxfId="356" totalsRowDxfId="355">
      <calculatedColumnFormula array="1">_xlfn.XLOOKUP(Contrato[[#This Row],[DOCUMENTO]],PERSONAL_ACTIVO_2025[[#All],[DOCUMENTO]],PERSONAL_ACTIVO_2025[[#All],[email]],0,0)</calculatedColumnFormula>
    </tableColumn>
    <tableColumn id="43" name="Correo ordenador del gasto" dataDxfId="354" totalsRowDxfId="353">
      <calculatedColumnFormula array="1">IF(ISBLANK(Contrato[[#This Row],[DEPENDENCIA ]]),0,IFERROR(_xlfn.XLOOKUP(Contrato[[#This Row],[DEPENDENCIA ]],#REF!,#REF!,0,0),0))</calculatedColumnFormula>
    </tableColumn>
    <tableColumn id="44" name="Días de Terminación (dias entre FT y hoy)" dataDxfId="352" totalsRowDxfId="351">
      <calculatedColumnFormula>+_xlfn.DAYS(Contrato[[#This Row],[FECHA TERMINACIÓN ]],TODAY())</calculatedColumnFormula>
    </tableColumn>
  </tableColumns>
  <tableStyleInfo name="TableStyleMedium2" showFirstColumn="0" showLastColumn="0" showRowStripes="1" showColumnStripes="0"/>
</table>
</file>

<file path=xl/tables/table3.xml><?xml version="1.0" encoding="utf-8"?>
<table xmlns="http://schemas.openxmlformats.org/spreadsheetml/2006/main" id="12" name="INCORPORACIONES" displayName="INCORPORACIONES" ref="A1:E17" totalsRowShown="0" headerRowDxfId="350" headerRowBorderDxfId="349" tableBorderDxfId="348">
  <autoFilter ref="A1:E17"/>
  <tableColumns count="5">
    <tableColumn id="1" name="VALOR " dataDxfId="347" dataCellStyle="Millares"/>
    <tableColumn id="2" name="DECRETO " dataDxfId="346"/>
    <tableColumn id="3" name="FECHA " dataDxfId="345"/>
    <tableColumn id="4" name="RESOLUCION " dataDxfId="344"/>
    <tableColumn id="5" name="FECHA" dataDxfId="343"/>
  </tableColumns>
  <tableStyleInfo name="TableStyleMedium2" showFirstColumn="0" showLastColumn="0" showRowStripes="1" showColumnStripes="0"/>
</table>
</file>

<file path=xl/tables/table4.xml><?xml version="1.0" encoding="utf-8"?>
<table xmlns="http://schemas.openxmlformats.org/spreadsheetml/2006/main" id="18" name="DISPONIBILIDADES_2025" displayName="DISPONIBILIDADES_2025" ref="A1:O582" tableType="queryTable" totalsRowShown="0">
  <autoFilter ref="A1:O582"/>
  <tableColumns count="15">
    <tableColumn id="1" uniqueName="1" name="consecutivo" queryTableFieldId="1"/>
    <tableColumn id="2" uniqueName="2" name="fecha_aprobacion" queryTableFieldId="2" dataDxfId="342"/>
    <tableColumn id="3" uniqueName="3" name="descripcion" queryTableFieldId="3" dataDxfId="341"/>
    <tableColumn id="4" uniqueName="4" name="codigo_resumido" queryTableFieldId="4"/>
    <tableColumn id="5" uniqueName="5" name="valor_total_rubro" queryTableFieldId="5"/>
    <tableColumn id="6" uniqueName="6" name="descripcion_1" queryTableFieldId="6" dataDxfId="340"/>
    <tableColumn id="7" uniqueName="7" name="ano" queryTableFieldId="7"/>
    <tableColumn id="8" uniqueName="8" name="rubro" queryTableFieldId="8" dataDxfId="339"/>
    <tableColumn id="9" uniqueName="9" name="nombre_proyecto" queryTableFieldId="9" dataDxfId="338"/>
    <tableColumn id="10" uniqueName="10" name="nombre_empresa" queryTableFieldId="10" dataDxfId="337"/>
    <tableColumn id="11" uniqueName="11" name="nombre_dependencia" queryTableFieldId="11" dataDxfId="336"/>
    <tableColumn id="12" uniqueName="12" name="reintegros" queryTableFieldId="12"/>
    <tableColumn id="13" uniqueName="13" name="total_compromisos" queryTableFieldId="13"/>
    <tableColumn id="14" uniqueName="14" name="total_cancelado" queryTableFieldId="14"/>
    <tableColumn id="15" uniqueName="15" name="Saldo" queryTableFieldId="15"/>
  </tableColumns>
  <tableStyleInfo name="TableStyleMedium7" showFirstColumn="0" showLastColumn="0" showRowStripes="1" showColumnStripes="0"/>
</table>
</file>

<file path=xl/tables/table5.xml><?xml version="1.0" encoding="utf-8"?>
<table xmlns="http://schemas.openxmlformats.org/spreadsheetml/2006/main" id="4" name="Tabla4" displayName="Tabla4" ref="A1:AE1159" totalsRowShown="0" headerRowDxfId="335" dataCellStyle="Normal 7">
  <autoFilter ref="A1:AE1159"/>
  <tableColumns count="31">
    <tableColumn id="1" name="IDContrato" dataCellStyle="Normal 7"/>
    <tableColumn id="2" name="AnnoCargue" dataCellStyle="Normal 7"/>
    <tableColumn id="3" name="MesCargue" dataCellStyle="Normal 7"/>
    <tableColumn id="4" name="Fechacargue" dataCellStyle="Normal 7"/>
    <tableColumn id="5" name="FechaFirma" dataCellStyle="Normal 7"/>
    <tableColumn id="6" name="FechaIniciodelContrato" dataCellStyle="Normal 7"/>
    <tableColumn id="7" name="FechaFindelContrato" dataCellStyle="Normal 7"/>
    <tableColumn id="8" name="OrdenEntidad" dataCellStyle="Normal 7"/>
    <tableColumn id="9" name="DepartamentoEntidad" dataCellStyle="Normal 7"/>
    <tableColumn id="10" name="MunicipioEntidad" dataCellStyle="Normal 7"/>
    <tableColumn id="11" name="NITdelaEntidad" dataCellStyle="Normal 7"/>
    <tableColumn id="12" name="NombredelaEntidad" dataCellStyle="Normal 7"/>
    <tableColumn id="13" name="ModalidadContratacion" dataCellStyle="Normal 7"/>
    <tableColumn id="14" name="TipodeContrato" dataCellStyle="Normal 7"/>
    <tableColumn id="15" name="Justificacionmodalidad" dataCellStyle="Normal 7"/>
    <tableColumn id="16" name="IDClase" dataCellStyle="Normal 7"/>
    <tableColumn id="17" name="NumerodeProceso" dataCellStyle="Normal 7"/>
    <tableColumn id="18" name="NumerodelContrato" dataCellStyle="Normal 7"/>
    <tableColumn id="19" name="Objetocontractual" dataCellStyle="Normal 7"/>
    <tableColumn id="20" name="Valorconadiciones" dataCellStyle="Normal 7"/>
    <tableColumn id="21" name="NomRazSocialContratista" dataCellStyle="Normal 7"/>
    <tableColumn id="22" name="TipoIdentifidelContratista" dataCellStyle="Normal 7"/>
    <tableColumn id="23" name="IdentificaciondelContratista" dataCellStyle="Normal 7"/>
    <tableColumn id="24" name="EstadodelProceso" dataCellStyle="Normal 7"/>
    <tableColumn id="25" name="OrigendelosRecursos" dataCellStyle="Normal 7"/>
    <tableColumn id="26" name="DestinoGasto" dataCellStyle="Normal 7"/>
    <tableColumn id="27" name="Link" dataCellStyle="Normal 7"/>
    <tableColumn id="28" name="IDEntidad" dataCellStyle="Normal 7"/>
    <tableColumn id="29" name="Fuente" dataCellStyle="Normal 7"/>
    <tableColumn id="30" name="Contrato" dataDxfId="334" dataCellStyle="Normal 7"/>
    <tableColumn id="31" name="CONTRATO3DIG" dataDxfId="333" dataCellStyle="Normal 7"/>
  </tableColumns>
  <tableStyleInfo name="TableStyleMedium2" showFirstColumn="0" showLastColumn="0" showRowStripes="1" showColumnStripes="0"/>
</table>
</file>

<file path=xl/tables/table6.xml><?xml version="1.0" encoding="utf-8"?>
<table xmlns="http://schemas.openxmlformats.org/spreadsheetml/2006/main" id="19" name="COMPROMISOS_2025" displayName="COMPROMISOS_2025" ref="A1:Y3153" tableType="queryTable" totalsRowShown="0">
  <autoFilter ref="A1:Y3153">
    <filterColumn colId="4">
      <filters>
        <filter val="332-2025"/>
      </filters>
    </filterColumn>
  </autoFilter>
  <tableColumns count="25">
    <tableColumn id="1" uniqueName="1" name="consecutivo" queryTableFieldId="1"/>
    <tableColumn id="2" uniqueName="2" name="fecha_aprobacion" queryTableFieldId="2" dataDxfId="332"/>
    <tableColumn id="3" uniqueName="3" name="descripcion" queryTableFieldId="3" dataDxfId="331"/>
    <tableColumn id="4" uniqueName="4" name="descripcion_1" queryTableFieldId="4" dataDxfId="330"/>
    <tableColumn id="5" uniqueName="5" name="num_contrato" queryTableFieldId="5" dataDxfId="329"/>
    <tableColumn id="6" uniqueName="6" name="disponibilidad" queryTableFieldId="6"/>
    <tableColumn id="7" uniqueName="7" name="codigo_resumido" queryTableFieldId="7"/>
    <tableColumn id="8" uniqueName="8" name="rubro" queryTableFieldId="8" dataDxfId="328"/>
    <tableColumn id="9" uniqueName="9" name="nombre_proyecto" queryTableFieldId="9" dataDxfId="327"/>
    <tableColumn id="10" uniqueName="10" name="valor_total" queryTableFieldId="10"/>
    <tableColumn id="11" uniqueName="11" name="ano" queryTableFieldId="11"/>
    <tableColumn id="12" uniqueName="12" name="nit" queryTableFieldId="12"/>
    <tableColumn id="13" uniqueName="13" name="nombre" queryTableFieldId="13" dataDxfId="326"/>
    <tableColumn id="14" uniqueName="14" name="nombre_empresa" queryTableFieldId="14" dataDxfId="325"/>
    <tableColumn id="15" uniqueName="15" name="nombre_dependencia" queryTableFieldId="15" dataDxfId="324"/>
    <tableColumn id="16" uniqueName="16" name="reintegros" queryTableFieldId="16"/>
    <tableColumn id="17" uniqueName="17" name="total_ordenes" queryTableFieldId="17"/>
    <tableColumn id="18" uniqueName="18" name="total_cancelado" queryTableFieldId="18"/>
    <tableColumn id="19" uniqueName="19" name="Saldo" queryTableFieldId="19" dataDxfId="323"/>
    <tableColumn id="20" uniqueName="20" name="concatenado" queryTableFieldId="20" dataDxfId="322">
      <calculatedColumnFormula>IF(A2&gt;=0,CONCATENATE(A2,H2),"")</calculatedColumnFormula>
    </tableColumn>
    <tableColumn id="21" uniqueName="21" name="Indicador Principal" queryTableFieldId="21" dataDxfId="321">
      <calculatedColumnFormula array="1">+IF(COMPROMISOS_2025[[#This Row],[P]]="20","41080111",_xlfn.XLOOKUP(COMPROMISOS_2025[[#This Row],[concatenado]],PAA[[#All],[RCP-RUBRO]],PAA[[#All],[INDICADOR]],"",0))</calculatedColumnFormula>
    </tableColumn>
    <tableColumn id="27" uniqueName="27" name="P" queryTableFieldId="27" dataDxfId="320">
      <calculatedColumnFormula>+MID(H2,11,2)</calculatedColumnFormula>
    </tableColumn>
    <tableColumn id="29" uniqueName="29" name="Total Comprometido" queryTableFieldId="29" dataDxfId="319" dataCellStyle="Moneda">
      <calculatedColumnFormula>+COMPROMISOS_2025[[#This Row],[valor_total]]-COMPROMISOS_2025[[#This Row],[total_cancelado]]</calculatedColumnFormula>
    </tableColumn>
    <tableColumn id="30" uniqueName="30" name="Total pagado" queryTableFieldId="30" dataDxfId="318" dataCellStyle="Moneda">
      <calculatedColumnFormula>COMPROMISOS_2025[[#This Row],[total_ordenes]]</calculatedColumnFormula>
    </tableColumn>
    <tableColumn id="31" uniqueName="31" name="Actividad1" queryTableFieldId="31" dataDxfId="317">
      <calculatedColumnFormula array="1">IFERROR(_xlfn.XLOOKUP(COMPROMISOS_2025[[#This Row],[concatenado]],PAA[[#All],[RCP-RUBRO]],PAA[[#All],[Actividad3]],VLOOKUP(COMPROMISOS_2025[[#This Row],[Indicador Principal]],$AC$2:$AD$17,2,0),0),"")</calculatedColumnFormula>
    </tableColumn>
  </tableColumns>
  <tableStyleInfo name="TableStyleMedium7" showFirstColumn="0" showLastColumn="0" showRowStripes="1" showColumnStripes="0"/>
</table>
</file>

<file path=xl/tables/table7.xml><?xml version="1.0" encoding="utf-8"?>
<table xmlns="http://schemas.openxmlformats.org/spreadsheetml/2006/main" id="11" name="RUBROS" displayName="RUBROS" ref="A1:C106" totalsRowShown="0">
  <autoFilter ref="A1:C106"/>
  <sortState ref="A2:C105">
    <sortCondition ref="C1:C105"/>
  </sortState>
  <tableColumns count="3">
    <tableColumn id="1" name="Rubro"/>
    <tableColumn id="2" name="NombredeRubro"/>
    <tableColumn id="3" name="CódigoCorto"/>
  </tableColumns>
  <tableStyleInfo name="TableStyleMedium2" showFirstColumn="0" showLastColumn="0" showRowStripes="1" showColumnStripes="0"/>
</table>
</file>

<file path=xl/tables/table8.xml><?xml version="1.0" encoding="utf-8"?>
<table xmlns="http://schemas.openxmlformats.org/spreadsheetml/2006/main" id="16" name="Consulta1" displayName="Consulta1" ref="A1:F978" tableType="queryTable" totalsRowShown="0">
  <autoFilter ref="A1:F978"/>
  <tableColumns count="6">
    <tableColumn id="1" uniqueName="1" name="Name" queryTableFieldId="1" dataDxfId="18"/>
    <tableColumn id="2" uniqueName="2" name="Extension" queryTableFieldId="2" dataDxfId="17"/>
    <tableColumn id="3" uniqueName="3" name="Date accessed" queryTableFieldId="3" dataDxfId="16"/>
    <tableColumn id="4" uniqueName="4" name="Date modified" queryTableFieldId="4" dataDxfId="15"/>
    <tableColumn id="5" uniqueName="5" name="Date created" queryTableFieldId="5" dataDxfId="14"/>
    <tableColumn id="6" uniqueName="6" name="Folder Path" queryTableFieldId="6" dataDxfId="13"/>
  </tableColumns>
  <tableStyleInfo name="TableStyleMedium7" showFirstColumn="0" showLastColumn="0" showRowStripes="1" showColumnStripes="0"/>
</table>
</file>

<file path=xl/tables/table9.xml><?xml version="1.0" encoding="utf-8"?>
<table xmlns="http://schemas.openxmlformats.org/spreadsheetml/2006/main" id="7" name="Corr_Contr_CDP" displayName="Corr_Contr_CDP" ref="A1:F11" totalsRowShown="0" headerRowDxfId="12" dataDxfId="10" headerRowBorderDxfId="11" tableBorderDxfId="9">
  <autoFilter ref="A1:F11"/>
  <tableColumns count="6">
    <tableColumn id="1" name="CRP" dataDxfId="8"/>
    <tableColumn id="2" name="Objeto" dataDxfId="7"/>
    <tableColumn id="3" name="Relación en RCPAGOS" dataDxfId="6"/>
    <tableColumn id="4" name="CDP" dataDxfId="5"/>
    <tableColumn id="5" name="CONTRATO" dataDxfId="4"/>
    <tableColumn id="6" name="CONTRATO-CDP" dataDxfId="3">
      <calculatedColumnFormula>Corr_Contr_CDP[[#This Row],[CONTRATO]]&amp;Corr_Contr_CDP[[#This Row],[CDP]]</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E1" dT="2024-03-01T14:36:27.67" personId="{09756EB4-1013-4B96-B286-C0F753EA7AFC}" id="{0378DDC1-ABD6-4DB9-91DA-A2AFA133CD90}">
    <text>Cuadro de lista hoja supervisores</text>
  </threadedComment>
  <threadedComment ref="F1" dT="2024-03-01T14:36:36.15" personId="{09756EB4-1013-4B96-B286-C0F753EA7AFC}" id="{25DA25F0-DE54-45E2-96D6-DB6A58273C5F}">
    <text>Cuadro lista hoja supervisores</text>
  </threadedComment>
  <threadedComment ref="S1" dT="2023-07-05T20:59:03.13" personId="{09756EB4-1013-4B96-B286-C0F753EA7AFC}" id="{F2E6B19C-0DBB-496B-A56F-1174EF68B839}">
    <text>AUTOMATIZAR CELDAS VERDES DE RCP PAGOS</text>
  </threadedComment>
  <threadedComment ref="AE1" dT="2024-03-01T14:39:08.82" personId="{09756EB4-1013-4B96-B286-C0F753EA7AFC}" id="{087FEF56-E564-41BB-A89C-B3A863C33F90}">
    <text xml:space="preserve">Lista si o no </text>
  </threadedComment>
  <threadedComment ref="A377" dT="2025-04-25T03:41:11.32" personId="{C284AB0C-0202-4917-9FFD-9D58EC7CA9EE}" id="{6659CB55-F61A-498D-9DFD-5502B2B7F1F4}">
    <text>En la descripción del mercurio dice que el item es el 168, pero el EP dice 188- ojo hay dos items 188</text>
  </threadedComment>
  <threadedComment ref="B385" dT="2025-04-25T04:10:13.99" personId="{C284AB0C-0202-4917-9FFD-9D58EC7CA9EE}" id="{6CEA115C-06A5-4359-91B6-A3B315A7EDBC}">
    <text>El jurídico no solicitó el nro del contrato y adjudicó con el nro de proceso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omments" Target="../comments1.xm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community.secop.gov.co/Public/Tendering/ContractNoticePhases/View?PPI=CO1.PPI.37590452&amp;isFromPublicArea" TargetMode="External"/><Relationship Id="rId299" Type="http://schemas.openxmlformats.org/officeDocument/2006/relationships/hyperlink" Target="https://community.secop.gov.co/Public/Tendering/OpportunityDetail/Index?noticeUID=CO1.NTC.7995320&amp;isFromPublicArea=True&amp;isModal=False" TargetMode="External"/><Relationship Id="rId303" Type="http://schemas.openxmlformats.org/officeDocument/2006/relationships/hyperlink" Target="https://community.secop.gov.co/Public/Tendering/ContractNoticePhases/View?PPI=CO1.PPI.38945085&amp;isFromPublicArea=True&amp;isModal=False" TargetMode="External"/><Relationship Id="rId21" Type="http://schemas.openxmlformats.org/officeDocument/2006/relationships/hyperlink" Target="https://community.secop.gov.co/Public/Tendering/ContractNoticePhases/View?PPI=CO1.PPI.37258221&amp;isFromPublicArea=True&amp;isModal=False" TargetMode="External"/><Relationship Id="rId42" Type="http://schemas.openxmlformats.org/officeDocument/2006/relationships/hyperlink" Target="https://community.secop.gov.co/Public/Tendering/OpportunityDetail/Index?noticeUID=CO1.NTC.7625280&amp;isFromPublicArea=True&amp;isModal=False" TargetMode="External"/><Relationship Id="rId63" Type="http://schemas.openxmlformats.org/officeDocument/2006/relationships/hyperlink" Target="https://community.secop.gov.co/Public/Tendering/OpportunityDetail/Index?noticeUID=CO1.NTC.7672694&amp;isFromPublicArea=True&amp;isModal=False" TargetMode="External"/><Relationship Id="rId84" Type="http://schemas.openxmlformats.org/officeDocument/2006/relationships/hyperlink" Target="https://community.secop.gov.co/Public/Tendering/ContractNoticePhases/View?PPI=CO1.PPI.37581336&amp;isFromPublicArea" TargetMode="External"/><Relationship Id="rId138" Type="http://schemas.openxmlformats.org/officeDocument/2006/relationships/hyperlink" Target="https://community.secop.gov.co/Public/Tendering/ContractNoticePhases/View?PPI=CO1.PPI.37581336&amp;isFromPublicArea" TargetMode="External"/><Relationship Id="rId159" Type="http://schemas.openxmlformats.org/officeDocument/2006/relationships/hyperlink" Target="https://community.secop.gov.co/Public/Tendering/ContractNoticePhases/View?PPI=CO1.PPI.37581336&amp;isFromPublicArea" TargetMode="External"/><Relationship Id="rId170" Type="http://schemas.openxmlformats.org/officeDocument/2006/relationships/hyperlink" Target="https://community.secop.gov.co/Public/Tendering/ContractNoticePhases/View?PPI=CO1.PPI.37590452&amp;isFromPublicArea" TargetMode="External"/><Relationship Id="rId191" Type="http://schemas.openxmlformats.org/officeDocument/2006/relationships/hyperlink" Target="https://community.secop.gov.co/Public/Tendering/ContractNoticePhases/View?PPI=CO1.PPI.37581336&amp;isFromPublicArea" TargetMode="External"/><Relationship Id="rId205" Type="http://schemas.openxmlformats.org/officeDocument/2006/relationships/hyperlink" Target="https://community.secop.gov.co/Public/Tendering/ContractNoticePhases/View?PPI=CO1.PPI.37581336&amp;isFromPublicArea" TargetMode="External"/><Relationship Id="rId226" Type="http://schemas.openxmlformats.org/officeDocument/2006/relationships/hyperlink" Target="https://community.secop.gov.co/Public/Tendering/OpportunityDetail/Index?noticeUID=CO1.NTC.7706863&amp;isFromPublicArea=True&amp;isModal=False" TargetMode="External"/><Relationship Id="rId247" Type="http://schemas.openxmlformats.org/officeDocument/2006/relationships/hyperlink" Target="https://community.secop.gov.co/Public/Tendering/OpportunityDetail/Index?noticeUID=CO1.NTC.7830275&amp;isFromPublicArea=True&amp;isModal=False" TargetMode="External"/><Relationship Id="rId107" Type="http://schemas.openxmlformats.org/officeDocument/2006/relationships/hyperlink" Target="https://community.secop.gov.co/Public/Tendering/ContractNoticePhases/View?PPI=CO1.PPI.37581336&amp;isFromPublicArea" TargetMode="External"/><Relationship Id="rId268" Type="http://schemas.openxmlformats.org/officeDocument/2006/relationships/hyperlink" Target="https://community.secop.gov.co/Public/Tendering/ContractNoticePhases/View?PPI=CO1.PPI.38000269&amp;isFromPublicArea=True&amp;isModal=False" TargetMode="External"/><Relationship Id="rId289" Type="http://schemas.openxmlformats.org/officeDocument/2006/relationships/hyperlink" Target="https://community.secop.gov.co/Public/Tendering/OpportunityDetail/Index?noticeUID=CO1.NTC.7896687&amp;isFromPublicArea=True&amp;isModal=False" TargetMode="External"/><Relationship Id="rId11" Type="http://schemas.openxmlformats.org/officeDocument/2006/relationships/hyperlink" Target="https://community.secop.gov.co/Public/Tendering/ContractNoticePhases/View?PPI=CO1.PPI.37222255&amp;isFromPublicArea=True&amp;isModal=False" TargetMode="External"/><Relationship Id="rId32" Type="http://schemas.openxmlformats.org/officeDocument/2006/relationships/hyperlink" Target="https://community.secop.gov.co/Public/Tendering/ContractNoticePhases/View?PPI=CO1.PPI.37294223&amp;isFromPublicArea=True&amp;isModal=False" TargetMode="External"/><Relationship Id="rId53" Type="http://schemas.openxmlformats.org/officeDocument/2006/relationships/hyperlink" Target="https://community.secop.gov.co/Public/Tendering/OpportunityDetail/Index?noticeUID=CO1.NTC.7623459&amp;isFromPublicArea=True&amp;isModal=False" TargetMode="External"/><Relationship Id="rId74" Type="http://schemas.openxmlformats.org/officeDocument/2006/relationships/hyperlink" Target="https://community.secop.gov.co/Public/Tendering/OpportunityDetail/Index?noticeUID=CO1.NTC.7691757&amp;isFromPublicArea=True&amp;isModal=False" TargetMode="External"/><Relationship Id="rId128" Type="http://schemas.openxmlformats.org/officeDocument/2006/relationships/hyperlink" Target="https://community.secop.gov.co/Public/Tendering/ContractNoticePhases/View?PPI=CO1.PPI.37581336&amp;isFromPublicArea" TargetMode="External"/><Relationship Id="rId149" Type="http://schemas.openxmlformats.org/officeDocument/2006/relationships/hyperlink" Target="https://community.secop.gov.co/Public/Tendering/ContractNoticePhases/View?PPI=CO1.PPI.37581336&amp;isFromPublicArea" TargetMode="External"/><Relationship Id="rId314" Type="http://schemas.openxmlformats.org/officeDocument/2006/relationships/comments" Target="../comments2.xml"/><Relationship Id="rId5" Type="http://schemas.openxmlformats.org/officeDocument/2006/relationships/hyperlink" Target="https://community.secop.gov.co/Public/Tendering/ContractNoticePhases/View?PPI=CO1.PPI.37063867&amp;isFromPublicArea=True&amp;isModal=False" TargetMode="External"/><Relationship Id="rId95" Type="http://schemas.openxmlformats.org/officeDocument/2006/relationships/hyperlink" Target="https://community.secop.gov.co/Public/Tendering/ContractNoticePhases/View?PPI=CO1.PPI.37581336&amp;isFromPublicArea=True&amp;isModal=False" TargetMode="External"/><Relationship Id="rId160" Type="http://schemas.openxmlformats.org/officeDocument/2006/relationships/hyperlink" Target="https://community.secop.gov.co/Public/Tendering/ContractNoticePhases/View?PPI=CO1.PPI.37581336&amp;isFromPublicArea" TargetMode="External"/><Relationship Id="rId181" Type="http://schemas.openxmlformats.org/officeDocument/2006/relationships/hyperlink" Target="https://community.secop.gov.co/Public/Tendering/ContractNoticePhases/View?PPI=CO1.PPI.37581336&amp;isFromPublicArea" TargetMode="External"/><Relationship Id="rId216" Type="http://schemas.openxmlformats.org/officeDocument/2006/relationships/hyperlink" Target="https://community.secop.gov.co/Public/Tendering/ContractNoticePhases/View?PPI=CO1.PPI.37581336&amp;isFromPublicArea" TargetMode="External"/><Relationship Id="rId237" Type="http://schemas.openxmlformats.org/officeDocument/2006/relationships/hyperlink" Target="https://community.secop.gov.co/Public/Tendering/OpportunityDetail/Index?noticeUID=CO1.NTC.7732167&amp;isFromPublicArea=True&amp;isModal=False" TargetMode="External"/><Relationship Id="rId258" Type="http://schemas.openxmlformats.org/officeDocument/2006/relationships/hyperlink" Target="https://community.secop.gov.co/Public/Tendering/OpportunityDetail/Index?noticeUID=CO1.NTC.7862536&amp;isFromPublicArea=True&amp;isModal=False" TargetMode="External"/><Relationship Id="rId279" Type="http://schemas.openxmlformats.org/officeDocument/2006/relationships/hyperlink" Target="https://community.secop.gov.co/Public/Tendering/OpportunityDetail/Index?noticeUID=CO1.NTC.7801960&amp;isFromPublicArea=True&amp;isModal=False" TargetMode="External"/><Relationship Id="rId22" Type="http://schemas.openxmlformats.org/officeDocument/2006/relationships/hyperlink" Target="https://community.secop.gov.co/Public/Tendering/ContractNoticePhases/View?PPI=CO1.PPI.37271875&amp;isFromPublicArea=True&amp;isModal=False" TargetMode="External"/><Relationship Id="rId43" Type="http://schemas.openxmlformats.org/officeDocument/2006/relationships/hyperlink" Target="https://community.secop.gov.co/Public/Tendering/OpportunityDetail/Index?noticeUID=CO1.NTC.7623480&amp;isFromPublicArea=True&amp;isModal=False" TargetMode="External"/><Relationship Id="rId64" Type="http://schemas.openxmlformats.org/officeDocument/2006/relationships/hyperlink" Target="https://community.secop.gov.co/Public/Tendering/OpportunityDetail/Index?noticeUID=CO1.NTC.7660454&amp;isFromPublicArea=True&amp;isModal=False" TargetMode="External"/><Relationship Id="rId118" Type="http://schemas.openxmlformats.org/officeDocument/2006/relationships/hyperlink" Target="https://community.secop.gov.co/Public/Tendering/ContractNoticePhases/View?PPI=CO1.PPI.37581336&amp;isFromPublicArea" TargetMode="External"/><Relationship Id="rId139" Type="http://schemas.openxmlformats.org/officeDocument/2006/relationships/hyperlink" Target="https://community.secop.gov.co/Public/Tendering/ContractNoticePhases/View?PPI=CO1.PPI.37590452&amp;isFromPublicArea" TargetMode="External"/><Relationship Id="rId290" Type="http://schemas.openxmlformats.org/officeDocument/2006/relationships/hyperlink" Target="https://community.secop.gov.co/Public/Tendering/OpportunityDetail/Index?noticeUID=CO1.NTC.7920429&amp;isFromPublicArea=True&amp;isModal=False" TargetMode="External"/><Relationship Id="rId304" Type="http://schemas.openxmlformats.org/officeDocument/2006/relationships/hyperlink" Target="https://community.secop.gov.co/Public/Tendering/ContractNoticePhases/View?PPI=CO1.PPI.38952940&amp;isFromPublicArea=True&amp;isModal=False" TargetMode="External"/><Relationship Id="rId85" Type="http://schemas.openxmlformats.org/officeDocument/2006/relationships/hyperlink" Target="https://community.secop.gov.co/Public/Tendering/ContractNoticePhases/View?PPI=CO1.PPI.37581336&amp;isFromPublicArea" TargetMode="External"/><Relationship Id="rId150" Type="http://schemas.openxmlformats.org/officeDocument/2006/relationships/hyperlink" Target="https://community.secop.gov.co/Public/Tendering/ContractNoticePhases/View?PPI=CO1.PPI.37581336&amp;isFromPublicArea" TargetMode="External"/><Relationship Id="rId171" Type="http://schemas.openxmlformats.org/officeDocument/2006/relationships/hyperlink" Target="https://community.secop.gov.co/Public/Tendering/ContractNoticePhases/View?PPI=CO1.PPI.37590452&amp;isFromPublicArea=True&amp;isModal=False" TargetMode="External"/><Relationship Id="rId192" Type="http://schemas.openxmlformats.org/officeDocument/2006/relationships/hyperlink" Target="https://community.secop.gov.co/Public/Tendering/ContractNoticePhases/View?PPI=CO1.PPI.37581336&amp;isFromPublicArea" TargetMode="External"/><Relationship Id="rId206" Type="http://schemas.openxmlformats.org/officeDocument/2006/relationships/hyperlink" Target="https://community.secop.gov.co/Public/Tendering/ContractNoticePhases/View?PPI=CO1.PPI.37590452&amp;isFromPublicArea" TargetMode="External"/><Relationship Id="rId227" Type="http://schemas.openxmlformats.org/officeDocument/2006/relationships/hyperlink" Target="https://community.secop.gov.co/Public/Tendering/OpportunityDetail/Index?noticeUID=CO1.NTC.7714191&amp;isFromPublicArea=True&amp;isModal=False" TargetMode="External"/><Relationship Id="rId248" Type="http://schemas.openxmlformats.org/officeDocument/2006/relationships/hyperlink" Target="https://community.secop.gov.co/Public/Tendering/ContractNoticePhases/View?PPI=CO1.PPI.38146561&amp;isFromPublicArea=True&amp;isModal=False" TargetMode="External"/><Relationship Id="rId269" Type="http://schemas.openxmlformats.org/officeDocument/2006/relationships/hyperlink" Target="https://community.secop.gov.co/Public/Tendering/ContractNoticePhases/View?PPI=CO1.PPI.38002412&amp;isFromPublicArea=True&amp;isModal=False" TargetMode="External"/><Relationship Id="rId12" Type="http://schemas.openxmlformats.org/officeDocument/2006/relationships/hyperlink" Target="https://community.secop.gov.co/Public/Tendering/OpportunityDetail/Index?noticeUID=CO1.NTC.7542990&amp;isFromPublicArea=True&amp;isModal=False" TargetMode="External"/><Relationship Id="rId33" Type="http://schemas.openxmlformats.org/officeDocument/2006/relationships/hyperlink" Target="https://community.secop.gov.co/Public/Tendering/OpportunityDetail/Index?noticeUID=CO1.NTC.7607090&amp;isFromPublicArea=True&amp;isModal=False" TargetMode="External"/><Relationship Id="rId108" Type="http://schemas.openxmlformats.org/officeDocument/2006/relationships/hyperlink" Target="https://community.secop.gov.co/Public/Tendering/ContractNoticePhases/View?PPI=CO1.PPI.37581336&amp;isFromPublicArea" TargetMode="External"/><Relationship Id="rId129" Type="http://schemas.openxmlformats.org/officeDocument/2006/relationships/hyperlink" Target="https://community.secop.gov.co/Public/Tendering/ContractNoticePhases/View?PPI=CO1.PPI.37581336&amp;isFromPublicArea" TargetMode="External"/><Relationship Id="rId280" Type="http://schemas.openxmlformats.org/officeDocument/2006/relationships/hyperlink" Target="https://community.secop.gov.co/Public/Tendering/OpportunityDetail/Index?noticeUID=CO1.NTC.7775890&amp;isFromPublicArea=True&amp;isModal=False" TargetMode="External"/><Relationship Id="rId315" Type="http://schemas.microsoft.com/office/2017/10/relationships/threadedComment" Target="../threadedComments/threadedComment1.xml"/><Relationship Id="rId54" Type="http://schemas.openxmlformats.org/officeDocument/2006/relationships/hyperlink" Target="https://community.secop.gov.co/Public/Tendering/OpportunityDetail/Index?noticeUID=CO1.NTC.7627675&amp;isFromPublicArea=True&amp;isModal=False" TargetMode="External"/><Relationship Id="rId75" Type="http://schemas.openxmlformats.org/officeDocument/2006/relationships/hyperlink" Target="https://community.secop.gov.co/Public/Tendering/OpportunityDetail/Index?noticeUID=CO1.NTC.7687801&amp;isFromPublicArea=True&amp;isModal=False" TargetMode="External"/><Relationship Id="rId96" Type="http://schemas.openxmlformats.org/officeDocument/2006/relationships/hyperlink" Target="https://community.secop.gov.co/Public/Tendering/ContractNoticePhases/View?PPI=CO1.PPI.37581336&amp;isFromPublicArea" TargetMode="External"/><Relationship Id="rId140" Type="http://schemas.openxmlformats.org/officeDocument/2006/relationships/hyperlink" Target="https://community.secop.gov.co/Public/Tendering/ContractNoticePhases/View?PPI=CO1.PPI.37581336&amp;isFromPublicArea" TargetMode="External"/><Relationship Id="rId161" Type="http://schemas.openxmlformats.org/officeDocument/2006/relationships/hyperlink" Target="https://community.secop.gov.co/Public/Tendering/ContractNoticePhases/View?PPI=CO1.PPI.37581336&amp;isFromPublicArea" TargetMode="External"/><Relationship Id="rId182" Type="http://schemas.openxmlformats.org/officeDocument/2006/relationships/hyperlink" Target="https://community.secop.gov.co/Public/Tendering/ContractNoticePhases/View?PPI=CO1.PPI.37581336&amp;isFromPublicArea" TargetMode="External"/><Relationship Id="rId217" Type="http://schemas.openxmlformats.org/officeDocument/2006/relationships/hyperlink" Target="https://community.secop.gov.co/Public/Tendering/ContractNoticePhases/View?PPI=CO1.PPI.37581336&amp;isFromPublicArea" TargetMode="External"/><Relationship Id="rId6" Type="http://schemas.openxmlformats.org/officeDocument/2006/relationships/hyperlink" Target="https://community.secop.gov.co/Public/Tendering/OpportunityDetail/Index?noticeUID=CO1.NTC.7491368&amp;isFromPublicArea=True&amp;isModal=False" TargetMode="External"/><Relationship Id="rId238" Type="http://schemas.openxmlformats.org/officeDocument/2006/relationships/hyperlink" Target="https://community.secop.gov.co/Public/Tendering/OpportunityDetail/Index?noticeUID=CO1.NTC.7706572&amp;isFromPublicArea=True&amp;isModal=False" TargetMode="External"/><Relationship Id="rId259" Type="http://schemas.openxmlformats.org/officeDocument/2006/relationships/hyperlink" Target="https://community.secop.gov.co/Public/Tendering/OpportunityDetail/Index?noticeUID=CO1.NTC.7879086&amp;isFromPublicArea=True&amp;isModal=False" TargetMode="External"/><Relationship Id="rId23" Type="http://schemas.openxmlformats.org/officeDocument/2006/relationships/hyperlink" Target="https://community.secop.gov.co/Public/Tendering/OpportunityDetail/Index?noticeUID=CO1.NTC.7532330&amp;isFromPublicArea=True&amp;isModal=False" TargetMode="External"/><Relationship Id="rId119" Type="http://schemas.openxmlformats.org/officeDocument/2006/relationships/hyperlink" Target="https://community.secop.gov.co/Public/Tendering/ContractNoticePhases/View?PPI=CO1.PPI.37581336&amp;isFromPublicArea" TargetMode="External"/><Relationship Id="rId270" Type="http://schemas.openxmlformats.org/officeDocument/2006/relationships/hyperlink" Target="https://community.secop.gov.co/Public/Tendering/ContractNoticePhases/View?PPI=CO1.PPI.37992304&amp;isFromPublicArea=True&amp;isModal=False" TargetMode="External"/><Relationship Id="rId291" Type="http://schemas.openxmlformats.org/officeDocument/2006/relationships/hyperlink" Target="https://community.secop.gov.co/Public/Tendering/OpportunityDetail/Index?noticeUID=CO1.NTC.7898405&amp;isFromPublicArea=True&amp;isModal=False" TargetMode="External"/><Relationship Id="rId305" Type="http://schemas.openxmlformats.org/officeDocument/2006/relationships/hyperlink" Target="https://community.secop.gov.co/Public/Tendering/ContractNoticePhases/View?PPI=CO1.PPI.38947651&amp;isFromPublicArea=True&amp;isModal=False" TargetMode="External"/><Relationship Id="rId44" Type="http://schemas.openxmlformats.org/officeDocument/2006/relationships/hyperlink" Target="https://community.secop.gov.co/Public/Tendering/OpportunityDetail/Index?noticeUID=CO1.NTC.7615599&amp;isFromPublicArea=True&amp;isModal=False" TargetMode="External"/><Relationship Id="rId65" Type="http://schemas.openxmlformats.org/officeDocument/2006/relationships/hyperlink" Target="https://community.secop.gov.co/Public/Tendering/OpportunityDetail/Index?noticeUID=CO1.NTC.7662790&amp;isFromPublicArea=True&amp;isModal=False" TargetMode="External"/><Relationship Id="rId86" Type="http://schemas.openxmlformats.org/officeDocument/2006/relationships/hyperlink" Target="https://community.secop.gov.co/Public/Tendering/ContractNoticePhases/View?PPI=CO1.PPI.37581336&amp;isFromPublicArea" TargetMode="External"/><Relationship Id="rId130" Type="http://schemas.openxmlformats.org/officeDocument/2006/relationships/hyperlink" Target="https://community.secop.gov.co/Public/Tendering/ContractNoticePhases/View?PPI=CO1.PPI.37581336&amp;isFromPublicArea" TargetMode="External"/><Relationship Id="rId151" Type="http://schemas.openxmlformats.org/officeDocument/2006/relationships/hyperlink" Target="https://community.secop.gov.co/Public/Tendering/ContractNoticePhases/View?PPI=CO1.PPI.37581336&amp;isFromPublicArea" TargetMode="External"/><Relationship Id="rId172" Type="http://schemas.openxmlformats.org/officeDocument/2006/relationships/hyperlink" Target="https://community.secop.gov.co/Public/Tendering/ContractNoticePhases/View?PPI=CO1.PPI.37581336&amp;isFromPublicArea" TargetMode="External"/><Relationship Id="rId193" Type="http://schemas.openxmlformats.org/officeDocument/2006/relationships/hyperlink" Target="https://community.secop.gov.co/Public/Tendering/ContractNoticePhases/View?PPI=CO1.PPI.37590452&amp;isFromPublicArea" TargetMode="External"/><Relationship Id="rId207" Type="http://schemas.openxmlformats.org/officeDocument/2006/relationships/hyperlink" Target="https://community.secop.gov.co/Public/Tendering/ContractNoticePhases/View?PPI=CO1.PPI.37581336&amp;isFromPublicArea" TargetMode="External"/><Relationship Id="rId228" Type="http://schemas.openxmlformats.org/officeDocument/2006/relationships/hyperlink" Target="https://community.secop.gov.co/Public/Tendering/OpportunityDetail/Index?noticeUID=CO1.NTC.7695577&amp;isFromPublicArea=True&amp;isModal=False" TargetMode="External"/><Relationship Id="rId249" Type="http://schemas.openxmlformats.org/officeDocument/2006/relationships/hyperlink" Target="https://community.secop.gov.co/Public/Tendering/OpportunityDetail/Index?noticeUID=CO1.NTC.7842129&amp;isFromPublicArea=True&amp;isModal=False" TargetMode="External"/><Relationship Id="rId13" Type="http://schemas.openxmlformats.org/officeDocument/2006/relationships/hyperlink" Target="https://community.secop.gov.co/Public/Tendering/ContractNoticePhases/View?PPI=CO1.PPI.37182072&amp;isFromPublicArea=True&amp;isModal=False" TargetMode="External"/><Relationship Id="rId109" Type="http://schemas.openxmlformats.org/officeDocument/2006/relationships/hyperlink" Target="https://community.secop.gov.co/Public/Tendering/ContractNoticePhases/View?PPI=CO1.PPI.37590452&amp;isFromPublicArea" TargetMode="External"/><Relationship Id="rId260" Type="http://schemas.openxmlformats.org/officeDocument/2006/relationships/hyperlink" Target="https://community.secop.gov.co/Public/Tendering/ContractNoticePhases/View?PPI=CO1.PPI.38312040&amp;isFromPublicArea=True&amp;isModal=False" TargetMode="External"/><Relationship Id="rId281" Type="http://schemas.openxmlformats.org/officeDocument/2006/relationships/hyperlink" Target="https://community.secop.gov.co/Public/Tendering/OpportunityDetail/Index?noticeUID=CO1.NTC.7792618&amp;isFromPublicArea=True&amp;isModal=False" TargetMode="External"/><Relationship Id="rId34" Type="http://schemas.openxmlformats.org/officeDocument/2006/relationships/hyperlink" Target="https://community.secop.gov.co/Public/Tendering/OpportunityDetail/Index?noticeUID=CO1.NTC.7595741&amp;isFromPublicArea=True&amp;isModal=False" TargetMode="External"/><Relationship Id="rId55" Type="http://schemas.openxmlformats.org/officeDocument/2006/relationships/hyperlink" Target="https://community.secop.gov.co/Public/Tendering/OpportunityDetail/Index?noticeUID=CO1.NTC.7639487&amp;isFromPublicArea=True&amp;isModal=False" TargetMode="External"/><Relationship Id="rId76" Type="http://schemas.openxmlformats.org/officeDocument/2006/relationships/hyperlink" Target="https://community.secop.gov.co/Public/Tendering/ContractNoticePhases/View?PPI=CO1.PPI.37590452&amp;isFromPublicArea" TargetMode="External"/><Relationship Id="rId97" Type="http://schemas.openxmlformats.org/officeDocument/2006/relationships/hyperlink" Target="https://community.secop.gov.co/Public/Tendering/ContractNoticePhases/View?PPI=CO1.PPI.37590452&amp;isFromPublicArea" TargetMode="External"/><Relationship Id="rId120" Type="http://schemas.openxmlformats.org/officeDocument/2006/relationships/hyperlink" Target="https://community.secop.gov.co/Public/Tendering/ContractNoticePhases/View?PPI=CO1.PPI.37581336&amp;isFromPublicArea" TargetMode="External"/><Relationship Id="rId141" Type="http://schemas.openxmlformats.org/officeDocument/2006/relationships/hyperlink" Target="https://community.secop.gov.co/Public/Tendering/ContractNoticePhases/View?PPI=CO1.PPI.37581336&amp;isFromPublicArea" TargetMode="External"/><Relationship Id="rId7" Type="http://schemas.openxmlformats.org/officeDocument/2006/relationships/hyperlink" Target="https://community.secop.gov.co/Public/Tendering/ContractNoticePhases/View?PPI=CO1.PPI.37090257&amp;isFromPublicArea=True&amp;isModal=False" TargetMode="External"/><Relationship Id="rId162" Type="http://schemas.openxmlformats.org/officeDocument/2006/relationships/hyperlink" Target="https://community.secop.gov.co/Public/Tendering/ContractNoticePhases/View?PPI=CO1.PPI.37581336&amp;isFromPublicArea" TargetMode="External"/><Relationship Id="rId183" Type="http://schemas.openxmlformats.org/officeDocument/2006/relationships/hyperlink" Target="https://community.secop.gov.co/Public/Tendering/ContractNoticePhases/View?PPI=CO1.PPI.37581336&amp;isFromPublicArea" TargetMode="External"/><Relationship Id="rId218" Type="http://schemas.openxmlformats.org/officeDocument/2006/relationships/hyperlink" Target="https://community.secop.gov.co/Public/Tendering/ContractNoticePhases/View?PPI=CO1.PPI.37581336&amp;isFromPublicArea" TargetMode="External"/><Relationship Id="rId239" Type="http://schemas.openxmlformats.org/officeDocument/2006/relationships/hyperlink" Target="https://community.secop.gov.co/Public/Tendering/OpportunityDetail/Index?noticeUID=CO1.NTC.7726031&amp;isFromPublicArea=True&amp;isModal=False" TargetMode="External"/><Relationship Id="rId250" Type="http://schemas.openxmlformats.org/officeDocument/2006/relationships/hyperlink" Target="https://community.secop.gov.co/Public/Tendering/OpportunityDetail/Index?noticeUID=CO1.NTC.7836399&amp;isFromPublicArea=True&amp;isModal=False" TargetMode="External"/><Relationship Id="rId271" Type="http://schemas.openxmlformats.org/officeDocument/2006/relationships/hyperlink" Target="https://community.secop.gov.co/Public/Tendering/ContractNoticePhases/View?PPI=CO1.PPI.38016435&amp;isFromPublicArea=True&amp;isModal=False" TargetMode="External"/><Relationship Id="rId292" Type="http://schemas.openxmlformats.org/officeDocument/2006/relationships/hyperlink" Target="https://community.secop.gov.co/Public/Tendering/OpportunityDetail/Index?noticeUID=CO1.NTC.7964505&amp;isFromPublicArea=True&amp;isModal=Fals" TargetMode="External"/><Relationship Id="rId306" Type="http://schemas.openxmlformats.org/officeDocument/2006/relationships/hyperlink" Target="https://community.secop.gov.co/Public/Tendering/ContractNoticePhases/View?PPI=CO1.PPI.38950616&amp;isFromPublicArea=True&amp;isModal=False" TargetMode="External"/><Relationship Id="rId24" Type="http://schemas.openxmlformats.org/officeDocument/2006/relationships/hyperlink" Target="https://community.secop.gov.co/Public/Tendering/ContractNoticePhases/View?PPI=CO1.PPI.37228877&amp;isFromPublicArea=True&amp;isModal=False" TargetMode="External"/><Relationship Id="rId45" Type="http://schemas.openxmlformats.org/officeDocument/2006/relationships/hyperlink" Target="https://community.secop.gov.co/Public/Tendering/OpportunityDetail/Index?noticeUID=CO1.NTC.7623470&amp;isFromPublicArea=True&amp;isModal=False" TargetMode="External"/><Relationship Id="rId66" Type="http://schemas.openxmlformats.org/officeDocument/2006/relationships/hyperlink" Target="https://community.secop.gov.co/Public/Tendering/OpportunityDetail/Index?noticeUID=CO1.NTC.7659668&amp;isFromPublicArea=True&amp;isModal=False" TargetMode="External"/><Relationship Id="rId87" Type="http://schemas.openxmlformats.org/officeDocument/2006/relationships/hyperlink" Target="https://community.secop.gov.co/Public/Tendering/ContractNoticePhases/View?PPI=CO1.PPI.37581336&amp;isFromPublicArea" TargetMode="External"/><Relationship Id="rId110" Type="http://schemas.openxmlformats.org/officeDocument/2006/relationships/hyperlink" Target="https://community.secop.gov.co/Public/Tendering/ContractNoticePhases/View?PPI=CO1.PPI.37590452&amp;isFromPublicArea" TargetMode="External"/><Relationship Id="rId131" Type="http://schemas.openxmlformats.org/officeDocument/2006/relationships/hyperlink" Target="https://community.secop.gov.co/Public/Tendering/ContractNoticePhases/View?PPI=CO1.PPI.37581336&amp;isFromPublicArea" TargetMode="External"/><Relationship Id="rId61" Type="http://schemas.openxmlformats.org/officeDocument/2006/relationships/hyperlink" Target="https://community.secop.gov.co/Public/Tendering/OpportunityDetail/Index?noticeUID=CO1.NTC.7653620&amp;isFromPublicArea=True&amp;isModal=False" TargetMode="External"/><Relationship Id="rId82" Type="http://schemas.openxmlformats.org/officeDocument/2006/relationships/hyperlink" Target="https://community.secop.gov.co/Public/Tendering/ContractNoticePhases/View?PPI=CO1.PPI.37590452&amp;isFromPublicArea" TargetMode="External"/><Relationship Id="rId152" Type="http://schemas.openxmlformats.org/officeDocument/2006/relationships/hyperlink" Target="https://community.secop.gov.co/Public/Tendering/ContractNoticePhases/View?PPI=CO1.PPI.37581336&amp;isFromPublicArea" TargetMode="External"/><Relationship Id="rId173" Type="http://schemas.openxmlformats.org/officeDocument/2006/relationships/hyperlink" Target="https://community.secop.gov.co/Public/Tendering/ContractNoticePhases/View?PPI=CO1.PPI.37590452&amp;isFromPublicArea" TargetMode="External"/><Relationship Id="rId194" Type="http://schemas.openxmlformats.org/officeDocument/2006/relationships/hyperlink" Target="https://community.secop.gov.co/Public/Tendering/ContractNoticePhases/View?PPI=CO1.PPI.37590452&amp;isFromPublicArea" TargetMode="External"/><Relationship Id="rId199" Type="http://schemas.openxmlformats.org/officeDocument/2006/relationships/hyperlink" Target="https://community.secop.gov.co/Public/Tendering/ContractNoticePhases/View?PPI=CO1.PPI.37581336&amp;isFromPublicArea" TargetMode="External"/><Relationship Id="rId203" Type="http://schemas.openxmlformats.org/officeDocument/2006/relationships/hyperlink" Target="https://community.secop.gov.co/Public/Tendering/ContractNoticePhases/View?PPI=CO1.PPI.37590452&amp;isFromPublicArea" TargetMode="External"/><Relationship Id="rId208" Type="http://schemas.openxmlformats.org/officeDocument/2006/relationships/hyperlink" Target="https://community.secop.gov.co/Public/Tendering/ContractNoticePhases/View?PPI=CO1.PPI.37581336&amp;isFromPublicArea" TargetMode="External"/><Relationship Id="rId229" Type="http://schemas.openxmlformats.org/officeDocument/2006/relationships/hyperlink" Target="https://community.secop.gov.co/Public/Tendering/OpportunityDetail/Index?noticeUID=CO1.NTC.7705473&amp;isFromPublicArea=True&amp;isModal=False" TargetMode="External"/><Relationship Id="rId19" Type="http://schemas.openxmlformats.org/officeDocument/2006/relationships/hyperlink" Target="https://community.secop.gov.co/Public/Tendering/ContractNoticePhases/View?PPI=CO1.PPI.37349725&amp;isFromPublicArea=True&amp;isModal=False" TargetMode="External"/><Relationship Id="rId224" Type="http://schemas.openxmlformats.org/officeDocument/2006/relationships/hyperlink" Target="https://community.secop.gov.co/Public/Tendering/OpportunityDetail/Index?noticeUID=CO1.NTC.7695860&amp;isFromPublicArea=True&amp;isModal=False" TargetMode="External"/><Relationship Id="rId240" Type="http://schemas.openxmlformats.org/officeDocument/2006/relationships/hyperlink" Target="https://community.secop.gov.co/Public/Tendering/OpportunityDetail/Index?noticeUID=CO1.NTC.7741193&amp;isFromPublicArea=True&amp;isModal=False" TargetMode="External"/><Relationship Id="rId245" Type="http://schemas.openxmlformats.org/officeDocument/2006/relationships/hyperlink" Target="https://community.secop.gov.co/Public/Tendering/OpportunityDetail/Index?noticeUID=CO1.NTC.7850698&amp;isFromPublicArea=True&amp;isModal=False" TargetMode="External"/><Relationship Id="rId261" Type="http://schemas.openxmlformats.org/officeDocument/2006/relationships/hyperlink" Target="https://community.secop.gov.co/Public/Tendering/ContractNoticePhases/View?PPI=CO1.PPI.38312524&amp;isFromPublicArea=True&amp;isModal=False" TargetMode="External"/><Relationship Id="rId266" Type="http://schemas.openxmlformats.org/officeDocument/2006/relationships/hyperlink" Target="https://community.secop.gov.co/Public/Tendering/OpportunityDetail/Index?noticeUID=CO1.NTC.7782544&amp;isFromPublicArea=True&amp;isModal=False" TargetMode="External"/><Relationship Id="rId287" Type="http://schemas.openxmlformats.org/officeDocument/2006/relationships/hyperlink" Target="https://community.secop.gov.co/Public/Tendering/ContractNoticePhases/View?PPI=CO1.PPI.38160204&amp;isFromPublicArea=True&amp;isModal=False" TargetMode="External"/><Relationship Id="rId14" Type="http://schemas.openxmlformats.org/officeDocument/2006/relationships/hyperlink" Target="https://community.secop.gov.co/Public/Tendering/ContractNoticePhases/View?PPI=CO1.PPI.37193226&amp;isFromPublicArea=True&amp;isModal=False" TargetMode="External"/><Relationship Id="rId30" Type="http://schemas.openxmlformats.org/officeDocument/2006/relationships/hyperlink" Target="https://community.secop.gov.co/Public/Tendering/OpportunityDetail/Index?noticeUID=CO1.NTC.7568898&amp;isFromPublicArea=True&amp;isModal=False" TargetMode="External"/><Relationship Id="rId35" Type="http://schemas.openxmlformats.org/officeDocument/2006/relationships/hyperlink" Target="https://community.secop.gov.co/Public/Tendering/OpportunityDetail/Index?noticeUID=CO1.NTC.7595741&amp;isFromPublicArea=True&amp;isModal=False" TargetMode="External"/><Relationship Id="rId56" Type="http://schemas.openxmlformats.org/officeDocument/2006/relationships/hyperlink" Target="https://community.secop.gov.co/Public/Tendering/OpportunityDetail/Index?noticeUID=CO1.NTC.7660291&amp;isFromPublicArea=True&amp;isModal=False" TargetMode="External"/><Relationship Id="rId77" Type="http://schemas.openxmlformats.org/officeDocument/2006/relationships/hyperlink" Target="https://community.secop.gov.co/Public/Tendering/ContractNoticePhases/View?PPI=CO1.PPI.37590452&amp;isFromPublicArea" TargetMode="External"/><Relationship Id="rId100" Type="http://schemas.openxmlformats.org/officeDocument/2006/relationships/hyperlink" Target="https://community.secop.gov.co/Public/Tendering/ContractNoticePhases/View?PPI=CO1.PPI.37590452&amp;isFromPublicArea" TargetMode="External"/><Relationship Id="rId105" Type="http://schemas.openxmlformats.org/officeDocument/2006/relationships/hyperlink" Target="https://community.secop.gov.co/Public/Tendering/ContractNoticePhases/View?PPI=CO1.PPI.37590452&amp;isFromPublicArea" TargetMode="External"/><Relationship Id="rId126" Type="http://schemas.openxmlformats.org/officeDocument/2006/relationships/hyperlink" Target="https://community.secop.gov.co/Public/Tendering/ContractNoticePhases/View?PPI=CO1.PPI.37590452&amp;isFromPublicArea" TargetMode="External"/><Relationship Id="rId147" Type="http://schemas.openxmlformats.org/officeDocument/2006/relationships/hyperlink" Target="https://community.secop.gov.co/Public/Tendering/ContractNoticePhases/View?PPI=CO1.PPI.37581336&amp;isFromPublicArea" TargetMode="External"/><Relationship Id="rId168" Type="http://schemas.openxmlformats.org/officeDocument/2006/relationships/hyperlink" Target="https://community.secop.gov.co/Public/Tendering/ContractNoticePhases/View?PPI=CO1.PPI.37581336&amp;isFromPublicArea" TargetMode="External"/><Relationship Id="rId282" Type="http://schemas.openxmlformats.org/officeDocument/2006/relationships/hyperlink" Target="https://community.secop.gov.co/Public/Tendering/OpportunityDetail/Index?noticeUID=CO1.NTC.7763671&amp;isFromPublicArea=True&amp;isModal=False" TargetMode="External"/><Relationship Id="rId312" Type="http://schemas.openxmlformats.org/officeDocument/2006/relationships/vmlDrawing" Target="../drawings/vmlDrawing2.vml"/><Relationship Id="rId8" Type="http://schemas.openxmlformats.org/officeDocument/2006/relationships/hyperlink" Target="https://community.secop.gov.co/Public/Tendering/OpportunityDetail/Index?noticeUID=CO1.NTC.7554316&amp;isFromPublicArea=True&amp;isModal=False" TargetMode="External"/><Relationship Id="rId51" Type="http://schemas.openxmlformats.org/officeDocument/2006/relationships/hyperlink" Target="https://community.secop.gov.co/Public/Tendering/ContractNoticePhases/View?PPI=CO1.PPI.37353325&amp;isFromPublicArea=True&amp;isModal=False" TargetMode="External"/><Relationship Id="rId72" Type="http://schemas.openxmlformats.org/officeDocument/2006/relationships/hyperlink" Target="https://community.secop.gov.co/Public/Tendering/ContractNoticePhases/View?PPI=CO1.PPI.37626559&amp;isFromPublicArea=True&amp;isModal=False" TargetMode="External"/><Relationship Id="rId93" Type="http://schemas.openxmlformats.org/officeDocument/2006/relationships/hyperlink" Target="https://community.secop.gov.co/Public/Tendering/ContractNoticePhases/View?PPI=CO1.PPI.37581336&amp;isFromPublicArea" TargetMode="External"/><Relationship Id="rId98" Type="http://schemas.openxmlformats.org/officeDocument/2006/relationships/hyperlink" Target="https://community.secop.gov.co/Public/Tendering/ContractNoticePhases/View?PPI=CO1.PPI.37590452&amp;isFromPublicArea" TargetMode="External"/><Relationship Id="rId121" Type="http://schemas.openxmlformats.org/officeDocument/2006/relationships/hyperlink" Target="https://community.secop.gov.co/Public/Tendering/ContractNoticePhases/View?PPI=CO1.PPI.37581336&amp;isFromPublicArea" TargetMode="External"/><Relationship Id="rId142" Type="http://schemas.openxmlformats.org/officeDocument/2006/relationships/hyperlink" Target="https://community.secop.gov.co/Public/Tendering/ContractNoticePhases/View?PPI=CO1.PPI.37581336&amp;isFromPublicArea" TargetMode="External"/><Relationship Id="rId163" Type="http://schemas.openxmlformats.org/officeDocument/2006/relationships/hyperlink" Target="https://community.secop.gov.co/Public/Tendering/ContractNoticePhases/View?PPI=CO1.PPI.37590452&amp;isFromPublicArea" TargetMode="External"/><Relationship Id="rId184" Type="http://schemas.openxmlformats.org/officeDocument/2006/relationships/hyperlink" Target="https://community.secop.gov.co/Public/Tendering/ContractNoticePhases/View?PPI=CO1.PPI.37590452&amp;isFromPublicArea" TargetMode="External"/><Relationship Id="rId189" Type="http://schemas.openxmlformats.org/officeDocument/2006/relationships/hyperlink" Target="https://community.secop.gov.co/Public/Tendering/ContractNoticePhases/View?PPI=CO1.PPI.37590452&amp;isFromPublicArea" TargetMode="External"/><Relationship Id="rId219" Type="http://schemas.openxmlformats.org/officeDocument/2006/relationships/hyperlink" Target="https://community.secop.gov.co/Public/Tendering/ContractNoticePhases/View?PPI=CO1.PPI.37581336&amp;isFromPublicArea" TargetMode="External"/><Relationship Id="rId3" Type="http://schemas.openxmlformats.org/officeDocument/2006/relationships/hyperlink" Target="https://community.secop.gov.co/Public/Tendering/ContractNoticePhases/View?PPI=CO1.PPI.37068197&amp;isFromPublicArea=True&amp;isModal=False" TargetMode="External"/><Relationship Id="rId214" Type="http://schemas.openxmlformats.org/officeDocument/2006/relationships/hyperlink" Target="https://community.secop.gov.co/Public/Tendering/ContractNoticePhases/View?PPI=CO1.PPI.37581336&amp;isFromPublicArea=True&amp;isModal=False" TargetMode="External"/><Relationship Id="rId230" Type="http://schemas.openxmlformats.org/officeDocument/2006/relationships/hyperlink" Target="https://community.secop.gov.co/Public/Tendering/OpportunityDetail/Index?noticeUID=CO1.NTC.7722300&amp;isFromPublicArea=True&amp;isModal=False" TargetMode="External"/><Relationship Id="rId235" Type="http://schemas.openxmlformats.org/officeDocument/2006/relationships/hyperlink" Target="https://community.secop.gov.co/Public/Tendering/OpportunityDetail/Index?noticeUID=CO1.NTC.7707198&amp;isFromPublicArea=True&amp;isModal=False" TargetMode="External"/><Relationship Id="rId251" Type="http://schemas.openxmlformats.org/officeDocument/2006/relationships/hyperlink" Target="https://community.secop.gov.co/Public/Tendering/OpportunityDetail/Index?noticeUID=CO1.NTC.7847663&amp;isFromPublicArea=True&amp;isModal=False" TargetMode="External"/><Relationship Id="rId256" Type="http://schemas.openxmlformats.org/officeDocument/2006/relationships/hyperlink" Target="https://community.secop.gov.co/Public/Tendering/ContractNoticePhases/View?PPI=CO1.PPI.38209677&amp;isFromPublicArea=True&amp;isModal=False" TargetMode="External"/><Relationship Id="rId277" Type="http://schemas.openxmlformats.org/officeDocument/2006/relationships/hyperlink" Target="https://community.secop.gov.co/Public/Tendering/OpportunityDetail/Index?noticeUID=CO1.NTC.7763738&amp;isFromPublicArea=True&amp;isModal=False" TargetMode="External"/><Relationship Id="rId298" Type="http://schemas.openxmlformats.org/officeDocument/2006/relationships/hyperlink" Target="https://community.secop.gov.co/Public/Tendering/OpportunityDetail/Index?noticeUID=CO1.NTC.7995184&amp;isFromPublicArea=True&amp;isModal=False" TargetMode="External"/><Relationship Id="rId25" Type="http://schemas.openxmlformats.org/officeDocument/2006/relationships/hyperlink" Target="https://community.secop.gov.co/Public/Tendering/ContractNoticePhases/View?PPI=CO1.PPI.37228877&amp;isFromPublicArea=True&amp;isModal=False" TargetMode="External"/><Relationship Id="rId46" Type="http://schemas.openxmlformats.org/officeDocument/2006/relationships/hyperlink" Target="https://community.secop.gov.co/Public/Tendering/OpportunityDetail/Index?noticeUID=CO1.NTC.7615970&amp;isFromPublicArea=True&amp;isModal=False" TargetMode="External"/><Relationship Id="rId67" Type="http://schemas.openxmlformats.org/officeDocument/2006/relationships/hyperlink" Target="https://community.secop.gov.co/Public/Tendering/OpportunityDetail/Index?noticeUID=CO1.NTC.7660944&amp;isFromPublicArea=True&amp;isModal=False" TargetMode="External"/><Relationship Id="rId116" Type="http://schemas.openxmlformats.org/officeDocument/2006/relationships/hyperlink" Target="https://community.secop.gov.co/Public/Tendering/ContractNoticePhases/View?PPI=CO1.PPI.37590452&amp;isFromPublicArea" TargetMode="External"/><Relationship Id="rId137" Type="http://schemas.openxmlformats.org/officeDocument/2006/relationships/hyperlink" Target="https://community.secop.gov.co/Public/Tendering/ContractNoticePhases/View?PPI=CO1.PPI.37581336&amp;isFromPublicArea" TargetMode="External"/><Relationship Id="rId158" Type="http://schemas.openxmlformats.org/officeDocument/2006/relationships/hyperlink" Target="https://community.secop.gov.co/Public/Tendering/ContractNoticePhases/View?PPI=CO1.PPI.37581336&amp;isFromPublicArea" TargetMode="External"/><Relationship Id="rId272" Type="http://schemas.openxmlformats.org/officeDocument/2006/relationships/hyperlink" Target="https://community.secop.gov.co/Public/Tendering/OpportunityDetail/Index?noticeUID=CO1.NTC.7809677&amp;isFromPublicArea=True&amp;isModal=False" TargetMode="External"/><Relationship Id="rId293" Type="http://schemas.openxmlformats.org/officeDocument/2006/relationships/hyperlink" Target="https://community.secop.gov.co/Public/Tendering/OpportunityDetail/Index?noticeUID=CO1.NTC.7972300&amp;isFromPublicArea=True&amp;isModal=False" TargetMode="External"/><Relationship Id="rId302" Type="http://schemas.openxmlformats.org/officeDocument/2006/relationships/hyperlink" Target="https://community.secop.gov.co/Public/Tendering/ContractNoticePhases/View?PPI=CO1.PPI.38558147&amp;isFromPublicArea=True&amp;isModal=False" TargetMode="External"/><Relationship Id="rId307" Type="http://schemas.openxmlformats.org/officeDocument/2006/relationships/hyperlink" Target="https://community.secop.gov.co/Public/Tendering/ContractNoticePhases/View?PPI=CO1.PPI.38949845&amp;isFromPublicArea=True&amp;isModal=False" TargetMode="External"/><Relationship Id="rId20" Type="http://schemas.openxmlformats.org/officeDocument/2006/relationships/hyperlink" Target="https://community.secop.gov.co/Public/Tendering/OpportunityDetail/Index?noticeUID=CO1.NTC.7518869&amp;isFromPublicArea=True&amp;isModal=False" TargetMode="External"/><Relationship Id="rId41" Type="http://schemas.openxmlformats.org/officeDocument/2006/relationships/hyperlink" Target="https://community.secop.gov.co/Public/Tendering/ContractNoticePhases/View?PPI=CO1.PPI.37422058&amp;isFromPublicArea=True&amp;isModal=False" TargetMode="External"/><Relationship Id="rId62" Type="http://schemas.openxmlformats.org/officeDocument/2006/relationships/hyperlink" Target="https://community.secop.gov.co/Public/Tendering/OpportunityDetail/Index?noticeUID=CO1.NTC.7648963&amp;isFromPublicArea=True&amp;isModal=False" TargetMode="External"/><Relationship Id="rId83" Type="http://schemas.openxmlformats.org/officeDocument/2006/relationships/hyperlink" Target="https://community.secop.gov.co/Public/Tendering/ContractNoticePhases/View?PPI=CO1.PPI.37581336&amp;isFromPublicArea" TargetMode="External"/><Relationship Id="rId88" Type="http://schemas.openxmlformats.org/officeDocument/2006/relationships/hyperlink" Target="https://community.secop.gov.co/Public/Tendering/ContractNoticePhases/View?PPI=CO1.PPI.37590452&amp;isFromPublicArea" TargetMode="External"/><Relationship Id="rId111" Type="http://schemas.openxmlformats.org/officeDocument/2006/relationships/hyperlink" Target="https://community.secop.gov.co/Public/Tendering/ContractNoticePhases/View?PPI=CO1.PPI.37590452&amp;isFromPublicArea" TargetMode="External"/><Relationship Id="rId132" Type="http://schemas.openxmlformats.org/officeDocument/2006/relationships/hyperlink" Target="https://community.secop.gov.co/Public/Tendering/ContractNoticePhases/View?PPI=CO1.PPI.37590452&amp;isFromPublicArea" TargetMode="External"/><Relationship Id="rId153" Type="http://schemas.openxmlformats.org/officeDocument/2006/relationships/hyperlink" Target="https://community.secop.gov.co/Public/Tendering/ContractNoticePhases/View?PPI=CO1.PPI.37581336&amp;isFromPublicArea" TargetMode="External"/><Relationship Id="rId174" Type="http://schemas.openxmlformats.org/officeDocument/2006/relationships/hyperlink" Target="https://community.secop.gov.co/Public/Tendering/ContractNoticePhases/View?PPI=CO1.PPI.37581336&amp;isFromPublicArea" TargetMode="External"/><Relationship Id="rId179" Type="http://schemas.openxmlformats.org/officeDocument/2006/relationships/hyperlink" Target="https://community.secop.gov.co/Public/Tendering/ContractNoticePhases/View?PPI=CO1.PPI.37590452&amp;isFromPublicArea=True&amp;isModal=False" TargetMode="External"/><Relationship Id="rId195" Type="http://schemas.openxmlformats.org/officeDocument/2006/relationships/hyperlink" Target="https://community.secop.gov.co/Public/Tendering/ContractNoticePhases/View?PPI=CO1.PPI.37590452&amp;isFromPublicArea" TargetMode="External"/><Relationship Id="rId209" Type="http://schemas.openxmlformats.org/officeDocument/2006/relationships/hyperlink" Target="https://community.secop.gov.co/Public/Tendering/ContractNoticePhases/View?PPI=CO1.PPI.37590452&amp;isFromPublicArea" TargetMode="External"/><Relationship Id="rId190" Type="http://schemas.openxmlformats.org/officeDocument/2006/relationships/hyperlink" Target="https://community.secop.gov.co/Public/Tendering/ContractNoticePhases/View?PPI=CO1.PPI.37581336&amp;isFromPublicArea" TargetMode="External"/><Relationship Id="rId204" Type="http://schemas.openxmlformats.org/officeDocument/2006/relationships/hyperlink" Target="https://community.secop.gov.co/Public/Tendering/ContractNoticePhases/View?PPI=CO1.PPI.37581336&amp;isFromPublicAr" TargetMode="External"/><Relationship Id="rId220" Type="http://schemas.openxmlformats.org/officeDocument/2006/relationships/hyperlink" Target="https://community.secop.gov.co/Public/Tendering/OpportunityDetail/Index?noticeUID=CO1.NTC.7692944&amp;isFromPublicArea=True&amp;isModal=False" TargetMode="External"/><Relationship Id="rId225" Type="http://schemas.openxmlformats.org/officeDocument/2006/relationships/hyperlink" Target="https://community.secop.gov.co/Public/Tendering/OpportunityDetail/Index?noticeUID=CO1.NTC.7695473&amp;isFromPublicArea=True&amp;isModal=False" TargetMode="External"/><Relationship Id="rId241" Type="http://schemas.openxmlformats.org/officeDocument/2006/relationships/hyperlink" Target="https://community.secop.gov.co/Public/Tendering/OpportunityDetail/Index?noticeUID=CO1.NTC.7709040&amp;isFromPublicArea=True&amp;isModal=False" TargetMode="External"/><Relationship Id="rId246" Type="http://schemas.openxmlformats.org/officeDocument/2006/relationships/hyperlink" Target="https://community.secop.gov.co/Public/Tendering/ContractNoticePhases/View?PPI=CO1.PPI.38145576&amp;isFromPublicArea=True&amp;isModal=False" TargetMode="External"/><Relationship Id="rId267" Type="http://schemas.openxmlformats.org/officeDocument/2006/relationships/hyperlink" Target="https://community.secop.gov.co/Public/Tendering/ContractNoticePhases/View?PPI=CO1.PPI.37998387&amp;isFromPublicArea=True&amp;isModal=False" TargetMode="External"/><Relationship Id="rId288" Type="http://schemas.openxmlformats.org/officeDocument/2006/relationships/hyperlink" Target="https://community.secop.gov.co/Public/Tendering/OpportunityDetail/Index?noticeUID=CO1.NTC.7866646&amp;isFromPublicArea=True&amp;isModal=False" TargetMode="External"/><Relationship Id="rId15" Type="http://schemas.openxmlformats.org/officeDocument/2006/relationships/hyperlink" Target="https://community.secop.gov.co/Public/Tendering/ContractNoticePhases/View?PPI=CO1.PPI.37217365&amp;isFromPublicArea=True&amp;isModal=False" TargetMode="External"/><Relationship Id="rId36" Type="http://schemas.openxmlformats.org/officeDocument/2006/relationships/hyperlink" Target="https://community.secop.gov.co/Public/Tendering/OpportunityDetail/Index?noticeUID=CO1.NTC.7619376&amp;isFromPublicArea=True&amp;isModal=False" TargetMode="External"/><Relationship Id="rId57" Type="http://schemas.openxmlformats.org/officeDocument/2006/relationships/hyperlink" Target="https://community.secop.gov.co/Public/Tendering/ContractNoticePhases/View?PPI=CO1.PPI.37497001&amp;isFromPublicArea=True&amp;isModal=False" TargetMode="External"/><Relationship Id="rId106" Type="http://schemas.openxmlformats.org/officeDocument/2006/relationships/hyperlink" Target="https://community.secop.gov.co/Public/Tendering/ContractNoticePhases/View?PPI=CO1.PPI.37581336&amp;isFromPublicArea" TargetMode="External"/><Relationship Id="rId127" Type="http://schemas.openxmlformats.org/officeDocument/2006/relationships/hyperlink" Target="https://community.secop.gov.co/Public/Tendering/ContractNoticePhases/View?PPI=CO1.PPI.37581336&amp;isFromPublicArea" TargetMode="External"/><Relationship Id="rId262" Type="http://schemas.openxmlformats.org/officeDocument/2006/relationships/hyperlink" Target="https://community.secop.gov.co/Public/Tendering/ContractNoticePhases/View?PPI=CO1.PPI.38375361&amp;isFromPublicArea=True&amp;isModal=False" TargetMode="External"/><Relationship Id="rId283" Type="http://schemas.openxmlformats.org/officeDocument/2006/relationships/hyperlink" Target="https://community.secop.gov.co/Public/Tendering/OpportunityDetail/Index?noticeUID=CO1.NTC.7758286&amp;isFromPublicArea=True&amp;isModal=False" TargetMode="External"/><Relationship Id="rId313" Type="http://schemas.openxmlformats.org/officeDocument/2006/relationships/table" Target="../tables/table2.xml"/><Relationship Id="rId10" Type="http://schemas.openxmlformats.org/officeDocument/2006/relationships/hyperlink" Target="https://community.secop.gov.co/Public/Tendering/OpportunityDetail/Index?noticeUID=CO1.NTC.7555122&amp;isFromPublicArea=True&amp;isModal=False" TargetMode="External"/><Relationship Id="rId31" Type="http://schemas.openxmlformats.org/officeDocument/2006/relationships/hyperlink" Target="https://community.secop.gov.co/Public/Tendering/OpportunityDetail/Index?noticeUID=CO1.NTC.7557873&amp;isFromPublicArea=True&amp;isModal=False" TargetMode="External"/><Relationship Id="rId52" Type="http://schemas.openxmlformats.org/officeDocument/2006/relationships/hyperlink" Target="https://community.secop.gov.co/Public/Tendering/ContractNoticePhases/View?PPI=CO1.PPI.37243716&amp;isFromPublicArea=True&amp;isModal=False" TargetMode="External"/><Relationship Id="rId73" Type="http://schemas.openxmlformats.org/officeDocument/2006/relationships/hyperlink" Target="https://community.secop.gov.co/Public/Tendering/ContractNoticePhases/View?PPI=CO1.PPI.37627524&amp;isFromPublicArea=True&amp;isModal=False" TargetMode="External"/><Relationship Id="rId78" Type="http://schemas.openxmlformats.org/officeDocument/2006/relationships/hyperlink" Target="https://community.secop.gov.co/Public/Tendering/ContractNoticePhases/View?PPI=CO1.PPI.37581336&amp;isFromPublicArea" TargetMode="External"/><Relationship Id="rId94" Type="http://schemas.openxmlformats.org/officeDocument/2006/relationships/hyperlink" Target="https://community.secop.gov.co/Public/Tendering/ContractNoticePhases/View?PPI=CO1.PPI.37581336&amp;isFromPublicArea" TargetMode="External"/><Relationship Id="rId99" Type="http://schemas.openxmlformats.org/officeDocument/2006/relationships/hyperlink" Target="https://community.secop.gov.co/Public/Tendering/ContractNoticePhases/View?PPI=CO1.PPI.37590452&amp;isFromPublicArea" TargetMode="External"/><Relationship Id="rId101" Type="http://schemas.openxmlformats.org/officeDocument/2006/relationships/hyperlink" Target="https://community.secop.gov.co/Public/Tendering/ContractNoticePhases/View?PPI=CO1.PPI.37590452&amp;isFromPublicArea" TargetMode="External"/><Relationship Id="rId122" Type="http://schemas.openxmlformats.org/officeDocument/2006/relationships/hyperlink" Target="https://community.secop.gov.co/Public/Tendering/ContractNoticePhases/View?PPI=CO1.PPI.37581336&amp;isFromPublicArea" TargetMode="External"/><Relationship Id="rId143" Type="http://schemas.openxmlformats.org/officeDocument/2006/relationships/hyperlink" Target="https://community.secop.gov.co/Public/Tendering/ContractNoticePhases/View?PPI=CO1.PPI.37581336&amp;isFromPublicArea" TargetMode="External"/><Relationship Id="rId148" Type="http://schemas.openxmlformats.org/officeDocument/2006/relationships/hyperlink" Target="https://community.secop.gov.co/Public/Tendering/ContractNoticePhases/View?PPI=CO1.PPI.37581336&amp;isFromPublicArea" TargetMode="External"/><Relationship Id="rId164" Type="http://schemas.openxmlformats.org/officeDocument/2006/relationships/hyperlink" Target="https://community.secop.gov.co/Public/Tendering/ContractNoticePhases/View?PPI=CO1.PPI.37590452&amp;isFromPublicArea" TargetMode="External"/><Relationship Id="rId169" Type="http://schemas.openxmlformats.org/officeDocument/2006/relationships/hyperlink" Target="https://community.secop.gov.co/Public/Tendering/ContractNoticePhases/View?PPI=CO1.PPI.37581336&amp;isFromPublicArea" TargetMode="External"/><Relationship Id="rId185" Type="http://schemas.openxmlformats.org/officeDocument/2006/relationships/hyperlink" Target="https://community.secop.gov.co/Public/Tendering/ContractNoticePhases/View?PPI=CO1.PPI.37590452&amp;isFromPublicArea=True&amp;isModal=False" TargetMode="External"/><Relationship Id="rId4" Type="http://schemas.openxmlformats.org/officeDocument/2006/relationships/hyperlink" Target="https://community.secop.gov.co/Public/Tendering/ContractNoticePhases/View?PPI=CO1.PPI.37077205&amp;isFromPublicArea=True&amp;isModal=False" TargetMode="External"/><Relationship Id="rId9" Type="http://schemas.openxmlformats.org/officeDocument/2006/relationships/hyperlink" Target="https://community.secop.gov.co/Public/Tendering/ContractNoticePhases/View?PPI=CO1.PPI.37147464&amp;isFromPublicArea=True&amp;isModal=False" TargetMode="External"/><Relationship Id="rId180" Type="http://schemas.openxmlformats.org/officeDocument/2006/relationships/hyperlink" Target="https://community.secop.gov.co/Public/Tendering/ContractNoticePhases/View?PPI=CO1.PPI.37590452&amp;isFromPublicArea=True&amp;isModal=False" TargetMode="External"/><Relationship Id="rId210" Type="http://schemas.openxmlformats.org/officeDocument/2006/relationships/hyperlink" Target="https://community.secop.gov.co/Public/Tendering/ContractNoticePhases/View?PPI=CO1.PPI.37590452&amp;isFromPublicArea" TargetMode="External"/><Relationship Id="rId215" Type="http://schemas.openxmlformats.org/officeDocument/2006/relationships/hyperlink" Target="https://community.secop.gov.co/Public/Tendering/ContractNoticePhases/View?PPI=CO1.PPI.37581336&amp;isFromPublicArea" TargetMode="External"/><Relationship Id="rId236" Type="http://schemas.openxmlformats.org/officeDocument/2006/relationships/hyperlink" Target="https://community.secop.gov.co/Public/Tendering/OpportunityDetail/Index?noticeUID=CO1.NTC.7726572&amp;isFromPublicArea=True&amp;isModal=False" TargetMode="External"/><Relationship Id="rId257" Type="http://schemas.openxmlformats.org/officeDocument/2006/relationships/hyperlink" Target="https://community.secop.gov.co/Public/Tendering/OpportunityDetail/Index?noticeUID=CO1.NTC.7849615&amp;isFromPublicArea=True&amp;isModal=False" TargetMode="External"/><Relationship Id="rId278" Type="http://schemas.openxmlformats.org/officeDocument/2006/relationships/hyperlink" Target="https://community.secop.gov.co/Public/Tendering/OpportunityDetail/Index?noticeUID=CO1.NTC.7765708&amp;isFromPublicArea=True&amp;isModal=False" TargetMode="External"/><Relationship Id="rId26" Type="http://schemas.openxmlformats.org/officeDocument/2006/relationships/hyperlink" Target="https://community.secop.gov.co/Public/Tendering/ContractNoticePhases/View?PPI=CO1.PPI.37244543&amp;isFromPublicArea=True&amp;isModal=False" TargetMode="External"/><Relationship Id="rId231" Type="http://schemas.openxmlformats.org/officeDocument/2006/relationships/hyperlink" Target="https://community.secop.gov.co/Public/Tendering/OpportunityDetail/Index?noticeUID=CO1.NTC.7713046&amp;isFromPublicArea=True&amp;isModal=False" TargetMode="External"/><Relationship Id="rId252" Type="http://schemas.openxmlformats.org/officeDocument/2006/relationships/hyperlink" Target="https://community.secop.gov.co/Public/Tendering/OpportunityDetail/Index?noticeUID=CO1.NTC.7847772&amp;isFromPublicArea=True&amp;isModal=False" TargetMode="External"/><Relationship Id="rId273" Type="http://schemas.openxmlformats.org/officeDocument/2006/relationships/hyperlink" Target="https://community.secop.gov.co/Public/Tendering/ContractNoticePhases/View?PPI=CO1.PPI.37993541&amp;isFromPublicArea=True&amp;isModal=False" TargetMode="External"/><Relationship Id="rId294" Type="http://schemas.openxmlformats.org/officeDocument/2006/relationships/hyperlink" Target="https://community.secop.gov.co/Public/Tendering/OpportunityDetail/Index?noticeUID=CO1.NTC.7966348&amp;isFromPublicArea=True&amp;isModal=False" TargetMode="External"/><Relationship Id="rId308" Type="http://schemas.openxmlformats.org/officeDocument/2006/relationships/hyperlink" Target="https://community.secop.gov.co/Public/Tendering/OpportunityDetail/Index?noticeUID=CO1.NTC.7964962&amp;isFromPublicArea=True&amp;isModal=False" TargetMode="External"/><Relationship Id="rId47" Type="http://schemas.openxmlformats.org/officeDocument/2006/relationships/hyperlink" Target="https://community.secop.gov.co/Public/Tendering/OpportunityDetail/Index?noticeUID=CO1.NTC.7615757&amp;isFromPublicArea=True&amp;isModal=False" TargetMode="External"/><Relationship Id="rId68" Type="http://schemas.openxmlformats.org/officeDocument/2006/relationships/hyperlink" Target="https://community.secop.gov.co/Public/Tendering/ContractNoticePhases/View?PPI=CO1.PPI.37590452&amp;isFromPublicArea" TargetMode="External"/><Relationship Id="rId89" Type="http://schemas.openxmlformats.org/officeDocument/2006/relationships/hyperlink" Target="https://community.secop.gov.co/Public/Tendering/ContractNoticePhases/View?PPI=CO1.PPI.37581336&amp;isFromPublicArea" TargetMode="External"/><Relationship Id="rId112" Type="http://schemas.openxmlformats.org/officeDocument/2006/relationships/hyperlink" Target="https://community.secop.gov.co/Public/Tendering/ContractNoticePhases/View?PPI=CO1.PPI.37590452&amp;isFromPublicArea" TargetMode="External"/><Relationship Id="rId133" Type="http://schemas.openxmlformats.org/officeDocument/2006/relationships/hyperlink" Target="https://community.secop.gov.co/Public/Tendering/ContractNoticePhases/View?PPI=CO1.PPI.37590452&amp;isFromPublicArea" TargetMode="External"/><Relationship Id="rId154" Type="http://schemas.openxmlformats.org/officeDocument/2006/relationships/hyperlink" Target="https://community.secop.gov.co/Public/Tendering/ContractNoticePhases/View?PPI=CO1.PPI.37581336&amp;isFromPublicArea" TargetMode="External"/><Relationship Id="rId175" Type="http://schemas.openxmlformats.org/officeDocument/2006/relationships/hyperlink" Target="https://community.secop.gov.co/Public/Tendering/ContractNoticePhases/View?PPI=CO1.PPI.37581336&amp;isFromPublicArea" TargetMode="External"/><Relationship Id="rId196" Type="http://schemas.openxmlformats.org/officeDocument/2006/relationships/hyperlink" Target="https://community.secop.gov.co/Public/Tendering/ContractNoticePhases/View?PPI=CO1.PPI.37581336&amp;isFromPublicArea" TargetMode="External"/><Relationship Id="rId200" Type="http://schemas.openxmlformats.org/officeDocument/2006/relationships/hyperlink" Target="https://community.secop.gov.co/Public/Tendering/ContractNoticePhases/View?PPI=CO1.PPI.37581336&amp;isFromPublicArea" TargetMode="External"/><Relationship Id="rId16" Type="http://schemas.openxmlformats.org/officeDocument/2006/relationships/hyperlink" Target="https://community.secop.gov.co/Public/Tendering/ContractNoticePhases/View?PPI=CO1.PPI.37173005&amp;isFromPublicArea=True&amp;isModal=False" TargetMode="External"/><Relationship Id="rId221" Type="http://schemas.openxmlformats.org/officeDocument/2006/relationships/hyperlink" Target="https://community.secop.gov.co/Public/Tendering/OpportunityDetail/Index?noticeUID=CO1.NTC.7694895&amp;isFromPublicArea=True&amp;isModal=False" TargetMode="External"/><Relationship Id="rId242" Type="http://schemas.openxmlformats.org/officeDocument/2006/relationships/hyperlink" Target="https://community.secop.gov.co/Public/Tendering/ContractNoticePhases/View?PPI=CO1.PPI.37792839&amp;isFromPublicArea=True&amp;isModal=False" TargetMode="External"/><Relationship Id="rId263" Type="http://schemas.openxmlformats.org/officeDocument/2006/relationships/hyperlink" Target="https://community.secop.gov.co/Public/Tendering/ContractNoticePhases/View?PPI=CO1.PPI.38375361&amp;isFromPublicArea=True&amp;isModal=False" TargetMode="External"/><Relationship Id="rId284" Type="http://schemas.openxmlformats.org/officeDocument/2006/relationships/hyperlink" Target="https://community.secop.gov.co/Public/Tendering/OpportunityDetail/Index?noticeUID=CO1.NTC.7745591&amp;isFromPublicArea=True&amp;isModal=False" TargetMode="External"/><Relationship Id="rId37" Type="http://schemas.openxmlformats.org/officeDocument/2006/relationships/hyperlink" Target="https://community.secop.gov.co/Public/Tendering/OpportunityDetail/Index?noticeUID=CO1.NTC.7611308&amp;isFromPublicArea=True&amp;isModal=False" TargetMode="External"/><Relationship Id="rId58" Type="http://schemas.openxmlformats.org/officeDocument/2006/relationships/hyperlink" Target="https://community.secop.gov.co/Public/Tendering/ContractNoticePhases/View?PPI=CO1.PPI.37498572&amp;isFromPublicArea=True&amp;isModal=False" TargetMode="External"/><Relationship Id="rId79" Type="http://schemas.openxmlformats.org/officeDocument/2006/relationships/hyperlink" Target="https://community.secop.gov.co/Public/Tendering/ContractNoticePhases/View?PPI=CO1.PPI.37590452&amp;isFromPublicArea" TargetMode="External"/><Relationship Id="rId102" Type="http://schemas.openxmlformats.org/officeDocument/2006/relationships/hyperlink" Target="https://community.secop.gov.co/Public/Tendering/ContractNoticePhases/View?PPI=CO1.PPI.37590452&amp;isFromPublicArea" TargetMode="External"/><Relationship Id="rId123" Type="http://schemas.openxmlformats.org/officeDocument/2006/relationships/hyperlink" Target="https://community.secop.gov.co/Public/Tendering/ContractNoticePhases/View?PPI=CO1.PPI.37590452&amp;isFromPublicArea" TargetMode="External"/><Relationship Id="rId144" Type="http://schemas.openxmlformats.org/officeDocument/2006/relationships/hyperlink" Target="https://community.secop.gov.co/Public/Tendering/ContractNoticePhases/View?PPI=CO1.PPI.37581336&amp;isFromPublicArea" TargetMode="External"/><Relationship Id="rId90" Type="http://schemas.openxmlformats.org/officeDocument/2006/relationships/hyperlink" Target="https://community.secop.gov.co/Public/Tendering/ContractNoticePhases/View?PPI=CO1.PPI.37590452&amp;isFromPublicArea" TargetMode="External"/><Relationship Id="rId165" Type="http://schemas.openxmlformats.org/officeDocument/2006/relationships/hyperlink" Target="https://community.secop.gov.co/Public/Tendering/ContractNoticePhases/View?PPI=CO1.PPI.37590452&amp;isFromPublicArea" TargetMode="External"/><Relationship Id="rId186" Type="http://schemas.openxmlformats.org/officeDocument/2006/relationships/hyperlink" Target="https://community.secop.gov.co/Public/Tendering/ContractNoticePhases/View?PPI=CO1.PPI.37581336&amp;isFromPublicArea" TargetMode="External"/><Relationship Id="rId211" Type="http://schemas.openxmlformats.org/officeDocument/2006/relationships/hyperlink" Target="https://community.secop.gov.co/Public/Tendering/ContractNoticePhases/View?PPI=CO1.PPI.37581336&amp;isFromPublicArea" TargetMode="External"/><Relationship Id="rId232" Type="http://schemas.openxmlformats.org/officeDocument/2006/relationships/hyperlink" Target="https://community.secop.gov.co/Public/Tendering/OpportunityDetail/Index?noticeUID=CO1.NTC.7726393&amp;isFromPublicArea=True&amp;isModal=False" TargetMode="External"/><Relationship Id="rId253" Type="http://schemas.openxmlformats.org/officeDocument/2006/relationships/hyperlink" Target="https://community.secop.gov.co/Public/Tendering/OpportunityDetail/Index?noticeUID=CO1.NTC.7879477&amp;isFromPublicArea=True&amp;isModal=False" TargetMode="External"/><Relationship Id="rId274" Type="http://schemas.openxmlformats.org/officeDocument/2006/relationships/hyperlink" Target="https://community.secop.gov.co/Public/Tendering/OpportunityDetail/Index?noticeUID=CO1.NTC.7792495&amp;isFromPublicArea=True&amp;isModal=False" TargetMode="External"/><Relationship Id="rId295" Type="http://schemas.openxmlformats.org/officeDocument/2006/relationships/hyperlink" Target="https://community.secop.gov.co/Public/Tendering/ContractNoticePhases/View?PPI=CO1.PPI.38707383&amp;isFromPublicArea=True&amp;isModal=False" TargetMode="External"/><Relationship Id="rId309" Type="http://schemas.openxmlformats.org/officeDocument/2006/relationships/hyperlink" Target="https://community.secop.gov.co/Public/Tendering/ContractNoticePhases/View?PPI=CO1.PPI.38949607&amp;isFromPublicArea=True&amp;isModal=False" TargetMode="External"/><Relationship Id="rId27" Type="http://schemas.openxmlformats.org/officeDocument/2006/relationships/hyperlink" Target="https://community.secop.gov.co/Public/Tendering/OpportunityDetail/Index?noticeUID=CO1.NTC.7568707&amp;isFromPublicArea=True&amp;isModal=False" TargetMode="External"/><Relationship Id="rId48" Type="http://schemas.openxmlformats.org/officeDocument/2006/relationships/hyperlink" Target="https://community.secop.gov.co/Public/Tendering/OpportunityDetail/Index?noticeUID=CO1.NTC.7634135&amp;isFromPublicArea=True&amp;isModal=False" TargetMode="External"/><Relationship Id="rId69" Type="http://schemas.openxmlformats.org/officeDocument/2006/relationships/hyperlink" Target="https://community.secop.gov.co/Public/Tendering/ContractNoticePhases/View?PPI=CO1.PPI.37590452&amp;isFromPublicArea" TargetMode="External"/><Relationship Id="rId113" Type="http://schemas.openxmlformats.org/officeDocument/2006/relationships/hyperlink" Target="https://community.secop.gov.co/Public/Tendering/ContractNoticePhases/View?PPI=CO1.PPI.37581336&amp;isFromPublicArea" TargetMode="External"/><Relationship Id="rId134" Type="http://schemas.openxmlformats.org/officeDocument/2006/relationships/hyperlink" Target="https://community.secop.gov.co/Public/Tendering/ContractNoticePhases/View?PPI=CO1.PPI.37581336&amp;isFromPublicArea" TargetMode="External"/><Relationship Id="rId80" Type="http://schemas.openxmlformats.org/officeDocument/2006/relationships/hyperlink" Target="https://community.secop.gov.co/Public/Tendering/ContractNoticePhases/View?PPI=CO1.PPI.37581336&amp;isFromPublicArea" TargetMode="External"/><Relationship Id="rId155" Type="http://schemas.openxmlformats.org/officeDocument/2006/relationships/hyperlink" Target="https://community.secop.gov.co/Public/Tendering/ContractNoticePhases/View?PPI=CO1.PPI.37581336&amp;isFromPublicArea" TargetMode="External"/><Relationship Id="rId176" Type="http://schemas.openxmlformats.org/officeDocument/2006/relationships/hyperlink" Target="https://community.secop.gov.co/Public/Tendering/ContractNoticePhases/View?PPI=CO1.PPI.37590452&amp;isFromPublicArea=True&amp;isModal=False" TargetMode="External"/><Relationship Id="rId197" Type="http://schemas.openxmlformats.org/officeDocument/2006/relationships/hyperlink" Target="https://community.secop.gov.co/Public/Tendering/ContractNoticePhases/View?PPI=CO1.PPI.37590452&amp;isFromPublicArea" TargetMode="External"/><Relationship Id="rId201" Type="http://schemas.openxmlformats.org/officeDocument/2006/relationships/hyperlink" Target="https://community.secop.gov.co/Public/Tendering/ContractNoticePhases/View?PPI=CO1.PPI.37590452&amp;isFromPublicArea" TargetMode="External"/><Relationship Id="rId222" Type="http://schemas.openxmlformats.org/officeDocument/2006/relationships/hyperlink" Target="https://community.secop.gov.co/Public/Tendering/OpportunityDetail/Index?noticeUID=CO1.NTC.7707666&amp;isFromPublicArea=True&amp;isModal=False" TargetMode="External"/><Relationship Id="rId243" Type="http://schemas.openxmlformats.org/officeDocument/2006/relationships/hyperlink" Target="https://community.secop.gov.co/Public/Tendering/ContractNoticePhases/View?PPI=CO1.PPI.38179134&amp;isFromPublicArea=True&amp;isModal=False" TargetMode="External"/><Relationship Id="rId264" Type="http://schemas.openxmlformats.org/officeDocument/2006/relationships/hyperlink" Target="https://community.secop.gov.co/Public/Tendering/ContractNoticePhases/View?PPI=CO1.PPI.38311474&amp;isFromPublicArea=True&amp;isModal=False" TargetMode="External"/><Relationship Id="rId285" Type="http://schemas.openxmlformats.org/officeDocument/2006/relationships/hyperlink" Target="https://community.secop.gov.co/Public/Tendering/ContractNoticePhases/View?PPI=CO1.PPI.37793631&amp;isFromPublicArea=True&amp;isModal=False" TargetMode="External"/><Relationship Id="rId17" Type="http://schemas.openxmlformats.org/officeDocument/2006/relationships/hyperlink" Target="https://community.secop.gov.co/Public/Tendering/OpportunityDetail/Index?noticeUID=CO1.NTC.7528511&amp;isFromPublicArea=True&amp;isModal=False" TargetMode="External"/><Relationship Id="rId38" Type="http://schemas.openxmlformats.org/officeDocument/2006/relationships/hyperlink" Target="https://community.secop.gov.co/Public/Tendering/OpportunityDetail/Index?noticeUID=CO1.NTC.7619856&amp;isFromPublicArea=True&amp;isModal=False" TargetMode="External"/><Relationship Id="rId59" Type="http://schemas.openxmlformats.org/officeDocument/2006/relationships/hyperlink" Target="https://community.secop.gov.co/Public/Tendering/OpportunityDetail/Index?noticeUID=CO1.NTC.7652771&amp;isFromPublicArea=True&amp;isModal=False" TargetMode="External"/><Relationship Id="rId103" Type="http://schemas.openxmlformats.org/officeDocument/2006/relationships/hyperlink" Target="https://community.secop.gov.co/Public/Tendering/ContractNoticePhases/View?PPI=CO1.PPI.37581336&amp;isFromPublicArea" TargetMode="External"/><Relationship Id="rId124" Type="http://schemas.openxmlformats.org/officeDocument/2006/relationships/hyperlink" Target="https://community.secop.gov.co/Public/Tendering/ContractNoticePhases/View?PPI=CO1.PPI.37581336&amp;isFromPublicArea" TargetMode="External"/><Relationship Id="rId310" Type="http://schemas.openxmlformats.org/officeDocument/2006/relationships/hyperlink" Target="https://community.secop.gov.co/Public/Tendering/Cont%20ractNoticePhases/View?PPI=CO1.PPI.39099535&amp;isFromPublicArea=True&amp;isModal=False" TargetMode="External"/><Relationship Id="rId70" Type="http://schemas.openxmlformats.org/officeDocument/2006/relationships/hyperlink" Target="https://community.secop.gov.co/Public/Tendering/OpportunityDetail/Index?noticeUID=CO1.NTC.7694189&amp;isFromPublicArea=True&amp;isModal=False" TargetMode="External"/><Relationship Id="rId91" Type="http://schemas.openxmlformats.org/officeDocument/2006/relationships/hyperlink" Target="https://community.secop.gov.co/Public/Tendering/ContractNoticePhases/View?PPI=CO1.PPI.37581336&amp;isFromPublicArea" TargetMode="External"/><Relationship Id="rId145" Type="http://schemas.openxmlformats.org/officeDocument/2006/relationships/hyperlink" Target="https://community.secop.gov.co/Public/Tendering/ContractNoticePhases/View?PPI=CO1.PPI.37581336&amp;isFromPublicArea" TargetMode="External"/><Relationship Id="rId166" Type="http://schemas.openxmlformats.org/officeDocument/2006/relationships/hyperlink" Target="https://community.secop.gov.co/Public/Tendering/ContractNoticePhases/View?PPI=CO1.PPI.37590452&amp;isFromPublicArea" TargetMode="External"/><Relationship Id="rId187" Type="http://schemas.openxmlformats.org/officeDocument/2006/relationships/hyperlink" Target="https://community.secop.gov.co/Public/Tendering/ContractNoticePhases/View?PPI=CO1.PPI.37590452&amp;isFromPublicArea" TargetMode="External"/><Relationship Id="rId1" Type="http://schemas.openxmlformats.org/officeDocument/2006/relationships/hyperlink" Target="https://community.secop.gov.co/Public/Tendering/ContractNoticePhases/View?PPI=CO1.PPI.36958237&amp;isFromPublicArea=True&amp;isModal=False" TargetMode="External"/><Relationship Id="rId212" Type="http://schemas.openxmlformats.org/officeDocument/2006/relationships/hyperlink" Target="https://community.secop.gov.co/Public/Tendering/ContractNoticePhases/View?PPI=CO1.PPI.37581336&amp;isFromPublicAr" TargetMode="External"/><Relationship Id="rId233" Type="http://schemas.openxmlformats.org/officeDocument/2006/relationships/hyperlink" Target="https://community.secop.gov.co/Public/Tendering/ContractNoticePhases/View?PPI=CO1.PPI.37726635&amp;isFromPublicArea=True&amp;isModal=False" TargetMode="External"/><Relationship Id="rId254" Type="http://schemas.openxmlformats.org/officeDocument/2006/relationships/hyperlink" Target="https://community.secop.gov.co/Public/Tendering/ContractNoticePhases/View?PPI=CO1.PPI.38208971&amp;isFromPublicArea=True&amp;isModal=False" TargetMode="External"/><Relationship Id="rId28" Type="http://schemas.openxmlformats.org/officeDocument/2006/relationships/hyperlink" Target="https://community.secop.gov.co/Public/Tendering/OpportunityDetail/Index?noticeUID=CO1.NTC.7554367&amp;isFromPublicArea=True&amp;isModal=False" TargetMode="External"/><Relationship Id="rId49" Type="http://schemas.openxmlformats.org/officeDocument/2006/relationships/hyperlink" Target="https://community.secop.gov.co/Public/Tendering/OpportunityDetail/Index?noticeUID=CO1.NTC.7639635&amp;isFromPublicArea=True&amp;isModal=False" TargetMode="External"/><Relationship Id="rId114" Type="http://schemas.openxmlformats.org/officeDocument/2006/relationships/hyperlink" Target="https://community.secop.gov.co/Public/Tendering/ContractNoticePhases/View?PPI=CO1.PPI.37590452&amp;isFromPublicArea" TargetMode="External"/><Relationship Id="rId275" Type="http://schemas.openxmlformats.org/officeDocument/2006/relationships/hyperlink" Target="https://community.secop.gov.co/Public/Tendering/ContractNoticePhases/View?PPI=CO1.PPI.37939854&amp;isFromPublicArea=True&amp;isModal=False" TargetMode="External"/><Relationship Id="rId296" Type="http://schemas.openxmlformats.org/officeDocument/2006/relationships/hyperlink" Target="https://community.secop.gov.co/Public/Tendering/OpportunityDetail/Index?noticeUID=CO1.NTC.7995766&amp;isFromPublicArea=True&amp;isModal=False" TargetMode="External"/><Relationship Id="rId300" Type="http://schemas.openxmlformats.org/officeDocument/2006/relationships/hyperlink" Target="https://community.secop.gov.co/Public/Tendering/ContractNoticePhases/View?PPI=CO1.PPI.38981235&amp;isFromPublicArea" TargetMode="External"/><Relationship Id="rId60" Type="http://schemas.openxmlformats.org/officeDocument/2006/relationships/hyperlink" Target="https://community.secop.gov.co/Public/Tendering/OpportunityDetail/Index?noticeUID=CO1.NTC.7651202&amp;isFromPublicArea=True&amp;isModal=False" TargetMode="External"/><Relationship Id="rId81" Type="http://schemas.openxmlformats.org/officeDocument/2006/relationships/hyperlink" Target="https://community.secop.gov.co/Public/Tendering/ContractNoticePhases/View?PPI=CO1.PPI.37581336&amp;isFromPublicArea" TargetMode="External"/><Relationship Id="rId135" Type="http://schemas.openxmlformats.org/officeDocument/2006/relationships/hyperlink" Target="https://community.secop.gov.co/Public/Tendering/ContractNoticePhases/View?PPI=CO1.PPI.37590452&amp;isFromPublicArea" TargetMode="External"/><Relationship Id="rId156" Type="http://schemas.openxmlformats.org/officeDocument/2006/relationships/hyperlink" Target="https://community.secop.gov.co/Public/Tendering/ContractNoticePhases/View?PPI=CO1.PPI.37581336&amp;isFromPublicArea" TargetMode="External"/><Relationship Id="rId177" Type="http://schemas.openxmlformats.org/officeDocument/2006/relationships/hyperlink" Target="https://community.secop.gov.co/Public/Tendering/ContractNoticePhases/View?PPI=CO1.PPI.37590452&amp;isFromPublicArea=True&amp;isModal=False" TargetMode="External"/><Relationship Id="rId198" Type="http://schemas.openxmlformats.org/officeDocument/2006/relationships/hyperlink" Target="https://community.secop.gov.co/Public/Tendering/ContractNoticePhases/View?PPI=CO1.PPI.37590452&amp;isFromPublicArea" TargetMode="External"/><Relationship Id="rId202" Type="http://schemas.openxmlformats.org/officeDocument/2006/relationships/hyperlink" Target="https://community.secop.gov.co/Public/Tendering/ContractNvoticePhases/View?PPI=CO1.PPI.37581336&amp;isFromPublicArea" TargetMode="External"/><Relationship Id="rId223" Type="http://schemas.openxmlformats.org/officeDocument/2006/relationships/hyperlink" Target="https://community.secop.gov.co/Public/Tendering/OpportunityDetail/Index?noticeUID=CO1.NTC.7694215&amp;isFromPublicArea=True&amp;isModal=False" TargetMode="External"/><Relationship Id="rId244" Type="http://schemas.openxmlformats.org/officeDocument/2006/relationships/hyperlink" Target="https://community.secop.gov.co/Public/Tendering/OpportunityDetail/Index?noticeUID=CO1.NTC.7850066&amp;isFromPublicArea=True&amp;isModal=False" TargetMode="External"/><Relationship Id="rId18" Type="http://schemas.openxmlformats.org/officeDocument/2006/relationships/hyperlink" Target="https://community.secop.gov.co/Public/Tendering/ContractNoticePhases/View?PPI=CO1.PPI.37187993&amp;isFromPublicArea=True&amp;isModal=False" TargetMode="External"/><Relationship Id="rId39" Type="http://schemas.openxmlformats.org/officeDocument/2006/relationships/hyperlink" Target="https://community.secop.gov.co/Public/Tendering/OpportunityDetail/Index?noticeUID=CO1.NTC.7619856&amp;isFromPublicArea=True&amp;isModal=False" TargetMode="External"/><Relationship Id="rId265" Type="http://schemas.openxmlformats.org/officeDocument/2006/relationships/hyperlink" Target="https://community.secop.gov.co/Public/Tendering/ContractNoticePhases/View?PPI=CO1.PPI.38496699&amp;isFromPublicArea=True&amp;isModal=False" TargetMode="External"/><Relationship Id="rId286" Type="http://schemas.openxmlformats.org/officeDocument/2006/relationships/hyperlink" Target="https://community.secop.gov.co/Public/Tendering/ContractN%20oticePhases/View?PPI=CO1.PPI.37985975&amp;isFromPublicArea%20=True&amp;isModal=False" TargetMode="External"/><Relationship Id="rId50" Type="http://schemas.openxmlformats.org/officeDocument/2006/relationships/hyperlink" Target="https://community.secop.gov.co/Public/Tendering/ContractNoticePhases/View?PPI=CO1.PPI.37497083&amp;isFromPublicArea=True&amp;isModal=False" TargetMode="External"/><Relationship Id="rId104" Type="http://schemas.openxmlformats.org/officeDocument/2006/relationships/hyperlink" Target="https://community.secop.gov.co/Public/Tendering/ContractNoticePhases/View?PPI=CO1.PPI.37581336&amp;isFromPublicArea" TargetMode="External"/><Relationship Id="rId125" Type="http://schemas.openxmlformats.org/officeDocument/2006/relationships/hyperlink" Target="https://community.secop.gov.co/Public/Tendering/ContractNoticePhases/View?PPI=CO1.PPI.37581336&amp;isFromPublicArea" TargetMode="External"/><Relationship Id="rId146" Type="http://schemas.openxmlformats.org/officeDocument/2006/relationships/hyperlink" Target="https://community.secop.gov.co/Public/Tendering/ContractNoticePhases/View?PPI=CO1.PPI.37581336&amp;isFromPublicArea" TargetMode="External"/><Relationship Id="rId167" Type="http://schemas.openxmlformats.org/officeDocument/2006/relationships/hyperlink" Target="https://community.secop.gov.co/Public/Tendering/ContractNoticePhases/View?PPI=CO1.PPI.37581336&amp;isFromPublicArea" TargetMode="External"/><Relationship Id="rId188" Type="http://schemas.openxmlformats.org/officeDocument/2006/relationships/hyperlink" Target="https://community.secop.gov.co/Public/Tendering/ContractNoticePhases/View?PPI=CO1.PPI.37590452&amp;isFromPublicArea" TargetMode="External"/><Relationship Id="rId311" Type="http://schemas.openxmlformats.org/officeDocument/2006/relationships/printerSettings" Target="../printerSettings/printerSettings2.bin"/><Relationship Id="rId71" Type="http://schemas.openxmlformats.org/officeDocument/2006/relationships/hyperlink" Target="https://community.secop.gov.co/Public/Tendering/ContractNoticePhases/View?PPI=CO1.PPI.37624358&amp;isFromPublicArea=True&amp;isModal=False" TargetMode="External"/><Relationship Id="rId92" Type="http://schemas.openxmlformats.org/officeDocument/2006/relationships/hyperlink" Target="https://community.secop.gov.co/Public/Tendering/ContractNoticePhases/View?PPI=CO1.PPI.37590452&amp;isFromPublicArea" TargetMode="External"/><Relationship Id="rId213" Type="http://schemas.openxmlformats.org/officeDocument/2006/relationships/hyperlink" Target="https://community.secop.gov.co/Public/Tendering/ContractNoticePhases/View?PPI=CO1.PPI.37581336&amp;isFromPublicArea" TargetMode="External"/><Relationship Id="rId234" Type="http://schemas.openxmlformats.org/officeDocument/2006/relationships/hyperlink" Target="https://community.secop.gov.co/Public/Tendering/ContractNoticePhases/View?PPI=CO1.PPI.37727139&amp;isFromPublicArea=True&amp;isModal=False" TargetMode="External"/><Relationship Id="rId2" Type="http://schemas.openxmlformats.org/officeDocument/2006/relationships/hyperlink" Target="https://community.secop.gov.co/Public/Tendering/ContractNoticePhases/View?PPI=CO1.PPI.37023764&amp;isFromPublicArea=True&amp;isModal=False" TargetMode="External"/><Relationship Id="rId29" Type="http://schemas.openxmlformats.org/officeDocument/2006/relationships/hyperlink" Target="https://community.secop.gov.co/Public/Tendering/OpportunityDetail/Index?noticeUID=CO1.NTC.7561465&amp;isFromPublicArea=True&amp;isModal=False" TargetMode="External"/><Relationship Id="rId255" Type="http://schemas.openxmlformats.org/officeDocument/2006/relationships/hyperlink" Target="https://community.secop.gov.co/Public/Tendering/ContractNoticePhases/View?PPI=CO1.PPI.38209370&amp;isFromPublicArea=True&amp;isModal=False" TargetMode="External"/><Relationship Id="rId276" Type="http://schemas.openxmlformats.org/officeDocument/2006/relationships/hyperlink" Target="https://community.secop.gov.co/Public/Tendering/OpportunityDetail/Index?noticeUID=CO1.NTC.7762781&amp;isFromPublicArea=True&amp;isModal=False" TargetMode="External"/><Relationship Id="rId297" Type="http://schemas.openxmlformats.org/officeDocument/2006/relationships/hyperlink" Target="https://community.secop.gov.co/Public/Tendering/OpportunityDetail/Index?noticeUID=CO1.NTC.7995766&amp;isFromPublicArea=True&amp;isModal=False" TargetMode="External"/><Relationship Id="rId40" Type="http://schemas.openxmlformats.org/officeDocument/2006/relationships/hyperlink" Target="https://community.secop.gov.co/Public/Tendering/OpportunityDetail/Index?noticeUID=CO1.NTC.7611834&amp;isFromPublicArea=True&amp;isModal=False" TargetMode="External"/><Relationship Id="rId115" Type="http://schemas.openxmlformats.org/officeDocument/2006/relationships/hyperlink" Target="https://community.secop.gov.co/Public/Tendering/ContractNoticePhases/View?PPI=CO1.PPI.37581336&amp;isFromPublicArea" TargetMode="External"/><Relationship Id="rId136" Type="http://schemas.openxmlformats.org/officeDocument/2006/relationships/hyperlink" Target="https://community.secop.gov.co/Public/Tendering/ContractNoticePhases/View?PPI=CO1.PPI.37581336&amp;isFromPublicArea" TargetMode="External"/><Relationship Id="rId157" Type="http://schemas.openxmlformats.org/officeDocument/2006/relationships/hyperlink" Target="https://community.secop.gov.co/Public/Tendering/ContractNoticePhases/View?PPI=CO1.PPI.37581336&amp;isFromPublicArea" TargetMode="External"/><Relationship Id="rId178" Type="http://schemas.openxmlformats.org/officeDocument/2006/relationships/hyperlink" Target="https://community.secop.gov.co/Public/Tendering/ContractNoticePhases/View?PPI=CO1.PPI.37590452&amp;isFromPublicArea=True&amp;isModal=False" TargetMode="External"/><Relationship Id="rId301" Type="http://schemas.openxmlformats.org/officeDocument/2006/relationships/hyperlink" Target="https://community.secop.gov.co/Public/Tendering/OpportunityDetail/Index?noticeUID=CO1.NTC.8033718&amp;isFromPublicArea=True&amp;isModal=False" TargetMode="Externa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table" Target="../tables/table5.xml"/></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9.xml.rels><?xml version="1.0" encoding="UTF-8" standalone="yes"?>
<Relationships xmlns="http://schemas.openxmlformats.org/package/2006/relationships"><Relationship Id="rId8" Type="http://schemas.openxmlformats.org/officeDocument/2006/relationships/hyperlink" Target="mailto:hvasquez@indeportesantioquia.gov.co" TargetMode="External"/><Relationship Id="rId3" Type="http://schemas.openxmlformats.org/officeDocument/2006/relationships/hyperlink" Target="mailto:mfigueroa@indeportesantioquia.gov.co" TargetMode="External"/><Relationship Id="rId7" Type="http://schemas.openxmlformats.org/officeDocument/2006/relationships/hyperlink" Target="mailto:mfigueroa@indeportesantioquia.gov.co" TargetMode="External"/><Relationship Id="rId2" Type="http://schemas.openxmlformats.org/officeDocument/2006/relationships/hyperlink" Target="mailto:mpinzon@indeportesantioquia.gov.co" TargetMode="External"/><Relationship Id="rId1" Type="http://schemas.openxmlformats.org/officeDocument/2006/relationships/hyperlink" Target="mailto:mpinzon@indeportesantioquia.gov.co" TargetMode="External"/><Relationship Id="rId6" Type="http://schemas.openxmlformats.org/officeDocument/2006/relationships/hyperlink" Target="mailto:mfigueroa@indeportesantioquia.gov.co" TargetMode="External"/><Relationship Id="rId11" Type="http://schemas.openxmlformats.org/officeDocument/2006/relationships/printerSettings" Target="../printerSettings/printerSettings6.bin"/><Relationship Id="rId5" Type="http://schemas.openxmlformats.org/officeDocument/2006/relationships/hyperlink" Target="mailto:mfigueroa@indeportesantioquia.gov.co" TargetMode="External"/><Relationship Id="rId10" Type="http://schemas.openxmlformats.org/officeDocument/2006/relationships/hyperlink" Target="mailto:hvasquez@indeportesantioquia.gov.co" TargetMode="External"/><Relationship Id="rId4" Type="http://schemas.openxmlformats.org/officeDocument/2006/relationships/hyperlink" Target="mailto:hvasquez@indeportesantioquia.gov.co" TargetMode="External"/><Relationship Id="rId9" Type="http://schemas.openxmlformats.org/officeDocument/2006/relationships/hyperlink" Target="mailto:hvasquez@indeportesantioquia.gov.co"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pageSetUpPr fitToPage="1"/>
  </sheetPr>
  <dimension ref="A1:CF771"/>
  <sheetViews>
    <sheetView showGridLines="0" tabSelected="1" zoomScale="85" zoomScaleNormal="85" workbookViewId="0">
      <selection activeCell="F234" sqref="F234"/>
    </sheetView>
  </sheetViews>
  <sheetFormatPr baseColWidth="10" defaultColWidth="9.140625" defaultRowHeight="15" x14ac:dyDescent="0.25"/>
  <cols>
    <col min="1" max="1" width="13.140625" style="11" customWidth="1"/>
    <col min="2" max="2" width="19" style="185" customWidth="1"/>
    <col min="3" max="3" width="43.28515625" style="11" customWidth="1"/>
    <col min="4" max="4" width="31.28515625" style="11" customWidth="1"/>
    <col min="5" max="6" width="40" style="19" customWidth="1"/>
    <col min="7" max="7" width="29.28515625" style="17" customWidth="1"/>
    <col min="8" max="8" width="24.7109375" style="12" customWidth="1"/>
    <col min="9" max="9" width="30.28515625" style="36" bestFit="1" customWidth="1"/>
    <col min="10" max="10" width="78.28515625" style="14" customWidth="1"/>
    <col min="11" max="12" width="25.140625" style="11" customWidth="1"/>
    <col min="13" max="13" width="37.42578125" style="11" customWidth="1"/>
    <col min="14" max="14" width="48.7109375" style="15" customWidth="1"/>
    <col min="15" max="15" width="18.140625" style="14" customWidth="1"/>
    <col min="16" max="16" width="49.28515625" style="16" customWidth="1"/>
    <col min="17" max="17" width="27.85546875" style="11" customWidth="1"/>
    <col min="18" max="18" width="25.85546875" style="11" customWidth="1"/>
    <col min="19" max="19" width="21.7109375" style="10" customWidth="1"/>
    <col min="20" max="20" width="31.28515625" style="145" customWidth="1"/>
    <col min="21" max="21" width="22.5703125" style="166" customWidth="1"/>
    <col min="22" max="22" width="23.28515625" style="16" customWidth="1"/>
    <col min="23" max="23" width="27.140625" style="16" customWidth="1"/>
    <col min="24" max="24" width="29.42578125" style="16" customWidth="1"/>
    <col min="25" max="25" width="25.140625" style="13" customWidth="1"/>
    <col min="26" max="26" width="42.7109375" style="11" customWidth="1"/>
    <col min="27" max="27" width="32.85546875" style="11" customWidth="1"/>
    <col min="28" max="28" width="20.42578125" style="13" customWidth="1"/>
    <col min="29" max="29" width="25.28515625" style="13" customWidth="1"/>
    <col min="30" max="30" width="17" style="13" customWidth="1"/>
    <col min="31" max="31" width="26.28515625" style="13" customWidth="1"/>
    <col min="32" max="32" width="47.28515625" style="11" bestFit="1" customWidth="1"/>
    <col min="33" max="33" width="13.5703125" style="11" customWidth="1"/>
    <col min="34" max="34" width="28.140625" style="9" customWidth="1"/>
    <col min="35" max="35" width="22.42578125" style="9" customWidth="1"/>
    <col min="36" max="84" width="10.5703125" style="9" customWidth="1"/>
    <col min="85" max="16384" width="9.140625" style="9"/>
  </cols>
  <sheetData>
    <row r="1" spans="1:35" s="52" customFormat="1" ht="36" customHeight="1" x14ac:dyDescent="0.25">
      <c r="A1" s="561" t="s">
        <v>0</v>
      </c>
      <c r="B1" s="561"/>
      <c r="C1" s="561"/>
      <c r="E1" s="53"/>
      <c r="F1" s="53"/>
      <c r="I1" s="54"/>
      <c r="N1" s="55"/>
      <c r="S1" s="56"/>
      <c r="U1" s="163"/>
    </row>
    <row r="2" spans="1:35" s="52" customFormat="1" ht="19.5" customHeight="1" x14ac:dyDescent="0.25">
      <c r="A2" s="561"/>
      <c r="B2" s="561"/>
      <c r="C2" s="561"/>
      <c r="E2" s="53"/>
      <c r="F2" s="53"/>
      <c r="I2" s="54"/>
      <c r="N2" s="55"/>
      <c r="S2" s="56"/>
      <c r="U2" s="163"/>
    </row>
    <row r="3" spans="1:35" s="52" customFormat="1" ht="19.5" customHeight="1" x14ac:dyDescent="0.25">
      <c r="A3" s="561"/>
      <c r="B3" s="561"/>
      <c r="C3" s="561"/>
      <c r="E3" s="53"/>
      <c r="F3" s="53"/>
      <c r="I3" s="54"/>
      <c r="J3" s="168"/>
      <c r="N3" s="55"/>
      <c r="S3" s="56"/>
      <c r="U3" s="163"/>
    </row>
    <row r="4" spans="1:35" s="8" customFormat="1" ht="15.75" customHeight="1" thickBot="1" x14ac:dyDescent="0.3">
      <c r="A4" s="562"/>
      <c r="B4" s="562"/>
      <c r="C4" s="562"/>
      <c r="D4" s="2"/>
      <c r="E4" s="18"/>
      <c r="F4" s="18"/>
      <c r="G4" s="2"/>
      <c r="H4" s="2"/>
      <c r="I4" s="35" t="s">
        <v>1</v>
      </c>
      <c r="J4" s="2" t="s">
        <v>2</v>
      </c>
      <c r="K4" s="2" t="s">
        <v>3</v>
      </c>
      <c r="L4" s="2" t="s">
        <v>4</v>
      </c>
      <c r="M4" s="2"/>
      <c r="N4" s="3"/>
      <c r="O4" s="2"/>
      <c r="P4" s="2"/>
      <c r="Q4" s="2"/>
      <c r="R4" s="2"/>
      <c r="S4" s="4"/>
      <c r="T4" s="2"/>
      <c r="U4" s="164"/>
      <c r="V4" s="2"/>
      <c r="W4" s="2"/>
      <c r="X4" s="2"/>
      <c r="Y4" s="2"/>
      <c r="Z4" s="2"/>
      <c r="AA4" s="2"/>
      <c r="AB4" s="2"/>
      <c r="AC4" s="5"/>
      <c r="AD4" s="6"/>
      <c r="AE4" s="7" t="s">
        <v>5</v>
      </c>
      <c r="AF4" s="51"/>
    </row>
    <row r="5" spans="1:35" s="50" customFormat="1" ht="27.75" customHeight="1" x14ac:dyDescent="0.25">
      <c r="B5" s="75">
        <v>0</v>
      </c>
      <c r="C5" s="76"/>
      <c r="D5" s="76"/>
      <c r="E5" s="77"/>
      <c r="F5" s="77"/>
      <c r="H5" s="78"/>
      <c r="I5" s="79">
        <f>+SUM(PAA[Valor definitivo (manual)])</f>
        <v>108722585666</v>
      </c>
      <c r="J5" s="80">
        <v>88158334023</v>
      </c>
      <c r="K5" s="81">
        <f>+J5+L5-I5</f>
        <v>0</v>
      </c>
      <c r="L5" s="82">
        <f>+INCORPORACIONES!A17</f>
        <v>20564251643</v>
      </c>
      <c r="M5" s="82"/>
      <c r="N5" s="83"/>
      <c r="O5" s="84"/>
      <c r="P5" s="78"/>
      <c r="S5" s="59"/>
      <c r="U5" s="165"/>
      <c r="Y5" s="85"/>
      <c r="Z5" s="85"/>
      <c r="AA5" s="85"/>
      <c r="AB5" s="85"/>
      <c r="AC5" s="85"/>
      <c r="AD5" s="85"/>
      <c r="AE5" s="86"/>
    </row>
    <row r="6" spans="1:35" s="49" customFormat="1" ht="58.5" customHeight="1" x14ac:dyDescent="0.25">
      <c r="A6" s="42" t="s">
        <v>6</v>
      </c>
      <c r="B6" s="39" t="s">
        <v>7</v>
      </c>
      <c r="C6" s="39" t="s">
        <v>8</v>
      </c>
      <c r="D6" s="39" t="s">
        <v>9</v>
      </c>
      <c r="E6" s="43" t="s">
        <v>10</v>
      </c>
      <c r="F6" s="39" t="s">
        <v>11</v>
      </c>
      <c r="G6" s="39" t="s">
        <v>12</v>
      </c>
      <c r="H6" s="44" t="s">
        <v>13</v>
      </c>
      <c r="I6" s="45" t="s">
        <v>14</v>
      </c>
      <c r="J6" s="39" t="s">
        <v>15</v>
      </c>
      <c r="K6" s="39" t="s">
        <v>16</v>
      </c>
      <c r="L6" s="39" t="s">
        <v>17</v>
      </c>
      <c r="M6" s="39" t="s">
        <v>18</v>
      </c>
      <c r="N6" s="46" t="s">
        <v>19</v>
      </c>
      <c r="O6" s="39" t="s">
        <v>20</v>
      </c>
      <c r="P6" s="39" t="s">
        <v>21</v>
      </c>
      <c r="Q6" s="39" t="s">
        <v>22</v>
      </c>
      <c r="R6" s="39" t="s">
        <v>23</v>
      </c>
      <c r="S6" s="40" t="s">
        <v>24</v>
      </c>
      <c r="T6" s="39" t="s">
        <v>25</v>
      </c>
      <c r="U6" s="39" t="s">
        <v>26</v>
      </c>
      <c r="V6" s="39" t="s">
        <v>27</v>
      </c>
      <c r="W6" s="41" t="s">
        <v>28</v>
      </c>
      <c r="X6" s="47" t="s">
        <v>29</v>
      </c>
      <c r="Y6" s="47" t="s">
        <v>30</v>
      </c>
      <c r="Z6" s="39" t="s">
        <v>31</v>
      </c>
      <c r="AA6" s="39" t="s">
        <v>32</v>
      </c>
      <c r="AB6" s="39" t="s">
        <v>33</v>
      </c>
      <c r="AC6" s="39" t="s">
        <v>34</v>
      </c>
      <c r="AD6" s="39" t="s">
        <v>35</v>
      </c>
      <c r="AE6" s="39" t="s">
        <v>36</v>
      </c>
      <c r="AF6" s="48" t="s">
        <v>37</v>
      </c>
      <c r="AG6" s="48" t="s">
        <v>38</v>
      </c>
      <c r="AH6" s="48" t="s">
        <v>39</v>
      </c>
      <c r="AI6" s="48" t="s">
        <v>40</v>
      </c>
    </row>
    <row r="7" spans="1:35" s="50" customFormat="1" ht="42" hidden="1" customHeight="1" x14ac:dyDescent="0.25">
      <c r="A7" s="436">
        <v>1</v>
      </c>
      <c r="B7" s="418" t="s">
        <v>41</v>
      </c>
      <c r="C7" s="436" t="str">
        <f>VLOOKUP(PAA[[#This Row],[PROYECTO (formulado)2]],PROYECTOS!$G$1:$L$32,6,0)</f>
        <v>SUBGERENCIA ADMINISTRATIVA Y FINANCIERA</v>
      </c>
      <c r="D7" s="436" t="str">
        <f>+IF(PAA[[#This Row],[UNIDAD DE CONTRATACION (formulado)]]="Subgerencia Administrativa y Financiera","FUNCIONAMIENTO","INVERSIÓN")</f>
        <v>FUNCIONAMIENTO</v>
      </c>
      <c r="E7" s="446" t="str">
        <f>VLOOKUP(Q7,PROYECTOS!$G$1:$K$32,5,0)</f>
        <v>FUNCIONAMIENTO</v>
      </c>
      <c r="F7" s="446">
        <f>VLOOKUP(E7,PROYECTOS!$K$1:$M$32,3,0)</f>
        <v>999999</v>
      </c>
      <c r="G7" s="439" t="s">
        <v>42</v>
      </c>
      <c r="H7" s="439">
        <f>VLOOKUP(Q7,PROYECTOS!$V$1:$W$32,2,0)</f>
        <v>999999</v>
      </c>
      <c r="I7" s="440">
        <v>7156140263</v>
      </c>
      <c r="J7" s="442" t="s">
        <v>43</v>
      </c>
      <c r="K7" s="436" t="str">
        <f t="shared" ref="K7:K70" ca="1" si="0">IF(ISNONTEXT(Y7)=TRUE,"CONTRATADO","NO CONTRATADO")</f>
        <v>CONTRATADO</v>
      </c>
      <c r="L7" s="442" t="s">
        <v>44</v>
      </c>
      <c r="M7" s="442" t="s">
        <v>44</v>
      </c>
      <c r="N7" s="447" t="s">
        <v>45</v>
      </c>
      <c r="O7" s="442">
        <f>VLOOKUP(N7,RUBROS[#All],3,0)</f>
        <v>1</v>
      </c>
      <c r="P7" s="448" t="str">
        <f>VLOOKUP(N7,RUBROS[#All],2,0)</f>
        <v>Sueldo básico</v>
      </c>
      <c r="Q7" s="436" t="str">
        <f t="shared" ref="Q7:Q70" si="1">+MID(N7,11,2)</f>
        <v>00</v>
      </c>
      <c r="R7" s="436" t="str">
        <f t="shared" ref="R7:R70" si="2">+MID(N7,14,8)</f>
        <v>0-205616</v>
      </c>
      <c r="S7" s="417">
        <v>12</v>
      </c>
      <c r="T7" s="449" t="s">
        <v>46</v>
      </c>
      <c r="U7" s="444" t="e">
        <f ca="1">_xlfn.XLOOKUP(PAA[[#This Row],[ITEM]],Contrato!A:A,Contrato!Q:Q,"",0)</f>
        <v>#NAME?</v>
      </c>
      <c r="V7" s="436" t="s">
        <v>47</v>
      </c>
      <c r="W7" s="436" t="s">
        <v>48</v>
      </c>
      <c r="X7" s="436" t="s">
        <v>48</v>
      </c>
      <c r="Y7" s="445" t="e">
        <f ca="1">_xlfn.XLOOKUP(PAA[[#This Row],[ITEM]],Contrato!A:A,Contrato!B:B,"",0)</f>
        <v>#NAME?</v>
      </c>
      <c r="Z7" s="436" t="e">
        <f ca="1">_xlfn.XLOOKUP(PAA[[#This Row],[ITEM]],Contrato!A:A,Contrato!G:G,"",0)</f>
        <v>#NAME?</v>
      </c>
      <c r="AA7" s="436" t="e">
        <f ca="1">_xlfn.XLOOKUP(PAA[[#This Row],[ITEM]],Contrato!A:A,Contrato!T:T,"",0)</f>
        <v>#NAME?</v>
      </c>
      <c r="AB7" s="445" t="e">
        <f ca="1">+MAX(PAA[[#This Row],[Comprometido Contrato]],)</f>
        <v>#NAME?</v>
      </c>
      <c r="AC7" s="445" t="str">
        <f t="shared" ref="AC7:AC70" ca="1" si="3">IFERROR(I7-AB7,"")</f>
        <v/>
      </c>
      <c r="AD7" s="445" t="e">
        <f ca="1">+MAX(PAA[[#This Row],[Pago por Contrato]],)</f>
        <v>#NAME?</v>
      </c>
      <c r="AE7" s="445" t="str">
        <f t="shared" ref="AE7:AE70" ca="1" si="4">+IFERROR(AB7-AD7,"")</f>
        <v/>
      </c>
      <c r="AF7" s="436" t="e">
        <f t="shared" ref="AF7:AF70" ca="1" si="5">+CONCATENATE(AA7,N7)</f>
        <v>#NAME?</v>
      </c>
      <c r="AG7" s="436" t="str">
        <f t="shared" ref="AG7:AG70" si="6">IFERROR(_xlfn.NUMBERVALUE(MID(G7,1,8)),"")</f>
        <v/>
      </c>
      <c r="AH7" s="436" t="e" cm="1">
        <f t="array" aca="1" ref="AH7" ca="1">_xlfn.XLOOKUP(PAA[[#This Row],[RCP-RUBRO]],COMPROMISOS_2025[[#All],[concatenado]],COMPROMISOS_2025[[#All],[Total pagado]],"",0)</f>
        <v>#NAME?</v>
      </c>
      <c r="AI7" s="436" t="e" cm="1">
        <f t="array" aca="1" ref="AI7" ca="1">_xlfn.XLOOKUP(PAA[[#This Row],[RCP-RUBRO]],COMPROMISOS_2025[[#All],[concatenado]],COMPROMISOS_2025[[#All],[Total Comprometido]],"",0)</f>
        <v>#NAME?</v>
      </c>
    </row>
    <row r="8" spans="1:35" s="50" customFormat="1" ht="42" hidden="1" customHeight="1" x14ac:dyDescent="0.25">
      <c r="A8" s="57">
        <v>2</v>
      </c>
      <c r="B8" s="186" t="s">
        <v>41</v>
      </c>
      <c r="C8" s="57" t="str">
        <f>VLOOKUP(PAA[[#This Row],[PROYECTO (formulado)2]],PROYECTOS!$G$1:$L$32,6,0)</f>
        <v>SUBGERENCIA ADMINISTRATIVA Y FINANCIERA</v>
      </c>
      <c r="D8" s="57" t="str">
        <f>+IF(PAA[[#This Row],[UNIDAD DE CONTRATACION (formulado)]]="Subgerencia Administrativa y Financiera","FUNCIONAMIENTO","INVERSIÓN")</f>
        <v>FUNCIONAMIENTO</v>
      </c>
      <c r="E8" s="153" t="str">
        <f>VLOOKUP(Q8,PROYECTOS!$G$1:$K$32,5,0)</f>
        <v>FUNCIONAMIENTO</v>
      </c>
      <c r="F8" s="153">
        <f>VLOOKUP(E8,PROYECTOS!$K$1:$M$32,3,0)</f>
        <v>999999</v>
      </c>
      <c r="G8" s="154" t="s">
        <v>42</v>
      </c>
      <c r="H8" s="154">
        <f>VLOOKUP(Q8,PROYECTOS!$V$1:$W$32,2,0)</f>
        <v>999999</v>
      </c>
      <c r="I8" s="143">
        <v>271000000</v>
      </c>
      <c r="J8" s="155" t="s">
        <v>49</v>
      </c>
      <c r="K8" s="57" t="str">
        <f t="shared" ca="1" si="0"/>
        <v>CONTRATADO</v>
      </c>
      <c r="L8" s="155" t="s">
        <v>44</v>
      </c>
      <c r="M8" s="155" t="s">
        <v>44</v>
      </c>
      <c r="N8" s="142" t="s">
        <v>50</v>
      </c>
      <c r="O8" s="155">
        <f>VLOOKUP(N8,RUBROS[#All],3,0)</f>
        <v>2</v>
      </c>
      <c r="P8" s="156" t="str">
        <f>VLOOKUP(N8,RUBROS[#All],2,0)</f>
        <v>Horas extras, dominicales, festivos y recargos</v>
      </c>
      <c r="Q8" s="57" t="str">
        <f t="shared" si="1"/>
        <v>00</v>
      </c>
      <c r="R8" s="57" t="str">
        <f t="shared" si="2"/>
        <v>0-205616</v>
      </c>
      <c r="S8" s="152">
        <v>12</v>
      </c>
      <c r="T8" s="157" t="s">
        <v>46</v>
      </c>
      <c r="U8" s="162" t="e">
        <f ca="1">_xlfn.XLOOKUP(PAA[[#This Row],[ITEM]],Contrato!A:A,Contrato!Q:Q,"",0)</f>
        <v>#NAME?</v>
      </c>
      <c r="V8" s="57" t="s">
        <v>47</v>
      </c>
      <c r="W8" s="57" t="s">
        <v>48</v>
      </c>
      <c r="X8" s="57" t="s">
        <v>48</v>
      </c>
      <c r="Y8" s="58" t="e">
        <f ca="1">_xlfn.XLOOKUP(PAA[[#This Row],[ITEM]],Contrato!A:A,Contrato!B:B,"",0)</f>
        <v>#NAME?</v>
      </c>
      <c r="Z8" s="57" t="e">
        <f ca="1">_xlfn.XLOOKUP(PAA[[#This Row],[ITEM]],Contrato!A:A,Contrato!G:G,"",0)</f>
        <v>#NAME?</v>
      </c>
      <c r="AA8" s="57" t="e">
        <f ca="1">_xlfn.XLOOKUP(PAA[[#This Row],[ITEM]],Contrato!A:A,Contrato!T:T,"",0)</f>
        <v>#NAME?</v>
      </c>
      <c r="AB8" s="58" t="e">
        <f ca="1">+MAX(PAA[[#This Row],[Comprometido Contrato]],)</f>
        <v>#NAME?</v>
      </c>
      <c r="AC8" s="58" t="str">
        <f t="shared" ca="1" si="3"/>
        <v/>
      </c>
      <c r="AD8" s="58" t="e">
        <f ca="1">+MAX(PAA[[#This Row],[Pago por Contrato]],)</f>
        <v>#NAME?</v>
      </c>
      <c r="AE8" s="58" t="str">
        <f t="shared" ca="1" si="4"/>
        <v/>
      </c>
      <c r="AF8" s="57" t="e">
        <f t="shared" ca="1" si="5"/>
        <v>#NAME?</v>
      </c>
      <c r="AG8" s="57" t="str">
        <f t="shared" si="6"/>
        <v/>
      </c>
      <c r="AH8" s="57" t="e" cm="1">
        <f t="array" aca="1" ref="AH8" ca="1">_xlfn.XLOOKUP(PAA[[#This Row],[RCP-RUBRO]],COMPROMISOS_2025[[#All],[concatenado]],COMPROMISOS_2025[[#All],[Total pagado]],"",0)</f>
        <v>#NAME?</v>
      </c>
      <c r="AI8" s="57" t="e" cm="1">
        <f t="array" aca="1" ref="AI8" ca="1">_xlfn.XLOOKUP(PAA[[#This Row],[RCP-RUBRO]],COMPROMISOS_2025[[#All],[concatenado]],COMPROMISOS_2025[[#All],[Total Comprometido]],"",0)</f>
        <v>#NAME?</v>
      </c>
    </row>
    <row r="9" spans="1:35" s="50" customFormat="1" ht="42" hidden="1" customHeight="1" x14ac:dyDescent="0.25">
      <c r="A9" s="57">
        <v>3</v>
      </c>
      <c r="B9" s="186" t="s">
        <v>41</v>
      </c>
      <c r="C9" s="57" t="str">
        <f>VLOOKUP(PAA[[#This Row],[PROYECTO (formulado)2]],PROYECTOS!$G$1:$L$32,6,0)</f>
        <v>SUBGERENCIA ADMINISTRATIVA Y FINANCIERA</v>
      </c>
      <c r="D9" s="57" t="str">
        <f>+IF(PAA[[#This Row],[UNIDAD DE CONTRATACION (formulado)]]="Subgerencia Administrativa y Financiera","FUNCIONAMIENTO","INVERSIÓN")</f>
        <v>FUNCIONAMIENTO</v>
      </c>
      <c r="E9" s="153" t="str">
        <f>VLOOKUP(Q9,PROYECTOS!$G$1:$K$32,5,0)</f>
        <v>FUNCIONAMIENTO</v>
      </c>
      <c r="F9" s="153">
        <f>VLOOKUP(E9,PROYECTOS!$K$1:$M$32,3,0)</f>
        <v>999999</v>
      </c>
      <c r="G9" s="154" t="s">
        <v>42</v>
      </c>
      <c r="H9" s="154">
        <f>VLOOKUP(Q9,PROYECTOS!$V$1:$W$32,2,0)</f>
        <v>999999</v>
      </c>
      <c r="I9" s="143">
        <v>50000000</v>
      </c>
      <c r="J9" s="155" t="s">
        <v>51</v>
      </c>
      <c r="K9" s="57" t="str">
        <f t="shared" ca="1" si="0"/>
        <v>CONTRATADO</v>
      </c>
      <c r="L9" s="155" t="s">
        <v>44</v>
      </c>
      <c r="M9" s="155" t="s">
        <v>44</v>
      </c>
      <c r="N9" s="142" t="s">
        <v>52</v>
      </c>
      <c r="O9" s="155">
        <f>VLOOKUP(N9,RUBROS[#All],3,0)</f>
        <v>3</v>
      </c>
      <c r="P9" s="156" t="str">
        <f>VLOOKUP(N9,RUBROS[#All],2,0)</f>
        <v>Prima de servicios</v>
      </c>
      <c r="Q9" s="57" t="str">
        <f t="shared" si="1"/>
        <v>00</v>
      </c>
      <c r="R9" s="57" t="str">
        <f t="shared" si="2"/>
        <v>0-205616</v>
      </c>
      <c r="S9" s="152">
        <v>12</v>
      </c>
      <c r="T9" s="157" t="s">
        <v>46</v>
      </c>
      <c r="U9" s="162" t="e">
        <f ca="1">_xlfn.XLOOKUP(PAA[[#This Row],[ITEM]],Contrato!A:A,Contrato!Q:Q,"",0)</f>
        <v>#NAME?</v>
      </c>
      <c r="V9" s="57" t="s">
        <v>47</v>
      </c>
      <c r="W9" s="57" t="s">
        <v>48</v>
      </c>
      <c r="X9" s="57" t="s">
        <v>48</v>
      </c>
      <c r="Y9" s="58" t="e">
        <f ca="1">_xlfn.XLOOKUP(PAA[[#This Row],[ITEM]],Contrato!A:A,Contrato!B:B,"",0)</f>
        <v>#NAME?</v>
      </c>
      <c r="Z9" s="57" t="e">
        <f ca="1">_xlfn.XLOOKUP(PAA[[#This Row],[ITEM]],Contrato!A:A,Contrato!G:G,"",0)</f>
        <v>#NAME?</v>
      </c>
      <c r="AA9" s="57" t="e">
        <f ca="1">_xlfn.XLOOKUP(PAA[[#This Row],[ITEM]],Contrato!A:A,Contrato!T:T,"",0)</f>
        <v>#NAME?</v>
      </c>
      <c r="AB9" s="58" t="e">
        <f ca="1">+MAX(PAA[[#This Row],[Comprometido Contrato]],)</f>
        <v>#NAME?</v>
      </c>
      <c r="AC9" s="58" t="str">
        <f t="shared" ca="1" si="3"/>
        <v/>
      </c>
      <c r="AD9" s="58" t="e">
        <f ca="1">+MAX(PAA[[#This Row],[Pago por Contrato]],)</f>
        <v>#NAME?</v>
      </c>
      <c r="AE9" s="58" t="str">
        <f t="shared" ca="1" si="4"/>
        <v/>
      </c>
      <c r="AF9" s="57" t="e">
        <f t="shared" ca="1" si="5"/>
        <v>#NAME?</v>
      </c>
      <c r="AG9" s="57" t="str">
        <f t="shared" si="6"/>
        <v/>
      </c>
      <c r="AH9" s="57" t="e" cm="1">
        <f t="array" aca="1" ref="AH9" ca="1">_xlfn.XLOOKUP(PAA[[#This Row],[RCP-RUBRO]],COMPROMISOS_2025[[#All],[concatenado]],COMPROMISOS_2025[[#All],[Total pagado]],"",0)</f>
        <v>#NAME?</v>
      </c>
      <c r="AI9" s="57" t="e" cm="1">
        <f t="array" aca="1" ref="AI9" ca="1">_xlfn.XLOOKUP(PAA[[#This Row],[RCP-RUBRO]],COMPROMISOS_2025[[#All],[concatenado]],COMPROMISOS_2025[[#All],[Total Comprometido]],"",0)</f>
        <v>#NAME?</v>
      </c>
    </row>
    <row r="10" spans="1:35" s="50" customFormat="1" ht="42" hidden="1" customHeight="1" x14ac:dyDescent="0.25">
      <c r="A10" s="57">
        <v>4</v>
      </c>
      <c r="B10" s="186" t="s">
        <v>41</v>
      </c>
      <c r="C10" s="57" t="str">
        <f>VLOOKUP(PAA[[#This Row],[PROYECTO (formulado)2]],PROYECTOS!$G$1:$L$32,6,0)</f>
        <v>SUBGERENCIA ADMINISTRATIVA Y FINANCIERA</v>
      </c>
      <c r="D10" s="57" t="str">
        <f>+IF(PAA[[#This Row],[UNIDAD DE CONTRATACION (formulado)]]="Subgerencia Administrativa y Financiera","FUNCIONAMIENTO","INVERSIÓN")</f>
        <v>FUNCIONAMIENTO</v>
      </c>
      <c r="E10" s="153" t="str">
        <f>VLOOKUP(Q10,PROYECTOS!$G$1:$K$32,5,0)</f>
        <v>FUNCIONAMIENTO</v>
      </c>
      <c r="F10" s="153">
        <f>VLOOKUP(E10,PROYECTOS!$K$1:$M$32,3,0)</f>
        <v>999999</v>
      </c>
      <c r="G10" s="154" t="s">
        <v>42</v>
      </c>
      <c r="H10" s="154">
        <f>VLOOKUP(Q10,PROYECTOS!$V$1:$W$32,2,0)</f>
        <v>999999</v>
      </c>
      <c r="I10" s="143">
        <v>800000000</v>
      </c>
      <c r="J10" s="155" t="s">
        <v>53</v>
      </c>
      <c r="K10" s="57" t="str">
        <f t="shared" ca="1" si="0"/>
        <v>CONTRATADO</v>
      </c>
      <c r="L10" s="155" t="s">
        <v>44</v>
      </c>
      <c r="M10" s="155" t="s">
        <v>44</v>
      </c>
      <c r="N10" s="142" t="s">
        <v>54</v>
      </c>
      <c r="O10" s="155">
        <f>VLOOKUP(N10,RUBROS[#All],3,0)</f>
        <v>7</v>
      </c>
      <c r="P10" s="156" t="str">
        <f>VLOOKUP(N10,RUBROS[#All],2,0)</f>
        <v>Viáticos de los funcionarios en comisión</v>
      </c>
      <c r="Q10" s="57" t="str">
        <f t="shared" si="1"/>
        <v>00</v>
      </c>
      <c r="R10" s="57" t="str">
        <f t="shared" si="2"/>
        <v>0-205616</v>
      </c>
      <c r="S10" s="152">
        <v>12</v>
      </c>
      <c r="T10" s="157" t="s">
        <v>46</v>
      </c>
      <c r="U10" s="162" t="e">
        <f ca="1">_xlfn.XLOOKUP(PAA[[#This Row],[ITEM]],Contrato!A:A,Contrato!Q:Q,"",0)</f>
        <v>#NAME?</v>
      </c>
      <c r="V10" s="57" t="s">
        <v>47</v>
      </c>
      <c r="W10" s="57" t="s">
        <v>48</v>
      </c>
      <c r="X10" s="57" t="s">
        <v>48</v>
      </c>
      <c r="Y10" s="58" t="e">
        <f ca="1">_xlfn.XLOOKUP(PAA[[#This Row],[ITEM]],Contrato!A:A,Contrato!B:B,"",0)</f>
        <v>#NAME?</v>
      </c>
      <c r="Z10" s="57" t="e">
        <f ca="1">_xlfn.XLOOKUP(PAA[[#This Row],[ITEM]],Contrato!A:A,Contrato!G:G,"",0)</f>
        <v>#NAME?</v>
      </c>
      <c r="AA10" s="57" t="e">
        <f ca="1">_xlfn.XLOOKUP(PAA[[#This Row],[ITEM]],Contrato!A:A,Contrato!T:T,"",0)</f>
        <v>#NAME?</v>
      </c>
      <c r="AB10" s="58" t="e">
        <f ca="1">+MAX(PAA[[#This Row],[Comprometido Contrato]],)</f>
        <v>#NAME?</v>
      </c>
      <c r="AC10" s="58" t="str">
        <f t="shared" ca="1" si="3"/>
        <v/>
      </c>
      <c r="AD10" s="58" t="e">
        <f ca="1">+MAX(PAA[[#This Row],[Pago por Contrato]],)</f>
        <v>#NAME?</v>
      </c>
      <c r="AE10" s="58" t="str">
        <f t="shared" ca="1" si="4"/>
        <v/>
      </c>
      <c r="AF10" s="57" t="e">
        <f t="shared" ca="1" si="5"/>
        <v>#NAME?</v>
      </c>
      <c r="AG10" s="57" t="str">
        <f t="shared" si="6"/>
        <v/>
      </c>
      <c r="AH10" s="57" t="e" cm="1">
        <f t="array" aca="1" ref="AH10" ca="1">_xlfn.XLOOKUP(PAA[[#This Row],[RCP-RUBRO]],COMPROMISOS_2025[[#All],[concatenado]],COMPROMISOS_2025[[#All],[Total pagado]],"",0)</f>
        <v>#NAME?</v>
      </c>
      <c r="AI10" s="57" t="e" cm="1">
        <f t="array" aca="1" ref="AI10" ca="1">_xlfn.XLOOKUP(PAA[[#This Row],[RCP-RUBRO]],COMPROMISOS_2025[[#All],[concatenado]],COMPROMISOS_2025[[#All],[Total Comprometido]],"",0)</f>
        <v>#NAME?</v>
      </c>
    </row>
    <row r="11" spans="1:35" s="50" customFormat="1" ht="42" hidden="1" customHeight="1" x14ac:dyDescent="0.25">
      <c r="A11" s="57">
        <v>5</v>
      </c>
      <c r="B11" s="186" t="s">
        <v>41</v>
      </c>
      <c r="C11" s="57" t="str">
        <f>VLOOKUP(PAA[[#This Row],[PROYECTO (formulado)2]],PROYECTOS!$G$1:$L$32,6,0)</f>
        <v>SUBGERENCIA ADMINISTRATIVA Y FINANCIERA</v>
      </c>
      <c r="D11" s="57" t="str">
        <f>+IF(PAA[[#This Row],[UNIDAD DE CONTRATACION (formulado)]]="Subgerencia Administrativa y Financiera","FUNCIONAMIENTO","INVERSIÓN")</f>
        <v>FUNCIONAMIENTO</v>
      </c>
      <c r="E11" s="153" t="str">
        <f>VLOOKUP(Q11,PROYECTOS!$G$1:$K$32,5,0)</f>
        <v>FUNCIONAMIENTO</v>
      </c>
      <c r="F11" s="153">
        <f>VLOOKUP(E11,PROYECTOS!$K$1:$M$32,3,0)</f>
        <v>999999</v>
      </c>
      <c r="G11" s="154" t="s">
        <v>42</v>
      </c>
      <c r="H11" s="154">
        <f>VLOOKUP(Q11,PROYECTOS!$V$1:$W$32,2,0)</f>
        <v>999999</v>
      </c>
      <c r="I11" s="143">
        <v>50000000</v>
      </c>
      <c r="J11" s="155" t="s">
        <v>55</v>
      </c>
      <c r="K11" s="57" t="str">
        <f t="shared" ca="1" si="0"/>
        <v>CONTRATADO</v>
      </c>
      <c r="L11" s="155" t="s">
        <v>44</v>
      </c>
      <c r="M11" s="155" t="s">
        <v>44</v>
      </c>
      <c r="N11" s="142" t="s">
        <v>56</v>
      </c>
      <c r="O11" s="155">
        <f>VLOOKUP(N11,RUBROS[#All],3,0)</f>
        <v>5</v>
      </c>
      <c r="P11" s="156" t="str">
        <f>VLOOKUP(N11,RUBROS[#All],2,0)</f>
        <v>Prima de navidad</v>
      </c>
      <c r="Q11" s="57" t="str">
        <f t="shared" si="1"/>
        <v>00</v>
      </c>
      <c r="R11" s="57" t="str">
        <f t="shared" si="2"/>
        <v>0-205616</v>
      </c>
      <c r="S11" s="152">
        <v>12</v>
      </c>
      <c r="T11" s="157" t="s">
        <v>46</v>
      </c>
      <c r="U11" s="162" t="e">
        <f ca="1">_xlfn.XLOOKUP(PAA[[#This Row],[ITEM]],Contrato!A:A,Contrato!Q:Q,"",0)</f>
        <v>#NAME?</v>
      </c>
      <c r="V11" s="57" t="s">
        <v>47</v>
      </c>
      <c r="W11" s="57" t="s">
        <v>48</v>
      </c>
      <c r="X11" s="57" t="s">
        <v>48</v>
      </c>
      <c r="Y11" s="58" t="e">
        <f ca="1">_xlfn.XLOOKUP(PAA[[#This Row],[ITEM]],Contrato!A:A,Contrato!B:B,"",0)</f>
        <v>#NAME?</v>
      </c>
      <c r="Z11" s="57" t="e">
        <f ca="1">_xlfn.XLOOKUP(PAA[[#This Row],[ITEM]],Contrato!A:A,Contrato!G:G,"",0)</f>
        <v>#NAME?</v>
      </c>
      <c r="AA11" s="57" t="e">
        <f ca="1">_xlfn.XLOOKUP(PAA[[#This Row],[ITEM]],Contrato!A:A,Contrato!T:T,"",0)</f>
        <v>#NAME?</v>
      </c>
      <c r="AB11" s="58" t="e">
        <f ca="1">+MAX(PAA[[#This Row],[Comprometido Contrato]],)</f>
        <v>#NAME?</v>
      </c>
      <c r="AC11" s="58" t="str">
        <f t="shared" ca="1" si="3"/>
        <v/>
      </c>
      <c r="AD11" s="58" t="e">
        <f ca="1">+MAX(PAA[[#This Row],[Pago por Contrato]],)</f>
        <v>#NAME?</v>
      </c>
      <c r="AE11" s="58" t="str">
        <f t="shared" ca="1" si="4"/>
        <v/>
      </c>
      <c r="AF11" s="57" t="e">
        <f t="shared" ca="1" si="5"/>
        <v>#NAME?</v>
      </c>
      <c r="AG11" s="57" t="str">
        <f t="shared" si="6"/>
        <v/>
      </c>
      <c r="AH11" s="57" t="e" cm="1">
        <f t="array" aca="1" ref="AH11" ca="1">_xlfn.XLOOKUP(PAA[[#This Row],[RCP-RUBRO]],COMPROMISOS_2025[[#All],[concatenado]],COMPROMISOS_2025[[#All],[Total pagado]],"",0)</f>
        <v>#NAME?</v>
      </c>
      <c r="AI11" s="57" t="e" cm="1">
        <f t="array" aca="1" ref="AI11" ca="1">_xlfn.XLOOKUP(PAA[[#This Row],[RCP-RUBRO]],COMPROMISOS_2025[[#All],[concatenado]],COMPROMISOS_2025[[#All],[Total Comprometido]],"",0)</f>
        <v>#NAME?</v>
      </c>
    </row>
    <row r="12" spans="1:35" s="50" customFormat="1" ht="42" hidden="1" customHeight="1" x14ac:dyDescent="0.25">
      <c r="A12" s="57">
        <v>6</v>
      </c>
      <c r="B12" s="186" t="s">
        <v>41</v>
      </c>
      <c r="C12" s="57" t="str">
        <f>VLOOKUP(PAA[[#This Row],[PROYECTO (formulado)2]],PROYECTOS!$G$1:$L$32,6,0)</f>
        <v>SUBGERENCIA ADMINISTRATIVA Y FINANCIERA</v>
      </c>
      <c r="D12" s="57" t="str">
        <f>+IF(PAA[[#This Row],[UNIDAD DE CONTRATACION (formulado)]]="Subgerencia Administrativa y Financiera","FUNCIONAMIENTO","INVERSIÓN")</f>
        <v>FUNCIONAMIENTO</v>
      </c>
      <c r="E12" s="153" t="str">
        <f>VLOOKUP(Q12,PROYECTOS!$G$1:$K$32,5,0)</f>
        <v>FUNCIONAMIENTO</v>
      </c>
      <c r="F12" s="153">
        <f>VLOOKUP(E12,PROYECTOS!$K$1:$M$32,3,0)</f>
        <v>999999</v>
      </c>
      <c r="G12" s="154" t="s">
        <v>42</v>
      </c>
      <c r="H12" s="154">
        <f>VLOOKUP(Q12,PROYECTOS!$V$1:$W$32,2,0)</f>
        <v>999999</v>
      </c>
      <c r="I12" s="143">
        <v>524084697</v>
      </c>
      <c r="J12" s="155" t="s">
        <v>57</v>
      </c>
      <c r="K12" s="57" t="str">
        <f t="shared" ca="1" si="0"/>
        <v>CONTRATADO</v>
      </c>
      <c r="L12" s="155" t="s">
        <v>44</v>
      </c>
      <c r="M12" s="155" t="s">
        <v>44</v>
      </c>
      <c r="N12" s="142" t="s">
        <v>58</v>
      </c>
      <c r="O12" s="155">
        <f>VLOOKUP(N12,RUBROS[#All],3,0)</f>
        <v>6</v>
      </c>
      <c r="P12" s="156" t="str">
        <f>VLOOKUP(N12,RUBROS[#All],2,0)</f>
        <v>Prima de vacaciones</v>
      </c>
      <c r="Q12" s="57" t="str">
        <f t="shared" si="1"/>
        <v>00</v>
      </c>
      <c r="R12" s="57" t="str">
        <f t="shared" si="2"/>
        <v>0-205616</v>
      </c>
      <c r="S12" s="152">
        <v>12</v>
      </c>
      <c r="T12" s="157" t="s">
        <v>46</v>
      </c>
      <c r="U12" s="162" t="e">
        <f ca="1">_xlfn.XLOOKUP(PAA[[#This Row],[ITEM]],Contrato!A:A,Contrato!Q:Q,"",0)</f>
        <v>#NAME?</v>
      </c>
      <c r="V12" s="57" t="s">
        <v>47</v>
      </c>
      <c r="W12" s="57" t="s">
        <v>48</v>
      </c>
      <c r="X12" s="57" t="s">
        <v>48</v>
      </c>
      <c r="Y12" s="58" t="e">
        <f ca="1">_xlfn.XLOOKUP(PAA[[#This Row],[ITEM]],Contrato!A:A,Contrato!B:B,"",0)</f>
        <v>#NAME?</v>
      </c>
      <c r="Z12" s="57" t="e">
        <f ca="1">_xlfn.XLOOKUP(PAA[[#This Row],[ITEM]],Contrato!A:A,Contrato!G:G,"",0)</f>
        <v>#NAME?</v>
      </c>
      <c r="AA12" s="57" t="e">
        <f ca="1">_xlfn.XLOOKUP(PAA[[#This Row],[ITEM]],Contrato!A:A,Contrato!T:T,"",0)</f>
        <v>#NAME?</v>
      </c>
      <c r="AB12" s="58" t="e">
        <f ca="1">+MAX(PAA[[#This Row],[Comprometido Contrato]],)</f>
        <v>#NAME?</v>
      </c>
      <c r="AC12" s="58" t="str">
        <f t="shared" ca="1" si="3"/>
        <v/>
      </c>
      <c r="AD12" s="58" t="e">
        <f ca="1">+MAX(PAA[[#This Row],[Pago por Contrato]],)</f>
        <v>#NAME?</v>
      </c>
      <c r="AE12" s="58" t="str">
        <f t="shared" ca="1" si="4"/>
        <v/>
      </c>
      <c r="AF12" s="57" t="e">
        <f t="shared" ca="1" si="5"/>
        <v>#NAME?</v>
      </c>
      <c r="AG12" s="57" t="str">
        <f t="shared" si="6"/>
        <v/>
      </c>
      <c r="AH12" s="57" t="e" cm="1">
        <f t="array" aca="1" ref="AH12" ca="1">_xlfn.XLOOKUP(PAA[[#This Row],[RCP-RUBRO]],COMPROMISOS_2025[[#All],[concatenado]],COMPROMISOS_2025[[#All],[Total pagado]],"",0)</f>
        <v>#NAME?</v>
      </c>
      <c r="AI12" s="57" t="e" cm="1">
        <f t="array" aca="1" ref="AI12" ca="1">_xlfn.XLOOKUP(PAA[[#This Row],[RCP-RUBRO]],COMPROMISOS_2025[[#All],[concatenado]],COMPROMISOS_2025[[#All],[Total Comprometido]],"",0)</f>
        <v>#NAME?</v>
      </c>
    </row>
    <row r="13" spans="1:35" s="50" customFormat="1" ht="42" hidden="1" customHeight="1" x14ac:dyDescent="0.25">
      <c r="A13" s="57">
        <v>7</v>
      </c>
      <c r="B13" s="186" t="s">
        <v>41</v>
      </c>
      <c r="C13" s="57" t="str">
        <f>VLOOKUP(PAA[[#This Row],[PROYECTO (formulado)2]],PROYECTOS!$G$1:$L$32,6,0)</f>
        <v>SUBGERENCIA ADMINISTRATIVA Y FINANCIERA</v>
      </c>
      <c r="D13" s="57" t="str">
        <f>+IF(PAA[[#This Row],[UNIDAD DE CONTRATACION (formulado)]]="Subgerencia Administrativa y Financiera","FUNCIONAMIENTO","INVERSIÓN")</f>
        <v>FUNCIONAMIENTO</v>
      </c>
      <c r="E13" s="153" t="str">
        <f>VLOOKUP(Q13,PROYECTOS!$G$1:$K$32,5,0)</f>
        <v>FUNCIONAMIENTO</v>
      </c>
      <c r="F13" s="153">
        <f>VLOOKUP(E13,PROYECTOS!$K$1:$M$32,3,0)</f>
        <v>999999</v>
      </c>
      <c r="G13" s="154" t="s">
        <v>42</v>
      </c>
      <c r="H13" s="154">
        <f>VLOOKUP(Q13,PROYECTOS!$V$1:$W$32,2,0)</f>
        <v>999999</v>
      </c>
      <c r="I13" s="143">
        <v>345968349</v>
      </c>
      <c r="J13" s="155" t="s">
        <v>59</v>
      </c>
      <c r="K13" s="57" t="str">
        <f t="shared" ca="1" si="0"/>
        <v>CONTRATADO</v>
      </c>
      <c r="L13" s="155" t="s">
        <v>44</v>
      </c>
      <c r="M13" s="155" t="s">
        <v>44</v>
      </c>
      <c r="N13" s="142" t="s">
        <v>60</v>
      </c>
      <c r="O13" s="155">
        <f>VLOOKUP(N13,RUBROS[#All],3,0)</f>
        <v>4</v>
      </c>
      <c r="P13" s="156" t="str">
        <f>VLOOKUP(N13,RUBROS[#All],2,0)</f>
        <v>Bonificación por servicios prestados</v>
      </c>
      <c r="Q13" s="57" t="str">
        <f t="shared" si="1"/>
        <v>00</v>
      </c>
      <c r="R13" s="57" t="str">
        <f t="shared" si="2"/>
        <v>0-205616</v>
      </c>
      <c r="S13" s="152">
        <v>12</v>
      </c>
      <c r="T13" s="157" t="s">
        <v>46</v>
      </c>
      <c r="U13" s="162" t="e">
        <f ca="1">_xlfn.XLOOKUP(PAA[[#This Row],[ITEM]],Contrato!A:A,Contrato!Q:Q,"",0)</f>
        <v>#NAME?</v>
      </c>
      <c r="V13" s="57" t="s">
        <v>47</v>
      </c>
      <c r="W13" s="57" t="s">
        <v>48</v>
      </c>
      <c r="X13" s="57" t="s">
        <v>48</v>
      </c>
      <c r="Y13" s="58" t="e">
        <f ca="1">_xlfn.XLOOKUP(PAA[[#This Row],[ITEM]],Contrato!A:A,Contrato!B:B,"",0)</f>
        <v>#NAME?</v>
      </c>
      <c r="Z13" s="57" t="e">
        <f ca="1">_xlfn.XLOOKUP(PAA[[#This Row],[ITEM]],Contrato!A:A,Contrato!G:G,"",0)</f>
        <v>#NAME?</v>
      </c>
      <c r="AA13" s="57" t="e">
        <f ca="1">_xlfn.XLOOKUP(PAA[[#This Row],[ITEM]],Contrato!A:A,Contrato!T:T,"",0)</f>
        <v>#NAME?</v>
      </c>
      <c r="AB13" s="58" t="e">
        <f ca="1">+MAX(PAA[[#This Row],[Comprometido Contrato]],)</f>
        <v>#NAME?</v>
      </c>
      <c r="AC13" s="58" t="str">
        <f t="shared" ca="1" si="3"/>
        <v/>
      </c>
      <c r="AD13" s="58" t="e">
        <f ca="1">+MAX(PAA[[#This Row],[Pago por Contrato]],)</f>
        <v>#NAME?</v>
      </c>
      <c r="AE13" s="58" t="str">
        <f t="shared" ca="1" si="4"/>
        <v/>
      </c>
      <c r="AF13" s="57" t="e">
        <f t="shared" ca="1" si="5"/>
        <v>#NAME?</v>
      </c>
      <c r="AG13" s="57" t="str">
        <f t="shared" si="6"/>
        <v/>
      </c>
      <c r="AH13" s="57" t="e" cm="1">
        <f t="array" aca="1" ref="AH13" ca="1">_xlfn.XLOOKUP(PAA[[#This Row],[RCP-RUBRO]],COMPROMISOS_2025[[#All],[concatenado]],COMPROMISOS_2025[[#All],[Total pagado]],"",0)</f>
        <v>#NAME?</v>
      </c>
      <c r="AI13" s="57" t="e" cm="1">
        <f t="array" aca="1" ref="AI13" ca="1">_xlfn.XLOOKUP(PAA[[#This Row],[RCP-RUBRO]],COMPROMISOS_2025[[#All],[concatenado]],COMPROMISOS_2025[[#All],[Total Comprometido]],"",0)</f>
        <v>#NAME?</v>
      </c>
    </row>
    <row r="14" spans="1:35" s="50" customFormat="1" ht="42" hidden="1" customHeight="1" x14ac:dyDescent="0.25">
      <c r="A14" s="57">
        <v>8</v>
      </c>
      <c r="B14" s="186" t="s">
        <v>41</v>
      </c>
      <c r="C14" s="57" t="str">
        <f>VLOOKUP(PAA[[#This Row],[PROYECTO (formulado)2]],PROYECTOS!$G$1:$L$32,6,0)</f>
        <v>SUBGERENCIA ADMINISTRATIVA Y FINANCIERA</v>
      </c>
      <c r="D14" s="57" t="str">
        <f>+IF(PAA[[#This Row],[UNIDAD DE CONTRATACION (formulado)]]="Subgerencia Administrativa y Financiera","FUNCIONAMIENTO","INVERSIÓN")</f>
        <v>FUNCIONAMIENTO</v>
      </c>
      <c r="E14" s="153" t="str">
        <f>VLOOKUP(Q14,PROYECTOS!$G$1:$K$32,5,0)</f>
        <v>FUNCIONAMIENTO</v>
      </c>
      <c r="F14" s="153">
        <f>VLOOKUP(E14,PROYECTOS!$K$1:$M$32,3,0)</f>
        <v>999999</v>
      </c>
      <c r="G14" s="154" t="s">
        <v>42</v>
      </c>
      <c r="H14" s="154">
        <f>VLOOKUP(Q14,PROYECTOS!$V$1:$W$32,2,0)</f>
        <v>999999</v>
      </c>
      <c r="I14" s="143">
        <v>1548787700</v>
      </c>
      <c r="J14" s="155" t="s">
        <v>61</v>
      </c>
      <c r="K14" s="57" t="str">
        <f t="shared" ca="1" si="0"/>
        <v>CONTRATADO</v>
      </c>
      <c r="L14" s="155" t="s">
        <v>44</v>
      </c>
      <c r="M14" s="155" t="s">
        <v>44</v>
      </c>
      <c r="N14" s="142" t="s">
        <v>62</v>
      </c>
      <c r="O14" s="155">
        <f>VLOOKUP(N14,RUBROS[#All],3,0)</f>
        <v>8</v>
      </c>
      <c r="P14" s="156" t="str">
        <f>VLOOKUP(N14,RUBROS[#All],2,0)</f>
        <v>Aportes a la seguridad social en pensiones</v>
      </c>
      <c r="Q14" s="57" t="str">
        <f t="shared" si="1"/>
        <v>00</v>
      </c>
      <c r="R14" s="57" t="str">
        <f t="shared" si="2"/>
        <v>0-205616</v>
      </c>
      <c r="S14" s="152">
        <v>12</v>
      </c>
      <c r="T14" s="157" t="s">
        <v>46</v>
      </c>
      <c r="U14" s="162" t="e">
        <f ca="1">_xlfn.XLOOKUP(PAA[[#This Row],[ITEM]],Contrato!A:A,Contrato!Q:Q,"",0)</f>
        <v>#NAME?</v>
      </c>
      <c r="V14" s="57" t="s">
        <v>47</v>
      </c>
      <c r="W14" s="57" t="s">
        <v>48</v>
      </c>
      <c r="X14" s="57" t="s">
        <v>48</v>
      </c>
      <c r="Y14" s="58" t="e">
        <f ca="1">_xlfn.XLOOKUP(PAA[[#This Row],[ITEM]],Contrato!A:A,Contrato!B:B,"",0)</f>
        <v>#NAME?</v>
      </c>
      <c r="Z14" s="57" t="e">
        <f ca="1">_xlfn.XLOOKUP(PAA[[#This Row],[ITEM]],Contrato!A:A,Contrato!G:G,"",0)</f>
        <v>#NAME?</v>
      </c>
      <c r="AA14" s="57" t="e">
        <f ca="1">_xlfn.XLOOKUP(PAA[[#This Row],[ITEM]],Contrato!A:A,Contrato!T:T,"",0)</f>
        <v>#NAME?</v>
      </c>
      <c r="AB14" s="58" t="e">
        <f ca="1">+MAX(PAA[[#This Row],[Comprometido Contrato]],)</f>
        <v>#NAME?</v>
      </c>
      <c r="AC14" s="58" t="str">
        <f t="shared" ca="1" si="3"/>
        <v/>
      </c>
      <c r="AD14" s="58" t="e">
        <f ca="1">+MAX(PAA[[#This Row],[Pago por Contrato]],)</f>
        <v>#NAME?</v>
      </c>
      <c r="AE14" s="58" t="str">
        <f t="shared" ca="1" si="4"/>
        <v/>
      </c>
      <c r="AF14" s="57" t="e">
        <f t="shared" ca="1" si="5"/>
        <v>#NAME?</v>
      </c>
      <c r="AG14" s="57" t="str">
        <f t="shared" si="6"/>
        <v/>
      </c>
      <c r="AH14" s="57" t="e" cm="1">
        <f t="array" aca="1" ref="AH14" ca="1">_xlfn.XLOOKUP(PAA[[#This Row],[RCP-RUBRO]],COMPROMISOS_2025[[#All],[concatenado]],COMPROMISOS_2025[[#All],[Total pagado]],"",0)</f>
        <v>#NAME?</v>
      </c>
      <c r="AI14" s="57" t="e" cm="1">
        <f t="array" aca="1" ref="AI14" ca="1">_xlfn.XLOOKUP(PAA[[#This Row],[RCP-RUBRO]],COMPROMISOS_2025[[#All],[concatenado]],COMPROMISOS_2025[[#All],[Total Comprometido]],"",0)</f>
        <v>#NAME?</v>
      </c>
    </row>
    <row r="15" spans="1:35" s="50" customFormat="1" ht="42" hidden="1" customHeight="1" x14ac:dyDescent="0.25">
      <c r="A15" s="57">
        <v>9</v>
      </c>
      <c r="B15" s="186" t="s">
        <v>41</v>
      </c>
      <c r="C15" s="57" t="str">
        <f>VLOOKUP(PAA[[#This Row],[PROYECTO (formulado)2]],PROYECTOS!$G$1:$L$32,6,0)</f>
        <v>SUBGERENCIA ADMINISTRATIVA Y FINANCIERA</v>
      </c>
      <c r="D15" s="57" t="str">
        <f>+IF(PAA[[#This Row],[UNIDAD DE CONTRATACION (formulado)]]="Subgerencia Administrativa y Financiera","FUNCIONAMIENTO","INVERSIÓN")</f>
        <v>FUNCIONAMIENTO</v>
      </c>
      <c r="E15" s="153" t="str">
        <f>VLOOKUP(Q15,PROYECTOS!$G$1:$K$32,5,0)</f>
        <v>FUNCIONAMIENTO</v>
      </c>
      <c r="F15" s="153">
        <f>VLOOKUP(E15,PROYECTOS!$K$1:$M$32,3,0)</f>
        <v>999999</v>
      </c>
      <c r="G15" s="154" t="s">
        <v>42</v>
      </c>
      <c r="H15" s="154">
        <f>VLOOKUP(Q15,PROYECTOS!$V$1:$W$32,2,0)</f>
        <v>999999</v>
      </c>
      <c r="I15" s="143">
        <v>1097061700</v>
      </c>
      <c r="J15" s="155" t="s">
        <v>63</v>
      </c>
      <c r="K15" s="57" t="str">
        <f t="shared" ca="1" si="0"/>
        <v>CONTRATADO</v>
      </c>
      <c r="L15" s="155" t="s">
        <v>44</v>
      </c>
      <c r="M15" s="155" t="s">
        <v>44</v>
      </c>
      <c r="N15" s="142" t="s">
        <v>64</v>
      </c>
      <c r="O15" s="155">
        <f>VLOOKUP(N15,RUBROS[#All],3,0)</f>
        <v>9</v>
      </c>
      <c r="P15" s="156" t="str">
        <f>VLOOKUP(N15,RUBROS[#All],2,0)</f>
        <v>Aportes a la seguridad social en salud</v>
      </c>
      <c r="Q15" s="57" t="str">
        <f t="shared" si="1"/>
        <v>00</v>
      </c>
      <c r="R15" s="57" t="str">
        <f t="shared" si="2"/>
        <v>0-205616</v>
      </c>
      <c r="S15" s="152">
        <v>12</v>
      </c>
      <c r="T15" s="157" t="s">
        <v>46</v>
      </c>
      <c r="U15" s="162" t="e">
        <f ca="1">_xlfn.XLOOKUP(PAA[[#This Row],[ITEM]],Contrato!A:A,Contrato!Q:Q,"",0)</f>
        <v>#NAME?</v>
      </c>
      <c r="V15" s="57" t="s">
        <v>47</v>
      </c>
      <c r="W15" s="57" t="s">
        <v>48</v>
      </c>
      <c r="X15" s="57" t="s">
        <v>48</v>
      </c>
      <c r="Y15" s="58" t="e">
        <f ca="1">_xlfn.XLOOKUP(PAA[[#This Row],[ITEM]],Contrato!A:A,Contrato!B:B,"",0)</f>
        <v>#NAME?</v>
      </c>
      <c r="Z15" s="57" t="e">
        <f ca="1">_xlfn.XLOOKUP(PAA[[#This Row],[ITEM]],Contrato!A:A,Contrato!G:G,"",0)</f>
        <v>#NAME?</v>
      </c>
      <c r="AA15" s="57" t="e">
        <f ca="1">_xlfn.XLOOKUP(PAA[[#This Row],[ITEM]],Contrato!A:A,Contrato!T:T,"",0)</f>
        <v>#NAME?</v>
      </c>
      <c r="AB15" s="58" t="e">
        <f ca="1">+MAX(PAA[[#This Row],[Comprometido Contrato]],)</f>
        <v>#NAME?</v>
      </c>
      <c r="AC15" s="58" t="str">
        <f t="shared" ca="1" si="3"/>
        <v/>
      </c>
      <c r="AD15" s="58" t="e">
        <f ca="1">+MAX(PAA[[#This Row],[Pago por Contrato]],)</f>
        <v>#NAME?</v>
      </c>
      <c r="AE15" s="58" t="str">
        <f t="shared" ca="1" si="4"/>
        <v/>
      </c>
      <c r="AF15" s="57" t="e">
        <f t="shared" ca="1" si="5"/>
        <v>#NAME?</v>
      </c>
      <c r="AG15" s="57" t="str">
        <f t="shared" si="6"/>
        <v/>
      </c>
      <c r="AH15" s="57" t="e" cm="1">
        <f t="array" aca="1" ref="AH15" ca="1">_xlfn.XLOOKUP(PAA[[#This Row],[RCP-RUBRO]],COMPROMISOS_2025[[#All],[concatenado]],COMPROMISOS_2025[[#All],[Total pagado]],"",0)</f>
        <v>#NAME?</v>
      </c>
      <c r="AI15" s="57" t="e" cm="1">
        <f t="array" aca="1" ref="AI15" ca="1">_xlfn.XLOOKUP(PAA[[#This Row],[RCP-RUBRO]],COMPROMISOS_2025[[#All],[concatenado]],COMPROMISOS_2025[[#All],[Total Comprometido]],"",0)</f>
        <v>#NAME?</v>
      </c>
    </row>
    <row r="16" spans="1:35" s="50" customFormat="1" ht="42" hidden="1" customHeight="1" x14ac:dyDescent="0.25">
      <c r="A16" s="436">
        <v>10</v>
      </c>
      <c r="B16" s="418" t="s">
        <v>41</v>
      </c>
      <c r="C16" s="436" t="str">
        <f>VLOOKUP(PAA[[#This Row],[PROYECTO (formulado)2]],PROYECTOS!$G$1:$L$32,6,0)</f>
        <v>SUBGERENCIA ADMINISTRATIVA Y FINANCIERA</v>
      </c>
      <c r="D16" s="436" t="str">
        <f>+IF(PAA[[#This Row],[UNIDAD DE CONTRATACION (formulado)]]="Subgerencia Administrativa y Financiera","FUNCIONAMIENTO","INVERSIÓN")</f>
        <v>FUNCIONAMIENTO</v>
      </c>
      <c r="E16" s="446" t="str">
        <f>VLOOKUP(Q16,PROYECTOS!$G$1:$K$32,5,0)</f>
        <v>FUNCIONAMIENTO</v>
      </c>
      <c r="F16" s="446">
        <f>VLOOKUP(E16,PROYECTOS!$K$1:$M$32,3,0)</f>
        <v>999999</v>
      </c>
      <c r="G16" s="439" t="s">
        <v>42</v>
      </c>
      <c r="H16" s="439">
        <f>VLOOKUP(Q16,PROYECTOS!$V$1:$W$32,2,0)</f>
        <v>999999</v>
      </c>
      <c r="I16" s="440">
        <v>100000000</v>
      </c>
      <c r="J16" s="442" t="s">
        <v>65</v>
      </c>
      <c r="K16" s="436" t="str">
        <f t="shared" ca="1" si="0"/>
        <v>CONTRATADO</v>
      </c>
      <c r="L16" s="442" t="s">
        <v>44</v>
      </c>
      <c r="M16" s="442" t="s">
        <v>44</v>
      </c>
      <c r="N16" s="447" t="s">
        <v>66</v>
      </c>
      <c r="O16" s="442">
        <f>VLOOKUP(N16,RUBROS[#All],3,0)</f>
        <v>10</v>
      </c>
      <c r="P16" s="448" t="str">
        <f>VLOOKUP(N16,RUBROS[#All],2,0)</f>
        <v>Aportes de cesantías</v>
      </c>
      <c r="Q16" s="436" t="str">
        <f t="shared" si="1"/>
        <v>00</v>
      </c>
      <c r="R16" s="436" t="str">
        <f t="shared" si="2"/>
        <v>0-205616</v>
      </c>
      <c r="S16" s="417">
        <v>12</v>
      </c>
      <c r="T16" s="449" t="s">
        <v>46</v>
      </c>
      <c r="U16" s="444" t="e">
        <f ca="1">_xlfn.XLOOKUP(PAA[[#This Row],[ITEM]],Contrato!A:A,Contrato!Q:Q,"",0)</f>
        <v>#NAME?</v>
      </c>
      <c r="V16" s="436" t="s">
        <v>47</v>
      </c>
      <c r="W16" s="436" t="s">
        <v>48</v>
      </c>
      <c r="X16" s="436" t="s">
        <v>48</v>
      </c>
      <c r="Y16" s="445" t="e">
        <f ca="1">_xlfn.XLOOKUP(PAA[[#This Row],[ITEM]],Contrato!A:A,Contrato!B:B,"",0)</f>
        <v>#NAME?</v>
      </c>
      <c r="Z16" s="436" t="e">
        <f ca="1">_xlfn.XLOOKUP(PAA[[#This Row],[ITEM]],Contrato!A:A,Contrato!G:G,"",0)</f>
        <v>#NAME?</v>
      </c>
      <c r="AA16" s="436" t="e">
        <f ca="1">_xlfn.XLOOKUP(PAA[[#This Row],[ITEM]],Contrato!A:A,Contrato!T:T,"",0)</f>
        <v>#NAME?</v>
      </c>
      <c r="AB16" s="445" t="e">
        <f ca="1">+MAX(PAA[[#This Row],[Comprometido Contrato]],)</f>
        <v>#NAME?</v>
      </c>
      <c r="AC16" s="445" t="str">
        <f t="shared" ca="1" si="3"/>
        <v/>
      </c>
      <c r="AD16" s="445" t="e">
        <f ca="1">+MAX(PAA[[#This Row],[Pago por Contrato]],)</f>
        <v>#NAME?</v>
      </c>
      <c r="AE16" s="445" t="str">
        <f t="shared" ca="1" si="4"/>
        <v/>
      </c>
      <c r="AF16" s="436" t="e">
        <f t="shared" ca="1" si="5"/>
        <v>#NAME?</v>
      </c>
      <c r="AG16" s="436" t="str">
        <f t="shared" si="6"/>
        <v/>
      </c>
      <c r="AH16" s="436" t="e" cm="1">
        <f t="array" aca="1" ref="AH16" ca="1">_xlfn.XLOOKUP(PAA[[#This Row],[RCP-RUBRO]],COMPROMISOS_2025[[#All],[concatenado]],COMPROMISOS_2025[[#All],[Total pagado]],"",0)</f>
        <v>#NAME?</v>
      </c>
      <c r="AI16" s="436" t="e" cm="1">
        <f t="array" aca="1" ref="AI16" ca="1">_xlfn.XLOOKUP(PAA[[#This Row],[RCP-RUBRO]],COMPROMISOS_2025[[#All],[concatenado]],COMPROMISOS_2025[[#All],[Total Comprometido]],"",0)</f>
        <v>#NAME?</v>
      </c>
    </row>
    <row r="17" spans="1:35" s="50" customFormat="1" ht="42" hidden="1" customHeight="1" x14ac:dyDescent="0.25">
      <c r="A17" s="57">
        <v>11</v>
      </c>
      <c r="B17" s="186" t="s">
        <v>41</v>
      </c>
      <c r="C17" s="57" t="str">
        <f>VLOOKUP(PAA[[#This Row],[PROYECTO (formulado)2]],PROYECTOS!$G$1:$L$32,6,0)</f>
        <v>SUBGERENCIA ADMINISTRATIVA Y FINANCIERA</v>
      </c>
      <c r="D17" s="57" t="str">
        <f>+IF(PAA[[#This Row],[UNIDAD DE CONTRATACION (formulado)]]="Subgerencia Administrativa y Financiera","FUNCIONAMIENTO","INVERSIÓN")</f>
        <v>FUNCIONAMIENTO</v>
      </c>
      <c r="E17" s="153" t="str">
        <f>VLOOKUP(Q17,PROYECTOS!$G$1:$K$32,5,0)</f>
        <v>FUNCIONAMIENTO</v>
      </c>
      <c r="F17" s="153">
        <f>VLOOKUP(E17,PROYECTOS!$K$1:$M$32,3,0)</f>
        <v>999999</v>
      </c>
      <c r="G17" s="154" t="s">
        <v>42</v>
      </c>
      <c r="H17" s="154">
        <f>VLOOKUP(Q17,PROYECTOS!$V$1:$W$32,2,0)</f>
        <v>999999</v>
      </c>
      <c r="I17" s="143">
        <v>604287400</v>
      </c>
      <c r="J17" s="155" t="s">
        <v>67</v>
      </c>
      <c r="K17" s="57" t="str">
        <f t="shared" ca="1" si="0"/>
        <v>CONTRATADO</v>
      </c>
      <c r="L17" s="155" t="s">
        <v>44</v>
      </c>
      <c r="M17" s="155" t="s">
        <v>44</v>
      </c>
      <c r="N17" s="142" t="s">
        <v>68</v>
      </c>
      <c r="O17" s="155">
        <f>VLOOKUP(N17,RUBROS[#All],3,0)</f>
        <v>11</v>
      </c>
      <c r="P17" s="156" t="str">
        <f>VLOOKUP(N17,RUBROS[#All],2,0)</f>
        <v>Aportes a cajas de compensación familiar</v>
      </c>
      <c r="Q17" s="57" t="str">
        <f t="shared" si="1"/>
        <v>00</v>
      </c>
      <c r="R17" s="57" t="str">
        <f t="shared" si="2"/>
        <v>0-205616</v>
      </c>
      <c r="S17" s="152">
        <v>12</v>
      </c>
      <c r="T17" s="157" t="s">
        <v>46</v>
      </c>
      <c r="U17" s="162" t="e">
        <f ca="1">_xlfn.XLOOKUP(PAA[[#This Row],[ITEM]],Contrato!A:A,Contrato!Q:Q,"",0)</f>
        <v>#NAME?</v>
      </c>
      <c r="V17" s="57" t="s">
        <v>47</v>
      </c>
      <c r="W17" s="57" t="s">
        <v>48</v>
      </c>
      <c r="X17" s="57" t="s">
        <v>48</v>
      </c>
      <c r="Y17" s="58" t="e">
        <f ca="1">_xlfn.XLOOKUP(PAA[[#This Row],[ITEM]],Contrato!A:A,Contrato!B:B,"",0)</f>
        <v>#NAME?</v>
      </c>
      <c r="Z17" s="57" t="e">
        <f ca="1">_xlfn.XLOOKUP(PAA[[#This Row],[ITEM]],Contrato!A:A,Contrato!G:G,"",0)</f>
        <v>#NAME?</v>
      </c>
      <c r="AA17" s="57" t="e">
        <f ca="1">_xlfn.XLOOKUP(PAA[[#This Row],[ITEM]],Contrato!A:A,Contrato!T:T,"",0)</f>
        <v>#NAME?</v>
      </c>
      <c r="AB17" s="58" t="e">
        <f ca="1">+MAX(PAA[[#This Row],[Comprometido Contrato]],)</f>
        <v>#NAME?</v>
      </c>
      <c r="AC17" s="58" t="str">
        <f t="shared" ca="1" si="3"/>
        <v/>
      </c>
      <c r="AD17" s="58" t="e">
        <f ca="1">+MAX(PAA[[#This Row],[Pago por Contrato]],)</f>
        <v>#NAME?</v>
      </c>
      <c r="AE17" s="58" t="str">
        <f t="shared" ca="1" si="4"/>
        <v/>
      </c>
      <c r="AF17" s="57" t="e">
        <f t="shared" ca="1" si="5"/>
        <v>#NAME?</v>
      </c>
      <c r="AG17" s="57" t="str">
        <f t="shared" si="6"/>
        <v/>
      </c>
      <c r="AH17" s="57" t="e" cm="1">
        <f t="array" aca="1" ref="AH17" ca="1">_xlfn.XLOOKUP(PAA[[#This Row],[RCP-RUBRO]],COMPROMISOS_2025[[#All],[concatenado]],COMPROMISOS_2025[[#All],[Total pagado]],"",0)</f>
        <v>#NAME?</v>
      </c>
      <c r="AI17" s="57" t="e" cm="1">
        <f t="array" aca="1" ref="AI17" ca="1">_xlfn.XLOOKUP(PAA[[#This Row],[RCP-RUBRO]],COMPROMISOS_2025[[#All],[concatenado]],COMPROMISOS_2025[[#All],[Total Comprometido]],"",0)</f>
        <v>#NAME?</v>
      </c>
    </row>
    <row r="18" spans="1:35" s="50" customFormat="1" ht="42" hidden="1" customHeight="1" x14ac:dyDescent="0.25">
      <c r="A18" s="57">
        <v>12</v>
      </c>
      <c r="B18" s="186" t="s">
        <v>41</v>
      </c>
      <c r="C18" s="57" t="str">
        <f>VLOOKUP(PAA[[#This Row],[PROYECTO (formulado)2]],PROYECTOS!$G$1:$L$32,6,0)</f>
        <v>SUBGERENCIA ADMINISTRATIVA Y FINANCIERA</v>
      </c>
      <c r="D18" s="57" t="str">
        <f>+IF(PAA[[#This Row],[UNIDAD DE CONTRATACION (formulado)]]="Subgerencia Administrativa y Financiera","FUNCIONAMIENTO","INVERSIÓN")</f>
        <v>FUNCIONAMIENTO</v>
      </c>
      <c r="E18" s="153" t="str">
        <f>VLOOKUP(Q18,PROYECTOS!$G$1:$K$32,5,0)</f>
        <v>FUNCIONAMIENTO</v>
      </c>
      <c r="F18" s="153">
        <f>VLOOKUP(E18,PROYECTOS!$K$1:$M$32,3,0)</f>
        <v>999999</v>
      </c>
      <c r="G18" s="154" t="s">
        <v>42</v>
      </c>
      <c r="H18" s="154">
        <f>VLOOKUP(Q18,PROYECTOS!$V$1:$W$32,2,0)</f>
        <v>999999</v>
      </c>
      <c r="I18" s="143">
        <v>141636700</v>
      </c>
      <c r="J18" s="155" t="s">
        <v>69</v>
      </c>
      <c r="K18" s="57" t="str">
        <f t="shared" ca="1" si="0"/>
        <v>CONTRATADO</v>
      </c>
      <c r="L18" s="155" t="s">
        <v>44</v>
      </c>
      <c r="M18" s="155" t="s">
        <v>44</v>
      </c>
      <c r="N18" s="142" t="s">
        <v>70</v>
      </c>
      <c r="O18" s="155">
        <f>VLOOKUP(N18,RUBROS[#All],3,0)</f>
        <v>12</v>
      </c>
      <c r="P18" s="156" t="str">
        <f>VLOOKUP(N18,RUBROS[#All],2,0)</f>
        <v>Aportes generales al sistema de riesgos laborales</v>
      </c>
      <c r="Q18" s="57" t="str">
        <f t="shared" si="1"/>
        <v>00</v>
      </c>
      <c r="R18" s="57" t="str">
        <f t="shared" si="2"/>
        <v>0-205616</v>
      </c>
      <c r="S18" s="152">
        <v>12</v>
      </c>
      <c r="T18" s="157" t="s">
        <v>46</v>
      </c>
      <c r="U18" s="162" t="e">
        <f ca="1">_xlfn.XLOOKUP(PAA[[#This Row],[ITEM]],Contrato!A:A,Contrato!Q:Q,"",0)</f>
        <v>#NAME?</v>
      </c>
      <c r="V18" s="57" t="s">
        <v>47</v>
      </c>
      <c r="W18" s="57" t="s">
        <v>48</v>
      </c>
      <c r="X18" s="57" t="s">
        <v>48</v>
      </c>
      <c r="Y18" s="58" t="e">
        <f ca="1">_xlfn.XLOOKUP(PAA[[#This Row],[ITEM]],Contrato!A:A,Contrato!B:B,"",0)</f>
        <v>#NAME?</v>
      </c>
      <c r="Z18" s="57" t="e">
        <f ca="1">_xlfn.XLOOKUP(PAA[[#This Row],[ITEM]],Contrato!A:A,Contrato!G:G,"",0)</f>
        <v>#NAME?</v>
      </c>
      <c r="AA18" s="57" t="e">
        <f ca="1">_xlfn.XLOOKUP(PAA[[#This Row],[ITEM]],Contrato!A:A,Contrato!T:T,"",0)</f>
        <v>#NAME?</v>
      </c>
      <c r="AB18" s="58" t="e">
        <f ca="1">+MAX(PAA[[#This Row],[Comprometido Contrato]],)</f>
        <v>#NAME?</v>
      </c>
      <c r="AC18" s="58" t="str">
        <f t="shared" ca="1" si="3"/>
        <v/>
      </c>
      <c r="AD18" s="58" t="e">
        <f ca="1">+MAX(PAA[[#This Row],[Pago por Contrato]],)</f>
        <v>#NAME?</v>
      </c>
      <c r="AE18" s="58" t="str">
        <f t="shared" ca="1" si="4"/>
        <v/>
      </c>
      <c r="AF18" s="57" t="e">
        <f t="shared" ca="1" si="5"/>
        <v>#NAME?</v>
      </c>
      <c r="AG18" s="57" t="str">
        <f t="shared" si="6"/>
        <v/>
      </c>
      <c r="AH18" s="57" t="e" cm="1">
        <f t="array" aca="1" ref="AH18" ca="1">_xlfn.XLOOKUP(PAA[[#This Row],[RCP-RUBRO]],COMPROMISOS_2025[[#All],[concatenado]],COMPROMISOS_2025[[#All],[Total pagado]],"",0)</f>
        <v>#NAME?</v>
      </c>
      <c r="AI18" s="57" t="e" cm="1">
        <f t="array" aca="1" ref="AI18" ca="1">_xlfn.XLOOKUP(PAA[[#This Row],[RCP-RUBRO]],COMPROMISOS_2025[[#All],[concatenado]],COMPROMISOS_2025[[#All],[Total Comprometido]],"",0)</f>
        <v>#NAME?</v>
      </c>
    </row>
    <row r="19" spans="1:35" s="50" customFormat="1" ht="42" hidden="1" customHeight="1" x14ac:dyDescent="0.25">
      <c r="A19" s="57">
        <v>13</v>
      </c>
      <c r="B19" s="186" t="s">
        <v>41</v>
      </c>
      <c r="C19" s="57" t="str">
        <f>VLOOKUP(PAA[[#This Row],[PROYECTO (formulado)2]],PROYECTOS!$G$1:$L$32,6,0)</f>
        <v>SUBGERENCIA ADMINISTRATIVA Y FINANCIERA</v>
      </c>
      <c r="D19" s="57" t="str">
        <f>+IF(PAA[[#This Row],[UNIDAD DE CONTRATACION (formulado)]]="Subgerencia Administrativa y Financiera","FUNCIONAMIENTO","INVERSIÓN")</f>
        <v>FUNCIONAMIENTO</v>
      </c>
      <c r="E19" s="153" t="str">
        <f>VLOOKUP(Q19,PROYECTOS!$G$1:$K$32,5,0)</f>
        <v>FUNCIONAMIENTO</v>
      </c>
      <c r="F19" s="153">
        <f>VLOOKUP(E19,PROYECTOS!$K$1:$M$32,3,0)</f>
        <v>999999</v>
      </c>
      <c r="G19" s="154" t="s">
        <v>42</v>
      </c>
      <c r="H19" s="154">
        <f>VLOOKUP(Q19,PROYECTOS!$V$1:$W$32,2,0)</f>
        <v>999999</v>
      </c>
      <c r="I19" s="143">
        <v>453216700</v>
      </c>
      <c r="J19" s="155" t="s">
        <v>71</v>
      </c>
      <c r="K19" s="57" t="str">
        <f t="shared" ca="1" si="0"/>
        <v>CONTRATADO</v>
      </c>
      <c r="L19" s="155" t="s">
        <v>44</v>
      </c>
      <c r="M19" s="155" t="s">
        <v>44</v>
      </c>
      <c r="N19" s="142" t="s">
        <v>72</v>
      </c>
      <c r="O19" s="155">
        <f>VLOOKUP(N19,RUBROS[#All],3,0)</f>
        <v>13</v>
      </c>
      <c r="P19" s="156" t="str">
        <f>VLOOKUP(N19,RUBROS[#All],2,0)</f>
        <v>Aportes al ICBF</v>
      </c>
      <c r="Q19" s="57" t="str">
        <f t="shared" si="1"/>
        <v>00</v>
      </c>
      <c r="R19" s="57" t="str">
        <f t="shared" si="2"/>
        <v>0-205616</v>
      </c>
      <c r="S19" s="152">
        <v>12</v>
      </c>
      <c r="T19" s="157" t="s">
        <v>46</v>
      </c>
      <c r="U19" s="162" t="e">
        <f ca="1">_xlfn.XLOOKUP(PAA[[#This Row],[ITEM]],Contrato!A:A,Contrato!Q:Q,"",0)</f>
        <v>#NAME?</v>
      </c>
      <c r="V19" s="57" t="s">
        <v>47</v>
      </c>
      <c r="W19" s="57" t="s">
        <v>48</v>
      </c>
      <c r="X19" s="57" t="s">
        <v>48</v>
      </c>
      <c r="Y19" s="58" t="e">
        <f ca="1">_xlfn.XLOOKUP(PAA[[#This Row],[ITEM]],Contrato!A:A,Contrato!B:B,"",0)</f>
        <v>#NAME?</v>
      </c>
      <c r="Z19" s="57" t="e">
        <f ca="1">_xlfn.XLOOKUP(PAA[[#This Row],[ITEM]],Contrato!A:A,Contrato!G:G,"",0)</f>
        <v>#NAME?</v>
      </c>
      <c r="AA19" s="57" t="e">
        <f ca="1">_xlfn.XLOOKUP(PAA[[#This Row],[ITEM]],Contrato!A:A,Contrato!T:T,"",0)</f>
        <v>#NAME?</v>
      </c>
      <c r="AB19" s="58" t="e">
        <f ca="1">+MAX(PAA[[#This Row],[Comprometido Contrato]],)</f>
        <v>#NAME?</v>
      </c>
      <c r="AC19" s="58" t="str">
        <f t="shared" ca="1" si="3"/>
        <v/>
      </c>
      <c r="AD19" s="58" t="e">
        <f ca="1">+MAX(PAA[[#This Row],[Pago por Contrato]],)</f>
        <v>#NAME?</v>
      </c>
      <c r="AE19" s="58" t="str">
        <f t="shared" ca="1" si="4"/>
        <v/>
      </c>
      <c r="AF19" s="57" t="e">
        <f t="shared" ca="1" si="5"/>
        <v>#NAME?</v>
      </c>
      <c r="AG19" s="57" t="str">
        <f t="shared" si="6"/>
        <v/>
      </c>
      <c r="AH19" s="57" t="e" cm="1">
        <f t="array" aca="1" ref="AH19" ca="1">_xlfn.XLOOKUP(PAA[[#This Row],[RCP-RUBRO]],COMPROMISOS_2025[[#All],[concatenado]],COMPROMISOS_2025[[#All],[Total pagado]],"",0)</f>
        <v>#NAME?</v>
      </c>
      <c r="AI19" s="57" t="e" cm="1">
        <f t="array" aca="1" ref="AI19" ca="1">_xlfn.XLOOKUP(PAA[[#This Row],[RCP-RUBRO]],COMPROMISOS_2025[[#All],[concatenado]],COMPROMISOS_2025[[#All],[Total Comprometido]],"",0)</f>
        <v>#NAME?</v>
      </c>
    </row>
    <row r="20" spans="1:35" s="50" customFormat="1" ht="42" hidden="1" customHeight="1" x14ac:dyDescent="0.25">
      <c r="A20" s="57">
        <v>14</v>
      </c>
      <c r="B20" s="186" t="s">
        <v>41</v>
      </c>
      <c r="C20" s="57" t="str">
        <f>VLOOKUP(PAA[[#This Row],[PROYECTO (formulado)2]],PROYECTOS!$G$1:$L$32,6,0)</f>
        <v>SUBGERENCIA ADMINISTRATIVA Y FINANCIERA</v>
      </c>
      <c r="D20" s="57" t="str">
        <f>+IF(PAA[[#This Row],[UNIDAD DE CONTRATACION (formulado)]]="Subgerencia Administrativa y Financiera","FUNCIONAMIENTO","INVERSIÓN")</f>
        <v>FUNCIONAMIENTO</v>
      </c>
      <c r="E20" s="153" t="str">
        <f>VLOOKUP(Q20,PROYECTOS!$G$1:$K$32,5,0)</f>
        <v>FUNCIONAMIENTO</v>
      </c>
      <c r="F20" s="153">
        <f>VLOOKUP(E20,PROYECTOS!$K$1:$M$32,3,0)</f>
        <v>999999</v>
      </c>
      <c r="G20" s="154" t="s">
        <v>42</v>
      </c>
      <c r="H20" s="154">
        <f>VLOOKUP(Q20,PROYECTOS!$V$1:$W$32,2,0)</f>
        <v>999999</v>
      </c>
      <c r="I20" s="143">
        <v>302147000</v>
      </c>
      <c r="J20" s="155" t="s">
        <v>73</v>
      </c>
      <c r="K20" s="57" t="str">
        <f t="shared" ca="1" si="0"/>
        <v>CONTRATADO</v>
      </c>
      <c r="L20" s="155" t="s">
        <v>44</v>
      </c>
      <c r="M20" s="155" t="s">
        <v>44</v>
      </c>
      <c r="N20" s="142" t="s">
        <v>74</v>
      </c>
      <c r="O20" s="155">
        <f>VLOOKUP(N20,RUBROS[#All],3,0)</f>
        <v>14</v>
      </c>
      <c r="P20" s="156" t="str">
        <f>VLOOKUP(N20,RUBROS[#All],2,0)</f>
        <v>Aportes al SENA</v>
      </c>
      <c r="Q20" s="57" t="str">
        <f t="shared" si="1"/>
        <v>00</v>
      </c>
      <c r="R20" s="57" t="str">
        <f t="shared" si="2"/>
        <v>0-205616</v>
      </c>
      <c r="S20" s="152">
        <v>12</v>
      </c>
      <c r="T20" s="157" t="s">
        <v>46</v>
      </c>
      <c r="U20" s="162" t="e">
        <f ca="1">_xlfn.XLOOKUP(PAA[[#This Row],[ITEM]],Contrato!A:A,Contrato!Q:Q,"",0)</f>
        <v>#NAME?</v>
      </c>
      <c r="V20" s="57" t="s">
        <v>47</v>
      </c>
      <c r="W20" s="57" t="s">
        <v>48</v>
      </c>
      <c r="X20" s="57" t="s">
        <v>48</v>
      </c>
      <c r="Y20" s="58" t="e">
        <f ca="1">_xlfn.XLOOKUP(PAA[[#This Row],[ITEM]],Contrato!A:A,Contrato!B:B,"",0)</f>
        <v>#NAME?</v>
      </c>
      <c r="Z20" s="57" t="e">
        <f ca="1">_xlfn.XLOOKUP(PAA[[#This Row],[ITEM]],Contrato!A:A,Contrato!G:G,"",0)</f>
        <v>#NAME?</v>
      </c>
      <c r="AA20" s="57" t="e">
        <f ca="1">_xlfn.XLOOKUP(PAA[[#This Row],[ITEM]],Contrato!A:A,Contrato!T:T,"",0)</f>
        <v>#NAME?</v>
      </c>
      <c r="AB20" s="58" t="e">
        <f ca="1">+MAX(PAA[[#This Row],[Comprometido Contrato]],)</f>
        <v>#NAME?</v>
      </c>
      <c r="AC20" s="58" t="str">
        <f t="shared" ca="1" si="3"/>
        <v/>
      </c>
      <c r="AD20" s="58" t="e">
        <f ca="1">+MAX(PAA[[#This Row],[Pago por Contrato]],)</f>
        <v>#NAME?</v>
      </c>
      <c r="AE20" s="58" t="str">
        <f t="shared" ca="1" si="4"/>
        <v/>
      </c>
      <c r="AF20" s="57" t="e">
        <f t="shared" ca="1" si="5"/>
        <v>#NAME?</v>
      </c>
      <c r="AG20" s="57" t="str">
        <f t="shared" si="6"/>
        <v/>
      </c>
      <c r="AH20" s="57" t="e" cm="1">
        <f t="array" aca="1" ref="AH20" ca="1">_xlfn.XLOOKUP(PAA[[#This Row],[RCP-RUBRO]],COMPROMISOS_2025[[#All],[concatenado]],COMPROMISOS_2025[[#All],[Total pagado]],"",0)</f>
        <v>#NAME?</v>
      </c>
      <c r="AI20" s="57" t="e" cm="1">
        <f t="array" aca="1" ref="AI20" ca="1">_xlfn.XLOOKUP(PAA[[#This Row],[RCP-RUBRO]],COMPROMISOS_2025[[#All],[concatenado]],COMPROMISOS_2025[[#All],[Total Comprometido]],"",0)</f>
        <v>#NAME?</v>
      </c>
    </row>
    <row r="21" spans="1:35" s="50" customFormat="1" ht="42" hidden="1" customHeight="1" x14ac:dyDescent="0.25">
      <c r="A21" s="57">
        <v>15</v>
      </c>
      <c r="B21" s="186" t="s">
        <v>41</v>
      </c>
      <c r="C21" s="57" t="str">
        <f>VLOOKUP(PAA[[#This Row],[PROYECTO (formulado)2]],PROYECTOS!$G$1:$L$32,6,0)</f>
        <v>SUBGERENCIA ADMINISTRATIVA Y FINANCIERA</v>
      </c>
      <c r="D21" s="57" t="str">
        <f>+IF(PAA[[#This Row],[UNIDAD DE CONTRATACION (formulado)]]="Subgerencia Administrativa y Financiera","FUNCIONAMIENTO","INVERSIÓN")</f>
        <v>FUNCIONAMIENTO</v>
      </c>
      <c r="E21" s="153" t="str">
        <f>VLOOKUP(Q21,PROYECTOS!$G$1:$K$32,5,0)</f>
        <v>FUNCIONAMIENTO</v>
      </c>
      <c r="F21" s="153">
        <f>VLOOKUP(E21,PROYECTOS!$K$1:$M$32,3,0)</f>
        <v>999999</v>
      </c>
      <c r="G21" s="154" t="s">
        <v>42</v>
      </c>
      <c r="H21" s="154">
        <f>VLOOKUP(Q21,PROYECTOS!$V$1:$W$32,2,0)</f>
        <v>999999</v>
      </c>
      <c r="I21" s="143">
        <v>698779596</v>
      </c>
      <c r="J21" s="155" t="s">
        <v>75</v>
      </c>
      <c r="K21" s="57" t="str">
        <f t="shared" ca="1" si="0"/>
        <v>CONTRATADO</v>
      </c>
      <c r="L21" s="155" t="s">
        <v>44</v>
      </c>
      <c r="M21" s="155" t="s">
        <v>44</v>
      </c>
      <c r="N21" s="142" t="s">
        <v>76</v>
      </c>
      <c r="O21" s="155">
        <f>VLOOKUP(N21,RUBROS[#All],3,0)</f>
        <v>15</v>
      </c>
      <c r="P21" s="156" t="str">
        <f>VLOOKUP(N21,RUBROS[#All],2,0)</f>
        <v>Vacaciones</v>
      </c>
      <c r="Q21" s="57" t="str">
        <f t="shared" si="1"/>
        <v>00</v>
      </c>
      <c r="R21" s="57" t="str">
        <f t="shared" si="2"/>
        <v>0-205616</v>
      </c>
      <c r="S21" s="152">
        <v>12</v>
      </c>
      <c r="T21" s="157" t="s">
        <v>46</v>
      </c>
      <c r="U21" s="162" t="e">
        <f ca="1">_xlfn.XLOOKUP(PAA[[#This Row],[ITEM]],Contrato!A:A,Contrato!Q:Q,"",0)</f>
        <v>#NAME?</v>
      </c>
      <c r="V21" s="57" t="s">
        <v>47</v>
      </c>
      <c r="W21" s="57" t="s">
        <v>48</v>
      </c>
      <c r="X21" s="57" t="s">
        <v>48</v>
      </c>
      <c r="Y21" s="58" t="e">
        <f ca="1">_xlfn.XLOOKUP(PAA[[#This Row],[ITEM]],Contrato!A:A,Contrato!B:B,"",0)</f>
        <v>#NAME?</v>
      </c>
      <c r="Z21" s="57" t="e">
        <f ca="1">_xlfn.XLOOKUP(PAA[[#This Row],[ITEM]],Contrato!A:A,Contrato!G:G,"",0)</f>
        <v>#NAME?</v>
      </c>
      <c r="AA21" s="57" t="e">
        <f ca="1">_xlfn.XLOOKUP(PAA[[#This Row],[ITEM]],Contrato!A:A,Contrato!T:T,"",0)</f>
        <v>#NAME?</v>
      </c>
      <c r="AB21" s="58" t="e">
        <f ca="1">+MAX(PAA[[#This Row],[Comprometido Contrato]],)</f>
        <v>#NAME?</v>
      </c>
      <c r="AC21" s="58" t="str">
        <f t="shared" ca="1" si="3"/>
        <v/>
      </c>
      <c r="AD21" s="58" t="e">
        <f ca="1">+MAX(PAA[[#This Row],[Pago por Contrato]],)</f>
        <v>#NAME?</v>
      </c>
      <c r="AE21" s="58" t="str">
        <f t="shared" ca="1" si="4"/>
        <v/>
      </c>
      <c r="AF21" s="57" t="e">
        <f t="shared" ca="1" si="5"/>
        <v>#NAME?</v>
      </c>
      <c r="AG21" s="57" t="str">
        <f t="shared" si="6"/>
        <v/>
      </c>
      <c r="AH21" s="57" t="e" cm="1">
        <f t="array" aca="1" ref="AH21" ca="1">_xlfn.XLOOKUP(PAA[[#This Row],[RCP-RUBRO]],COMPROMISOS_2025[[#All],[concatenado]],COMPROMISOS_2025[[#All],[Total pagado]],"",0)</f>
        <v>#NAME?</v>
      </c>
      <c r="AI21" s="57" t="e" cm="1">
        <f t="array" aca="1" ref="AI21" ca="1">_xlfn.XLOOKUP(PAA[[#This Row],[RCP-RUBRO]],COMPROMISOS_2025[[#All],[concatenado]],COMPROMISOS_2025[[#All],[Total Comprometido]],"",0)</f>
        <v>#NAME?</v>
      </c>
    </row>
    <row r="22" spans="1:35" s="50" customFormat="1" ht="42" hidden="1" customHeight="1" x14ac:dyDescent="0.25">
      <c r="A22" s="57">
        <v>16</v>
      </c>
      <c r="B22" s="186" t="s">
        <v>41</v>
      </c>
      <c r="C22" s="57" t="str">
        <f>VLOOKUP(PAA[[#This Row],[PROYECTO (formulado)2]],PROYECTOS!$G$1:$L$32,6,0)</f>
        <v>SUBGERENCIA ADMINISTRATIVA Y FINANCIERA</v>
      </c>
      <c r="D22" s="57" t="str">
        <f>+IF(PAA[[#This Row],[UNIDAD DE CONTRATACION (formulado)]]="Subgerencia Administrativa y Financiera","FUNCIONAMIENTO","INVERSIÓN")</f>
        <v>FUNCIONAMIENTO</v>
      </c>
      <c r="E22" s="153" t="str">
        <f>VLOOKUP(Q22,PROYECTOS!$G$1:$K$32,5,0)</f>
        <v>FUNCIONAMIENTO</v>
      </c>
      <c r="F22" s="153">
        <f>VLOOKUP(E22,PROYECTOS!$K$1:$M$32,3,0)</f>
        <v>999999</v>
      </c>
      <c r="G22" s="154" t="s">
        <v>42</v>
      </c>
      <c r="H22" s="154">
        <f>VLOOKUP(Q22,PROYECTOS!$V$1:$W$32,2,0)</f>
        <v>999999</v>
      </c>
      <c r="I22" s="143">
        <v>50000000</v>
      </c>
      <c r="J22" s="155" t="s">
        <v>77</v>
      </c>
      <c r="K22" s="57" t="str">
        <f t="shared" ca="1" si="0"/>
        <v>CONTRATADO</v>
      </c>
      <c r="L22" s="155" t="s">
        <v>44</v>
      </c>
      <c r="M22" s="155" t="s">
        <v>44</v>
      </c>
      <c r="N22" s="142" t="s">
        <v>78</v>
      </c>
      <c r="O22" s="155">
        <f>VLOOKUP(N22,RUBROS[#All],3,0)</f>
        <v>16</v>
      </c>
      <c r="P22" s="156" t="str">
        <f>VLOOKUP(N22,RUBROS[#All],2,0)</f>
        <v>Indemnizacion por Vacaciones</v>
      </c>
      <c r="Q22" s="57" t="str">
        <f t="shared" si="1"/>
        <v>00</v>
      </c>
      <c r="R22" s="57" t="str">
        <f t="shared" si="2"/>
        <v>0-205616</v>
      </c>
      <c r="S22" s="152">
        <v>12</v>
      </c>
      <c r="T22" s="157" t="s">
        <v>46</v>
      </c>
      <c r="U22" s="162" t="e">
        <f ca="1">_xlfn.XLOOKUP(PAA[[#This Row],[ITEM]],Contrato!A:A,Contrato!Q:Q,"",0)</f>
        <v>#NAME?</v>
      </c>
      <c r="V22" s="57" t="s">
        <v>47</v>
      </c>
      <c r="W22" s="57" t="s">
        <v>48</v>
      </c>
      <c r="X22" s="57" t="s">
        <v>48</v>
      </c>
      <c r="Y22" s="58" t="e">
        <f ca="1">_xlfn.XLOOKUP(PAA[[#This Row],[ITEM]],Contrato!A:A,Contrato!B:B,"",0)</f>
        <v>#NAME?</v>
      </c>
      <c r="Z22" s="57" t="e">
        <f ca="1">_xlfn.XLOOKUP(PAA[[#This Row],[ITEM]],Contrato!A:A,Contrato!G:G,"",0)</f>
        <v>#NAME?</v>
      </c>
      <c r="AA22" s="57" t="e">
        <f ca="1">_xlfn.XLOOKUP(PAA[[#This Row],[ITEM]],Contrato!A:A,Contrato!T:T,"",0)</f>
        <v>#NAME?</v>
      </c>
      <c r="AB22" s="58" t="e">
        <f ca="1">+MAX(PAA[[#This Row],[Comprometido Contrato]],)</f>
        <v>#NAME?</v>
      </c>
      <c r="AC22" s="58" t="str">
        <f t="shared" ca="1" si="3"/>
        <v/>
      </c>
      <c r="AD22" s="58" t="e">
        <f ca="1">+MAX(PAA[[#This Row],[Pago por Contrato]],)</f>
        <v>#NAME?</v>
      </c>
      <c r="AE22" s="58" t="str">
        <f t="shared" ca="1" si="4"/>
        <v/>
      </c>
      <c r="AF22" s="57" t="e">
        <f t="shared" ca="1" si="5"/>
        <v>#NAME?</v>
      </c>
      <c r="AG22" s="57" t="str">
        <f t="shared" si="6"/>
        <v/>
      </c>
      <c r="AH22" s="57" t="e" cm="1">
        <f t="array" aca="1" ref="AH22" ca="1">_xlfn.XLOOKUP(PAA[[#This Row],[RCP-RUBRO]],COMPROMISOS_2025[[#All],[concatenado]],COMPROMISOS_2025[[#All],[Total pagado]],"",0)</f>
        <v>#NAME?</v>
      </c>
      <c r="AI22" s="57" t="e" cm="1">
        <f t="array" aca="1" ref="AI22" ca="1">_xlfn.XLOOKUP(PAA[[#This Row],[RCP-RUBRO]],COMPROMISOS_2025[[#All],[concatenado]],COMPROMISOS_2025[[#All],[Total Comprometido]],"",0)</f>
        <v>#NAME?</v>
      </c>
    </row>
    <row r="23" spans="1:35" s="50" customFormat="1" ht="42" hidden="1" customHeight="1" x14ac:dyDescent="0.25">
      <c r="A23" s="57">
        <v>17</v>
      </c>
      <c r="B23" s="186" t="s">
        <v>41</v>
      </c>
      <c r="C23" s="57" t="str">
        <f>VLOOKUP(PAA[[#This Row],[PROYECTO (formulado)2]],PROYECTOS!$G$1:$L$32,6,0)</f>
        <v>SUBGERENCIA ADMINISTRATIVA Y FINANCIERA</v>
      </c>
      <c r="D23" s="57" t="str">
        <f>+IF(PAA[[#This Row],[UNIDAD DE CONTRATACION (formulado)]]="Subgerencia Administrativa y Financiera","FUNCIONAMIENTO","INVERSIÓN")</f>
        <v>FUNCIONAMIENTO</v>
      </c>
      <c r="E23" s="153" t="str">
        <f>VLOOKUP(Q23,PROYECTOS!$G$1:$K$32,5,0)</f>
        <v>FUNCIONAMIENTO</v>
      </c>
      <c r="F23" s="153">
        <f>VLOOKUP(E23,PROYECTOS!$K$1:$M$32,3,0)</f>
        <v>999999</v>
      </c>
      <c r="G23" s="154" t="s">
        <v>42</v>
      </c>
      <c r="H23" s="154">
        <f>VLOOKUP(Q23,PROYECTOS!$V$1:$W$32,2,0)</f>
        <v>999999</v>
      </c>
      <c r="I23" s="143">
        <v>65898733</v>
      </c>
      <c r="J23" s="155" t="s">
        <v>79</v>
      </c>
      <c r="K23" s="57" t="str">
        <f t="shared" ca="1" si="0"/>
        <v>CONTRATADO</v>
      </c>
      <c r="L23" s="155" t="s">
        <v>44</v>
      </c>
      <c r="M23" s="155" t="s">
        <v>44</v>
      </c>
      <c r="N23" s="142" t="s">
        <v>80</v>
      </c>
      <c r="O23" s="155">
        <f>VLOOKUP(N23,RUBROS[#All],3,0)</f>
        <v>17</v>
      </c>
      <c r="P23" s="156" t="str">
        <f>VLOOKUP(N23,RUBROS[#All],2,0)</f>
        <v>Bonificación Especial por Recreación</v>
      </c>
      <c r="Q23" s="57" t="str">
        <f t="shared" si="1"/>
        <v>00</v>
      </c>
      <c r="R23" s="57" t="str">
        <f t="shared" si="2"/>
        <v>0-205616</v>
      </c>
      <c r="S23" s="152">
        <v>12</v>
      </c>
      <c r="T23" s="157" t="s">
        <v>46</v>
      </c>
      <c r="U23" s="162" t="e">
        <f ca="1">_xlfn.XLOOKUP(PAA[[#This Row],[ITEM]],Contrato!A:A,Contrato!Q:Q,"",0)</f>
        <v>#NAME?</v>
      </c>
      <c r="V23" s="57" t="s">
        <v>47</v>
      </c>
      <c r="W23" s="57" t="s">
        <v>48</v>
      </c>
      <c r="X23" s="57" t="s">
        <v>48</v>
      </c>
      <c r="Y23" s="58" t="e">
        <f ca="1">_xlfn.XLOOKUP(PAA[[#This Row],[ITEM]],Contrato!A:A,Contrato!B:B,"",0)</f>
        <v>#NAME?</v>
      </c>
      <c r="Z23" s="57" t="e">
        <f ca="1">_xlfn.XLOOKUP(PAA[[#This Row],[ITEM]],Contrato!A:A,Contrato!G:G,"",0)</f>
        <v>#NAME?</v>
      </c>
      <c r="AA23" s="57" t="e">
        <f ca="1">_xlfn.XLOOKUP(PAA[[#This Row],[ITEM]],Contrato!A:A,Contrato!T:T,"",0)</f>
        <v>#NAME?</v>
      </c>
      <c r="AB23" s="58" t="e">
        <f ca="1">+MAX(PAA[[#This Row],[Comprometido Contrato]],)</f>
        <v>#NAME?</v>
      </c>
      <c r="AC23" s="58" t="str">
        <f t="shared" ca="1" si="3"/>
        <v/>
      </c>
      <c r="AD23" s="58" t="e">
        <f ca="1">+MAX(PAA[[#This Row],[Pago por Contrato]],)</f>
        <v>#NAME?</v>
      </c>
      <c r="AE23" s="58" t="str">
        <f t="shared" ca="1" si="4"/>
        <v/>
      </c>
      <c r="AF23" s="57" t="e">
        <f t="shared" ca="1" si="5"/>
        <v>#NAME?</v>
      </c>
      <c r="AG23" s="57" t="str">
        <f t="shared" si="6"/>
        <v/>
      </c>
      <c r="AH23" s="57" t="e" cm="1">
        <f t="array" aca="1" ref="AH23" ca="1">_xlfn.XLOOKUP(PAA[[#This Row],[RCP-RUBRO]],COMPROMISOS_2025[[#All],[concatenado]],COMPROMISOS_2025[[#All],[Total pagado]],"",0)</f>
        <v>#NAME?</v>
      </c>
      <c r="AI23" s="57" t="e" cm="1">
        <f t="array" aca="1" ref="AI23" ca="1">_xlfn.XLOOKUP(PAA[[#This Row],[RCP-RUBRO]],COMPROMISOS_2025[[#All],[concatenado]],COMPROMISOS_2025[[#All],[Total Comprometido]],"",0)</f>
        <v>#NAME?</v>
      </c>
    </row>
    <row r="24" spans="1:35" s="50" customFormat="1" ht="42" hidden="1" customHeight="1" x14ac:dyDescent="0.25">
      <c r="A24" s="57">
        <v>18</v>
      </c>
      <c r="B24" s="186" t="s">
        <v>41</v>
      </c>
      <c r="C24" s="57" t="str">
        <f>VLOOKUP(PAA[[#This Row],[PROYECTO (formulado)2]],PROYECTOS!$G$1:$L$32,6,0)</f>
        <v>SUBGERENCIA ADMINISTRATIVA Y FINANCIERA</v>
      </c>
      <c r="D24" s="57" t="str">
        <f>+IF(PAA[[#This Row],[UNIDAD DE CONTRATACION (formulado)]]="Subgerencia Administrativa y Financiera","FUNCIONAMIENTO","INVERSIÓN")</f>
        <v>FUNCIONAMIENTO</v>
      </c>
      <c r="E24" s="153" t="str">
        <f>VLOOKUP(Q24,PROYECTOS!$G$1:$K$32,5,0)</f>
        <v>FUNCIONAMIENTO</v>
      </c>
      <c r="F24" s="153">
        <f>VLOOKUP(E24,PROYECTOS!$K$1:$M$32,3,0)</f>
        <v>999999</v>
      </c>
      <c r="G24" s="154" t="s">
        <v>42</v>
      </c>
      <c r="H24" s="154">
        <f>VLOOKUP(Q24,PROYECTOS!$V$1:$W$32,2,0)</f>
        <v>999999</v>
      </c>
      <c r="I24" s="143">
        <v>21450000</v>
      </c>
      <c r="J24" s="155" t="s">
        <v>81</v>
      </c>
      <c r="K24" s="57" t="str">
        <f t="shared" ca="1" si="0"/>
        <v>CONTRATADO</v>
      </c>
      <c r="L24" s="155" t="s">
        <v>44</v>
      </c>
      <c r="M24" s="155" t="s">
        <v>44</v>
      </c>
      <c r="N24" s="142" t="s">
        <v>82</v>
      </c>
      <c r="O24" s="155">
        <f>VLOOKUP(N24,RUBROS[#All],3,0)</f>
        <v>18</v>
      </c>
      <c r="P24" s="156" t="str">
        <f>VLOOKUP(N24,RUBROS[#All],2,0)</f>
        <v>Apoyo de sostenimiento aprendices SENA</v>
      </c>
      <c r="Q24" s="57" t="str">
        <f t="shared" si="1"/>
        <v>00</v>
      </c>
      <c r="R24" s="57" t="str">
        <f t="shared" si="2"/>
        <v>0-205616</v>
      </c>
      <c r="S24" s="152">
        <v>12</v>
      </c>
      <c r="T24" s="157" t="s">
        <v>46</v>
      </c>
      <c r="U24" s="162" t="e">
        <f ca="1">_xlfn.XLOOKUP(PAA[[#This Row],[ITEM]],Contrato!A:A,Contrato!Q:Q,"",0)</f>
        <v>#NAME?</v>
      </c>
      <c r="V24" s="57" t="s">
        <v>47</v>
      </c>
      <c r="W24" s="57" t="s">
        <v>48</v>
      </c>
      <c r="X24" s="57" t="s">
        <v>48</v>
      </c>
      <c r="Y24" s="58" t="e">
        <f ca="1">_xlfn.XLOOKUP(PAA[[#This Row],[ITEM]],Contrato!A:A,Contrato!B:B,"",0)</f>
        <v>#NAME?</v>
      </c>
      <c r="Z24" s="57" t="e">
        <f ca="1">_xlfn.XLOOKUP(PAA[[#This Row],[ITEM]],Contrato!A:A,Contrato!G:G,"",0)</f>
        <v>#NAME?</v>
      </c>
      <c r="AA24" s="57" t="e">
        <f ca="1">_xlfn.XLOOKUP(PAA[[#This Row],[ITEM]],Contrato!A:A,Contrato!T:T,"",0)</f>
        <v>#NAME?</v>
      </c>
      <c r="AB24" s="58" t="e">
        <f ca="1">+MAX(PAA[[#This Row],[Comprometido Contrato]],)</f>
        <v>#NAME?</v>
      </c>
      <c r="AC24" s="58" t="str">
        <f t="shared" ca="1" si="3"/>
        <v/>
      </c>
      <c r="AD24" s="58" t="e">
        <f ca="1">+MAX(PAA[[#This Row],[Pago por Contrato]],)</f>
        <v>#NAME?</v>
      </c>
      <c r="AE24" s="58" t="str">
        <f t="shared" ca="1" si="4"/>
        <v/>
      </c>
      <c r="AF24" s="57" t="e">
        <f t="shared" ca="1" si="5"/>
        <v>#NAME?</v>
      </c>
      <c r="AG24" s="57" t="str">
        <f t="shared" si="6"/>
        <v/>
      </c>
      <c r="AH24" s="57" t="e" cm="1">
        <f t="array" aca="1" ref="AH24" ca="1">_xlfn.XLOOKUP(PAA[[#This Row],[RCP-RUBRO]],COMPROMISOS_2025[[#All],[concatenado]],COMPROMISOS_2025[[#All],[Total pagado]],"",0)</f>
        <v>#NAME?</v>
      </c>
      <c r="AI24" s="57" t="e" cm="1">
        <f t="array" aca="1" ref="AI24" ca="1">_xlfn.XLOOKUP(PAA[[#This Row],[RCP-RUBRO]],COMPROMISOS_2025[[#All],[concatenado]],COMPROMISOS_2025[[#All],[Total Comprometido]],"",0)</f>
        <v>#NAME?</v>
      </c>
    </row>
    <row r="25" spans="1:35" s="50" customFormat="1" ht="42" hidden="1" customHeight="1" x14ac:dyDescent="0.25">
      <c r="A25" s="57">
        <v>19</v>
      </c>
      <c r="B25" s="186" t="s">
        <v>41</v>
      </c>
      <c r="C25" s="57" t="str">
        <f>VLOOKUP(PAA[[#This Row],[PROYECTO (formulado)2]],PROYECTOS!$G$1:$L$32,6,0)</f>
        <v>SUBGERENCIA ADMINISTRATIVA Y FINANCIERA</v>
      </c>
      <c r="D25" s="57" t="str">
        <f>+IF(PAA[[#This Row],[UNIDAD DE CONTRATACION (formulado)]]="Subgerencia Administrativa y Financiera","FUNCIONAMIENTO","INVERSIÓN")</f>
        <v>FUNCIONAMIENTO</v>
      </c>
      <c r="E25" s="153" t="str">
        <f>VLOOKUP(Q25,PROYECTOS!$G$1:$K$32,5,0)</f>
        <v>FUNCIONAMIENTO</v>
      </c>
      <c r="F25" s="153">
        <f>VLOOKUP(E25,PROYECTOS!$K$1:$M$32,3,0)</f>
        <v>999999</v>
      </c>
      <c r="G25" s="154" t="s">
        <v>42</v>
      </c>
      <c r="H25" s="154">
        <f>VLOOKUP(Q25,PROYECTOS!$V$1:$W$32,2,0)</f>
        <v>999999</v>
      </c>
      <c r="I25" s="143">
        <v>120000000</v>
      </c>
      <c r="J25" s="155" t="s">
        <v>83</v>
      </c>
      <c r="K25" s="57" t="str">
        <f t="shared" ca="1" si="0"/>
        <v>CONTRATADO</v>
      </c>
      <c r="L25" s="155" t="s">
        <v>44</v>
      </c>
      <c r="M25" s="155" t="s">
        <v>44</v>
      </c>
      <c r="N25" s="142" t="s">
        <v>84</v>
      </c>
      <c r="O25" s="155">
        <f>VLOOKUP(N25,RUBROS[#All],3,0)</f>
        <v>19</v>
      </c>
      <c r="P25" s="156" t="str">
        <f>VLOOKUP(N25,RUBROS[#All],2,0)</f>
        <v>Auxilios Médicos</v>
      </c>
      <c r="Q25" s="57" t="str">
        <f t="shared" si="1"/>
        <v>00</v>
      </c>
      <c r="R25" s="57" t="str">
        <f t="shared" si="2"/>
        <v>0-205616</v>
      </c>
      <c r="S25" s="152">
        <v>12</v>
      </c>
      <c r="T25" s="157" t="s">
        <v>46</v>
      </c>
      <c r="U25" s="162" t="e">
        <f ca="1">_xlfn.XLOOKUP(PAA[[#This Row],[ITEM]],Contrato!A:A,Contrato!Q:Q,"",0)</f>
        <v>#NAME?</v>
      </c>
      <c r="V25" s="57" t="s">
        <v>47</v>
      </c>
      <c r="W25" s="57" t="s">
        <v>48</v>
      </c>
      <c r="X25" s="57" t="s">
        <v>48</v>
      </c>
      <c r="Y25" s="58" t="e">
        <f ca="1">_xlfn.XLOOKUP(PAA[[#This Row],[ITEM]],Contrato!A:A,Contrato!B:B,"",0)</f>
        <v>#NAME?</v>
      </c>
      <c r="Z25" s="57" t="e">
        <f ca="1">_xlfn.XLOOKUP(PAA[[#This Row],[ITEM]],Contrato!A:A,Contrato!G:G,"",0)</f>
        <v>#NAME?</v>
      </c>
      <c r="AA25" s="57" t="e">
        <f ca="1">_xlfn.XLOOKUP(PAA[[#This Row],[ITEM]],Contrato!A:A,Contrato!T:T,"",0)</f>
        <v>#NAME?</v>
      </c>
      <c r="AB25" s="58" t="e">
        <f ca="1">+MAX(PAA[[#This Row],[Comprometido Contrato]],)</f>
        <v>#NAME?</v>
      </c>
      <c r="AC25" s="58" t="str">
        <f t="shared" ca="1" si="3"/>
        <v/>
      </c>
      <c r="AD25" s="58" t="e">
        <f ca="1">+MAX(PAA[[#This Row],[Pago por Contrato]],)</f>
        <v>#NAME?</v>
      </c>
      <c r="AE25" s="58" t="str">
        <f t="shared" ca="1" si="4"/>
        <v/>
      </c>
      <c r="AF25" s="57" t="e">
        <f t="shared" ca="1" si="5"/>
        <v>#NAME?</v>
      </c>
      <c r="AG25" s="57" t="str">
        <f t="shared" si="6"/>
        <v/>
      </c>
      <c r="AH25" s="57" t="e" cm="1">
        <f t="array" aca="1" ref="AH25" ca="1">_xlfn.XLOOKUP(PAA[[#This Row],[RCP-RUBRO]],COMPROMISOS_2025[[#All],[concatenado]],COMPROMISOS_2025[[#All],[Total pagado]],"",0)</f>
        <v>#NAME?</v>
      </c>
      <c r="AI25" s="57" t="e" cm="1">
        <f t="array" aca="1" ref="AI25" ca="1">_xlfn.XLOOKUP(PAA[[#This Row],[RCP-RUBRO]],COMPROMISOS_2025[[#All],[concatenado]],COMPROMISOS_2025[[#All],[Total Comprometido]],"",0)</f>
        <v>#NAME?</v>
      </c>
    </row>
    <row r="26" spans="1:35" s="50" customFormat="1" ht="42" hidden="1" customHeight="1" x14ac:dyDescent="0.25">
      <c r="A26" s="57">
        <v>20</v>
      </c>
      <c r="B26" s="186" t="s">
        <v>41</v>
      </c>
      <c r="C26" s="57" t="str">
        <f>VLOOKUP(PAA[[#This Row],[PROYECTO (formulado)2]],PROYECTOS!$G$1:$L$32,6,0)</f>
        <v>SUBGERENCIA ADMINISTRATIVA Y FINANCIERA</v>
      </c>
      <c r="D26" s="57" t="str">
        <f>+IF(PAA[[#This Row],[UNIDAD DE CONTRATACION (formulado)]]="Subgerencia Administrativa y Financiera","FUNCIONAMIENTO","INVERSIÓN")</f>
        <v>FUNCIONAMIENTO</v>
      </c>
      <c r="E26" s="153" t="str">
        <f>VLOOKUP(Q26,PROYECTOS!$G$1:$K$32,5,0)</f>
        <v>FUNCIONAMIENTO</v>
      </c>
      <c r="F26" s="153">
        <f>VLOOKUP(E26,PROYECTOS!$K$1:$M$32,3,0)</f>
        <v>999999</v>
      </c>
      <c r="G26" s="154" t="s">
        <v>42</v>
      </c>
      <c r="H26" s="154">
        <f>VLOOKUP(Q26,PROYECTOS!$V$1:$W$32,2,0)</f>
        <v>999999</v>
      </c>
      <c r="I26" s="143">
        <v>50000000</v>
      </c>
      <c r="J26" s="155" t="s">
        <v>85</v>
      </c>
      <c r="K26" s="57" t="str">
        <f t="shared" ca="1" si="0"/>
        <v>CONTRATADO</v>
      </c>
      <c r="L26" s="155" t="s">
        <v>44</v>
      </c>
      <c r="M26" s="155" t="s">
        <v>44</v>
      </c>
      <c r="N26" s="142" t="s">
        <v>86</v>
      </c>
      <c r="O26" s="155">
        <f>VLOOKUP(N26,RUBROS[#All],3,0)</f>
        <v>20</v>
      </c>
      <c r="P26" s="156" t="str">
        <f>VLOOKUP(N26,RUBROS[#All],2,0)</f>
        <v>Auxilios Educativos - Capacitación por demanda</v>
      </c>
      <c r="Q26" s="57" t="str">
        <f t="shared" si="1"/>
        <v>00</v>
      </c>
      <c r="R26" s="57" t="str">
        <f t="shared" si="2"/>
        <v>0-205616</v>
      </c>
      <c r="S26" s="152">
        <v>12</v>
      </c>
      <c r="T26" s="157" t="s">
        <v>46</v>
      </c>
      <c r="U26" s="162" t="e">
        <f ca="1">_xlfn.XLOOKUP(PAA[[#This Row],[ITEM]],Contrato!A:A,Contrato!Q:Q,"",0)</f>
        <v>#NAME?</v>
      </c>
      <c r="V26" s="57" t="s">
        <v>47</v>
      </c>
      <c r="W26" s="57" t="s">
        <v>48</v>
      </c>
      <c r="X26" s="57" t="s">
        <v>48</v>
      </c>
      <c r="Y26" s="58" t="e">
        <f ca="1">_xlfn.XLOOKUP(PAA[[#This Row],[ITEM]],Contrato!A:A,Contrato!B:B,"",0)</f>
        <v>#NAME?</v>
      </c>
      <c r="Z26" s="57" t="e">
        <f ca="1">_xlfn.XLOOKUP(PAA[[#This Row],[ITEM]],Contrato!A:A,Contrato!G:G,"",0)</f>
        <v>#NAME?</v>
      </c>
      <c r="AA26" s="57" t="e">
        <f ca="1">_xlfn.XLOOKUP(PAA[[#This Row],[ITEM]],Contrato!A:A,Contrato!T:T,"",0)</f>
        <v>#NAME?</v>
      </c>
      <c r="AB26" s="58" t="e">
        <f ca="1">+MAX(PAA[[#This Row],[Comprometido Contrato]],)</f>
        <v>#NAME?</v>
      </c>
      <c r="AC26" s="58" t="str">
        <f t="shared" ca="1" si="3"/>
        <v/>
      </c>
      <c r="AD26" s="58" t="e">
        <f ca="1">+MAX(PAA[[#This Row],[Pago por Contrato]],)</f>
        <v>#NAME?</v>
      </c>
      <c r="AE26" s="58" t="str">
        <f t="shared" ca="1" si="4"/>
        <v/>
      </c>
      <c r="AF26" s="57" t="e">
        <f t="shared" ca="1" si="5"/>
        <v>#NAME?</v>
      </c>
      <c r="AG26" s="57" t="str">
        <f t="shared" si="6"/>
        <v/>
      </c>
      <c r="AH26" s="57" t="e" cm="1">
        <f t="array" aca="1" ref="AH26" ca="1">_xlfn.XLOOKUP(PAA[[#This Row],[RCP-RUBRO]],COMPROMISOS_2025[[#All],[concatenado]],COMPROMISOS_2025[[#All],[Total pagado]],"",0)</f>
        <v>#NAME?</v>
      </c>
      <c r="AI26" s="57" t="e" cm="1">
        <f t="array" aca="1" ref="AI26" ca="1">_xlfn.XLOOKUP(PAA[[#This Row],[RCP-RUBRO]],COMPROMISOS_2025[[#All],[concatenado]],COMPROMISOS_2025[[#All],[Total Comprometido]],"",0)</f>
        <v>#NAME?</v>
      </c>
    </row>
    <row r="27" spans="1:35" s="50" customFormat="1" ht="42" hidden="1" customHeight="1" x14ac:dyDescent="0.25">
      <c r="A27" s="57">
        <v>21</v>
      </c>
      <c r="B27" s="186" t="s">
        <v>41</v>
      </c>
      <c r="C27" s="57" t="str">
        <f>VLOOKUP(PAA[[#This Row],[PROYECTO (formulado)2]],PROYECTOS!$G$1:$L$32,6,0)</f>
        <v>SUBGERENCIA ADMINISTRATIVA Y FINANCIERA</v>
      </c>
      <c r="D27" s="57" t="str">
        <f>+IF(PAA[[#This Row],[UNIDAD DE CONTRATACION (formulado)]]="Subgerencia Administrativa y Financiera","FUNCIONAMIENTO","INVERSIÓN")</f>
        <v>FUNCIONAMIENTO</v>
      </c>
      <c r="E27" s="153" t="str">
        <f>VLOOKUP(Q27,PROYECTOS!$G$1:$K$32,5,0)</f>
        <v>FUNCIONAMIENTO</v>
      </c>
      <c r="F27" s="153">
        <f>VLOOKUP(E27,PROYECTOS!$K$1:$M$32,3,0)</f>
        <v>999999</v>
      </c>
      <c r="G27" s="154" t="s">
        <v>42</v>
      </c>
      <c r="H27" s="154">
        <f>VLOOKUP(Q27,PROYECTOS!$V$1:$W$32,2,0)</f>
        <v>999999</v>
      </c>
      <c r="I27" s="143">
        <v>26000000</v>
      </c>
      <c r="J27" s="155" t="s">
        <v>87</v>
      </c>
      <c r="K27" s="57" t="str">
        <f t="shared" ca="1" si="0"/>
        <v>CONTRATADO</v>
      </c>
      <c r="L27" s="155" t="s">
        <v>44</v>
      </c>
      <c r="M27" s="155" t="s">
        <v>44</v>
      </c>
      <c r="N27" s="142" t="s">
        <v>88</v>
      </c>
      <c r="O27" s="155">
        <f>VLOOKUP(N27,RUBROS[#All],3,0)</f>
        <v>21</v>
      </c>
      <c r="P27" s="156" t="str">
        <f>VLOOKUP(N27,RUBROS[#All],2,0)</f>
        <v>Auxilios Educativos - Segunda Lengua</v>
      </c>
      <c r="Q27" s="57" t="str">
        <f t="shared" si="1"/>
        <v>00</v>
      </c>
      <c r="R27" s="57" t="str">
        <f t="shared" si="2"/>
        <v>0-205616</v>
      </c>
      <c r="S27" s="152">
        <v>12</v>
      </c>
      <c r="T27" s="157" t="s">
        <v>46</v>
      </c>
      <c r="U27" s="162" t="e">
        <f ca="1">_xlfn.XLOOKUP(PAA[[#This Row],[ITEM]],Contrato!A:A,Contrato!Q:Q,"",0)</f>
        <v>#NAME?</v>
      </c>
      <c r="V27" s="57" t="s">
        <v>47</v>
      </c>
      <c r="W27" s="57" t="s">
        <v>48</v>
      </c>
      <c r="X27" s="57" t="s">
        <v>48</v>
      </c>
      <c r="Y27" s="58" t="e">
        <f ca="1">_xlfn.XLOOKUP(PAA[[#This Row],[ITEM]],Contrato!A:A,Contrato!B:B,"",0)</f>
        <v>#NAME?</v>
      </c>
      <c r="Z27" s="57" t="e">
        <f ca="1">_xlfn.XLOOKUP(PAA[[#This Row],[ITEM]],Contrato!A:A,Contrato!G:G,"",0)</f>
        <v>#NAME?</v>
      </c>
      <c r="AA27" s="57" t="e">
        <f ca="1">_xlfn.XLOOKUP(PAA[[#This Row],[ITEM]],Contrato!A:A,Contrato!T:T,"",0)</f>
        <v>#NAME?</v>
      </c>
      <c r="AB27" s="58" t="e">
        <f ca="1">+MAX(PAA[[#This Row],[Comprometido Contrato]],)</f>
        <v>#NAME?</v>
      </c>
      <c r="AC27" s="58" t="str">
        <f t="shared" ca="1" si="3"/>
        <v/>
      </c>
      <c r="AD27" s="58" t="e">
        <f ca="1">+MAX(PAA[[#This Row],[Pago por Contrato]],)</f>
        <v>#NAME?</v>
      </c>
      <c r="AE27" s="58" t="str">
        <f t="shared" ca="1" si="4"/>
        <v/>
      </c>
      <c r="AF27" s="57" t="e">
        <f t="shared" ca="1" si="5"/>
        <v>#NAME?</v>
      </c>
      <c r="AG27" s="57" t="str">
        <f t="shared" si="6"/>
        <v/>
      </c>
      <c r="AH27" s="57" t="e" cm="1">
        <f t="array" aca="1" ref="AH27" ca="1">_xlfn.XLOOKUP(PAA[[#This Row],[RCP-RUBRO]],COMPROMISOS_2025[[#All],[concatenado]],COMPROMISOS_2025[[#All],[Total pagado]],"",0)</f>
        <v>#NAME?</v>
      </c>
      <c r="AI27" s="57" t="e" cm="1">
        <f t="array" aca="1" ref="AI27" ca="1">_xlfn.XLOOKUP(PAA[[#This Row],[RCP-RUBRO]],COMPROMISOS_2025[[#All],[concatenado]],COMPROMISOS_2025[[#All],[Total Comprometido]],"",0)</f>
        <v>#NAME?</v>
      </c>
    </row>
    <row r="28" spans="1:35" s="50" customFormat="1" ht="42" hidden="1" customHeight="1" x14ac:dyDescent="0.25">
      <c r="A28" s="57">
        <v>22</v>
      </c>
      <c r="B28" s="186" t="s">
        <v>41</v>
      </c>
      <c r="C28" s="57" t="str">
        <f>VLOOKUP(PAA[[#This Row],[PROYECTO (formulado)2]],PROYECTOS!$G$1:$L$32,6,0)</f>
        <v>SUBGERENCIA ADMINISTRATIVA Y FINANCIERA</v>
      </c>
      <c r="D28" s="57" t="str">
        <f>+IF(PAA[[#This Row],[UNIDAD DE CONTRATACION (formulado)]]="Subgerencia Administrativa y Financiera","FUNCIONAMIENTO","INVERSIÓN")</f>
        <v>FUNCIONAMIENTO</v>
      </c>
      <c r="E28" s="153" t="str">
        <f>VLOOKUP(Q28,PROYECTOS!$G$1:$K$32,5,0)</f>
        <v>FUNCIONAMIENTO</v>
      </c>
      <c r="F28" s="153">
        <f>VLOOKUP(E28,PROYECTOS!$K$1:$M$32,3,0)</f>
        <v>999999</v>
      </c>
      <c r="G28" s="154" t="s">
        <v>42</v>
      </c>
      <c r="H28" s="154">
        <f>VLOOKUP(Q28,PROYECTOS!$V$1:$W$32,2,0)</f>
        <v>999999</v>
      </c>
      <c r="I28" s="143">
        <v>64350000</v>
      </c>
      <c r="J28" s="155" t="s">
        <v>89</v>
      </c>
      <c r="K28" s="57" t="str">
        <f t="shared" ca="1" si="0"/>
        <v>CONTRATADO</v>
      </c>
      <c r="L28" s="155" t="s">
        <v>44</v>
      </c>
      <c r="M28" s="155" t="s">
        <v>44</v>
      </c>
      <c r="N28" s="142" t="s">
        <v>90</v>
      </c>
      <c r="O28" s="155">
        <f>VLOOKUP(N28,RUBROS[#All],3,0)</f>
        <v>22</v>
      </c>
      <c r="P28" s="156" t="str">
        <f>VLOOKUP(N28,RUBROS[#All],2,0)</f>
        <v>Auxilios Educativos - Acuerdo Fondo Educación</v>
      </c>
      <c r="Q28" s="57" t="str">
        <f t="shared" si="1"/>
        <v>00</v>
      </c>
      <c r="R28" s="57" t="str">
        <f t="shared" si="2"/>
        <v>0-205616</v>
      </c>
      <c r="S28" s="152">
        <v>12</v>
      </c>
      <c r="T28" s="157" t="s">
        <v>46</v>
      </c>
      <c r="U28" s="162" t="e">
        <f ca="1">_xlfn.XLOOKUP(PAA[[#This Row],[ITEM]],Contrato!A:A,Contrato!Q:Q,"",0)</f>
        <v>#NAME?</v>
      </c>
      <c r="V28" s="57" t="s">
        <v>47</v>
      </c>
      <c r="W28" s="57" t="s">
        <v>48</v>
      </c>
      <c r="X28" s="57" t="s">
        <v>48</v>
      </c>
      <c r="Y28" s="58" t="e">
        <f ca="1">_xlfn.XLOOKUP(PAA[[#This Row],[ITEM]],Contrato!A:A,Contrato!B:B,"",0)</f>
        <v>#NAME?</v>
      </c>
      <c r="Z28" s="57" t="e">
        <f ca="1">_xlfn.XLOOKUP(PAA[[#This Row],[ITEM]],Contrato!A:A,Contrato!G:G,"",0)</f>
        <v>#NAME?</v>
      </c>
      <c r="AA28" s="57" t="e">
        <f ca="1">_xlfn.XLOOKUP(PAA[[#This Row],[ITEM]],Contrato!A:A,Contrato!T:T,"",0)</f>
        <v>#NAME?</v>
      </c>
      <c r="AB28" s="58" t="e">
        <f ca="1">+MAX(PAA[[#This Row],[Comprometido Contrato]],)</f>
        <v>#NAME?</v>
      </c>
      <c r="AC28" s="58" t="str">
        <f t="shared" ca="1" si="3"/>
        <v/>
      </c>
      <c r="AD28" s="58" t="e">
        <f ca="1">+MAX(PAA[[#This Row],[Pago por Contrato]],)</f>
        <v>#NAME?</v>
      </c>
      <c r="AE28" s="58" t="str">
        <f t="shared" ca="1" si="4"/>
        <v/>
      </c>
      <c r="AF28" s="57" t="e">
        <f t="shared" ca="1" si="5"/>
        <v>#NAME?</v>
      </c>
      <c r="AG28" s="57" t="str">
        <f t="shared" si="6"/>
        <v/>
      </c>
      <c r="AH28" s="57" t="e" cm="1">
        <f t="array" aca="1" ref="AH28" ca="1">_xlfn.XLOOKUP(PAA[[#This Row],[RCP-RUBRO]],COMPROMISOS_2025[[#All],[concatenado]],COMPROMISOS_2025[[#All],[Total pagado]],"",0)</f>
        <v>#NAME?</v>
      </c>
      <c r="AI28" s="57" t="e" cm="1">
        <f t="array" aca="1" ref="AI28" ca="1">_xlfn.XLOOKUP(PAA[[#This Row],[RCP-RUBRO]],COMPROMISOS_2025[[#All],[concatenado]],COMPROMISOS_2025[[#All],[Total Comprometido]],"",0)</f>
        <v>#NAME?</v>
      </c>
    </row>
    <row r="29" spans="1:35" s="50" customFormat="1" ht="42" hidden="1" customHeight="1" x14ac:dyDescent="0.25">
      <c r="A29" s="57">
        <v>23</v>
      </c>
      <c r="B29" s="186" t="s">
        <v>41</v>
      </c>
      <c r="C29" s="57" t="str">
        <f>VLOOKUP(PAA[[#This Row],[PROYECTO (formulado)2]],PROYECTOS!$G$1:$L$32,6,0)</f>
        <v>SUBGERENCIA ADMINISTRATIVA Y FINANCIERA</v>
      </c>
      <c r="D29" s="57" t="str">
        <f>+IF(PAA[[#This Row],[UNIDAD DE CONTRATACION (formulado)]]="Subgerencia Administrativa y Financiera","FUNCIONAMIENTO","INVERSIÓN")</f>
        <v>FUNCIONAMIENTO</v>
      </c>
      <c r="E29" s="153" t="str">
        <f>VLOOKUP(Q29,PROYECTOS!$G$1:$K$32,5,0)</f>
        <v>FUNCIONAMIENTO</v>
      </c>
      <c r="F29" s="153">
        <f>VLOOKUP(E29,PROYECTOS!$K$1:$M$32,3,0)</f>
        <v>999999</v>
      </c>
      <c r="G29" s="154" t="s">
        <v>42</v>
      </c>
      <c r="H29" s="154">
        <f>VLOOKUP(Q29,PROYECTOS!$V$1:$W$32,2,0)</f>
        <v>999999</v>
      </c>
      <c r="I29" s="143">
        <v>120000000</v>
      </c>
      <c r="J29" s="155" t="s">
        <v>91</v>
      </c>
      <c r="K29" s="57" t="str">
        <f t="shared" ca="1" si="0"/>
        <v>CONTRATADO</v>
      </c>
      <c r="L29" s="155" t="s">
        <v>44</v>
      </c>
      <c r="M29" s="155" t="s">
        <v>44</v>
      </c>
      <c r="N29" s="142" t="s">
        <v>92</v>
      </c>
      <c r="O29" s="155">
        <f>VLOOKUP(N29,RUBROS[#All],3,0)</f>
        <v>23</v>
      </c>
      <c r="P29" s="156" t="str">
        <f>VLOOKUP(N29,RUBROS[#All],2,0)</f>
        <v>Auxilios para Recreación</v>
      </c>
      <c r="Q29" s="57" t="str">
        <f t="shared" si="1"/>
        <v>00</v>
      </c>
      <c r="R29" s="57" t="str">
        <f t="shared" si="2"/>
        <v>0-205616</v>
      </c>
      <c r="S29" s="152">
        <v>12</v>
      </c>
      <c r="T29" s="157" t="s">
        <v>46</v>
      </c>
      <c r="U29" s="162" t="e">
        <f ca="1">_xlfn.XLOOKUP(PAA[[#This Row],[ITEM]],Contrato!A:A,Contrato!Q:Q,"",0)</f>
        <v>#NAME?</v>
      </c>
      <c r="V29" s="57" t="s">
        <v>47</v>
      </c>
      <c r="W29" s="57" t="s">
        <v>48</v>
      </c>
      <c r="X29" s="57" t="s">
        <v>48</v>
      </c>
      <c r="Y29" s="58" t="e">
        <f ca="1">_xlfn.XLOOKUP(PAA[[#This Row],[ITEM]],Contrato!A:A,Contrato!B:B,"",0)</f>
        <v>#NAME?</v>
      </c>
      <c r="Z29" s="57" t="e">
        <f ca="1">_xlfn.XLOOKUP(PAA[[#This Row],[ITEM]],Contrato!A:A,Contrato!G:G,"",0)</f>
        <v>#NAME?</v>
      </c>
      <c r="AA29" s="57" t="e">
        <f ca="1">_xlfn.XLOOKUP(PAA[[#This Row],[ITEM]],Contrato!A:A,Contrato!T:T,"",0)</f>
        <v>#NAME?</v>
      </c>
      <c r="AB29" s="58" t="e">
        <f ca="1">+MAX(PAA[[#This Row],[Comprometido Contrato]],)</f>
        <v>#NAME?</v>
      </c>
      <c r="AC29" s="58" t="str">
        <f t="shared" ca="1" si="3"/>
        <v/>
      </c>
      <c r="AD29" s="58" t="e">
        <f ca="1">+MAX(PAA[[#This Row],[Pago por Contrato]],)</f>
        <v>#NAME?</v>
      </c>
      <c r="AE29" s="58" t="str">
        <f t="shared" ca="1" si="4"/>
        <v/>
      </c>
      <c r="AF29" s="57" t="e">
        <f t="shared" ca="1" si="5"/>
        <v>#NAME?</v>
      </c>
      <c r="AG29" s="57" t="str">
        <f t="shared" si="6"/>
        <v/>
      </c>
      <c r="AH29" s="57" t="e" cm="1">
        <f t="array" aca="1" ref="AH29" ca="1">_xlfn.XLOOKUP(PAA[[#This Row],[RCP-RUBRO]],COMPROMISOS_2025[[#All],[concatenado]],COMPROMISOS_2025[[#All],[Total pagado]],"",0)</f>
        <v>#NAME?</v>
      </c>
      <c r="AI29" s="57" t="e" cm="1">
        <f t="array" aca="1" ref="AI29" ca="1">_xlfn.XLOOKUP(PAA[[#This Row],[RCP-RUBRO]],COMPROMISOS_2025[[#All],[concatenado]],COMPROMISOS_2025[[#All],[Total Comprometido]],"",0)</f>
        <v>#NAME?</v>
      </c>
    </row>
    <row r="30" spans="1:35" s="50" customFormat="1" ht="42" hidden="1" customHeight="1" x14ac:dyDescent="0.25">
      <c r="A30" s="57">
        <v>24</v>
      </c>
      <c r="B30" s="186" t="s">
        <v>41</v>
      </c>
      <c r="C30" s="57" t="str">
        <f>VLOOKUP(PAA[[#This Row],[PROYECTO (formulado)2]],PROYECTOS!$G$1:$L$32,6,0)</f>
        <v>SUBGERENCIA ADMINISTRATIVA Y FINANCIERA</v>
      </c>
      <c r="D30" s="57" t="str">
        <f>+IF(PAA[[#This Row],[UNIDAD DE CONTRATACION (formulado)]]="Subgerencia Administrativa y Financiera","FUNCIONAMIENTO","INVERSIÓN")</f>
        <v>FUNCIONAMIENTO</v>
      </c>
      <c r="E30" s="153" t="str">
        <f>VLOOKUP(Q30,PROYECTOS!$G$1:$K$32,5,0)</f>
        <v>FUNCIONAMIENTO</v>
      </c>
      <c r="F30" s="153">
        <f>VLOOKUP(E30,PROYECTOS!$K$1:$M$32,3,0)</f>
        <v>999999</v>
      </c>
      <c r="G30" s="154" t="s">
        <v>42</v>
      </c>
      <c r="H30" s="154">
        <f>VLOOKUP(Q30,PROYECTOS!$V$1:$W$32,2,0)</f>
        <v>999999</v>
      </c>
      <c r="I30" s="143">
        <v>90000000</v>
      </c>
      <c r="J30" s="155" t="s">
        <v>93</v>
      </c>
      <c r="K30" s="57" t="str">
        <f t="shared" ca="1" si="0"/>
        <v>CONTRATADO</v>
      </c>
      <c r="L30" s="155" t="s">
        <v>44</v>
      </c>
      <c r="M30" s="155" t="s">
        <v>44</v>
      </c>
      <c r="N30" s="142" t="s">
        <v>94</v>
      </c>
      <c r="O30" s="155">
        <f>VLOOKUP(N30,RUBROS[#All],3,0)</f>
        <v>36</v>
      </c>
      <c r="P30" s="156" t="str">
        <f>VLOOKUP(N30,RUBROS[#All],2,0)</f>
        <v>Incapacidades (no de pensiones)</v>
      </c>
      <c r="Q30" s="57" t="str">
        <f t="shared" si="1"/>
        <v>00</v>
      </c>
      <c r="R30" s="57" t="str">
        <f t="shared" si="2"/>
        <v>0-205616</v>
      </c>
      <c r="S30" s="152">
        <v>12</v>
      </c>
      <c r="T30" s="157" t="s">
        <v>46</v>
      </c>
      <c r="U30" s="162" t="e">
        <f ca="1">_xlfn.XLOOKUP(PAA[[#This Row],[ITEM]],Contrato!A:A,Contrato!Q:Q,"",0)</f>
        <v>#NAME?</v>
      </c>
      <c r="V30" s="57" t="s">
        <v>47</v>
      </c>
      <c r="W30" s="57" t="s">
        <v>48</v>
      </c>
      <c r="X30" s="57" t="s">
        <v>48</v>
      </c>
      <c r="Y30" s="58" t="e">
        <f ca="1">_xlfn.XLOOKUP(PAA[[#This Row],[ITEM]],Contrato!A:A,Contrato!B:B,"",0)</f>
        <v>#NAME?</v>
      </c>
      <c r="Z30" s="57" t="e">
        <f ca="1">_xlfn.XLOOKUP(PAA[[#This Row],[ITEM]],Contrato!A:A,Contrato!G:G,"",0)</f>
        <v>#NAME?</v>
      </c>
      <c r="AA30" s="57" t="e">
        <f ca="1">_xlfn.XLOOKUP(PAA[[#This Row],[ITEM]],Contrato!A:A,Contrato!T:T,"",0)</f>
        <v>#NAME?</v>
      </c>
      <c r="AB30" s="58" t="e">
        <f ca="1">+MAX(PAA[[#This Row],[Comprometido Contrato]],)</f>
        <v>#NAME?</v>
      </c>
      <c r="AC30" s="58" t="str">
        <f t="shared" ca="1" si="3"/>
        <v/>
      </c>
      <c r="AD30" s="58" t="e">
        <f ca="1">+MAX(PAA[[#This Row],[Pago por Contrato]],)</f>
        <v>#NAME?</v>
      </c>
      <c r="AE30" s="58" t="str">
        <f t="shared" ca="1" si="4"/>
        <v/>
      </c>
      <c r="AF30" s="57" t="e">
        <f t="shared" ca="1" si="5"/>
        <v>#NAME?</v>
      </c>
      <c r="AG30" s="57" t="str">
        <f t="shared" si="6"/>
        <v/>
      </c>
      <c r="AH30" s="57" t="e" cm="1">
        <f t="array" aca="1" ref="AH30" ca="1">_xlfn.XLOOKUP(PAA[[#This Row],[RCP-RUBRO]],COMPROMISOS_2025[[#All],[concatenado]],COMPROMISOS_2025[[#All],[Total pagado]],"",0)</f>
        <v>#NAME?</v>
      </c>
      <c r="AI30" s="57" t="e" cm="1">
        <f t="array" aca="1" ref="AI30" ca="1">_xlfn.XLOOKUP(PAA[[#This Row],[RCP-RUBRO]],COMPROMISOS_2025[[#All],[concatenado]],COMPROMISOS_2025[[#All],[Total Comprometido]],"",0)</f>
        <v>#NAME?</v>
      </c>
    </row>
    <row r="31" spans="1:35" s="50" customFormat="1" ht="42" hidden="1" customHeight="1" x14ac:dyDescent="0.25">
      <c r="A31" s="57">
        <v>25</v>
      </c>
      <c r="B31" s="186" t="s">
        <v>41</v>
      </c>
      <c r="C31" s="57" t="str">
        <f>VLOOKUP(PAA[[#This Row],[PROYECTO (formulado)2]],PROYECTOS!$G$1:$L$32,6,0)</f>
        <v>SUBGERENCIA ADMINISTRATIVA Y FINANCIERA</v>
      </c>
      <c r="D31" s="57" t="str">
        <f>+IF(PAA[[#This Row],[UNIDAD DE CONTRATACION (formulado)]]="Subgerencia Administrativa y Financiera","FUNCIONAMIENTO","INVERSIÓN")</f>
        <v>FUNCIONAMIENTO</v>
      </c>
      <c r="E31" s="153" t="str">
        <f>VLOOKUP(Q31,PROYECTOS!$G$1:$K$32,5,0)</f>
        <v>FUNCIONAMIENTO</v>
      </c>
      <c r="F31" s="153">
        <f>VLOOKUP(E31,PROYECTOS!$K$1:$M$32,3,0)</f>
        <v>999999</v>
      </c>
      <c r="G31" s="154" t="s">
        <v>42</v>
      </c>
      <c r="H31" s="154">
        <f>VLOOKUP(Q31,PROYECTOS!$V$1:$W$32,2,0)</f>
        <v>999999</v>
      </c>
      <c r="I31" s="143">
        <v>60000000</v>
      </c>
      <c r="J31" s="155" t="s">
        <v>95</v>
      </c>
      <c r="K31" s="57" t="str">
        <f t="shared" ca="1" si="0"/>
        <v>CONTRATADO</v>
      </c>
      <c r="L31" s="155" t="s">
        <v>44</v>
      </c>
      <c r="M31" s="155" t="s">
        <v>44</v>
      </c>
      <c r="N31" s="142" t="s">
        <v>96</v>
      </c>
      <c r="O31" s="155">
        <f>VLOOKUP(N31,RUBROS[#All],3,0)</f>
        <v>37</v>
      </c>
      <c r="P31" s="156" t="str">
        <f>VLOOKUP(N31,RUBROS[#All],2,0)</f>
        <v>Licencias de maternidad y paternidad (no de pensiones)</v>
      </c>
      <c r="Q31" s="57" t="str">
        <f t="shared" si="1"/>
        <v>00</v>
      </c>
      <c r="R31" s="57" t="str">
        <f t="shared" si="2"/>
        <v>0-205616</v>
      </c>
      <c r="S31" s="152">
        <v>12</v>
      </c>
      <c r="T31" s="157" t="s">
        <v>46</v>
      </c>
      <c r="U31" s="162" t="e">
        <f ca="1">_xlfn.XLOOKUP(PAA[[#This Row],[ITEM]],Contrato!A:A,Contrato!Q:Q,"",0)</f>
        <v>#NAME?</v>
      </c>
      <c r="V31" s="57" t="s">
        <v>47</v>
      </c>
      <c r="W31" s="57" t="s">
        <v>48</v>
      </c>
      <c r="X31" s="57" t="s">
        <v>48</v>
      </c>
      <c r="Y31" s="58" t="e">
        <f ca="1">_xlfn.XLOOKUP(PAA[[#This Row],[ITEM]],Contrato!A:A,Contrato!B:B,"",0)</f>
        <v>#NAME?</v>
      </c>
      <c r="Z31" s="57" t="e">
        <f ca="1">_xlfn.XLOOKUP(PAA[[#This Row],[ITEM]],Contrato!A:A,Contrato!G:G,"",0)</f>
        <v>#NAME?</v>
      </c>
      <c r="AA31" s="57" t="e">
        <f ca="1">_xlfn.XLOOKUP(PAA[[#This Row],[ITEM]],Contrato!A:A,Contrato!T:T,"",0)</f>
        <v>#NAME?</v>
      </c>
      <c r="AB31" s="58" t="e">
        <f ca="1">+MAX(PAA[[#This Row],[Comprometido Contrato]],)</f>
        <v>#NAME?</v>
      </c>
      <c r="AC31" s="58" t="str">
        <f t="shared" ca="1" si="3"/>
        <v/>
      </c>
      <c r="AD31" s="58" t="e">
        <f ca="1">+MAX(PAA[[#This Row],[Pago por Contrato]],)</f>
        <v>#NAME?</v>
      </c>
      <c r="AE31" s="58" t="str">
        <f t="shared" ca="1" si="4"/>
        <v/>
      </c>
      <c r="AF31" s="57" t="e">
        <f t="shared" ca="1" si="5"/>
        <v>#NAME?</v>
      </c>
      <c r="AG31" s="57" t="str">
        <f t="shared" si="6"/>
        <v/>
      </c>
      <c r="AH31" s="57" t="e" cm="1">
        <f t="array" aca="1" ref="AH31" ca="1">_xlfn.XLOOKUP(PAA[[#This Row],[RCP-RUBRO]],COMPROMISOS_2025[[#All],[concatenado]],COMPROMISOS_2025[[#All],[Total pagado]],"",0)</f>
        <v>#NAME?</v>
      </c>
      <c r="AI31" s="57" t="e" cm="1">
        <f t="array" aca="1" ref="AI31" ca="1">_xlfn.XLOOKUP(PAA[[#This Row],[RCP-RUBRO]],COMPROMISOS_2025[[#All],[concatenado]],COMPROMISOS_2025[[#All],[Total Comprometido]],"",0)</f>
        <v>#NAME?</v>
      </c>
    </row>
    <row r="32" spans="1:35" s="50" customFormat="1" ht="42" hidden="1" customHeight="1" x14ac:dyDescent="0.25">
      <c r="A32" s="57">
        <v>26</v>
      </c>
      <c r="B32" s="186" t="s">
        <v>41</v>
      </c>
      <c r="C32" s="57" t="str">
        <f>VLOOKUP(PAA[[#This Row],[PROYECTO (formulado)2]],PROYECTOS!$G$1:$L$32,6,0)</f>
        <v>SUBGERENCIA ADMINISTRATIVA Y FINANCIERA</v>
      </c>
      <c r="D32" s="57" t="str">
        <f>+IF(PAA[[#This Row],[UNIDAD DE CONTRATACION (formulado)]]="Subgerencia Administrativa y Financiera","FUNCIONAMIENTO","INVERSIÓN")</f>
        <v>FUNCIONAMIENTO</v>
      </c>
      <c r="E32" s="153" t="str">
        <f>VLOOKUP(Q32,PROYECTOS!$G$1:$K$32,5,0)</f>
        <v>FUNCIONAMIENTO</v>
      </c>
      <c r="F32" s="153">
        <f>VLOOKUP(E32,PROYECTOS!$K$1:$M$32,3,0)</f>
        <v>999999</v>
      </c>
      <c r="G32" s="154" t="s">
        <v>42</v>
      </c>
      <c r="H32" s="154">
        <f>VLOOKUP(Q32,PROYECTOS!$V$1:$W$32,2,0)</f>
        <v>999999</v>
      </c>
      <c r="I32" s="143">
        <v>17129534</v>
      </c>
      <c r="J32" s="155" t="s">
        <v>97</v>
      </c>
      <c r="K32" s="57" t="str">
        <f t="shared" ca="1" si="0"/>
        <v>CONTRATADO</v>
      </c>
      <c r="L32" s="155" t="s">
        <v>44</v>
      </c>
      <c r="M32" s="155" t="s">
        <v>44</v>
      </c>
      <c r="N32" s="142" t="s">
        <v>98</v>
      </c>
      <c r="O32" s="155">
        <f>VLOOKUP(N32,RUBROS[#All],3,0)</f>
        <v>26</v>
      </c>
      <c r="P32" s="156" t="str">
        <f>VLOOKUP(N32,RUBROS[#All],2,0)</f>
        <v>Caja Menor - Otros bienes transportables (excepto productos metálicos, maquinaria y equipo)</v>
      </c>
      <c r="Q32" s="57" t="str">
        <f t="shared" si="1"/>
        <v>00</v>
      </c>
      <c r="R32" s="57" t="str">
        <f t="shared" si="2"/>
        <v>0-205616</v>
      </c>
      <c r="S32" s="152">
        <v>12</v>
      </c>
      <c r="T32" s="157" t="s">
        <v>46</v>
      </c>
      <c r="U32" s="162" t="e">
        <f ca="1">_xlfn.XLOOKUP(PAA[[#This Row],[ITEM]],Contrato!A:A,Contrato!Q:Q,"",0)</f>
        <v>#NAME?</v>
      </c>
      <c r="V32" s="57" t="s">
        <v>47</v>
      </c>
      <c r="W32" s="57" t="s">
        <v>48</v>
      </c>
      <c r="X32" s="57" t="s">
        <v>48</v>
      </c>
      <c r="Y32" s="58" t="e">
        <f ca="1">_xlfn.XLOOKUP(PAA[[#This Row],[ITEM]],Contrato!A:A,Contrato!B:B,"",0)</f>
        <v>#NAME?</v>
      </c>
      <c r="Z32" s="57" t="e">
        <f ca="1">_xlfn.XLOOKUP(PAA[[#This Row],[ITEM]],Contrato!A:A,Contrato!G:G,"",0)</f>
        <v>#NAME?</v>
      </c>
      <c r="AA32" s="57" t="e">
        <f ca="1">_xlfn.XLOOKUP(PAA[[#This Row],[ITEM]],Contrato!A:A,Contrato!T:T,"",0)</f>
        <v>#NAME?</v>
      </c>
      <c r="AB32" s="58" t="e">
        <f ca="1">+MAX(PAA[[#This Row],[Comprometido Contrato]],)</f>
        <v>#NAME?</v>
      </c>
      <c r="AC32" s="58" t="str">
        <f t="shared" ca="1" si="3"/>
        <v/>
      </c>
      <c r="AD32" s="58" t="e">
        <f ca="1">+MAX(PAA[[#This Row],[Pago por Contrato]],)</f>
        <v>#NAME?</v>
      </c>
      <c r="AE32" s="58" t="str">
        <f t="shared" ca="1" si="4"/>
        <v/>
      </c>
      <c r="AF32" s="57" t="e">
        <f t="shared" ca="1" si="5"/>
        <v>#NAME?</v>
      </c>
      <c r="AG32" s="57" t="str">
        <f t="shared" si="6"/>
        <v/>
      </c>
      <c r="AH32" s="57" t="e" cm="1">
        <f t="array" aca="1" ref="AH32" ca="1">_xlfn.XLOOKUP(PAA[[#This Row],[RCP-RUBRO]],COMPROMISOS_2025[[#All],[concatenado]],COMPROMISOS_2025[[#All],[Total pagado]],"",0)</f>
        <v>#NAME?</v>
      </c>
      <c r="AI32" s="57" t="e" cm="1">
        <f t="array" aca="1" ref="AI32" ca="1">_xlfn.XLOOKUP(PAA[[#This Row],[RCP-RUBRO]],COMPROMISOS_2025[[#All],[concatenado]],COMPROMISOS_2025[[#All],[Total Comprometido]],"",0)</f>
        <v>#NAME?</v>
      </c>
    </row>
    <row r="33" spans="1:35" s="50" customFormat="1" ht="42" hidden="1" customHeight="1" x14ac:dyDescent="0.25">
      <c r="A33" s="57">
        <v>27</v>
      </c>
      <c r="B33" s="186" t="s">
        <v>41</v>
      </c>
      <c r="C33" s="57" t="str">
        <f>VLOOKUP(PAA[[#This Row],[PROYECTO (formulado)2]],PROYECTOS!$G$1:$L$32,6,0)</f>
        <v>SUBGERENCIA ADMINISTRATIVA Y FINANCIERA</v>
      </c>
      <c r="D33" s="57" t="str">
        <f>+IF(PAA[[#This Row],[UNIDAD DE CONTRATACION (formulado)]]="Subgerencia Administrativa y Financiera","FUNCIONAMIENTO","INVERSIÓN")</f>
        <v>FUNCIONAMIENTO</v>
      </c>
      <c r="E33" s="153" t="str">
        <f>VLOOKUP(Q33,PROYECTOS!$G$1:$K$32,5,0)</f>
        <v>FUNCIONAMIENTO</v>
      </c>
      <c r="F33" s="153">
        <f>VLOOKUP(E33,PROYECTOS!$K$1:$M$32,3,0)</f>
        <v>999999</v>
      </c>
      <c r="G33" s="154" t="s">
        <v>42</v>
      </c>
      <c r="H33" s="154">
        <f>VLOOKUP(Q33,PROYECTOS!$V$1:$W$32,2,0)</f>
        <v>999999</v>
      </c>
      <c r="I33" s="143">
        <v>25377088</v>
      </c>
      <c r="J33" s="155" t="s">
        <v>99</v>
      </c>
      <c r="K33" s="57" t="str">
        <f t="shared" ca="1" si="0"/>
        <v>CONTRATADO</v>
      </c>
      <c r="L33" s="155" t="s">
        <v>44</v>
      </c>
      <c r="M33" s="155" t="s">
        <v>44</v>
      </c>
      <c r="N33" s="142" t="s">
        <v>100</v>
      </c>
      <c r="O33" s="155">
        <f>VLOOKUP(N33,RUBROS[#All],3,0)</f>
        <v>28</v>
      </c>
      <c r="P33" s="156" t="str">
        <f>VLOOKUP(N33,RUBROS[#All],2,0)</f>
        <v>Caja Menor - Servicios de alojamiento; servicios de suministro de comidas y bebidas; servicios de transporte; y servicios de distribución de electricidad, gas y agua</v>
      </c>
      <c r="Q33" s="57" t="str">
        <f t="shared" si="1"/>
        <v>00</v>
      </c>
      <c r="R33" s="57" t="str">
        <f t="shared" si="2"/>
        <v>0-205616</v>
      </c>
      <c r="S33" s="152">
        <v>12</v>
      </c>
      <c r="T33" s="157" t="s">
        <v>46</v>
      </c>
      <c r="U33" s="162" t="e">
        <f ca="1">_xlfn.XLOOKUP(PAA[[#This Row],[ITEM]],Contrato!A:A,Contrato!Q:Q,"",0)</f>
        <v>#NAME?</v>
      </c>
      <c r="V33" s="57" t="s">
        <v>47</v>
      </c>
      <c r="W33" s="57" t="s">
        <v>48</v>
      </c>
      <c r="X33" s="57" t="s">
        <v>48</v>
      </c>
      <c r="Y33" s="58" t="e">
        <f ca="1">_xlfn.XLOOKUP(PAA[[#This Row],[ITEM]],Contrato!A:A,Contrato!B:B,"",0)</f>
        <v>#NAME?</v>
      </c>
      <c r="Z33" s="57" t="e">
        <f ca="1">_xlfn.XLOOKUP(PAA[[#This Row],[ITEM]],Contrato!A:A,Contrato!G:G,"",0)</f>
        <v>#NAME?</v>
      </c>
      <c r="AA33" s="57" t="e">
        <f ca="1">_xlfn.XLOOKUP(PAA[[#This Row],[ITEM]],Contrato!A:A,Contrato!T:T,"",0)</f>
        <v>#NAME?</v>
      </c>
      <c r="AB33" s="58" t="e">
        <f ca="1">+MAX(PAA[[#This Row],[Comprometido Contrato]],)</f>
        <v>#NAME?</v>
      </c>
      <c r="AC33" s="58" t="str">
        <f t="shared" ca="1" si="3"/>
        <v/>
      </c>
      <c r="AD33" s="58" t="e">
        <f ca="1">+MAX(PAA[[#This Row],[Pago por Contrato]],)</f>
        <v>#NAME?</v>
      </c>
      <c r="AE33" s="58" t="str">
        <f t="shared" ca="1" si="4"/>
        <v/>
      </c>
      <c r="AF33" s="57" t="e">
        <f t="shared" ca="1" si="5"/>
        <v>#NAME?</v>
      </c>
      <c r="AG33" s="57" t="str">
        <f t="shared" si="6"/>
        <v/>
      </c>
      <c r="AH33" s="57" t="e" cm="1">
        <f t="array" aca="1" ref="AH33" ca="1">_xlfn.XLOOKUP(PAA[[#This Row],[RCP-RUBRO]],COMPROMISOS_2025[[#All],[concatenado]],COMPROMISOS_2025[[#All],[Total pagado]],"",0)</f>
        <v>#NAME?</v>
      </c>
      <c r="AI33" s="57" t="e" cm="1">
        <f t="array" aca="1" ref="AI33" ca="1">_xlfn.XLOOKUP(PAA[[#This Row],[RCP-RUBRO]],COMPROMISOS_2025[[#All],[concatenado]],COMPROMISOS_2025[[#All],[Total Comprometido]],"",0)</f>
        <v>#NAME?</v>
      </c>
    </row>
    <row r="34" spans="1:35" s="50" customFormat="1" ht="42" hidden="1" customHeight="1" x14ac:dyDescent="0.25">
      <c r="A34" s="57">
        <v>28</v>
      </c>
      <c r="B34" s="186" t="s">
        <v>41</v>
      </c>
      <c r="C34" s="57" t="str">
        <f>VLOOKUP(PAA[[#This Row],[PROYECTO (formulado)2]],PROYECTOS!$G$1:$L$32,6,0)</f>
        <v>SUBGERENCIA ADMINISTRATIVA Y FINANCIERA</v>
      </c>
      <c r="D34" s="57" t="str">
        <f>+IF(PAA[[#This Row],[UNIDAD DE CONTRATACION (formulado)]]="Subgerencia Administrativa y Financiera","FUNCIONAMIENTO","INVERSIÓN")</f>
        <v>FUNCIONAMIENTO</v>
      </c>
      <c r="E34" s="153" t="str">
        <f>VLOOKUP(Q34,PROYECTOS!$G$1:$K$32,5,0)</f>
        <v>FUNCIONAMIENTO</v>
      </c>
      <c r="F34" s="153">
        <f>VLOOKUP(E34,PROYECTOS!$K$1:$M$32,3,0)</f>
        <v>999999</v>
      </c>
      <c r="G34" s="154" t="s">
        <v>42</v>
      </c>
      <c r="H34" s="154">
        <f>VLOOKUP(Q34,PROYECTOS!$V$1:$W$32,2,0)</f>
        <v>999999</v>
      </c>
      <c r="I34" s="143">
        <v>1380562</v>
      </c>
      <c r="J34" s="155" t="s">
        <v>101</v>
      </c>
      <c r="K34" s="57" t="str">
        <f t="shared" ca="1" si="0"/>
        <v>CONTRATADO</v>
      </c>
      <c r="L34" s="155" t="s">
        <v>44</v>
      </c>
      <c r="M34" s="155" t="s">
        <v>44</v>
      </c>
      <c r="N34" s="142" t="s">
        <v>102</v>
      </c>
      <c r="O34" s="155">
        <f>VLOOKUP(N34,RUBROS[#All],3,0)</f>
        <v>29</v>
      </c>
      <c r="P34" s="156" t="str">
        <f>VLOOKUP(N34,RUBROS[#All],2,0)</f>
        <v>Caja Menor - Servicios financieros y servicios conexos, servicios inmobiliarios y servicios de leasing</v>
      </c>
      <c r="Q34" s="57" t="str">
        <f t="shared" si="1"/>
        <v>00</v>
      </c>
      <c r="R34" s="57" t="str">
        <f t="shared" si="2"/>
        <v>0-205616</v>
      </c>
      <c r="S34" s="152">
        <v>12</v>
      </c>
      <c r="T34" s="157" t="s">
        <v>46</v>
      </c>
      <c r="U34" s="162" t="e">
        <f ca="1">_xlfn.XLOOKUP(PAA[[#This Row],[ITEM]],Contrato!A:A,Contrato!Q:Q,"",0)</f>
        <v>#NAME?</v>
      </c>
      <c r="V34" s="57" t="s">
        <v>47</v>
      </c>
      <c r="W34" s="57" t="s">
        <v>48</v>
      </c>
      <c r="X34" s="57" t="s">
        <v>48</v>
      </c>
      <c r="Y34" s="58" t="e">
        <f ca="1">_xlfn.XLOOKUP(PAA[[#This Row],[ITEM]],Contrato!A:A,Contrato!B:B,"",0)</f>
        <v>#NAME?</v>
      </c>
      <c r="Z34" s="57" t="e">
        <f ca="1">_xlfn.XLOOKUP(PAA[[#This Row],[ITEM]],Contrato!A:A,Contrato!G:G,"",0)</f>
        <v>#NAME?</v>
      </c>
      <c r="AA34" s="57" t="e">
        <f ca="1">_xlfn.XLOOKUP(PAA[[#This Row],[ITEM]],Contrato!A:A,Contrato!T:T,"",0)</f>
        <v>#NAME?</v>
      </c>
      <c r="AB34" s="58" t="e">
        <f ca="1">+MAX(PAA[[#This Row],[Comprometido Contrato]],)</f>
        <v>#NAME?</v>
      </c>
      <c r="AC34" s="58" t="str">
        <f t="shared" ca="1" si="3"/>
        <v/>
      </c>
      <c r="AD34" s="58" t="e">
        <f ca="1">+MAX(PAA[[#This Row],[Pago por Contrato]],)</f>
        <v>#NAME?</v>
      </c>
      <c r="AE34" s="58" t="str">
        <f t="shared" ca="1" si="4"/>
        <v/>
      </c>
      <c r="AF34" s="57" t="e">
        <f t="shared" ca="1" si="5"/>
        <v>#NAME?</v>
      </c>
      <c r="AG34" s="57" t="str">
        <f t="shared" si="6"/>
        <v/>
      </c>
      <c r="AH34" s="57" t="e" cm="1">
        <f t="array" aca="1" ref="AH34" ca="1">_xlfn.XLOOKUP(PAA[[#This Row],[RCP-RUBRO]],COMPROMISOS_2025[[#All],[concatenado]],COMPROMISOS_2025[[#All],[Total pagado]],"",0)</f>
        <v>#NAME?</v>
      </c>
      <c r="AI34" s="57" t="e" cm="1">
        <f t="array" aca="1" ref="AI34" ca="1">_xlfn.XLOOKUP(PAA[[#This Row],[RCP-RUBRO]],COMPROMISOS_2025[[#All],[concatenado]],COMPROMISOS_2025[[#All],[Total Comprometido]],"",0)</f>
        <v>#NAME?</v>
      </c>
    </row>
    <row r="35" spans="1:35" s="50" customFormat="1" ht="42" hidden="1" customHeight="1" x14ac:dyDescent="0.25">
      <c r="A35" s="57">
        <v>29</v>
      </c>
      <c r="B35" s="186" t="s">
        <v>41</v>
      </c>
      <c r="C35" s="57" t="str">
        <f>VLOOKUP(PAA[[#This Row],[PROYECTO (formulado)2]],PROYECTOS!$G$1:$L$32,6,0)</f>
        <v>SUBGERENCIA ADMINISTRATIVA Y FINANCIERA</v>
      </c>
      <c r="D35" s="57" t="str">
        <f>+IF(PAA[[#This Row],[UNIDAD DE CONTRATACION (formulado)]]="Subgerencia Administrativa y Financiera","FUNCIONAMIENTO","INVERSIÓN")</f>
        <v>FUNCIONAMIENTO</v>
      </c>
      <c r="E35" s="153" t="str">
        <f>VLOOKUP(Q35,PROYECTOS!$G$1:$K$32,5,0)</f>
        <v>FUNCIONAMIENTO</v>
      </c>
      <c r="F35" s="153">
        <f>VLOOKUP(E35,PROYECTOS!$K$1:$M$32,3,0)</f>
        <v>999999</v>
      </c>
      <c r="G35" s="154" t="s">
        <v>42</v>
      </c>
      <c r="H35" s="154">
        <f>VLOOKUP(Q35,PROYECTOS!$V$1:$W$32,2,0)</f>
        <v>999999</v>
      </c>
      <c r="I35" s="143">
        <v>19032816</v>
      </c>
      <c r="J35" s="155" t="s">
        <v>103</v>
      </c>
      <c r="K35" s="57" t="str">
        <f t="shared" ca="1" si="0"/>
        <v>CONTRATADO</v>
      </c>
      <c r="L35" s="155" t="s">
        <v>44</v>
      </c>
      <c r="M35" s="155" t="s">
        <v>44</v>
      </c>
      <c r="N35" s="142" t="s">
        <v>104</v>
      </c>
      <c r="O35" s="155">
        <f>VLOOKUP(N35,RUBROS[#All],3,0)</f>
        <v>31</v>
      </c>
      <c r="P35" s="156" t="str">
        <f>VLOOKUP(N35,RUBROS[#All],2,0)</f>
        <v xml:space="preserve">Caja Menor - Servicios prestados a las empresas y servicios de producción </v>
      </c>
      <c r="Q35" s="57" t="str">
        <f t="shared" si="1"/>
        <v>00</v>
      </c>
      <c r="R35" s="57" t="str">
        <f t="shared" si="2"/>
        <v>0-205616</v>
      </c>
      <c r="S35" s="152">
        <v>12</v>
      </c>
      <c r="T35" s="157" t="s">
        <v>46</v>
      </c>
      <c r="U35" s="162" t="e">
        <f ca="1">_xlfn.XLOOKUP(PAA[[#This Row],[ITEM]],Contrato!A:A,Contrato!Q:Q,"",0)</f>
        <v>#NAME?</v>
      </c>
      <c r="V35" s="57" t="s">
        <v>47</v>
      </c>
      <c r="W35" s="57" t="s">
        <v>48</v>
      </c>
      <c r="X35" s="57" t="s">
        <v>48</v>
      </c>
      <c r="Y35" s="58" t="e">
        <f ca="1">_xlfn.XLOOKUP(PAA[[#This Row],[ITEM]],Contrato!A:A,Contrato!B:B,"",0)</f>
        <v>#NAME?</v>
      </c>
      <c r="Z35" s="57" t="e">
        <f ca="1">_xlfn.XLOOKUP(PAA[[#This Row],[ITEM]],Contrato!A:A,Contrato!G:G,"",0)</f>
        <v>#NAME?</v>
      </c>
      <c r="AA35" s="57" t="e">
        <f ca="1">_xlfn.XLOOKUP(PAA[[#This Row],[ITEM]],Contrato!A:A,Contrato!T:T,"",0)</f>
        <v>#NAME?</v>
      </c>
      <c r="AB35" s="58" t="e">
        <f ca="1">+MAX(PAA[[#This Row],[Comprometido Contrato]],)</f>
        <v>#NAME?</v>
      </c>
      <c r="AC35" s="58" t="str">
        <f t="shared" ca="1" si="3"/>
        <v/>
      </c>
      <c r="AD35" s="58" t="e">
        <f ca="1">+MAX(PAA[[#This Row],[Pago por Contrato]],)</f>
        <v>#NAME?</v>
      </c>
      <c r="AE35" s="58" t="str">
        <f t="shared" ca="1" si="4"/>
        <v/>
      </c>
      <c r="AF35" s="57" t="e">
        <f t="shared" ca="1" si="5"/>
        <v>#NAME?</v>
      </c>
      <c r="AG35" s="57" t="str">
        <f t="shared" si="6"/>
        <v/>
      </c>
      <c r="AH35" s="57" t="e" cm="1">
        <f t="array" aca="1" ref="AH35" ca="1">_xlfn.XLOOKUP(PAA[[#This Row],[RCP-RUBRO]],COMPROMISOS_2025[[#All],[concatenado]],COMPROMISOS_2025[[#All],[Total pagado]],"",0)</f>
        <v>#NAME?</v>
      </c>
      <c r="AI35" s="57" t="e" cm="1">
        <f t="array" aca="1" ref="AI35" ca="1">_xlfn.XLOOKUP(PAA[[#This Row],[RCP-RUBRO]],COMPROMISOS_2025[[#All],[concatenado]],COMPROMISOS_2025[[#All],[Total Comprometido]],"",0)</f>
        <v>#NAME?</v>
      </c>
    </row>
    <row r="36" spans="1:35" s="50" customFormat="1" ht="42" hidden="1" customHeight="1" x14ac:dyDescent="0.25">
      <c r="A36" s="57">
        <v>30</v>
      </c>
      <c r="B36" s="186" t="s">
        <v>41</v>
      </c>
      <c r="C36" s="57" t="str">
        <f>VLOOKUP(PAA[[#This Row],[PROYECTO (formulado)2]],PROYECTOS!$G$1:$L$32,6,0)</f>
        <v>SUBGERENCIA ADMINISTRATIVA Y FINANCIERA</v>
      </c>
      <c r="D36" s="57" t="str">
        <f>+IF(PAA[[#This Row],[UNIDAD DE CONTRATACION (formulado)]]="Subgerencia Administrativa y Financiera","FUNCIONAMIENTO","INVERSIÓN")</f>
        <v>FUNCIONAMIENTO</v>
      </c>
      <c r="E36" s="153" t="str">
        <f>VLOOKUP(Q36,PROYECTOS!$G$1:$K$32,5,0)</f>
        <v>FUNCIONAMIENTO</v>
      </c>
      <c r="F36" s="153">
        <f>VLOOKUP(E36,PROYECTOS!$K$1:$M$32,3,0)</f>
        <v>999999</v>
      </c>
      <c r="G36" s="154" t="s">
        <v>42</v>
      </c>
      <c r="H36" s="154">
        <f>VLOOKUP(Q36,PROYECTOS!$V$1:$W$32,2,0)</f>
        <v>999999</v>
      </c>
      <c r="I36" s="143">
        <v>50000000</v>
      </c>
      <c r="J36" s="155" t="s">
        <v>105</v>
      </c>
      <c r="K36" s="57" t="str">
        <f t="shared" ca="1" si="0"/>
        <v>CONTRATADO</v>
      </c>
      <c r="L36" s="155" t="s">
        <v>44</v>
      </c>
      <c r="M36" s="155" t="s">
        <v>44</v>
      </c>
      <c r="N36" s="142" t="s">
        <v>106</v>
      </c>
      <c r="O36" s="155">
        <f>VLOOKUP(N36,RUBROS[#All],3,0)</f>
        <v>38</v>
      </c>
      <c r="P36" s="156" t="str">
        <f>VLOOKUP(N36,RUBROS[#All],2,0)</f>
        <v>Sentencias</v>
      </c>
      <c r="Q36" s="57" t="str">
        <f t="shared" si="1"/>
        <v>00</v>
      </c>
      <c r="R36" s="57" t="str">
        <f t="shared" si="2"/>
        <v>0-205616</v>
      </c>
      <c r="S36" s="152">
        <v>12</v>
      </c>
      <c r="T36" s="157" t="s">
        <v>46</v>
      </c>
      <c r="U36" s="162" t="e">
        <f ca="1">_xlfn.XLOOKUP(PAA[[#This Row],[ITEM]],Contrato!A:A,Contrato!Q:Q,"",0)</f>
        <v>#NAME?</v>
      </c>
      <c r="V36" s="57" t="s">
        <v>47</v>
      </c>
      <c r="W36" s="57" t="s">
        <v>48</v>
      </c>
      <c r="X36" s="57" t="s">
        <v>48</v>
      </c>
      <c r="Y36" s="58" t="e">
        <f ca="1">_xlfn.XLOOKUP(PAA[[#This Row],[ITEM]],Contrato!A:A,Contrato!B:B,"",0)</f>
        <v>#NAME?</v>
      </c>
      <c r="Z36" s="57" t="e">
        <f ca="1">_xlfn.XLOOKUP(PAA[[#This Row],[ITEM]],Contrato!A:A,Contrato!G:G,"",0)</f>
        <v>#NAME?</v>
      </c>
      <c r="AA36" s="57" t="e">
        <f ca="1">_xlfn.XLOOKUP(PAA[[#This Row],[ITEM]],Contrato!A:A,Contrato!T:T,"",0)</f>
        <v>#NAME?</v>
      </c>
      <c r="AB36" s="58" t="e">
        <f ca="1">+MAX(PAA[[#This Row],[Comprometido Contrato]],)</f>
        <v>#NAME?</v>
      </c>
      <c r="AC36" s="58" t="str">
        <f t="shared" ca="1" si="3"/>
        <v/>
      </c>
      <c r="AD36" s="58" t="e">
        <f ca="1">+MAX(PAA[[#This Row],[Pago por Contrato]],)</f>
        <v>#NAME?</v>
      </c>
      <c r="AE36" s="58" t="str">
        <f t="shared" ca="1" si="4"/>
        <v/>
      </c>
      <c r="AF36" s="57" t="e">
        <f t="shared" ca="1" si="5"/>
        <v>#NAME?</v>
      </c>
      <c r="AG36" s="57" t="str">
        <f t="shared" si="6"/>
        <v/>
      </c>
      <c r="AH36" s="57" t="e" cm="1">
        <f t="array" aca="1" ref="AH36" ca="1">_xlfn.XLOOKUP(PAA[[#This Row],[RCP-RUBRO]],COMPROMISOS_2025[[#All],[concatenado]],COMPROMISOS_2025[[#All],[Total pagado]],"",0)</f>
        <v>#NAME?</v>
      </c>
      <c r="AI36" s="57" t="e" cm="1">
        <f t="array" aca="1" ref="AI36" ca="1">_xlfn.XLOOKUP(PAA[[#This Row],[RCP-RUBRO]],COMPROMISOS_2025[[#All],[concatenado]],COMPROMISOS_2025[[#All],[Total Comprometido]],"",0)</f>
        <v>#NAME?</v>
      </c>
    </row>
    <row r="37" spans="1:35" s="50" customFormat="1" ht="42" hidden="1" customHeight="1" x14ac:dyDescent="0.25">
      <c r="A37" s="57">
        <v>31</v>
      </c>
      <c r="B37" s="186" t="s">
        <v>41</v>
      </c>
      <c r="C37" s="57" t="str">
        <f>VLOOKUP(PAA[[#This Row],[PROYECTO (formulado)2]],PROYECTOS!$G$1:$L$32,6,0)</f>
        <v>SUBGERENCIA ADMINISTRATIVA Y FINANCIERA</v>
      </c>
      <c r="D37" s="57" t="str">
        <f>+IF(PAA[[#This Row],[UNIDAD DE CONTRATACION (formulado)]]="Subgerencia Administrativa y Financiera","FUNCIONAMIENTO","INVERSIÓN")</f>
        <v>FUNCIONAMIENTO</v>
      </c>
      <c r="E37" s="153" t="str">
        <f>VLOOKUP(Q37,PROYECTOS!$G$1:$K$32,5,0)</f>
        <v>FUNCIONAMIENTO</v>
      </c>
      <c r="F37" s="153">
        <f>VLOOKUP(E37,PROYECTOS!$K$1:$M$32,3,0)</f>
        <v>999999</v>
      </c>
      <c r="G37" s="154" t="s">
        <v>42</v>
      </c>
      <c r="H37" s="154">
        <f>VLOOKUP(Q37,PROYECTOS!$V$1:$W$32,2,0)</f>
        <v>999999</v>
      </c>
      <c r="I37" s="143">
        <v>100000000</v>
      </c>
      <c r="J37" s="155" t="s">
        <v>107</v>
      </c>
      <c r="K37" s="57" t="str">
        <f t="shared" ca="1" si="0"/>
        <v>CONTRATADO</v>
      </c>
      <c r="L37" s="155" t="s">
        <v>44</v>
      </c>
      <c r="M37" s="155" t="s">
        <v>44</v>
      </c>
      <c r="N37" s="142" t="s">
        <v>108</v>
      </c>
      <c r="O37" s="155">
        <f>VLOOKUP(N37,RUBROS[#All],3,0)</f>
        <v>39</v>
      </c>
      <c r="P37" s="156" t="str">
        <f>VLOOKUP(N37,RUBROS[#All],2,0)</f>
        <v>Conciliaciones</v>
      </c>
      <c r="Q37" s="57" t="str">
        <f t="shared" si="1"/>
        <v>00</v>
      </c>
      <c r="R37" s="57" t="str">
        <f t="shared" si="2"/>
        <v>0-205616</v>
      </c>
      <c r="S37" s="152">
        <v>12</v>
      </c>
      <c r="T37" s="157" t="s">
        <v>46</v>
      </c>
      <c r="U37" s="162" t="e">
        <f ca="1">_xlfn.XLOOKUP(PAA[[#This Row],[ITEM]],Contrato!A:A,Contrato!Q:Q,"",0)</f>
        <v>#NAME?</v>
      </c>
      <c r="V37" s="57" t="s">
        <v>47</v>
      </c>
      <c r="W37" s="57" t="s">
        <v>48</v>
      </c>
      <c r="X37" s="57" t="s">
        <v>48</v>
      </c>
      <c r="Y37" s="58" t="e">
        <f ca="1">_xlfn.XLOOKUP(PAA[[#This Row],[ITEM]],Contrato!A:A,Contrato!B:B,"",0)</f>
        <v>#NAME?</v>
      </c>
      <c r="Z37" s="57" t="e">
        <f ca="1">_xlfn.XLOOKUP(PAA[[#This Row],[ITEM]],Contrato!A:A,Contrato!G:G,"",0)</f>
        <v>#NAME?</v>
      </c>
      <c r="AA37" s="57" t="e">
        <f ca="1">_xlfn.XLOOKUP(PAA[[#This Row],[ITEM]],Contrato!A:A,Contrato!T:T,"",0)</f>
        <v>#NAME?</v>
      </c>
      <c r="AB37" s="58" t="e">
        <f ca="1">+MAX(PAA[[#This Row],[Comprometido Contrato]],)</f>
        <v>#NAME?</v>
      </c>
      <c r="AC37" s="58" t="str">
        <f t="shared" ca="1" si="3"/>
        <v/>
      </c>
      <c r="AD37" s="58" t="e">
        <f ca="1">+MAX(PAA[[#This Row],[Pago por Contrato]],)</f>
        <v>#NAME?</v>
      </c>
      <c r="AE37" s="58" t="str">
        <f t="shared" ca="1" si="4"/>
        <v/>
      </c>
      <c r="AF37" s="57" t="e">
        <f t="shared" ca="1" si="5"/>
        <v>#NAME?</v>
      </c>
      <c r="AG37" s="57" t="str">
        <f t="shared" si="6"/>
        <v/>
      </c>
      <c r="AH37" s="57" t="e" cm="1">
        <f t="array" aca="1" ref="AH37" ca="1">_xlfn.XLOOKUP(PAA[[#This Row],[RCP-RUBRO]],COMPROMISOS_2025[[#All],[concatenado]],COMPROMISOS_2025[[#All],[Total pagado]],"",0)</f>
        <v>#NAME?</v>
      </c>
      <c r="AI37" s="57" t="e" cm="1">
        <f t="array" aca="1" ref="AI37" ca="1">_xlfn.XLOOKUP(PAA[[#This Row],[RCP-RUBRO]],COMPROMISOS_2025[[#All],[concatenado]],COMPROMISOS_2025[[#All],[Total Comprometido]],"",0)</f>
        <v>#NAME?</v>
      </c>
    </row>
    <row r="38" spans="1:35" s="50" customFormat="1" ht="42" hidden="1" customHeight="1" x14ac:dyDescent="0.25">
      <c r="A38" s="265">
        <v>32</v>
      </c>
      <c r="B38" s="255" t="s">
        <v>41</v>
      </c>
      <c r="C38" s="265" t="str">
        <f>VLOOKUP(PAA[[#This Row],[PROYECTO (formulado)2]],PROYECTOS!$G$1:$L$32,6,0)</f>
        <v>SUBGERENCIA ADMINISTRATIVA Y FINANCIERA</v>
      </c>
      <c r="D38" s="265" t="str">
        <f>+IF(PAA[[#This Row],[UNIDAD DE CONTRATACION (formulado)]]="Subgerencia Administrativa y Financiera","FUNCIONAMIENTO","INVERSIÓN")</f>
        <v>FUNCIONAMIENTO</v>
      </c>
      <c r="E38" s="274" t="str">
        <f>VLOOKUP(Q38,PROYECTOS!$G$1:$K$32,5,0)</f>
        <v>FUNCIONAMIENTO</v>
      </c>
      <c r="F38" s="274">
        <f>VLOOKUP(E38,PROYECTOS!$K$1:$M$32,3,0)</f>
        <v>999999</v>
      </c>
      <c r="G38" s="266" t="s">
        <v>42</v>
      </c>
      <c r="H38" s="266">
        <f>VLOOKUP(Q38,PROYECTOS!$V$1:$W$32,2,0)</f>
        <v>999999</v>
      </c>
      <c r="I38" s="269">
        <v>385599321</v>
      </c>
      <c r="J38" s="275" t="s">
        <v>109</v>
      </c>
      <c r="K38" s="265" t="str">
        <f t="shared" ca="1" si="0"/>
        <v>CONTRATADO</v>
      </c>
      <c r="L38" s="275" t="s">
        <v>44</v>
      </c>
      <c r="M38" s="275" t="s">
        <v>44</v>
      </c>
      <c r="N38" s="276" t="s">
        <v>110</v>
      </c>
      <c r="O38" s="275">
        <f>VLOOKUP(N38,RUBROS[#All],3,0)</f>
        <v>43</v>
      </c>
      <c r="P38" s="277" t="str">
        <f>VLOOKUP(N38,RUBROS[#All],2,0)</f>
        <v>Cuota de fiscalización y auditaje</v>
      </c>
      <c r="Q38" s="265" t="str">
        <f t="shared" si="1"/>
        <v>00</v>
      </c>
      <c r="R38" s="265" t="str">
        <f t="shared" si="2"/>
        <v>0-205616</v>
      </c>
      <c r="S38" s="254">
        <v>12</v>
      </c>
      <c r="T38" s="278" t="s">
        <v>46</v>
      </c>
      <c r="U38" s="272" t="e">
        <f ca="1">_xlfn.XLOOKUP(PAA[[#This Row],[ITEM]],Contrato!A:A,Contrato!Q:Q,"",0)</f>
        <v>#NAME?</v>
      </c>
      <c r="V38" s="265" t="s">
        <v>47</v>
      </c>
      <c r="W38" s="265" t="s">
        <v>48</v>
      </c>
      <c r="X38" s="265" t="s">
        <v>48</v>
      </c>
      <c r="Y38" s="273" t="e">
        <f ca="1">_xlfn.XLOOKUP(PAA[[#This Row],[ITEM]],Contrato!A:A,Contrato!B:B,"",0)</f>
        <v>#NAME?</v>
      </c>
      <c r="Z38" s="265" t="e">
        <f ca="1">_xlfn.XLOOKUP(PAA[[#This Row],[ITEM]],Contrato!A:A,Contrato!G:G,"",0)</f>
        <v>#NAME?</v>
      </c>
      <c r="AA38" s="265" t="e">
        <f ca="1">_xlfn.XLOOKUP(PAA[[#This Row],[ITEM]],Contrato!A:A,Contrato!T:T,"",0)</f>
        <v>#NAME?</v>
      </c>
      <c r="AB38" s="273" t="e">
        <f ca="1">+MAX(PAA[[#This Row],[Comprometido Contrato]],)</f>
        <v>#NAME?</v>
      </c>
      <c r="AC38" s="273" t="str">
        <f t="shared" ca="1" si="3"/>
        <v/>
      </c>
      <c r="AD38" s="273" t="e">
        <f ca="1">+MAX(PAA[[#This Row],[Pago por Contrato]],)</f>
        <v>#NAME?</v>
      </c>
      <c r="AE38" s="273" t="str">
        <f t="shared" ca="1" si="4"/>
        <v/>
      </c>
      <c r="AF38" s="265" t="e">
        <f t="shared" ca="1" si="5"/>
        <v>#NAME?</v>
      </c>
      <c r="AG38" s="265" t="str">
        <f t="shared" si="6"/>
        <v/>
      </c>
      <c r="AH38" s="265" t="e" cm="1">
        <f t="array" aca="1" ref="AH38" ca="1">_xlfn.XLOOKUP(PAA[[#This Row],[RCP-RUBRO]],COMPROMISOS_2025[[#All],[concatenado]],COMPROMISOS_2025[[#All],[Total pagado]],"",0)</f>
        <v>#NAME?</v>
      </c>
      <c r="AI38" s="265" t="e" cm="1">
        <f t="array" aca="1" ref="AI38" ca="1">_xlfn.XLOOKUP(PAA[[#This Row],[RCP-RUBRO]],COMPROMISOS_2025[[#All],[concatenado]],COMPROMISOS_2025[[#All],[Total Comprometido]],"",0)</f>
        <v>#NAME?</v>
      </c>
    </row>
    <row r="39" spans="1:35" s="50" customFormat="1" ht="42" hidden="1" customHeight="1" x14ac:dyDescent="0.25">
      <c r="A39" s="207">
        <v>33</v>
      </c>
      <c r="B39" s="200">
        <v>80111600</v>
      </c>
      <c r="C39" s="207" t="str">
        <f>VLOOKUP(PAA[[#This Row],[PROYECTO (formulado)2]],PROYECTOS!$G$1:$L$32,6,0)</f>
        <v>SUBGERENCIA ADMINISTRATIVA Y FINANCIERA</v>
      </c>
      <c r="D39" s="207" t="str">
        <f>+IF(PAA[[#This Row],[UNIDAD DE CONTRATACION (formulado)]]="Subgerencia Administrativa y Financiera","FUNCIONAMIENTO","INVERSIÓN")</f>
        <v>FUNCIONAMIENTO</v>
      </c>
      <c r="E39" s="217" t="str">
        <f>VLOOKUP(Q39,PROYECTOS!$G$1:$K$32,5,0)</f>
        <v>FUNCIONAMIENTO</v>
      </c>
      <c r="F39" s="217">
        <f>VLOOKUP(E39,PROYECTOS!$K$1:$M$32,3,0)</f>
        <v>999999</v>
      </c>
      <c r="G39" s="218" t="s">
        <v>42</v>
      </c>
      <c r="H39" s="218">
        <f>VLOOKUP(Q39,PROYECTOS!$V$1:$W$32,2,0)</f>
        <v>999999</v>
      </c>
      <c r="I39" s="219">
        <v>37609000</v>
      </c>
      <c r="J39" s="220" t="s">
        <v>111</v>
      </c>
      <c r="K39" s="207" t="str">
        <f t="shared" ca="1" si="0"/>
        <v>CONTRATADO</v>
      </c>
      <c r="L39" s="220" t="s">
        <v>112</v>
      </c>
      <c r="M39" s="220" t="s">
        <v>113</v>
      </c>
      <c r="N39" s="221" t="s">
        <v>114</v>
      </c>
      <c r="O39" s="220">
        <f>VLOOKUP(N39,RUBROS[#All],3,0)</f>
        <v>30</v>
      </c>
      <c r="P39" s="207" t="str">
        <f>VLOOKUP(N39,RUBROS[#All],2,0)</f>
        <v xml:space="preserve">Servicios prestados a las empresas y servicios de producción </v>
      </c>
      <c r="Q39" s="207" t="str">
        <f t="shared" si="1"/>
        <v>00</v>
      </c>
      <c r="R39" s="199" t="str">
        <f t="shared" si="2"/>
        <v>0-205616</v>
      </c>
      <c r="S39" s="207">
        <v>5</v>
      </c>
      <c r="T39" s="222" t="s">
        <v>46</v>
      </c>
      <c r="U39" s="223" t="e">
        <f ca="1">_xlfn.XLOOKUP(PAA[[#This Row],[ITEM]],Contrato!A:A,Contrato!Q:Q,"",0)</f>
        <v>#NAME?</v>
      </c>
      <c r="V39" s="207" t="s">
        <v>47</v>
      </c>
      <c r="W39" s="207" t="s">
        <v>48</v>
      </c>
      <c r="X39" s="207" t="s">
        <v>48</v>
      </c>
      <c r="Y39" s="224" t="e">
        <f ca="1">_xlfn.XLOOKUP(PAA[[#This Row],[ITEM]],Contrato!A:A,Contrato!B:B,"",0)</f>
        <v>#NAME?</v>
      </c>
      <c r="Z39" s="207" t="e">
        <f ca="1">_xlfn.XLOOKUP(PAA[[#This Row],[ITEM]],Contrato!A:A,Contrato!G:G,"",0)</f>
        <v>#NAME?</v>
      </c>
      <c r="AA39" s="207" t="e">
        <f ca="1">_xlfn.XLOOKUP(PAA[[#This Row],[ITEM]],Contrato!A:A,Contrato!T:T,"",0)</f>
        <v>#NAME?</v>
      </c>
      <c r="AB39" s="224" t="e">
        <f ca="1">+MAX(PAA[[#This Row],[Comprometido Contrato]],)</f>
        <v>#NAME?</v>
      </c>
      <c r="AC39" s="224" t="str">
        <f t="shared" ca="1" si="3"/>
        <v/>
      </c>
      <c r="AD39" s="224" t="e">
        <f ca="1">+MAX(PAA[[#This Row],[Pago por Contrato]],)</f>
        <v>#NAME?</v>
      </c>
      <c r="AE39" s="224" t="str">
        <f t="shared" ca="1" si="4"/>
        <v/>
      </c>
      <c r="AF39" s="207" t="e">
        <f t="shared" ca="1" si="5"/>
        <v>#NAME?</v>
      </c>
      <c r="AG39" s="207" t="str">
        <f t="shared" si="6"/>
        <v/>
      </c>
      <c r="AH39" s="207" t="e" cm="1">
        <f t="array" aca="1" ref="AH39" ca="1">_xlfn.XLOOKUP(PAA[[#This Row],[RCP-RUBRO]],COMPROMISOS_2025[[#All],[concatenado]],COMPROMISOS_2025[[#All],[Total pagado]],"",0)</f>
        <v>#NAME?</v>
      </c>
      <c r="AI39" s="207" t="e" cm="1">
        <f t="array" aca="1" ref="AI39" ca="1">_xlfn.XLOOKUP(PAA[[#This Row],[RCP-RUBRO]],COMPROMISOS_2025[[#All],[concatenado]],COMPROMISOS_2025[[#All],[Total Comprometido]],"",0)</f>
        <v>#NAME?</v>
      </c>
    </row>
    <row r="40" spans="1:35" s="50" customFormat="1" ht="42" hidden="1" customHeight="1" x14ac:dyDescent="0.25">
      <c r="A40" s="57">
        <v>34</v>
      </c>
      <c r="B40" s="186" t="s">
        <v>41</v>
      </c>
      <c r="C40" s="57" t="str">
        <f>VLOOKUP(PAA[[#This Row],[PROYECTO (formulado)2]],PROYECTOS!$G$1:$L$32,6,0)</f>
        <v>SUBGERENCIA ADMINISTRATIVA Y FINANCIERA</v>
      </c>
      <c r="D40" s="57" t="str">
        <f>+IF(PAA[[#This Row],[UNIDAD DE CONTRATACION (formulado)]]="Subgerencia Administrativa y Financiera","FUNCIONAMIENTO","INVERSIÓN")</f>
        <v>FUNCIONAMIENTO</v>
      </c>
      <c r="E40" s="153" t="str">
        <f>VLOOKUP(Q40,PROYECTOS!$G$1:$K$32,5,0)</f>
        <v>FUNCIONAMIENTO</v>
      </c>
      <c r="F40" s="153">
        <f>VLOOKUP(E40,PROYECTOS!$K$1:$M$32,3,0)</f>
        <v>999999</v>
      </c>
      <c r="G40" s="154" t="s">
        <v>42</v>
      </c>
      <c r="H40" s="154">
        <f>VLOOKUP(Q40,PROYECTOS!$V$1:$W$32,2,0)</f>
        <v>999999</v>
      </c>
      <c r="I40" s="143">
        <v>30000000</v>
      </c>
      <c r="J40" s="155" t="s">
        <v>115</v>
      </c>
      <c r="K40" s="57" t="str">
        <f t="shared" ca="1" si="0"/>
        <v>CONTRATADO</v>
      </c>
      <c r="L40" s="155" t="s">
        <v>44</v>
      </c>
      <c r="M40" s="155" t="s">
        <v>44</v>
      </c>
      <c r="N40" s="142" t="s">
        <v>116</v>
      </c>
      <c r="O40" s="155">
        <f>VLOOKUP(N40,RUBROS[#All],3,0)</f>
        <v>40</v>
      </c>
      <c r="P40" s="156" t="str">
        <f>VLOOKUP(N40,RUBROS[#All],2,0)</f>
        <v xml:space="preserve">Préstamos por calamidad doméstica </v>
      </c>
      <c r="Q40" s="57" t="str">
        <f t="shared" si="1"/>
        <v>00</v>
      </c>
      <c r="R40" s="57" t="str">
        <f t="shared" si="2"/>
        <v>0-205616</v>
      </c>
      <c r="S40" s="152">
        <v>12</v>
      </c>
      <c r="T40" s="157" t="s">
        <v>46</v>
      </c>
      <c r="U40" s="162" t="e">
        <f ca="1">_xlfn.XLOOKUP(PAA[[#This Row],[ITEM]],Contrato!A:A,Contrato!Q:Q,"",0)</f>
        <v>#NAME?</v>
      </c>
      <c r="V40" s="57" t="s">
        <v>47</v>
      </c>
      <c r="W40" s="57" t="s">
        <v>48</v>
      </c>
      <c r="X40" s="57" t="s">
        <v>48</v>
      </c>
      <c r="Y40" s="58" t="e">
        <f ca="1">_xlfn.XLOOKUP(PAA[[#This Row],[ITEM]],Contrato!A:A,Contrato!B:B,"",0)</f>
        <v>#NAME?</v>
      </c>
      <c r="Z40" s="57" t="e">
        <f ca="1">_xlfn.XLOOKUP(PAA[[#This Row],[ITEM]],Contrato!A:A,Contrato!G:G,"",0)</f>
        <v>#NAME?</v>
      </c>
      <c r="AA40" s="57" t="e">
        <f ca="1">_xlfn.XLOOKUP(PAA[[#This Row],[ITEM]],Contrato!A:A,Contrato!T:T,"",0)</f>
        <v>#NAME?</v>
      </c>
      <c r="AB40" s="58" t="e">
        <f ca="1">+MAX(PAA[[#This Row],[Comprometido Contrato]],)</f>
        <v>#NAME?</v>
      </c>
      <c r="AC40" s="58" t="str">
        <f t="shared" ca="1" si="3"/>
        <v/>
      </c>
      <c r="AD40" s="58" t="e">
        <f ca="1">+MAX(PAA[[#This Row],[Pago por Contrato]],)</f>
        <v>#NAME?</v>
      </c>
      <c r="AE40" s="58" t="str">
        <f t="shared" ca="1" si="4"/>
        <v/>
      </c>
      <c r="AF40" s="57" t="e">
        <f t="shared" ca="1" si="5"/>
        <v>#NAME?</v>
      </c>
      <c r="AG40" s="57" t="str">
        <f t="shared" si="6"/>
        <v/>
      </c>
      <c r="AH40" s="57" t="e" cm="1">
        <f t="array" aca="1" ref="AH40" ca="1">_xlfn.XLOOKUP(PAA[[#This Row],[RCP-RUBRO]],COMPROMISOS_2025[[#All],[concatenado]],COMPROMISOS_2025[[#All],[Total pagado]],"",0)</f>
        <v>#NAME?</v>
      </c>
      <c r="AI40" s="57" t="e" cm="1">
        <f t="array" aca="1" ref="AI40" ca="1">_xlfn.XLOOKUP(PAA[[#This Row],[RCP-RUBRO]],COMPROMISOS_2025[[#All],[concatenado]],COMPROMISOS_2025[[#All],[Total Comprometido]],"",0)</f>
        <v>#NAME?</v>
      </c>
    </row>
    <row r="41" spans="1:35" s="50" customFormat="1" ht="42" hidden="1" customHeight="1" x14ac:dyDescent="0.25">
      <c r="A41" s="57">
        <v>35</v>
      </c>
      <c r="B41" s="186" t="s">
        <v>41</v>
      </c>
      <c r="C41" s="57" t="str">
        <f>VLOOKUP(PAA[[#This Row],[PROYECTO (formulado)2]],PROYECTOS!$G$1:$L$32,6,0)</f>
        <v>SUBGERENCIA ADMINISTRATIVA Y FINANCIERA</v>
      </c>
      <c r="D41" s="57" t="str">
        <f>+IF(PAA[[#This Row],[UNIDAD DE CONTRATACION (formulado)]]="Subgerencia Administrativa y Financiera","FUNCIONAMIENTO","INVERSIÓN")</f>
        <v>FUNCIONAMIENTO</v>
      </c>
      <c r="E41" s="153" t="str">
        <f>VLOOKUP(Q41,PROYECTOS!$G$1:$K$32,5,0)</f>
        <v>FUNCIONAMIENTO</v>
      </c>
      <c r="F41" s="153">
        <f>VLOOKUP(E41,PROYECTOS!$K$1:$M$32,3,0)</f>
        <v>999999</v>
      </c>
      <c r="G41" s="154" t="s">
        <v>42</v>
      </c>
      <c r="H41" s="154">
        <f>VLOOKUP(Q41,PROYECTOS!$V$1:$W$32,2,0)</f>
        <v>999999</v>
      </c>
      <c r="I41" s="143">
        <v>208000000</v>
      </c>
      <c r="J41" s="155" t="s">
        <v>117</v>
      </c>
      <c r="K41" s="57" t="str">
        <f t="shared" ca="1" si="0"/>
        <v>CONTRATADO</v>
      </c>
      <c r="L41" s="155" t="s">
        <v>44</v>
      </c>
      <c r="M41" s="155" t="s">
        <v>44</v>
      </c>
      <c r="N41" s="142" t="s">
        <v>118</v>
      </c>
      <c r="O41" s="155">
        <f>VLOOKUP(N41,RUBROS[#All],3,0)</f>
        <v>42</v>
      </c>
      <c r="P41" s="156" t="str">
        <f>VLOOKUP(N41,RUBROS[#All],2,0)</f>
        <v>Impuesto predial unificado</v>
      </c>
      <c r="Q41" s="57" t="str">
        <f t="shared" si="1"/>
        <v>00</v>
      </c>
      <c r="R41" s="57" t="str">
        <f t="shared" si="2"/>
        <v>0-205616</v>
      </c>
      <c r="S41" s="152">
        <v>12</v>
      </c>
      <c r="T41" s="157" t="s">
        <v>46</v>
      </c>
      <c r="U41" s="162" t="e">
        <f ca="1">_xlfn.XLOOKUP(PAA[[#This Row],[ITEM]],Contrato!A:A,Contrato!Q:Q,"",0)</f>
        <v>#NAME?</v>
      </c>
      <c r="V41" s="57" t="s">
        <v>47</v>
      </c>
      <c r="W41" s="57" t="s">
        <v>48</v>
      </c>
      <c r="X41" s="57" t="s">
        <v>48</v>
      </c>
      <c r="Y41" s="58" t="e">
        <f ca="1">_xlfn.XLOOKUP(PAA[[#This Row],[ITEM]],Contrato!A:A,Contrato!B:B,"",0)</f>
        <v>#NAME?</v>
      </c>
      <c r="Z41" s="57" t="e">
        <f ca="1">_xlfn.XLOOKUP(PAA[[#This Row],[ITEM]],Contrato!A:A,Contrato!G:G,"",0)</f>
        <v>#NAME?</v>
      </c>
      <c r="AA41" s="57" t="e">
        <f ca="1">_xlfn.XLOOKUP(PAA[[#This Row],[ITEM]],Contrato!A:A,Contrato!T:T,"",0)</f>
        <v>#NAME?</v>
      </c>
      <c r="AB41" s="58" t="e">
        <f ca="1">+MAX(PAA[[#This Row],[Comprometido Contrato]],)</f>
        <v>#NAME?</v>
      </c>
      <c r="AC41" s="58" t="str">
        <f t="shared" ca="1" si="3"/>
        <v/>
      </c>
      <c r="AD41" s="58" t="e">
        <f ca="1">+MAX(PAA[[#This Row],[Pago por Contrato]],)</f>
        <v>#NAME?</v>
      </c>
      <c r="AE41" s="58" t="str">
        <f t="shared" ca="1" si="4"/>
        <v/>
      </c>
      <c r="AF41" s="57" t="e">
        <f t="shared" ca="1" si="5"/>
        <v>#NAME?</v>
      </c>
      <c r="AG41" s="57" t="str">
        <f t="shared" si="6"/>
        <v/>
      </c>
      <c r="AH41" s="57" t="e" cm="1">
        <f t="array" aca="1" ref="AH41" ca="1">_xlfn.XLOOKUP(PAA[[#This Row],[RCP-RUBRO]],COMPROMISOS_2025[[#All],[concatenado]],COMPROMISOS_2025[[#All],[Total pagado]],"",0)</f>
        <v>#NAME?</v>
      </c>
      <c r="AI41" s="57" t="e" cm="1">
        <f t="array" aca="1" ref="AI41" ca="1">_xlfn.XLOOKUP(PAA[[#This Row],[RCP-RUBRO]],COMPROMISOS_2025[[#All],[concatenado]],COMPROMISOS_2025[[#All],[Total Comprometido]],"",0)</f>
        <v>#NAME?</v>
      </c>
    </row>
    <row r="42" spans="1:35" s="50" customFormat="1" ht="42" hidden="1" customHeight="1" x14ac:dyDescent="0.25">
      <c r="A42" s="57">
        <v>36</v>
      </c>
      <c r="B42" s="186" t="s">
        <v>41</v>
      </c>
      <c r="C42" s="57" t="str">
        <f>VLOOKUP(PAA[[#This Row],[PROYECTO (formulado)2]],PROYECTOS!$G$1:$L$32,6,0)</f>
        <v>SUBGERENCIA ADMINISTRATIVA Y FINANCIERA</v>
      </c>
      <c r="D42" s="57" t="str">
        <f>+IF(PAA[[#This Row],[UNIDAD DE CONTRATACION (formulado)]]="Subgerencia Administrativa y Financiera","FUNCIONAMIENTO","INVERSIÓN")</f>
        <v>FUNCIONAMIENTO</v>
      </c>
      <c r="E42" s="153" t="str">
        <f>VLOOKUP(Q42,PROYECTOS!$G$1:$K$32,5,0)</f>
        <v>FUNCIONAMIENTO</v>
      </c>
      <c r="F42" s="153">
        <f>VLOOKUP(E42,PROYECTOS!$K$1:$M$32,3,0)</f>
        <v>999999</v>
      </c>
      <c r="G42" s="154" t="s">
        <v>42</v>
      </c>
      <c r="H42" s="154">
        <f>VLOOKUP(Q42,PROYECTOS!$V$1:$W$32,2,0)</f>
        <v>999999</v>
      </c>
      <c r="I42" s="143">
        <v>28600000</v>
      </c>
      <c r="J42" s="155" t="s">
        <v>119</v>
      </c>
      <c r="K42" s="57" t="str">
        <f t="shared" ca="1" si="0"/>
        <v>CONTRATADO</v>
      </c>
      <c r="L42" s="155" t="s">
        <v>44</v>
      </c>
      <c r="M42" s="155" t="s">
        <v>44</v>
      </c>
      <c r="N42" s="142" t="s">
        <v>120</v>
      </c>
      <c r="O42" s="155">
        <f>VLOOKUP(N42,RUBROS[#All],3,0)</f>
        <v>41</v>
      </c>
      <c r="P42" s="156" t="str">
        <f>VLOOKUP(N42,RUBROS[#All],2,0)</f>
        <v>Acuerdo sindical bicicleta prestamos reembolsables</v>
      </c>
      <c r="Q42" s="57" t="str">
        <f t="shared" si="1"/>
        <v>00</v>
      </c>
      <c r="R42" s="57" t="str">
        <f t="shared" si="2"/>
        <v>0-205616</v>
      </c>
      <c r="S42" s="152">
        <v>12</v>
      </c>
      <c r="T42" s="157" t="s">
        <v>46</v>
      </c>
      <c r="U42" s="162" t="e">
        <f ca="1">_xlfn.XLOOKUP(PAA[[#This Row],[ITEM]],Contrato!A:A,Contrato!Q:Q,"",0)</f>
        <v>#NAME?</v>
      </c>
      <c r="V42" s="57" t="s">
        <v>47</v>
      </c>
      <c r="W42" s="57" t="s">
        <v>48</v>
      </c>
      <c r="X42" s="57" t="s">
        <v>48</v>
      </c>
      <c r="Y42" s="58" t="e">
        <f ca="1">_xlfn.XLOOKUP(PAA[[#This Row],[ITEM]],Contrato!A:A,Contrato!B:B,"",0)</f>
        <v>#NAME?</v>
      </c>
      <c r="Z42" s="57" t="e">
        <f ca="1">_xlfn.XLOOKUP(PAA[[#This Row],[ITEM]],Contrato!A:A,Contrato!G:G,"",0)</f>
        <v>#NAME?</v>
      </c>
      <c r="AA42" s="57" t="e">
        <f ca="1">_xlfn.XLOOKUP(PAA[[#This Row],[ITEM]],Contrato!A:A,Contrato!T:T,"",0)</f>
        <v>#NAME?</v>
      </c>
      <c r="AB42" s="58" t="e">
        <f ca="1">+MAX(PAA[[#This Row],[Comprometido Contrato]],)</f>
        <v>#NAME?</v>
      </c>
      <c r="AC42" s="58" t="str">
        <f t="shared" ca="1" si="3"/>
        <v/>
      </c>
      <c r="AD42" s="58" t="e">
        <f ca="1">+MAX(PAA[[#This Row],[Pago por Contrato]],)</f>
        <v>#NAME?</v>
      </c>
      <c r="AE42" s="58" t="str">
        <f t="shared" ca="1" si="4"/>
        <v/>
      </c>
      <c r="AF42" s="57" t="e">
        <f t="shared" ca="1" si="5"/>
        <v>#NAME?</v>
      </c>
      <c r="AG42" s="57" t="str">
        <f t="shared" si="6"/>
        <v/>
      </c>
      <c r="AH42" s="57" t="e" cm="1">
        <f t="array" aca="1" ref="AH42" ca="1">_xlfn.XLOOKUP(PAA[[#This Row],[RCP-RUBRO]],COMPROMISOS_2025[[#All],[concatenado]],COMPROMISOS_2025[[#All],[Total pagado]],"",0)</f>
        <v>#NAME?</v>
      </c>
      <c r="AI42" s="57" t="e" cm="1">
        <f t="array" aca="1" ref="AI42" ca="1">_xlfn.XLOOKUP(PAA[[#This Row],[RCP-RUBRO]],COMPROMISOS_2025[[#All],[concatenado]],COMPROMISOS_2025[[#All],[Total Comprometido]],"",0)</f>
        <v>#NAME?</v>
      </c>
    </row>
    <row r="43" spans="1:35" s="50" customFormat="1" ht="42" hidden="1" customHeight="1" x14ac:dyDescent="0.25">
      <c r="A43" s="57">
        <v>37</v>
      </c>
      <c r="B43" s="186">
        <v>80111600</v>
      </c>
      <c r="C43" s="57" t="str">
        <f>VLOOKUP(PAA[[#This Row],[PROYECTO (formulado)2]],PROYECTOS!$G$1:$L$32,6,0)</f>
        <v>SUBGERENCIA ADMINISTRATIVA Y FINANCIERA</v>
      </c>
      <c r="D43" s="57" t="str">
        <f>+IF(PAA[[#This Row],[UNIDAD DE CONTRATACION (formulado)]]="Subgerencia Administrativa y Financiera","FUNCIONAMIENTO","INVERSIÓN")</f>
        <v>FUNCIONAMIENTO</v>
      </c>
      <c r="E43" s="153" t="str">
        <f>VLOOKUP(Q43,PROYECTOS!$G$1:$K$32,5,0)</f>
        <v>FUNCIONAMIENTO</v>
      </c>
      <c r="F43" s="153">
        <f>VLOOKUP(E43,PROYECTOS!$K$1:$M$32,3,0)</f>
        <v>999999</v>
      </c>
      <c r="G43" s="154" t="s">
        <v>42</v>
      </c>
      <c r="H43" s="154">
        <f>VLOOKUP(Q43,PROYECTOS!$V$1:$W$32,2,0)</f>
        <v>999999</v>
      </c>
      <c r="I43" s="143">
        <v>17095000</v>
      </c>
      <c r="J43" s="155" t="s">
        <v>121</v>
      </c>
      <c r="K43" s="57" t="str">
        <f t="shared" ca="1" si="0"/>
        <v>CONTRATADO</v>
      </c>
      <c r="L43" s="155" t="s">
        <v>112</v>
      </c>
      <c r="M43" s="155" t="s">
        <v>113</v>
      </c>
      <c r="N43" s="142" t="s">
        <v>114</v>
      </c>
      <c r="O43" s="155">
        <f>VLOOKUP(N43,RUBROS[#All],3,0)</f>
        <v>30</v>
      </c>
      <c r="P43" s="156" t="str">
        <f>VLOOKUP(N43,RUBROS[#All],2,0)</f>
        <v xml:space="preserve">Servicios prestados a las empresas y servicios de producción </v>
      </c>
      <c r="Q43" s="57" t="str">
        <f t="shared" si="1"/>
        <v>00</v>
      </c>
      <c r="R43" s="57" t="str">
        <f t="shared" si="2"/>
        <v>0-205616</v>
      </c>
      <c r="S43" s="152">
        <v>5</v>
      </c>
      <c r="T43" s="157" t="s">
        <v>46</v>
      </c>
      <c r="U43" s="162" t="e">
        <f ca="1">_xlfn.XLOOKUP(PAA[[#This Row],[ITEM]],Contrato!A:A,Contrato!Q:Q,"",0)</f>
        <v>#NAME?</v>
      </c>
      <c r="V43" s="57" t="s">
        <v>47</v>
      </c>
      <c r="W43" s="57" t="s">
        <v>48</v>
      </c>
      <c r="X43" s="57" t="s">
        <v>48</v>
      </c>
      <c r="Y43" s="58" t="e">
        <f ca="1">_xlfn.XLOOKUP(PAA[[#This Row],[ITEM]],Contrato!A:A,Contrato!B:B,"",0)</f>
        <v>#NAME?</v>
      </c>
      <c r="Z43" s="57" t="e">
        <f ca="1">_xlfn.XLOOKUP(PAA[[#This Row],[ITEM]],Contrato!A:A,Contrato!G:G,"",0)</f>
        <v>#NAME?</v>
      </c>
      <c r="AA43" s="57" t="e">
        <f ca="1">_xlfn.XLOOKUP(PAA[[#This Row],[ITEM]],Contrato!A:A,Contrato!T:T,"",0)</f>
        <v>#NAME?</v>
      </c>
      <c r="AB43" s="58" t="e">
        <f ca="1">+MAX(PAA[[#This Row],[Comprometido Contrato]],)</f>
        <v>#NAME?</v>
      </c>
      <c r="AC43" s="58" t="str">
        <f t="shared" ca="1" si="3"/>
        <v/>
      </c>
      <c r="AD43" s="58" t="e">
        <f ca="1">+MAX(PAA[[#This Row],[Pago por Contrato]],)</f>
        <v>#NAME?</v>
      </c>
      <c r="AE43" s="58" t="str">
        <f t="shared" ca="1" si="4"/>
        <v/>
      </c>
      <c r="AF43" s="57" t="e">
        <f t="shared" ca="1" si="5"/>
        <v>#NAME?</v>
      </c>
      <c r="AG43" s="57" t="str">
        <f t="shared" si="6"/>
        <v/>
      </c>
      <c r="AH43" s="57" t="e" cm="1">
        <f t="array" aca="1" ref="AH43" ca="1">_xlfn.XLOOKUP(PAA[[#This Row],[RCP-RUBRO]],COMPROMISOS_2025[[#All],[concatenado]],COMPROMISOS_2025[[#All],[Total pagado]],"",0)</f>
        <v>#NAME?</v>
      </c>
      <c r="AI43" s="57" t="e" cm="1">
        <f t="array" aca="1" ref="AI43" ca="1">_xlfn.XLOOKUP(PAA[[#This Row],[RCP-RUBRO]],COMPROMISOS_2025[[#All],[concatenado]],COMPROMISOS_2025[[#All],[Total Comprometido]],"",0)</f>
        <v>#NAME?</v>
      </c>
    </row>
    <row r="44" spans="1:35" s="50" customFormat="1" ht="42" hidden="1" customHeight="1" x14ac:dyDescent="0.25">
      <c r="A44" s="152">
        <v>38</v>
      </c>
      <c r="B44" s="186">
        <v>80111600</v>
      </c>
      <c r="C44" s="152" t="str">
        <f>VLOOKUP(PAA[[#This Row],[PROYECTO (formulado)2]],PROYECTOS!$G$1:$L$32,6,0)</f>
        <v>SUBGERENCIA ADMINISTRATIVA Y FINANCIERA</v>
      </c>
      <c r="D44" s="152" t="str">
        <f>+IF(PAA[[#This Row],[UNIDAD DE CONTRATACION (formulado)]]="Subgerencia Administrativa y Financiera","FUNCIONAMIENTO","INVERSIÓN")</f>
        <v>FUNCIONAMIENTO</v>
      </c>
      <c r="E44" s="236" t="str">
        <f>VLOOKUP(Q44,PROYECTOS!$G$1:$K$32,5,0)</f>
        <v>FUNCIONAMIENTO</v>
      </c>
      <c r="F44" s="236">
        <f>VLOOKUP(E44,PROYECTOS!$K$1:$M$32,3,0)</f>
        <v>999999</v>
      </c>
      <c r="G44" s="237" t="s">
        <v>42</v>
      </c>
      <c r="H44" s="237">
        <f>VLOOKUP(Q44,PROYECTOS!$V$1:$W$32,2,0)</f>
        <v>999999</v>
      </c>
      <c r="I44" s="238">
        <v>23933000</v>
      </c>
      <c r="J44" s="187" t="s">
        <v>122</v>
      </c>
      <c r="K44" s="152" t="str">
        <f t="shared" ca="1" si="0"/>
        <v>CONTRATADO</v>
      </c>
      <c r="L44" s="187" t="s">
        <v>112</v>
      </c>
      <c r="M44" s="187" t="s">
        <v>113</v>
      </c>
      <c r="N44" s="239" t="s">
        <v>114</v>
      </c>
      <c r="O44" s="187">
        <f>VLOOKUP(N44,RUBROS[#All],3,0)</f>
        <v>30</v>
      </c>
      <c r="P44" s="152" t="str">
        <f>VLOOKUP(N44,RUBROS[#All],2,0)</f>
        <v xml:space="preserve">Servicios prestados a las empresas y servicios de producción </v>
      </c>
      <c r="Q44" s="152" t="str">
        <f t="shared" si="1"/>
        <v>00</v>
      </c>
      <c r="R44" s="57" t="str">
        <f t="shared" si="2"/>
        <v>0-205616</v>
      </c>
      <c r="S44" s="152">
        <v>5</v>
      </c>
      <c r="T44" s="240" t="s">
        <v>46</v>
      </c>
      <c r="U44" s="241" t="e">
        <f ca="1">_xlfn.XLOOKUP(PAA[[#This Row],[ITEM]],Contrato!A:A,Contrato!Q:Q,"",0)</f>
        <v>#NAME?</v>
      </c>
      <c r="V44" s="152" t="s">
        <v>47</v>
      </c>
      <c r="W44" s="152" t="s">
        <v>48</v>
      </c>
      <c r="X44" s="152" t="s">
        <v>48</v>
      </c>
      <c r="Y44" s="242" t="e">
        <f ca="1">_xlfn.XLOOKUP(PAA[[#This Row],[ITEM]],Contrato!A:A,Contrato!B:B,"",0)</f>
        <v>#NAME?</v>
      </c>
      <c r="Z44" s="152" t="e">
        <f ca="1">_xlfn.XLOOKUP(PAA[[#This Row],[ITEM]],Contrato!A:A,Contrato!G:G,"",0)</f>
        <v>#NAME?</v>
      </c>
      <c r="AA44" s="152" t="e">
        <f ca="1">_xlfn.XLOOKUP(PAA[[#This Row],[ITEM]],Contrato!A:A,Contrato!T:T,"",0)</f>
        <v>#NAME?</v>
      </c>
      <c r="AB44" s="242" t="e">
        <f ca="1">+MAX(PAA[[#This Row],[Comprometido Contrato]],)</f>
        <v>#NAME?</v>
      </c>
      <c r="AC44" s="242" t="str">
        <f t="shared" ca="1" si="3"/>
        <v/>
      </c>
      <c r="AD44" s="242" t="e">
        <f ca="1">+MAX(PAA[[#This Row],[Pago por Contrato]],)</f>
        <v>#NAME?</v>
      </c>
      <c r="AE44" s="242" t="str">
        <f t="shared" ca="1" si="4"/>
        <v/>
      </c>
      <c r="AF44" s="152" t="e">
        <f t="shared" ca="1" si="5"/>
        <v>#NAME?</v>
      </c>
      <c r="AG44" s="152" t="str">
        <f t="shared" si="6"/>
        <v/>
      </c>
      <c r="AH44" s="152" t="e" cm="1">
        <f t="array" aca="1" ref="AH44" ca="1">_xlfn.XLOOKUP(PAA[[#This Row],[RCP-RUBRO]],COMPROMISOS_2025[[#All],[concatenado]],COMPROMISOS_2025[[#All],[Total pagado]],"",0)</f>
        <v>#NAME?</v>
      </c>
      <c r="AI44" s="152" t="e" cm="1">
        <f t="array" aca="1" ref="AI44" ca="1">_xlfn.XLOOKUP(PAA[[#This Row],[RCP-RUBRO]],COMPROMISOS_2025[[#All],[concatenado]],COMPROMISOS_2025[[#All],[Total Comprometido]],"",0)</f>
        <v>#NAME?</v>
      </c>
    </row>
    <row r="45" spans="1:35" s="50" customFormat="1" ht="42" hidden="1" customHeight="1" x14ac:dyDescent="0.25">
      <c r="A45" s="436">
        <v>47</v>
      </c>
      <c r="B45" s="418" t="s">
        <v>123</v>
      </c>
      <c r="C45" s="436" t="str">
        <f>VLOOKUP(PAA[[#This Row],[PROYECTO (formulado)2]],PROYECTOS!$G$1:$L$32,6,0)</f>
        <v>SUBGERENCIA ADMINISTRATIVA Y FINANCIERA</v>
      </c>
      <c r="D45" s="436" t="str">
        <f>+IF(PAA[[#This Row],[UNIDAD DE CONTRATACION (formulado)]]="Subgerencia Administrativa y Financiera","FUNCIONAMIENTO","INVERSIÓN")</f>
        <v>FUNCIONAMIENTO</v>
      </c>
      <c r="E45" s="446" t="str">
        <f>VLOOKUP(Q45,PROYECTOS!$G$1:$K$32,5,0)</f>
        <v>FUNCIONAMIENTO</v>
      </c>
      <c r="F45" s="446">
        <f>VLOOKUP(E45,PROYECTOS!$K$1:$M$32,3,0)</f>
        <v>999999</v>
      </c>
      <c r="G45" s="439" t="s">
        <v>42</v>
      </c>
      <c r="H45" s="439">
        <f>VLOOKUP(Q45,PROYECTOS!$V$1:$W$32,2,0)</f>
        <v>999999</v>
      </c>
      <c r="I45" s="440">
        <v>125000000</v>
      </c>
      <c r="J45" s="442" t="s">
        <v>124</v>
      </c>
      <c r="K45" s="436" t="str">
        <f t="shared" ca="1" si="0"/>
        <v>CONTRATADO</v>
      </c>
      <c r="L45" s="442" t="s">
        <v>112</v>
      </c>
      <c r="M45" s="442" t="s">
        <v>125</v>
      </c>
      <c r="N45" s="447" t="s">
        <v>126</v>
      </c>
      <c r="O45" s="442">
        <f>VLOOKUP(N45,RUBROS[#All],3,0)</f>
        <v>24</v>
      </c>
      <c r="P45" s="448" t="str">
        <f>VLOOKUP(N45,RUBROS[#All],2,0)</f>
        <v>Productos alimenticios, bebidas y tabaco; textiles, prendas de vestir y productos de cuero</v>
      </c>
      <c r="Q45" s="436" t="str">
        <f t="shared" si="1"/>
        <v>00</v>
      </c>
      <c r="R45" s="436" t="str">
        <f t="shared" si="2"/>
        <v>0-205616</v>
      </c>
      <c r="S45" s="417">
        <v>9</v>
      </c>
      <c r="T45" s="449" t="s">
        <v>46</v>
      </c>
      <c r="U45" s="444" t="e">
        <f ca="1">_xlfn.XLOOKUP(PAA[[#This Row],[ITEM]],Contrato!A:A,Contrato!Q:Q,"",0)</f>
        <v>#NAME?</v>
      </c>
      <c r="V45" s="436" t="s">
        <v>47</v>
      </c>
      <c r="W45" s="436" t="s">
        <v>127</v>
      </c>
      <c r="X45" s="436" t="s">
        <v>127</v>
      </c>
      <c r="Y45" s="445" t="e">
        <f ca="1">_xlfn.XLOOKUP(PAA[[#This Row],[ITEM]],Contrato!A:A,Contrato!B:B,"",0)</f>
        <v>#NAME?</v>
      </c>
      <c r="Z45" s="436" t="e">
        <f ca="1">_xlfn.XLOOKUP(PAA[[#This Row],[ITEM]],Contrato!A:A,Contrato!G:G,"",0)</f>
        <v>#NAME?</v>
      </c>
      <c r="AA45" s="436" t="e">
        <f ca="1">_xlfn.XLOOKUP(PAA[[#This Row],[ITEM]],Contrato!A:A,Contrato!T:T,"",0)</f>
        <v>#NAME?</v>
      </c>
      <c r="AB45" s="445" t="e">
        <f ca="1">+MAX(PAA[[#This Row],[Comprometido Contrato]],)</f>
        <v>#NAME?</v>
      </c>
      <c r="AC45" s="445" t="str">
        <f t="shared" ca="1" si="3"/>
        <v/>
      </c>
      <c r="AD45" s="445" t="e">
        <f ca="1">+MAX(PAA[[#This Row],[Pago por Contrato]],)</f>
        <v>#NAME?</v>
      </c>
      <c r="AE45" s="445" t="str">
        <f t="shared" ca="1" si="4"/>
        <v/>
      </c>
      <c r="AF45" s="436" t="e">
        <f t="shared" ca="1" si="5"/>
        <v>#NAME?</v>
      </c>
      <c r="AG45" s="436" t="str">
        <f t="shared" si="6"/>
        <v/>
      </c>
      <c r="AH45" s="436" t="e" cm="1">
        <f t="array" aca="1" ref="AH45" ca="1">_xlfn.XLOOKUP(PAA[[#This Row],[RCP-RUBRO]],COMPROMISOS_2025[[#All],[concatenado]],COMPROMISOS_2025[[#All],[Total pagado]],"",0)</f>
        <v>#NAME?</v>
      </c>
      <c r="AI45" s="436" t="e" cm="1">
        <f t="array" aca="1" ref="AI45" ca="1">_xlfn.XLOOKUP(PAA[[#This Row],[RCP-RUBRO]],COMPROMISOS_2025[[#All],[concatenado]],COMPROMISOS_2025[[#All],[Total Comprometido]],"",0)</f>
        <v>#NAME?</v>
      </c>
    </row>
    <row r="46" spans="1:35" s="59" customFormat="1" ht="42" hidden="1" customHeight="1" x14ac:dyDescent="0.25">
      <c r="A46" s="436">
        <v>47</v>
      </c>
      <c r="B46" s="418" t="s">
        <v>123</v>
      </c>
      <c r="C46" s="436" t="str">
        <f>VLOOKUP(PAA[[#This Row],[PROYECTO (formulado)2]],PROYECTOS!$G$1:$L$32,6,0)</f>
        <v>SUBGERENCIA ADMINISTRATIVA Y FINANCIERA</v>
      </c>
      <c r="D46" s="436" t="str">
        <f>+IF(PAA[[#This Row],[UNIDAD DE CONTRATACION (formulado)]]="Subgerencia Administrativa y Financiera","FUNCIONAMIENTO","INVERSIÓN")</f>
        <v>FUNCIONAMIENTO</v>
      </c>
      <c r="E46" s="446" t="str">
        <f>VLOOKUP(Q46,PROYECTOS!$G$1:$K$32,5,0)</f>
        <v>FUNCIONAMIENTO</v>
      </c>
      <c r="F46" s="446">
        <f>VLOOKUP(E46,PROYECTOS!$K$1:$M$32,3,0)</f>
        <v>999999</v>
      </c>
      <c r="G46" s="439" t="s">
        <v>42</v>
      </c>
      <c r="H46" s="439">
        <f>VLOOKUP(Q46,PROYECTOS!$V$1:$W$32,2,0)</f>
        <v>999999</v>
      </c>
      <c r="I46" s="440">
        <v>75000000</v>
      </c>
      <c r="J46" s="450" t="s">
        <v>124</v>
      </c>
      <c r="K46" s="436" t="str">
        <f t="shared" ca="1" si="0"/>
        <v>CONTRATADO</v>
      </c>
      <c r="L46" s="442" t="s">
        <v>112</v>
      </c>
      <c r="M46" s="442" t="s">
        <v>125</v>
      </c>
      <c r="N46" s="447" t="s">
        <v>128</v>
      </c>
      <c r="O46" s="442">
        <f>VLOOKUP(N46,RUBROS[#All],3,0)</f>
        <v>25</v>
      </c>
      <c r="P46" s="448" t="str">
        <f>VLOOKUP(N46,RUBROS[#All],2,0)</f>
        <v>Otros bienes transportables (excepto productos metálicos, maquinaria y equipo)</v>
      </c>
      <c r="Q46" s="436" t="str">
        <f t="shared" si="1"/>
        <v>00</v>
      </c>
      <c r="R46" s="436" t="str">
        <f t="shared" si="2"/>
        <v>0-205616</v>
      </c>
      <c r="S46" s="417">
        <v>9</v>
      </c>
      <c r="T46" s="449" t="s">
        <v>46</v>
      </c>
      <c r="U46" s="444" t="e">
        <f ca="1">_xlfn.XLOOKUP(PAA[[#This Row],[ITEM]],Contrato!A:A,Contrato!Q:Q,"",0)</f>
        <v>#NAME?</v>
      </c>
      <c r="V46" s="436" t="s">
        <v>47</v>
      </c>
      <c r="W46" s="436" t="s">
        <v>127</v>
      </c>
      <c r="X46" s="436" t="s">
        <v>127</v>
      </c>
      <c r="Y46" s="445" t="e">
        <f ca="1">_xlfn.XLOOKUP(PAA[[#This Row],[ITEM]],Contrato!A:A,Contrato!B:B,"",0)</f>
        <v>#NAME?</v>
      </c>
      <c r="Z46" s="436" t="e">
        <f ca="1">_xlfn.XLOOKUP(PAA[[#This Row],[ITEM]],Contrato!A:A,Contrato!G:G,"",0)</f>
        <v>#NAME?</v>
      </c>
      <c r="AA46" s="436" t="e">
        <f ca="1">_xlfn.XLOOKUP(PAA[[#This Row],[ITEM]],Contrato!A:A,Contrato!T:T,"",0)</f>
        <v>#NAME?</v>
      </c>
      <c r="AB46" s="445" t="e">
        <f ca="1">+MAX(PAA[[#This Row],[Comprometido Contrato]],)</f>
        <v>#NAME?</v>
      </c>
      <c r="AC46" s="445" t="str">
        <f t="shared" ca="1" si="3"/>
        <v/>
      </c>
      <c r="AD46" s="445" t="e">
        <f ca="1">+MAX(PAA[[#This Row],[Pago por Contrato]],)</f>
        <v>#NAME?</v>
      </c>
      <c r="AE46" s="445" t="str">
        <f t="shared" ca="1" si="4"/>
        <v/>
      </c>
      <c r="AF46" s="436" t="e">
        <f t="shared" ca="1" si="5"/>
        <v>#NAME?</v>
      </c>
      <c r="AG46" s="436" t="str">
        <f t="shared" si="6"/>
        <v/>
      </c>
      <c r="AH46" s="436" t="e" cm="1">
        <f t="array" aca="1" ref="AH46" ca="1">_xlfn.XLOOKUP(PAA[[#This Row],[RCP-RUBRO]],COMPROMISOS_2025[[#All],[concatenado]],COMPROMISOS_2025[[#All],[Total pagado]],"",0)</f>
        <v>#NAME?</v>
      </c>
      <c r="AI46" s="436" t="e" cm="1">
        <f t="array" aca="1" ref="AI46" ca="1">_xlfn.XLOOKUP(PAA[[#This Row],[RCP-RUBRO]],COMPROMISOS_2025[[#All],[concatenado]],COMPROMISOS_2025[[#All],[Total Comprometido]],"",0)</f>
        <v>#NAME?</v>
      </c>
    </row>
    <row r="47" spans="1:35" s="50" customFormat="1" ht="42" hidden="1" customHeight="1" x14ac:dyDescent="0.25">
      <c r="A47" s="57">
        <v>40</v>
      </c>
      <c r="B47" s="186" t="s">
        <v>129</v>
      </c>
      <c r="C47" s="57" t="str">
        <f>VLOOKUP(PAA[[#This Row],[PROYECTO (formulado)2]],PROYECTOS!$G$1:$L$32,6,0)</f>
        <v>SUBGERENCIA ADMINISTRATIVA Y FINANCIERA</v>
      </c>
      <c r="D47" s="57" t="str">
        <f>+IF(PAA[[#This Row],[UNIDAD DE CONTRATACION (formulado)]]="Subgerencia Administrativa y Financiera","FUNCIONAMIENTO","INVERSIÓN")</f>
        <v>FUNCIONAMIENTO</v>
      </c>
      <c r="E47" s="153" t="str">
        <f>VLOOKUP(Q47,PROYECTOS!$G$1:$K$32,5,0)</f>
        <v>FUNCIONAMIENTO</v>
      </c>
      <c r="F47" s="153">
        <f>VLOOKUP(E47,PROYECTOS!$K$1:$M$32,3,0)</f>
        <v>999999</v>
      </c>
      <c r="G47" s="154" t="s">
        <v>42</v>
      </c>
      <c r="H47" s="154">
        <f>VLOOKUP(Q47,PROYECTOS!$V$1:$W$32,2,0)</f>
        <v>999999</v>
      </c>
      <c r="I47" s="143">
        <v>50000000</v>
      </c>
      <c r="J47" s="155" t="s">
        <v>130</v>
      </c>
      <c r="K47" s="57" t="str">
        <f t="shared" ca="1" si="0"/>
        <v>CONTRATADO</v>
      </c>
      <c r="L47" s="155" t="s">
        <v>131</v>
      </c>
      <c r="M47" s="155" t="s">
        <v>132</v>
      </c>
      <c r="N47" s="142" t="s">
        <v>128</v>
      </c>
      <c r="O47" s="155">
        <f>VLOOKUP(N47,RUBROS[#All],3,0)</f>
        <v>25</v>
      </c>
      <c r="P47" s="156" t="str">
        <f>VLOOKUP(N47,RUBROS[#All],2,0)</f>
        <v>Otros bienes transportables (excepto productos metálicos, maquinaria y equipo)</v>
      </c>
      <c r="Q47" s="57" t="str">
        <f t="shared" si="1"/>
        <v>00</v>
      </c>
      <c r="R47" s="57" t="str">
        <f t="shared" si="2"/>
        <v>0-205616</v>
      </c>
      <c r="S47" s="152">
        <v>8</v>
      </c>
      <c r="T47" s="157" t="s">
        <v>46</v>
      </c>
      <c r="U47" s="162" t="e">
        <f ca="1">_xlfn.XLOOKUP(PAA[[#This Row],[ITEM]],Contrato!A:A,Contrato!Q:Q,"",0)</f>
        <v>#NAME?</v>
      </c>
      <c r="V47" s="57" t="s">
        <v>47</v>
      </c>
      <c r="W47" s="57" t="s">
        <v>133</v>
      </c>
      <c r="X47" s="57" t="s">
        <v>133</v>
      </c>
      <c r="Y47" s="58" t="e">
        <f ca="1">_xlfn.XLOOKUP(PAA[[#This Row],[ITEM]],Contrato!A:A,Contrato!B:B,"",0)</f>
        <v>#NAME?</v>
      </c>
      <c r="Z47" s="57" t="e">
        <f ca="1">_xlfn.XLOOKUP(PAA[[#This Row],[ITEM]],Contrato!A:A,Contrato!G:G,"",0)</f>
        <v>#NAME?</v>
      </c>
      <c r="AA47" s="57" t="e">
        <f ca="1">_xlfn.XLOOKUP(PAA[[#This Row],[ITEM]],Contrato!A:A,Contrato!T:T,"",0)</f>
        <v>#NAME?</v>
      </c>
      <c r="AB47" s="58" t="e">
        <f ca="1">+MAX(PAA[[#This Row],[Comprometido Contrato]],)</f>
        <v>#NAME?</v>
      </c>
      <c r="AC47" s="58" t="str">
        <f t="shared" ca="1" si="3"/>
        <v/>
      </c>
      <c r="AD47" s="58" t="e">
        <f ca="1">+MAX(PAA[[#This Row],[Pago por Contrato]],)</f>
        <v>#NAME?</v>
      </c>
      <c r="AE47" s="58" t="str">
        <f t="shared" ca="1" si="4"/>
        <v/>
      </c>
      <c r="AF47" s="57" t="e">
        <f t="shared" ca="1" si="5"/>
        <v>#NAME?</v>
      </c>
      <c r="AG47" s="57" t="str">
        <f t="shared" si="6"/>
        <v/>
      </c>
      <c r="AH47" s="57" t="e" cm="1">
        <f t="array" aca="1" ref="AH47" ca="1">_xlfn.XLOOKUP(PAA[[#This Row],[RCP-RUBRO]],COMPROMISOS_2025[[#All],[concatenado]],COMPROMISOS_2025[[#All],[Total pagado]],"",0)</f>
        <v>#NAME?</v>
      </c>
      <c r="AI47" s="57" t="e" cm="1">
        <f t="array" aca="1" ref="AI47" ca="1">_xlfn.XLOOKUP(PAA[[#This Row],[RCP-RUBRO]],COMPROMISOS_2025[[#All],[concatenado]],COMPROMISOS_2025[[#All],[Total Comprometido]],"",0)</f>
        <v>#NAME?</v>
      </c>
    </row>
    <row r="48" spans="1:35" s="50" customFormat="1" ht="42" hidden="1" customHeight="1" x14ac:dyDescent="0.25">
      <c r="A48" s="57">
        <v>41</v>
      </c>
      <c r="B48" s="186" t="s">
        <v>134</v>
      </c>
      <c r="C48" s="57" t="str">
        <f>VLOOKUP(PAA[[#This Row],[PROYECTO (formulado)2]],PROYECTOS!$G$1:$L$32,6,0)</f>
        <v>SUBGERENCIA ADMINISTRATIVA Y FINANCIERA</v>
      </c>
      <c r="D48" s="57" t="str">
        <f>+IF(PAA[[#This Row],[UNIDAD DE CONTRATACION (formulado)]]="Subgerencia Administrativa y Financiera","FUNCIONAMIENTO","INVERSIÓN")</f>
        <v>FUNCIONAMIENTO</v>
      </c>
      <c r="E48" s="153" t="str">
        <f>VLOOKUP(Q48,PROYECTOS!$G$1:$K$32,5,0)</f>
        <v>FUNCIONAMIENTO</v>
      </c>
      <c r="F48" s="153">
        <f>VLOOKUP(E48,PROYECTOS!$K$1:$M$32,3,0)</f>
        <v>999999</v>
      </c>
      <c r="G48" s="154" t="s">
        <v>42</v>
      </c>
      <c r="H48" s="154">
        <f>VLOOKUP(Q48,PROYECTOS!$V$1:$W$32,2,0)</f>
        <v>999999</v>
      </c>
      <c r="I48" s="143">
        <v>70000000</v>
      </c>
      <c r="J48" s="155" t="s">
        <v>135</v>
      </c>
      <c r="K48" s="57" t="str">
        <f t="shared" ca="1" si="0"/>
        <v>CONTRATADO</v>
      </c>
      <c r="L48" s="155" t="s">
        <v>136</v>
      </c>
      <c r="M48" s="155" t="s">
        <v>137</v>
      </c>
      <c r="N48" s="142" t="s">
        <v>128</v>
      </c>
      <c r="O48" s="155">
        <f>VLOOKUP(N48,RUBROS[#All],3,0)</f>
        <v>25</v>
      </c>
      <c r="P48" s="156" t="str">
        <f>VLOOKUP(N48,RUBROS[#All],2,0)</f>
        <v>Otros bienes transportables (excepto productos metálicos, maquinaria y equipo)</v>
      </c>
      <c r="Q48" s="57" t="str">
        <f t="shared" si="1"/>
        <v>00</v>
      </c>
      <c r="R48" s="57" t="str">
        <f t="shared" si="2"/>
        <v>0-205616</v>
      </c>
      <c r="S48" s="152">
        <v>8</v>
      </c>
      <c r="T48" s="157" t="s">
        <v>46</v>
      </c>
      <c r="U48" s="162" t="e">
        <f ca="1">_xlfn.XLOOKUP(PAA[[#This Row],[ITEM]],Contrato!A:A,Contrato!Q:Q,"",0)</f>
        <v>#NAME?</v>
      </c>
      <c r="V48" s="57" t="s">
        <v>47</v>
      </c>
      <c r="W48" s="57" t="s">
        <v>133</v>
      </c>
      <c r="X48" s="57" t="s">
        <v>133</v>
      </c>
      <c r="Y48" s="58" t="e">
        <f ca="1">_xlfn.XLOOKUP(PAA[[#This Row],[ITEM]],Contrato!A:A,Contrato!B:B,"",0)</f>
        <v>#NAME?</v>
      </c>
      <c r="Z48" s="57" t="e">
        <f ca="1">_xlfn.XLOOKUP(PAA[[#This Row],[ITEM]],Contrato!A:A,Contrato!G:G,"",0)</f>
        <v>#NAME?</v>
      </c>
      <c r="AA48" s="57" t="e">
        <f ca="1">_xlfn.XLOOKUP(PAA[[#This Row],[ITEM]],Contrato!A:A,Contrato!T:T,"",0)</f>
        <v>#NAME?</v>
      </c>
      <c r="AB48" s="58" t="e">
        <f ca="1">+MAX(PAA[[#This Row],[Comprometido Contrato]],)</f>
        <v>#NAME?</v>
      </c>
      <c r="AC48" s="58" t="str">
        <f t="shared" ca="1" si="3"/>
        <v/>
      </c>
      <c r="AD48" s="58" t="e">
        <f ca="1">+MAX(PAA[[#This Row],[Pago por Contrato]],)</f>
        <v>#NAME?</v>
      </c>
      <c r="AE48" s="58" t="str">
        <f t="shared" ca="1" si="4"/>
        <v/>
      </c>
      <c r="AF48" s="57" t="e">
        <f t="shared" ca="1" si="5"/>
        <v>#NAME?</v>
      </c>
      <c r="AG48" s="57" t="str">
        <f t="shared" si="6"/>
        <v/>
      </c>
      <c r="AH48" s="57" t="e" cm="1">
        <f t="array" aca="1" ref="AH48" ca="1">_xlfn.XLOOKUP(PAA[[#This Row],[RCP-RUBRO]],COMPROMISOS_2025[[#All],[concatenado]],COMPROMISOS_2025[[#All],[Total pagado]],"",0)</f>
        <v>#NAME?</v>
      </c>
      <c r="AI48" s="57" t="e" cm="1">
        <f t="array" aca="1" ref="AI48" ca="1">_xlfn.XLOOKUP(PAA[[#This Row],[RCP-RUBRO]],COMPROMISOS_2025[[#All],[concatenado]],COMPROMISOS_2025[[#All],[Total Comprometido]],"",0)</f>
        <v>#NAME?</v>
      </c>
    </row>
    <row r="49" spans="1:35" s="50" customFormat="1" ht="42" hidden="1" customHeight="1" x14ac:dyDescent="0.25">
      <c r="A49" s="57">
        <v>42</v>
      </c>
      <c r="B49" s="186" t="s">
        <v>138</v>
      </c>
      <c r="C49" s="57" t="str">
        <f>VLOOKUP(PAA[[#This Row],[PROYECTO (formulado)2]],PROYECTOS!$G$1:$L$32,6,0)</f>
        <v>SUBGERENCIA ADMINISTRATIVA Y FINANCIERA</v>
      </c>
      <c r="D49" s="57" t="str">
        <f>+IF(PAA[[#This Row],[UNIDAD DE CONTRATACION (formulado)]]="Subgerencia Administrativa y Financiera","FUNCIONAMIENTO","INVERSIÓN")</f>
        <v>FUNCIONAMIENTO</v>
      </c>
      <c r="E49" s="153" t="str">
        <f>VLOOKUP(Q49,PROYECTOS!$G$1:$K$32,5,0)</f>
        <v>FUNCIONAMIENTO</v>
      </c>
      <c r="F49" s="153">
        <f>VLOOKUP(E49,PROYECTOS!$K$1:$M$32,3,0)</f>
        <v>999999</v>
      </c>
      <c r="G49" s="154" t="s">
        <v>42</v>
      </c>
      <c r="H49" s="154">
        <f>VLOOKUP(Q49,PROYECTOS!$V$1:$W$32,2,0)</f>
        <v>999999</v>
      </c>
      <c r="I49" s="143">
        <v>550000000</v>
      </c>
      <c r="J49" s="155" t="s">
        <v>139</v>
      </c>
      <c r="K49" s="57" t="str">
        <f t="shared" ca="1" si="0"/>
        <v>CONTRATADO</v>
      </c>
      <c r="L49" s="155" t="s">
        <v>44</v>
      </c>
      <c r="M49" s="155" t="s">
        <v>44</v>
      </c>
      <c r="N49" s="142" t="s">
        <v>140</v>
      </c>
      <c r="O49" s="155">
        <f>VLOOKUP(N49,RUBROS[#All],3,0)</f>
        <v>27</v>
      </c>
      <c r="P49" s="156" t="str">
        <f>VLOOKUP(N49,RUBROS[#All],2,0)</f>
        <v>Servicios de alojamiento; servicios de suministro de comidas y bebidas; servicios de transporte; y servicios de distribución de electricidad, gas y agua</v>
      </c>
      <c r="Q49" s="57" t="str">
        <f t="shared" si="1"/>
        <v>00</v>
      </c>
      <c r="R49" s="57" t="str">
        <f t="shared" si="2"/>
        <v>0-205616</v>
      </c>
      <c r="S49" s="152">
        <v>12</v>
      </c>
      <c r="T49" s="157" t="s">
        <v>46</v>
      </c>
      <c r="U49" s="162" t="e">
        <f ca="1">_xlfn.XLOOKUP(PAA[[#This Row],[ITEM]],Contrato!A:A,Contrato!Q:Q,"",0)</f>
        <v>#NAME?</v>
      </c>
      <c r="V49" s="57" t="s">
        <v>47</v>
      </c>
      <c r="W49" s="57" t="s">
        <v>48</v>
      </c>
      <c r="X49" s="57" t="s">
        <v>48</v>
      </c>
      <c r="Y49" s="58" t="e">
        <f ca="1">_xlfn.XLOOKUP(PAA[[#This Row],[ITEM]],Contrato!A:A,Contrato!B:B,"",0)</f>
        <v>#NAME?</v>
      </c>
      <c r="Z49" s="57" t="e">
        <f ca="1">_xlfn.XLOOKUP(PAA[[#This Row],[ITEM]],Contrato!A:A,Contrato!G:G,"",0)</f>
        <v>#NAME?</v>
      </c>
      <c r="AA49" s="57" t="e">
        <f ca="1">_xlfn.XLOOKUP(PAA[[#This Row],[ITEM]],Contrato!A:A,Contrato!T:T,"",0)</f>
        <v>#NAME?</v>
      </c>
      <c r="AB49" s="58" t="e">
        <f ca="1">+MAX(PAA[[#This Row],[Comprometido Contrato]],)</f>
        <v>#NAME?</v>
      </c>
      <c r="AC49" s="58" t="str">
        <f t="shared" ca="1" si="3"/>
        <v/>
      </c>
      <c r="AD49" s="58" t="e">
        <f ca="1">+MAX(PAA[[#This Row],[Pago por Contrato]],)</f>
        <v>#NAME?</v>
      </c>
      <c r="AE49" s="58" t="str">
        <f t="shared" ca="1" si="4"/>
        <v/>
      </c>
      <c r="AF49" s="57" t="e">
        <f t="shared" ca="1" si="5"/>
        <v>#NAME?</v>
      </c>
      <c r="AG49" s="57" t="str">
        <f t="shared" si="6"/>
        <v/>
      </c>
      <c r="AH49" s="57" t="e" cm="1">
        <f t="array" aca="1" ref="AH49" ca="1">_xlfn.XLOOKUP(PAA[[#This Row],[RCP-RUBRO]],COMPROMISOS_2025[[#All],[concatenado]],COMPROMISOS_2025[[#All],[Total pagado]],"",0)</f>
        <v>#NAME?</v>
      </c>
      <c r="AI49" s="57" t="e" cm="1">
        <f t="array" aca="1" ref="AI49" ca="1">_xlfn.XLOOKUP(PAA[[#This Row],[RCP-RUBRO]],COMPROMISOS_2025[[#All],[concatenado]],COMPROMISOS_2025[[#All],[Total Comprometido]],"",0)</f>
        <v>#NAME?</v>
      </c>
    </row>
    <row r="50" spans="1:35" s="50" customFormat="1" ht="42" hidden="1" customHeight="1" x14ac:dyDescent="0.25">
      <c r="A50" s="57">
        <v>43</v>
      </c>
      <c r="B50" s="186">
        <v>90121500</v>
      </c>
      <c r="C50" s="57" t="str">
        <f>VLOOKUP(PAA[[#This Row],[PROYECTO (formulado)2]],PROYECTOS!$G$1:$L$32,6,0)</f>
        <v>SUBGERENCIA ADMINISTRATIVA Y FINANCIERA</v>
      </c>
      <c r="D50" s="57" t="str">
        <f>+IF(PAA[[#This Row],[UNIDAD DE CONTRATACION (formulado)]]="Subgerencia Administrativa y Financiera","FUNCIONAMIENTO","INVERSIÓN")</f>
        <v>FUNCIONAMIENTO</v>
      </c>
      <c r="E50" s="153" t="str">
        <f>VLOOKUP(Q50,PROYECTOS!$G$1:$K$32,5,0)</f>
        <v>FUNCIONAMIENTO</v>
      </c>
      <c r="F50" s="153">
        <f>VLOOKUP(E50,PROYECTOS!$K$1:$M$32,3,0)</f>
        <v>999999</v>
      </c>
      <c r="G50" s="154" t="s">
        <v>42</v>
      </c>
      <c r="H50" s="154">
        <f>VLOOKUP(Q50,PROYECTOS!$V$1:$W$32,2,0)</f>
        <v>999999</v>
      </c>
      <c r="I50" s="143">
        <v>200000000</v>
      </c>
      <c r="J50" s="155" t="s">
        <v>141</v>
      </c>
      <c r="K50" s="57" t="str">
        <f t="shared" ca="1" si="0"/>
        <v>CONTRATADO</v>
      </c>
      <c r="L50" s="155" t="s">
        <v>131</v>
      </c>
      <c r="M50" s="155" t="s">
        <v>142</v>
      </c>
      <c r="N50" s="142" t="s">
        <v>140</v>
      </c>
      <c r="O50" s="155">
        <f>VLOOKUP(N50,RUBROS[#All],3,0)</f>
        <v>27</v>
      </c>
      <c r="P50" s="156" t="str">
        <f>VLOOKUP(N50,RUBROS[#All],2,0)</f>
        <v>Servicios de alojamiento; servicios de suministro de comidas y bebidas; servicios de transporte; y servicios de distribución de electricidad, gas y agua</v>
      </c>
      <c r="Q50" s="57" t="str">
        <f t="shared" si="1"/>
        <v>00</v>
      </c>
      <c r="R50" s="57" t="str">
        <f t="shared" si="2"/>
        <v>0-205616</v>
      </c>
      <c r="S50" s="152">
        <v>11</v>
      </c>
      <c r="T50" s="157" t="s">
        <v>46</v>
      </c>
      <c r="U50" s="162" t="e">
        <f ca="1">_xlfn.XLOOKUP(PAA[[#This Row],[ITEM]],Contrato!A:A,Contrato!Q:Q,"",0)</f>
        <v>#NAME?</v>
      </c>
      <c r="V50" s="57" t="s">
        <v>47</v>
      </c>
      <c r="W50" s="57" t="s">
        <v>48</v>
      </c>
      <c r="X50" s="57" t="s">
        <v>48</v>
      </c>
      <c r="Y50" s="58" t="e">
        <f ca="1">_xlfn.XLOOKUP(PAA[[#This Row],[ITEM]],Contrato!A:A,Contrato!B:B,"",0)</f>
        <v>#NAME?</v>
      </c>
      <c r="Z50" s="57" t="e">
        <f ca="1">_xlfn.XLOOKUP(PAA[[#This Row],[ITEM]],Contrato!A:A,Contrato!G:G,"",0)</f>
        <v>#NAME?</v>
      </c>
      <c r="AA50" s="57" t="e">
        <f ca="1">_xlfn.XLOOKUP(PAA[[#This Row],[ITEM]],Contrato!A:A,Contrato!T:T,"",0)</f>
        <v>#NAME?</v>
      </c>
      <c r="AB50" s="58" t="e">
        <f ca="1">+MAX(PAA[[#This Row],[Comprometido Contrato]],)</f>
        <v>#NAME?</v>
      </c>
      <c r="AC50" s="58" t="str">
        <f t="shared" ca="1" si="3"/>
        <v/>
      </c>
      <c r="AD50" s="58" t="e">
        <f ca="1">+MAX(PAA[[#This Row],[Pago por Contrato]],)</f>
        <v>#NAME?</v>
      </c>
      <c r="AE50" s="58" t="str">
        <f t="shared" ca="1" si="4"/>
        <v/>
      </c>
      <c r="AF50" s="57" t="e">
        <f t="shared" ca="1" si="5"/>
        <v>#NAME?</v>
      </c>
      <c r="AG50" s="57" t="str">
        <f t="shared" si="6"/>
        <v/>
      </c>
      <c r="AH50" s="57" t="e" cm="1">
        <f t="array" aca="1" ref="AH50" ca="1">_xlfn.XLOOKUP(PAA[[#This Row],[RCP-RUBRO]],COMPROMISOS_2025[[#All],[concatenado]],COMPROMISOS_2025[[#All],[Total pagado]],"",0)</f>
        <v>#NAME?</v>
      </c>
      <c r="AI50" s="57" t="e" cm="1">
        <f t="array" aca="1" ref="AI50" ca="1">_xlfn.XLOOKUP(PAA[[#This Row],[RCP-RUBRO]],COMPROMISOS_2025[[#All],[concatenado]],COMPROMISOS_2025[[#All],[Total Comprometido]],"",0)</f>
        <v>#NAME?</v>
      </c>
    </row>
    <row r="51" spans="1:35" s="50" customFormat="1" ht="42" hidden="1" customHeight="1" x14ac:dyDescent="0.25">
      <c r="A51" s="57">
        <v>44</v>
      </c>
      <c r="B51" s="186">
        <v>83111500</v>
      </c>
      <c r="C51" s="57" t="str">
        <f>VLOOKUP(PAA[[#This Row],[PROYECTO (formulado)2]],PROYECTOS!$G$1:$L$32,6,0)</f>
        <v>SUBGERENCIA ADMINISTRATIVA Y FINANCIERA</v>
      </c>
      <c r="D51" s="57" t="str">
        <f>+IF(PAA[[#This Row],[UNIDAD DE CONTRATACION (formulado)]]="Subgerencia Administrativa y Financiera","FUNCIONAMIENTO","INVERSIÓN")</f>
        <v>FUNCIONAMIENTO</v>
      </c>
      <c r="E51" s="153" t="str">
        <f>VLOOKUP(Q51,PROYECTOS!$G$1:$K$32,5,0)</f>
        <v>FUNCIONAMIENTO</v>
      </c>
      <c r="F51" s="153">
        <f>VLOOKUP(E51,PROYECTOS!$K$1:$M$32,3,0)</f>
        <v>999999</v>
      </c>
      <c r="G51" s="154" t="s">
        <v>42</v>
      </c>
      <c r="H51" s="154">
        <f>VLOOKUP(Q51,PROYECTOS!$V$1:$W$32,2,0)</f>
        <v>999999</v>
      </c>
      <c r="I51" s="143">
        <v>75000000</v>
      </c>
      <c r="J51" s="155" t="s">
        <v>143</v>
      </c>
      <c r="K51" s="57" t="str">
        <f t="shared" ca="1" si="0"/>
        <v>CONTRATADO</v>
      </c>
      <c r="L51" s="155" t="s">
        <v>44</v>
      </c>
      <c r="M51" s="155" t="s">
        <v>44</v>
      </c>
      <c r="N51" s="142" t="s">
        <v>144</v>
      </c>
      <c r="O51" s="155">
        <f>VLOOKUP(N51,RUBROS[#All],3,0)</f>
        <v>32</v>
      </c>
      <c r="P51" s="156" t="str">
        <f>VLOOKUP(N51,RUBROS[#All],2,0)</f>
        <v xml:space="preserve">Servicios Publicos - Servicios prestados a las empresas y servicios de producción </v>
      </c>
      <c r="Q51" s="57" t="str">
        <f t="shared" si="1"/>
        <v>00</v>
      </c>
      <c r="R51" s="57" t="str">
        <f t="shared" si="2"/>
        <v>0-205616</v>
      </c>
      <c r="S51" s="152">
        <v>12</v>
      </c>
      <c r="T51" s="157" t="s">
        <v>46</v>
      </c>
      <c r="U51" s="162" t="e">
        <f ca="1">_xlfn.XLOOKUP(PAA[[#This Row],[ITEM]],Contrato!A:A,Contrato!Q:Q,"",0)</f>
        <v>#NAME?</v>
      </c>
      <c r="V51" s="57" t="s">
        <v>47</v>
      </c>
      <c r="W51" s="57" t="s">
        <v>48</v>
      </c>
      <c r="X51" s="57" t="s">
        <v>48</v>
      </c>
      <c r="Y51" s="58" t="e">
        <f ca="1">_xlfn.XLOOKUP(PAA[[#This Row],[ITEM]],Contrato!A:A,Contrato!B:B,"",0)</f>
        <v>#NAME?</v>
      </c>
      <c r="Z51" s="57" t="e">
        <f ca="1">_xlfn.XLOOKUP(PAA[[#This Row],[ITEM]],Contrato!A:A,Contrato!G:G,"",0)</f>
        <v>#NAME?</v>
      </c>
      <c r="AA51" s="57" t="e">
        <f ca="1">_xlfn.XLOOKUP(PAA[[#This Row],[ITEM]],Contrato!A:A,Contrato!T:T,"",0)</f>
        <v>#NAME?</v>
      </c>
      <c r="AB51" s="58" t="e">
        <f ca="1">+MAX(PAA[[#This Row],[Comprometido Contrato]],)</f>
        <v>#NAME?</v>
      </c>
      <c r="AC51" s="58" t="str">
        <f t="shared" ca="1" si="3"/>
        <v/>
      </c>
      <c r="AD51" s="58" t="e">
        <f ca="1">+MAX(PAA[[#This Row],[Pago por Contrato]],)</f>
        <v>#NAME?</v>
      </c>
      <c r="AE51" s="58" t="str">
        <f t="shared" ca="1" si="4"/>
        <v/>
      </c>
      <c r="AF51" s="57" t="e">
        <f t="shared" ca="1" si="5"/>
        <v>#NAME?</v>
      </c>
      <c r="AG51" s="57" t="str">
        <f t="shared" si="6"/>
        <v/>
      </c>
      <c r="AH51" s="57" t="e" cm="1">
        <f t="array" aca="1" ref="AH51" ca="1">_xlfn.XLOOKUP(PAA[[#This Row],[RCP-RUBRO]],COMPROMISOS_2025[[#All],[concatenado]],COMPROMISOS_2025[[#All],[Total pagado]],"",0)</f>
        <v>#NAME?</v>
      </c>
      <c r="AI51" s="57" t="e" cm="1">
        <f t="array" aca="1" ref="AI51" ca="1">_xlfn.XLOOKUP(PAA[[#This Row],[RCP-RUBRO]],COMPROMISOS_2025[[#All],[concatenado]],COMPROMISOS_2025[[#All],[Total Comprometido]],"",0)</f>
        <v>#NAME?</v>
      </c>
    </row>
    <row r="52" spans="1:35" s="50" customFormat="1" ht="42" hidden="1" customHeight="1" x14ac:dyDescent="0.25">
      <c r="A52" s="57">
        <v>45</v>
      </c>
      <c r="B52" s="186">
        <v>76111501</v>
      </c>
      <c r="C52" s="57" t="str">
        <f>VLOOKUP(PAA[[#This Row],[PROYECTO (formulado)2]],PROYECTOS!$G$1:$L$32,6,0)</f>
        <v>SUBGERENCIA ADMINISTRATIVA Y FINANCIERA</v>
      </c>
      <c r="D52" s="57" t="str">
        <f>+IF(PAA[[#This Row],[UNIDAD DE CONTRATACION (formulado)]]="Subgerencia Administrativa y Financiera","FUNCIONAMIENTO","INVERSIÓN")</f>
        <v>FUNCIONAMIENTO</v>
      </c>
      <c r="E52" s="153" t="str">
        <f>VLOOKUP(Q52,PROYECTOS!$G$1:$K$32,5,0)</f>
        <v>FUNCIONAMIENTO</v>
      </c>
      <c r="F52" s="153">
        <f>VLOOKUP(E52,PROYECTOS!$K$1:$M$32,3,0)</f>
        <v>999999</v>
      </c>
      <c r="G52" s="154" t="s">
        <v>42</v>
      </c>
      <c r="H52" s="154">
        <f>VLOOKUP(Q52,PROYECTOS!$V$1:$W$32,2,0)</f>
        <v>999999</v>
      </c>
      <c r="I52" s="143">
        <v>241791568</v>
      </c>
      <c r="J52" s="155" t="s">
        <v>145</v>
      </c>
      <c r="K52" s="57" t="str">
        <f t="shared" ca="1" si="0"/>
        <v>CONTRATADO</v>
      </c>
      <c r="L52" s="155" t="s">
        <v>146</v>
      </c>
      <c r="M52" s="155" t="s">
        <v>142</v>
      </c>
      <c r="N52" s="142" t="s">
        <v>147</v>
      </c>
      <c r="O52" s="155">
        <f>VLOOKUP(N52,RUBROS[#All],3,0)</f>
        <v>33</v>
      </c>
      <c r="P52" s="156" t="str">
        <f>VLOOKUP(N52,RUBROS[#All],2,0)</f>
        <v xml:space="preserve">VF-Servicios prestados a las empresas y servicios de producción </v>
      </c>
      <c r="Q52" s="57" t="str">
        <f t="shared" si="1"/>
        <v>00</v>
      </c>
      <c r="R52" s="57" t="str">
        <f t="shared" si="2"/>
        <v>0-205616</v>
      </c>
      <c r="S52" s="152">
        <v>3.5</v>
      </c>
      <c r="T52" s="157" t="s">
        <v>46</v>
      </c>
      <c r="U52" s="162" t="e">
        <f ca="1">_xlfn.XLOOKUP(PAA[[#This Row],[ITEM]],Contrato!A:A,Contrato!Q:Q,"",0)</f>
        <v>#NAME?</v>
      </c>
      <c r="V52" s="57" t="s">
        <v>47</v>
      </c>
      <c r="W52" s="57" t="s">
        <v>48</v>
      </c>
      <c r="X52" s="57" t="s">
        <v>48</v>
      </c>
      <c r="Y52" s="58" t="e">
        <f ca="1">_xlfn.XLOOKUP(PAA[[#This Row],[ITEM]],Contrato!A:A,Contrato!B:B,"",0)</f>
        <v>#NAME?</v>
      </c>
      <c r="Z52" s="57" t="e">
        <f ca="1">_xlfn.XLOOKUP(PAA[[#This Row],[ITEM]],Contrato!A:A,Contrato!G:G,"",0)</f>
        <v>#NAME?</v>
      </c>
      <c r="AA52" s="57" t="e">
        <f ca="1">_xlfn.XLOOKUP(PAA[[#This Row],[ITEM]],Contrato!A:A,Contrato!T:T,"",0)</f>
        <v>#NAME?</v>
      </c>
      <c r="AB52" s="58" t="e">
        <f ca="1">+MAX(PAA[[#This Row],[Comprometido Contrato]],)</f>
        <v>#NAME?</v>
      </c>
      <c r="AC52" s="58" t="str">
        <f t="shared" ca="1" si="3"/>
        <v/>
      </c>
      <c r="AD52" s="58" t="e">
        <f ca="1">+MAX(PAA[[#This Row],[Pago por Contrato]],)</f>
        <v>#NAME?</v>
      </c>
      <c r="AE52" s="58" t="str">
        <f t="shared" ca="1" si="4"/>
        <v/>
      </c>
      <c r="AF52" s="57" t="e">
        <f t="shared" ca="1" si="5"/>
        <v>#NAME?</v>
      </c>
      <c r="AG52" s="57" t="str">
        <f t="shared" si="6"/>
        <v/>
      </c>
      <c r="AH52" s="57" t="e" cm="1">
        <f t="array" aca="1" ref="AH52" ca="1">_xlfn.XLOOKUP(PAA[[#This Row],[RCP-RUBRO]],COMPROMISOS_2025[[#All],[concatenado]],COMPROMISOS_2025[[#All],[Total pagado]],"",0)</f>
        <v>#NAME?</v>
      </c>
      <c r="AI52" s="57" t="e" cm="1">
        <f t="array" aca="1" ref="AI52" ca="1">_xlfn.XLOOKUP(PAA[[#This Row],[RCP-RUBRO]],COMPROMISOS_2025[[#All],[concatenado]],COMPROMISOS_2025[[#All],[Total Comprometido]],"",0)</f>
        <v>#NAME?</v>
      </c>
    </row>
    <row r="53" spans="1:35" s="50" customFormat="1" ht="42" hidden="1" customHeight="1" x14ac:dyDescent="0.25">
      <c r="A53" s="57">
        <v>46</v>
      </c>
      <c r="B53" s="186">
        <v>92101501</v>
      </c>
      <c r="C53" s="57" t="str">
        <f>VLOOKUP(PAA[[#This Row],[PROYECTO (formulado)2]],PROYECTOS!$G$1:$L$32,6,0)</f>
        <v>SUBGERENCIA ADMINISTRATIVA Y FINANCIERA</v>
      </c>
      <c r="D53" s="57" t="str">
        <f>+IF(PAA[[#This Row],[UNIDAD DE CONTRATACION (formulado)]]="Subgerencia Administrativa y Financiera","FUNCIONAMIENTO","INVERSIÓN")</f>
        <v>FUNCIONAMIENTO</v>
      </c>
      <c r="E53" s="153" t="str">
        <f>VLOOKUP(Q53,PROYECTOS!$G$1:$K$32,5,0)</f>
        <v>FUNCIONAMIENTO</v>
      </c>
      <c r="F53" s="153">
        <f>VLOOKUP(E53,PROYECTOS!$K$1:$M$32,3,0)</f>
        <v>999999</v>
      </c>
      <c r="G53" s="154" t="s">
        <v>42</v>
      </c>
      <c r="H53" s="154">
        <f>VLOOKUP(Q53,PROYECTOS!$V$1:$W$32,2,0)</f>
        <v>999999</v>
      </c>
      <c r="I53" s="143">
        <v>528096458</v>
      </c>
      <c r="J53" s="155" t="s">
        <v>148</v>
      </c>
      <c r="K53" s="57" t="str">
        <f t="shared" ca="1" si="0"/>
        <v>CONTRATADO</v>
      </c>
      <c r="L53" s="155" t="s">
        <v>146</v>
      </c>
      <c r="M53" s="155" t="s">
        <v>142</v>
      </c>
      <c r="N53" s="142" t="s">
        <v>147</v>
      </c>
      <c r="O53" s="155">
        <f>VLOOKUP(N53,RUBROS[#All],3,0)</f>
        <v>33</v>
      </c>
      <c r="P53" s="156" t="str">
        <f>VLOOKUP(N53,RUBROS[#All],2,0)</f>
        <v xml:space="preserve">VF-Servicios prestados a las empresas y servicios de producción </v>
      </c>
      <c r="Q53" s="57" t="str">
        <f t="shared" si="1"/>
        <v>00</v>
      </c>
      <c r="R53" s="57" t="str">
        <f t="shared" si="2"/>
        <v>0-205616</v>
      </c>
      <c r="S53" s="187" t="s">
        <v>149</v>
      </c>
      <c r="T53" s="157" t="s">
        <v>46</v>
      </c>
      <c r="U53" s="162" t="e">
        <f ca="1">_xlfn.XLOOKUP(PAA[[#This Row],[ITEM]],Contrato!A:A,Contrato!Q:Q,"",0)</f>
        <v>#NAME?</v>
      </c>
      <c r="V53" s="57" t="s">
        <v>47</v>
      </c>
      <c r="W53" s="57" t="s">
        <v>48</v>
      </c>
      <c r="X53" s="57" t="s">
        <v>48</v>
      </c>
      <c r="Y53" s="58" t="e">
        <f ca="1">_xlfn.XLOOKUP(PAA[[#This Row],[ITEM]],Contrato!A:A,Contrato!B:B,"",0)</f>
        <v>#NAME?</v>
      </c>
      <c r="Z53" s="57" t="e">
        <f ca="1">_xlfn.XLOOKUP(PAA[[#This Row],[ITEM]],Contrato!A:A,Contrato!G:G,"",0)</f>
        <v>#NAME?</v>
      </c>
      <c r="AA53" s="57" t="e">
        <f ca="1">_xlfn.XLOOKUP(PAA[[#This Row],[ITEM]],Contrato!A:A,Contrato!T:T,"",0)</f>
        <v>#NAME?</v>
      </c>
      <c r="AB53" s="58" t="e">
        <f ca="1">+MAX(PAA[[#This Row],[Comprometido Contrato]],)</f>
        <v>#NAME?</v>
      </c>
      <c r="AC53" s="58" t="str">
        <f t="shared" ca="1" si="3"/>
        <v/>
      </c>
      <c r="AD53" s="58" t="e">
        <f ca="1">+MAX(PAA[[#This Row],[Pago por Contrato]],)</f>
        <v>#NAME?</v>
      </c>
      <c r="AE53" s="58" t="str">
        <f t="shared" ca="1" si="4"/>
        <v/>
      </c>
      <c r="AF53" s="57" t="e">
        <f t="shared" ca="1" si="5"/>
        <v>#NAME?</v>
      </c>
      <c r="AG53" s="57" t="str">
        <f t="shared" si="6"/>
        <v/>
      </c>
      <c r="AH53" s="57" t="e" cm="1">
        <f t="array" aca="1" ref="AH53" ca="1">_xlfn.XLOOKUP(PAA[[#This Row],[RCP-RUBRO]],COMPROMISOS_2025[[#All],[concatenado]],COMPROMISOS_2025[[#All],[Total pagado]],"",0)</f>
        <v>#NAME?</v>
      </c>
      <c r="AI53" s="57" t="e" cm="1">
        <f t="array" aca="1" ref="AI53" ca="1">_xlfn.XLOOKUP(PAA[[#This Row],[RCP-RUBRO]],COMPROMISOS_2025[[#All],[concatenado]],COMPROMISOS_2025[[#All],[Total Comprometido]],"",0)</f>
        <v>#NAME?</v>
      </c>
    </row>
    <row r="54" spans="1:35" s="50" customFormat="1" ht="42" hidden="1" customHeight="1" x14ac:dyDescent="0.25">
      <c r="A54" s="436">
        <v>47</v>
      </c>
      <c r="B54" s="418" t="s">
        <v>123</v>
      </c>
      <c r="C54" s="436" t="str">
        <f>VLOOKUP(PAA[[#This Row],[PROYECTO (formulado)2]],PROYECTOS!$G$1:$L$32,6,0)</f>
        <v>SUBGERENCIA ADMINISTRATIVA Y FINANCIERA</v>
      </c>
      <c r="D54" s="436" t="str">
        <f>+IF(PAA[[#This Row],[UNIDAD DE CONTRATACION (formulado)]]="Subgerencia Administrativa y Financiera","FUNCIONAMIENTO","INVERSIÓN")</f>
        <v>FUNCIONAMIENTO</v>
      </c>
      <c r="E54" s="446" t="str">
        <f>VLOOKUP(Q54,PROYECTOS!$G$1:$K$32,5,0)</f>
        <v>FUNCIONAMIENTO</v>
      </c>
      <c r="F54" s="446">
        <f>VLOOKUP(E54,PROYECTOS!$K$1:$M$32,3,0)</f>
        <v>999999</v>
      </c>
      <c r="G54" s="439" t="s">
        <v>42</v>
      </c>
      <c r="H54" s="439">
        <f>VLOOKUP(Q54,PROYECTOS!$V$1:$W$32,2,0)</f>
        <v>999999</v>
      </c>
      <c r="I54" s="440">
        <v>840000000</v>
      </c>
      <c r="J54" s="450" t="s">
        <v>124</v>
      </c>
      <c r="K54" s="436" t="str">
        <f t="shared" ca="1" si="0"/>
        <v>CONTRATADO</v>
      </c>
      <c r="L54" s="442" t="s">
        <v>112</v>
      </c>
      <c r="M54" s="442" t="s">
        <v>125</v>
      </c>
      <c r="N54" s="447" t="s">
        <v>114</v>
      </c>
      <c r="O54" s="442">
        <f>VLOOKUP(N54,RUBROS[#All],3,0)</f>
        <v>30</v>
      </c>
      <c r="P54" s="448" t="str">
        <f>VLOOKUP(N54,RUBROS[#All],2,0)</f>
        <v xml:space="preserve">Servicios prestados a las empresas y servicios de producción </v>
      </c>
      <c r="Q54" s="436" t="str">
        <f t="shared" si="1"/>
        <v>00</v>
      </c>
      <c r="R54" s="436" t="str">
        <f t="shared" si="2"/>
        <v>0-205616</v>
      </c>
      <c r="S54" s="417">
        <v>9</v>
      </c>
      <c r="T54" s="449" t="s">
        <v>46</v>
      </c>
      <c r="U54" s="444" t="e">
        <f ca="1">_xlfn.XLOOKUP(PAA[[#This Row],[ITEM]],Contrato!A:A,Contrato!Q:Q,"",0)</f>
        <v>#NAME?</v>
      </c>
      <c r="V54" s="436" t="s">
        <v>47</v>
      </c>
      <c r="W54" s="436" t="s">
        <v>127</v>
      </c>
      <c r="X54" s="436" t="s">
        <v>127</v>
      </c>
      <c r="Y54" s="445" t="e">
        <f ca="1">_xlfn.XLOOKUP(PAA[[#This Row],[ITEM]],Contrato!A:A,Contrato!B:B,"",0)</f>
        <v>#NAME?</v>
      </c>
      <c r="Z54" s="436" t="e">
        <f ca="1">_xlfn.XLOOKUP(PAA[[#This Row],[ITEM]],Contrato!A:A,Contrato!G:G,"",0)</f>
        <v>#NAME?</v>
      </c>
      <c r="AA54" s="436" t="e">
        <f ca="1">_xlfn.XLOOKUP(PAA[[#This Row],[ITEM]],Contrato!A:A,Contrato!T:T,"",0)</f>
        <v>#NAME?</v>
      </c>
      <c r="AB54" s="445" t="e">
        <f ca="1">+MAX(PAA[[#This Row],[Comprometido Contrato]],)</f>
        <v>#NAME?</v>
      </c>
      <c r="AC54" s="445" t="str">
        <f t="shared" ca="1" si="3"/>
        <v/>
      </c>
      <c r="AD54" s="445" t="e">
        <f ca="1">+MAX(PAA[[#This Row],[Pago por Contrato]],)</f>
        <v>#NAME?</v>
      </c>
      <c r="AE54" s="445" t="str">
        <f t="shared" ca="1" si="4"/>
        <v/>
      </c>
      <c r="AF54" s="436" t="e">
        <f t="shared" ca="1" si="5"/>
        <v>#NAME?</v>
      </c>
      <c r="AG54" s="436" t="str">
        <f t="shared" si="6"/>
        <v/>
      </c>
      <c r="AH54" s="436" t="e" cm="1">
        <f t="array" aca="1" ref="AH54" ca="1">_xlfn.XLOOKUP(PAA[[#This Row],[RCP-RUBRO]],COMPROMISOS_2025[[#All],[concatenado]],COMPROMISOS_2025[[#All],[Total pagado]],"",0)</f>
        <v>#NAME?</v>
      </c>
      <c r="AI54" s="436" t="e" cm="1">
        <f t="array" aca="1" ref="AI54" ca="1">_xlfn.XLOOKUP(PAA[[#This Row],[RCP-RUBRO]],COMPROMISOS_2025[[#All],[concatenado]],COMPROMISOS_2025[[#All],[Total Comprometido]],"",0)</f>
        <v>#NAME?</v>
      </c>
    </row>
    <row r="55" spans="1:35" s="50" customFormat="1" ht="42" hidden="1" customHeight="1" x14ac:dyDescent="0.25">
      <c r="A55" s="436">
        <v>48</v>
      </c>
      <c r="B55" s="418" t="s">
        <v>150</v>
      </c>
      <c r="C55" s="436" t="str">
        <f>VLOOKUP(PAA[[#This Row],[PROYECTO (formulado)2]],PROYECTOS!$G$1:$L$32,6,0)</f>
        <v>SUBGERENCIA ADMINISTRATIVA Y FINANCIERA</v>
      </c>
      <c r="D55" s="436" t="str">
        <f>+IF(PAA[[#This Row],[UNIDAD DE CONTRATACION (formulado)]]="Subgerencia Administrativa y Financiera","FUNCIONAMIENTO","INVERSIÓN")</f>
        <v>FUNCIONAMIENTO</v>
      </c>
      <c r="E55" s="446" t="str">
        <f>VLOOKUP(Q55,PROYECTOS!$G$1:$K$32,5,0)</f>
        <v>FUNCIONAMIENTO</v>
      </c>
      <c r="F55" s="446">
        <f>VLOOKUP(E55,PROYECTOS!$K$1:$M$32,3,0)</f>
        <v>999999</v>
      </c>
      <c r="G55" s="439" t="s">
        <v>42</v>
      </c>
      <c r="H55" s="439">
        <f>VLOOKUP(Q55,PROYECTOS!$V$1:$W$32,2,0)</f>
        <v>999999</v>
      </c>
      <c r="I55" s="440">
        <v>1310000000</v>
      </c>
      <c r="J55" s="450" t="s">
        <v>151</v>
      </c>
      <c r="K55" s="436" t="str">
        <f t="shared" ca="1" si="0"/>
        <v>CONTRATADO</v>
      </c>
      <c r="L55" s="442" t="s">
        <v>112</v>
      </c>
      <c r="M55" s="442" t="s">
        <v>125</v>
      </c>
      <c r="N55" s="447" t="s">
        <v>114</v>
      </c>
      <c r="O55" s="442">
        <f>VLOOKUP(N55,RUBROS[#All],3,0)</f>
        <v>30</v>
      </c>
      <c r="P55" s="448" t="str">
        <f>VLOOKUP(N55,RUBROS[#All],2,0)</f>
        <v xml:space="preserve">Servicios prestados a las empresas y servicios de producción </v>
      </c>
      <c r="Q55" s="436" t="str">
        <f t="shared" si="1"/>
        <v>00</v>
      </c>
      <c r="R55" s="436" t="str">
        <f t="shared" si="2"/>
        <v>0-205616</v>
      </c>
      <c r="S55" s="423">
        <v>9</v>
      </c>
      <c r="T55" s="449" t="s">
        <v>46</v>
      </c>
      <c r="U55" s="444" t="e">
        <f ca="1">_xlfn.XLOOKUP(PAA[[#This Row],[ITEM]],Contrato!A:A,Contrato!Q:Q,"",0)</f>
        <v>#NAME?</v>
      </c>
      <c r="V55" s="436" t="s">
        <v>47</v>
      </c>
      <c r="W55" s="436" t="s">
        <v>127</v>
      </c>
      <c r="X55" s="436" t="s">
        <v>127</v>
      </c>
      <c r="Y55" s="445" t="e">
        <f ca="1">_xlfn.XLOOKUP(PAA[[#This Row],[ITEM]],Contrato!A:A,Contrato!B:B,"",0)</f>
        <v>#NAME?</v>
      </c>
      <c r="Z55" s="436" t="e">
        <f ca="1">_xlfn.XLOOKUP(PAA[[#This Row],[ITEM]],Contrato!A:A,Contrato!G:G,"",0)</f>
        <v>#NAME?</v>
      </c>
      <c r="AA55" s="436" t="e">
        <f ca="1">_xlfn.XLOOKUP(PAA[[#This Row],[ITEM]],Contrato!A:A,Contrato!T:T,"",0)</f>
        <v>#NAME?</v>
      </c>
      <c r="AB55" s="445" t="e">
        <f ca="1">+MAX(PAA[[#This Row],[Comprometido Contrato]],)</f>
        <v>#NAME?</v>
      </c>
      <c r="AC55" s="445" t="str">
        <f t="shared" ca="1" si="3"/>
        <v/>
      </c>
      <c r="AD55" s="445" t="e">
        <f ca="1">+MAX(PAA[[#This Row],[Pago por Contrato]],)</f>
        <v>#NAME?</v>
      </c>
      <c r="AE55" s="445" t="str">
        <f t="shared" ca="1" si="4"/>
        <v/>
      </c>
      <c r="AF55" s="436" t="e">
        <f t="shared" ca="1" si="5"/>
        <v>#NAME?</v>
      </c>
      <c r="AG55" s="436" t="str">
        <f t="shared" si="6"/>
        <v/>
      </c>
      <c r="AH55" s="436" t="e" cm="1">
        <f t="array" aca="1" ref="AH55" ca="1">_xlfn.XLOOKUP(PAA[[#This Row],[RCP-RUBRO]],COMPROMISOS_2025[[#All],[concatenado]],COMPROMISOS_2025[[#All],[Total pagado]],"",0)</f>
        <v>#NAME?</v>
      </c>
      <c r="AI55" s="436" t="e" cm="1">
        <f t="array" aca="1" ref="AI55" ca="1">_xlfn.XLOOKUP(PAA[[#This Row],[RCP-RUBRO]],COMPROMISOS_2025[[#All],[concatenado]],COMPROMISOS_2025[[#All],[Total Comprometido]],"",0)</f>
        <v>#NAME?</v>
      </c>
    </row>
    <row r="56" spans="1:35" s="50" customFormat="1" ht="42" hidden="1" customHeight="1" x14ac:dyDescent="0.25">
      <c r="A56" s="199">
        <v>49</v>
      </c>
      <c r="B56" s="200">
        <v>75181500</v>
      </c>
      <c r="C56" s="199" t="str">
        <f>VLOOKUP(PAA[[#This Row],[PROYECTO (formulado)2]],PROYECTOS!$G$1:$L$32,6,0)</f>
        <v>SUBGERENCIA ADMINISTRATIVA Y FINANCIERA</v>
      </c>
      <c r="D56" s="199" t="str">
        <f>+IF(PAA[[#This Row],[UNIDAD DE CONTRATACION (formulado)]]="Subgerencia Administrativa y Financiera","FUNCIONAMIENTO","INVERSIÓN")</f>
        <v>FUNCIONAMIENTO</v>
      </c>
      <c r="E56" s="201" t="str">
        <f>VLOOKUP(Q56,PROYECTOS!$G$1:$K$32,5,0)</f>
        <v>FUNCIONAMIENTO</v>
      </c>
      <c r="F56" s="201">
        <f>VLOOKUP(E56,PROYECTOS!$K$1:$M$32,3,0)</f>
        <v>999999</v>
      </c>
      <c r="G56" s="202" t="s">
        <v>42</v>
      </c>
      <c r="H56" s="202">
        <f>VLOOKUP(Q56,PROYECTOS!$V$1:$W$32,2,0)</f>
        <v>999999</v>
      </c>
      <c r="I56" s="203">
        <v>20000000</v>
      </c>
      <c r="J56" s="204" t="s">
        <v>152</v>
      </c>
      <c r="K56" s="199" t="str">
        <f t="shared" ca="1" si="0"/>
        <v>CONTRATADO</v>
      </c>
      <c r="L56" s="204" t="s">
        <v>153</v>
      </c>
      <c r="M56" s="204" t="s">
        <v>142</v>
      </c>
      <c r="N56" s="205" t="s">
        <v>114</v>
      </c>
      <c r="O56" s="204">
        <f>VLOOKUP(N56,RUBROS[#All],3,0)</f>
        <v>30</v>
      </c>
      <c r="P56" s="206" t="str">
        <f>VLOOKUP(N56,RUBROS[#All],2,0)</f>
        <v xml:space="preserve">Servicios prestados a las empresas y servicios de producción </v>
      </c>
      <c r="Q56" s="199" t="str">
        <f t="shared" si="1"/>
        <v>00</v>
      </c>
      <c r="R56" s="199" t="str">
        <f t="shared" si="2"/>
        <v>0-205616</v>
      </c>
      <c r="S56" s="207">
        <v>10</v>
      </c>
      <c r="T56" s="208" t="s">
        <v>46</v>
      </c>
      <c r="U56" s="209" t="e">
        <f ca="1">_xlfn.XLOOKUP(PAA[[#This Row],[ITEM]],Contrato!A:A,Contrato!Q:Q,"",0)</f>
        <v>#NAME?</v>
      </c>
      <c r="V56" s="199" t="s">
        <v>47</v>
      </c>
      <c r="W56" s="199" t="s">
        <v>154</v>
      </c>
      <c r="X56" s="199" t="s">
        <v>154</v>
      </c>
      <c r="Y56" s="210" t="e">
        <f ca="1">_xlfn.XLOOKUP(PAA[[#This Row],[ITEM]],Contrato!A:A,Contrato!B:B,"",0)</f>
        <v>#NAME?</v>
      </c>
      <c r="Z56" s="199" t="e">
        <f ca="1">_xlfn.XLOOKUP(PAA[[#This Row],[ITEM]],Contrato!A:A,Contrato!G:G,"",0)</f>
        <v>#NAME?</v>
      </c>
      <c r="AA56" s="199" t="e">
        <f ca="1">_xlfn.XLOOKUP(PAA[[#This Row],[ITEM]],Contrato!A:A,Contrato!T:T,"",0)</f>
        <v>#NAME?</v>
      </c>
      <c r="AB56" s="210" t="e">
        <f ca="1">+MAX(PAA[[#This Row],[Comprometido Contrato]],)</f>
        <v>#NAME?</v>
      </c>
      <c r="AC56" s="210" t="str">
        <f t="shared" ca="1" si="3"/>
        <v/>
      </c>
      <c r="AD56" s="210" t="e">
        <f ca="1">+MAX(PAA[[#This Row],[Pago por Contrato]],)</f>
        <v>#NAME?</v>
      </c>
      <c r="AE56" s="210" t="str">
        <f t="shared" ca="1" si="4"/>
        <v/>
      </c>
      <c r="AF56" s="199" t="e">
        <f t="shared" ca="1" si="5"/>
        <v>#NAME?</v>
      </c>
      <c r="AG56" s="199" t="str">
        <f t="shared" si="6"/>
        <v/>
      </c>
      <c r="AH56" s="199" t="e" cm="1">
        <f t="array" aca="1" ref="AH56" ca="1">_xlfn.XLOOKUP(PAA[[#This Row],[RCP-RUBRO]],COMPROMISOS_2025[[#All],[concatenado]],COMPROMISOS_2025[[#All],[Total pagado]],"",0)</f>
        <v>#NAME?</v>
      </c>
      <c r="AI56" s="199" t="e" cm="1">
        <f t="array" aca="1" ref="AI56" ca="1">_xlfn.XLOOKUP(PAA[[#This Row],[RCP-RUBRO]],COMPROMISOS_2025[[#All],[concatenado]],COMPROMISOS_2025[[#All],[Total Comprometido]],"",0)</f>
        <v>#NAME?</v>
      </c>
    </row>
    <row r="57" spans="1:35" s="50" customFormat="1" ht="42" hidden="1" customHeight="1" x14ac:dyDescent="0.25">
      <c r="A57" s="333">
        <v>50</v>
      </c>
      <c r="B57" s="325">
        <v>72102100</v>
      </c>
      <c r="C57" s="333" t="str">
        <f>VLOOKUP(PAA[[#This Row],[PROYECTO (formulado)2]],PROYECTOS!$G$1:$L$32,6,0)</f>
        <v>SUBGERENCIA ADMINISTRATIVA Y FINANCIERA</v>
      </c>
      <c r="D57" s="333" t="str">
        <f>+IF(PAA[[#This Row],[UNIDAD DE CONTRATACION (formulado)]]="Subgerencia Administrativa y Financiera","FUNCIONAMIENTO","INVERSIÓN")</f>
        <v>FUNCIONAMIENTO</v>
      </c>
      <c r="E57" s="381" t="str">
        <f>VLOOKUP(Q57,PROYECTOS!$G$1:$K$32,5,0)</f>
        <v>FUNCIONAMIENTO</v>
      </c>
      <c r="F57" s="381">
        <f>VLOOKUP(E57,PROYECTOS!$K$1:$M$32,3,0)</f>
        <v>999999</v>
      </c>
      <c r="G57" s="382" t="s">
        <v>42</v>
      </c>
      <c r="H57" s="382">
        <f>VLOOKUP(Q57,PROYECTOS!$V$1:$W$32,2,0)</f>
        <v>999999</v>
      </c>
      <c r="I57" s="383">
        <v>30000000</v>
      </c>
      <c r="J57" s="384" t="s">
        <v>155</v>
      </c>
      <c r="K57" s="333" t="str">
        <f t="shared" ca="1" si="0"/>
        <v>CONTRATADO</v>
      </c>
      <c r="L57" s="384" t="s">
        <v>153</v>
      </c>
      <c r="M57" s="384" t="s">
        <v>142</v>
      </c>
      <c r="N57" s="385" t="s">
        <v>114</v>
      </c>
      <c r="O57" s="384">
        <f>VLOOKUP(N57,RUBROS[#All],3,0)</f>
        <v>30</v>
      </c>
      <c r="P57" s="384" t="str">
        <f>VLOOKUP(N57,RUBROS[#All],2,0)</f>
        <v xml:space="preserve">Servicios prestados a las empresas y servicios de producción </v>
      </c>
      <c r="Q57" s="333" t="str">
        <f t="shared" si="1"/>
        <v>00</v>
      </c>
      <c r="R57" s="333" t="str">
        <f t="shared" si="2"/>
        <v>0-205616</v>
      </c>
      <c r="S57" s="333">
        <v>10</v>
      </c>
      <c r="T57" s="337" t="s">
        <v>46</v>
      </c>
      <c r="U57" s="386" t="e">
        <f ca="1">_xlfn.XLOOKUP(PAA[[#This Row],[ITEM]],Contrato!A:A,Contrato!Q:Q,"",0)</f>
        <v>#NAME?</v>
      </c>
      <c r="V57" s="333" t="s">
        <v>47</v>
      </c>
      <c r="W57" s="333" t="s">
        <v>127</v>
      </c>
      <c r="X57" s="333" t="s">
        <v>127</v>
      </c>
      <c r="Y57" s="387" t="e">
        <f ca="1">_xlfn.XLOOKUP(PAA[[#This Row],[ITEM]],Contrato!A:A,Contrato!B:B,"",0)</f>
        <v>#NAME?</v>
      </c>
      <c r="Z57" s="333" t="e">
        <f ca="1">_xlfn.XLOOKUP(PAA[[#This Row],[ITEM]],Contrato!A:A,Contrato!G:G,"",0)</f>
        <v>#NAME?</v>
      </c>
      <c r="AA57" s="333" t="e">
        <f ca="1">_xlfn.XLOOKUP(PAA[[#This Row],[ITEM]],Contrato!A:A,Contrato!T:T,"",0)</f>
        <v>#NAME?</v>
      </c>
      <c r="AB57" s="387" t="e">
        <f ca="1">+MAX(PAA[[#This Row],[Comprometido Contrato]],)</f>
        <v>#NAME?</v>
      </c>
      <c r="AC57" s="387" t="str">
        <f t="shared" ca="1" si="3"/>
        <v/>
      </c>
      <c r="AD57" s="387" t="e">
        <f ca="1">+MAX(PAA[[#This Row],[Pago por Contrato]],)</f>
        <v>#NAME?</v>
      </c>
      <c r="AE57" s="387" t="str">
        <f t="shared" ca="1" si="4"/>
        <v/>
      </c>
      <c r="AF57" s="333" t="e">
        <f t="shared" ca="1" si="5"/>
        <v>#NAME?</v>
      </c>
      <c r="AG57" s="333" t="str">
        <f t="shared" si="6"/>
        <v/>
      </c>
      <c r="AH57" s="333" t="e" cm="1">
        <f t="array" aca="1" ref="AH57" ca="1">_xlfn.XLOOKUP(PAA[[#This Row],[RCP-RUBRO]],COMPROMISOS_2025[[#All],[concatenado]],COMPROMISOS_2025[[#All],[Total pagado]],"",0)</f>
        <v>#NAME?</v>
      </c>
      <c r="AI57" s="333" t="e" cm="1">
        <f t="array" aca="1" ref="AI57" ca="1">_xlfn.XLOOKUP(PAA[[#This Row],[RCP-RUBRO]],COMPROMISOS_2025[[#All],[concatenado]],COMPROMISOS_2025[[#All],[Total Comprometido]],"",0)</f>
        <v>#NAME?</v>
      </c>
    </row>
    <row r="58" spans="1:35" s="50" customFormat="1" ht="42" hidden="1" customHeight="1" x14ac:dyDescent="0.25">
      <c r="A58" s="57">
        <v>51</v>
      </c>
      <c r="B58" s="186">
        <v>80101500</v>
      </c>
      <c r="C58" s="57" t="str">
        <f>VLOOKUP(PAA[[#This Row],[PROYECTO (formulado)2]],PROYECTOS!$G$1:$L$32,6,0)</f>
        <v>SUBGERENCIA ADMINISTRATIVA Y FINANCIERA</v>
      </c>
      <c r="D58" s="57" t="str">
        <f>+IF(PAA[[#This Row],[UNIDAD DE CONTRATACION (formulado)]]="Subgerencia Administrativa y Financiera","FUNCIONAMIENTO","INVERSIÓN")</f>
        <v>FUNCIONAMIENTO</v>
      </c>
      <c r="E58" s="153" t="str">
        <f>VLOOKUP(Q58,PROYECTOS!$G$1:$K$32,5,0)</f>
        <v>FUNCIONAMIENTO</v>
      </c>
      <c r="F58" s="153">
        <f>VLOOKUP(E58,PROYECTOS!$K$1:$M$32,3,0)</f>
        <v>999999</v>
      </c>
      <c r="G58" s="154" t="s">
        <v>42</v>
      </c>
      <c r="H58" s="154">
        <f>VLOOKUP(Q58,PROYECTOS!$V$1:$W$32,2,0)</f>
        <v>999999</v>
      </c>
      <c r="I58" s="143">
        <v>10000000</v>
      </c>
      <c r="J58" s="155" t="s">
        <v>156</v>
      </c>
      <c r="K58" s="57" t="str">
        <f t="shared" ca="1" si="0"/>
        <v>CONTRATADO</v>
      </c>
      <c r="L58" s="155" t="s">
        <v>112</v>
      </c>
      <c r="M58" s="155" t="s">
        <v>142</v>
      </c>
      <c r="N58" s="142" t="s">
        <v>114</v>
      </c>
      <c r="O58" s="155">
        <f>VLOOKUP(N58,RUBROS[#All],3,0)</f>
        <v>30</v>
      </c>
      <c r="P58" s="156" t="str">
        <f>VLOOKUP(N58,RUBROS[#All],2,0)</f>
        <v xml:space="preserve">Servicios prestados a las empresas y servicios de producción </v>
      </c>
      <c r="Q58" s="57" t="str">
        <f t="shared" si="1"/>
        <v>00</v>
      </c>
      <c r="R58" s="57" t="str">
        <f t="shared" si="2"/>
        <v>0-205616</v>
      </c>
      <c r="S58" s="152">
        <v>11</v>
      </c>
      <c r="T58" s="157" t="s">
        <v>46</v>
      </c>
      <c r="U58" s="162" t="e">
        <f ca="1">_xlfn.XLOOKUP(PAA[[#This Row],[ITEM]],Contrato!A:A,Contrato!Q:Q,"",0)</f>
        <v>#NAME?</v>
      </c>
      <c r="V58" s="57" t="s">
        <v>47</v>
      </c>
      <c r="W58" s="57" t="s">
        <v>48</v>
      </c>
      <c r="X58" s="57" t="s">
        <v>48</v>
      </c>
      <c r="Y58" s="58" t="e">
        <f ca="1">_xlfn.XLOOKUP(PAA[[#This Row],[ITEM]],Contrato!A:A,Contrato!B:B,"",0)</f>
        <v>#NAME?</v>
      </c>
      <c r="Z58" s="57" t="e">
        <f ca="1">_xlfn.XLOOKUP(PAA[[#This Row],[ITEM]],Contrato!A:A,Contrato!G:G,"",0)</f>
        <v>#NAME?</v>
      </c>
      <c r="AA58" s="57" t="e">
        <f ca="1">_xlfn.XLOOKUP(PAA[[#This Row],[ITEM]],Contrato!A:A,Contrato!T:T,"",0)</f>
        <v>#NAME?</v>
      </c>
      <c r="AB58" s="58" t="e">
        <f ca="1">+MAX(PAA[[#This Row],[Comprometido Contrato]],)</f>
        <v>#NAME?</v>
      </c>
      <c r="AC58" s="58" t="str">
        <f t="shared" ca="1" si="3"/>
        <v/>
      </c>
      <c r="AD58" s="58" t="e">
        <f ca="1">+MAX(PAA[[#This Row],[Pago por Contrato]],)</f>
        <v>#NAME?</v>
      </c>
      <c r="AE58" s="58" t="str">
        <f t="shared" ca="1" si="4"/>
        <v/>
      </c>
      <c r="AF58" s="57" t="e">
        <f t="shared" ca="1" si="5"/>
        <v>#NAME?</v>
      </c>
      <c r="AG58" s="57" t="str">
        <f t="shared" si="6"/>
        <v/>
      </c>
      <c r="AH58" s="57" t="e" cm="1">
        <f t="array" aca="1" ref="AH58" ca="1">_xlfn.XLOOKUP(PAA[[#This Row],[RCP-RUBRO]],COMPROMISOS_2025[[#All],[concatenado]],COMPROMISOS_2025[[#All],[Total pagado]],"",0)</f>
        <v>#NAME?</v>
      </c>
      <c r="AI58" s="57" t="e" cm="1">
        <f t="array" aca="1" ref="AI58" ca="1">_xlfn.XLOOKUP(PAA[[#This Row],[RCP-RUBRO]],COMPROMISOS_2025[[#All],[concatenado]],COMPROMISOS_2025[[#All],[Total Comprometido]],"",0)</f>
        <v>#NAME?</v>
      </c>
    </row>
    <row r="59" spans="1:35" s="50" customFormat="1" ht="42" hidden="1" customHeight="1" x14ac:dyDescent="0.25">
      <c r="A59" s="326">
        <v>52</v>
      </c>
      <c r="B59" s="325" t="s">
        <v>157</v>
      </c>
      <c r="C59" s="326" t="str">
        <f>VLOOKUP(PAA[[#This Row],[PROYECTO (formulado)2]],PROYECTOS!$G$1:$L$32,6,0)</f>
        <v>SUBGERENCIA ADMINISTRATIVA Y FINANCIERA</v>
      </c>
      <c r="D59" s="326" t="str">
        <f>+IF(PAA[[#This Row],[UNIDAD DE CONTRATACION (formulado)]]="Subgerencia Administrativa y Financiera","FUNCIONAMIENTO","INVERSIÓN")</f>
        <v>FUNCIONAMIENTO</v>
      </c>
      <c r="E59" s="327" t="str">
        <f>VLOOKUP(Q59,PROYECTOS!$G$1:$K$32,5,0)</f>
        <v>FUNCIONAMIENTO</v>
      </c>
      <c r="F59" s="327">
        <f>VLOOKUP(E59,PROYECTOS!$K$1:$M$32,3,0)</f>
        <v>999999</v>
      </c>
      <c r="G59" s="328" t="s">
        <v>42</v>
      </c>
      <c r="H59" s="328">
        <f>VLOOKUP(Q59,PROYECTOS!$V$1:$W$32,2,0)</f>
        <v>999999</v>
      </c>
      <c r="I59" s="329">
        <v>500000000</v>
      </c>
      <c r="J59" s="330" t="s">
        <v>158</v>
      </c>
      <c r="K59" s="326" t="str">
        <f t="shared" ca="1" si="0"/>
        <v>CONTRATADO</v>
      </c>
      <c r="L59" s="330" t="s">
        <v>112</v>
      </c>
      <c r="M59" s="330" t="s">
        <v>142</v>
      </c>
      <c r="N59" s="331" t="s">
        <v>159</v>
      </c>
      <c r="O59" s="330">
        <f>VLOOKUP(N59,RUBROS[#All],3,0)</f>
        <v>34</v>
      </c>
      <c r="P59" s="332" t="str">
        <f>VLOOKUP(N59,RUBROS[#All],2,0)</f>
        <v>Operación logistica bienestar - Servicios para la comunidad, sociales y personales</v>
      </c>
      <c r="Q59" s="326" t="str">
        <f t="shared" si="1"/>
        <v>00</v>
      </c>
      <c r="R59" s="326" t="str">
        <f t="shared" si="2"/>
        <v>0-205616</v>
      </c>
      <c r="S59" s="333">
        <v>10</v>
      </c>
      <c r="T59" s="337" t="s">
        <v>46</v>
      </c>
      <c r="U59" s="335" t="e">
        <f ca="1">_xlfn.XLOOKUP(PAA[[#This Row],[ITEM]],Contrato!A:A,Contrato!Q:Q,"",0)</f>
        <v>#NAME?</v>
      </c>
      <c r="V59" s="326" t="s">
        <v>47</v>
      </c>
      <c r="W59" s="326" t="s">
        <v>127</v>
      </c>
      <c r="X59" s="326" t="s">
        <v>127</v>
      </c>
      <c r="Y59" s="336" t="e">
        <f ca="1">_xlfn.XLOOKUP(PAA[[#This Row],[ITEM]],Contrato!A:A,Contrato!B:B,"",0)</f>
        <v>#NAME?</v>
      </c>
      <c r="Z59" s="326" t="e">
        <f ca="1">_xlfn.XLOOKUP(PAA[[#This Row],[ITEM]],Contrato!A:A,Contrato!G:G,"",0)</f>
        <v>#NAME?</v>
      </c>
      <c r="AA59" s="326" t="e">
        <f ca="1">_xlfn.XLOOKUP(PAA[[#This Row],[ITEM]],Contrato!A:A,Contrato!T:T,"",0)</f>
        <v>#NAME?</v>
      </c>
      <c r="AB59" s="336" t="e">
        <f ca="1">+MAX(PAA[[#This Row],[Comprometido Contrato]],)</f>
        <v>#NAME?</v>
      </c>
      <c r="AC59" s="336" t="str">
        <f t="shared" ca="1" si="3"/>
        <v/>
      </c>
      <c r="AD59" s="336" t="e">
        <f ca="1">+MAX(PAA[[#This Row],[Pago por Contrato]],)</f>
        <v>#NAME?</v>
      </c>
      <c r="AE59" s="336" t="str">
        <f t="shared" ca="1" si="4"/>
        <v/>
      </c>
      <c r="AF59" s="326" t="e">
        <f t="shared" ca="1" si="5"/>
        <v>#NAME?</v>
      </c>
      <c r="AG59" s="326" t="str">
        <f t="shared" si="6"/>
        <v/>
      </c>
      <c r="AH59" s="326" t="e" cm="1">
        <f t="array" aca="1" ref="AH59" ca="1">_xlfn.XLOOKUP(PAA[[#This Row],[RCP-RUBRO]],COMPROMISOS_2025[[#All],[concatenado]],COMPROMISOS_2025[[#All],[Total pagado]],"",0)</f>
        <v>#NAME?</v>
      </c>
      <c r="AI59" s="326" t="e" cm="1">
        <f t="array" aca="1" ref="AI59" ca="1">_xlfn.XLOOKUP(PAA[[#This Row],[RCP-RUBRO]],COMPROMISOS_2025[[#All],[concatenado]],COMPROMISOS_2025[[#All],[Total Comprometido]],"",0)</f>
        <v>#NAME?</v>
      </c>
    </row>
    <row r="60" spans="1:35" s="50" customFormat="1" ht="42" hidden="1" customHeight="1" x14ac:dyDescent="0.25">
      <c r="A60" s="57">
        <v>53</v>
      </c>
      <c r="B60" s="186">
        <v>86101700</v>
      </c>
      <c r="C60" s="57" t="str">
        <f>VLOOKUP(PAA[[#This Row],[PROYECTO (formulado)2]],PROYECTOS!$G$1:$L$32,6,0)</f>
        <v>SUBGERENCIA ADMINISTRATIVA Y FINANCIERA</v>
      </c>
      <c r="D60" s="57" t="str">
        <f>+IF(PAA[[#This Row],[UNIDAD DE CONTRATACION (formulado)]]="Subgerencia Administrativa y Financiera","FUNCIONAMIENTO","INVERSIÓN")</f>
        <v>FUNCIONAMIENTO</v>
      </c>
      <c r="E60" s="153" t="str">
        <f>VLOOKUP(Q60,PROYECTOS!$G$1:$K$32,5,0)</f>
        <v>FUNCIONAMIENTO</v>
      </c>
      <c r="F60" s="153">
        <f>VLOOKUP(E60,PROYECTOS!$K$1:$M$32,3,0)</f>
        <v>999999</v>
      </c>
      <c r="G60" s="154" t="s">
        <v>42</v>
      </c>
      <c r="H60" s="154">
        <f>VLOOKUP(Q60,PROYECTOS!$V$1:$W$32,2,0)</f>
        <v>999999</v>
      </c>
      <c r="I60" s="143">
        <v>110000000</v>
      </c>
      <c r="J60" s="155" t="s">
        <v>160</v>
      </c>
      <c r="K60" s="57" t="str">
        <f t="shared" ca="1" si="0"/>
        <v>CONTRATADO</v>
      </c>
      <c r="L60" s="155" t="s">
        <v>112</v>
      </c>
      <c r="M60" s="155" t="s">
        <v>125</v>
      </c>
      <c r="N60" s="142" t="s">
        <v>161</v>
      </c>
      <c r="O60" s="155">
        <f>VLOOKUP(N60,RUBROS[#All],3,0)</f>
        <v>35</v>
      </c>
      <c r="P60" s="156" t="str">
        <f>VLOOKUP(N60,RUBROS[#All],2,0)</f>
        <v>Apoyos, Aprovechamiento y Capacitación - Servicios para la comunidad, sociales y personales</v>
      </c>
      <c r="Q60" s="57" t="str">
        <f t="shared" si="1"/>
        <v>00</v>
      </c>
      <c r="R60" s="57" t="str">
        <f t="shared" si="2"/>
        <v>0-205616</v>
      </c>
      <c r="S60" s="152">
        <v>11</v>
      </c>
      <c r="T60" s="157" t="s">
        <v>46</v>
      </c>
      <c r="U60" s="162" t="e">
        <f ca="1">_xlfn.XLOOKUP(PAA[[#This Row],[ITEM]],Contrato!A:A,Contrato!Q:Q,"",0)</f>
        <v>#NAME?</v>
      </c>
      <c r="V60" s="57" t="s">
        <v>47</v>
      </c>
      <c r="W60" s="57" t="s">
        <v>48</v>
      </c>
      <c r="X60" s="57" t="s">
        <v>48</v>
      </c>
      <c r="Y60" s="58" t="e">
        <f ca="1">_xlfn.XLOOKUP(PAA[[#This Row],[ITEM]],Contrato!A:A,Contrato!B:B,"",0)</f>
        <v>#NAME?</v>
      </c>
      <c r="Z60" s="57" t="e">
        <f ca="1">_xlfn.XLOOKUP(PAA[[#This Row],[ITEM]],Contrato!A:A,Contrato!G:G,"",0)</f>
        <v>#NAME?</v>
      </c>
      <c r="AA60" s="57" t="e">
        <f ca="1">_xlfn.XLOOKUP(PAA[[#This Row],[ITEM]],Contrato!A:A,Contrato!T:T,"",0)</f>
        <v>#NAME?</v>
      </c>
      <c r="AB60" s="58" t="e">
        <f ca="1">+MAX(PAA[[#This Row],[Comprometido Contrato]],)</f>
        <v>#NAME?</v>
      </c>
      <c r="AC60" s="58" t="str">
        <f t="shared" ca="1" si="3"/>
        <v/>
      </c>
      <c r="AD60" s="58" t="e">
        <f ca="1">+MAX(PAA[[#This Row],[Pago por Contrato]],)</f>
        <v>#NAME?</v>
      </c>
      <c r="AE60" s="58" t="str">
        <f t="shared" ca="1" si="4"/>
        <v/>
      </c>
      <c r="AF60" s="57" t="e">
        <f t="shared" ca="1" si="5"/>
        <v>#NAME?</v>
      </c>
      <c r="AG60" s="57" t="str">
        <f t="shared" si="6"/>
        <v/>
      </c>
      <c r="AH60" s="57" t="e" cm="1">
        <f t="array" aca="1" ref="AH60" ca="1">_xlfn.XLOOKUP(PAA[[#This Row],[RCP-RUBRO]],COMPROMISOS_2025[[#All],[concatenado]],COMPROMISOS_2025[[#All],[Total pagado]],"",0)</f>
        <v>#NAME?</v>
      </c>
      <c r="AI60" s="57" t="e" cm="1">
        <f t="array" aca="1" ref="AI60" ca="1">_xlfn.XLOOKUP(PAA[[#This Row],[RCP-RUBRO]],COMPROMISOS_2025[[#All],[concatenado]],COMPROMISOS_2025[[#All],[Total Comprometido]],"",0)</f>
        <v>#NAME?</v>
      </c>
    </row>
    <row r="61" spans="1:35" s="50" customFormat="1" ht="42" hidden="1" customHeight="1" x14ac:dyDescent="0.25">
      <c r="A61" s="57">
        <v>54</v>
      </c>
      <c r="B61" s="186">
        <v>80111600</v>
      </c>
      <c r="C61" s="57" t="str">
        <f>VLOOKUP(PAA[[#This Row],[PROYECTO (formulado)2]],PROYECTOS!$G$1:$L$32,6,0)</f>
        <v>SUBGERENCIA ADMINISTRATIVA Y FINANCIERA</v>
      </c>
      <c r="D61" s="57" t="str">
        <f>+IF(PAA[[#This Row],[UNIDAD DE CONTRATACION (formulado)]]="Subgerencia Administrativa y Financiera","FUNCIONAMIENTO","INVERSIÓN")</f>
        <v>FUNCIONAMIENTO</v>
      </c>
      <c r="E61" s="153" t="str">
        <f>VLOOKUP(Q61,PROYECTOS!$G$1:$K$32,5,0)</f>
        <v>FUNCIONAMIENTO</v>
      </c>
      <c r="F61" s="153">
        <f>VLOOKUP(E61,PROYECTOS!$K$1:$M$32,3,0)</f>
        <v>999999</v>
      </c>
      <c r="G61" s="154" t="s">
        <v>42</v>
      </c>
      <c r="H61" s="154">
        <f>VLOOKUP(Q61,PROYECTOS!$V$1:$W$32,2,0)</f>
        <v>999999</v>
      </c>
      <c r="I61" s="143">
        <v>23933000</v>
      </c>
      <c r="J61" s="155" t="s">
        <v>162</v>
      </c>
      <c r="K61" s="57" t="str">
        <f t="shared" ca="1" si="0"/>
        <v>CONTRATADO</v>
      </c>
      <c r="L61" s="155" t="s">
        <v>112</v>
      </c>
      <c r="M61" s="155" t="s">
        <v>113</v>
      </c>
      <c r="N61" s="142" t="s">
        <v>114</v>
      </c>
      <c r="O61" s="155">
        <f>VLOOKUP(N61,RUBROS[#All],3,0)</f>
        <v>30</v>
      </c>
      <c r="P61" s="156" t="str">
        <f>VLOOKUP(N61,RUBROS[#All],2,0)</f>
        <v xml:space="preserve">Servicios prestados a las empresas y servicios de producción </v>
      </c>
      <c r="Q61" s="57" t="str">
        <f t="shared" si="1"/>
        <v>00</v>
      </c>
      <c r="R61" s="57" t="str">
        <f t="shared" si="2"/>
        <v>0-205616</v>
      </c>
      <c r="S61" s="152">
        <v>5</v>
      </c>
      <c r="T61" s="157" t="s">
        <v>46</v>
      </c>
      <c r="U61" s="162" t="e">
        <f ca="1">_xlfn.XLOOKUP(PAA[[#This Row],[ITEM]],Contrato!A:A,Contrato!Q:Q,"",0)</f>
        <v>#NAME?</v>
      </c>
      <c r="V61" s="57" t="s">
        <v>47</v>
      </c>
      <c r="W61" s="57" t="s">
        <v>48</v>
      </c>
      <c r="X61" s="57" t="s">
        <v>48</v>
      </c>
      <c r="Y61" s="58" t="e">
        <f ca="1">_xlfn.XLOOKUP(PAA[[#This Row],[ITEM]],Contrato!A:A,Contrato!B:B,"",0)</f>
        <v>#NAME?</v>
      </c>
      <c r="Z61" s="57" t="e">
        <f ca="1">_xlfn.XLOOKUP(PAA[[#This Row],[ITEM]],Contrato!A:A,Contrato!G:G,"",0)</f>
        <v>#NAME?</v>
      </c>
      <c r="AA61" s="57" t="e">
        <f ca="1">_xlfn.XLOOKUP(PAA[[#This Row],[ITEM]],Contrato!A:A,Contrato!T:T,"",0)</f>
        <v>#NAME?</v>
      </c>
      <c r="AB61" s="58" t="e">
        <f ca="1">+MAX(PAA[[#This Row],[Comprometido Contrato]],)</f>
        <v>#NAME?</v>
      </c>
      <c r="AC61" s="58" t="str">
        <f t="shared" ca="1" si="3"/>
        <v/>
      </c>
      <c r="AD61" s="58" t="e">
        <f ca="1">+MAX(PAA[[#This Row],[Pago por Contrato]],)</f>
        <v>#NAME?</v>
      </c>
      <c r="AE61" s="58" t="str">
        <f t="shared" ca="1" si="4"/>
        <v/>
      </c>
      <c r="AF61" s="57" t="e">
        <f t="shared" ca="1" si="5"/>
        <v>#NAME?</v>
      </c>
      <c r="AG61" s="57" t="str">
        <f t="shared" si="6"/>
        <v/>
      </c>
      <c r="AH61" s="57" t="e" cm="1">
        <f t="array" aca="1" ref="AH61" ca="1">_xlfn.XLOOKUP(PAA[[#This Row],[RCP-RUBRO]],COMPROMISOS_2025[[#All],[concatenado]],COMPROMISOS_2025[[#All],[Total pagado]],"",0)</f>
        <v>#NAME?</v>
      </c>
      <c r="AI61" s="57" t="e" cm="1">
        <f t="array" aca="1" ref="AI61" ca="1">_xlfn.XLOOKUP(PAA[[#This Row],[RCP-RUBRO]],COMPROMISOS_2025[[#All],[concatenado]],COMPROMISOS_2025[[#All],[Total Comprometido]],"",0)</f>
        <v>#NAME?</v>
      </c>
    </row>
    <row r="62" spans="1:35" s="50" customFormat="1" ht="42" hidden="1" customHeight="1" x14ac:dyDescent="0.25">
      <c r="A62" s="313">
        <v>55</v>
      </c>
      <c r="B62" s="314" t="s">
        <v>163</v>
      </c>
      <c r="C62" s="313" t="str">
        <f>VLOOKUP(PAA[[#This Row],[PROYECTO (formulado)2]],PROYECTOS!$G$1:$L$32,6,0)</f>
        <v>SUBGERENCIA ADMINISTRATIVA Y FINANCIERA</v>
      </c>
      <c r="D62" s="313" t="str">
        <f>+IF(PAA[[#This Row],[UNIDAD DE CONTRATACION (formulado)]]="Subgerencia Administrativa y Financiera","FUNCIONAMIENTO","INVERSIÓN")</f>
        <v>FUNCIONAMIENTO</v>
      </c>
      <c r="E62" s="315" t="str">
        <f>VLOOKUP(Q62,PROYECTOS!$G$1:$K$32,5,0)</f>
        <v>Fortalecimiento de los sistemas de información y la gestión estratégica para el deporte, la recreación y la actividad física de Antioquia</v>
      </c>
      <c r="F62" s="315">
        <f>VLOOKUP(E62,PROYECTOS!$K$1:$M$32,3,0)</f>
        <v>2024003050077</v>
      </c>
      <c r="G62" s="316" t="s">
        <v>164</v>
      </c>
      <c r="H62" s="316" t="str">
        <f>VLOOKUP(Q62,PROYECTOS!$V$1:$W$32,2,0)</f>
        <v>220387</v>
      </c>
      <c r="I62" s="317">
        <v>428268255</v>
      </c>
      <c r="J62" s="318" t="s">
        <v>165</v>
      </c>
      <c r="K62" s="313" t="str">
        <f t="shared" ca="1" si="0"/>
        <v>CONTRATADO</v>
      </c>
      <c r="L62" s="318" t="s">
        <v>112</v>
      </c>
      <c r="M62" s="318" t="s">
        <v>125</v>
      </c>
      <c r="N62" s="319" t="s">
        <v>166</v>
      </c>
      <c r="O62" s="318">
        <f>VLOOKUP(N62,RUBROS[#All],3,0)</f>
        <v>55</v>
      </c>
      <c r="P62" s="320" t="str">
        <f>VLOOKUP(N62,RUBROS[#All],2,0)</f>
        <v>Fortalecimiento de los sistemas de información y la gestión estratégica para el deporte, la recreación y la actividad física de Antioquia (comunicaciones) -Servicios para la comunidad, sociales y personales</v>
      </c>
      <c r="Q62" s="313" t="str">
        <f t="shared" si="1"/>
        <v>77</v>
      </c>
      <c r="R62" s="313" t="str">
        <f t="shared" si="2"/>
        <v>0-271130</v>
      </c>
      <c r="S62" s="321">
        <v>10</v>
      </c>
      <c r="T62" s="322" t="s">
        <v>46</v>
      </c>
      <c r="U62" s="323" t="e">
        <f ca="1">_xlfn.XLOOKUP(PAA[[#This Row],[ITEM]],Contrato!A:A,Contrato!Q:Q,"",0)</f>
        <v>#NAME?</v>
      </c>
      <c r="V62" s="313" t="s">
        <v>47</v>
      </c>
      <c r="W62" s="313" t="s">
        <v>127</v>
      </c>
      <c r="X62" s="313" t="s">
        <v>127</v>
      </c>
      <c r="Y62" s="324" t="e">
        <f ca="1">_xlfn.XLOOKUP(PAA[[#This Row],[ITEM]],Contrato!A:A,Contrato!B:B,"",0)</f>
        <v>#NAME?</v>
      </c>
      <c r="Z62" s="313" t="e">
        <f ca="1">_xlfn.XLOOKUP(PAA[[#This Row],[ITEM]],Contrato!A:A,Contrato!G:G,"",0)</f>
        <v>#NAME?</v>
      </c>
      <c r="AA62" s="313" t="e">
        <f ca="1">_xlfn.XLOOKUP(PAA[[#This Row],[ITEM]],Contrato!A:A,Contrato!T:T,"",0)</f>
        <v>#NAME?</v>
      </c>
      <c r="AB62" s="324" t="e">
        <f ca="1">+MAX(PAA[[#This Row],[Comprometido Contrato]],)</f>
        <v>#NAME?</v>
      </c>
      <c r="AC62" s="324" t="str">
        <f t="shared" ca="1" si="3"/>
        <v/>
      </c>
      <c r="AD62" s="324" t="e">
        <f ca="1">+MAX(PAA[[#This Row],[Pago por Contrato]],)</f>
        <v>#NAME?</v>
      </c>
      <c r="AE62" s="324" t="str">
        <f t="shared" ca="1" si="4"/>
        <v/>
      </c>
      <c r="AF62" s="313" t="e">
        <f t="shared" ca="1" si="5"/>
        <v>#NAME?</v>
      </c>
      <c r="AG62" s="313">
        <f t="shared" si="6"/>
        <v>52011001</v>
      </c>
      <c r="AH62" s="313" t="e" cm="1">
        <f t="array" aca="1" ref="AH62" ca="1">_xlfn.XLOOKUP(PAA[[#This Row],[RCP-RUBRO]],COMPROMISOS_2025[[#All],[concatenado]],COMPROMISOS_2025[[#All],[Total pagado]],"",0)</f>
        <v>#NAME?</v>
      </c>
      <c r="AI62" s="313" t="e" cm="1">
        <f t="array" aca="1" ref="AI62" ca="1">_xlfn.XLOOKUP(PAA[[#This Row],[RCP-RUBRO]],COMPROMISOS_2025[[#All],[concatenado]],COMPROMISOS_2025[[#All],[Total Comprometido]],"",0)</f>
        <v>#NAME?</v>
      </c>
    </row>
    <row r="63" spans="1:35" s="50" customFormat="1" ht="42" hidden="1" customHeight="1" x14ac:dyDescent="0.25">
      <c r="A63" s="199">
        <v>56</v>
      </c>
      <c r="B63" s="200" t="s">
        <v>167</v>
      </c>
      <c r="C63" s="199" t="str">
        <f>VLOOKUP(PAA[[#This Row],[PROYECTO (formulado)2]],PROYECTOS!$G$1:$L$32,6,0)</f>
        <v>SUBGERENCIA ADMINISTRATIVA Y FINANCIERA</v>
      </c>
      <c r="D63" s="199" t="str">
        <f>+IF(PAA[[#This Row],[UNIDAD DE CONTRATACION (formulado)]]="Subgerencia Administrativa y Financiera","FUNCIONAMIENTO","INVERSIÓN")</f>
        <v>FUNCIONAMIENTO</v>
      </c>
      <c r="E63" s="201" t="str">
        <f>VLOOKUP(Q63,PROYECTOS!$G$1:$K$32,5,0)</f>
        <v>Fortalecimiento de los sistemas de información y la gestión estratégica para el deporte, la recreación y la actividad física de Antioquia</v>
      </c>
      <c r="F63" s="201">
        <f>VLOOKUP(E63,PROYECTOS!$K$1:$M$32,3,0)</f>
        <v>2024003050077</v>
      </c>
      <c r="G63" s="202" t="s">
        <v>168</v>
      </c>
      <c r="H63" s="202" t="str">
        <f>VLOOKUP(Q63,PROYECTOS!$V$1:$W$32,2,0)</f>
        <v>220387</v>
      </c>
      <c r="I63" s="203">
        <v>1000000000</v>
      </c>
      <c r="J63" s="204" t="s">
        <v>169</v>
      </c>
      <c r="K63" s="199" t="str">
        <f t="shared" ca="1" si="0"/>
        <v>CONTRATADO</v>
      </c>
      <c r="L63" s="204" t="s">
        <v>112</v>
      </c>
      <c r="M63" s="204" t="s">
        <v>125</v>
      </c>
      <c r="N63" s="205" t="s">
        <v>166</v>
      </c>
      <c r="O63" s="204">
        <f>VLOOKUP(N63,RUBROS[#All],3,0)</f>
        <v>55</v>
      </c>
      <c r="P63" s="206" t="str">
        <f>VLOOKUP(N63,RUBROS[#All],2,0)</f>
        <v>Fortalecimiento de los sistemas de información y la gestión estratégica para el deporte, la recreación y la actividad física de Antioquia (comunicaciones) -Servicios para la comunidad, sociales y personales</v>
      </c>
      <c r="Q63" s="199" t="str">
        <f t="shared" si="1"/>
        <v>77</v>
      </c>
      <c r="R63" s="199" t="str">
        <f t="shared" si="2"/>
        <v>0-271130</v>
      </c>
      <c r="S63" s="207">
        <v>11</v>
      </c>
      <c r="T63" s="208" t="s">
        <v>46</v>
      </c>
      <c r="U63" s="209" t="e">
        <f ca="1">_xlfn.XLOOKUP(PAA[[#This Row],[ITEM]],Contrato!A:A,Contrato!Q:Q,"",0)</f>
        <v>#NAME?</v>
      </c>
      <c r="V63" s="199" t="s">
        <v>47</v>
      </c>
      <c r="W63" s="199" t="s">
        <v>154</v>
      </c>
      <c r="X63" s="199" t="s">
        <v>154</v>
      </c>
      <c r="Y63" s="210" t="e">
        <f ca="1">_xlfn.XLOOKUP(PAA[[#This Row],[ITEM]],Contrato!A:A,Contrato!B:B,"",0)</f>
        <v>#NAME?</v>
      </c>
      <c r="Z63" s="199" t="e">
        <f ca="1">_xlfn.XLOOKUP(PAA[[#This Row],[ITEM]],Contrato!A:A,Contrato!G:G,"",0)</f>
        <v>#NAME?</v>
      </c>
      <c r="AA63" s="199" t="e">
        <f ca="1">_xlfn.XLOOKUP(PAA[[#This Row],[ITEM]],Contrato!A:A,Contrato!T:T,"",0)</f>
        <v>#NAME?</v>
      </c>
      <c r="AB63" s="210" t="e">
        <f ca="1">+MAX(PAA[[#This Row],[Comprometido Contrato]],)</f>
        <v>#NAME?</v>
      </c>
      <c r="AC63" s="210" t="str">
        <f t="shared" ca="1" si="3"/>
        <v/>
      </c>
      <c r="AD63" s="210" t="e">
        <f ca="1">+MAX(PAA[[#This Row],[Pago por Contrato]],)</f>
        <v>#NAME?</v>
      </c>
      <c r="AE63" s="210" t="str">
        <f t="shared" ca="1" si="4"/>
        <v/>
      </c>
      <c r="AF63" s="199" t="e">
        <f t="shared" ca="1" si="5"/>
        <v>#NAME?</v>
      </c>
      <c r="AG63" s="199">
        <f t="shared" si="6"/>
        <v>52011001</v>
      </c>
      <c r="AH63" s="199" t="e" cm="1">
        <f t="array" aca="1" ref="AH63" ca="1">_xlfn.XLOOKUP(PAA[[#This Row],[RCP-RUBRO]],COMPROMISOS_2025[[#All],[concatenado]],COMPROMISOS_2025[[#All],[Total pagado]],"",0)</f>
        <v>#NAME?</v>
      </c>
      <c r="AI63" s="199" t="e" cm="1">
        <f t="array" aca="1" ref="AI63" ca="1">_xlfn.XLOOKUP(PAA[[#This Row],[RCP-RUBRO]],COMPROMISOS_2025[[#All],[concatenado]],COMPROMISOS_2025[[#All],[Total Comprometido]],"",0)</f>
        <v>#NAME?</v>
      </c>
    </row>
    <row r="64" spans="1:35" s="50" customFormat="1" ht="42" hidden="1" customHeight="1" x14ac:dyDescent="0.25">
      <c r="A64" s="57">
        <v>57</v>
      </c>
      <c r="B64" s="186" t="s">
        <v>41</v>
      </c>
      <c r="C64" s="57" t="str">
        <f>VLOOKUP(PAA[[#This Row],[PROYECTO (formulado)2]],PROYECTOS!$G$1:$L$32,6,0)</f>
        <v>SUBGERENCIA ADMINISTRATIVA Y FINANCIERA</v>
      </c>
      <c r="D64" s="57" t="str">
        <f>+IF(PAA[[#This Row],[UNIDAD DE CONTRATACION (formulado)]]="Subgerencia Administrativa y Financiera","FUNCIONAMIENTO","INVERSIÓN")</f>
        <v>FUNCIONAMIENTO</v>
      </c>
      <c r="E64" s="153" t="str">
        <f>VLOOKUP(Q64,PROYECTOS!$G$1:$K$32,5,0)</f>
        <v>Fortalecimiento de los sistemas de información y la gestión estratégica para el deporte, la recreación y la actividad física de Antioquia</v>
      </c>
      <c r="F64" s="153">
        <f>VLOOKUP(E64,PROYECTOS!$K$1:$M$32,3,0)</f>
        <v>2024003050077</v>
      </c>
      <c r="G64" s="154" t="s">
        <v>170</v>
      </c>
      <c r="H64" s="154" t="str">
        <f>VLOOKUP(Q64,PROYECTOS!$V$1:$W$32,2,0)</f>
        <v>220387</v>
      </c>
      <c r="I64" s="143">
        <v>57116101</v>
      </c>
      <c r="J64" s="155" t="s">
        <v>171</v>
      </c>
      <c r="K64" s="57" t="str">
        <f t="shared" ca="1" si="0"/>
        <v>CONTRATADO</v>
      </c>
      <c r="L64" s="155" t="s">
        <v>112</v>
      </c>
      <c r="M64" s="155" t="s">
        <v>142</v>
      </c>
      <c r="N64" s="142" t="s">
        <v>166</v>
      </c>
      <c r="O64" s="155">
        <f>VLOOKUP(N64,RUBROS[#All],3,0)</f>
        <v>55</v>
      </c>
      <c r="P64" s="156" t="str">
        <f>VLOOKUP(N64,RUBROS[#All],2,0)</f>
        <v>Fortalecimiento de los sistemas de información y la gestión estratégica para el deporte, la recreación y la actividad física de Antioquia (comunicaciones) -Servicios para la comunidad, sociales y personales</v>
      </c>
      <c r="Q64" s="57" t="str">
        <f t="shared" si="1"/>
        <v>77</v>
      </c>
      <c r="R64" s="57" t="str">
        <f t="shared" si="2"/>
        <v>0-271130</v>
      </c>
      <c r="S64" s="152">
        <v>11</v>
      </c>
      <c r="T64" s="157" t="s">
        <v>46</v>
      </c>
      <c r="U64" s="162" t="e">
        <f ca="1">_xlfn.XLOOKUP(PAA[[#This Row],[ITEM]],Contrato!A:A,Contrato!Q:Q,"",0)</f>
        <v>#NAME?</v>
      </c>
      <c r="V64" s="57" t="s">
        <v>47</v>
      </c>
      <c r="W64" s="57" t="s">
        <v>154</v>
      </c>
      <c r="X64" s="57" t="s">
        <v>154</v>
      </c>
      <c r="Y64" s="58" t="e">
        <f ca="1">_xlfn.XLOOKUP(PAA[[#This Row],[ITEM]],Contrato!A:A,Contrato!B:B,"",0)</f>
        <v>#NAME?</v>
      </c>
      <c r="Z64" s="57" t="e">
        <f ca="1">_xlfn.XLOOKUP(PAA[[#This Row],[ITEM]],Contrato!A:A,Contrato!G:G,"",0)</f>
        <v>#NAME?</v>
      </c>
      <c r="AA64" s="57" t="e">
        <f ca="1">_xlfn.XLOOKUP(PAA[[#This Row],[ITEM]],Contrato!A:A,Contrato!T:T,"",0)</f>
        <v>#NAME?</v>
      </c>
      <c r="AB64" s="58" t="e">
        <f ca="1">+MAX(PAA[[#This Row],[Comprometido Contrato]],)</f>
        <v>#NAME?</v>
      </c>
      <c r="AC64" s="58" t="str">
        <f t="shared" ca="1" si="3"/>
        <v/>
      </c>
      <c r="AD64" s="58" t="e">
        <f ca="1">+MAX(PAA[[#This Row],[Pago por Contrato]],)</f>
        <v>#NAME?</v>
      </c>
      <c r="AE64" s="58" t="str">
        <f t="shared" ca="1" si="4"/>
        <v/>
      </c>
      <c r="AF64" s="57" t="e">
        <f t="shared" ca="1" si="5"/>
        <v>#NAME?</v>
      </c>
      <c r="AG64" s="57">
        <f t="shared" si="6"/>
        <v>52011001</v>
      </c>
      <c r="AH64" s="57" t="e" cm="1">
        <f t="array" aca="1" ref="AH64" ca="1">_xlfn.XLOOKUP(PAA[[#This Row],[RCP-RUBRO]],COMPROMISOS_2025[[#All],[concatenado]],COMPROMISOS_2025[[#All],[Total pagado]],"",0)</f>
        <v>#NAME?</v>
      </c>
      <c r="AI64" s="57" t="e" cm="1">
        <f t="array" aca="1" ref="AI64" ca="1">_xlfn.XLOOKUP(PAA[[#This Row],[RCP-RUBRO]],COMPROMISOS_2025[[#All],[concatenado]],COMPROMISOS_2025[[#All],[Total Comprometido]],"",0)</f>
        <v>#NAME?</v>
      </c>
    </row>
    <row r="65" spans="1:35" s="50" customFormat="1" ht="42" hidden="1" customHeight="1" x14ac:dyDescent="0.25">
      <c r="A65" s="57">
        <v>58</v>
      </c>
      <c r="B65" s="186" t="s">
        <v>172</v>
      </c>
      <c r="C65" s="57" t="str">
        <f>VLOOKUP(PAA[[#This Row],[PROYECTO (formulado)2]],PROYECTOS!$G$1:$L$32,6,0)</f>
        <v>SUBGERENCIA ADMINISTRATIVA Y FINANCIERA</v>
      </c>
      <c r="D65" s="57" t="str">
        <f>+IF(PAA[[#This Row],[UNIDAD DE CONTRATACION (formulado)]]="Subgerencia Administrativa y Financiera","FUNCIONAMIENTO","INVERSIÓN")</f>
        <v>FUNCIONAMIENTO</v>
      </c>
      <c r="E65" s="153" t="str">
        <f>VLOOKUP(Q65,PROYECTOS!$G$1:$K$32,5,0)</f>
        <v>Mantenimiento de la infraestructura de las sedes operativas para la prestación de servicios deportivos, recreativos y de actividad física en las regiones de Antioquia</v>
      </c>
      <c r="F65" s="153">
        <f>VLOOKUP(E65,PROYECTOS!$K$1:$M$32,3,0)</f>
        <v>2024003050104</v>
      </c>
      <c r="G65" s="154" t="s">
        <v>173</v>
      </c>
      <c r="H65" s="154" t="str">
        <f>VLOOKUP(Q65,PROYECTOS!$V$1:$W$32,2,0)</f>
        <v>220381</v>
      </c>
      <c r="I65" s="143">
        <v>45041253</v>
      </c>
      <c r="J65" s="155" t="s">
        <v>174</v>
      </c>
      <c r="K65" s="57" t="str">
        <f t="shared" ca="1" si="0"/>
        <v>CONTRATADO</v>
      </c>
      <c r="L65" s="155" t="s">
        <v>175</v>
      </c>
      <c r="M65" s="155" t="s">
        <v>132</v>
      </c>
      <c r="N65" s="142" t="s">
        <v>176</v>
      </c>
      <c r="O65" s="155">
        <f>VLOOKUP(N65,RUBROS[#All],3,0)</f>
        <v>44</v>
      </c>
      <c r="P65" s="156" t="str">
        <f>VLOOKUP(N65,RUBROS[#All],2,0)</f>
        <v>Mantenimiento de la infraestructura de las sedes operativas para la prestación de servicios deportivos, recreativos y de actividad física en las regiones de Antioquia -Otros bienes transportables (excepto productos metálicos, maquinaria y equipo)</v>
      </c>
      <c r="Q65" s="57" t="str">
        <f t="shared" si="1"/>
        <v>04</v>
      </c>
      <c r="R65" s="57" t="str">
        <f t="shared" si="2"/>
        <v>0-205128</v>
      </c>
      <c r="S65" s="152">
        <v>10</v>
      </c>
      <c r="T65" s="157" t="s">
        <v>46</v>
      </c>
      <c r="U65" s="162" t="e">
        <f ca="1">_xlfn.XLOOKUP(PAA[[#This Row],[ITEM]],Contrato!A:A,Contrato!Q:Q,"",0)</f>
        <v>#NAME?</v>
      </c>
      <c r="V65" s="57" t="s">
        <v>47</v>
      </c>
      <c r="W65" s="57" t="s">
        <v>127</v>
      </c>
      <c r="X65" s="57" t="s">
        <v>127</v>
      </c>
      <c r="Y65" s="58" t="e">
        <f ca="1">_xlfn.XLOOKUP(PAA[[#This Row],[ITEM]],Contrato!A:A,Contrato!B:B,"",0)</f>
        <v>#NAME?</v>
      </c>
      <c r="Z65" s="57" t="e">
        <f ca="1">_xlfn.XLOOKUP(PAA[[#This Row],[ITEM]],Contrato!A:A,Contrato!G:G,"",0)</f>
        <v>#NAME?</v>
      </c>
      <c r="AA65" s="57" t="e">
        <f ca="1">_xlfn.XLOOKUP(PAA[[#This Row],[ITEM]],Contrato!A:A,Contrato!T:T,"",0)</f>
        <v>#NAME?</v>
      </c>
      <c r="AB65" s="58" t="e">
        <f ca="1">+MAX(PAA[[#This Row],[Comprometido Contrato]],)</f>
        <v>#NAME?</v>
      </c>
      <c r="AC65" s="58" t="str">
        <f t="shared" ca="1" si="3"/>
        <v/>
      </c>
      <c r="AD65" s="58" t="e">
        <f ca="1">+MAX(PAA[[#This Row],[Pago por Contrato]],)</f>
        <v>#NAME?</v>
      </c>
      <c r="AE65" s="58" t="str">
        <f t="shared" ca="1" si="4"/>
        <v/>
      </c>
      <c r="AF65" s="57" t="e">
        <f t="shared" ca="1" si="5"/>
        <v>#NAME?</v>
      </c>
      <c r="AG65" s="57">
        <f t="shared" si="6"/>
        <v>52011002</v>
      </c>
      <c r="AH65" s="57" t="e" cm="1">
        <f t="array" aca="1" ref="AH65" ca="1">_xlfn.XLOOKUP(PAA[[#This Row],[RCP-RUBRO]],COMPROMISOS_2025[[#All],[concatenado]],COMPROMISOS_2025[[#All],[Total pagado]],"",0)</f>
        <v>#NAME?</v>
      </c>
      <c r="AI65" s="57" t="e" cm="1">
        <f t="array" aca="1" ref="AI65" ca="1">_xlfn.XLOOKUP(PAA[[#This Row],[RCP-RUBRO]],COMPROMISOS_2025[[#All],[concatenado]],COMPROMISOS_2025[[#All],[Total Comprometido]],"",0)</f>
        <v>#NAME?</v>
      </c>
    </row>
    <row r="66" spans="1:35" s="50" customFormat="1" ht="42" hidden="1" customHeight="1" x14ac:dyDescent="0.25">
      <c r="A66" s="265">
        <v>59</v>
      </c>
      <c r="B66" s="255" t="s">
        <v>177</v>
      </c>
      <c r="C66" s="265" t="str">
        <f>VLOOKUP(PAA[[#This Row],[PROYECTO (formulado)2]],PROYECTOS!$G$1:$L$32,6,0)</f>
        <v>SUBGERENCIA ADMINISTRATIVA Y FINANCIERA</v>
      </c>
      <c r="D66" s="265" t="str">
        <f>+IF(PAA[[#This Row],[UNIDAD DE CONTRATACION (formulado)]]="Subgerencia Administrativa y Financiera","FUNCIONAMIENTO","INVERSIÓN")</f>
        <v>FUNCIONAMIENTO</v>
      </c>
      <c r="E66" s="274" t="str">
        <f>VLOOKUP(Q66,PROYECTOS!$G$1:$K$32,5,0)</f>
        <v>Mantenimiento de la infraestructura de las sedes operativas para la prestación de servicios deportivos, recreativos y de actividad física en las regiones de Antioquia</v>
      </c>
      <c r="F66" s="274">
        <f>VLOOKUP(E66,PROYECTOS!$K$1:$M$32,3,0)</f>
        <v>2024003050104</v>
      </c>
      <c r="G66" s="266" t="s">
        <v>178</v>
      </c>
      <c r="H66" s="266" t="str">
        <f>VLOOKUP(Q66,PROYECTOS!$V$1:$W$32,2,0)</f>
        <v>220381</v>
      </c>
      <c r="I66" s="269">
        <v>199215295</v>
      </c>
      <c r="J66" s="275" t="s">
        <v>179</v>
      </c>
      <c r="K66" s="265" t="str">
        <f t="shared" ca="1" si="0"/>
        <v>CONTRATADO</v>
      </c>
      <c r="L66" s="275" t="s">
        <v>112</v>
      </c>
      <c r="M66" s="275" t="s">
        <v>125</v>
      </c>
      <c r="N66" s="276" t="s">
        <v>180</v>
      </c>
      <c r="O66" s="275">
        <f>VLOOKUP(N66,RUBROS[#All],3,0)</f>
        <v>46</v>
      </c>
      <c r="P66" s="277" t="str">
        <f>VLOOKUP(N66,RUBROS[#All],2,0)</f>
        <v xml:space="preserve">Mantenimiento de la infraestructura de las sedes operativas para la prestación de servicios deportivos, recreativos y de actividad física en las regiones de Antioquia -Servicios prestados a las empresas y servicios de producción </v>
      </c>
      <c r="Q66" s="265" t="str">
        <f t="shared" si="1"/>
        <v>04</v>
      </c>
      <c r="R66" s="265" t="str">
        <f t="shared" si="2"/>
        <v>0-205128</v>
      </c>
      <c r="S66" s="254">
        <v>10</v>
      </c>
      <c r="T66" s="278" t="s">
        <v>46</v>
      </c>
      <c r="U66" s="272" t="e">
        <f ca="1">_xlfn.XLOOKUP(PAA[[#This Row],[ITEM]],Contrato!A:A,Contrato!Q:Q,"",0)</f>
        <v>#NAME?</v>
      </c>
      <c r="V66" s="265" t="s">
        <v>47</v>
      </c>
      <c r="W66" s="265" t="s">
        <v>154</v>
      </c>
      <c r="X66" s="265" t="s">
        <v>154</v>
      </c>
      <c r="Y66" s="273" t="e">
        <f ca="1">_xlfn.XLOOKUP(PAA[[#This Row],[ITEM]],Contrato!A:A,Contrato!B:B,"",0)</f>
        <v>#NAME?</v>
      </c>
      <c r="Z66" s="265" t="e">
        <f ca="1">_xlfn.XLOOKUP(PAA[[#This Row],[ITEM]],Contrato!A:A,Contrato!G:G,"",0)</f>
        <v>#NAME?</v>
      </c>
      <c r="AA66" s="265" t="e">
        <f ca="1">_xlfn.XLOOKUP(PAA[[#This Row],[ITEM]],Contrato!A:A,Contrato!T:T,"",0)</f>
        <v>#NAME?</v>
      </c>
      <c r="AB66" s="273" t="e">
        <f ca="1">+MAX(PAA[[#This Row],[Comprometido Contrato]],)</f>
        <v>#NAME?</v>
      </c>
      <c r="AC66" s="273" t="str">
        <f t="shared" ca="1" si="3"/>
        <v/>
      </c>
      <c r="AD66" s="273" t="e">
        <f ca="1">+MAX(PAA[[#This Row],[Pago por Contrato]],)</f>
        <v>#NAME?</v>
      </c>
      <c r="AE66" s="273" t="str">
        <f t="shared" ca="1" si="4"/>
        <v/>
      </c>
      <c r="AF66" s="265" t="e">
        <f t="shared" ca="1" si="5"/>
        <v>#NAME?</v>
      </c>
      <c r="AG66" s="265">
        <f t="shared" si="6"/>
        <v>52011002</v>
      </c>
      <c r="AH66" s="265" t="e" cm="1">
        <f t="array" aca="1" ref="AH66" ca="1">_xlfn.XLOOKUP(PAA[[#This Row],[RCP-RUBRO]],COMPROMISOS_2025[[#All],[concatenado]],COMPROMISOS_2025[[#All],[Total pagado]],"",0)</f>
        <v>#NAME?</v>
      </c>
      <c r="AI66" s="265" t="e" cm="1">
        <f t="array" aca="1" ref="AI66" ca="1">_xlfn.XLOOKUP(PAA[[#This Row],[RCP-RUBRO]],COMPROMISOS_2025[[#All],[concatenado]],COMPROMISOS_2025[[#All],[Total Comprometido]],"",0)</f>
        <v>#NAME?</v>
      </c>
    </row>
    <row r="67" spans="1:35" s="50" customFormat="1" ht="42" hidden="1" customHeight="1" x14ac:dyDescent="0.25">
      <c r="A67" s="265">
        <v>60</v>
      </c>
      <c r="B67" s="255">
        <v>72101500</v>
      </c>
      <c r="C67" s="265" t="str">
        <f>VLOOKUP(PAA[[#This Row],[PROYECTO (formulado)2]],PROYECTOS!$G$1:$L$32,6,0)</f>
        <v>SUBGERENCIA ADMINISTRATIVA Y FINANCIERA</v>
      </c>
      <c r="D67" s="265" t="str">
        <f>+IF(PAA[[#This Row],[UNIDAD DE CONTRATACION (formulado)]]="Subgerencia Administrativa y Financiera","FUNCIONAMIENTO","INVERSIÓN")</f>
        <v>FUNCIONAMIENTO</v>
      </c>
      <c r="E67" s="274" t="str">
        <f>VLOOKUP(Q67,PROYECTOS!$G$1:$K$32,5,0)</f>
        <v>Mantenimiento de la infraestructura de las sedes operativas para la prestación de servicios deportivos, recreativos y de actividad física en las regiones de Antioquia</v>
      </c>
      <c r="F67" s="274">
        <f>VLOOKUP(E67,PROYECTOS!$K$1:$M$32,3,0)</f>
        <v>2024003050104</v>
      </c>
      <c r="G67" s="266" t="s">
        <v>181</v>
      </c>
      <c r="H67" s="266" t="str">
        <f>VLOOKUP(Q67,PROYECTOS!$V$1:$W$32,2,0)</f>
        <v>220381</v>
      </c>
      <c r="I67" s="269">
        <v>13061563</v>
      </c>
      <c r="J67" s="275" t="s">
        <v>182</v>
      </c>
      <c r="K67" s="265" t="str">
        <f t="shared" ca="1" si="0"/>
        <v>CONTRATADO</v>
      </c>
      <c r="L67" s="275" t="s">
        <v>153</v>
      </c>
      <c r="M67" s="275" t="s">
        <v>142</v>
      </c>
      <c r="N67" s="276" t="s">
        <v>183</v>
      </c>
      <c r="O67" s="275">
        <f>VLOOKUP(N67,RUBROS[#All],3,0)</f>
        <v>45</v>
      </c>
      <c r="P67" s="277" t="str">
        <f>VLOOKUP(N67,RUBROS[#All],2,0)</f>
        <v>Mantenimiento de la infraestructura de las sedes operativas para la prestación de servicios deportivos, recreativos y de actividad física en las regiones de Antioquia -Construcción y servicios de la construcción</v>
      </c>
      <c r="Q67" s="265" t="str">
        <f t="shared" si="1"/>
        <v>04</v>
      </c>
      <c r="R67" s="265" t="str">
        <f t="shared" si="2"/>
        <v>0-205128</v>
      </c>
      <c r="S67" s="254">
        <v>10</v>
      </c>
      <c r="T67" s="278" t="s">
        <v>46</v>
      </c>
      <c r="U67" s="272" t="e">
        <f ca="1">_xlfn.XLOOKUP(PAA[[#This Row],[ITEM]],Contrato!A:A,Contrato!Q:Q,"",0)</f>
        <v>#NAME?</v>
      </c>
      <c r="V67" s="265" t="s">
        <v>47</v>
      </c>
      <c r="W67" s="265" t="s">
        <v>127</v>
      </c>
      <c r="X67" s="265" t="s">
        <v>127</v>
      </c>
      <c r="Y67" s="273" t="e">
        <f ca="1">_xlfn.XLOOKUP(PAA[[#This Row],[ITEM]],Contrato!A:A,Contrato!B:B,"",0)</f>
        <v>#NAME?</v>
      </c>
      <c r="Z67" s="265" t="e">
        <f ca="1">_xlfn.XLOOKUP(PAA[[#This Row],[ITEM]],Contrato!A:A,Contrato!G:G,"",0)</f>
        <v>#NAME?</v>
      </c>
      <c r="AA67" s="265" t="e">
        <f ca="1">_xlfn.XLOOKUP(PAA[[#This Row],[ITEM]],Contrato!A:A,Contrato!T:T,"",0)</f>
        <v>#NAME?</v>
      </c>
      <c r="AB67" s="273" t="e">
        <f ca="1">+MAX(PAA[[#This Row],[Comprometido Contrato]],)</f>
        <v>#NAME?</v>
      </c>
      <c r="AC67" s="273" t="str">
        <f t="shared" ca="1" si="3"/>
        <v/>
      </c>
      <c r="AD67" s="273" t="e">
        <f ca="1">+MAX(PAA[[#This Row],[Pago por Contrato]],)</f>
        <v>#NAME?</v>
      </c>
      <c r="AE67" s="273" t="str">
        <f t="shared" ca="1" si="4"/>
        <v/>
      </c>
      <c r="AF67" s="265" t="e">
        <f t="shared" ca="1" si="5"/>
        <v>#NAME?</v>
      </c>
      <c r="AG67" s="265">
        <f t="shared" si="6"/>
        <v>52011002</v>
      </c>
      <c r="AH67" s="265" t="e" cm="1">
        <f t="array" aca="1" ref="AH67" ca="1">_xlfn.XLOOKUP(PAA[[#This Row],[RCP-RUBRO]],COMPROMISOS_2025[[#All],[concatenado]],COMPROMISOS_2025[[#All],[Total pagado]],"",0)</f>
        <v>#NAME?</v>
      </c>
      <c r="AI67" s="265" t="e" cm="1">
        <f t="array" aca="1" ref="AI67" ca="1">_xlfn.XLOOKUP(PAA[[#This Row],[RCP-RUBRO]],COMPROMISOS_2025[[#All],[concatenado]],COMPROMISOS_2025[[#All],[Total Comprometido]],"",0)</f>
        <v>#NAME?</v>
      </c>
    </row>
    <row r="68" spans="1:35" s="50" customFormat="1" ht="42" hidden="1" customHeight="1" x14ac:dyDescent="0.25">
      <c r="A68" s="57">
        <v>61</v>
      </c>
      <c r="B68" s="186">
        <v>46191601</v>
      </c>
      <c r="C68" s="57" t="str">
        <f>VLOOKUP(PAA[[#This Row],[PROYECTO (formulado)2]],PROYECTOS!$G$1:$L$32,6,0)</f>
        <v>SUBGERENCIA ADMINISTRATIVA Y FINANCIERA</v>
      </c>
      <c r="D68" s="57" t="str">
        <f>+IF(PAA[[#This Row],[UNIDAD DE CONTRATACION (formulado)]]="Subgerencia Administrativa y Financiera","FUNCIONAMIENTO","INVERSIÓN")</f>
        <v>FUNCIONAMIENTO</v>
      </c>
      <c r="E68" s="153" t="str">
        <f>VLOOKUP(Q68,PROYECTOS!$G$1:$K$32,5,0)</f>
        <v>Mantenimiento de la infraestructura de las sedes operativas para la prestación de servicios deportivos, recreativos y de actividad física en las regiones de Antioquia</v>
      </c>
      <c r="F68" s="153">
        <f>VLOOKUP(E68,PROYECTOS!$K$1:$M$32,3,0)</f>
        <v>2024003050104</v>
      </c>
      <c r="G68" s="154" t="s">
        <v>184</v>
      </c>
      <c r="H68" s="154" t="str">
        <f>VLOOKUP(Q68,PROYECTOS!$V$1:$W$32,2,0)</f>
        <v>220381</v>
      </c>
      <c r="I68" s="143">
        <v>3336388</v>
      </c>
      <c r="J68" s="155" t="s">
        <v>185</v>
      </c>
      <c r="K68" s="57" t="str">
        <f t="shared" ca="1" si="0"/>
        <v>CONTRATADO</v>
      </c>
      <c r="L68" s="155" t="s">
        <v>153</v>
      </c>
      <c r="M68" s="155" t="s">
        <v>142</v>
      </c>
      <c r="N68" s="142" t="s">
        <v>180</v>
      </c>
      <c r="O68" s="155">
        <f>VLOOKUP(N68,RUBROS[#All],3,0)</f>
        <v>46</v>
      </c>
      <c r="P68" s="156" t="str">
        <f>VLOOKUP(N68,RUBROS[#All],2,0)</f>
        <v xml:space="preserve">Mantenimiento de la infraestructura de las sedes operativas para la prestación de servicios deportivos, recreativos y de actividad física en las regiones de Antioquia -Servicios prestados a las empresas y servicios de producción </v>
      </c>
      <c r="Q68" s="57" t="str">
        <f t="shared" si="1"/>
        <v>04</v>
      </c>
      <c r="R68" s="57" t="str">
        <f t="shared" si="2"/>
        <v>0-205128</v>
      </c>
      <c r="S68" s="152">
        <v>3</v>
      </c>
      <c r="T68" s="157" t="s">
        <v>46</v>
      </c>
      <c r="U68" s="162" t="e">
        <f ca="1">_xlfn.XLOOKUP(PAA[[#This Row],[ITEM]],Contrato!A:A,Contrato!Q:Q,"",0)</f>
        <v>#NAME?</v>
      </c>
      <c r="V68" s="57" t="s">
        <v>47</v>
      </c>
      <c r="W68" s="57" t="s">
        <v>186</v>
      </c>
      <c r="X68" s="57" t="s">
        <v>186</v>
      </c>
      <c r="Y68" s="58" t="e">
        <f ca="1">_xlfn.XLOOKUP(PAA[[#This Row],[ITEM]],Contrato!A:A,Contrato!B:B,"",0)</f>
        <v>#NAME?</v>
      </c>
      <c r="Z68" s="57" t="e">
        <f ca="1">_xlfn.XLOOKUP(PAA[[#This Row],[ITEM]],Contrato!A:A,Contrato!G:G,"",0)</f>
        <v>#NAME?</v>
      </c>
      <c r="AA68" s="57" t="e">
        <f ca="1">_xlfn.XLOOKUP(PAA[[#This Row],[ITEM]],Contrato!A:A,Contrato!T:T,"",0)</f>
        <v>#NAME?</v>
      </c>
      <c r="AB68" s="58" t="e">
        <f ca="1">+MAX(PAA[[#This Row],[Comprometido Contrato]],)</f>
        <v>#NAME?</v>
      </c>
      <c r="AC68" s="58" t="str">
        <f t="shared" ca="1" si="3"/>
        <v/>
      </c>
      <c r="AD68" s="58" t="e">
        <f ca="1">+MAX(PAA[[#This Row],[Pago por Contrato]],)</f>
        <v>#NAME?</v>
      </c>
      <c r="AE68" s="58" t="str">
        <f t="shared" ca="1" si="4"/>
        <v/>
      </c>
      <c r="AF68" s="57" t="e">
        <f t="shared" ca="1" si="5"/>
        <v>#NAME?</v>
      </c>
      <c r="AG68" s="57">
        <f t="shared" si="6"/>
        <v>52011002</v>
      </c>
      <c r="AH68" s="57" t="e" cm="1">
        <f t="array" aca="1" ref="AH68" ca="1">_xlfn.XLOOKUP(PAA[[#This Row],[RCP-RUBRO]],COMPROMISOS_2025[[#All],[concatenado]],COMPROMISOS_2025[[#All],[Total pagado]],"",0)</f>
        <v>#NAME?</v>
      </c>
      <c r="AI68" s="57" t="e" cm="1">
        <f t="array" aca="1" ref="AI68" ca="1">_xlfn.XLOOKUP(PAA[[#This Row],[RCP-RUBRO]],COMPROMISOS_2025[[#All],[concatenado]],COMPROMISOS_2025[[#All],[Total Comprometido]],"",0)</f>
        <v>#NAME?</v>
      </c>
    </row>
    <row r="69" spans="1:35" s="50" customFormat="1" ht="42" hidden="1" customHeight="1" x14ac:dyDescent="0.25">
      <c r="A69" s="199">
        <v>62</v>
      </c>
      <c r="B69" s="200">
        <v>72101506</v>
      </c>
      <c r="C69" s="199" t="str">
        <f>VLOOKUP(PAA[[#This Row],[PROYECTO (formulado)2]],PROYECTOS!$G$1:$L$32,6,0)</f>
        <v>SUBGERENCIA ADMINISTRATIVA Y FINANCIERA</v>
      </c>
      <c r="D69" s="199" t="str">
        <f>+IF(PAA[[#This Row],[UNIDAD DE CONTRATACION (formulado)]]="Subgerencia Administrativa y Financiera","FUNCIONAMIENTO","INVERSIÓN")</f>
        <v>FUNCIONAMIENTO</v>
      </c>
      <c r="E69" s="201" t="str">
        <f>VLOOKUP(Q69,PROYECTOS!$G$1:$K$32,5,0)</f>
        <v>Mantenimiento de la infraestructura de las sedes operativas para la prestación de servicios deportivos, recreativos y de actividad física en las regiones de Antioquia</v>
      </c>
      <c r="F69" s="201">
        <f>VLOOKUP(E69,PROYECTOS!$K$1:$M$32,3,0)</f>
        <v>2024003050104</v>
      </c>
      <c r="G69" s="202" t="s">
        <v>187</v>
      </c>
      <c r="H69" s="202" t="str">
        <f>VLOOKUP(Q69,PROYECTOS!$V$1:$W$32,2,0)</f>
        <v>220381</v>
      </c>
      <c r="I69" s="203">
        <v>90000000</v>
      </c>
      <c r="J69" s="204" t="s">
        <v>188</v>
      </c>
      <c r="K69" s="199" t="str">
        <f t="shared" ca="1" si="0"/>
        <v>CONTRATADO</v>
      </c>
      <c r="L69" s="204" t="s">
        <v>112</v>
      </c>
      <c r="M69" s="204" t="s">
        <v>142</v>
      </c>
      <c r="N69" s="205" t="s">
        <v>180</v>
      </c>
      <c r="O69" s="204">
        <f>VLOOKUP(N69,RUBROS[#All],3,0)</f>
        <v>46</v>
      </c>
      <c r="P69" s="206" t="str">
        <f>VLOOKUP(N69,RUBROS[#All],2,0)</f>
        <v xml:space="preserve">Mantenimiento de la infraestructura de las sedes operativas para la prestación de servicios deportivos, recreativos y de actividad física en las regiones de Antioquia -Servicios prestados a las empresas y servicios de producción </v>
      </c>
      <c r="Q69" s="199" t="str">
        <f t="shared" si="1"/>
        <v>04</v>
      </c>
      <c r="R69" s="199" t="str">
        <f t="shared" si="2"/>
        <v>0-205128</v>
      </c>
      <c r="S69" s="207">
        <v>11</v>
      </c>
      <c r="T69" s="208" t="s">
        <v>46</v>
      </c>
      <c r="U69" s="209" t="e">
        <f ca="1">_xlfn.XLOOKUP(PAA[[#This Row],[ITEM]],Contrato!A:A,Contrato!Q:Q,"",0)</f>
        <v>#NAME?</v>
      </c>
      <c r="V69" s="199" t="s">
        <v>47</v>
      </c>
      <c r="W69" s="199" t="s">
        <v>48</v>
      </c>
      <c r="X69" s="199" t="s">
        <v>48</v>
      </c>
      <c r="Y69" s="210" t="e">
        <f ca="1">_xlfn.XLOOKUP(PAA[[#This Row],[ITEM]],Contrato!A:A,Contrato!B:B,"",0)</f>
        <v>#NAME?</v>
      </c>
      <c r="Z69" s="199" t="e">
        <f ca="1">_xlfn.XLOOKUP(PAA[[#This Row],[ITEM]],Contrato!A:A,Contrato!G:G,"",0)</f>
        <v>#NAME?</v>
      </c>
      <c r="AA69" s="199" t="e">
        <f ca="1">_xlfn.XLOOKUP(PAA[[#This Row],[ITEM]],Contrato!A:A,Contrato!T:T,"",0)</f>
        <v>#NAME?</v>
      </c>
      <c r="AB69" s="210" t="e">
        <f ca="1">+MAX(PAA[[#This Row],[Comprometido Contrato]],)</f>
        <v>#NAME?</v>
      </c>
      <c r="AC69" s="210" t="str">
        <f t="shared" ca="1" si="3"/>
        <v/>
      </c>
      <c r="AD69" s="210" t="e">
        <f ca="1">+MAX(PAA[[#This Row],[Pago por Contrato]],)</f>
        <v>#NAME?</v>
      </c>
      <c r="AE69" s="210" t="str">
        <f t="shared" ca="1" si="4"/>
        <v/>
      </c>
      <c r="AF69" s="199" t="e">
        <f t="shared" ca="1" si="5"/>
        <v>#NAME?</v>
      </c>
      <c r="AG69" s="199">
        <f t="shared" si="6"/>
        <v>52011002</v>
      </c>
      <c r="AH69" s="199" t="e" cm="1">
        <f t="array" aca="1" ref="AH69" ca="1">_xlfn.XLOOKUP(PAA[[#This Row],[RCP-RUBRO]],COMPROMISOS_2025[[#All],[concatenado]],COMPROMISOS_2025[[#All],[Total pagado]],"",0)</f>
        <v>#NAME?</v>
      </c>
      <c r="AI69" s="199" t="e" cm="1">
        <f t="array" aca="1" ref="AI69" ca="1">_xlfn.XLOOKUP(PAA[[#This Row],[RCP-RUBRO]],COMPROMISOS_2025[[#All],[concatenado]],COMPROMISOS_2025[[#All],[Total Comprometido]],"",0)</f>
        <v>#NAME?</v>
      </c>
    </row>
    <row r="70" spans="1:35" s="50" customFormat="1" ht="42" hidden="1" customHeight="1" x14ac:dyDescent="0.25">
      <c r="A70" s="265">
        <v>63</v>
      </c>
      <c r="B70" s="255">
        <v>72101500</v>
      </c>
      <c r="C70" s="265" t="str">
        <f>VLOOKUP(PAA[[#This Row],[PROYECTO (formulado)2]],PROYECTOS!$G$1:$L$32,6,0)</f>
        <v>SUBGERENCIA ADMINISTRATIVA Y FINANCIERA</v>
      </c>
      <c r="D70" s="265" t="str">
        <f>+IF(PAA[[#This Row],[UNIDAD DE CONTRATACION (formulado)]]="Subgerencia Administrativa y Financiera","FUNCIONAMIENTO","INVERSIÓN")</f>
        <v>FUNCIONAMIENTO</v>
      </c>
      <c r="E70" s="274" t="str">
        <f>VLOOKUP(Q70,PROYECTOS!$G$1:$K$32,5,0)</f>
        <v>Mantenimiento de la infraestructura de las sedes operativas para la prestación de servicios deportivos, recreativos y de actividad física en las regiones de Antioquia</v>
      </c>
      <c r="F70" s="274">
        <f>VLOOKUP(E70,PROYECTOS!$K$1:$M$32,3,0)</f>
        <v>2024003050104</v>
      </c>
      <c r="G70" s="266" t="s">
        <v>173</v>
      </c>
      <c r="H70" s="266" t="str">
        <f>VLOOKUP(Q70,PROYECTOS!$V$1:$W$32,2,0)</f>
        <v>220381</v>
      </c>
      <c r="I70" s="269">
        <v>0</v>
      </c>
      <c r="J70" s="275" t="s">
        <v>189</v>
      </c>
      <c r="K70" s="265" t="str">
        <f t="shared" ca="1" si="0"/>
        <v>CONTRATADO</v>
      </c>
      <c r="L70" s="275" t="s">
        <v>190</v>
      </c>
      <c r="M70" s="275" t="s">
        <v>191</v>
      </c>
      <c r="N70" s="276" t="s">
        <v>180</v>
      </c>
      <c r="O70" s="275">
        <f>VLOOKUP(N70,RUBROS[#All],3,0)</f>
        <v>46</v>
      </c>
      <c r="P70" s="277" t="str">
        <f>VLOOKUP(N70,RUBROS[#All],2,0)</f>
        <v xml:space="preserve">Mantenimiento de la infraestructura de las sedes operativas para la prestación de servicios deportivos, recreativos y de actividad física en las regiones de Antioquia -Servicios prestados a las empresas y servicios de producción </v>
      </c>
      <c r="Q70" s="265" t="str">
        <f t="shared" si="1"/>
        <v>04</v>
      </c>
      <c r="R70" s="265" t="str">
        <f t="shared" si="2"/>
        <v>0-205128</v>
      </c>
      <c r="S70" s="254">
        <v>10</v>
      </c>
      <c r="T70" s="278" t="s">
        <v>46</v>
      </c>
      <c r="U70" s="272" t="e">
        <f ca="1">_xlfn.XLOOKUP(PAA[[#This Row],[ITEM]],Contrato!A:A,Contrato!Q:Q,"",0)</f>
        <v>#NAME?</v>
      </c>
      <c r="V70" s="265" t="s">
        <v>47</v>
      </c>
      <c r="W70" s="265" t="s">
        <v>127</v>
      </c>
      <c r="X70" s="265" t="s">
        <v>127</v>
      </c>
      <c r="Y70" s="273" t="e">
        <f ca="1">_xlfn.XLOOKUP(PAA[[#This Row],[ITEM]],Contrato!A:A,Contrato!B:B,"",0)</f>
        <v>#NAME?</v>
      </c>
      <c r="Z70" s="265" t="e">
        <f ca="1">_xlfn.XLOOKUP(PAA[[#This Row],[ITEM]],Contrato!A:A,Contrato!G:G,"",0)</f>
        <v>#NAME?</v>
      </c>
      <c r="AA70" s="265" t="e">
        <f ca="1">_xlfn.XLOOKUP(PAA[[#This Row],[ITEM]],Contrato!A:A,Contrato!T:T,"",0)</f>
        <v>#NAME?</v>
      </c>
      <c r="AB70" s="273" t="e">
        <f ca="1">+MAX(PAA[[#This Row],[Comprometido Contrato]],)</f>
        <v>#NAME?</v>
      </c>
      <c r="AC70" s="273" t="str">
        <f t="shared" ca="1" si="3"/>
        <v/>
      </c>
      <c r="AD70" s="273" t="e">
        <f ca="1">+MAX(PAA[[#This Row],[Pago por Contrato]],)</f>
        <v>#NAME?</v>
      </c>
      <c r="AE70" s="273" t="str">
        <f t="shared" ca="1" si="4"/>
        <v/>
      </c>
      <c r="AF70" s="265" t="e">
        <f t="shared" ca="1" si="5"/>
        <v>#NAME?</v>
      </c>
      <c r="AG70" s="265">
        <f t="shared" si="6"/>
        <v>52011002</v>
      </c>
      <c r="AH70" s="265" t="e" cm="1">
        <f t="array" aca="1" ref="AH70" ca="1">_xlfn.XLOOKUP(PAA[[#This Row],[RCP-RUBRO]],COMPROMISOS_2025[[#All],[concatenado]],COMPROMISOS_2025[[#All],[Total pagado]],"",0)</f>
        <v>#NAME?</v>
      </c>
      <c r="AI70" s="265" t="e" cm="1">
        <f t="array" aca="1" ref="AI70" ca="1">_xlfn.XLOOKUP(PAA[[#This Row],[RCP-RUBRO]],COMPROMISOS_2025[[#All],[concatenado]],COMPROMISOS_2025[[#All],[Total Comprometido]],"",0)</f>
        <v>#NAME?</v>
      </c>
    </row>
    <row r="71" spans="1:35" s="50" customFormat="1" ht="42" hidden="1" customHeight="1" x14ac:dyDescent="0.25">
      <c r="A71" s="57">
        <v>64</v>
      </c>
      <c r="B71" s="186">
        <v>72151800</v>
      </c>
      <c r="C71" s="57" t="str">
        <f>VLOOKUP(PAA[[#This Row],[PROYECTO (formulado)2]],PROYECTOS!$G$1:$L$32,6,0)</f>
        <v>SUBGERENCIA ADMINISTRATIVA Y FINANCIERA</v>
      </c>
      <c r="D71" s="57" t="str">
        <f>+IF(PAA[[#This Row],[UNIDAD DE CONTRATACION (formulado)]]="Subgerencia Administrativa y Financiera","FUNCIONAMIENTO","INVERSIÓN")</f>
        <v>FUNCIONAMIENTO</v>
      </c>
      <c r="E71" s="153" t="str">
        <f>VLOOKUP(Q71,PROYECTOS!$G$1:$K$32,5,0)</f>
        <v>Mantenimiento de la infraestructura de las sedes operativas para la prestación de servicios deportivos, recreativos y de actividad física en las regiones de Antioquia</v>
      </c>
      <c r="F71" s="153">
        <f>VLOOKUP(E71,PROYECTOS!$K$1:$M$32,3,0)</f>
        <v>2024003050104</v>
      </c>
      <c r="G71" s="154" t="s">
        <v>192</v>
      </c>
      <c r="H71" s="154" t="str">
        <f>VLOOKUP(Q71,PROYECTOS!$V$1:$W$32,2,0)</f>
        <v>220381</v>
      </c>
      <c r="I71" s="143">
        <v>6672778</v>
      </c>
      <c r="J71" s="155" t="s">
        <v>193</v>
      </c>
      <c r="K71" s="57" t="str">
        <f t="shared" ref="K71:K137" ca="1" si="7">IF(ISNONTEXT(Y71)=TRUE,"CONTRATADO","NO CONTRATADO")</f>
        <v>CONTRATADO</v>
      </c>
      <c r="L71" s="155" t="s">
        <v>153</v>
      </c>
      <c r="M71" s="155" t="s">
        <v>142</v>
      </c>
      <c r="N71" s="142" t="s">
        <v>180</v>
      </c>
      <c r="O71" s="155">
        <f>VLOOKUP(N71,RUBROS[#All],3,0)</f>
        <v>46</v>
      </c>
      <c r="P71" s="156" t="str">
        <f>VLOOKUP(N71,RUBROS[#All],2,0)</f>
        <v xml:space="preserve">Mantenimiento de la infraestructura de las sedes operativas para la prestación de servicios deportivos, recreativos y de actividad física en las regiones de Antioquia -Servicios prestados a las empresas y servicios de producción </v>
      </c>
      <c r="Q71" s="57" t="str">
        <f t="shared" ref="Q71:Q137" si="8">+MID(N71,11,2)</f>
        <v>04</v>
      </c>
      <c r="R71" s="57" t="str">
        <f t="shared" ref="R71:R137" si="9">+MID(N71,14,8)</f>
        <v>0-205128</v>
      </c>
      <c r="S71" s="152">
        <v>10</v>
      </c>
      <c r="T71" s="157" t="s">
        <v>46</v>
      </c>
      <c r="U71" s="162" t="e">
        <f ca="1">_xlfn.XLOOKUP(PAA[[#This Row],[ITEM]],Contrato!A:A,Contrato!Q:Q,"",0)</f>
        <v>#NAME?</v>
      </c>
      <c r="V71" s="57" t="s">
        <v>47</v>
      </c>
      <c r="W71" s="57" t="s">
        <v>127</v>
      </c>
      <c r="X71" s="57" t="s">
        <v>127</v>
      </c>
      <c r="Y71" s="58" t="e">
        <f ca="1">_xlfn.XLOOKUP(PAA[[#This Row],[ITEM]],Contrato!A:A,Contrato!B:B,"",0)</f>
        <v>#NAME?</v>
      </c>
      <c r="Z71" s="57" t="e">
        <f ca="1">_xlfn.XLOOKUP(PAA[[#This Row],[ITEM]],Contrato!A:A,Contrato!G:G,"",0)</f>
        <v>#NAME?</v>
      </c>
      <c r="AA71" s="57" t="e">
        <f ca="1">_xlfn.XLOOKUP(PAA[[#This Row],[ITEM]],Contrato!A:A,Contrato!T:T,"",0)</f>
        <v>#NAME?</v>
      </c>
      <c r="AB71" s="58" t="e">
        <f ca="1">+MAX(PAA[[#This Row],[Comprometido Contrato]],)</f>
        <v>#NAME?</v>
      </c>
      <c r="AC71" s="58" t="str">
        <f t="shared" ref="AC71:AC137" ca="1" si="10">IFERROR(I71-AB71,"")</f>
        <v/>
      </c>
      <c r="AD71" s="58" t="e">
        <f ca="1">+MAX(PAA[[#This Row],[Pago por Contrato]],)</f>
        <v>#NAME?</v>
      </c>
      <c r="AE71" s="58" t="str">
        <f t="shared" ref="AE71:AE137" ca="1" si="11">+IFERROR(AB71-AD71,"")</f>
        <v/>
      </c>
      <c r="AF71" s="57" t="e">
        <f t="shared" ref="AF71:AF137" ca="1" si="12">+CONCATENATE(AA71,N71)</f>
        <v>#NAME?</v>
      </c>
      <c r="AG71" s="57">
        <f t="shared" ref="AG71:AG137" si="13">IFERROR(_xlfn.NUMBERVALUE(MID(G71,1,8)),"")</f>
        <v>52011002</v>
      </c>
      <c r="AH71" s="57" t="e" cm="1">
        <f t="array" aca="1" ref="AH71" ca="1">_xlfn.XLOOKUP(PAA[[#This Row],[RCP-RUBRO]],COMPROMISOS_2025[[#All],[concatenado]],COMPROMISOS_2025[[#All],[Total pagado]],"",0)</f>
        <v>#NAME?</v>
      </c>
      <c r="AI71" s="57" t="e" cm="1">
        <f t="array" aca="1" ref="AI71" ca="1">_xlfn.XLOOKUP(PAA[[#This Row],[RCP-RUBRO]],COMPROMISOS_2025[[#All],[concatenado]],COMPROMISOS_2025[[#All],[Total Comprometido]],"",0)</f>
        <v>#NAME?</v>
      </c>
    </row>
    <row r="72" spans="1:35" s="50" customFormat="1" ht="42" hidden="1" customHeight="1" x14ac:dyDescent="0.25">
      <c r="A72" s="57">
        <v>65</v>
      </c>
      <c r="B72" s="186">
        <v>72151800</v>
      </c>
      <c r="C72" s="57" t="str">
        <f>VLOOKUP(PAA[[#This Row],[PROYECTO (formulado)2]],PROYECTOS!$G$1:$L$32,6,0)</f>
        <v>SUBGERENCIA ADMINISTRATIVA Y FINANCIERA</v>
      </c>
      <c r="D72" s="57" t="str">
        <f>+IF(PAA[[#This Row],[UNIDAD DE CONTRATACION (formulado)]]="Subgerencia Administrativa y Financiera","FUNCIONAMIENTO","INVERSIÓN")</f>
        <v>FUNCIONAMIENTO</v>
      </c>
      <c r="E72" s="153" t="str">
        <f>VLOOKUP(Q72,PROYECTOS!$G$1:$K$32,5,0)</f>
        <v>Mantenimiento de la infraestructura de las sedes operativas para la prestación de servicios deportivos, recreativos y de actividad física en las regiones de Antioquia</v>
      </c>
      <c r="F72" s="153">
        <f>VLOOKUP(E72,PROYECTOS!$K$1:$M$32,3,0)</f>
        <v>2024003050104</v>
      </c>
      <c r="G72" s="154" t="s">
        <v>194</v>
      </c>
      <c r="H72" s="154" t="str">
        <f>VLOOKUP(Q72,PROYECTOS!$V$1:$W$32,2,0)</f>
        <v>220381</v>
      </c>
      <c r="I72" s="143">
        <v>13345560</v>
      </c>
      <c r="J72" s="155" t="s">
        <v>195</v>
      </c>
      <c r="K72" s="57" t="str">
        <f t="shared" ca="1" si="7"/>
        <v>CONTRATADO</v>
      </c>
      <c r="L72" s="155" t="s">
        <v>153</v>
      </c>
      <c r="M72" s="155" t="s">
        <v>132</v>
      </c>
      <c r="N72" s="142" t="s">
        <v>180</v>
      </c>
      <c r="O72" s="155">
        <f>VLOOKUP(N72,RUBROS[#All],3,0)</f>
        <v>46</v>
      </c>
      <c r="P72" s="156" t="str">
        <f>VLOOKUP(N72,RUBROS[#All],2,0)</f>
        <v xml:space="preserve">Mantenimiento de la infraestructura de las sedes operativas para la prestación de servicios deportivos, recreativos y de actividad física en las regiones de Antioquia -Servicios prestados a las empresas y servicios de producción </v>
      </c>
      <c r="Q72" s="57" t="str">
        <f t="shared" si="8"/>
        <v>04</v>
      </c>
      <c r="R72" s="57" t="str">
        <f t="shared" si="9"/>
        <v>0-205128</v>
      </c>
      <c r="S72" s="152">
        <v>10</v>
      </c>
      <c r="T72" s="157" t="s">
        <v>46</v>
      </c>
      <c r="U72" s="162" t="e">
        <f ca="1">_xlfn.XLOOKUP(PAA[[#This Row],[ITEM]],Contrato!A:A,Contrato!Q:Q,"",0)</f>
        <v>#NAME?</v>
      </c>
      <c r="V72" s="57" t="s">
        <v>47</v>
      </c>
      <c r="W72" s="57" t="s">
        <v>127</v>
      </c>
      <c r="X72" s="57" t="s">
        <v>127</v>
      </c>
      <c r="Y72" s="58" t="e">
        <f ca="1">_xlfn.XLOOKUP(PAA[[#This Row],[ITEM]],Contrato!A:A,Contrato!B:B,"",0)</f>
        <v>#NAME?</v>
      </c>
      <c r="Z72" s="57" t="e">
        <f ca="1">_xlfn.XLOOKUP(PAA[[#This Row],[ITEM]],Contrato!A:A,Contrato!G:G,"",0)</f>
        <v>#NAME?</v>
      </c>
      <c r="AA72" s="57" t="e">
        <f ca="1">_xlfn.XLOOKUP(PAA[[#This Row],[ITEM]],Contrato!A:A,Contrato!T:T,"",0)</f>
        <v>#NAME?</v>
      </c>
      <c r="AB72" s="58" t="e">
        <f ca="1">+MAX(PAA[[#This Row],[Comprometido Contrato]],)</f>
        <v>#NAME?</v>
      </c>
      <c r="AC72" s="58" t="str">
        <f t="shared" ca="1" si="10"/>
        <v/>
      </c>
      <c r="AD72" s="58" t="e">
        <f ca="1">+MAX(PAA[[#This Row],[Pago por Contrato]],)</f>
        <v>#NAME?</v>
      </c>
      <c r="AE72" s="58" t="str">
        <f t="shared" ca="1" si="11"/>
        <v/>
      </c>
      <c r="AF72" s="57" t="e">
        <f t="shared" ca="1" si="12"/>
        <v>#NAME?</v>
      </c>
      <c r="AG72" s="57">
        <f t="shared" si="13"/>
        <v>52011002</v>
      </c>
      <c r="AH72" s="57" t="e" cm="1">
        <f t="array" aca="1" ref="AH72" ca="1">_xlfn.XLOOKUP(PAA[[#This Row],[RCP-RUBRO]],COMPROMISOS_2025[[#All],[concatenado]],COMPROMISOS_2025[[#All],[Total pagado]],"",0)</f>
        <v>#NAME?</v>
      </c>
      <c r="AI72" s="57" t="e" cm="1">
        <f t="array" aca="1" ref="AI72" ca="1">_xlfn.XLOOKUP(PAA[[#This Row],[RCP-RUBRO]],COMPROMISOS_2025[[#All],[concatenado]],COMPROMISOS_2025[[#All],[Total Comprometido]],"",0)</f>
        <v>#NAME?</v>
      </c>
    </row>
    <row r="73" spans="1:35" s="50" customFormat="1" ht="42" hidden="1" customHeight="1" x14ac:dyDescent="0.25">
      <c r="A73" s="57">
        <v>66</v>
      </c>
      <c r="B73" s="186" t="s">
        <v>196</v>
      </c>
      <c r="C73" s="57" t="str">
        <f>VLOOKUP(PAA[[#This Row],[PROYECTO (formulado)2]],PROYECTOS!$G$1:$L$32,6,0)</f>
        <v>SUBGERENCIA ADMINISTRATIVA Y FINANCIERA</v>
      </c>
      <c r="D73" s="57" t="str">
        <f>+IF(PAA[[#This Row],[UNIDAD DE CONTRATACION (formulado)]]="Subgerencia Administrativa y Financiera","FUNCIONAMIENTO","INVERSIÓN")</f>
        <v>FUNCIONAMIENTO</v>
      </c>
      <c r="E73" s="153" t="str">
        <f>VLOOKUP(Q73,PROYECTOS!$G$1:$K$32,5,0)</f>
        <v>Fortalecimiento de los sistemas de información y la gestión estratégica para el deporte, la recreación y la actividad física de Antioquia</v>
      </c>
      <c r="F73" s="153">
        <f>VLOOKUP(E73,PROYECTOS!$K$1:$M$32,3,0)</f>
        <v>2024003050077</v>
      </c>
      <c r="G73" s="154" t="s">
        <v>197</v>
      </c>
      <c r="H73" s="154" t="str">
        <f>VLOOKUP(Q73,PROYECTOS!$V$1:$W$32,2,0)</f>
        <v>220387</v>
      </c>
      <c r="I73" s="143">
        <v>55000000</v>
      </c>
      <c r="J73" s="155" t="s">
        <v>198</v>
      </c>
      <c r="K73" s="57" t="str">
        <f t="shared" ca="1" si="7"/>
        <v>CONTRATADO</v>
      </c>
      <c r="L73" s="155" t="s">
        <v>199</v>
      </c>
      <c r="M73" s="155" t="s">
        <v>142</v>
      </c>
      <c r="N73" s="142" t="s">
        <v>200</v>
      </c>
      <c r="O73" s="155">
        <f>VLOOKUP(N73,RUBROS[#All],3,0)</f>
        <v>48</v>
      </c>
      <c r="P73" s="156" t="str">
        <f>VLOOKUP(N73,RUBROS[#All],2,0)</f>
        <v>Fortalecimiento de los sistemas de información y la gestión estratégica para el deporte, la recreación y la actividad física de Antioquia (sistemas) Productos metálicos, maquinaria y equipo</v>
      </c>
      <c r="Q73" s="57" t="str">
        <f t="shared" si="8"/>
        <v>77</v>
      </c>
      <c r="R73" s="57" t="str">
        <f t="shared" si="9"/>
        <v>0-205128</v>
      </c>
      <c r="S73" s="152">
        <v>10</v>
      </c>
      <c r="T73" s="157" t="s">
        <v>46</v>
      </c>
      <c r="U73" s="162" t="e">
        <f ca="1">_xlfn.XLOOKUP(PAA[[#This Row],[ITEM]],Contrato!A:A,Contrato!Q:Q,"",0)</f>
        <v>#NAME?</v>
      </c>
      <c r="V73" s="57" t="s">
        <v>47</v>
      </c>
      <c r="W73" s="57" t="s">
        <v>127</v>
      </c>
      <c r="X73" s="57" t="s">
        <v>127</v>
      </c>
      <c r="Y73" s="58" t="e">
        <f ca="1">_xlfn.XLOOKUP(PAA[[#This Row],[ITEM]],Contrato!A:A,Contrato!B:B,"",0)</f>
        <v>#NAME?</v>
      </c>
      <c r="Z73" s="57" t="e">
        <f ca="1">_xlfn.XLOOKUP(PAA[[#This Row],[ITEM]],Contrato!A:A,Contrato!G:G,"",0)</f>
        <v>#NAME?</v>
      </c>
      <c r="AA73" s="57" t="e">
        <f ca="1">_xlfn.XLOOKUP(PAA[[#This Row],[ITEM]],Contrato!A:A,Contrato!T:T,"",0)</f>
        <v>#NAME?</v>
      </c>
      <c r="AB73" s="58" t="e">
        <f ca="1">+MAX(PAA[[#This Row],[Comprometido Contrato]],)</f>
        <v>#NAME?</v>
      </c>
      <c r="AC73" s="58" t="str">
        <f t="shared" ca="1" si="10"/>
        <v/>
      </c>
      <c r="AD73" s="58" t="e">
        <f ca="1">+MAX(PAA[[#This Row],[Pago por Contrato]],)</f>
        <v>#NAME?</v>
      </c>
      <c r="AE73" s="58" t="str">
        <f t="shared" ca="1" si="11"/>
        <v/>
      </c>
      <c r="AF73" s="57" t="e">
        <f t="shared" ca="1" si="12"/>
        <v>#NAME?</v>
      </c>
      <c r="AG73" s="57">
        <f t="shared" si="13"/>
        <v>52011001</v>
      </c>
      <c r="AH73" s="57" t="e" cm="1">
        <f t="array" aca="1" ref="AH73" ca="1">_xlfn.XLOOKUP(PAA[[#This Row],[RCP-RUBRO]],COMPROMISOS_2025[[#All],[concatenado]],COMPROMISOS_2025[[#All],[Total pagado]],"",0)</f>
        <v>#NAME?</v>
      </c>
      <c r="AI73" s="57" t="e" cm="1">
        <f t="array" aca="1" ref="AI73" ca="1">_xlfn.XLOOKUP(PAA[[#This Row],[RCP-RUBRO]],COMPROMISOS_2025[[#All],[concatenado]],COMPROMISOS_2025[[#All],[Total Comprometido]],"",0)</f>
        <v>#NAME?</v>
      </c>
    </row>
    <row r="74" spans="1:35" s="50" customFormat="1" ht="42" hidden="1" customHeight="1" x14ac:dyDescent="0.25">
      <c r="A74" s="57">
        <v>67</v>
      </c>
      <c r="B74" s="186">
        <v>43231513</v>
      </c>
      <c r="C74" s="57" t="str">
        <f>VLOOKUP(PAA[[#This Row],[PROYECTO (formulado)2]],PROYECTOS!$G$1:$L$32,6,0)</f>
        <v>SUBGERENCIA ADMINISTRATIVA Y FINANCIERA</v>
      </c>
      <c r="D74" s="57" t="str">
        <f>+IF(PAA[[#This Row],[UNIDAD DE CONTRATACION (formulado)]]="Subgerencia Administrativa y Financiera","FUNCIONAMIENTO","INVERSIÓN")</f>
        <v>FUNCIONAMIENTO</v>
      </c>
      <c r="E74" s="153" t="str">
        <f>VLOOKUP(Q74,PROYECTOS!$G$1:$K$32,5,0)</f>
        <v>Fortalecimiento de los sistemas de información y la gestión estratégica para el deporte, la recreación y la actividad física de Antioquia</v>
      </c>
      <c r="F74" s="153">
        <f>VLOOKUP(E74,PROYECTOS!$K$1:$M$32,3,0)</f>
        <v>2024003050077</v>
      </c>
      <c r="G74" s="154" t="s">
        <v>201</v>
      </c>
      <c r="H74" s="154" t="str">
        <f>VLOOKUP(Q74,PROYECTOS!$V$1:$W$32,2,0)</f>
        <v>220387</v>
      </c>
      <c r="I74" s="143">
        <v>140910000</v>
      </c>
      <c r="J74" s="155" t="s">
        <v>202</v>
      </c>
      <c r="K74" s="57" t="str">
        <f t="shared" ca="1" si="7"/>
        <v>CONTRATADO</v>
      </c>
      <c r="L74" s="155" t="s">
        <v>112</v>
      </c>
      <c r="M74" s="155" t="s">
        <v>142</v>
      </c>
      <c r="N74" s="142" t="s">
        <v>200</v>
      </c>
      <c r="O74" s="155">
        <f>VLOOKUP(N74,RUBROS[#All],3,0)</f>
        <v>48</v>
      </c>
      <c r="P74" s="156" t="str">
        <f>VLOOKUP(N74,RUBROS[#All],2,0)</f>
        <v>Fortalecimiento de los sistemas de información y la gestión estratégica para el deporte, la recreación y la actividad física de Antioquia (sistemas) Productos metálicos, maquinaria y equipo</v>
      </c>
      <c r="Q74" s="57" t="str">
        <f t="shared" si="8"/>
        <v>77</v>
      </c>
      <c r="R74" s="57" t="str">
        <f t="shared" si="9"/>
        <v>0-205128</v>
      </c>
      <c r="S74" s="152">
        <v>2</v>
      </c>
      <c r="T74" s="157" t="s">
        <v>46</v>
      </c>
      <c r="U74" s="162" t="e">
        <f ca="1">_xlfn.XLOOKUP(PAA[[#This Row],[ITEM]],Contrato!A:A,Contrato!Q:Q,"",0)</f>
        <v>#NAME?</v>
      </c>
      <c r="V74" s="57" t="s">
        <v>47</v>
      </c>
      <c r="W74" s="57" t="s">
        <v>203</v>
      </c>
      <c r="X74" s="57" t="s">
        <v>203</v>
      </c>
      <c r="Y74" s="58" t="e">
        <f ca="1">_xlfn.XLOOKUP(PAA[[#This Row],[ITEM]],Contrato!A:A,Contrato!B:B,"",0)</f>
        <v>#NAME?</v>
      </c>
      <c r="Z74" s="57" t="e">
        <f ca="1">_xlfn.XLOOKUP(PAA[[#This Row],[ITEM]],Contrato!A:A,Contrato!G:G,"",0)</f>
        <v>#NAME?</v>
      </c>
      <c r="AA74" s="57" t="e">
        <f ca="1">_xlfn.XLOOKUP(PAA[[#This Row],[ITEM]],Contrato!A:A,Contrato!T:T,"",0)</f>
        <v>#NAME?</v>
      </c>
      <c r="AB74" s="58" t="e">
        <f ca="1">+MAX(PAA[[#This Row],[Comprometido Contrato]],)</f>
        <v>#NAME?</v>
      </c>
      <c r="AC74" s="58" t="str">
        <f t="shared" ca="1" si="10"/>
        <v/>
      </c>
      <c r="AD74" s="58" t="e">
        <f ca="1">+MAX(PAA[[#This Row],[Pago por Contrato]],)</f>
        <v>#NAME?</v>
      </c>
      <c r="AE74" s="58" t="str">
        <f t="shared" ca="1" si="11"/>
        <v/>
      </c>
      <c r="AF74" s="57" t="e">
        <f t="shared" ca="1" si="12"/>
        <v>#NAME?</v>
      </c>
      <c r="AG74" s="57">
        <f t="shared" si="13"/>
        <v>52011001</v>
      </c>
      <c r="AH74" s="57" t="e" cm="1">
        <f t="array" aca="1" ref="AH74" ca="1">_xlfn.XLOOKUP(PAA[[#This Row],[RCP-RUBRO]],COMPROMISOS_2025[[#All],[concatenado]],COMPROMISOS_2025[[#All],[Total pagado]],"",0)</f>
        <v>#NAME?</v>
      </c>
      <c r="AI74" s="57" t="e" cm="1">
        <f t="array" aca="1" ref="AI74" ca="1">_xlfn.XLOOKUP(PAA[[#This Row],[RCP-RUBRO]],COMPROMISOS_2025[[#All],[concatenado]],COMPROMISOS_2025[[#All],[Total Comprometido]],"",0)</f>
        <v>#NAME?</v>
      </c>
    </row>
    <row r="75" spans="1:35" s="50" customFormat="1" ht="42" hidden="1" customHeight="1" x14ac:dyDescent="0.25">
      <c r="A75" s="57">
        <v>68</v>
      </c>
      <c r="B75" s="186" t="s">
        <v>204</v>
      </c>
      <c r="C75" s="57" t="str">
        <f>VLOOKUP(PAA[[#This Row],[PROYECTO (formulado)2]],PROYECTOS!$G$1:$L$32,6,0)</f>
        <v>SUBGERENCIA ADMINISTRATIVA Y FINANCIERA</v>
      </c>
      <c r="D75" s="57" t="str">
        <f>+IF(PAA[[#This Row],[UNIDAD DE CONTRATACION (formulado)]]="Subgerencia Administrativa y Financiera","FUNCIONAMIENTO","INVERSIÓN")</f>
        <v>FUNCIONAMIENTO</v>
      </c>
      <c r="E75" s="153" t="str">
        <f>VLOOKUP(Q75,PROYECTOS!$G$1:$K$32,5,0)</f>
        <v>Fortalecimiento de los sistemas de información y la gestión estratégica para el deporte, la recreación y la actividad física de Antioquia</v>
      </c>
      <c r="F75" s="153">
        <f>VLOOKUP(E75,PROYECTOS!$K$1:$M$32,3,0)</f>
        <v>2024003050077</v>
      </c>
      <c r="G75" s="154" t="s">
        <v>201</v>
      </c>
      <c r="H75" s="154" t="str">
        <f>VLOOKUP(Q75,PROYECTOS!$V$1:$W$32,2,0)</f>
        <v>220387</v>
      </c>
      <c r="I75" s="143">
        <v>185350318</v>
      </c>
      <c r="J75" s="155" t="s">
        <v>205</v>
      </c>
      <c r="K75" s="57" t="str">
        <f t="shared" ca="1" si="7"/>
        <v>CONTRATADO</v>
      </c>
      <c r="L75" s="155" t="s">
        <v>131</v>
      </c>
      <c r="M75" s="155" t="s">
        <v>142</v>
      </c>
      <c r="N75" s="142" t="s">
        <v>200</v>
      </c>
      <c r="O75" s="155">
        <f>VLOOKUP(N75,RUBROS[#All],3,0)</f>
        <v>48</v>
      </c>
      <c r="P75" s="156" t="str">
        <f>VLOOKUP(N75,RUBROS[#All],2,0)</f>
        <v>Fortalecimiento de los sistemas de información y la gestión estratégica para el deporte, la recreación y la actividad física de Antioquia (sistemas) Productos metálicos, maquinaria y equipo</v>
      </c>
      <c r="Q75" s="57" t="str">
        <f t="shared" si="8"/>
        <v>77</v>
      </c>
      <c r="R75" s="57" t="str">
        <f t="shared" si="9"/>
        <v>0-205128</v>
      </c>
      <c r="S75" s="152">
        <v>10</v>
      </c>
      <c r="T75" s="157" t="s">
        <v>46</v>
      </c>
      <c r="U75" s="162" t="e">
        <f ca="1">_xlfn.XLOOKUP(PAA[[#This Row],[ITEM]],Contrato!A:A,Contrato!Q:Q,"",0)</f>
        <v>#NAME?</v>
      </c>
      <c r="V75" s="57" t="s">
        <v>47</v>
      </c>
      <c r="W75" s="57" t="s">
        <v>154</v>
      </c>
      <c r="X75" s="57" t="s">
        <v>154</v>
      </c>
      <c r="Y75" s="58" t="e">
        <f ca="1">_xlfn.XLOOKUP(PAA[[#This Row],[ITEM]],Contrato!A:A,Contrato!B:B,"",0)</f>
        <v>#NAME?</v>
      </c>
      <c r="Z75" s="57" t="e">
        <f ca="1">_xlfn.XLOOKUP(PAA[[#This Row],[ITEM]],Contrato!A:A,Contrato!G:G,"",0)</f>
        <v>#NAME?</v>
      </c>
      <c r="AA75" s="57" t="e">
        <f ca="1">_xlfn.XLOOKUP(PAA[[#This Row],[ITEM]],Contrato!A:A,Contrato!T:T,"",0)</f>
        <v>#NAME?</v>
      </c>
      <c r="AB75" s="58" t="e">
        <f ca="1">+MAX(PAA[[#This Row],[Comprometido Contrato]],)</f>
        <v>#NAME?</v>
      </c>
      <c r="AC75" s="58" t="str">
        <f t="shared" ca="1" si="10"/>
        <v/>
      </c>
      <c r="AD75" s="58" t="e">
        <f ca="1">+MAX(PAA[[#This Row],[Pago por Contrato]],)</f>
        <v>#NAME?</v>
      </c>
      <c r="AE75" s="58" t="str">
        <f t="shared" ca="1" si="11"/>
        <v/>
      </c>
      <c r="AF75" s="57" t="e">
        <f t="shared" ca="1" si="12"/>
        <v>#NAME?</v>
      </c>
      <c r="AG75" s="57">
        <f t="shared" si="13"/>
        <v>52011001</v>
      </c>
      <c r="AH75" s="57" t="e" cm="1">
        <f t="array" aca="1" ref="AH75" ca="1">_xlfn.XLOOKUP(PAA[[#This Row],[RCP-RUBRO]],COMPROMISOS_2025[[#All],[concatenado]],COMPROMISOS_2025[[#All],[Total pagado]],"",0)</f>
        <v>#NAME?</v>
      </c>
      <c r="AI75" s="57" t="e" cm="1">
        <f t="array" aca="1" ref="AI75" ca="1">_xlfn.XLOOKUP(PAA[[#This Row],[RCP-RUBRO]],COMPROMISOS_2025[[#All],[concatenado]],COMPROMISOS_2025[[#All],[Total Comprometido]],"",0)</f>
        <v>#NAME?</v>
      </c>
    </row>
    <row r="76" spans="1:35" s="50" customFormat="1" ht="42" hidden="1" customHeight="1" x14ac:dyDescent="0.25">
      <c r="A76" s="199">
        <v>69</v>
      </c>
      <c r="B76" s="200">
        <v>80111600</v>
      </c>
      <c r="C76" s="199" t="str">
        <f>VLOOKUP(PAA[[#This Row],[PROYECTO (formulado)2]],PROYECTOS!$G$1:$L$32,6,0)</f>
        <v>SUBGERENCIA ADMINISTRATIVA Y FINANCIERA</v>
      </c>
      <c r="D76" s="199" t="str">
        <f>+IF(PAA[[#This Row],[UNIDAD DE CONTRATACION (formulado)]]="Subgerencia Administrativa y Financiera","FUNCIONAMIENTO","INVERSIÓN")</f>
        <v>FUNCIONAMIENTO</v>
      </c>
      <c r="E76" s="201" t="str">
        <f>VLOOKUP(Q76,PROYECTOS!$G$1:$K$32,5,0)</f>
        <v>Fortalecimiento de los sistemas de información y la gestión estratégica para el deporte, la recreación y la actividad física de Antioquia</v>
      </c>
      <c r="F76" s="201">
        <f>VLOOKUP(E76,PROYECTOS!$K$1:$M$32,3,0)</f>
        <v>2024003050077</v>
      </c>
      <c r="G76" s="202" t="s">
        <v>170</v>
      </c>
      <c r="H76" s="202" t="str">
        <f>VLOOKUP(Q76,PROYECTOS!$V$1:$W$32,2,0)</f>
        <v>220387</v>
      </c>
      <c r="I76" s="203">
        <v>51691035</v>
      </c>
      <c r="J76" s="204" t="s">
        <v>206</v>
      </c>
      <c r="K76" s="199" t="str">
        <f t="shared" ca="1" si="7"/>
        <v>CONTRATADO</v>
      </c>
      <c r="L76" s="204" t="s">
        <v>112</v>
      </c>
      <c r="M76" s="204" t="s">
        <v>113</v>
      </c>
      <c r="N76" s="205" t="s">
        <v>207</v>
      </c>
      <c r="O76" s="204">
        <f>VLOOKUP(N76,RUBROS[#All],3,0)</f>
        <v>54</v>
      </c>
      <c r="P76" s="206" t="str">
        <f>VLOOKUP(N76,RUBROS[#All],2,0)</f>
        <v xml:space="preserve">Fortalecimiento de los sistemas de información y la gestión estratégica para el deporte, la recreación y la actividad física de Antioquia (Comunicaciones) -Servicios prestados a las empresas y servicios de producción </v>
      </c>
      <c r="Q76" s="199" t="str">
        <f t="shared" si="8"/>
        <v>77</v>
      </c>
      <c r="R76" s="199" t="str">
        <f t="shared" si="9"/>
        <v>0-271130</v>
      </c>
      <c r="S76" s="207">
        <v>5</v>
      </c>
      <c r="T76" s="208" t="s">
        <v>46</v>
      </c>
      <c r="U76" s="209" t="e">
        <f ca="1">_xlfn.XLOOKUP(PAA[[#This Row],[ITEM]],Contrato!A:A,Contrato!Q:Q,"",0)</f>
        <v>#NAME?</v>
      </c>
      <c r="V76" s="199" t="s">
        <v>47</v>
      </c>
      <c r="W76" s="199" t="s">
        <v>48</v>
      </c>
      <c r="X76" s="199" t="s">
        <v>154</v>
      </c>
      <c r="Y76" s="210" t="e">
        <f ca="1">_xlfn.XLOOKUP(PAA[[#This Row],[ITEM]],Contrato!A:A,Contrato!B:B,"",0)</f>
        <v>#NAME?</v>
      </c>
      <c r="Z76" s="199" t="e">
        <f ca="1">_xlfn.XLOOKUP(PAA[[#This Row],[ITEM]],Contrato!A:A,Contrato!G:G,"",0)</f>
        <v>#NAME?</v>
      </c>
      <c r="AA76" s="199" t="e">
        <f ca="1">_xlfn.XLOOKUP(PAA[[#This Row],[ITEM]],Contrato!A:A,Contrato!T:T,"",0)</f>
        <v>#NAME?</v>
      </c>
      <c r="AB76" s="210" t="e">
        <f ca="1">+MAX(PAA[[#This Row],[Comprometido Contrato]],)</f>
        <v>#NAME?</v>
      </c>
      <c r="AC76" s="210" t="str">
        <f t="shared" ca="1" si="10"/>
        <v/>
      </c>
      <c r="AD76" s="210" t="e">
        <f ca="1">+MAX(PAA[[#This Row],[Pago por Contrato]],)</f>
        <v>#NAME?</v>
      </c>
      <c r="AE76" s="210" t="str">
        <f t="shared" ca="1" si="11"/>
        <v/>
      </c>
      <c r="AF76" s="199" t="e">
        <f t="shared" ca="1" si="12"/>
        <v>#NAME?</v>
      </c>
      <c r="AG76" s="199">
        <f t="shared" si="13"/>
        <v>52011001</v>
      </c>
      <c r="AH76" s="199" t="e" cm="1">
        <f t="array" aca="1" ref="AH76" ca="1">_xlfn.XLOOKUP(PAA[[#This Row],[RCP-RUBRO]],COMPROMISOS_2025[[#All],[concatenado]],COMPROMISOS_2025[[#All],[Total pagado]],"",0)</f>
        <v>#NAME?</v>
      </c>
      <c r="AI76" s="199" t="e" cm="1">
        <f t="array" aca="1" ref="AI76" ca="1">_xlfn.XLOOKUP(PAA[[#This Row],[RCP-RUBRO]],COMPROMISOS_2025[[#All],[concatenado]],COMPROMISOS_2025[[#All],[Total Comprometido]],"",0)</f>
        <v>#NAME?</v>
      </c>
    </row>
    <row r="77" spans="1:35" s="50" customFormat="1" ht="42" hidden="1" customHeight="1" x14ac:dyDescent="0.25">
      <c r="A77" s="326">
        <v>70</v>
      </c>
      <c r="B77" s="325">
        <v>80111600</v>
      </c>
      <c r="C77" s="326" t="str">
        <f>VLOOKUP(PAA[[#This Row],[PROYECTO (formulado)2]],PROYECTOS!$G$1:$L$32,6,0)</f>
        <v>SUBGERENCIA ADMINISTRATIVA Y FINANCIERA</v>
      </c>
      <c r="D77" s="326" t="str">
        <f>+IF(PAA[[#This Row],[UNIDAD DE CONTRATACION (formulado)]]="Subgerencia Administrativa y Financiera","FUNCIONAMIENTO","INVERSIÓN")</f>
        <v>FUNCIONAMIENTO</v>
      </c>
      <c r="E77" s="327" t="str">
        <f>VLOOKUP(Q77,PROYECTOS!$G$1:$K$32,5,0)</f>
        <v>Fortalecimiento de los sistemas de información y la gestión estratégica para el deporte, la recreación y la actividad física de Antioquia</v>
      </c>
      <c r="F77" s="327">
        <f>VLOOKUP(E77,PROYECTOS!$K$1:$M$32,3,0)</f>
        <v>2024003050077</v>
      </c>
      <c r="G77" s="328" t="s">
        <v>170</v>
      </c>
      <c r="H77" s="328" t="str">
        <f>VLOOKUP(Q77,PROYECTOS!$V$1:$W$32,2,0)</f>
        <v>220387</v>
      </c>
      <c r="I77" s="329">
        <v>97499603</v>
      </c>
      <c r="J77" s="330" t="s">
        <v>208</v>
      </c>
      <c r="K77" s="326" t="str">
        <f t="shared" ca="1" si="7"/>
        <v>CONTRATADO</v>
      </c>
      <c r="L77" s="330" t="s">
        <v>112</v>
      </c>
      <c r="M77" s="330" t="s">
        <v>113</v>
      </c>
      <c r="N77" s="331" t="s">
        <v>207</v>
      </c>
      <c r="O77" s="330">
        <f>VLOOKUP(N77,RUBROS[#All],3,0)</f>
        <v>54</v>
      </c>
      <c r="P77" s="332" t="str">
        <f>VLOOKUP(N77,RUBROS[#All],2,0)</f>
        <v xml:space="preserve">Fortalecimiento de los sistemas de información y la gestión estratégica para el deporte, la recreación y la actividad física de Antioquia (Comunicaciones) -Servicios prestados a las empresas y servicios de producción </v>
      </c>
      <c r="Q77" s="326" t="str">
        <f t="shared" si="8"/>
        <v>77</v>
      </c>
      <c r="R77" s="326" t="str">
        <f t="shared" si="9"/>
        <v>0-271130</v>
      </c>
      <c r="S77" s="333">
        <v>9.5</v>
      </c>
      <c r="T77" s="337" t="s">
        <v>46</v>
      </c>
      <c r="U77" s="335" t="e">
        <f ca="1">_xlfn.XLOOKUP(PAA[[#This Row],[ITEM]],Contrato!A:A,Contrato!Q:Q,"",0)</f>
        <v>#NAME?</v>
      </c>
      <c r="V77" s="326" t="s">
        <v>47</v>
      </c>
      <c r="W77" s="326" t="s">
        <v>127</v>
      </c>
      <c r="X77" s="326" t="s">
        <v>127</v>
      </c>
      <c r="Y77" s="336" t="e">
        <f ca="1">_xlfn.XLOOKUP(PAA[[#This Row],[ITEM]],Contrato!A:A,Contrato!B:B,"",0)</f>
        <v>#NAME?</v>
      </c>
      <c r="Z77" s="326" t="e">
        <f ca="1">_xlfn.XLOOKUP(PAA[[#This Row],[ITEM]],Contrato!A:A,Contrato!G:G,"",0)</f>
        <v>#NAME?</v>
      </c>
      <c r="AA77" s="326" t="e">
        <f ca="1">_xlfn.XLOOKUP(PAA[[#This Row],[ITEM]],Contrato!A:A,Contrato!T:T,"",0)</f>
        <v>#NAME?</v>
      </c>
      <c r="AB77" s="336" t="e">
        <f ca="1">+MAX(PAA[[#This Row],[Comprometido Contrato]],)</f>
        <v>#NAME?</v>
      </c>
      <c r="AC77" s="336" t="str">
        <f t="shared" ca="1" si="10"/>
        <v/>
      </c>
      <c r="AD77" s="336" t="e">
        <f ca="1">+MAX(PAA[[#This Row],[Pago por Contrato]],)</f>
        <v>#NAME?</v>
      </c>
      <c r="AE77" s="336" t="str">
        <f t="shared" ca="1" si="11"/>
        <v/>
      </c>
      <c r="AF77" s="326" t="e">
        <f t="shared" ca="1" si="12"/>
        <v>#NAME?</v>
      </c>
      <c r="AG77" s="326">
        <f t="shared" si="13"/>
        <v>52011001</v>
      </c>
      <c r="AH77" s="326" t="e" cm="1">
        <f t="array" aca="1" ref="AH77" ca="1">_xlfn.XLOOKUP(PAA[[#This Row],[RCP-RUBRO]],COMPROMISOS_2025[[#All],[concatenado]],COMPROMISOS_2025[[#All],[Total pagado]],"",0)</f>
        <v>#NAME?</v>
      </c>
      <c r="AI77" s="326" t="e" cm="1">
        <f t="array" aca="1" ref="AI77" ca="1">_xlfn.XLOOKUP(PAA[[#This Row],[RCP-RUBRO]],COMPROMISOS_2025[[#All],[concatenado]],COMPROMISOS_2025[[#All],[Total Comprometido]],"",0)</f>
        <v>#NAME?</v>
      </c>
    </row>
    <row r="78" spans="1:35" s="50" customFormat="1" ht="42" hidden="1" customHeight="1" x14ac:dyDescent="0.25">
      <c r="A78" s="57">
        <v>71</v>
      </c>
      <c r="B78" s="186">
        <v>80111600</v>
      </c>
      <c r="C78" s="57" t="str">
        <f>VLOOKUP(PAA[[#This Row],[PROYECTO (formulado)2]],PROYECTOS!$G$1:$L$32,6,0)</f>
        <v>SUBGERENCIA ADMINISTRATIVA Y FINANCIERA</v>
      </c>
      <c r="D78" s="57" t="str">
        <f>+IF(PAA[[#This Row],[UNIDAD DE CONTRATACION (formulado)]]="Subgerencia Administrativa y Financiera","FUNCIONAMIENTO","INVERSIÓN")</f>
        <v>FUNCIONAMIENTO</v>
      </c>
      <c r="E78" s="153" t="str">
        <f>VLOOKUP(Q78,PROYECTOS!$G$1:$K$32,5,0)</f>
        <v>Fortalecimiento de los sistemas de información y la gestión estratégica para el deporte, la recreación y la actividad física de Antioquia</v>
      </c>
      <c r="F78" s="153">
        <f>VLOOKUP(E78,PROYECTOS!$K$1:$M$32,3,0)</f>
        <v>2024003050077</v>
      </c>
      <c r="G78" s="154" t="s">
        <v>170</v>
      </c>
      <c r="H78" s="154" t="str">
        <f>VLOOKUP(Q78,PROYECTOS!$V$1:$W$32,2,0)</f>
        <v>220387</v>
      </c>
      <c r="I78" s="143">
        <v>89747971</v>
      </c>
      <c r="J78" s="155" t="s">
        <v>209</v>
      </c>
      <c r="K78" s="57" t="str">
        <f t="shared" ca="1" si="7"/>
        <v>CONTRATADO</v>
      </c>
      <c r="L78" s="155" t="s">
        <v>112</v>
      </c>
      <c r="M78" s="155" t="s">
        <v>113</v>
      </c>
      <c r="N78" s="142" t="s">
        <v>207</v>
      </c>
      <c r="O78" s="155">
        <f>VLOOKUP(N78,RUBROS[#All],3,0)</f>
        <v>54</v>
      </c>
      <c r="P78" s="156" t="str">
        <f>VLOOKUP(N78,RUBROS[#All],2,0)</f>
        <v xml:space="preserve">Fortalecimiento de los sistemas de información y la gestión estratégica para el deporte, la recreación y la actividad física de Antioquia (Comunicaciones) -Servicios prestados a las empresas y servicios de producción </v>
      </c>
      <c r="Q78" s="57" t="str">
        <f t="shared" si="8"/>
        <v>77</v>
      </c>
      <c r="R78" s="57" t="str">
        <f t="shared" si="9"/>
        <v>0-271130</v>
      </c>
      <c r="S78" s="152">
        <v>11</v>
      </c>
      <c r="T78" s="157" t="s">
        <v>46</v>
      </c>
      <c r="U78" s="162" t="e">
        <f ca="1">_xlfn.XLOOKUP(PAA[[#This Row],[ITEM]],Contrato!A:A,Contrato!Q:Q,"",0)</f>
        <v>#NAME?</v>
      </c>
      <c r="V78" s="57" t="s">
        <v>47</v>
      </c>
      <c r="W78" s="57" t="s">
        <v>48</v>
      </c>
      <c r="X78" s="57" t="s">
        <v>48</v>
      </c>
      <c r="Y78" s="58" t="e">
        <f ca="1">_xlfn.XLOOKUP(PAA[[#This Row],[ITEM]],Contrato!A:A,Contrato!B:B,"",0)</f>
        <v>#NAME?</v>
      </c>
      <c r="Z78" s="57" t="e">
        <f ca="1">_xlfn.XLOOKUP(PAA[[#This Row],[ITEM]],Contrato!A:A,Contrato!G:G,"",0)</f>
        <v>#NAME?</v>
      </c>
      <c r="AA78" s="57" t="e">
        <f ca="1">_xlfn.XLOOKUP(PAA[[#This Row],[ITEM]],Contrato!A:A,Contrato!T:T,"",0)</f>
        <v>#NAME?</v>
      </c>
      <c r="AB78" s="58" t="e">
        <f ca="1">+MAX(PAA[[#This Row],[Comprometido Contrato]],)</f>
        <v>#NAME?</v>
      </c>
      <c r="AC78" s="58" t="str">
        <f t="shared" ca="1" si="10"/>
        <v/>
      </c>
      <c r="AD78" s="58" t="e">
        <f ca="1">+MAX(PAA[[#This Row],[Pago por Contrato]],)</f>
        <v>#NAME?</v>
      </c>
      <c r="AE78" s="58" t="str">
        <f t="shared" ca="1" si="11"/>
        <v/>
      </c>
      <c r="AF78" s="57" t="e">
        <f t="shared" ca="1" si="12"/>
        <v>#NAME?</v>
      </c>
      <c r="AG78" s="57">
        <f t="shared" si="13"/>
        <v>52011001</v>
      </c>
      <c r="AH78" s="57" t="e" cm="1">
        <f t="array" aca="1" ref="AH78" ca="1">_xlfn.XLOOKUP(PAA[[#This Row],[RCP-RUBRO]],COMPROMISOS_2025[[#All],[concatenado]],COMPROMISOS_2025[[#All],[Total pagado]],"",0)</f>
        <v>#NAME?</v>
      </c>
      <c r="AI78" s="57" t="e" cm="1">
        <f t="array" aca="1" ref="AI78" ca="1">_xlfn.XLOOKUP(PAA[[#This Row],[RCP-RUBRO]],COMPROMISOS_2025[[#All],[concatenado]],COMPROMISOS_2025[[#All],[Total Comprometido]],"",0)</f>
        <v>#NAME?</v>
      </c>
    </row>
    <row r="79" spans="1:35" s="50" customFormat="1" ht="42" hidden="1" customHeight="1" x14ac:dyDescent="0.25">
      <c r="A79" s="199">
        <v>72</v>
      </c>
      <c r="B79" s="200">
        <v>80111600</v>
      </c>
      <c r="C79" s="199" t="str">
        <f>VLOOKUP(PAA[[#This Row],[PROYECTO (formulado)2]],PROYECTOS!$G$1:$L$32,6,0)</f>
        <v>SUBGERENCIA ADMINISTRATIVA Y FINANCIERA</v>
      </c>
      <c r="D79" s="199" t="str">
        <f>+IF(PAA[[#This Row],[UNIDAD DE CONTRATACION (formulado)]]="Subgerencia Administrativa y Financiera","FUNCIONAMIENTO","INVERSIÓN")</f>
        <v>FUNCIONAMIENTO</v>
      </c>
      <c r="E79" s="201" t="str">
        <f>VLOOKUP(Q79,PROYECTOS!$G$1:$K$32,5,0)</f>
        <v>Fortalecimiento de los sistemas de información y la gestión estratégica para el deporte, la recreación y la actividad física de Antioquia</v>
      </c>
      <c r="F79" s="201">
        <f>VLOOKUP(E79,PROYECTOS!$K$1:$M$32,3,0)</f>
        <v>2024003050077</v>
      </c>
      <c r="G79" s="202" t="s">
        <v>170</v>
      </c>
      <c r="H79" s="202" t="str">
        <f>VLOOKUP(Q79,PROYECTOS!$V$1:$W$32,2,0)</f>
        <v>220387</v>
      </c>
      <c r="I79" s="203">
        <v>33909632</v>
      </c>
      <c r="J79" s="204" t="s">
        <v>210</v>
      </c>
      <c r="K79" s="199" t="str">
        <f t="shared" ca="1" si="7"/>
        <v>CONTRATADO</v>
      </c>
      <c r="L79" s="204" t="s">
        <v>112</v>
      </c>
      <c r="M79" s="204" t="s">
        <v>113</v>
      </c>
      <c r="N79" s="205" t="s">
        <v>207</v>
      </c>
      <c r="O79" s="204">
        <f>VLOOKUP(N79,RUBROS[#All],3,0)</f>
        <v>54</v>
      </c>
      <c r="P79" s="206" t="str">
        <f>VLOOKUP(N79,RUBROS[#All],2,0)</f>
        <v xml:space="preserve">Fortalecimiento de los sistemas de información y la gestión estratégica para el deporte, la recreación y la actividad física de Antioquia (Comunicaciones) -Servicios prestados a las empresas y servicios de producción </v>
      </c>
      <c r="Q79" s="199" t="str">
        <f t="shared" si="8"/>
        <v>77</v>
      </c>
      <c r="R79" s="199" t="str">
        <f t="shared" si="9"/>
        <v>0-271130</v>
      </c>
      <c r="S79" s="207">
        <v>5</v>
      </c>
      <c r="T79" s="208" t="s">
        <v>46</v>
      </c>
      <c r="U79" s="209" t="e">
        <f ca="1">_xlfn.XLOOKUP(PAA[[#This Row],[ITEM]],Contrato!A:A,Contrato!Q:Q,"",0)</f>
        <v>#NAME?</v>
      </c>
      <c r="V79" s="199" t="s">
        <v>47</v>
      </c>
      <c r="W79" s="199" t="s">
        <v>48</v>
      </c>
      <c r="X79" s="199" t="s">
        <v>154</v>
      </c>
      <c r="Y79" s="210" t="e">
        <f ca="1">_xlfn.XLOOKUP(PAA[[#This Row],[ITEM]],Contrato!A:A,Contrato!B:B,"",0)</f>
        <v>#NAME?</v>
      </c>
      <c r="Z79" s="199" t="e">
        <f ca="1">_xlfn.XLOOKUP(PAA[[#This Row],[ITEM]],Contrato!A:A,Contrato!G:G,"",0)</f>
        <v>#NAME?</v>
      </c>
      <c r="AA79" s="199" t="e">
        <f ca="1">_xlfn.XLOOKUP(PAA[[#This Row],[ITEM]],Contrato!A:A,Contrato!T:T,"",0)</f>
        <v>#NAME?</v>
      </c>
      <c r="AB79" s="210" t="e">
        <f ca="1">+MAX(PAA[[#This Row],[Comprometido Contrato]],)</f>
        <v>#NAME?</v>
      </c>
      <c r="AC79" s="210" t="str">
        <f t="shared" ca="1" si="10"/>
        <v/>
      </c>
      <c r="AD79" s="210" t="e">
        <f ca="1">+MAX(PAA[[#This Row],[Pago por Contrato]],)</f>
        <v>#NAME?</v>
      </c>
      <c r="AE79" s="210" t="str">
        <f t="shared" ca="1" si="11"/>
        <v/>
      </c>
      <c r="AF79" s="199" t="e">
        <f t="shared" ca="1" si="12"/>
        <v>#NAME?</v>
      </c>
      <c r="AG79" s="199">
        <f t="shared" si="13"/>
        <v>52011001</v>
      </c>
      <c r="AH79" s="199" t="e" cm="1">
        <f t="array" aca="1" ref="AH79" ca="1">_xlfn.XLOOKUP(PAA[[#This Row],[RCP-RUBRO]],COMPROMISOS_2025[[#All],[concatenado]],COMPROMISOS_2025[[#All],[Total pagado]],"",0)</f>
        <v>#NAME?</v>
      </c>
      <c r="AI79" s="199" t="e" cm="1">
        <f t="array" aca="1" ref="AI79" ca="1">_xlfn.XLOOKUP(PAA[[#This Row],[RCP-RUBRO]],COMPROMISOS_2025[[#All],[concatenado]],COMPROMISOS_2025[[#All],[Total Comprometido]],"",0)</f>
        <v>#NAME?</v>
      </c>
    </row>
    <row r="80" spans="1:35" s="50" customFormat="1" ht="42" hidden="1" customHeight="1" x14ac:dyDescent="0.25">
      <c r="A80" s="265">
        <v>73</v>
      </c>
      <c r="B80" s="255">
        <v>80111600</v>
      </c>
      <c r="C80" s="265" t="str">
        <f>VLOOKUP(PAA[[#This Row],[PROYECTO (formulado)2]],PROYECTOS!$G$1:$L$32,6,0)</f>
        <v>SUBGERENCIA ADMINISTRATIVA Y FINANCIERA</v>
      </c>
      <c r="D80" s="265" t="str">
        <f>+IF(PAA[[#This Row],[UNIDAD DE CONTRATACION (formulado)]]="Subgerencia Administrativa y Financiera","FUNCIONAMIENTO","INVERSIÓN")</f>
        <v>FUNCIONAMIENTO</v>
      </c>
      <c r="E80" s="274" t="str">
        <f>VLOOKUP(Q80,PROYECTOS!$G$1:$K$32,5,0)</f>
        <v>Fortalecimiento de los sistemas de información y la gestión estratégica para el deporte, la recreación y la actividad física de Antioquia</v>
      </c>
      <c r="F80" s="274">
        <f>VLOOKUP(E80,PROYECTOS!$K$1:$M$32,3,0)</f>
        <v>2024003050077</v>
      </c>
      <c r="G80" s="266" t="s">
        <v>170</v>
      </c>
      <c r="H80" s="266" t="str">
        <f>VLOOKUP(Q80,PROYECTOS!$V$1:$W$32,2,0)</f>
        <v>220387</v>
      </c>
      <c r="I80" s="269">
        <v>14529971</v>
      </c>
      <c r="J80" s="275" t="s">
        <v>209</v>
      </c>
      <c r="K80" s="265" t="str">
        <f t="shared" ca="1" si="7"/>
        <v>CONTRATADO</v>
      </c>
      <c r="L80" s="275" t="s">
        <v>112</v>
      </c>
      <c r="M80" s="275" t="s">
        <v>113</v>
      </c>
      <c r="N80" s="276" t="s">
        <v>207</v>
      </c>
      <c r="O80" s="275">
        <f>VLOOKUP(N80,RUBROS[#All],3,0)</f>
        <v>54</v>
      </c>
      <c r="P80" s="277" t="str">
        <f>VLOOKUP(N80,RUBROS[#All],2,0)</f>
        <v xml:space="preserve">Fortalecimiento de los sistemas de información y la gestión estratégica para el deporte, la recreación y la actividad física de Antioquia (Comunicaciones) -Servicios prestados a las empresas y servicios de producción </v>
      </c>
      <c r="Q80" s="265" t="str">
        <f t="shared" si="8"/>
        <v>77</v>
      </c>
      <c r="R80" s="265" t="str">
        <f t="shared" si="9"/>
        <v>0-271130</v>
      </c>
      <c r="S80" s="254">
        <v>11</v>
      </c>
      <c r="T80" s="278" t="s">
        <v>46</v>
      </c>
      <c r="U80" s="272" t="e">
        <f ca="1">_xlfn.XLOOKUP(PAA[[#This Row],[ITEM]],Contrato!A:A,Contrato!Q:Q,"",0)</f>
        <v>#NAME?</v>
      </c>
      <c r="V80" s="265" t="s">
        <v>47</v>
      </c>
      <c r="W80" s="265" t="s">
        <v>48</v>
      </c>
      <c r="X80" s="265" t="s">
        <v>48</v>
      </c>
      <c r="Y80" s="273" t="e">
        <f ca="1">_xlfn.XLOOKUP(PAA[[#This Row],[ITEM]],Contrato!A:A,Contrato!B:B,"",0)</f>
        <v>#NAME?</v>
      </c>
      <c r="Z80" s="265" t="e">
        <f ca="1">_xlfn.XLOOKUP(PAA[[#This Row],[ITEM]],Contrato!A:A,Contrato!G:G,"",0)</f>
        <v>#NAME?</v>
      </c>
      <c r="AA80" s="265" t="e">
        <f ca="1">_xlfn.XLOOKUP(PAA[[#This Row],[ITEM]],Contrato!A:A,Contrato!T:T,"",0)</f>
        <v>#NAME?</v>
      </c>
      <c r="AB80" s="273" t="e">
        <f ca="1">+MAX(PAA[[#This Row],[Comprometido Contrato]],)</f>
        <v>#NAME?</v>
      </c>
      <c r="AC80" s="273" t="str">
        <f t="shared" ca="1" si="10"/>
        <v/>
      </c>
      <c r="AD80" s="273" t="e">
        <f ca="1">+MAX(PAA[[#This Row],[Pago por Contrato]],)</f>
        <v>#NAME?</v>
      </c>
      <c r="AE80" s="273" t="str">
        <f t="shared" ca="1" si="11"/>
        <v/>
      </c>
      <c r="AF80" s="265" t="e">
        <f t="shared" ca="1" si="12"/>
        <v>#NAME?</v>
      </c>
      <c r="AG80" s="265">
        <f t="shared" si="13"/>
        <v>52011001</v>
      </c>
      <c r="AH80" s="265" t="e" cm="1">
        <f t="array" aca="1" ref="AH80" ca="1">_xlfn.XLOOKUP(PAA[[#This Row],[RCP-RUBRO]],COMPROMISOS_2025[[#All],[concatenado]],COMPROMISOS_2025[[#All],[Total pagado]],"",0)</f>
        <v>#NAME?</v>
      </c>
      <c r="AI80" s="265" t="e" cm="1">
        <f t="array" aca="1" ref="AI80" ca="1">_xlfn.XLOOKUP(PAA[[#This Row],[RCP-RUBRO]],COMPROMISOS_2025[[#All],[concatenado]],COMPROMISOS_2025[[#All],[Total Comprometido]],"",0)</f>
        <v>#NAME?</v>
      </c>
    </row>
    <row r="81" spans="1:35" s="50" customFormat="1" ht="42" customHeight="1" x14ac:dyDescent="0.25">
      <c r="A81" s="313">
        <v>74</v>
      </c>
      <c r="B81" s="314" t="s">
        <v>211</v>
      </c>
      <c r="C81" s="313" t="str">
        <f>VLOOKUP(PAA[[#This Row],[PROYECTO (formulado)2]],PROYECTOS!$G$1:$L$32,6,0)</f>
        <v>SUBGERENCIA ADMINISTRATIVA Y FINANCIERA</v>
      </c>
      <c r="D81" s="313" t="str">
        <f>+IF(PAA[[#This Row],[UNIDAD DE CONTRATACION (formulado)]]="Subgerencia Administrativa y Financiera","FUNCIONAMIENTO","INVERSIÓN")</f>
        <v>FUNCIONAMIENTO</v>
      </c>
      <c r="E81" s="315" t="str">
        <f>VLOOKUP(Q81,PROYECTOS!$G$1:$K$32,5,0)</f>
        <v>Fortalecimiento de los sistemas de información y la gestión estratégica para el deporte, la recreación y la actividad física de Antioquia</v>
      </c>
      <c r="F81" s="315">
        <f>VLOOKUP(E81,PROYECTOS!$K$1:$M$32,3,0)</f>
        <v>2024003050077</v>
      </c>
      <c r="G81" s="316" t="s">
        <v>164</v>
      </c>
      <c r="H81" s="316" t="str">
        <f>VLOOKUP(Q81,PROYECTOS!$V$1:$W$32,2,0)</f>
        <v>220387</v>
      </c>
      <c r="I81" s="317">
        <v>0</v>
      </c>
      <c r="J81" s="318" t="s">
        <v>41</v>
      </c>
      <c r="K81" s="313" t="str">
        <f t="shared" ca="1" si="7"/>
        <v>CONTRATADO</v>
      </c>
      <c r="L81" s="318" t="s">
        <v>41</v>
      </c>
      <c r="M81" s="318" t="s">
        <v>41</v>
      </c>
      <c r="N81" s="319" t="s">
        <v>207</v>
      </c>
      <c r="O81" s="318">
        <f>VLOOKUP(N81,RUBROS[#All],3,0)</f>
        <v>54</v>
      </c>
      <c r="P81" s="320" t="str">
        <f>VLOOKUP(N81,RUBROS[#All],2,0)</f>
        <v xml:space="preserve">Fortalecimiento de los sistemas de información y la gestión estratégica para el deporte, la recreación y la actividad física de Antioquia (Comunicaciones) -Servicios prestados a las empresas y servicios de producción </v>
      </c>
      <c r="Q81" s="313" t="str">
        <f t="shared" si="8"/>
        <v>77</v>
      </c>
      <c r="R81" s="313" t="str">
        <f t="shared" si="9"/>
        <v>0-271130</v>
      </c>
      <c r="S81" s="321">
        <v>11</v>
      </c>
      <c r="T81" s="322" t="s">
        <v>46</v>
      </c>
      <c r="U81" s="323" t="e">
        <f ca="1">_xlfn.XLOOKUP(PAA[[#This Row],[ITEM]],Contrato!A:A,Contrato!Q:Q,"",0)</f>
        <v>#NAME?</v>
      </c>
      <c r="V81" s="313" t="s">
        <v>47</v>
      </c>
      <c r="W81" s="313" t="s">
        <v>154</v>
      </c>
      <c r="X81" s="313" t="s">
        <v>154</v>
      </c>
      <c r="Y81" s="324" t="e">
        <f ca="1">_xlfn.XLOOKUP(PAA[[#This Row],[ITEM]],Contrato!A:A,Contrato!B:B,"",0)</f>
        <v>#NAME?</v>
      </c>
      <c r="Z81" s="313" t="e">
        <f ca="1">_xlfn.XLOOKUP(PAA[[#This Row],[ITEM]],Contrato!A:A,Contrato!G:G,"",0)</f>
        <v>#NAME?</v>
      </c>
      <c r="AA81" s="313" t="e">
        <f ca="1">_xlfn.XLOOKUP(PAA[[#This Row],[ITEM]],Contrato!A:A,Contrato!T:T,"",0)</f>
        <v>#NAME?</v>
      </c>
      <c r="AB81" s="324" t="e">
        <f ca="1">+MAX(PAA[[#This Row],[Comprometido Contrato]],)</f>
        <v>#NAME?</v>
      </c>
      <c r="AC81" s="324" t="str">
        <f t="shared" ca="1" si="10"/>
        <v/>
      </c>
      <c r="AD81" s="324" t="e">
        <f ca="1">+MAX(PAA[[#This Row],[Pago por Contrato]],)</f>
        <v>#NAME?</v>
      </c>
      <c r="AE81" s="324" t="str">
        <f t="shared" ca="1" si="11"/>
        <v/>
      </c>
      <c r="AF81" s="313" t="e">
        <f t="shared" ca="1" si="12"/>
        <v>#NAME?</v>
      </c>
      <c r="AG81" s="313">
        <f t="shared" si="13"/>
        <v>52011001</v>
      </c>
      <c r="AH81" s="313" t="e" cm="1">
        <f t="array" aca="1" ref="AH81" ca="1">_xlfn.XLOOKUP(PAA[[#This Row],[RCP-RUBRO]],COMPROMISOS_2025[[#All],[concatenado]],COMPROMISOS_2025[[#All],[Total pagado]],"",0)</f>
        <v>#NAME?</v>
      </c>
      <c r="AI81" s="313" t="e" cm="1">
        <f t="array" aca="1" ref="AI81" ca="1">_xlfn.XLOOKUP(PAA[[#This Row],[RCP-RUBRO]],COMPROMISOS_2025[[#All],[concatenado]],COMPROMISOS_2025[[#All],[Total Comprometido]],"",0)</f>
        <v>#NAME?</v>
      </c>
    </row>
    <row r="82" spans="1:35" s="50" customFormat="1" ht="42" hidden="1" customHeight="1" x14ac:dyDescent="0.25">
      <c r="A82" s="57">
        <v>75</v>
      </c>
      <c r="B82" s="186">
        <v>78131800</v>
      </c>
      <c r="C82" s="57" t="str">
        <f>VLOOKUP(PAA[[#This Row],[PROYECTO (formulado)2]],PROYECTOS!$G$1:$L$32,6,0)</f>
        <v>SUBGERENCIA ADMINISTRATIVA Y FINANCIERA</v>
      </c>
      <c r="D82" s="57" t="str">
        <f>+IF(PAA[[#This Row],[UNIDAD DE CONTRATACION (formulado)]]="Subgerencia Administrativa y Financiera","FUNCIONAMIENTO","INVERSIÓN")</f>
        <v>FUNCIONAMIENTO</v>
      </c>
      <c r="E82" s="153" t="str">
        <f>VLOOKUP(Q82,PROYECTOS!$G$1:$K$32,5,0)</f>
        <v>Fortalecimiento de los sistemas de información y la gestión estratégica para el deporte, la recreación y la actividad física de Antioquia</v>
      </c>
      <c r="F82" s="153">
        <f>VLOOKUP(E82,PROYECTOS!$K$1:$M$32,3,0)</f>
        <v>2024003050077</v>
      </c>
      <c r="G82" s="154" t="s">
        <v>212</v>
      </c>
      <c r="H82" s="154" t="str">
        <f>VLOOKUP(Q82,PROYECTOS!$V$1:$W$32,2,0)</f>
        <v>220387</v>
      </c>
      <c r="I82" s="143">
        <v>66000000</v>
      </c>
      <c r="J82" s="155" t="s">
        <v>213</v>
      </c>
      <c r="K82" s="57" t="str">
        <f t="shared" ca="1" si="7"/>
        <v>CONTRATADO</v>
      </c>
      <c r="L82" s="155" t="s">
        <v>112</v>
      </c>
      <c r="M82" s="155" t="s">
        <v>125</v>
      </c>
      <c r="N82" s="142" t="s">
        <v>214</v>
      </c>
      <c r="O82" s="155">
        <f>VLOOKUP(N82,RUBROS[#All],3,0)</f>
        <v>53</v>
      </c>
      <c r="P82" s="156" t="str">
        <f>VLOOKUP(N82,RUBROS[#All],2,0)</f>
        <v xml:space="preserve">Fortalecimiento de los sistemas de información y la gestión estratégica para el deporte, la recreación y la actividad física de Antioquia (CADA) -Servicios prestados a las empresas y servicios de producción </v>
      </c>
      <c r="Q82" s="57" t="str">
        <f t="shared" si="8"/>
        <v>77</v>
      </c>
      <c r="R82" s="57" t="str">
        <f t="shared" si="9"/>
        <v>0-205128</v>
      </c>
      <c r="S82" s="152">
        <v>11</v>
      </c>
      <c r="T82" s="157" t="s">
        <v>46</v>
      </c>
      <c r="U82" s="162" t="e">
        <f ca="1">_xlfn.XLOOKUP(PAA[[#This Row],[ITEM]],Contrato!A:A,Contrato!Q:Q,"",0)</f>
        <v>#NAME?</v>
      </c>
      <c r="V82" s="57" t="s">
        <v>47</v>
      </c>
      <c r="W82" s="57" t="s">
        <v>154</v>
      </c>
      <c r="X82" s="57" t="s">
        <v>154</v>
      </c>
      <c r="Y82" s="58" t="e">
        <f ca="1">_xlfn.XLOOKUP(PAA[[#This Row],[ITEM]],Contrato!A:A,Contrato!B:B,"",0)</f>
        <v>#NAME?</v>
      </c>
      <c r="Z82" s="57" t="e">
        <f ca="1">_xlfn.XLOOKUP(PAA[[#This Row],[ITEM]],Contrato!A:A,Contrato!G:G,"",0)</f>
        <v>#NAME?</v>
      </c>
      <c r="AA82" s="57" t="e">
        <f ca="1">_xlfn.XLOOKUP(PAA[[#This Row],[ITEM]],Contrato!A:A,Contrato!T:T,"",0)</f>
        <v>#NAME?</v>
      </c>
      <c r="AB82" s="58" t="e">
        <f ca="1">+MAX(PAA[[#This Row],[Comprometido Contrato]],)</f>
        <v>#NAME?</v>
      </c>
      <c r="AC82" s="58" t="str">
        <f t="shared" ca="1" si="10"/>
        <v/>
      </c>
      <c r="AD82" s="58" t="e">
        <f ca="1">+MAX(PAA[[#This Row],[Pago por Contrato]],)</f>
        <v>#NAME?</v>
      </c>
      <c r="AE82" s="58" t="str">
        <f t="shared" ca="1" si="11"/>
        <v/>
      </c>
      <c r="AF82" s="57" t="e">
        <f t="shared" ca="1" si="12"/>
        <v>#NAME?</v>
      </c>
      <c r="AG82" s="57">
        <f t="shared" si="13"/>
        <v>52011001</v>
      </c>
      <c r="AH82" s="57" t="e" cm="1">
        <f t="array" aca="1" ref="AH82" ca="1">_xlfn.XLOOKUP(PAA[[#This Row],[RCP-RUBRO]],COMPROMISOS_2025[[#All],[concatenado]],COMPROMISOS_2025[[#All],[Total pagado]],"",0)</f>
        <v>#NAME?</v>
      </c>
      <c r="AI82" s="57" t="e" cm="1">
        <f t="array" aca="1" ref="AI82" ca="1">_xlfn.XLOOKUP(PAA[[#This Row],[RCP-RUBRO]],COMPROMISOS_2025[[#All],[concatenado]],COMPROMISOS_2025[[#All],[Total Comprometido]],"",0)</f>
        <v>#NAME?</v>
      </c>
    </row>
    <row r="83" spans="1:35" s="50" customFormat="1" ht="42" hidden="1" customHeight="1" x14ac:dyDescent="0.25">
      <c r="A83" s="57">
        <v>76</v>
      </c>
      <c r="B83" s="186">
        <v>80111600</v>
      </c>
      <c r="C83" s="57" t="str">
        <f>VLOOKUP(PAA[[#This Row],[PROYECTO (formulado)2]],PROYECTOS!$G$1:$L$32,6,0)</f>
        <v>SUBGERENCIA ADMINISTRATIVA Y FINANCIERA</v>
      </c>
      <c r="D83" s="57" t="str">
        <f>+IF(PAA[[#This Row],[UNIDAD DE CONTRATACION (formulado)]]="Subgerencia Administrativa y Financiera","FUNCIONAMIENTO","INVERSIÓN")</f>
        <v>FUNCIONAMIENTO</v>
      </c>
      <c r="E83" s="153" t="str">
        <f>VLOOKUP(Q83,PROYECTOS!$G$1:$K$32,5,0)</f>
        <v>Fortalecimiento de los sistemas de información y la gestión estratégica para el deporte, la recreación y la actividad física de Antioquia</v>
      </c>
      <c r="F83" s="153">
        <f>VLOOKUP(E83,PROYECTOS!$K$1:$M$32,3,0)</f>
        <v>2024003050077</v>
      </c>
      <c r="G83" s="154" t="s">
        <v>215</v>
      </c>
      <c r="H83" s="154" t="str">
        <f>VLOOKUP(Q83,PROYECTOS!$V$1:$W$32,2,0)</f>
        <v>220387</v>
      </c>
      <c r="I83" s="143">
        <v>34245335</v>
      </c>
      <c r="J83" s="155" t="s">
        <v>216</v>
      </c>
      <c r="K83" s="57" t="str">
        <f t="shared" ca="1" si="7"/>
        <v>CONTRATADO</v>
      </c>
      <c r="L83" s="155" t="s">
        <v>112</v>
      </c>
      <c r="M83" s="155" t="s">
        <v>113</v>
      </c>
      <c r="N83" s="142" t="s">
        <v>214</v>
      </c>
      <c r="O83" s="155">
        <f>VLOOKUP(N83,RUBROS[#All],3,0)</f>
        <v>53</v>
      </c>
      <c r="P83" s="156" t="str">
        <f>VLOOKUP(N83,RUBROS[#All],2,0)</f>
        <v xml:space="preserve">Fortalecimiento de los sistemas de información y la gestión estratégica para el deporte, la recreación y la actividad física de Antioquia (CADA) -Servicios prestados a las empresas y servicios de producción </v>
      </c>
      <c r="Q83" s="57" t="str">
        <f t="shared" si="8"/>
        <v>77</v>
      </c>
      <c r="R83" s="57" t="str">
        <f t="shared" si="9"/>
        <v>0-205128</v>
      </c>
      <c r="S83" s="152">
        <v>6</v>
      </c>
      <c r="T83" s="157" t="s">
        <v>46</v>
      </c>
      <c r="U83" s="162" t="e">
        <f ca="1">_xlfn.XLOOKUP(PAA[[#This Row],[ITEM]],Contrato!A:A,Contrato!Q:Q,"",0)</f>
        <v>#NAME?</v>
      </c>
      <c r="V83" s="57" t="s">
        <v>47</v>
      </c>
      <c r="W83" s="57" t="s">
        <v>127</v>
      </c>
      <c r="X83" s="57" t="s">
        <v>127</v>
      </c>
      <c r="Y83" s="58" t="e">
        <f ca="1">_xlfn.XLOOKUP(PAA[[#This Row],[ITEM]],Contrato!A:A,Contrato!B:B,"",0)</f>
        <v>#NAME?</v>
      </c>
      <c r="Z83" s="57" t="e">
        <f ca="1">_xlfn.XLOOKUP(PAA[[#This Row],[ITEM]],Contrato!A:A,Contrato!G:G,"",0)</f>
        <v>#NAME?</v>
      </c>
      <c r="AA83" s="57" t="e">
        <f ca="1">_xlfn.XLOOKUP(PAA[[#This Row],[ITEM]],Contrato!A:A,Contrato!T:T,"",0)</f>
        <v>#NAME?</v>
      </c>
      <c r="AB83" s="58" t="e">
        <f ca="1">+MAX(PAA[[#This Row],[Comprometido Contrato]],)</f>
        <v>#NAME?</v>
      </c>
      <c r="AC83" s="58" t="str">
        <f t="shared" ca="1" si="10"/>
        <v/>
      </c>
      <c r="AD83" s="58" t="e">
        <f ca="1">+MAX(PAA[[#This Row],[Pago por Contrato]],)</f>
        <v>#NAME?</v>
      </c>
      <c r="AE83" s="58" t="str">
        <f t="shared" ca="1" si="11"/>
        <v/>
      </c>
      <c r="AF83" s="57" t="e">
        <f t="shared" ca="1" si="12"/>
        <v>#NAME?</v>
      </c>
      <c r="AG83" s="57">
        <f t="shared" si="13"/>
        <v>52011001</v>
      </c>
      <c r="AH83" s="57" t="e" cm="1">
        <f t="array" aca="1" ref="AH83" ca="1">_xlfn.XLOOKUP(PAA[[#This Row],[RCP-RUBRO]],COMPROMISOS_2025[[#All],[concatenado]],COMPROMISOS_2025[[#All],[Total pagado]],"",0)</f>
        <v>#NAME?</v>
      </c>
      <c r="AI83" s="57" t="e" cm="1">
        <f t="array" aca="1" ref="AI83" ca="1">_xlfn.XLOOKUP(PAA[[#This Row],[RCP-RUBRO]],COMPROMISOS_2025[[#All],[concatenado]],COMPROMISOS_2025[[#All],[Total Comprometido]],"",0)</f>
        <v>#NAME?</v>
      </c>
    </row>
    <row r="84" spans="1:35" s="50" customFormat="1" ht="42" hidden="1" customHeight="1" x14ac:dyDescent="0.25">
      <c r="A84" s="57">
        <v>77</v>
      </c>
      <c r="B84" s="186">
        <v>80111600</v>
      </c>
      <c r="C84" s="57" t="str">
        <f>VLOOKUP(PAA[[#This Row],[PROYECTO (formulado)2]],PROYECTOS!$G$1:$L$32,6,0)</f>
        <v>SUBGERENCIA ADMINISTRATIVA Y FINANCIERA</v>
      </c>
      <c r="D84" s="57" t="str">
        <f>+IF(PAA[[#This Row],[UNIDAD DE CONTRATACION (formulado)]]="Subgerencia Administrativa y Financiera","FUNCIONAMIENTO","INVERSIÓN")</f>
        <v>FUNCIONAMIENTO</v>
      </c>
      <c r="E84" s="153" t="str">
        <f>VLOOKUP(Q84,PROYECTOS!$G$1:$K$32,5,0)</f>
        <v>Fortalecimiento de los sistemas de información y la gestión estratégica para el deporte, la recreación y la actividad física de Antioquia</v>
      </c>
      <c r="F84" s="153">
        <f>VLOOKUP(E84,PROYECTOS!$K$1:$M$32,3,0)</f>
        <v>2024003050077</v>
      </c>
      <c r="G84" s="154" t="s">
        <v>217</v>
      </c>
      <c r="H84" s="154" t="str">
        <f>VLOOKUP(Q84,PROYECTOS!$V$1:$W$32,2,0)</f>
        <v>220387</v>
      </c>
      <c r="I84" s="143">
        <v>20000000</v>
      </c>
      <c r="J84" s="155" t="s">
        <v>218</v>
      </c>
      <c r="K84" s="57" t="str">
        <f t="shared" ca="1" si="7"/>
        <v>CONTRATADO</v>
      </c>
      <c r="L84" s="155" t="s">
        <v>112</v>
      </c>
      <c r="M84" s="155" t="s">
        <v>113</v>
      </c>
      <c r="N84" s="142" t="s">
        <v>219</v>
      </c>
      <c r="O84" s="155">
        <f>VLOOKUP(N84,RUBROS[#All],3,0)</f>
        <v>52</v>
      </c>
      <c r="P84" s="156" t="str">
        <f>VLOOKUP(N84,RUBROS[#All],2,0)</f>
        <v xml:space="preserve">Fortalecimiento de los sistemas de información y la gestión estratégica para el deporte, la recreación y la actividad física de Antioquia-(Investigación) -Servicios prestados a las empresas y servicios de producción </v>
      </c>
      <c r="Q84" s="57" t="str">
        <f t="shared" si="8"/>
        <v>77</v>
      </c>
      <c r="R84" s="57" t="str">
        <f t="shared" si="9"/>
        <v>0-205128</v>
      </c>
      <c r="S84" s="152">
        <v>240</v>
      </c>
      <c r="T84" s="157" t="s">
        <v>220</v>
      </c>
      <c r="U84" s="162" t="e">
        <f ca="1">_xlfn.XLOOKUP(PAA[[#This Row],[ITEM]],Contrato!A:A,Contrato!Q:Q,"",0)</f>
        <v>#NAME?</v>
      </c>
      <c r="V84" s="57" t="s">
        <v>47</v>
      </c>
      <c r="W84" s="57" t="s">
        <v>127</v>
      </c>
      <c r="X84" s="57" t="s">
        <v>127</v>
      </c>
      <c r="Y84" s="58" t="e">
        <f ca="1">_xlfn.XLOOKUP(PAA[[#This Row],[ITEM]],Contrato!A:A,Contrato!B:B,"",0)</f>
        <v>#NAME?</v>
      </c>
      <c r="Z84" s="57" t="e">
        <f ca="1">_xlfn.XLOOKUP(PAA[[#This Row],[ITEM]],Contrato!A:A,Contrato!G:G,"",0)</f>
        <v>#NAME?</v>
      </c>
      <c r="AA84" s="57" t="e">
        <f ca="1">_xlfn.XLOOKUP(PAA[[#This Row],[ITEM]],Contrato!A:A,Contrato!T:T,"",0)</f>
        <v>#NAME?</v>
      </c>
      <c r="AB84" s="58" t="e">
        <f ca="1">+MAX(PAA[[#This Row],[Comprometido Contrato]],)</f>
        <v>#NAME?</v>
      </c>
      <c r="AC84" s="58" t="str">
        <f t="shared" ca="1" si="10"/>
        <v/>
      </c>
      <c r="AD84" s="58" t="e">
        <f ca="1">+MAX(PAA[[#This Row],[Pago por Contrato]],)</f>
        <v>#NAME?</v>
      </c>
      <c r="AE84" s="58" t="str">
        <f t="shared" ca="1" si="11"/>
        <v/>
      </c>
      <c r="AF84" s="57" t="e">
        <f t="shared" ca="1" si="12"/>
        <v>#NAME?</v>
      </c>
      <c r="AG84" s="57">
        <f t="shared" si="13"/>
        <v>52011001</v>
      </c>
      <c r="AH84" s="57" t="e" cm="1">
        <f t="array" aca="1" ref="AH84" ca="1">_xlfn.XLOOKUP(PAA[[#This Row],[RCP-RUBRO]],COMPROMISOS_2025[[#All],[concatenado]],COMPROMISOS_2025[[#All],[Total pagado]],"",0)</f>
        <v>#NAME?</v>
      </c>
      <c r="AI84" s="57" t="e" cm="1">
        <f t="array" aca="1" ref="AI84" ca="1">_xlfn.XLOOKUP(PAA[[#This Row],[RCP-RUBRO]],COMPROMISOS_2025[[#All],[concatenado]],COMPROMISOS_2025[[#All],[Total Comprometido]],"",0)</f>
        <v>#NAME?</v>
      </c>
    </row>
    <row r="85" spans="1:35" s="50" customFormat="1" ht="42" hidden="1" customHeight="1" x14ac:dyDescent="0.25">
      <c r="A85" s="57">
        <v>78</v>
      </c>
      <c r="B85" s="186">
        <v>82111800</v>
      </c>
      <c r="C85" s="57" t="str">
        <f>VLOOKUP(PAA[[#This Row],[PROYECTO (formulado)2]],PROYECTOS!$G$1:$L$32,6,0)</f>
        <v>SUBGERENCIA ADMINISTRATIVA Y FINANCIERA</v>
      </c>
      <c r="D85" s="57" t="str">
        <f>+IF(PAA[[#This Row],[UNIDAD DE CONTRATACION (formulado)]]="Subgerencia Administrativa y Financiera","FUNCIONAMIENTO","INVERSIÓN")</f>
        <v>FUNCIONAMIENTO</v>
      </c>
      <c r="E85" s="153" t="str">
        <f>VLOOKUP(Q85,PROYECTOS!$G$1:$K$32,5,0)</f>
        <v>Fortalecimiento de los sistemas de información y la gestión estratégica para el deporte, la recreación y la actividad física de Antioquia</v>
      </c>
      <c r="F85" s="153">
        <f>VLOOKUP(E85,PROYECTOS!$K$1:$M$32,3,0)</f>
        <v>2024003050077</v>
      </c>
      <c r="G85" s="154" t="s">
        <v>221</v>
      </c>
      <c r="H85" s="154" t="str">
        <f>VLOOKUP(Q85,PROYECTOS!$V$1:$W$32,2,0)</f>
        <v>220387</v>
      </c>
      <c r="I85" s="143">
        <v>30000000</v>
      </c>
      <c r="J85" s="155" t="s">
        <v>222</v>
      </c>
      <c r="K85" s="57" t="str">
        <f t="shared" ca="1" si="7"/>
        <v>CONTRATADO</v>
      </c>
      <c r="L85" s="155" t="s">
        <v>112</v>
      </c>
      <c r="M85" s="155" t="s">
        <v>125</v>
      </c>
      <c r="N85" s="142" t="s">
        <v>219</v>
      </c>
      <c r="O85" s="155">
        <f>VLOOKUP(N85,RUBROS[#All],3,0)</f>
        <v>52</v>
      </c>
      <c r="P85" s="156" t="str">
        <f>VLOOKUP(N85,RUBROS[#All],2,0)</f>
        <v xml:space="preserve">Fortalecimiento de los sistemas de información y la gestión estratégica para el deporte, la recreación y la actividad física de Antioquia-(Investigación) -Servicios prestados a las empresas y servicios de producción </v>
      </c>
      <c r="Q85" s="57" t="str">
        <f t="shared" si="8"/>
        <v>77</v>
      </c>
      <c r="R85" s="57" t="str">
        <f t="shared" si="9"/>
        <v>0-205128</v>
      </c>
      <c r="S85" s="152">
        <v>2</v>
      </c>
      <c r="T85" s="157" t="s">
        <v>46</v>
      </c>
      <c r="U85" s="162" t="e">
        <f ca="1">_xlfn.XLOOKUP(PAA[[#This Row],[ITEM]],Contrato!A:A,Contrato!Q:Q,"",0)</f>
        <v>#NAME?</v>
      </c>
      <c r="V85" s="57" t="s">
        <v>47</v>
      </c>
      <c r="W85" s="57" t="s">
        <v>154</v>
      </c>
      <c r="X85" s="57" t="s">
        <v>154</v>
      </c>
      <c r="Y85" s="58" t="e">
        <f ca="1">_xlfn.XLOOKUP(PAA[[#This Row],[ITEM]],Contrato!A:A,Contrato!B:B,"",0)</f>
        <v>#NAME?</v>
      </c>
      <c r="Z85" s="57" t="e">
        <f ca="1">_xlfn.XLOOKUP(PAA[[#This Row],[ITEM]],Contrato!A:A,Contrato!G:G,"",0)</f>
        <v>#NAME?</v>
      </c>
      <c r="AA85" s="57" t="e">
        <f ca="1">_xlfn.XLOOKUP(PAA[[#This Row],[ITEM]],Contrato!A:A,Contrato!T:T,"",0)</f>
        <v>#NAME?</v>
      </c>
      <c r="AB85" s="58" t="e">
        <f ca="1">+MAX(PAA[[#This Row],[Comprometido Contrato]],)</f>
        <v>#NAME?</v>
      </c>
      <c r="AC85" s="58" t="str">
        <f t="shared" ca="1" si="10"/>
        <v/>
      </c>
      <c r="AD85" s="58" t="e">
        <f ca="1">+MAX(PAA[[#This Row],[Pago por Contrato]],)</f>
        <v>#NAME?</v>
      </c>
      <c r="AE85" s="58" t="str">
        <f t="shared" ca="1" si="11"/>
        <v/>
      </c>
      <c r="AF85" s="57" t="e">
        <f t="shared" ca="1" si="12"/>
        <v>#NAME?</v>
      </c>
      <c r="AG85" s="57">
        <f t="shared" si="13"/>
        <v>52011001</v>
      </c>
      <c r="AH85" s="57" t="e" cm="1">
        <f t="array" aca="1" ref="AH85" ca="1">_xlfn.XLOOKUP(PAA[[#This Row],[RCP-RUBRO]],COMPROMISOS_2025[[#All],[concatenado]],COMPROMISOS_2025[[#All],[Total pagado]],"",0)</f>
        <v>#NAME?</v>
      </c>
      <c r="AI85" s="57" t="e" cm="1">
        <f t="array" aca="1" ref="AI85" ca="1">_xlfn.XLOOKUP(PAA[[#This Row],[RCP-RUBRO]],COMPROMISOS_2025[[#All],[concatenado]],COMPROMISOS_2025[[#All],[Total Comprometido]],"",0)</f>
        <v>#NAME?</v>
      </c>
    </row>
    <row r="86" spans="1:35" s="50" customFormat="1" ht="42" hidden="1" customHeight="1" x14ac:dyDescent="0.25">
      <c r="A86" s="199">
        <v>79</v>
      </c>
      <c r="B86" s="200">
        <v>80161500</v>
      </c>
      <c r="C86" s="199" t="str">
        <f>VLOOKUP(PAA[[#This Row],[PROYECTO (formulado)2]],PROYECTOS!$G$1:$L$32,6,0)</f>
        <v>SUBGERENCIA ADMINISTRATIVA Y FINANCIERA</v>
      </c>
      <c r="D86" s="199" t="str">
        <f>+IF(PAA[[#This Row],[UNIDAD DE CONTRATACION (formulado)]]="Subgerencia Administrativa y Financiera","FUNCIONAMIENTO","INVERSIÓN")</f>
        <v>FUNCIONAMIENTO</v>
      </c>
      <c r="E86" s="201" t="str">
        <f>VLOOKUP(Q86,PROYECTOS!$G$1:$K$32,5,0)</f>
        <v>Fortalecimiento de los sistemas de información y la gestión estratégica para el deporte, la recreación y la actividad física de Antioquia</v>
      </c>
      <c r="F86" s="201">
        <f>VLOOKUP(E86,PROYECTOS!$K$1:$M$32,3,0)</f>
        <v>2024003050077</v>
      </c>
      <c r="G86" s="202" t="s">
        <v>223</v>
      </c>
      <c r="H86" s="202" t="str">
        <f>VLOOKUP(Q86,PROYECTOS!$V$1:$W$32,2,0)</f>
        <v>220387</v>
      </c>
      <c r="I86" s="203">
        <f>48890270+6771050</f>
        <v>55661320</v>
      </c>
      <c r="J86" s="204" t="s">
        <v>224</v>
      </c>
      <c r="K86" s="199" t="str">
        <f t="shared" ca="1" si="7"/>
        <v>CONTRATADO</v>
      </c>
      <c r="L86" s="204" t="s">
        <v>112</v>
      </c>
      <c r="M86" s="204" t="s">
        <v>113</v>
      </c>
      <c r="N86" s="205" t="s">
        <v>225</v>
      </c>
      <c r="O86" s="204">
        <f>VLOOKUP(N86,RUBROS[#All],3,0)</f>
        <v>47</v>
      </c>
      <c r="P86" s="206" t="str">
        <f>VLOOKUP(N86,RUBROS[#All],2,0)</f>
        <v xml:space="preserve">Fortalecimiento de los sistemas de información y la gestión estratégica para el deporte, la recreación y la actividad física de Antioquia (Planeación) -Servicios prestados a las empresas y servicios de producción </v>
      </c>
      <c r="Q86" s="199" t="str">
        <f t="shared" si="8"/>
        <v>77</v>
      </c>
      <c r="R86" s="199" t="str">
        <f t="shared" si="9"/>
        <v>0-101024</v>
      </c>
      <c r="S86" s="207">
        <v>222</v>
      </c>
      <c r="T86" s="245" t="s">
        <v>220</v>
      </c>
      <c r="U86" s="209" t="e">
        <f ca="1">_xlfn.XLOOKUP(PAA[[#This Row],[ITEM]],Contrato!A:A,Contrato!Q:Q,"",0)</f>
        <v>#NAME?</v>
      </c>
      <c r="V86" s="199" t="s">
        <v>47</v>
      </c>
      <c r="W86" s="199" t="s">
        <v>48</v>
      </c>
      <c r="X86" s="199" t="s">
        <v>48</v>
      </c>
      <c r="Y86" s="210" t="e">
        <f ca="1">_xlfn.XLOOKUP(PAA[[#This Row],[ITEM]],Contrato!A:A,Contrato!B:B,"",0)</f>
        <v>#NAME?</v>
      </c>
      <c r="Z86" s="199" t="e">
        <f ca="1">_xlfn.XLOOKUP(PAA[[#This Row],[ITEM]],Contrato!A:A,Contrato!G:G,"",0)</f>
        <v>#NAME?</v>
      </c>
      <c r="AA86" s="199" t="e">
        <f ca="1">_xlfn.XLOOKUP(PAA[[#This Row],[ITEM]],Contrato!A:A,Contrato!T:T,"",0)</f>
        <v>#NAME?</v>
      </c>
      <c r="AB86" s="210" t="e">
        <f ca="1">+MAX(PAA[[#This Row],[Comprometido Contrato]],)</f>
        <v>#NAME?</v>
      </c>
      <c r="AC86" s="210" t="str">
        <f t="shared" ca="1" si="10"/>
        <v/>
      </c>
      <c r="AD86" s="210" t="e">
        <f ca="1">+MAX(PAA[[#This Row],[Pago por Contrato]],)</f>
        <v>#NAME?</v>
      </c>
      <c r="AE86" s="210" t="str">
        <f t="shared" ca="1" si="11"/>
        <v/>
      </c>
      <c r="AF86" s="199" t="e">
        <f t="shared" ca="1" si="12"/>
        <v>#NAME?</v>
      </c>
      <c r="AG86" s="199">
        <f t="shared" si="13"/>
        <v>52011001</v>
      </c>
      <c r="AH86" s="199" t="e" cm="1">
        <f t="array" aca="1" ref="AH86" ca="1">_xlfn.XLOOKUP(PAA[[#This Row],[RCP-RUBRO]],COMPROMISOS_2025[[#All],[concatenado]],COMPROMISOS_2025[[#All],[Total pagado]],"",0)</f>
        <v>#NAME?</v>
      </c>
      <c r="AI86" s="199" t="e" cm="1">
        <f t="array" aca="1" ref="AI86" ca="1">_xlfn.XLOOKUP(PAA[[#This Row],[RCP-RUBRO]],COMPROMISOS_2025[[#All],[concatenado]],COMPROMISOS_2025[[#All],[Total Comprometido]],"",0)</f>
        <v>#NAME?</v>
      </c>
    </row>
    <row r="87" spans="1:35" s="50" customFormat="1" ht="42" hidden="1" customHeight="1" x14ac:dyDescent="0.25">
      <c r="A87" s="199">
        <v>80</v>
      </c>
      <c r="B87" s="200">
        <v>80111600</v>
      </c>
      <c r="C87" s="199" t="str">
        <f>VLOOKUP(PAA[[#This Row],[PROYECTO (formulado)2]],PROYECTOS!$G$1:$L$32,6,0)</f>
        <v>SUBGERENCIA ADMINISTRATIVA Y FINANCIERA</v>
      </c>
      <c r="D87" s="199" t="str">
        <f>+IF(PAA[[#This Row],[UNIDAD DE CONTRATACION (formulado)]]="Subgerencia Administrativa y Financiera","FUNCIONAMIENTO","INVERSIÓN")</f>
        <v>FUNCIONAMIENTO</v>
      </c>
      <c r="E87" s="201" t="str">
        <f>VLOOKUP(Q87,PROYECTOS!$G$1:$K$32,5,0)</f>
        <v>Fortalecimiento de los sistemas de información y la gestión estratégica para el deporte, la recreación y la actividad física de Antioquia</v>
      </c>
      <c r="F87" s="201">
        <f>VLOOKUP(E87,PROYECTOS!$K$1:$M$32,3,0)</f>
        <v>2024003050077</v>
      </c>
      <c r="G87" s="202" t="s">
        <v>223</v>
      </c>
      <c r="H87" s="202" t="str">
        <f>VLOOKUP(Q87,PROYECTOS!$V$1:$W$32,2,0)</f>
        <v>220387</v>
      </c>
      <c r="I87" s="203">
        <v>55661320</v>
      </c>
      <c r="J87" s="204" t="s">
        <v>226</v>
      </c>
      <c r="K87" s="199" t="str">
        <f t="shared" ca="1" si="7"/>
        <v>CONTRATADO</v>
      </c>
      <c r="L87" s="204" t="s">
        <v>112</v>
      </c>
      <c r="M87" s="204" t="s">
        <v>113</v>
      </c>
      <c r="N87" s="205" t="s">
        <v>225</v>
      </c>
      <c r="O87" s="204">
        <f>VLOOKUP(N87,RUBROS[#All],3,0)</f>
        <v>47</v>
      </c>
      <c r="P87" s="206" t="str">
        <f>VLOOKUP(N87,RUBROS[#All],2,0)</f>
        <v xml:space="preserve">Fortalecimiento de los sistemas de información y la gestión estratégica para el deporte, la recreación y la actividad física de Antioquia (Planeación) -Servicios prestados a las empresas y servicios de producción </v>
      </c>
      <c r="Q87" s="199" t="str">
        <f t="shared" si="8"/>
        <v>77</v>
      </c>
      <c r="R87" s="199" t="str">
        <f t="shared" si="9"/>
        <v>0-101024</v>
      </c>
      <c r="S87" s="207">
        <v>222</v>
      </c>
      <c r="T87" s="245" t="s">
        <v>220</v>
      </c>
      <c r="U87" s="209" t="e">
        <f ca="1">_xlfn.XLOOKUP(PAA[[#This Row],[ITEM]],Contrato!A:A,Contrato!Q:Q,"",0)</f>
        <v>#NAME?</v>
      </c>
      <c r="V87" s="199" t="s">
        <v>47</v>
      </c>
      <c r="W87" s="199" t="s">
        <v>48</v>
      </c>
      <c r="X87" s="199" t="s">
        <v>48</v>
      </c>
      <c r="Y87" s="210" t="e">
        <f ca="1">_xlfn.XLOOKUP(PAA[[#This Row],[ITEM]],Contrato!A:A,Contrato!B:B,"",0)</f>
        <v>#NAME?</v>
      </c>
      <c r="Z87" s="199" t="e">
        <f ca="1">_xlfn.XLOOKUP(PAA[[#This Row],[ITEM]],Contrato!A:A,Contrato!G:G,"",0)</f>
        <v>#NAME?</v>
      </c>
      <c r="AA87" s="199" t="e">
        <f ca="1">_xlfn.XLOOKUP(PAA[[#This Row],[ITEM]],Contrato!A:A,Contrato!T:T,"",0)</f>
        <v>#NAME?</v>
      </c>
      <c r="AB87" s="210" t="e">
        <f ca="1">+MAX(PAA[[#This Row],[Comprometido Contrato]],)</f>
        <v>#NAME?</v>
      </c>
      <c r="AC87" s="210" t="str">
        <f t="shared" ca="1" si="10"/>
        <v/>
      </c>
      <c r="AD87" s="210" t="e">
        <f ca="1">+MAX(PAA[[#This Row],[Pago por Contrato]],)</f>
        <v>#NAME?</v>
      </c>
      <c r="AE87" s="210" t="str">
        <f t="shared" ca="1" si="11"/>
        <v/>
      </c>
      <c r="AF87" s="199" t="e">
        <f t="shared" ca="1" si="12"/>
        <v>#NAME?</v>
      </c>
      <c r="AG87" s="199">
        <f t="shared" si="13"/>
        <v>52011001</v>
      </c>
      <c r="AH87" s="199" t="e" cm="1">
        <f t="array" aca="1" ref="AH87" ca="1">_xlfn.XLOOKUP(PAA[[#This Row],[RCP-RUBRO]],COMPROMISOS_2025[[#All],[concatenado]],COMPROMISOS_2025[[#All],[Total pagado]],"",0)</f>
        <v>#NAME?</v>
      </c>
      <c r="AI87" s="199" t="e" cm="1">
        <f t="array" aca="1" ref="AI87" ca="1">_xlfn.XLOOKUP(PAA[[#This Row],[RCP-RUBRO]],COMPROMISOS_2025[[#All],[concatenado]],COMPROMISOS_2025[[#All],[Total Comprometido]],"",0)</f>
        <v>#NAME?</v>
      </c>
    </row>
    <row r="88" spans="1:35" s="50" customFormat="1" ht="42" hidden="1" customHeight="1" x14ac:dyDescent="0.25">
      <c r="A88" s="436" t="s">
        <v>227</v>
      </c>
      <c r="B88" s="418">
        <v>80111600</v>
      </c>
      <c r="C88" s="436" t="str">
        <f>VLOOKUP(PAA[[#This Row],[PROYECTO (formulado)2]],PROYECTOS!$G$1:$L$32,6,0)</f>
        <v>SUBGERENCIA ADMINISTRATIVA Y FINANCIERA</v>
      </c>
      <c r="D88" s="436" t="str">
        <f>+IF(PAA[[#This Row],[UNIDAD DE CONTRATACION (formulado)]]="Subgerencia Administrativa y Financiera","FUNCIONAMIENTO","INVERSIÓN")</f>
        <v>FUNCIONAMIENTO</v>
      </c>
      <c r="E88" s="446" t="str">
        <f>VLOOKUP(Q88,PROYECTOS!$G$1:$K$32,5,0)</f>
        <v>Fortalecimiento de los sistemas de información y la gestión estratégica para el deporte, la recreación y la actividad física de Antioquia</v>
      </c>
      <c r="F88" s="446">
        <f>VLOOKUP(E88,PROYECTOS!$K$1:$M$32,3,0)</f>
        <v>2024003050077</v>
      </c>
      <c r="G88" s="439" t="s">
        <v>228</v>
      </c>
      <c r="H88" s="439" t="str">
        <f>VLOOKUP(Q88,PROYECTOS!$V$1:$W$32,2,0)</f>
        <v>220387</v>
      </c>
      <c r="I88" s="440">
        <v>1685913</v>
      </c>
      <c r="J88" s="442" t="s">
        <v>229</v>
      </c>
      <c r="K88" s="436" t="str">
        <f ca="1">IF(ISNONTEXT(Y88)=TRUE,"CONTRATADO","NO CONTRATADO")</f>
        <v>CONTRATADO</v>
      </c>
      <c r="L88" s="442" t="s">
        <v>112</v>
      </c>
      <c r="M88" s="442" t="s">
        <v>113</v>
      </c>
      <c r="N88" s="447" t="s">
        <v>225</v>
      </c>
      <c r="O88" s="442">
        <f>VLOOKUP(N88,RUBROS[#All],3,0)</f>
        <v>47</v>
      </c>
      <c r="P88" s="448" t="str">
        <f>VLOOKUP(N88,RUBROS[#All],2,0)</f>
        <v xml:space="preserve">Fortalecimiento de los sistemas de información y la gestión estratégica para el deporte, la recreación y la actividad física de Antioquia (Planeación) -Servicios prestados a las empresas y servicios de producción </v>
      </c>
      <c r="Q88" s="436" t="str">
        <f>+MID(N88,11,2)</f>
        <v>77</v>
      </c>
      <c r="R88" s="436" t="str">
        <f>+MID(N88,14,8)</f>
        <v>0-101024</v>
      </c>
      <c r="S88" s="417" t="s">
        <v>41</v>
      </c>
      <c r="T88" s="424" t="s">
        <v>41</v>
      </c>
      <c r="U88" s="444" t="e">
        <f ca="1">_xlfn.XLOOKUP(PAA[[#This Row],[ITEM]],Contrato!A:A,Contrato!Q:Q,"",0)</f>
        <v>#NAME?</v>
      </c>
      <c r="V88" s="436" t="s">
        <v>47</v>
      </c>
      <c r="W88" s="436" t="s">
        <v>41</v>
      </c>
      <c r="X88" s="436" t="s">
        <v>41</v>
      </c>
      <c r="Y88" s="445" t="e">
        <f ca="1">_xlfn.XLOOKUP(PAA[[#This Row],[ITEM]],Contrato!A:A,Contrato!B:B,"",0)</f>
        <v>#NAME?</v>
      </c>
      <c r="Z88" s="436" t="e">
        <f ca="1">_xlfn.XLOOKUP(PAA[[#This Row],[ITEM]],Contrato!A:A,Contrato!G:G,"",0)</f>
        <v>#NAME?</v>
      </c>
      <c r="AA88" s="436" t="e">
        <f ca="1">_xlfn.XLOOKUP(PAA[[#This Row],[ITEM]],Contrato!A:A,Contrato!T:T,"",0)</f>
        <v>#NAME?</v>
      </c>
      <c r="AB88" s="445" t="e">
        <f ca="1">+MAX(PAA[[#This Row],[Comprometido Contrato]],)</f>
        <v>#NAME?</v>
      </c>
      <c r="AC88" s="445" t="str">
        <f ca="1">IFERROR(I88-AB88,"")</f>
        <v/>
      </c>
      <c r="AD88" s="445" t="e">
        <f ca="1">+MAX(PAA[[#This Row],[Pago por Contrato]],)</f>
        <v>#NAME?</v>
      </c>
      <c r="AE88" s="445" t="str">
        <f ca="1">+IFERROR(AB88-AD88,"")</f>
        <v/>
      </c>
      <c r="AF88" s="436" t="e">
        <f ca="1">+CONCATENATE(AA88,N88)</f>
        <v>#NAME?</v>
      </c>
      <c r="AG88" s="436">
        <f>IFERROR(_xlfn.NUMBERVALUE(MID(G88,1,8)),"")</f>
        <v>52011001</v>
      </c>
      <c r="AH88" s="436" t="e" cm="1">
        <f t="array" aca="1" ref="AH88" ca="1">_xlfn.XLOOKUP(PAA[[#This Row],[RCP-RUBRO]],COMPROMISOS_2025[[#All],[concatenado]],COMPROMISOS_2025[[#All],[Total pagado]],"",0)</f>
        <v>#NAME?</v>
      </c>
      <c r="AI88" s="436" t="e" cm="1">
        <f t="array" aca="1" ref="AI88" ca="1">_xlfn.XLOOKUP(PAA[[#This Row],[RCP-RUBRO]],COMPROMISOS_2025[[#All],[concatenado]],COMPROMISOS_2025[[#All],[Total Comprometido]],"",0)</f>
        <v>#NAME?</v>
      </c>
    </row>
    <row r="89" spans="1:35" s="50" customFormat="1" ht="42" hidden="1" customHeight="1" x14ac:dyDescent="0.25">
      <c r="A89" s="436">
        <v>81</v>
      </c>
      <c r="B89" s="418">
        <v>80111600</v>
      </c>
      <c r="C89" s="436" t="str">
        <f>VLOOKUP(PAA[[#This Row],[PROYECTO (formulado)2]],PROYECTOS!$G$1:$L$32,6,0)</f>
        <v>SUBGERENCIA ADMINISTRATIVA Y FINANCIERA</v>
      </c>
      <c r="D89" s="436" t="str">
        <f>+IF(PAA[[#This Row],[UNIDAD DE CONTRATACION (formulado)]]="Subgerencia Administrativa y Financiera","FUNCIONAMIENTO","INVERSIÓN")</f>
        <v>FUNCIONAMIENTO</v>
      </c>
      <c r="E89" s="446" t="str">
        <f>VLOOKUP(Q89,PROYECTOS!$G$1:$K$32,5,0)</f>
        <v>Fortalecimiento de los sistemas de información y la gestión estratégica para el deporte, la recreación y la actividad física de Antioquia</v>
      </c>
      <c r="F89" s="446">
        <f>VLOOKUP(E89,PROYECTOS!$K$1:$M$32,3,0)</f>
        <v>2024003050077</v>
      </c>
      <c r="G89" s="439" t="s">
        <v>228</v>
      </c>
      <c r="H89" s="439" t="str">
        <f>VLOOKUP(Q89,PROYECTOS!$V$1:$W$32,2,0)</f>
        <v>220387</v>
      </c>
      <c r="I89" s="440">
        <v>62225800</v>
      </c>
      <c r="J89" s="442" t="s">
        <v>230</v>
      </c>
      <c r="K89" s="436" t="str">
        <f t="shared" ca="1" si="7"/>
        <v>CONTRATADO</v>
      </c>
      <c r="L89" s="442" t="s">
        <v>112</v>
      </c>
      <c r="M89" s="442" t="s">
        <v>113</v>
      </c>
      <c r="N89" s="447" t="s">
        <v>225</v>
      </c>
      <c r="O89" s="442">
        <f>VLOOKUP(N89,RUBROS[#All],3,0)</f>
        <v>47</v>
      </c>
      <c r="P89" s="448" t="str">
        <f>VLOOKUP(N89,RUBROS[#All],2,0)</f>
        <v xml:space="preserve">Fortalecimiento de los sistemas de información y la gestión estratégica para el deporte, la recreación y la actividad física de Antioquia (Planeación) -Servicios prestados a las empresas y servicios de producción </v>
      </c>
      <c r="Q89" s="436" t="str">
        <f t="shared" si="8"/>
        <v>77</v>
      </c>
      <c r="R89" s="436" t="str">
        <f t="shared" si="9"/>
        <v>0-101024</v>
      </c>
      <c r="S89" s="417">
        <v>6.5</v>
      </c>
      <c r="T89" s="449" t="s">
        <v>46</v>
      </c>
      <c r="U89" s="444" t="e">
        <f ca="1">_xlfn.XLOOKUP(PAA[[#This Row],[ITEM]],Contrato!A:A,Contrato!Q:Q,"",0)</f>
        <v>#NAME?</v>
      </c>
      <c r="V89" s="436" t="s">
        <v>47</v>
      </c>
      <c r="W89" s="436" t="s">
        <v>133</v>
      </c>
      <c r="X89" s="436" t="s">
        <v>133</v>
      </c>
      <c r="Y89" s="445" t="e">
        <f ca="1">_xlfn.XLOOKUP(PAA[[#This Row],[ITEM]],Contrato!A:A,Contrato!B:B,"",0)</f>
        <v>#NAME?</v>
      </c>
      <c r="Z89" s="436" t="e">
        <f ca="1">_xlfn.XLOOKUP(PAA[[#This Row],[ITEM]],Contrato!A:A,Contrato!G:G,"",0)</f>
        <v>#NAME?</v>
      </c>
      <c r="AA89" s="436" t="e">
        <f ca="1">_xlfn.XLOOKUP(PAA[[#This Row],[ITEM]],Contrato!A:A,Contrato!T:T,"",0)</f>
        <v>#NAME?</v>
      </c>
      <c r="AB89" s="445" t="e">
        <f ca="1">+MAX(PAA[[#This Row],[Comprometido Contrato]],)</f>
        <v>#NAME?</v>
      </c>
      <c r="AC89" s="445" t="str">
        <f t="shared" ca="1" si="10"/>
        <v/>
      </c>
      <c r="AD89" s="445" t="e">
        <f ca="1">+MAX(PAA[[#This Row],[Pago por Contrato]],)</f>
        <v>#NAME?</v>
      </c>
      <c r="AE89" s="445" t="str">
        <f t="shared" ca="1" si="11"/>
        <v/>
      </c>
      <c r="AF89" s="436" t="e">
        <f t="shared" ca="1" si="12"/>
        <v>#NAME?</v>
      </c>
      <c r="AG89" s="436">
        <f t="shared" si="13"/>
        <v>52011001</v>
      </c>
      <c r="AH89" s="436" t="e" cm="1">
        <f t="array" aca="1" ref="AH89" ca="1">_xlfn.XLOOKUP(PAA[[#This Row],[RCP-RUBRO]],COMPROMISOS_2025[[#All],[concatenado]],COMPROMISOS_2025[[#All],[Total pagado]],"",0)</f>
        <v>#NAME?</v>
      </c>
      <c r="AI89" s="436" t="e" cm="1">
        <f t="array" aca="1" ref="AI89" ca="1">_xlfn.XLOOKUP(PAA[[#This Row],[RCP-RUBRO]],COMPROMISOS_2025[[#All],[concatenado]],COMPROMISOS_2025[[#All],[Total Comprometido]],"",0)</f>
        <v>#NAME?</v>
      </c>
    </row>
    <row r="90" spans="1:35" s="50" customFormat="1" ht="42" hidden="1" customHeight="1" x14ac:dyDescent="0.25">
      <c r="A90" s="199">
        <v>82</v>
      </c>
      <c r="B90" s="200">
        <v>81112500</v>
      </c>
      <c r="C90" s="199" t="str">
        <f>VLOOKUP(PAA[[#This Row],[PROYECTO (formulado)2]],PROYECTOS!$G$1:$L$32,6,0)</f>
        <v>SUBGERENCIA ADMINISTRATIVA Y FINANCIERA</v>
      </c>
      <c r="D90" s="199" t="str">
        <f>+IF(PAA[[#This Row],[UNIDAD DE CONTRATACION (formulado)]]="Subgerencia Administrativa y Financiera","FUNCIONAMIENTO","INVERSIÓN")</f>
        <v>FUNCIONAMIENTO</v>
      </c>
      <c r="E90" s="201" t="str">
        <f>VLOOKUP(Q90,PROYECTOS!$G$1:$K$32,5,0)</f>
        <v>Fortalecimiento de los sistemas de información y la gestión estratégica para el deporte, la recreación y la actividad física de Antioquia</v>
      </c>
      <c r="F90" s="201">
        <f>VLOOKUP(E90,PROYECTOS!$K$1:$M$32,3,0)</f>
        <v>2024003050077</v>
      </c>
      <c r="G90" s="202" t="s">
        <v>231</v>
      </c>
      <c r="H90" s="202" t="str">
        <f>VLOOKUP(Q90,PROYECTOS!$V$1:$W$32,2,0)</f>
        <v>220387</v>
      </c>
      <c r="I90" s="203">
        <v>0</v>
      </c>
      <c r="J90" s="204" t="s">
        <v>41</v>
      </c>
      <c r="K90" s="199" t="str">
        <f t="shared" ca="1" si="7"/>
        <v>CONTRATADO</v>
      </c>
      <c r="L90" s="204" t="s">
        <v>112</v>
      </c>
      <c r="M90" s="204" t="s">
        <v>142</v>
      </c>
      <c r="N90" s="205" t="s">
        <v>225</v>
      </c>
      <c r="O90" s="204">
        <f>VLOOKUP(N90,RUBROS[#All],3,0)</f>
        <v>47</v>
      </c>
      <c r="P90" s="206" t="str">
        <f>VLOOKUP(N90,RUBROS[#All],2,0)</f>
        <v xml:space="preserve">Fortalecimiento de los sistemas de información y la gestión estratégica para el deporte, la recreación y la actividad física de Antioquia (Planeación) -Servicios prestados a las empresas y servicios de producción </v>
      </c>
      <c r="Q90" s="199" t="str">
        <f t="shared" si="8"/>
        <v>77</v>
      </c>
      <c r="R90" s="199" t="str">
        <f t="shared" si="9"/>
        <v>0-101024</v>
      </c>
      <c r="S90" s="207">
        <v>11</v>
      </c>
      <c r="T90" s="208" t="s">
        <v>46</v>
      </c>
      <c r="U90" s="209" t="e">
        <f ca="1">_xlfn.XLOOKUP(PAA[[#This Row],[ITEM]],Contrato!A:A,Contrato!Q:Q,"",0)</f>
        <v>#NAME?</v>
      </c>
      <c r="V90" s="199" t="s">
        <v>47</v>
      </c>
      <c r="W90" s="199" t="s">
        <v>154</v>
      </c>
      <c r="X90" s="199" t="s">
        <v>154</v>
      </c>
      <c r="Y90" s="210" t="e">
        <f ca="1">_xlfn.XLOOKUP(PAA[[#This Row],[ITEM]],Contrato!A:A,Contrato!B:B,"",0)</f>
        <v>#NAME?</v>
      </c>
      <c r="Z90" s="199" t="e">
        <f ca="1">_xlfn.XLOOKUP(PAA[[#This Row],[ITEM]],Contrato!A:A,Contrato!G:G,"",0)</f>
        <v>#NAME?</v>
      </c>
      <c r="AA90" s="199" t="e">
        <f ca="1">_xlfn.XLOOKUP(PAA[[#This Row],[ITEM]],Contrato!A:A,Contrato!T:T,"",0)</f>
        <v>#NAME?</v>
      </c>
      <c r="AB90" s="210" t="e">
        <f ca="1">+MAX(PAA[[#This Row],[Comprometido Contrato]],)</f>
        <v>#NAME?</v>
      </c>
      <c r="AC90" s="210" t="str">
        <f t="shared" ca="1" si="10"/>
        <v/>
      </c>
      <c r="AD90" s="210" t="e">
        <f ca="1">+MAX(PAA[[#This Row],[Pago por Contrato]],)</f>
        <v>#NAME?</v>
      </c>
      <c r="AE90" s="210" t="str">
        <f t="shared" ca="1" si="11"/>
        <v/>
      </c>
      <c r="AF90" s="199" t="e">
        <f t="shared" ca="1" si="12"/>
        <v>#NAME?</v>
      </c>
      <c r="AG90" s="199">
        <f t="shared" si="13"/>
        <v>52011001</v>
      </c>
      <c r="AH90" s="199" t="e" cm="1">
        <f t="array" aca="1" ref="AH90" ca="1">_xlfn.XLOOKUP(PAA[[#This Row],[RCP-RUBRO]],COMPROMISOS_2025[[#All],[concatenado]],COMPROMISOS_2025[[#All],[Total pagado]],"",0)</f>
        <v>#NAME?</v>
      </c>
      <c r="AI90" s="199" t="e" cm="1">
        <f t="array" aca="1" ref="AI90" ca="1">_xlfn.XLOOKUP(PAA[[#This Row],[RCP-RUBRO]],COMPROMISOS_2025[[#All],[concatenado]],COMPROMISOS_2025[[#All],[Total Comprometido]],"",0)</f>
        <v>#NAME?</v>
      </c>
    </row>
    <row r="91" spans="1:35" s="50" customFormat="1" ht="42" hidden="1" customHeight="1" x14ac:dyDescent="0.25">
      <c r="A91" s="199">
        <v>83</v>
      </c>
      <c r="B91" s="200">
        <v>80111600</v>
      </c>
      <c r="C91" s="199" t="str">
        <f>VLOOKUP(PAA[[#This Row],[PROYECTO (formulado)2]],PROYECTOS!$G$1:$L$32,6,0)</f>
        <v>SUBGERENCIA ADMINISTRATIVA Y FINANCIERA</v>
      </c>
      <c r="D91" s="199" t="str">
        <f>+IF(PAA[[#This Row],[UNIDAD DE CONTRATACION (formulado)]]="Subgerencia Administrativa y Financiera","FUNCIONAMIENTO","INVERSIÓN")</f>
        <v>FUNCIONAMIENTO</v>
      </c>
      <c r="E91" s="201" t="str">
        <f>VLOOKUP(Q91,PROYECTOS!$G$1:$K$32,5,0)</f>
        <v>Fortalecimiento de los sistemas de información y la gestión estratégica para el deporte, la recreación y la actividad física de Antioquia</v>
      </c>
      <c r="F91" s="201">
        <f>VLOOKUP(E91,PROYECTOS!$K$1:$M$32,3,0)</f>
        <v>2024003050077</v>
      </c>
      <c r="G91" s="202" t="s">
        <v>232</v>
      </c>
      <c r="H91" s="202" t="str">
        <f>VLOOKUP(Q91,PROYECTOS!$V$1:$W$32,2,0)</f>
        <v>220387</v>
      </c>
      <c r="I91" s="203">
        <f>48890270+2221404+4549646</f>
        <v>55661320</v>
      </c>
      <c r="J91" s="204" t="s">
        <v>233</v>
      </c>
      <c r="K91" s="199" t="str">
        <f t="shared" ca="1" si="7"/>
        <v>CONTRATADO</v>
      </c>
      <c r="L91" s="204" t="s">
        <v>112</v>
      </c>
      <c r="M91" s="204" t="s">
        <v>113</v>
      </c>
      <c r="N91" s="205" t="s">
        <v>234</v>
      </c>
      <c r="O91" s="204">
        <f>VLOOKUP(N91,RUBROS[#All],3,0)</f>
        <v>49</v>
      </c>
      <c r="P91" s="206" t="str">
        <f>VLOOKUP(N91,RUBROS[#All],2,0)</f>
        <v xml:space="preserve">Fortalecimiento de los sistemas de información y la gestión estratégica para el deporte, la recreación y la actividad física de Antioquia (Planeación)  -Servicios prestados a las empresas y servicios de producción </v>
      </c>
      <c r="Q91" s="199" t="str">
        <f t="shared" si="8"/>
        <v>77</v>
      </c>
      <c r="R91" s="199" t="str">
        <f t="shared" si="9"/>
        <v>0-205128</v>
      </c>
      <c r="S91" s="207">
        <v>222</v>
      </c>
      <c r="T91" s="208" t="s">
        <v>220</v>
      </c>
      <c r="U91" s="209" t="e">
        <f ca="1">_xlfn.XLOOKUP(PAA[[#This Row],[ITEM]],Contrato!A:A,Contrato!Q:Q,"",0)</f>
        <v>#NAME?</v>
      </c>
      <c r="V91" s="199" t="s">
        <v>47</v>
      </c>
      <c r="W91" s="199" t="s">
        <v>48</v>
      </c>
      <c r="X91" s="199" t="s">
        <v>48</v>
      </c>
      <c r="Y91" s="210" t="e">
        <f ca="1">_xlfn.XLOOKUP(PAA[[#This Row],[ITEM]],Contrato!A:A,Contrato!B:B,"",0)</f>
        <v>#NAME?</v>
      </c>
      <c r="Z91" s="199" t="e">
        <f ca="1">_xlfn.XLOOKUP(PAA[[#This Row],[ITEM]],Contrato!A:A,Contrato!G:G,"",0)</f>
        <v>#NAME?</v>
      </c>
      <c r="AA91" s="199" t="e">
        <f ca="1">_xlfn.XLOOKUP(PAA[[#This Row],[ITEM]],Contrato!A:A,Contrato!T:T,"",0)</f>
        <v>#NAME?</v>
      </c>
      <c r="AB91" s="210" t="e">
        <f ca="1">+MAX(PAA[[#This Row],[Comprometido Contrato]],)</f>
        <v>#NAME?</v>
      </c>
      <c r="AC91" s="210" t="str">
        <f t="shared" ca="1" si="10"/>
        <v/>
      </c>
      <c r="AD91" s="210" t="e">
        <f ca="1">+MAX(PAA[[#This Row],[Pago por Contrato]],)</f>
        <v>#NAME?</v>
      </c>
      <c r="AE91" s="210" t="str">
        <f t="shared" ca="1" si="11"/>
        <v/>
      </c>
      <c r="AF91" s="199" t="e">
        <f t="shared" ca="1" si="12"/>
        <v>#NAME?</v>
      </c>
      <c r="AG91" s="199">
        <f t="shared" si="13"/>
        <v>52011001</v>
      </c>
      <c r="AH91" s="199" t="e" cm="1">
        <f t="array" aca="1" ref="AH91" ca="1">_xlfn.XLOOKUP(PAA[[#This Row],[RCP-RUBRO]],COMPROMISOS_2025[[#All],[concatenado]],COMPROMISOS_2025[[#All],[Total pagado]],"",0)</f>
        <v>#NAME?</v>
      </c>
      <c r="AI91" s="199" t="e" cm="1">
        <f t="array" aca="1" ref="AI91" ca="1">_xlfn.XLOOKUP(PAA[[#This Row],[RCP-RUBRO]],COMPROMISOS_2025[[#All],[concatenado]],COMPROMISOS_2025[[#All],[Total Comprometido]],"",0)</f>
        <v>#NAME?</v>
      </c>
    </row>
    <row r="92" spans="1:35" s="50" customFormat="1" ht="42" hidden="1" customHeight="1" x14ac:dyDescent="0.25">
      <c r="A92" s="199">
        <v>84</v>
      </c>
      <c r="B92" s="200">
        <v>80111600</v>
      </c>
      <c r="C92" s="199" t="str">
        <f>VLOOKUP(PAA[[#This Row],[PROYECTO (formulado)2]],PROYECTOS!$G$1:$L$32,6,0)</f>
        <v>SUBGERENCIA ADMINISTRATIVA Y FINANCIERA</v>
      </c>
      <c r="D92" s="199" t="str">
        <f>+IF(PAA[[#This Row],[UNIDAD DE CONTRATACION (formulado)]]="Subgerencia Administrativa y Financiera","FUNCIONAMIENTO","INVERSIÓN")</f>
        <v>FUNCIONAMIENTO</v>
      </c>
      <c r="E92" s="201" t="str">
        <f>VLOOKUP(Q92,PROYECTOS!$G$1:$K$32,5,0)</f>
        <v>Fortalecimiento de los sistemas de información y la gestión estratégica para el deporte, la recreación y la actividad física de Antioquia</v>
      </c>
      <c r="F92" s="201">
        <f>VLOOKUP(E92,PROYECTOS!$K$1:$M$32,3,0)</f>
        <v>2024003050077</v>
      </c>
      <c r="G92" s="202" t="s">
        <v>232</v>
      </c>
      <c r="H92" s="202" t="str">
        <f>VLOOKUP(Q92,PROYECTOS!$V$1:$W$32,2,0)</f>
        <v>220387</v>
      </c>
      <c r="I92" s="203">
        <f>48890270+21951410</f>
        <v>70841680</v>
      </c>
      <c r="J92" s="204" t="s">
        <v>235</v>
      </c>
      <c r="K92" s="199" t="str">
        <f t="shared" ca="1" si="7"/>
        <v>CONTRATADO</v>
      </c>
      <c r="L92" s="204" t="s">
        <v>112</v>
      </c>
      <c r="M92" s="204" t="s">
        <v>113</v>
      </c>
      <c r="N92" s="205" t="s">
        <v>234</v>
      </c>
      <c r="O92" s="204">
        <f>VLOOKUP(N92,RUBROS[#All],3,0)</f>
        <v>49</v>
      </c>
      <c r="P92" s="206" t="str">
        <f>VLOOKUP(N92,RUBROS[#All],2,0)</f>
        <v xml:space="preserve">Fortalecimiento de los sistemas de información y la gestión estratégica para el deporte, la recreación y la actividad física de Antioquia (Planeación)  -Servicios prestados a las empresas y servicios de producción </v>
      </c>
      <c r="Q92" s="199" t="str">
        <f t="shared" si="8"/>
        <v>77</v>
      </c>
      <c r="R92" s="199" t="str">
        <f t="shared" si="9"/>
        <v>0-205128</v>
      </c>
      <c r="S92" s="207">
        <v>222</v>
      </c>
      <c r="T92" s="208" t="s">
        <v>220</v>
      </c>
      <c r="U92" s="209" t="e">
        <f ca="1">_xlfn.XLOOKUP(PAA[[#This Row],[ITEM]],Contrato!A:A,Contrato!Q:Q,"",0)</f>
        <v>#NAME?</v>
      </c>
      <c r="V92" s="199" t="s">
        <v>47</v>
      </c>
      <c r="W92" s="199" t="s">
        <v>48</v>
      </c>
      <c r="X92" s="199" t="s">
        <v>48</v>
      </c>
      <c r="Y92" s="210" t="e">
        <f ca="1">_xlfn.XLOOKUP(PAA[[#This Row],[ITEM]],Contrato!A:A,Contrato!B:B,"",0)</f>
        <v>#NAME?</v>
      </c>
      <c r="Z92" s="199" t="e">
        <f ca="1">_xlfn.XLOOKUP(PAA[[#This Row],[ITEM]],Contrato!A:A,Contrato!G:G,"",0)</f>
        <v>#NAME?</v>
      </c>
      <c r="AA92" s="199" t="e">
        <f ca="1">_xlfn.XLOOKUP(PAA[[#This Row],[ITEM]],Contrato!A:A,Contrato!T:T,"",0)</f>
        <v>#NAME?</v>
      </c>
      <c r="AB92" s="210" t="e">
        <f ca="1">+MAX(PAA[[#This Row],[Comprometido Contrato]],)</f>
        <v>#NAME?</v>
      </c>
      <c r="AC92" s="210" t="str">
        <f t="shared" ca="1" si="10"/>
        <v/>
      </c>
      <c r="AD92" s="210" t="e">
        <f ca="1">+MAX(PAA[[#This Row],[Pago por Contrato]],)</f>
        <v>#NAME?</v>
      </c>
      <c r="AE92" s="210" t="str">
        <f t="shared" ca="1" si="11"/>
        <v/>
      </c>
      <c r="AF92" s="199" t="e">
        <f t="shared" ca="1" si="12"/>
        <v>#NAME?</v>
      </c>
      <c r="AG92" s="199">
        <f t="shared" si="13"/>
        <v>52011001</v>
      </c>
      <c r="AH92" s="199" t="e" cm="1">
        <f t="array" aca="1" ref="AH92" ca="1">_xlfn.XLOOKUP(PAA[[#This Row],[RCP-RUBRO]],COMPROMISOS_2025[[#All],[concatenado]],COMPROMISOS_2025[[#All],[Total pagado]],"",0)</f>
        <v>#NAME?</v>
      </c>
      <c r="AI92" s="199" t="e" cm="1">
        <f t="array" aca="1" ref="AI92" ca="1">_xlfn.XLOOKUP(PAA[[#This Row],[RCP-RUBRO]],COMPROMISOS_2025[[#All],[concatenado]],COMPROMISOS_2025[[#All],[Total Comprometido]],"",0)</f>
        <v>#NAME?</v>
      </c>
    </row>
    <row r="93" spans="1:35" s="50" customFormat="1" ht="42" hidden="1" customHeight="1" x14ac:dyDescent="0.25">
      <c r="A93" s="326">
        <v>85</v>
      </c>
      <c r="B93" s="325">
        <v>80161500</v>
      </c>
      <c r="C93" s="326" t="str">
        <f>VLOOKUP(PAA[[#This Row],[PROYECTO (formulado)2]],PROYECTOS!$G$1:$L$32,6,0)</f>
        <v>SUBGERENCIA ADMINISTRATIVA Y FINANCIERA</v>
      </c>
      <c r="D93" s="326" t="str">
        <f>+IF(PAA[[#This Row],[UNIDAD DE CONTRATACION (formulado)]]="Subgerencia Administrativa y Financiera","FUNCIONAMIENTO","INVERSIÓN")</f>
        <v>FUNCIONAMIENTO</v>
      </c>
      <c r="E93" s="327" t="str">
        <f>VLOOKUP(Q93,PROYECTOS!$G$1:$K$32,5,0)</f>
        <v>Fortalecimiento de los sistemas de información y la gestión estratégica para el deporte, la recreación y la actividad física de Antioquia</v>
      </c>
      <c r="F93" s="327">
        <f>VLOOKUP(E93,PROYECTOS!$K$1:$M$32,3,0)</f>
        <v>2024003050077</v>
      </c>
      <c r="G93" s="328" t="s">
        <v>236</v>
      </c>
      <c r="H93" s="328" t="str">
        <f>VLOOKUP(Q93,PROYECTOS!$V$1:$W$32,2,0)</f>
        <v>220387</v>
      </c>
      <c r="I93" s="329">
        <v>26326496</v>
      </c>
      <c r="J93" s="330" t="s">
        <v>237</v>
      </c>
      <c r="K93" s="326" t="str">
        <f t="shared" ca="1" si="7"/>
        <v>CONTRATADO</v>
      </c>
      <c r="L93" s="330" t="s">
        <v>112</v>
      </c>
      <c r="M93" s="330" t="s">
        <v>125</v>
      </c>
      <c r="N93" s="331" t="s">
        <v>234</v>
      </c>
      <c r="O93" s="330">
        <f>VLOOKUP(N93,RUBROS[#All],3,0)</f>
        <v>49</v>
      </c>
      <c r="P93" s="332" t="str">
        <f>VLOOKUP(N93,RUBROS[#All],2,0)</f>
        <v xml:space="preserve">Fortalecimiento de los sistemas de información y la gestión estratégica para el deporte, la recreación y la actividad física de Antioquia (Planeación)  -Servicios prestados a las empresas y servicios de producción </v>
      </c>
      <c r="Q93" s="326" t="str">
        <f t="shared" si="8"/>
        <v>77</v>
      </c>
      <c r="R93" s="326" t="str">
        <f t="shared" si="9"/>
        <v>0-205128</v>
      </c>
      <c r="S93" s="333">
        <v>6</v>
      </c>
      <c r="T93" s="337" t="s">
        <v>46</v>
      </c>
      <c r="U93" s="335" t="e">
        <f ca="1">_xlfn.XLOOKUP(PAA[[#This Row],[ITEM]],Contrato!A:A,Contrato!Q:Q,"",0)</f>
        <v>#NAME?</v>
      </c>
      <c r="V93" s="326" t="s">
        <v>47</v>
      </c>
      <c r="W93" s="326" t="s">
        <v>133</v>
      </c>
      <c r="X93" s="326" t="s">
        <v>133</v>
      </c>
      <c r="Y93" s="336" t="e">
        <f ca="1">_xlfn.XLOOKUP(PAA[[#This Row],[ITEM]],Contrato!A:A,Contrato!B:B,"",0)</f>
        <v>#NAME?</v>
      </c>
      <c r="Z93" s="326" t="e">
        <f ca="1">_xlfn.XLOOKUP(PAA[[#This Row],[ITEM]],Contrato!A:A,Contrato!G:G,"",0)</f>
        <v>#NAME?</v>
      </c>
      <c r="AA93" s="326" t="e">
        <f ca="1">_xlfn.XLOOKUP(PAA[[#This Row],[ITEM]],Contrato!A:A,Contrato!T:T,"",0)</f>
        <v>#NAME?</v>
      </c>
      <c r="AB93" s="336" t="e">
        <f ca="1">+MAX(PAA[[#This Row],[Comprometido Contrato]],)</f>
        <v>#NAME?</v>
      </c>
      <c r="AC93" s="336" t="str">
        <f t="shared" ca="1" si="10"/>
        <v/>
      </c>
      <c r="AD93" s="336" t="e">
        <f ca="1">+MAX(PAA[[#This Row],[Pago por Contrato]],)</f>
        <v>#NAME?</v>
      </c>
      <c r="AE93" s="336" t="str">
        <f t="shared" ca="1" si="11"/>
        <v/>
      </c>
      <c r="AF93" s="326" t="e">
        <f t="shared" ca="1" si="12"/>
        <v>#NAME?</v>
      </c>
      <c r="AG93" s="326">
        <f t="shared" si="13"/>
        <v>52011001</v>
      </c>
      <c r="AH93" s="326" t="e" cm="1">
        <f t="array" aca="1" ref="AH93" ca="1">_xlfn.XLOOKUP(PAA[[#This Row],[RCP-RUBRO]],COMPROMISOS_2025[[#All],[concatenado]],COMPROMISOS_2025[[#All],[Total pagado]],"",0)</f>
        <v>#NAME?</v>
      </c>
      <c r="AI93" s="326" t="e" cm="1">
        <f t="array" aca="1" ref="AI93" ca="1">_xlfn.XLOOKUP(PAA[[#This Row],[RCP-RUBRO]],COMPROMISOS_2025[[#All],[concatenado]],COMPROMISOS_2025[[#All],[Total Comprometido]],"",0)</f>
        <v>#NAME?</v>
      </c>
    </row>
    <row r="94" spans="1:35" s="50" customFormat="1" ht="42" hidden="1" customHeight="1" x14ac:dyDescent="0.25">
      <c r="A94" s="199">
        <v>86</v>
      </c>
      <c r="B94" s="200">
        <v>81112500</v>
      </c>
      <c r="C94" s="199" t="str">
        <f>VLOOKUP(PAA[[#This Row],[PROYECTO (formulado)2]],PROYECTOS!$G$1:$L$32,6,0)</f>
        <v>SUBGERENCIA ADMINISTRATIVA Y FINANCIERA</v>
      </c>
      <c r="D94" s="199" t="str">
        <f>+IF(PAA[[#This Row],[UNIDAD DE CONTRATACION (formulado)]]="Subgerencia Administrativa y Financiera","FUNCIONAMIENTO","INVERSIÓN")</f>
        <v>FUNCIONAMIENTO</v>
      </c>
      <c r="E94" s="201" t="str">
        <f>VLOOKUP(Q94,PROYECTOS!$G$1:$K$32,5,0)</f>
        <v>Fortalecimiento de los sistemas de información y la gestión estratégica para el deporte, la recreación y la actividad física de Antioquia</v>
      </c>
      <c r="F94" s="201">
        <f>VLOOKUP(E94,PROYECTOS!$K$1:$M$32,3,0)</f>
        <v>2024003050077</v>
      </c>
      <c r="G94" s="202" t="s">
        <v>236</v>
      </c>
      <c r="H94" s="202" t="str">
        <f>VLOOKUP(Q94,PROYECTOS!$V$1:$W$32,2,0)</f>
        <v>220387</v>
      </c>
      <c r="I94" s="203">
        <v>0</v>
      </c>
      <c r="J94" s="204" t="s">
        <v>41</v>
      </c>
      <c r="K94" s="199" t="str">
        <f t="shared" ca="1" si="7"/>
        <v>CONTRATADO</v>
      </c>
      <c r="L94" s="204" t="s">
        <v>112</v>
      </c>
      <c r="M94" s="204" t="s">
        <v>125</v>
      </c>
      <c r="N94" s="205" t="s">
        <v>234</v>
      </c>
      <c r="O94" s="204">
        <f>VLOOKUP(N94,RUBROS[#All],3,0)</f>
        <v>49</v>
      </c>
      <c r="P94" s="206" t="str">
        <f>VLOOKUP(N94,RUBROS[#All],2,0)</f>
        <v xml:space="preserve">Fortalecimiento de los sistemas de información y la gestión estratégica para el deporte, la recreación y la actividad física de Antioquia (Planeación)  -Servicios prestados a las empresas y servicios de producción </v>
      </c>
      <c r="Q94" s="199" t="str">
        <f t="shared" si="8"/>
        <v>77</v>
      </c>
      <c r="R94" s="199" t="str">
        <f t="shared" si="9"/>
        <v>0-205128</v>
      </c>
      <c r="S94" s="207" t="s">
        <v>41</v>
      </c>
      <c r="T94" s="208" t="s">
        <v>41</v>
      </c>
      <c r="U94" s="209" t="e">
        <f ca="1">_xlfn.XLOOKUP(PAA[[#This Row],[ITEM]],Contrato!A:A,Contrato!Q:Q,"",0)</f>
        <v>#NAME?</v>
      </c>
      <c r="V94" s="199" t="s">
        <v>47</v>
      </c>
      <c r="W94" s="199" t="s">
        <v>48</v>
      </c>
      <c r="X94" s="199" t="s">
        <v>48</v>
      </c>
      <c r="Y94" s="210" t="e">
        <f ca="1">_xlfn.XLOOKUP(PAA[[#This Row],[ITEM]],Contrato!A:A,Contrato!B:B,"",0)</f>
        <v>#NAME?</v>
      </c>
      <c r="Z94" s="199" t="e">
        <f ca="1">_xlfn.XLOOKUP(PAA[[#This Row],[ITEM]],Contrato!A:A,Contrato!G:G,"",0)</f>
        <v>#NAME?</v>
      </c>
      <c r="AA94" s="199" t="e">
        <f ca="1">_xlfn.XLOOKUP(PAA[[#This Row],[ITEM]],Contrato!A:A,Contrato!T:T,"",0)</f>
        <v>#NAME?</v>
      </c>
      <c r="AB94" s="210" t="e">
        <f ca="1">+MAX(PAA[[#This Row],[Comprometido Contrato]],)</f>
        <v>#NAME?</v>
      </c>
      <c r="AC94" s="210" t="str">
        <f t="shared" ca="1" si="10"/>
        <v/>
      </c>
      <c r="AD94" s="210" t="e">
        <f ca="1">+MAX(PAA[[#This Row],[Pago por Contrato]],)</f>
        <v>#NAME?</v>
      </c>
      <c r="AE94" s="210" t="str">
        <f t="shared" ca="1" si="11"/>
        <v/>
      </c>
      <c r="AF94" s="199" t="e">
        <f t="shared" ca="1" si="12"/>
        <v>#NAME?</v>
      </c>
      <c r="AG94" s="199">
        <f t="shared" si="13"/>
        <v>52011001</v>
      </c>
      <c r="AH94" s="199" t="e" cm="1">
        <f t="array" aca="1" ref="AH94" ca="1">_xlfn.XLOOKUP(PAA[[#This Row],[RCP-RUBRO]],COMPROMISOS_2025[[#All],[concatenado]],COMPROMISOS_2025[[#All],[Total pagado]],"",0)</f>
        <v>#NAME?</v>
      </c>
      <c r="AI94" s="199" t="e" cm="1">
        <f t="array" aca="1" ref="AI94" ca="1">_xlfn.XLOOKUP(PAA[[#This Row],[RCP-RUBRO]],COMPROMISOS_2025[[#All],[concatenado]],COMPROMISOS_2025[[#All],[Total Comprometido]],"",0)</f>
        <v>#NAME?</v>
      </c>
    </row>
    <row r="95" spans="1:35" s="50" customFormat="1" ht="42" hidden="1" customHeight="1" x14ac:dyDescent="0.25">
      <c r="A95" s="326">
        <v>87</v>
      </c>
      <c r="B95" s="325">
        <v>80111600</v>
      </c>
      <c r="C95" s="326" t="str">
        <f>VLOOKUP(PAA[[#This Row],[PROYECTO (formulado)2]],PROYECTOS!$G$1:$L$32,6,0)</f>
        <v>SUBGERENCIA ADMINISTRATIVA Y FINANCIERA</v>
      </c>
      <c r="D95" s="326" t="str">
        <f>+IF(PAA[[#This Row],[UNIDAD DE CONTRATACION (formulado)]]="Subgerencia Administrativa y Financiera","FUNCIONAMIENTO","INVERSIÓN")</f>
        <v>FUNCIONAMIENTO</v>
      </c>
      <c r="E95" s="327" t="str">
        <f>VLOOKUP(Q95,PROYECTOS!$G$1:$K$32,5,0)</f>
        <v>Fortalecimiento de los sistemas de información y la gestión estratégica para el deporte, la recreación y la actividad física de Antioquia</v>
      </c>
      <c r="F95" s="327">
        <f>VLOOKUP(E95,PROYECTOS!$K$1:$M$32,3,0)</f>
        <v>2024003050077</v>
      </c>
      <c r="G95" s="328" t="s">
        <v>232</v>
      </c>
      <c r="H95" s="328" t="str">
        <f>VLOOKUP(Q95,PROYECTOS!$V$1:$W$32,2,0)</f>
        <v>220387</v>
      </c>
      <c r="I95" s="329">
        <v>10436602</v>
      </c>
      <c r="J95" s="330" t="s">
        <v>238</v>
      </c>
      <c r="K95" s="326" t="str">
        <f t="shared" ca="1" si="7"/>
        <v>CONTRATADO</v>
      </c>
      <c r="L95" s="330" t="s">
        <v>112</v>
      </c>
      <c r="M95" s="330" t="s">
        <v>113</v>
      </c>
      <c r="N95" s="331" t="s">
        <v>225</v>
      </c>
      <c r="O95" s="330">
        <f>VLOOKUP(N95,RUBROS[#All],3,0)</f>
        <v>47</v>
      </c>
      <c r="P95" s="332" t="str">
        <f>VLOOKUP(N95,RUBROS[#All],2,0)</f>
        <v xml:space="preserve">Fortalecimiento de los sistemas de información y la gestión estratégica para el deporte, la recreación y la actividad física de Antioquia (Planeación) -Servicios prestados a las empresas y servicios de producción </v>
      </c>
      <c r="Q95" s="326" t="str">
        <f t="shared" si="8"/>
        <v>77</v>
      </c>
      <c r="R95" s="326" t="str">
        <f t="shared" si="9"/>
        <v>0-101024</v>
      </c>
      <c r="S95" s="333">
        <v>222</v>
      </c>
      <c r="T95" s="342" t="s">
        <v>220</v>
      </c>
      <c r="U95" s="335" t="e">
        <f ca="1">_xlfn.XLOOKUP(PAA[[#This Row],[ITEM]],Contrato!A:A,Contrato!Q:Q,"",0)</f>
        <v>#NAME?</v>
      </c>
      <c r="V95" s="326" t="s">
        <v>47</v>
      </c>
      <c r="W95" s="326" t="s">
        <v>127</v>
      </c>
      <c r="X95" s="326" t="s">
        <v>127</v>
      </c>
      <c r="Y95" s="336" t="e">
        <f ca="1">_xlfn.XLOOKUP(PAA[[#This Row],[ITEM]],Contrato!A:A,Contrato!B:B,"",0)</f>
        <v>#NAME?</v>
      </c>
      <c r="Z95" s="326" t="e">
        <f ca="1">_xlfn.XLOOKUP(PAA[[#This Row],[ITEM]],Contrato!A:A,Contrato!G:G,"",0)</f>
        <v>#NAME?</v>
      </c>
      <c r="AA95" s="326" t="e">
        <f ca="1">_xlfn.XLOOKUP(PAA[[#This Row],[ITEM]],Contrato!A:A,Contrato!T:T,"",0)</f>
        <v>#NAME?</v>
      </c>
      <c r="AB95" s="336" t="e">
        <f ca="1">+MAX(PAA[[#This Row],[Comprometido Contrato]],)</f>
        <v>#NAME?</v>
      </c>
      <c r="AC95" s="336" t="str">
        <f t="shared" ca="1" si="10"/>
        <v/>
      </c>
      <c r="AD95" s="336" t="e">
        <f ca="1">+MAX(PAA[[#This Row],[Pago por Contrato]],)</f>
        <v>#NAME?</v>
      </c>
      <c r="AE95" s="336" t="str">
        <f t="shared" ca="1" si="11"/>
        <v/>
      </c>
      <c r="AF95" s="326" t="e">
        <f t="shared" ca="1" si="12"/>
        <v>#NAME?</v>
      </c>
      <c r="AG95" s="326">
        <f t="shared" si="13"/>
        <v>52011001</v>
      </c>
      <c r="AH95" s="326" t="e" cm="1">
        <f t="array" aca="1" ref="AH95" ca="1">_xlfn.XLOOKUP(PAA[[#This Row],[RCP-RUBRO]],COMPROMISOS_2025[[#All],[concatenado]],COMPROMISOS_2025[[#All],[Total pagado]],"",0)</f>
        <v>#NAME?</v>
      </c>
      <c r="AI95" s="326" t="e" cm="1">
        <f t="array" aca="1" ref="AI95" ca="1">_xlfn.XLOOKUP(PAA[[#This Row],[RCP-RUBRO]],COMPROMISOS_2025[[#All],[concatenado]],COMPROMISOS_2025[[#All],[Total Comprometido]],"",0)</f>
        <v>#NAME?</v>
      </c>
    </row>
    <row r="96" spans="1:35" s="50" customFormat="1" ht="42" hidden="1" customHeight="1" x14ac:dyDescent="0.25">
      <c r="A96" s="326">
        <v>87</v>
      </c>
      <c r="B96" s="325">
        <v>80111600</v>
      </c>
      <c r="C96" s="326" t="str">
        <f>VLOOKUP(PAA[[#This Row],[PROYECTO (formulado)2]],PROYECTOS!$G$1:$L$32,6,0)</f>
        <v>SUBGERENCIA ADMINISTRATIVA Y FINANCIERA</v>
      </c>
      <c r="D96" s="326" t="str">
        <f>+IF(PAA[[#This Row],[UNIDAD DE CONTRATACION (formulado)]]="Subgerencia Administrativa y Financiera","FUNCIONAMIENTO","INVERSIÓN")</f>
        <v>FUNCIONAMIENTO</v>
      </c>
      <c r="E96" s="327" t="str">
        <f>VLOOKUP(Q96,PROYECTOS!$G$1:$K$32,5,0)</f>
        <v>Fortalecimiento de los sistemas de información y la gestión estratégica para el deporte, la recreación y la actividad física de Antioquia</v>
      </c>
      <c r="F96" s="327">
        <f>VLOOKUP(E96,PROYECTOS!$K$1:$M$32,3,0)</f>
        <v>2024003050077</v>
      </c>
      <c r="G96" s="328" t="s">
        <v>232</v>
      </c>
      <c r="H96" s="328" t="str">
        <f>VLOOKUP(Q96,PROYECTOS!$V$1:$W$32,2,0)</f>
        <v>220387</v>
      </c>
      <c r="I96" s="329">
        <v>27172448</v>
      </c>
      <c r="J96" s="330" t="s">
        <v>238</v>
      </c>
      <c r="K96" s="326" t="str">
        <f t="shared" ca="1" si="7"/>
        <v>CONTRATADO</v>
      </c>
      <c r="L96" s="330" t="s">
        <v>112</v>
      </c>
      <c r="M96" s="330" t="s">
        <v>113</v>
      </c>
      <c r="N96" s="331" t="s">
        <v>234</v>
      </c>
      <c r="O96" s="330">
        <f>VLOOKUP(N96,RUBROS[#All],3,0)</f>
        <v>49</v>
      </c>
      <c r="P96" s="332" t="str">
        <f>VLOOKUP(N96,RUBROS[#All],2,0)</f>
        <v xml:space="preserve">Fortalecimiento de los sistemas de información y la gestión estratégica para el deporte, la recreación y la actividad física de Antioquia (Planeación)  -Servicios prestados a las empresas y servicios de producción </v>
      </c>
      <c r="Q96" s="326" t="str">
        <f t="shared" si="8"/>
        <v>77</v>
      </c>
      <c r="R96" s="326" t="str">
        <f t="shared" si="9"/>
        <v>0-205128</v>
      </c>
      <c r="S96" s="333">
        <v>222</v>
      </c>
      <c r="T96" s="342" t="s">
        <v>220</v>
      </c>
      <c r="U96" s="335" t="e">
        <f ca="1">_xlfn.XLOOKUP(PAA[[#This Row],[ITEM]],Contrato!A:A,Contrato!Q:Q,"",0)</f>
        <v>#NAME?</v>
      </c>
      <c r="V96" s="326" t="s">
        <v>47</v>
      </c>
      <c r="W96" s="326" t="s">
        <v>127</v>
      </c>
      <c r="X96" s="326" t="s">
        <v>127</v>
      </c>
      <c r="Y96" s="336" t="e">
        <f ca="1">_xlfn.XLOOKUP(PAA[[#This Row],[ITEM]],Contrato!A:A,Contrato!B:B,"",0)</f>
        <v>#NAME?</v>
      </c>
      <c r="Z96" s="326" t="e">
        <f ca="1">_xlfn.XLOOKUP(PAA[[#This Row],[ITEM]],Contrato!A:A,Contrato!G:G,"",0)</f>
        <v>#NAME?</v>
      </c>
      <c r="AA96" s="326" t="e">
        <f ca="1">_xlfn.XLOOKUP(PAA[[#This Row],[ITEM]],Contrato!A:A,Contrato!T:T,"",0)</f>
        <v>#NAME?</v>
      </c>
      <c r="AB96" s="336" t="e">
        <f ca="1">+MAX(PAA[[#This Row],[Comprometido Contrato]],)</f>
        <v>#NAME?</v>
      </c>
      <c r="AC96" s="336" t="str">
        <f t="shared" ca="1" si="10"/>
        <v/>
      </c>
      <c r="AD96" s="336" t="e">
        <f ca="1">+MAX(PAA[[#This Row],[Pago por Contrato]],)</f>
        <v>#NAME?</v>
      </c>
      <c r="AE96" s="336" t="str">
        <f t="shared" ca="1" si="11"/>
        <v/>
      </c>
      <c r="AF96" s="326" t="e">
        <f t="shared" ca="1" si="12"/>
        <v>#NAME?</v>
      </c>
      <c r="AG96" s="326">
        <f t="shared" si="13"/>
        <v>52011001</v>
      </c>
      <c r="AH96" s="326" t="e" cm="1">
        <f t="array" aca="1" ref="AH96" ca="1">_xlfn.XLOOKUP(PAA[[#This Row],[RCP-RUBRO]],COMPROMISOS_2025[[#All],[concatenado]],COMPROMISOS_2025[[#All],[Total pagado]],"",0)</f>
        <v>#NAME?</v>
      </c>
      <c r="AI96" s="326" t="e" cm="1">
        <f t="array" aca="1" ref="AI96" ca="1">_xlfn.XLOOKUP(PAA[[#This Row],[RCP-RUBRO]],COMPROMISOS_2025[[#All],[concatenado]],COMPROMISOS_2025[[#All],[Total Comprometido]],"",0)</f>
        <v>#NAME?</v>
      </c>
    </row>
    <row r="97" spans="1:35" s="50" customFormat="1" ht="42" hidden="1" customHeight="1" x14ac:dyDescent="0.25">
      <c r="A97" s="57">
        <v>88</v>
      </c>
      <c r="B97" s="186">
        <v>72101500</v>
      </c>
      <c r="C97" s="57" t="str">
        <f>VLOOKUP(PAA[[#This Row],[PROYECTO (formulado)2]],PROYECTOS!$G$1:$L$32,6,0)</f>
        <v>SUBGERENCIA ESCENARIOS DEPORTIVOS Y EQUIPAMIENTOS</v>
      </c>
      <c r="D97" s="57" t="str">
        <f>+IF(PAA[[#This Row],[UNIDAD DE CONTRATACION (formulado)]]="Subgerencia Administrativa y Financiera","FUNCIONAMIENTO","INVERSIÓN")</f>
        <v>INVERSIÓN</v>
      </c>
      <c r="E97" s="153" t="str">
        <f>VLOOKUP(Q97,PROYECTOS!$G$1:$K$32,5,0)</f>
        <v>Mantenimiento, adecuación, mejoras de escenarios deportivos o equipamientos en el departamento de Antioquia</v>
      </c>
      <c r="F97" s="153">
        <f>VLOOKUP(E97,PROYECTOS!$K$1:$M$32,3,0)</f>
        <v>2024003050075</v>
      </c>
      <c r="G97" s="154" t="s">
        <v>239</v>
      </c>
      <c r="H97" s="154" t="str">
        <f>VLOOKUP(Q97,PROYECTOS!$V$1:$W$32,2,0)</f>
        <v>050070</v>
      </c>
      <c r="I97" s="143">
        <v>170000000</v>
      </c>
      <c r="J97" s="155" t="s">
        <v>240</v>
      </c>
      <c r="K97" s="57" t="str">
        <f t="shared" ca="1" si="7"/>
        <v>CONTRATADO</v>
      </c>
      <c r="L97" s="155" t="s">
        <v>112</v>
      </c>
      <c r="M97" s="155" t="s">
        <v>241</v>
      </c>
      <c r="N97" s="142" t="s">
        <v>242</v>
      </c>
      <c r="O97" s="155">
        <f>VLOOKUP(N97,RUBROS[#All],3,0)</f>
        <v>89</v>
      </c>
      <c r="P97" s="156" t="str">
        <f>VLOOKUP(N97,RUBROS[#All],2,0)</f>
        <v>Mantenimiento, adecuación, mejoras de escenarios deportivos o equipamientos en el departamento de Antioquia -Construcción y servicios de la construcción</v>
      </c>
      <c r="Q97" s="57" t="str">
        <f t="shared" si="8"/>
        <v>75</v>
      </c>
      <c r="R97" s="57" t="str">
        <f t="shared" si="9"/>
        <v>0-205128</v>
      </c>
      <c r="S97" s="152">
        <v>11</v>
      </c>
      <c r="T97" s="157" t="s">
        <v>46</v>
      </c>
      <c r="U97" s="162" t="e">
        <f ca="1">_xlfn.XLOOKUP(PAA[[#This Row],[ITEM]],Contrato!A:A,Contrato!Q:Q,"",0)</f>
        <v>#NAME?</v>
      </c>
      <c r="V97" s="57" t="s">
        <v>47</v>
      </c>
      <c r="W97" s="57" t="s">
        <v>48</v>
      </c>
      <c r="X97" s="57" t="s">
        <v>48</v>
      </c>
      <c r="Y97" s="58" t="e">
        <f ca="1">_xlfn.XLOOKUP(PAA[[#This Row],[ITEM]],Contrato!A:A,Contrato!B:B,"",0)</f>
        <v>#NAME?</v>
      </c>
      <c r="Z97" s="57" t="e">
        <f ca="1">_xlfn.XLOOKUP(PAA[[#This Row],[ITEM]],Contrato!A:A,Contrato!G:G,"",0)</f>
        <v>#NAME?</v>
      </c>
      <c r="AA97" s="57" t="e">
        <f ca="1">_xlfn.XLOOKUP(PAA[[#This Row],[ITEM]],Contrato!A:A,Contrato!T:T,"",0)</f>
        <v>#NAME?</v>
      </c>
      <c r="AB97" s="58" t="e">
        <f ca="1">+MAX(PAA[[#This Row],[Comprometido Contrato]],)</f>
        <v>#NAME?</v>
      </c>
      <c r="AC97" s="58" t="str">
        <f t="shared" ca="1" si="10"/>
        <v/>
      </c>
      <c r="AD97" s="58" t="e">
        <f ca="1">+MAX(PAA[[#This Row],[Pago por Contrato]],)</f>
        <v>#NAME?</v>
      </c>
      <c r="AE97" s="58" t="str">
        <f t="shared" ca="1" si="11"/>
        <v/>
      </c>
      <c r="AF97" s="57" t="e">
        <f t="shared" ca="1" si="12"/>
        <v>#NAME?</v>
      </c>
      <c r="AG97" s="57">
        <f t="shared" si="13"/>
        <v>52010902</v>
      </c>
      <c r="AH97" s="57" t="e" cm="1">
        <f t="array" aca="1" ref="AH97" ca="1">_xlfn.XLOOKUP(PAA[[#This Row],[RCP-RUBRO]],COMPROMISOS_2025[[#All],[concatenado]],COMPROMISOS_2025[[#All],[Total pagado]],"",0)</f>
        <v>#NAME?</v>
      </c>
      <c r="AI97" s="57" t="e" cm="1">
        <f t="array" aca="1" ref="AI97" ca="1">_xlfn.XLOOKUP(PAA[[#This Row],[RCP-RUBRO]],COMPROMISOS_2025[[#All],[concatenado]],COMPROMISOS_2025[[#All],[Total Comprometido]],"",0)</f>
        <v>#NAME?</v>
      </c>
    </row>
    <row r="98" spans="1:35" s="50" customFormat="1" ht="42" hidden="1" customHeight="1" x14ac:dyDescent="0.25">
      <c r="A98" s="265">
        <v>89</v>
      </c>
      <c r="B98" s="255">
        <v>72101500</v>
      </c>
      <c r="C98" s="265" t="str">
        <f>VLOOKUP(PAA[[#This Row],[PROYECTO (formulado)2]],PROYECTOS!$G$1:$L$32,6,0)</f>
        <v>SUBGERENCIA ESCENARIOS DEPORTIVOS Y EQUIPAMIENTOS</v>
      </c>
      <c r="D98" s="265" t="str">
        <f>+IF(PAA[[#This Row],[UNIDAD DE CONTRATACION (formulado)]]="Subgerencia Administrativa y Financiera","FUNCIONAMIENTO","INVERSIÓN")</f>
        <v>INVERSIÓN</v>
      </c>
      <c r="E98" s="274" t="str">
        <f>VLOOKUP(Q98,PROYECTOS!$G$1:$K$32,5,0)</f>
        <v>Mantenimiento, adecuación, mejoras de escenarios deportivos o equipamientos en el departamento de Antioquia</v>
      </c>
      <c r="F98" s="274">
        <f>VLOOKUP(E98,PROYECTOS!$K$1:$M$32,3,0)</f>
        <v>2024003050075</v>
      </c>
      <c r="G98" s="266" t="s">
        <v>239</v>
      </c>
      <c r="H98" s="266" t="str">
        <f>VLOOKUP(Q98,PROYECTOS!$V$1:$W$32,2,0)</f>
        <v>050070</v>
      </c>
      <c r="I98" s="269">
        <v>212153613</v>
      </c>
      <c r="J98" s="275" t="s">
        <v>243</v>
      </c>
      <c r="K98" s="265" t="str">
        <f t="shared" ca="1" si="7"/>
        <v>CONTRATADO</v>
      </c>
      <c r="L98" s="275" t="s">
        <v>112</v>
      </c>
      <c r="M98" s="275" t="s">
        <v>241</v>
      </c>
      <c r="N98" s="276" t="s">
        <v>242</v>
      </c>
      <c r="O98" s="275">
        <f>VLOOKUP(N98,RUBROS[#All],3,0)</f>
        <v>89</v>
      </c>
      <c r="P98" s="277" t="str">
        <f>VLOOKUP(N98,RUBROS[#All],2,0)</f>
        <v>Mantenimiento, adecuación, mejoras de escenarios deportivos o equipamientos en el departamento de Antioquia -Construcción y servicios de la construcción</v>
      </c>
      <c r="Q98" s="265" t="str">
        <f t="shared" si="8"/>
        <v>75</v>
      </c>
      <c r="R98" s="265" t="str">
        <f t="shared" si="9"/>
        <v>0-205128</v>
      </c>
      <c r="S98" s="254">
        <v>10</v>
      </c>
      <c r="T98" s="278" t="s">
        <v>46</v>
      </c>
      <c r="U98" s="272" t="e">
        <f ca="1">_xlfn.XLOOKUP(PAA[[#This Row],[ITEM]],Contrato!A:A,Contrato!Q:Q,"",0)</f>
        <v>#NAME?</v>
      </c>
      <c r="V98" s="265" t="s">
        <v>47</v>
      </c>
      <c r="W98" s="265" t="s">
        <v>154</v>
      </c>
      <c r="X98" s="265" t="s">
        <v>154</v>
      </c>
      <c r="Y98" s="273" t="e">
        <f ca="1">_xlfn.XLOOKUP(PAA[[#This Row],[ITEM]],Contrato!A:A,Contrato!B:B,"",0)</f>
        <v>#NAME?</v>
      </c>
      <c r="Z98" s="265" t="e">
        <f ca="1">_xlfn.XLOOKUP(PAA[[#This Row],[ITEM]],Contrato!A:A,Contrato!G:G,"",0)</f>
        <v>#NAME?</v>
      </c>
      <c r="AA98" s="265" t="e">
        <f ca="1">_xlfn.XLOOKUP(PAA[[#This Row],[ITEM]],Contrato!A:A,Contrato!T:T,"",0)</f>
        <v>#NAME?</v>
      </c>
      <c r="AB98" s="273" t="e">
        <f ca="1">+MAX(PAA[[#This Row],[Comprometido Contrato]],)</f>
        <v>#NAME?</v>
      </c>
      <c r="AC98" s="273" t="str">
        <f t="shared" ca="1" si="10"/>
        <v/>
      </c>
      <c r="AD98" s="273" t="e">
        <f ca="1">+MAX(PAA[[#This Row],[Pago por Contrato]],)</f>
        <v>#NAME?</v>
      </c>
      <c r="AE98" s="273" t="str">
        <f t="shared" ca="1" si="11"/>
        <v/>
      </c>
      <c r="AF98" s="265" t="e">
        <f t="shared" ca="1" si="12"/>
        <v>#NAME?</v>
      </c>
      <c r="AG98" s="265">
        <f t="shared" si="13"/>
        <v>52010902</v>
      </c>
      <c r="AH98" s="265" t="e" cm="1">
        <f t="array" aca="1" ref="AH98" ca="1">_xlfn.XLOOKUP(PAA[[#This Row],[RCP-RUBRO]],COMPROMISOS_2025[[#All],[concatenado]],COMPROMISOS_2025[[#All],[Total pagado]],"",0)</f>
        <v>#NAME?</v>
      </c>
      <c r="AI98" s="265" t="e" cm="1">
        <f t="array" aca="1" ref="AI98" ca="1">_xlfn.XLOOKUP(PAA[[#This Row],[RCP-RUBRO]],COMPROMISOS_2025[[#All],[concatenado]],COMPROMISOS_2025[[#All],[Total Comprometido]],"",0)</f>
        <v>#NAME?</v>
      </c>
    </row>
    <row r="99" spans="1:35" s="50" customFormat="1" ht="42" hidden="1" customHeight="1" x14ac:dyDescent="0.25">
      <c r="A99" s="57">
        <v>90</v>
      </c>
      <c r="B99" s="186">
        <v>72101500</v>
      </c>
      <c r="C99" s="57" t="str">
        <f>VLOOKUP(PAA[[#This Row],[PROYECTO (formulado)2]],PROYECTOS!$G$1:$L$32,6,0)</f>
        <v>SUBGERENCIA ESCENARIOS DEPORTIVOS Y EQUIPAMIENTOS</v>
      </c>
      <c r="D99" s="57" t="str">
        <f>+IF(PAA[[#This Row],[UNIDAD DE CONTRATACION (formulado)]]="Subgerencia Administrativa y Financiera","FUNCIONAMIENTO","INVERSIÓN")</f>
        <v>INVERSIÓN</v>
      </c>
      <c r="E99" s="153" t="str">
        <f>VLOOKUP(Q99,PROYECTOS!$G$1:$K$32,5,0)</f>
        <v>Mantenimiento, adecuación, mejoras de escenarios deportivos o equipamientos en el departamento de Antioquia</v>
      </c>
      <c r="F99" s="153">
        <f>VLOOKUP(E99,PROYECTOS!$K$1:$M$32,3,0)</f>
        <v>2024003050075</v>
      </c>
      <c r="G99" s="154" t="s">
        <v>239</v>
      </c>
      <c r="H99" s="154" t="str">
        <f>VLOOKUP(Q99,PROYECTOS!$V$1:$W$32,2,0)</f>
        <v>050070</v>
      </c>
      <c r="I99" s="143">
        <v>8703377717</v>
      </c>
      <c r="J99" s="155" t="s">
        <v>240</v>
      </c>
      <c r="K99" s="57" t="str">
        <f t="shared" ca="1" si="7"/>
        <v>CONTRATADO</v>
      </c>
      <c r="L99" s="155" t="s">
        <v>112</v>
      </c>
      <c r="M99" s="155" t="s">
        <v>241</v>
      </c>
      <c r="N99" s="142" t="s">
        <v>244</v>
      </c>
      <c r="O99" s="155">
        <f>VLOOKUP(N99,RUBROS[#All],3,0)</f>
        <v>88</v>
      </c>
      <c r="P99" s="156" t="str">
        <f>VLOOKUP(N99,RUBROS[#All],2,0)</f>
        <v>Mantenimiento, adecuación, mejoras de escenarios deportivos o equipamientos en el departamento de Antioquia -Construcción y servicios de la construcción</v>
      </c>
      <c r="Q99" s="57" t="str">
        <f t="shared" si="8"/>
        <v>75</v>
      </c>
      <c r="R99" s="57" t="str">
        <f t="shared" si="9"/>
        <v>0-202029</v>
      </c>
      <c r="S99" s="152">
        <v>11</v>
      </c>
      <c r="T99" s="157" t="s">
        <v>46</v>
      </c>
      <c r="U99" s="162" t="e">
        <f ca="1">_xlfn.XLOOKUP(PAA[[#This Row],[ITEM]],Contrato!A:A,Contrato!Q:Q,"",0)</f>
        <v>#NAME?</v>
      </c>
      <c r="V99" s="57" t="s">
        <v>47</v>
      </c>
      <c r="W99" s="57" t="s">
        <v>48</v>
      </c>
      <c r="X99" s="57" t="s">
        <v>48</v>
      </c>
      <c r="Y99" s="58" t="e">
        <f ca="1">_xlfn.XLOOKUP(PAA[[#This Row],[ITEM]],Contrato!A:A,Contrato!B:B,"",0)</f>
        <v>#NAME?</v>
      </c>
      <c r="Z99" s="57" t="e">
        <f ca="1">_xlfn.XLOOKUP(PAA[[#This Row],[ITEM]],Contrato!A:A,Contrato!G:G,"",0)</f>
        <v>#NAME?</v>
      </c>
      <c r="AA99" s="57" t="e">
        <f ca="1">_xlfn.XLOOKUP(PAA[[#This Row],[ITEM]],Contrato!A:A,Contrato!T:T,"",0)</f>
        <v>#NAME?</v>
      </c>
      <c r="AB99" s="58" t="e">
        <f ca="1">+MAX(PAA[[#This Row],[Comprometido Contrato]],)</f>
        <v>#NAME?</v>
      </c>
      <c r="AC99" s="58" t="str">
        <f t="shared" ca="1" si="10"/>
        <v/>
      </c>
      <c r="AD99" s="58" t="e">
        <f ca="1">+MAX(PAA[[#This Row],[Pago por Contrato]],)</f>
        <v>#NAME?</v>
      </c>
      <c r="AE99" s="58" t="str">
        <f t="shared" ca="1" si="11"/>
        <v/>
      </c>
      <c r="AF99" s="57" t="e">
        <f t="shared" ca="1" si="12"/>
        <v>#NAME?</v>
      </c>
      <c r="AG99" s="57">
        <f t="shared" si="13"/>
        <v>52010902</v>
      </c>
      <c r="AH99" s="57" t="e" cm="1">
        <f t="array" aca="1" ref="AH99" ca="1">_xlfn.XLOOKUP(PAA[[#This Row],[RCP-RUBRO]],COMPROMISOS_2025[[#All],[concatenado]],COMPROMISOS_2025[[#All],[Total pagado]],"",0)</f>
        <v>#NAME?</v>
      </c>
      <c r="AI99" s="57" t="e" cm="1">
        <f t="array" aca="1" ref="AI99" ca="1">_xlfn.XLOOKUP(PAA[[#This Row],[RCP-RUBRO]],COMPROMISOS_2025[[#All],[concatenado]],COMPROMISOS_2025[[#All],[Total Comprometido]],"",0)</f>
        <v>#NAME?</v>
      </c>
    </row>
    <row r="100" spans="1:35" s="50" customFormat="1" ht="42" customHeight="1" x14ac:dyDescent="0.25">
      <c r="A100" s="326">
        <v>91</v>
      </c>
      <c r="B100" s="325">
        <v>81112501</v>
      </c>
      <c r="C100" s="326" t="str">
        <f>VLOOKUP(PAA[[#This Row],[PROYECTO (formulado)2]],PROYECTOS!$G$1:$L$32,6,0)</f>
        <v>SUBGERENCIA ESCENARIOS DEPORTIVOS Y EQUIPAMIENTOS</v>
      </c>
      <c r="D100" s="326" t="str">
        <f>+IF(PAA[[#This Row],[UNIDAD DE CONTRATACION (formulado)]]="Subgerencia Administrativa y Financiera","FUNCIONAMIENTO","INVERSIÓN")</f>
        <v>INVERSIÓN</v>
      </c>
      <c r="E100" s="327" t="str">
        <f>VLOOKUP(Q100,PROYECTOS!$G$1:$K$32,5,0)</f>
        <v>Mantenimiento, adecuación, mejoras de escenarios deportivos o equipamientos en el departamento de Antioquia</v>
      </c>
      <c r="F100" s="327">
        <f>VLOOKUP(E100,PROYECTOS!$K$1:$M$32,3,0)</f>
        <v>2024003050075</v>
      </c>
      <c r="G100" s="328" t="s">
        <v>245</v>
      </c>
      <c r="H100" s="328" t="str">
        <f>VLOOKUP(Q100,PROYECTOS!$V$1:$W$32,2,0)</f>
        <v>050070</v>
      </c>
      <c r="I100" s="329">
        <v>80956324</v>
      </c>
      <c r="J100" s="330" t="s">
        <v>246</v>
      </c>
      <c r="K100" s="326" t="str">
        <f t="shared" ca="1" si="7"/>
        <v>CONTRATADO</v>
      </c>
      <c r="L100" s="330" t="s">
        <v>44</v>
      </c>
      <c r="M100" s="330" t="s">
        <v>44</v>
      </c>
      <c r="N100" s="331" t="s">
        <v>247</v>
      </c>
      <c r="O100" s="330">
        <f>VLOOKUP(N100,RUBROS[#All],3,0)</f>
        <v>90</v>
      </c>
      <c r="P100" s="332" t="str">
        <f>VLOOKUP(N100,RUBROS[#All],2,0)</f>
        <v xml:space="preserve">Mantenimiento, adecuación, mejoras de escenarios deportivos o equipamientos en el departamento de Antioquia.. - Servicios prestados a las empresas y servicios de producción </v>
      </c>
      <c r="Q100" s="326" t="str">
        <f t="shared" si="8"/>
        <v>75</v>
      </c>
      <c r="R100" s="326" t="str">
        <f t="shared" si="9"/>
        <v>0-205128</v>
      </c>
      <c r="S100" s="333">
        <v>10</v>
      </c>
      <c r="T100" s="337" t="s">
        <v>46</v>
      </c>
      <c r="U100" s="335" t="e">
        <f ca="1">_xlfn.XLOOKUP(PAA[[#This Row],[ITEM]],Contrato!A:A,Contrato!Q:Q,"",0)</f>
        <v>#NAME?</v>
      </c>
      <c r="V100" s="326" t="s">
        <v>47</v>
      </c>
      <c r="W100" s="326" t="s">
        <v>154</v>
      </c>
      <c r="X100" s="326" t="s">
        <v>154</v>
      </c>
      <c r="Y100" s="336" t="e">
        <f ca="1">_xlfn.XLOOKUP(PAA[[#This Row],[ITEM]],Contrato!A:A,Contrato!B:B,"",0)</f>
        <v>#NAME?</v>
      </c>
      <c r="Z100" s="326" t="e">
        <f ca="1">_xlfn.XLOOKUP(PAA[[#This Row],[ITEM]],Contrato!A:A,Contrato!G:G,"",0)</f>
        <v>#NAME?</v>
      </c>
      <c r="AA100" s="326" t="e">
        <f ca="1">_xlfn.XLOOKUP(PAA[[#This Row],[ITEM]],Contrato!A:A,Contrato!T:T,"",0)</f>
        <v>#NAME?</v>
      </c>
      <c r="AB100" s="336" t="e">
        <f ca="1">+MAX(PAA[[#This Row],[Comprometido Contrato]],)</f>
        <v>#NAME?</v>
      </c>
      <c r="AC100" s="336" t="str">
        <f t="shared" ca="1" si="10"/>
        <v/>
      </c>
      <c r="AD100" s="336" t="e">
        <f ca="1">+MAX(PAA[[#This Row],[Pago por Contrato]],)</f>
        <v>#NAME?</v>
      </c>
      <c r="AE100" s="336" t="str">
        <f t="shared" ca="1" si="11"/>
        <v/>
      </c>
      <c r="AF100" s="326" t="e">
        <f t="shared" ca="1" si="12"/>
        <v>#NAME?</v>
      </c>
      <c r="AG100" s="326">
        <f t="shared" si="13"/>
        <v>52010902</v>
      </c>
      <c r="AH100" s="326" t="e" cm="1">
        <f t="array" aca="1" ref="AH100" ca="1">_xlfn.XLOOKUP(PAA[[#This Row],[RCP-RUBRO]],COMPROMISOS_2025[[#All],[concatenado]],COMPROMISOS_2025[[#All],[Total pagado]],"",0)</f>
        <v>#NAME?</v>
      </c>
      <c r="AI100" s="326" t="e" cm="1">
        <f t="array" aca="1" ref="AI100" ca="1">_xlfn.XLOOKUP(PAA[[#This Row],[RCP-RUBRO]],COMPROMISOS_2025[[#All],[concatenado]],COMPROMISOS_2025[[#All],[Total Comprometido]],"",0)</f>
        <v>#NAME?</v>
      </c>
    </row>
    <row r="101" spans="1:35" s="50" customFormat="1" ht="42" hidden="1" customHeight="1" x14ac:dyDescent="0.25">
      <c r="A101" s="57">
        <v>92</v>
      </c>
      <c r="B101" s="186">
        <v>80111600</v>
      </c>
      <c r="C101" s="57" t="str">
        <f>VLOOKUP(PAA[[#This Row],[PROYECTO (formulado)2]],PROYECTOS!$G$1:$L$32,6,0)</f>
        <v>SUBGERENCIA ESCENARIOS DEPORTIVOS Y EQUIPAMIENTOS</v>
      </c>
      <c r="D101" s="57" t="str">
        <f>+IF(PAA[[#This Row],[UNIDAD DE CONTRATACION (formulado)]]="Subgerencia Administrativa y Financiera","FUNCIONAMIENTO","INVERSIÓN")</f>
        <v>INVERSIÓN</v>
      </c>
      <c r="E101" s="153" t="str">
        <f>VLOOKUP(Q101,PROYECTOS!$G$1:$K$32,5,0)</f>
        <v>Mantenimiento, adecuación, mejoras de escenarios deportivos o equipamientos en el departamento de Antioquia</v>
      </c>
      <c r="F101" s="153">
        <f>VLOOKUP(E101,PROYECTOS!$K$1:$M$32,3,0)</f>
        <v>2024003050075</v>
      </c>
      <c r="G101" s="154" t="s">
        <v>245</v>
      </c>
      <c r="H101" s="154" t="str">
        <f>VLOOKUP(Q101,PROYECTOS!$V$1:$W$32,2,0)</f>
        <v>050070</v>
      </c>
      <c r="I101" s="143">
        <v>23419334</v>
      </c>
      <c r="J101" s="155" t="s">
        <v>248</v>
      </c>
      <c r="K101" s="57" t="str">
        <f t="shared" ca="1" si="7"/>
        <v>CONTRATADO</v>
      </c>
      <c r="L101" s="155" t="s">
        <v>112</v>
      </c>
      <c r="M101" s="155" t="s">
        <v>113</v>
      </c>
      <c r="N101" s="142" t="s">
        <v>249</v>
      </c>
      <c r="O101" s="155">
        <f>VLOOKUP(N101,RUBROS[#All],3,0)</f>
        <v>87</v>
      </c>
      <c r="P101" s="156" t="str">
        <f>VLOOKUP(N101,RUBROS[#All],2,0)</f>
        <v xml:space="preserve">Mantenimiento, adecuación, mejoras de escenarios deportivos o equipamientos en el departamento de Antioquia.. - Servicios prestados a las empresas y servicios de producción </v>
      </c>
      <c r="Q101" s="57" t="str">
        <f t="shared" si="8"/>
        <v>75</v>
      </c>
      <c r="R101" s="57" t="str">
        <f t="shared" si="9"/>
        <v>0-101024</v>
      </c>
      <c r="S101" s="152">
        <v>11</v>
      </c>
      <c r="T101" s="157" t="s">
        <v>46</v>
      </c>
      <c r="U101" s="162" t="e">
        <f ca="1">_xlfn.XLOOKUP(PAA[[#This Row],[ITEM]],Contrato!A:A,Contrato!Q:Q,"",0)</f>
        <v>#NAME?</v>
      </c>
      <c r="V101" s="57" t="s">
        <v>47</v>
      </c>
      <c r="W101" s="57" t="s">
        <v>48</v>
      </c>
      <c r="X101" s="57" t="s">
        <v>48</v>
      </c>
      <c r="Y101" s="58" t="e">
        <f ca="1">_xlfn.XLOOKUP(PAA[[#This Row],[ITEM]],Contrato!A:A,Contrato!B:B,"",0)</f>
        <v>#NAME?</v>
      </c>
      <c r="Z101" s="57" t="e">
        <f ca="1">_xlfn.XLOOKUP(PAA[[#This Row],[ITEM]],Contrato!A:A,Contrato!G:G,"",0)</f>
        <v>#NAME?</v>
      </c>
      <c r="AA101" s="57" t="e">
        <f ca="1">_xlfn.XLOOKUP(PAA[[#This Row],[ITEM]],Contrato!A:A,Contrato!T:T,"",0)</f>
        <v>#NAME?</v>
      </c>
      <c r="AB101" s="58" t="e">
        <f ca="1">+MAX(PAA[[#This Row],[Comprometido Contrato]],)</f>
        <v>#NAME?</v>
      </c>
      <c r="AC101" s="58" t="str">
        <f t="shared" ca="1" si="10"/>
        <v/>
      </c>
      <c r="AD101" s="58" t="e">
        <f ca="1">+MAX(PAA[[#This Row],[Pago por Contrato]],)</f>
        <v>#NAME?</v>
      </c>
      <c r="AE101" s="58" t="str">
        <f t="shared" ca="1" si="11"/>
        <v/>
      </c>
      <c r="AF101" s="57" t="e">
        <f t="shared" ca="1" si="12"/>
        <v>#NAME?</v>
      </c>
      <c r="AG101" s="57">
        <f t="shared" si="13"/>
        <v>52010902</v>
      </c>
      <c r="AH101" s="57" t="e" cm="1">
        <f t="array" aca="1" ref="AH101" ca="1">_xlfn.XLOOKUP(PAA[[#This Row],[RCP-RUBRO]],COMPROMISOS_2025[[#All],[concatenado]],COMPROMISOS_2025[[#All],[Total pagado]],"",0)</f>
        <v>#NAME?</v>
      </c>
      <c r="AI101" s="57" t="e" cm="1">
        <f t="array" aca="1" ref="AI101" ca="1">_xlfn.XLOOKUP(PAA[[#This Row],[RCP-RUBRO]],COMPROMISOS_2025[[#All],[concatenado]],COMPROMISOS_2025[[#All],[Total Comprometido]],"",0)</f>
        <v>#NAME?</v>
      </c>
    </row>
    <row r="102" spans="1:35" s="50" customFormat="1" ht="42" hidden="1" customHeight="1" x14ac:dyDescent="0.25">
      <c r="A102" s="199">
        <v>93</v>
      </c>
      <c r="B102" s="200">
        <v>80111600</v>
      </c>
      <c r="C102" s="199" t="str">
        <f>VLOOKUP(PAA[[#This Row],[PROYECTO (formulado)2]],PROYECTOS!$G$1:$L$32,6,0)</f>
        <v>SUBGERENCIA ESCENARIOS DEPORTIVOS Y EQUIPAMIENTOS</v>
      </c>
      <c r="D102" s="199" t="str">
        <f>+IF(PAA[[#This Row],[UNIDAD DE CONTRATACION (formulado)]]="Subgerencia Administrativa y Financiera","FUNCIONAMIENTO","INVERSIÓN")</f>
        <v>INVERSIÓN</v>
      </c>
      <c r="E102" s="201" t="str">
        <f>VLOOKUP(Q102,PROYECTOS!$G$1:$K$32,5,0)</f>
        <v>Mantenimiento, adecuación, mejoras de escenarios deportivos o equipamientos en el departamento de Antioquia</v>
      </c>
      <c r="F102" s="201">
        <f>VLOOKUP(E102,PROYECTOS!$K$1:$M$32,3,0)</f>
        <v>2024003050075</v>
      </c>
      <c r="G102" s="202" t="s">
        <v>245</v>
      </c>
      <c r="H102" s="202" t="str">
        <f>VLOOKUP(Q102,PROYECTOS!$V$1:$W$32,2,0)</f>
        <v>050070</v>
      </c>
      <c r="I102" s="203">
        <v>74934379</v>
      </c>
      <c r="J102" s="204" t="s">
        <v>250</v>
      </c>
      <c r="K102" s="199" t="str">
        <f t="shared" ca="1" si="7"/>
        <v>CONTRATADO</v>
      </c>
      <c r="L102" s="204" t="s">
        <v>112</v>
      </c>
      <c r="M102" s="204" t="s">
        <v>113</v>
      </c>
      <c r="N102" s="205" t="s">
        <v>249</v>
      </c>
      <c r="O102" s="204">
        <f>VLOOKUP(N102,RUBROS[#All],3,0)</f>
        <v>87</v>
      </c>
      <c r="P102" s="206" t="str">
        <f>VLOOKUP(N102,RUBROS[#All],2,0)</f>
        <v xml:space="preserve">Mantenimiento, adecuación, mejoras de escenarios deportivos o equipamientos en el departamento de Antioquia.. - Servicios prestados a las empresas y servicios de producción </v>
      </c>
      <c r="Q102" s="199" t="str">
        <f t="shared" si="8"/>
        <v>75</v>
      </c>
      <c r="R102" s="199" t="str">
        <f t="shared" si="9"/>
        <v>0-101024</v>
      </c>
      <c r="S102" s="207">
        <v>11</v>
      </c>
      <c r="T102" s="208" t="s">
        <v>46</v>
      </c>
      <c r="U102" s="209" t="e">
        <f ca="1">_xlfn.XLOOKUP(PAA[[#This Row],[ITEM]],Contrato!A:A,Contrato!Q:Q,"",0)</f>
        <v>#NAME?</v>
      </c>
      <c r="V102" s="199" t="s">
        <v>47</v>
      </c>
      <c r="W102" s="199" t="s">
        <v>48</v>
      </c>
      <c r="X102" s="199" t="s">
        <v>48</v>
      </c>
      <c r="Y102" s="210" t="e">
        <f ca="1">_xlfn.XLOOKUP(PAA[[#This Row],[ITEM]],Contrato!A:A,Contrato!B:B,"",0)</f>
        <v>#NAME?</v>
      </c>
      <c r="Z102" s="199" t="e">
        <f ca="1">_xlfn.XLOOKUP(PAA[[#This Row],[ITEM]],Contrato!A:A,Contrato!G:G,"",0)</f>
        <v>#NAME?</v>
      </c>
      <c r="AA102" s="199" t="e">
        <f ca="1">_xlfn.XLOOKUP(PAA[[#This Row],[ITEM]],Contrato!A:A,Contrato!T:T,"",0)</f>
        <v>#NAME?</v>
      </c>
      <c r="AB102" s="210" t="e">
        <f ca="1">+MAX(PAA[[#This Row],[Comprometido Contrato]],)</f>
        <v>#NAME?</v>
      </c>
      <c r="AC102" s="210" t="str">
        <f t="shared" ca="1" si="10"/>
        <v/>
      </c>
      <c r="AD102" s="210" t="e">
        <f ca="1">+MAX(PAA[[#This Row],[Pago por Contrato]],)</f>
        <v>#NAME?</v>
      </c>
      <c r="AE102" s="210" t="str">
        <f t="shared" ca="1" si="11"/>
        <v/>
      </c>
      <c r="AF102" s="199" t="e">
        <f t="shared" ca="1" si="12"/>
        <v>#NAME?</v>
      </c>
      <c r="AG102" s="199">
        <f t="shared" si="13"/>
        <v>52010902</v>
      </c>
      <c r="AH102" s="199" t="e" cm="1">
        <f t="array" aca="1" ref="AH102" ca="1">_xlfn.XLOOKUP(PAA[[#This Row],[RCP-RUBRO]],COMPROMISOS_2025[[#All],[concatenado]],COMPROMISOS_2025[[#All],[Total pagado]],"",0)</f>
        <v>#NAME?</v>
      </c>
      <c r="AI102" s="199" t="e" cm="1">
        <f t="array" aca="1" ref="AI102" ca="1">_xlfn.XLOOKUP(PAA[[#This Row],[RCP-RUBRO]],COMPROMISOS_2025[[#All],[concatenado]],COMPROMISOS_2025[[#All],[Total Comprometido]],"",0)</f>
        <v>#NAME?</v>
      </c>
    </row>
    <row r="103" spans="1:35" s="50" customFormat="1" ht="42" hidden="1" customHeight="1" x14ac:dyDescent="0.25">
      <c r="A103" s="436">
        <v>606</v>
      </c>
      <c r="B103" s="418">
        <v>80111600</v>
      </c>
      <c r="C103" s="436" t="str">
        <f>VLOOKUP(PAA[[#This Row],[PROYECTO (formulado)2]],PROYECTOS!$G$1:$L$32,6,0)</f>
        <v>SUBGERENCIA ESCENARIOS DEPORTIVOS Y EQUIPAMIENTOS</v>
      </c>
      <c r="D103" s="436" t="str">
        <f>+IF(PAA[[#This Row],[UNIDAD DE CONTRATACION (formulado)]]="Subgerencia Administrativa y Financiera","FUNCIONAMIENTO","INVERSIÓN")</f>
        <v>INVERSIÓN</v>
      </c>
      <c r="E103" s="446" t="str">
        <f>VLOOKUP(Q103,PROYECTOS!$G$1:$K$32,5,0)</f>
        <v>Mantenimiento, adecuación, mejoras de escenarios deportivos o equipamientos en el departamento de Antioquia</v>
      </c>
      <c r="F103" s="446">
        <f>VLOOKUP(E103,PROYECTOS!$K$1:$M$32,3,0)</f>
        <v>2024003050075</v>
      </c>
      <c r="G103" s="439" t="s">
        <v>245</v>
      </c>
      <c r="H103" s="439" t="str">
        <f>VLOOKUP(Q103,PROYECTOS!$V$1:$W$32,2,0)</f>
        <v>050070</v>
      </c>
      <c r="I103" s="440">
        <v>67696200</v>
      </c>
      <c r="J103" s="442" t="s">
        <v>251</v>
      </c>
      <c r="K103" s="436" t="str">
        <f ca="1">IF(ISNONTEXT(Y103)=TRUE,"CONTRATADO","NO CONTRATADO")</f>
        <v>CONTRATADO</v>
      </c>
      <c r="L103" s="442" t="s">
        <v>112</v>
      </c>
      <c r="M103" s="442" t="s">
        <v>113</v>
      </c>
      <c r="N103" s="447" t="s">
        <v>249</v>
      </c>
      <c r="O103" s="442">
        <f>VLOOKUP(N103,RUBROS[#All],3,0)</f>
        <v>87</v>
      </c>
      <c r="P103" s="448" t="str">
        <f>VLOOKUP(N103,RUBROS[#All],2,0)</f>
        <v xml:space="preserve">Mantenimiento, adecuación, mejoras de escenarios deportivos o equipamientos en el departamento de Antioquia.. - Servicios prestados a las empresas y servicios de producción </v>
      </c>
      <c r="Q103" s="436" t="str">
        <f>+MID(N103,11,2)</f>
        <v>75</v>
      </c>
      <c r="R103" s="436" t="str">
        <f>+MID(N103,14,8)</f>
        <v>0-101024</v>
      </c>
      <c r="S103" s="417">
        <v>9</v>
      </c>
      <c r="T103" s="443" t="s">
        <v>46</v>
      </c>
      <c r="U103" s="444" t="e">
        <f ca="1">_xlfn.XLOOKUP(PAA[[#This Row],[ITEM]],Contrato!A:A,Contrato!Q:Q,"",0)</f>
        <v>#NAME?</v>
      </c>
      <c r="V103" s="436" t="s">
        <v>47</v>
      </c>
      <c r="W103" s="436" t="s">
        <v>127</v>
      </c>
      <c r="X103" s="436" t="s">
        <v>127</v>
      </c>
      <c r="Y103" s="445" t="e">
        <f ca="1">_xlfn.XLOOKUP(PAA[[#This Row],[ITEM]],Contrato!A:A,Contrato!B:B,"",0)</f>
        <v>#NAME?</v>
      </c>
      <c r="Z103" s="436" t="e">
        <f ca="1">_xlfn.XLOOKUP(PAA[[#This Row],[ITEM]],Contrato!A:A,Contrato!G:G,"",0)</f>
        <v>#NAME?</v>
      </c>
      <c r="AA103" s="436" t="e">
        <f ca="1">_xlfn.XLOOKUP(PAA[[#This Row],[ITEM]],Contrato!A:A,Contrato!T:T,"",0)</f>
        <v>#NAME?</v>
      </c>
      <c r="AB103" s="445" t="e">
        <f ca="1">+MAX(PAA[[#This Row],[Comprometido Contrato]],)</f>
        <v>#NAME?</v>
      </c>
      <c r="AC103" s="445" t="str">
        <f ca="1">IFERROR(I103-AB103,"")</f>
        <v/>
      </c>
      <c r="AD103" s="445" t="e">
        <f ca="1">+MAX(PAA[[#This Row],[Pago por Contrato]],)</f>
        <v>#NAME?</v>
      </c>
      <c r="AE103" s="445" t="str">
        <f ca="1">+IFERROR(AB103-AD103,"")</f>
        <v/>
      </c>
      <c r="AF103" s="436" t="e">
        <f ca="1">+CONCATENATE(AA103,N103)</f>
        <v>#NAME?</v>
      </c>
      <c r="AG103" s="436">
        <f>IFERROR(_xlfn.NUMBERVALUE(MID(G103,1,8)),"")</f>
        <v>52010902</v>
      </c>
      <c r="AH103" s="436" t="e" cm="1">
        <f t="array" aca="1" ref="AH103" ca="1">_xlfn.XLOOKUP(PAA[[#This Row],[RCP-RUBRO]],COMPROMISOS_2025[[#All],[concatenado]],COMPROMISOS_2025[[#All],[Total pagado]],"",0)</f>
        <v>#NAME?</v>
      </c>
      <c r="AI103" s="436" t="e" cm="1">
        <f t="array" aca="1" ref="AI103" ca="1">_xlfn.XLOOKUP(PAA[[#This Row],[RCP-RUBRO]],COMPROMISOS_2025[[#All],[concatenado]],COMPROMISOS_2025[[#All],[Total Comprometido]],"",0)</f>
        <v>#NAME?</v>
      </c>
    </row>
    <row r="104" spans="1:35" s="50" customFormat="1" ht="42" hidden="1" customHeight="1" x14ac:dyDescent="0.25">
      <c r="A104" s="436">
        <v>94</v>
      </c>
      <c r="B104" s="418">
        <v>80111600</v>
      </c>
      <c r="C104" s="436" t="str">
        <f>VLOOKUP(PAA[[#This Row],[PROYECTO (formulado)2]],PROYECTOS!$G$1:$L$32,6,0)</f>
        <v>SUBGERENCIA ESCENARIOS DEPORTIVOS Y EQUIPAMIENTOS</v>
      </c>
      <c r="D104" s="436" t="str">
        <f>+IF(PAA[[#This Row],[UNIDAD DE CONTRATACION (formulado)]]="Subgerencia Administrativa y Financiera","FUNCIONAMIENTO","INVERSIÓN")</f>
        <v>INVERSIÓN</v>
      </c>
      <c r="E104" s="446" t="str">
        <f>VLOOKUP(Q104,PROYECTOS!$G$1:$K$32,5,0)</f>
        <v>Mantenimiento, adecuación, mejoras de escenarios deportivos o equipamientos en el departamento de Antioquia</v>
      </c>
      <c r="F104" s="446">
        <f>VLOOKUP(E104,PROYECTOS!$K$1:$M$32,3,0)</f>
        <v>2024003050075</v>
      </c>
      <c r="G104" s="439" t="s">
        <v>245</v>
      </c>
      <c r="H104" s="439" t="str">
        <f>VLOOKUP(Q104,PROYECTOS!$V$1:$W$32,2,0)</f>
        <v>050070</v>
      </c>
      <c r="I104" s="440">
        <v>24561342</v>
      </c>
      <c r="J104" s="442" t="s">
        <v>252</v>
      </c>
      <c r="K104" s="436" t="str">
        <f t="shared" ca="1" si="7"/>
        <v>CONTRATADO</v>
      </c>
      <c r="L104" s="442" t="s">
        <v>112</v>
      </c>
      <c r="M104" s="442" t="s">
        <v>113</v>
      </c>
      <c r="N104" s="447" t="s">
        <v>249</v>
      </c>
      <c r="O104" s="442">
        <f>VLOOKUP(N104,RUBROS[#All],3,0)</f>
        <v>87</v>
      </c>
      <c r="P104" s="448" t="str">
        <f>VLOOKUP(N104,RUBROS[#All],2,0)</f>
        <v xml:space="preserve">Mantenimiento, adecuación, mejoras de escenarios deportivos o equipamientos en el departamento de Antioquia.. - Servicios prestados a las empresas y servicios de producción </v>
      </c>
      <c r="Q104" s="436" t="str">
        <f t="shared" si="8"/>
        <v>75</v>
      </c>
      <c r="R104" s="436" t="str">
        <f t="shared" si="9"/>
        <v>0-101024</v>
      </c>
      <c r="S104" s="417">
        <v>11</v>
      </c>
      <c r="T104" s="449" t="s">
        <v>46</v>
      </c>
      <c r="U104" s="444" t="e">
        <f ca="1">_xlfn.XLOOKUP(PAA[[#This Row],[ITEM]],Contrato!A:A,Contrato!Q:Q,"",0)</f>
        <v>#NAME?</v>
      </c>
      <c r="V104" s="436" t="s">
        <v>47</v>
      </c>
      <c r="W104" s="436" t="s">
        <v>48</v>
      </c>
      <c r="X104" s="436" t="s">
        <v>48</v>
      </c>
      <c r="Y104" s="445" t="e">
        <f ca="1">_xlfn.XLOOKUP(PAA[[#This Row],[ITEM]],Contrato!A:A,Contrato!B:B,"",0)</f>
        <v>#NAME?</v>
      </c>
      <c r="Z104" s="436" t="e">
        <f ca="1">_xlfn.XLOOKUP(PAA[[#This Row],[ITEM]],Contrato!A:A,Contrato!G:G,"",0)</f>
        <v>#NAME?</v>
      </c>
      <c r="AA104" s="436" t="e">
        <f ca="1">_xlfn.XLOOKUP(PAA[[#This Row],[ITEM]],Contrato!A:A,Contrato!T:T,"",0)</f>
        <v>#NAME?</v>
      </c>
      <c r="AB104" s="445" t="e">
        <f ca="1">+MAX(PAA[[#This Row],[Comprometido Contrato]],)</f>
        <v>#NAME?</v>
      </c>
      <c r="AC104" s="445" t="str">
        <f t="shared" ca="1" si="10"/>
        <v/>
      </c>
      <c r="AD104" s="445" t="e">
        <f ca="1">+MAX(PAA[[#This Row],[Pago por Contrato]],)</f>
        <v>#NAME?</v>
      </c>
      <c r="AE104" s="445" t="str">
        <f t="shared" ca="1" si="11"/>
        <v/>
      </c>
      <c r="AF104" s="436" t="e">
        <f t="shared" ca="1" si="12"/>
        <v>#NAME?</v>
      </c>
      <c r="AG104" s="436">
        <f t="shared" si="13"/>
        <v>52010902</v>
      </c>
      <c r="AH104" s="436" t="e" cm="1">
        <f t="array" aca="1" ref="AH104" ca="1">_xlfn.XLOOKUP(PAA[[#This Row],[RCP-RUBRO]],COMPROMISOS_2025[[#All],[concatenado]],COMPROMISOS_2025[[#All],[Total pagado]],"",0)</f>
        <v>#NAME?</v>
      </c>
      <c r="AI104" s="436" t="e" cm="1">
        <f t="array" aca="1" ref="AI104" ca="1">_xlfn.XLOOKUP(PAA[[#This Row],[RCP-RUBRO]],COMPROMISOS_2025[[#All],[concatenado]],COMPROMISOS_2025[[#All],[Total Comprometido]],"",0)</f>
        <v>#NAME?</v>
      </c>
    </row>
    <row r="105" spans="1:35" s="50" customFormat="1" ht="42" hidden="1" customHeight="1" x14ac:dyDescent="0.25">
      <c r="A105" s="199">
        <v>95</v>
      </c>
      <c r="B105" s="200">
        <v>80111600</v>
      </c>
      <c r="C105" s="199" t="str">
        <f>VLOOKUP(PAA[[#This Row],[PROYECTO (formulado)2]],PROYECTOS!$G$1:$L$32,6,0)</f>
        <v>SUBGERENCIA ESCENARIOS DEPORTIVOS Y EQUIPAMIENTOS</v>
      </c>
      <c r="D105" s="199" t="str">
        <f>+IF(PAA[[#This Row],[UNIDAD DE CONTRATACION (formulado)]]="Subgerencia Administrativa y Financiera","FUNCIONAMIENTO","INVERSIÓN")</f>
        <v>INVERSIÓN</v>
      </c>
      <c r="E105" s="201" t="str">
        <f>VLOOKUP(Q105,PROYECTOS!$G$1:$K$32,5,0)</f>
        <v>Mantenimiento, adecuación, mejoras de escenarios deportivos o equipamientos en el departamento de Antioquia</v>
      </c>
      <c r="F105" s="201">
        <f>VLOOKUP(E105,PROYECTOS!$K$1:$M$32,3,0)</f>
        <v>2024003050075</v>
      </c>
      <c r="G105" s="202" t="s">
        <v>245</v>
      </c>
      <c r="H105" s="202" t="str">
        <f>VLOOKUP(Q105,PROYECTOS!$V$1:$W$32,2,0)</f>
        <v>050070</v>
      </c>
      <c r="I105" s="203">
        <v>52642729</v>
      </c>
      <c r="J105" s="204" t="s">
        <v>253</v>
      </c>
      <c r="K105" s="199" t="str">
        <f t="shared" ca="1" si="7"/>
        <v>CONTRATADO</v>
      </c>
      <c r="L105" s="204" t="s">
        <v>112</v>
      </c>
      <c r="M105" s="204" t="s">
        <v>113</v>
      </c>
      <c r="N105" s="205" t="s">
        <v>249</v>
      </c>
      <c r="O105" s="204">
        <f>VLOOKUP(N105,RUBROS[#All],3,0)</f>
        <v>87</v>
      </c>
      <c r="P105" s="206" t="str">
        <f>VLOOKUP(N105,RUBROS[#All],2,0)</f>
        <v xml:space="preserve">Mantenimiento, adecuación, mejoras de escenarios deportivos o equipamientos en el departamento de Antioquia.. - Servicios prestados a las empresas y servicios de producción </v>
      </c>
      <c r="Q105" s="199" t="str">
        <f t="shared" si="8"/>
        <v>75</v>
      </c>
      <c r="R105" s="199" t="str">
        <f t="shared" si="9"/>
        <v>0-101024</v>
      </c>
      <c r="S105" s="207">
        <v>11</v>
      </c>
      <c r="T105" s="208" t="s">
        <v>46</v>
      </c>
      <c r="U105" s="209" t="e">
        <f ca="1">_xlfn.XLOOKUP(PAA[[#This Row],[ITEM]],Contrato!A:A,Contrato!Q:Q,"",0)</f>
        <v>#NAME?</v>
      </c>
      <c r="V105" s="199" t="s">
        <v>47</v>
      </c>
      <c r="W105" s="199" t="s">
        <v>48</v>
      </c>
      <c r="X105" s="199" t="s">
        <v>48</v>
      </c>
      <c r="Y105" s="210" t="e">
        <f ca="1">_xlfn.XLOOKUP(PAA[[#This Row],[ITEM]],Contrato!A:A,Contrato!B:B,"",0)</f>
        <v>#NAME?</v>
      </c>
      <c r="Z105" s="199" t="e">
        <f ca="1">_xlfn.XLOOKUP(PAA[[#This Row],[ITEM]],Contrato!A:A,Contrato!G:G,"",0)</f>
        <v>#NAME?</v>
      </c>
      <c r="AA105" s="199" t="e">
        <f ca="1">_xlfn.XLOOKUP(PAA[[#This Row],[ITEM]],Contrato!A:A,Contrato!T:T,"",0)</f>
        <v>#NAME?</v>
      </c>
      <c r="AB105" s="210" t="e">
        <f ca="1">+MAX(PAA[[#This Row],[Comprometido Contrato]],)</f>
        <v>#NAME?</v>
      </c>
      <c r="AC105" s="210" t="str">
        <f t="shared" ca="1" si="10"/>
        <v/>
      </c>
      <c r="AD105" s="210" t="e">
        <f ca="1">+MAX(PAA[[#This Row],[Pago por Contrato]],)</f>
        <v>#NAME?</v>
      </c>
      <c r="AE105" s="210" t="str">
        <f t="shared" ca="1" si="11"/>
        <v/>
      </c>
      <c r="AF105" s="199" t="e">
        <f t="shared" ca="1" si="12"/>
        <v>#NAME?</v>
      </c>
      <c r="AG105" s="199">
        <f t="shared" si="13"/>
        <v>52010902</v>
      </c>
      <c r="AH105" s="199" t="e" cm="1">
        <f t="array" aca="1" ref="AH105" ca="1">_xlfn.XLOOKUP(PAA[[#This Row],[RCP-RUBRO]],COMPROMISOS_2025[[#All],[concatenado]],COMPROMISOS_2025[[#All],[Total pagado]],"",0)</f>
        <v>#NAME?</v>
      </c>
      <c r="AI105" s="199" t="e" cm="1">
        <f t="array" aca="1" ref="AI105" ca="1">_xlfn.XLOOKUP(PAA[[#This Row],[RCP-RUBRO]],COMPROMISOS_2025[[#All],[concatenado]],COMPROMISOS_2025[[#All],[Total Comprometido]],"",0)</f>
        <v>#NAME?</v>
      </c>
    </row>
    <row r="106" spans="1:35" s="50" customFormat="1" ht="42" hidden="1" customHeight="1" x14ac:dyDescent="0.25">
      <c r="A106" s="199">
        <v>96</v>
      </c>
      <c r="B106" s="200">
        <v>80111600</v>
      </c>
      <c r="C106" s="199" t="str">
        <f>VLOOKUP(PAA[[#This Row],[PROYECTO (formulado)2]],PROYECTOS!$G$1:$L$32,6,0)</f>
        <v>SUBGERENCIA ESCENARIOS DEPORTIVOS Y EQUIPAMIENTOS</v>
      </c>
      <c r="D106" s="199" t="str">
        <f>+IF(PAA[[#This Row],[UNIDAD DE CONTRATACION (formulado)]]="Subgerencia Administrativa y Financiera","FUNCIONAMIENTO","INVERSIÓN")</f>
        <v>INVERSIÓN</v>
      </c>
      <c r="E106" s="201" t="str">
        <f>VLOOKUP(Q106,PROYECTOS!$G$1:$K$32,5,0)</f>
        <v>Mantenimiento, adecuación, mejoras de escenarios deportivos o equipamientos en el departamento de Antioquia</v>
      </c>
      <c r="F106" s="201">
        <f>VLOOKUP(E106,PROYECTOS!$K$1:$M$32,3,0)</f>
        <v>2024003050075</v>
      </c>
      <c r="G106" s="202" t="s">
        <v>245</v>
      </c>
      <c r="H106" s="202" t="str">
        <f>VLOOKUP(Q106,PROYECTOS!$V$1:$W$32,2,0)</f>
        <v>050070</v>
      </c>
      <c r="I106" s="203">
        <v>48767632</v>
      </c>
      <c r="J106" s="204" t="s">
        <v>254</v>
      </c>
      <c r="K106" s="199" t="str">
        <f t="shared" ca="1" si="7"/>
        <v>CONTRATADO</v>
      </c>
      <c r="L106" s="204" t="s">
        <v>112</v>
      </c>
      <c r="M106" s="204" t="s">
        <v>113</v>
      </c>
      <c r="N106" s="205" t="s">
        <v>249</v>
      </c>
      <c r="O106" s="204">
        <f>VLOOKUP(N106,RUBROS[#All],3,0)</f>
        <v>87</v>
      </c>
      <c r="P106" s="206" t="str">
        <f>VLOOKUP(N106,RUBROS[#All],2,0)</f>
        <v xml:space="preserve">Mantenimiento, adecuación, mejoras de escenarios deportivos o equipamientos en el departamento de Antioquia.. - Servicios prestados a las empresas y servicios de producción </v>
      </c>
      <c r="Q106" s="199" t="str">
        <f t="shared" si="8"/>
        <v>75</v>
      </c>
      <c r="R106" s="199" t="str">
        <f t="shared" si="9"/>
        <v>0-101024</v>
      </c>
      <c r="S106" s="207">
        <v>11</v>
      </c>
      <c r="T106" s="208" t="s">
        <v>46</v>
      </c>
      <c r="U106" s="209" t="e">
        <f ca="1">_xlfn.XLOOKUP(PAA[[#This Row],[ITEM]],Contrato!A:A,Contrato!Q:Q,"",0)</f>
        <v>#NAME?</v>
      </c>
      <c r="V106" s="199" t="s">
        <v>47</v>
      </c>
      <c r="W106" s="199" t="s">
        <v>48</v>
      </c>
      <c r="X106" s="199" t="s">
        <v>48</v>
      </c>
      <c r="Y106" s="210" t="e">
        <f ca="1">_xlfn.XLOOKUP(PAA[[#This Row],[ITEM]],Contrato!A:A,Contrato!B:B,"",0)</f>
        <v>#NAME?</v>
      </c>
      <c r="Z106" s="199" t="e">
        <f ca="1">_xlfn.XLOOKUP(PAA[[#This Row],[ITEM]],Contrato!A:A,Contrato!G:G,"",0)</f>
        <v>#NAME?</v>
      </c>
      <c r="AA106" s="199" t="e">
        <f ca="1">_xlfn.XLOOKUP(PAA[[#This Row],[ITEM]],Contrato!A:A,Contrato!T:T,"",0)</f>
        <v>#NAME?</v>
      </c>
      <c r="AB106" s="210" t="e">
        <f ca="1">+MAX(PAA[[#This Row],[Comprometido Contrato]],)</f>
        <v>#NAME?</v>
      </c>
      <c r="AC106" s="210" t="str">
        <f t="shared" ca="1" si="10"/>
        <v/>
      </c>
      <c r="AD106" s="210" t="e">
        <f ca="1">+MAX(PAA[[#This Row],[Pago por Contrato]],)</f>
        <v>#NAME?</v>
      </c>
      <c r="AE106" s="210" t="str">
        <f t="shared" ca="1" si="11"/>
        <v/>
      </c>
      <c r="AF106" s="199" t="e">
        <f t="shared" ca="1" si="12"/>
        <v>#NAME?</v>
      </c>
      <c r="AG106" s="199">
        <f t="shared" si="13"/>
        <v>52010902</v>
      </c>
      <c r="AH106" s="199" t="e" cm="1">
        <f t="array" aca="1" ref="AH106" ca="1">_xlfn.XLOOKUP(PAA[[#This Row],[RCP-RUBRO]],COMPROMISOS_2025[[#All],[concatenado]],COMPROMISOS_2025[[#All],[Total pagado]],"",0)</f>
        <v>#NAME?</v>
      </c>
      <c r="AI106" s="199" t="e" cm="1">
        <f t="array" aca="1" ref="AI106" ca="1">_xlfn.XLOOKUP(PAA[[#This Row],[RCP-RUBRO]],COMPROMISOS_2025[[#All],[concatenado]],COMPROMISOS_2025[[#All],[Total Comprometido]],"",0)</f>
        <v>#NAME?</v>
      </c>
    </row>
    <row r="107" spans="1:35" s="50" customFormat="1" ht="42" hidden="1" customHeight="1" x14ac:dyDescent="0.25">
      <c r="A107" s="265">
        <v>97</v>
      </c>
      <c r="B107" s="255">
        <v>80111600</v>
      </c>
      <c r="C107" s="265" t="str">
        <f>VLOOKUP(PAA[[#This Row],[PROYECTO (formulado)2]],PROYECTOS!$G$1:$L$32,6,0)</f>
        <v>SUBGERENCIA ESCENARIOS DEPORTIVOS Y EQUIPAMIENTOS</v>
      </c>
      <c r="D107" s="265" t="str">
        <f>+IF(PAA[[#This Row],[UNIDAD DE CONTRATACION (formulado)]]="Subgerencia Administrativa y Financiera","FUNCIONAMIENTO","INVERSIÓN")</f>
        <v>INVERSIÓN</v>
      </c>
      <c r="E107" s="274" t="str">
        <f>VLOOKUP(Q107,PROYECTOS!$G$1:$K$32,5,0)</f>
        <v>Mantenimiento, adecuación, mejoras de escenarios deportivos o equipamientos en el departamento de Antioquia</v>
      </c>
      <c r="F107" s="274">
        <f>VLOOKUP(E107,PROYECTOS!$K$1:$M$32,3,0)</f>
        <v>2024003050075</v>
      </c>
      <c r="G107" s="266" t="s">
        <v>245</v>
      </c>
      <c r="H107" s="266" t="str">
        <f>VLOOKUP(Q107,PROYECTOS!$V$1:$W$32,2,0)</f>
        <v>050070</v>
      </c>
      <c r="I107" s="269">
        <v>54648542</v>
      </c>
      <c r="J107" s="275" t="s">
        <v>254</v>
      </c>
      <c r="K107" s="265" t="str">
        <f t="shared" ca="1" si="7"/>
        <v>CONTRATADO</v>
      </c>
      <c r="L107" s="275" t="s">
        <v>112</v>
      </c>
      <c r="M107" s="275" t="s">
        <v>113</v>
      </c>
      <c r="N107" s="276" t="s">
        <v>249</v>
      </c>
      <c r="O107" s="275">
        <f>VLOOKUP(N107,RUBROS[#All],3,0)</f>
        <v>87</v>
      </c>
      <c r="P107" s="277" t="str">
        <f>VLOOKUP(N107,RUBROS[#All],2,0)</f>
        <v xml:space="preserve">Mantenimiento, adecuación, mejoras de escenarios deportivos o equipamientos en el departamento de Antioquia.. - Servicios prestados a las empresas y servicios de producción </v>
      </c>
      <c r="Q107" s="265" t="str">
        <f t="shared" si="8"/>
        <v>75</v>
      </c>
      <c r="R107" s="265" t="str">
        <f t="shared" si="9"/>
        <v>0-101024</v>
      </c>
      <c r="S107" s="254">
        <v>5</v>
      </c>
      <c r="T107" s="278" t="s">
        <v>46</v>
      </c>
      <c r="U107" s="272" t="e">
        <f ca="1">_xlfn.XLOOKUP(PAA[[#This Row],[ITEM]],Contrato!A:A,Contrato!Q:Q,"",0)</f>
        <v>#NAME?</v>
      </c>
      <c r="V107" s="265" t="s">
        <v>47</v>
      </c>
      <c r="W107" s="265" t="s">
        <v>154</v>
      </c>
      <c r="X107" s="265" t="s">
        <v>154</v>
      </c>
      <c r="Y107" s="273" t="e">
        <f ca="1">_xlfn.XLOOKUP(PAA[[#This Row],[ITEM]],Contrato!A:A,Contrato!B:B,"",0)</f>
        <v>#NAME?</v>
      </c>
      <c r="Z107" s="265" t="e">
        <f ca="1">_xlfn.XLOOKUP(PAA[[#This Row],[ITEM]],Contrato!A:A,Contrato!G:G,"",0)</f>
        <v>#NAME?</v>
      </c>
      <c r="AA107" s="265" t="e">
        <f ca="1">_xlfn.XLOOKUP(PAA[[#This Row],[ITEM]],Contrato!A:A,Contrato!T:T,"",0)</f>
        <v>#NAME?</v>
      </c>
      <c r="AB107" s="273" t="e">
        <f ca="1">+MAX(PAA[[#This Row],[Comprometido Contrato]],)</f>
        <v>#NAME?</v>
      </c>
      <c r="AC107" s="273" t="str">
        <f t="shared" ca="1" si="10"/>
        <v/>
      </c>
      <c r="AD107" s="273" t="e">
        <f ca="1">+MAX(PAA[[#This Row],[Pago por Contrato]],)</f>
        <v>#NAME?</v>
      </c>
      <c r="AE107" s="273" t="str">
        <f t="shared" ca="1" si="11"/>
        <v/>
      </c>
      <c r="AF107" s="265" t="e">
        <f t="shared" ca="1" si="12"/>
        <v>#NAME?</v>
      </c>
      <c r="AG107" s="265">
        <f t="shared" si="13"/>
        <v>52010902</v>
      </c>
      <c r="AH107" s="265" t="e" cm="1">
        <f t="array" aca="1" ref="AH107" ca="1">_xlfn.XLOOKUP(PAA[[#This Row],[RCP-RUBRO]],COMPROMISOS_2025[[#All],[concatenado]],COMPROMISOS_2025[[#All],[Total pagado]],"",0)</f>
        <v>#NAME?</v>
      </c>
      <c r="AI107" s="265" t="e" cm="1">
        <f t="array" aca="1" ref="AI107" ca="1">_xlfn.XLOOKUP(PAA[[#This Row],[RCP-RUBRO]],COMPROMISOS_2025[[#All],[concatenado]],COMPROMISOS_2025[[#All],[Total Comprometido]],"",0)</f>
        <v>#NAME?</v>
      </c>
    </row>
    <row r="108" spans="1:35" s="50" customFormat="1" ht="42" customHeight="1" x14ac:dyDescent="0.25">
      <c r="A108" s="57">
        <v>98</v>
      </c>
      <c r="B108" s="186">
        <v>81112501</v>
      </c>
      <c r="C108" s="57" t="str">
        <f>VLOOKUP(PAA[[#This Row],[PROYECTO (formulado)2]],PROYECTOS!$G$1:$L$32,6,0)</f>
        <v>SUBGERENCIA ESCENARIOS DEPORTIVOS Y EQUIPAMIENTOS</v>
      </c>
      <c r="D108" s="57" t="str">
        <f>+IF(PAA[[#This Row],[UNIDAD DE CONTRATACION (formulado)]]="Subgerencia Administrativa y Financiera","FUNCIONAMIENTO","INVERSIÓN")</f>
        <v>INVERSIÓN</v>
      </c>
      <c r="E108" s="153" t="str">
        <f>VLOOKUP(Q108,PROYECTOS!$G$1:$K$32,5,0)</f>
        <v>Construcción de escenarios deportivos en el departamento de Antioquia</v>
      </c>
      <c r="F108" s="153">
        <f>VLOOKUP(E108,PROYECTOS!$K$1:$M$32,3,0)</f>
        <v>2024003050076</v>
      </c>
      <c r="G108" s="154" t="s">
        <v>255</v>
      </c>
      <c r="H108" s="154" t="str">
        <f>VLOOKUP(Q108,PROYECTOS!$V$1:$W$32,2,0)</f>
        <v>050074</v>
      </c>
      <c r="I108" s="143">
        <v>85000000</v>
      </c>
      <c r="J108" s="155" t="s">
        <v>256</v>
      </c>
      <c r="K108" s="57" t="str">
        <f t="shared" ca="1" si="7"/>
        <v>CONTRATADO</v>
      </c>
      <c r="L108" s="155" t="s">
        <v>44</v>
      </c>
      <c r="M108" s="155" t="s">
        <v>44</v>
      </c>
      <c r="N108" s="142" t="s">
        <v>257</v>
      </c>
      <c r="O108" s="155">
        <f>VLOOKUP(N108,RUBROS[#All],3,0)</f>
        <v>91</v>
      </c>
      <c r="P108" s="156" t="str">
        <f>VLOOKUP(N108,RUBROS[#All],2,0)</f>
        <v>Construcción de escenarios deportivos en el departamento de Antioquia -Productos metálicos, maquinaria y equipo</v>
      </c>
      <c r="Q108" s="57" t="str">
        <f t="shared" si="8"/>
        <v>76</v>
      </c>
      <c r="R108" s="57" t="str">
        <f t="shared" si="9"/>
        <v>0-205128</v>
      </c>
      <c r="S108" s="152">
        <v>1</v>
      </c>
      <c r="T108" s="157" t="s">
        <v>46</v>
      </c>
      <c r="U108" s="162" t="e">
        <f ca="1">_xlfn.XLOOKUP(PAA[[#This Row],[ITEM]],Contrato!A:A,Contrato!Q:Q,"",0)</f>
        <v>#NAME?</v>
      </c>
      <c r="V108" s="57" t="s">
        <v>47</v>
      </c>
      <c r="W108" s="57" t="s">
        <v>154</v>
      </c>
      <c r="X108" s="57" t="s">
        <v>154</v>
      </c>
      <c r="Y108" s="58" t="e">
        <f ca="1">_xlfn.XLOOKUP(PAA[[#This Row],[ITEM]],Contrato!A:A,Contrato!B:B,"",0)</f>
        <v>#NAME?</v>
      </c>
      <c r="Z108" s="57" t="e">
        <f ca="1">_xlfn.XLOOKUP(PAA[[#This Row],[ITEM]],Contrato!A:A,Contrato!G:G,"",0)</f>
        <v>#NAME?</v>
      </c>
      <c r="AA108" s="57" t="e">
        <f ca="1">_xlfn.XLOOKUP(PAA[[#This Row],[ITEM]],Contrato!A:A,Contrato!T:T,"",0)</f>
        <v>#NAME?</v>
      </c>
      <c r="AB108" s="58" t="e">
        <f ca="1">+MAX(PAA[[#This Row],[Comprometido Contrato]],)</f>
        <v>#NAME?</v>
      </c>
      <c r="AC108" s="58" t="str">
        <f t="shared" ca="1" si="10"/>
        <v/>
      </c>
      <c r="AD108" s="58" t="e">
        <f ca="1">+MAX(PAA[[#This Row],[Pago por Contrato]],)</f>
        <v>#NAME?</v>
      </c>
      <c r="AE108" s="58" t="str">
        <f t="shared" ca="1" si="11"/>
        <v/>
      </c>
      <c r="AF108" s="57" t="e">
        <f t="shared" ca="1" si="12"/>
        <v>#NAME?</v>
      </c>
      <c r="AG108" s="57">
        <f t="shared" si="13"/>
        <v>52010901</v>
      </c>
      <c r="AH108" s="57" t="e" cm="1">
        <f t="array" aca="1" ref="AH108" ca="1">_xlfn.XLOOKUP(PAA[[#This Row],[RCP-RUBRO]],COMPROMISOS_2025[[#All],[concatenado]],COMPROMISOS_2025[[#All],[Total pagado]],"",0)</f>
        <v>#NAME?</v>
      </c>
      <c r="AI108" s="57" t="e" cm="1">
        <f t="array" aca="1" ref="AI108" ca="1">_xlfn.XLOOKUP(PAA[[#This Row],[RCP-RUBRO]],COMPROMISOS_2025[[#All],[concatenado]],COMPROMISOS_2025[[#All],[Total Comprometido]],"",0)</f>
        <v>#NAME?</v>
      </c>
    </row>
    <row r="109" spans="1:35" s="50" customFormat="1" ht="42" hidden="1" customHeight="1" x14ac:dyDescent="0.25">
      <c r="A109" s="199">
        <v>99</v>
      </c>
      <c r="B109" s="200">
        <v>80111600</v>
      </c>
      <c r="C109" s="199" t="str">
        <f>VLOOKUP(PAA[[#This Row],[PROYECTO (formulado)2]],PROYECTOS!$G$1:$L$32,6,0)</f>
        <v>SUBGERENCIA ESCENARIOS DEPORTIVOS Y EQUIPAMIENTOS</v>
      </c>
      <c r="D109" s="199" t="str">
        <f>+IF(PAA[[#This Row],[UNIDAD DE CONTRATACION (formulado)]]="Subgerencia Administrativa y Financiera","FUNCIONAMIENTO","INVERSIÓN")</f>
        <v>INVERSIÓN</v>
      </c>
      <c r="E109" s="201" t="str">
        <f>VLOOKUP(Q109,PROYECTOS!$G$1:$K$32,5,0)</f>
        <v>Construcción de escenarios deportivos en el departamento de Antioquia</v>
      </c>
      <c r="F109" s="201">
        <f>VLOOKUP(E109,PROYECTOS!$K$1:$M$32,3,0)</f>
        <v>2024003050076</v>
      </c>
      <c r="G109" s="202" t="s">
        <v>258</v>
      </c>
      <c r="H109" s="202" t="str">
        <f>VLOOKUP(Q109,PROYECTOS!$V$1:$W$32,2,0)</f>
        <v>050074</v>
      </c>
      <c r="I109" s="203">
        <v>9566189</v>
      </c>
      <c r="J109" s="204" t="s">
        <v>248</v>
      </c>
      <c r="K109" s="199" t="str">
        <f t="shared" ca="1" si="7"/>
        <v>CONTRATADO</v>
      </c>
      <c r="L109" s="204" t="s">
        <v>112</v>
      </c>
      <c r="M109" s="204" t="s">
        <v>113</v>
      </c>
      <c r="N109" s="205" t="s">
        <v>259</v>
      </c>
      <c r="O109" s="204">
        <f>VLOOKUP(N109,RUBROS[#All],3,0)</f>
        <v>92</v>
      </c>
      <c r="P109" s="206" t="str">
        <f>VLOOKUP(N109,RUBROS[#All],2,0)</f>
        <v xml:space="preserve">Construcción de escenarios deportivos en el departamento de Antioquia - Servicios prestados a las empresas y servicios de producción </v>
      </c>
      <c r="Q109" s="199" t="str">
        <f t="shared" si="8"/>
        <v>76</v>
      </c>
      <c r="R109" s="199" t="str">
        <f t="shared" si="9"/>
        <v>0-205128</v>
      </c>
      <c r="S109" s="207">
        <v>11.5</v>
      </c>
      <c r="T109" s="208" t="s">
        <v>46</v>
      </c>
      <c r="U109" s="209" t="e">
        <f ca="1">_xlfn.XLOOKUP(PAA[[#This Row],[ITEM]],Contrato!A:A,Contrato!Q:Q,"",0)</f>
        <v>#NAME?</v>
      </c>
      <c r="V109" s="199" t="s">
        <v>47</v>
      </c>
      <c r="W109" s="199" t="s">
        <v>48</v>
      </c>
      <c r="X109" s="199" t="s">
        <v>48</v>
      </c>
      <c r="Y109" s="210" t="e">
        <f ca="1">_xlfn.XLOOKUP(PAA[[#This Row],[ITEM]],Contrato!A:A,Contrato!B:B,"",0)</f>
        <v>#NAME?</v>
      </c>
      <c r="Z109" s="199" t="e">
        <f ca="1">_xlfn.XLOOKUP(PAA[[#This Row],[ITEM]],Contrato!A:A,Contrato!G:G,"",0)</f>
        <v>#NAME?</v>
      </c>
      <c r="AA109" s="199" t="e">
        <f ca="1">_xlfn.XLOOKUP(PAA[[#This Row],[ITEM]],Contrato!A:A,Contrato!T:T,"",0)</f>
        <v>#NAME?</v>
      </c>
      <c r="AB109" s="210" t="e">
        <f ca="1">+MAX(PAA[[#This Row],[Comprometido Contrato]],)</f>
        <v>#NAME?</v>
      </c>
      <c r="AC109" s="210" t="str">
        <f t="shared" ca="1" si="10"/>
        <v/>
      </c>
      <c r="AD109" s="210" t="e">
        <f ca="1">+MAX(PAA[[#This Row],[Pago por Contrato]],)</f>
        <v>#NAME?</v>
      </c>
      <c r="AE109" s="210" t="str">
        <f t="shared" ca="1" si="11"/>
        <v/>
      </c>
      <c r="AF109" s="199" t="e">
        <f t="shared" ca="1" si="12"/>
        <v>#NAME?</v>
      </c>
      <c r="AG109" s="199">
        <f t="shared" si="13"/>
        <v>52010901</v>
      </c>
      <c r="AH109" s="199" t="e" cm="1">
        <f t="array" aca="1" ref="AH109" ca="1">_xlfn.XLOOKUP(PAA[[#This Row],[RCP-RUBRO]],COMPROMISOS_2025[[#All],[concatenado]],COMPROMISOS_2025[[#All],[Total pagado]],"",0)</f>
        <v>#NAME?</v>
      </c>
      <c r="AI109" s="199" t="e" cm="1">
        <f t="array" aca="1" ref="AI109" ca="1">_xlfn.XLOOKUP(PAA[[#This Row],[RCP-RUBRO]],COMPROMISOS_2025[[#All],[concatenado]],COMPROMISOS_2025[[#All],[Total Comprometido]],"",0)</f>
        <v>#NAME?</v>
      </c>
    </row>
    <row r="110" spans="1:35" s="50" customFormat="1" ht="42" hidden="1" customHeight="1" x14ac:dyDescent="0.25">
      <c r="A110" s="199">
        <v>100</v>
      </c>
      <c r="B110" s="200">
        <v>80111600</v>
      </c>
      <c r="C110" s="199" t="str">
        <f>VLOOKUP(PAA[[#This Row],[PROYECTO (formulado)2]],PROYECTOS!$G$1:$L$32,6,0)</f>
        <v>SUBGERENCIA ESCENARIOS DEPORTIVOS Y EQUIPAMIENTOS</v>
      </c>
      <c r="D110" s="199" t="str">
        <f>+IF(PAA[[#This Row],[UNIDAD DE CONTRATACION (formulado)]]="Subgerencia Administrativa y Financiera","FUNCIONAMIENTO","INVERSIÓN")</f>
        <v>INVERSIÓN</v>
      </c>
      <c r="E110" s="201" t="str">
        <f>VLOOKUP(Q110,PROYECTOS!$G$1:$K$32,5,0)</f>
        <v>Construcción de escenarios deportivos en el departamento de Antioquia</v>
      </c>
      <c r="F110" s="201">
        <f>VLOOKUP(E110,PROYECTOS!$K$1:$M$32,3,0)</f>
        <v>2024003050076</v>
      </c>
      <c r="G110" s="202" t="s">
        <v>258</v>
      </c>
      <c r="H110" s="202" t="str">
        <f>VLOOKUP(Q110,PROYECTOS!$V$1:$W$32,2,0)</f>
        <v>050074</v>
      </c>
      <c r="I110" s="203">
        <v>26425303</v>
      </c>
      <c r="J110" s="204" t="s">
        <v>248</v>
      </c>
      <c r="K110" s="199" t="str">
        <f t="shared" ca="1" si="7"/>
        <v>CONTRATADO</v>
      </c>
      <c r="L110" s="204" t="s">
        <v>112</v>
      </c>
      <c r="M110" s="204" t="s">
        <v>113</v>
      </c>
      <c r="N110" s="205" t="s">
        <v>259</v>
      </c>
      <c r="O110" s="204">
        <f>VLOOKUP(N110,RUBROS[#All],3,0)</f>
        <v>92</v>
      </c>
      <c r="P110" s="206" t="str">
        <f>VLOOKUP(N110,RUBROS[#All],2,0)</f>
        <v xml:space="preserve">Construcción de escenarios deportivos en el departamento de Antioquia - Servicios prestados a las empresas y servicios de producción </v>
      </c>
      <c r="Q110" s="199" t="str">
        <f t="shared" si="8"/>
        <v>76</v>
      </c>
      <c r="R110" s="199" t="str">
        <f t="shared" si="9"/>
        <v>0-205128</v>
      </c>
      <c r="S110" s="207">
        <v>11.5</v>
      </c>
      <c r="T110" s="208" t="s">
        <v>46</v>
      </c>
      <c r="U110" s="209" t="e">
        <f ca="1">_xlfn.XLOOKUP(PAA[[#This Row],[ITEM]],Contrato!A:A,Contrato!Q:Q,"",0)</f>
        <v>#NAME?</v>
      </c>
      <c r="V110" s="199" t="s">
        <v>47</v>
      </c>
      <c r="W110" s="199" t="s">
        <v>48</v>
      </c>
      <c r="X110" s="199" t="s">
        <v>48</v>
      </c>
      <c r="Y110" s="210" t="e">
        <f ca="1">_xlfn.XLOOKUP(PAA[[#This Row],[ITEM]],Contrato!A:A,Contrato!B:B,"",0)</f>
        <v>#NAME?</v>
      </c>
      <c r="Z110" s="199" t="e">
        <f ca="1">_xlfn.XLOOKUP(PAA[[#This Row],[ITEM]],Contrato!A:A,Contrato!G:G,"",0)</f>
        <v>#NAME?</v>
      </c>
      <c r="AA110" s="199" t="e">
        <f ca="1">_xlfn.XLOOKUP(PAA[[#This Row],[ITEM]],Contrato!A:A,Contrato!T:T,"",0)</f>
        <v>#NAME?</v>
      </c>
      <c r="AB110" s="210" t="e">
        <f ca="1">+MAX(PAA[[#This Row],[Comprometido Contrato]],)</f>
        <v>#NAME?</v>
      </c>
      <c r="AC110" s="210" t="str">
        <f t="shared" ca="1" si="10"/>
        <v/>
      </c>
      <c r="AD110" s="210" t="e">
        <f ca="1">+MAX(PAA[[#This Row],[Pago por Contrato]],)</f>
        <v>#NAME?</v>
      </c>
      <c r="AE110" s="210" t="str">
        <f t="shared" ca="1" si="11"/>
        <v/>
      </c>
      <c r="AF110" s="199" t="e">
        <f t="shared" ca="1" si="12"/>
        <v>#NAME?</v>
      </c>
      <c r="AG110" s="199">
        <f t="shared" si="13"/>
        <v>52010901</v>
      </c>
      <c r="AH110" s="199" t="e" cm="1">
        <f t="array" aca="1" ref="AH110" ca="1">_xlfn.XLOOKUP(PAA[[#This Row],[RCP-RUBRO]],COMPROMISOS_2025[[#All],[concatenado]],COMPROMISOS_2025[[#All],[Total pagado]],"",0)</f>
        <v>#NAME?</v>
      </c>
      <c r="AI110" s="199" t="e" cm="1">
        <f t="array" aca="1" ref="AI110" ca="1">_xlfn.XLOOKUP(PAA[[#This Row],[RCP-RUBRO]],COMPROMISOS_2025[[#All],[concatenado]],COMPROMISOS_2025[[#All],[Total Comprometido]],"",0)</f>
        <v>#NAME?</v>
      </c>
    </row>
    <row r="111" spans="1:35" s="50" customFormat="1" ht="42" hidden="1" customHeight="1" x14ac:dyDescent="0.25">
      <c r="A111" s="57">
        <v>101</v>
      </c>
      <c r="B111" s="186">
        <v>80111600</v>
      </c>
      <c r="C111" s="57" t="str">
        <f>VLOOKUP(PAA[[#This Row],[PROYECTO (formulado)2]],PROYECTOS!$G$1:$L$32,6,0)</f>
        <v>SUBGERENCIA ESCENARIOS DEPORTIVOS Y EQUIPAMIENTOS</v>
      </c>
      <c r="D111" s="57" t="str">
        <f>+IF(PAA[[#This Row],[UNIDAD DE CONTRATACION (formulado)]]="Subgerencia Administrativa y Financiera","FUNCIONAMIENTO","INVERSIÓN")</f>
        <v>INVERSIÓN</v>
      </c>
      <c r="E111" s="153" t="str">
        <f>VLOOKUP(Q111,PROYECTOS!$G$1:$K$32,5,0)</f>
        <v>Construcción de escenarios deportivos en el departamento de Antioquia</v>
      </c>
      <c r="F111" s="153">
        <f>VLOOKUP(E111,PROYECTOS!$K$1:$M$32,3,0)</f>
        <v>2024003050076</v>
      </c>
      <c r="G111" s="154" t="s">
        <v>258</v>
      </c>
      <c r="H111" s="154" t="str">
        <f>VLOOKUP(Q111,PROYECTOS!$V$1:$W$32,2,0)</f>
        <v>050074</v>
      </c>
      <c r="I111" s="143">
        <v>105654929</v>
      </c>
      <c r="J111" s="155" t="s">
        <v>248</v>
      </c>
      <c r="K111" s="57" t="str">
        <f t="shared" ca="1" si="7"/>
        <v>CONTRATADO</v>
      </c>
      <c r="L111" s="155" t="s">
        <v>112</v>
      </c>
      <c r="M111" s="155" t="s">
        <v>113</v>
      </c>
      <c r="N111" s="142" t="s">
        <v>259</v>
      </c>
      <c r="O111" s="155">
        <f>VLOOKUP(N111,RUBROS[#All],3,0)</f>
        <v>92</v>
      </c>
      <c r="P111" s="156" t="str">
        <f>VLOOKUP(N111,RUBROS[#All],2,0)</f>
        <v xml:space="preserve">Construcción de escenarios deportivos en el departamento de Antioquia - Servicios prestados a las empresas y servicios de producción </v>
      </c>
      <c r="Q111" s="57" t="str">
        <f t="shared" si="8"/>
        <v>76</v>
      </c>
      <c r="R111" s="57" t="str">
        <f t="shared" si="9"/>
        <v>0-205128</v>
      </c>
      <c r="S111" s="152">
        <v>11.5</v>
      </c>
      <c r="T111" s="157" t="s">
        <v>46</v>
      </c>
      <c r="U111" s="162" t="e">
        <f ca="1">_xlfn.XLOOKUP(PAA[[#This Row],[ITEM]],Contrato!A:A,Contrato!Q:Q,"",0)</f>
        <v>#NAME?</v>
      </c>
      <c r="V111" s="57" t="s">
        <v>47</v>
      </c>
      <c r="W111" s="57" t="s">
        <v>48</v>
      </c>
      <c r="X111" s="57" t="s">
        <v>48</v>
      </c>
      <c r="Y111" s="58" t="e">
        <f ca="1">_xlfn.XLOOKUP(PAA[[#This Row],[ITEM]],Contrato!A:A,Contrato!B:B,"",0)</f>
        <v>#NAME?</v>
      </c>
      <c r="Z111" s="57" t="e">
        <f ca="1">_xlfn.XLOOKUP(PAA[[#This Row],[ITEM]],Contrato!A:A,Contrato!G:G,"",0)</f>
        <v>#NAME?</v>
      </c>
      <c r="AA111" s="57" t="e">
        <f ca="1">_xlfn.XLOOKUP(PAA[[#This Row],[ITEM]],Contrato!A:A,Contrato!T:T,"",0)</f>
        <v>#NAME?</v>
      </c>
      <c r="AB111" s="58" t="e">
        <f ca="1">+MAX(PAA[[#This Row],[Comprometido Contrato]],)</f>
        <v>#NAME?</v>
      </c>
      <c r="AC111" s="58" t="str">
        <f t="shared" ca="1" si="10"/>
        <v/>
      </c>
      <c r="AD111" s="58" t="e">
        <f ca="1">+MAX(PAA[[#This Row],[Pago por Contrato]],)</f>
        <v>#NAME?</v>
      </c>
      <c r="AE111" s="58" t="str">
        <f t="shared" ca="1" si="11"/>
        <v/>
      </c>
      <c r="AF111" s="57" t="e">
        <f t="shared" ca="1" si="12"/>
        <v>#NAME?</v>
      </c>
      <c r="AG111" s="57">
        <f t="shared" si="13"/>
        <v>52010901</v>
      </c>
      <c r="AH111" s="57" t="e" cm="1">
        <f t="array" aca="1" ref="AH111" ca="1">_xlfn.XLOOKUP(PAA[[#This Row],[RCP-RUBRO]],COMPROMISOS_2025[[#All],[concatenado]],COMPROMISOS_2025[[#All],[Total pagado]],"",0)</f>
        <v>#NAME?</v>
      </c>
      <c r="AI111" s="57" t="e" cm="1">
        <f t="array" aca="1" ref="AI111" ca="1">_xlfn.XLOOKUP(PAA[[#This Row],[RCP-RUBRO]],COMPROMISOS_2025[[#All],[concatenado]],COMPROMISOS_2025[[#All],[Total Comprometido]],"",0)</f>
        <v>#NAME?</v>
      </c>
    </row>
    <row r="112" spans="1:35" s="50" customFormat="1" ht="42" hidden="1" customHeight="1" x14ac:dyDescent="0.25">
      <c r="A112" s="57">
        <v>102</v>
      </c>
      <c r="B112" s="186">
        <v>80111600</v>
      </c>
      <c r="C112" s="57" t="str">
        <f>VLOOKUP(PAA[[#This Row],[PROYECTO (formulado)2]],PROYECTOS!$G$1:$L$32,6,0)</f>
        <v>SUBGERENCIA ESCENARIOS DEPORTIVOS Y EQUIPAMIENTOS</v>
      </c>
      <c r="D112" s="57" t="str">
        <f>+IF(PAA[[#This Row],[UNIDAD DE CONTRATACION (formulado)]]="Subgerencia Administrativa y Financiera","FUNCIONAMIENTO","INVERSIÓN")</f>
        <v>INVERSIÓN</v>
      </c>
      <c r="E112" s="153" t="str">
        <f>VLOOKUP(Q112,PROYECTOS!$G$1:$K$32,5,0)</f>
        <v>Construcción de escenarios deportivos en el departamento de Antioquia</v>
      </c>
      <c r="F112" s="153">
        <f>VLOOKUP(E112,PROYECTOS!$K$1:$M$32,3,0)</f>
        <v>2024003050076</v>
      </c>
      <c r="G112" s="154" t="s">
        <v>258</v>
      </c>
      <c r="H112" s="154" t="str">
        <f>VLOOKUP(Q112,PROYECTOS!$V$1:$W$32,2,0)</f>
        <v>050074</v>
      </c>
      <c r="I112" s="143">
        <v>105654929</v>
      </c>
      <c r="J112" s="155" t="s">
        <v>248</v>
      </c>
      <c r="K112" s="57" t="str">
        <f t="shared" ca="1" si="7"/>
        <v>CONTRATADO</v>
      </c>
      <c r="L112" s="155" t="s">
        <v>112</v>
      </c>
      <c r="M112" s="155" t="s">
        <v>113</v>
      </c>
      <c r="N112" s="142" t="s">
        <v>259</v>
      </c>
      <c r="O112" s="155">
        <f>VLOOKUP(N112,RUBROS[#All],3,0)</f>
        <v>92</v>
      </c>
      <c r="P112" s="156" t="str">
        <f>VLOOKUP(N112,RUBROS[#All],2,0)</f>
        <v xml:space="preserve">Construcción de escenarios deportivos en el departamento de Antioquia - Servicios prestados a las empresas y servicios de producción </v>
      </c>
      <c r="Q112" s="57" t="str">
        <f t="shared" si="8"/>
        <v>76</v>
      </c>
      <c r="R112" s="57" t="str">
        <f t="shared" si="9"/>
        <v>0-205128</v>
      </c>
      <c r="S112" s="152">
        <v>11.5</v>
      </c>
      <c r="T112" s="157" t="s">
        <v>46</v>
      </c>
      <c r="U112" s="162" t="e">
        <f ca="1">_xlfn.XLOOKUP(PAA[[#This Row],[ITEM]],Contrato!A:A,Contrato!Q:Q,"",0)</f>
        <v>#NAME?</v>
      </c>
      <c r="V112" s="57" t="s">
        <v>47</v>
      </c>
      <c r="W112" s="57" t="s">
        <v>48</v>
      </c>
      <c r="X112" s="57" t="s">
        <v>48</v>
      </c>
      <c r="Y112" s="58" t="e">
        <f ca="1">_xlfn.XLOOKUP(PAA[[#This Row],[ITEM]],Contrato!A:A,Contrato!B:B,"",0)</f>
        <v>#NAME?</v>
      </c>
      <c r="Z112" s="57" t="e">
        <f ca="1">_xlfn.XLOOKUP(PAA[[#This Row],[ITEM]],Contrato!A:A,Contrato!G:G,"",0)</f>
        <v>#NAME?</v>
      </c>
      <c r="AA112" s="57" t="e">
        <f ca="1">_xlfn.XLOOKUP(PAA[[#This Row],[ITEM]],Contrato!A:A,Contrato!T:T,"",0)</f>
        <v>#NAME?</v>
      </c>
      <c r="AB112" s="58" t="e">
        <f ca="1">+MAX(PAA[[#This Row],[Comprometido Contrato]],)</f>
        <v>#NAME?</v>
      </c>
      <c r="AC112" s="58" t="str">
        <f t="shared" ca="1" si="10"/>
        <v/>
      </c>
      <c r="AD112" s="58" t="e">
        <f ca="1">+MAX(PAA[[#This Row],[Pago por Contrato]],)</f>
        <v>#NAME?</v>
      </c>
      <c r="AE112" s="58" t="str">
        <f t="shared" ca="1" si="11"/>
        <v/>
      </c>
      <c r="AF112" s="57" t="e">
        <f t="shared" ca="1" si="12"/>
        <v>#NAME?</v>
      </c>
      <c r="AG112" s="57">
        <f t="shared" si="13"/>
        <v>52010901</v>
      </c>
      <c r="AH112" s="57" t="e" cm="1">
        <f t="array" aca="1" ref="AH112" ca="1">_xlfn.XLOOKUP(PAA[[#This Row],[RCP-RUBRO]],COMPROMISOS_2025[[#All],[concatenado]],COMPROMISOS_2025[[#All],[Total pagado]],"",0)</f>
        <v>#NAME?</v>
      </c>
      <c r="AI112" s="57" t="e" cm="1">
        <f t="array" aca="1" ref="AI112" ca="1">_xlfn.XLOOKUP(PAA[[#This Row],[RCP-RUBRO]],COMPROMISOS_2025[[#All],[concatenado]],COMPROMISOS_2025[[#All],[Total Comprometido]],"",0)</f>
        <v>#NAME?</v>
      </c>
    </row>
    <row r="113" spans="1:35" s="50" customFormat="1" ht="42" hidden="1" customHeight="1" x14ac:dyDescent="0.25">
      <c r="A113" s="57">
        <v>103</v>
      </c>
      <c r="B113" s="186">
        <v>80111600</v>
      </c>
      <c r="C113" s="57" t="str">
        <f>VLOOKUP(PAA[[#This Row],[PROYECTO (formulado)2]],PROYECTOS!$G$1:$L$32,6,0)</f>
        <v>SUBGERENCIA ESCENARIOS DEPORTIVOS Y EQUIPAMIENTOS</v>
      </c>
      <c r="D113" s="57" t="str">
        <f>+IF(PAA[[#This Row],[UNIDAD DE CONTRATACION (formulado)]]="Subgerencia Administrativa y Financiera","FUNCIONAMIENTO","INVERSIÓN")</f>
        <v>INVERSIÓN</v>
      </c>
      <c r="E113" s="153" t="str">
        <f>VLOOKUP(Q113,PROYECTOS!$G$1:$K$32,5,0)</f>
        <v>Construcción de escenarios deportivos en el departamento de Antioquia</v>
      </c>
      <c r="F113" s="153">
        <f>VLOOKUP(E113,PROYECTOS!$K$1:$M$32,3,0)</f>
        <v>2024003050076</v>
      </c>
      <c r="G113" s="154" t="s">
        <v>258</v>
      </c>
      <c r="H113" s="154" t="str">
        <f>VLOOKUP(Q113,PROYECTOS!$V$1:$W$32,2,0)</f>
        <v>050074</v>
      </c>
      <c r="I113" s="143">
        <v>94507726</v>
      </c>
      <c r="J113" s="155" t="s">
        <v>248</v>
      </c>
      <c r="K113" s="57" t="str">
        <f t="shared" ca="1" si="7"/>
        <v>CONTRATADO</v>
      </c>
      <c r="L113" s="155" t="s">
        <v>112</v>
      </c>
      <c r="M113" s="155" t="s">
        <v>113</v>
      </c>
      <c r="N113" s="142" t="s">
        <v>259</v>
      </c>
      <c r="O113" s="155">
        <f>VLOOKUP(N113,RUBROS[#All],3,0)</f>
        <v>92</v>
      </c>
      <c r="P113" s="156" t="str">
        <f>VLOOKUP(N113,RUBROS[#All],2,0)</f>
        <v xml:space="preserve">Construcción de escenarios deportivos en el departamento de Antioquia - Servicios prestados a las empresas y servicios de producción </v>
      </c>
      <c r="Q113" s="57" t="str">
        <f t="shared" si="8"/>
        <v>76</v>
      </c>
      <c r="R113" s="57" t="str">
        <f t="shared" si="9"/>
        <v>0-205128</v>
      </c>
      <c r="S113" s="152">
        <v>11.5</v>
      </c>
      <c r="T113" s="157" t="s">
        <v>46</v>
      </c>
      <c r="U113" s="162" t="e">
        <f ca="1">_xlfn.XLOOKUP(PAA[[#This Row],[ITEM]],Contrato!A:A,Contrato!Q:Q,"",0)</f>
        <v>#NAME?</v>
      </c>
      <c r="V113" s="57" t="s">
        <v>47</v>
      </c>
      <c r="W113" s="57" t="s">
        <v>48</v>
      </c>
      <c r="X113" s="57" t="s">
        <v>48</v>
      </c>
      <c r="Y113" s="58" t="e">
        <f ca="1">_xlfn.XLOOKUP(PAA[[#This Row],[ITEM]],Contrato!A:A,Contrato!B:B,"",0)</f>
        <v>#NAME?</v>
      </c>
      <c r="Z113" s="57" t="e">
        <f ca="1">_xlfn.XLOOKUP(PAA[[#This Row],[ITEM]],Contrato!A:A,Contrato!G:G,"",0)</f>
        <v>#NAME?</v>
      </c>
      <c r="AA113" s="57" t="e">
        <f ca="1">_xlfn.XLOOKUP(PAA[[#This Row],[ITEM]],Contrato!A:A,Contrato!T:T,"",0)</f>
        <v>#NAME?</v>
      </c>
      <c r="AB113" s="58" t="e">
        <f ca="1">+MAX(PAA[[#This Row],[Comprometido Contrato]],)</f>
        <v>#NAME?</v>
      </c>
      <c r="AC113" s="58" t="str">
        <f t="shared" ca="1" si="10"/>
        <v/>
      </c>
      <c r="AD113" s="58" t="e">
        <f ca="1">+MAX(PAA[[#This Row],[Pago por Contrato]],)</f>
        <v>#NAME?</v>
      </c>
      <c r="AE113" s="58" t="str">
        <f t="shared" ca="1" si="11"/>
        <v/>
      </c>
      <c r="AF113" s="57" t="e">
        <f t="shared" ca="1" si="12"/>
        <v>#NAME?</v>
      </c>
      <c r="AG113" s="57">
        <f t="shared" si="13"/>
        <v>52010901</v>
      </c>
      <c r="AH113" s="57" t="e" cm="1">
        <f t="array" aca="1" ref="AH113" ca="1">_xlfn.XLOOKUP(PAA[[#This Row],[RCP-RUBRO]],COMPROMISOS_2025[[#All],[concatenado]],COMPROMISOS_2025[[#All],[Total pagado]],"",0)</f>
        <v>#NAME?</v>
      </c>
      <c r="AI113" s="57" t="e" cm="1">
        <f t="array" aca="1" ref="AI113" ca="1">_xlfn.XLOOKUP(PAA[[#This Row],[RCP-RUBRO]],COMPROMISOS_2025[[#All],[concatenado]],COMPROMISOS_2025[[#All],[Total Comprometido]],"",0)</f>
        <v>#NAME?</v>
      </c>
    </row>
    <row r="114" spans="1:35" s="50" customFormat="1" ht="42" hidden="1" customHeight="1" x14ac:dyDescent="0.25">
      <c r="A114" s="199">
        <v>104</v>
      </c>
      <c r="B114" s="200">
        <v>80111600</v>
      </c>
      <c r="C114" s="199" t="str">
        <f>VLOOKUP(PAA[[#This Row],[PROYECTO (formulado)2]],PROYECTOS!$G$1:$L$32,6,0)</f>
        <v>SUBGERENCIA ESCENARIOS DEPORTIVOS Y EQUIPAMIENTOS</v>
      </c>
      <c r="D114" s="199" t="str">
        <f>+IF(PAA[[#This Row],[UNIDAD DE CONTRATACION (formulado)]]="Subgerencia Administrativa y Financiera","FUNCIONAMIENTO","INVERSIÓN")</f>
        <v>INVERSIÓN</v>
      </c>
      <c r="E114" s="201" t="str">
        <f>VLOOKUP(Q114,PROYECTOS!$G$1:$K$32,5,0)</f>
        <v>Construcción de escenarios deportivos en el departamento de Antioquia</v>
      </c>
      <c r="F114" s="201">
        <f>VLOOKUP(E114,PROYECTOS!$K$1:$M$32,3,0)</f>
        <v>2024003050076</v>
      </c>
      <c r="G114" s="202" t="s">
        <v>258</v>
      </c>
      <c r="H114" s="202" t="str">
        <f>VLOOKUP(Q114,PROYECTOS!$V$1:$W$32,2,0)</f>
        <v>050074</v>
      </c>
      <c r="I114" s="203">
        <v>31473579</v>
      </c>
      <c r="J114" s="204" t="s">
        <v>248</v>
      </c>
      <c r="K114" s="199" t="str">
        <f t="shared" ca="1" si="7"/>
        <v>CONTRATADO</v>
      </c>
      <c r="L114" s="204" t="s">
        <v>112</v>
      </c>
      <c r="M114" s="204" t="s">
        <v>113</v>
      </c>
      <c r="N114" s="205" t="s">
        <v>259</v>
      </c>
      <c r="O114" s="204">
        <f>VLOOKUP(N114,RUBROS[#All],3,0)</f>
        <v>92</v>
      </c>
      <c r="P114" s="206" t="str">
        <f>VLOOKUP(N114,RUBROS[#All],2,0)</f>
        <v xml:space="preserve">Construcción de escenarios deportivos en el departamento de Antioquia - Servicios prestados a las empresas y servicios de producción </v>
      </c>
      <c r="Q114" s="199" t="str">
        <f t="shared" si="8"/>
        <v>76</v>
      </c>
      <c r="R114" s="199" t="str">
        <f t="shared" si="9"/>
        <v>0-205128</v>
      </c>
      <c r="S114" s="207">
        <v>11.5</v>
      </c>
      <c r="T114" s="208" t="s">
        <v>46</v>
      </c>
      <c r="U114" s="209" t="e">
        <f ca="1">_xlfn.XLOOKUP(PAA[[#This Row],[ITEM]],Contrato!A:A,Contrato!Q:Q,"",0)</f>
        <v>#NAME?</v>
      </c>
      <c r="V114" s="199" t="s">
        <v>47</v>
      </c>
      <c r="W114" s="199" t="s">
        <v>48</v>
      </c>
      <c r="X114" s="199" t="s">
        <v>48</v>
      </c>
      <c r="Y114" s="210" t="e">
        <f ca="1">_xlfn.XLOOKUP(PAA[[#This Row],[ITEM]],Contrato!A:A,Contrato!B:B,"",0)</f>
        <v>#NAME?</v>
      </c>
      <c r="Z114" s="199" t="e">
        <f ca="1">_xlfn.XLOOKUP(PAA[[#This Row],[ITEM]],Contrato!A:A,Contrato!G:G,"",0)</f>
        <v>#NAME?</v>
      </c>
      <c r="AA114" s="199" t="e">
        <f ca="1">_xlfn.XLOOKUP(PAA[[#This Row],[ITEM]],Contrato!A:A,Contrato!T:T,"",0)</f>
        <v>#NAME?</v>
      </c>
      <c r="AB114" s="210" t="e">
        <f ca="1">+MAX(PAA[[#This Row],[Comprometido Contrato]],)</f>
        <v>#NAME?</v>
      </c>
      <c r="AC114" s="210" t="str">
        <f t="shared" ca="1" si="10"/>
        <v/>
      </c>
      <c r="AD114" s="210" t="e">
        <f ca="1">+MAX(PAA[[#This Row],[Pago por Contrato]],)</f>
        <v>#NAME?</v>
      </c>
      <c r="AE114" s="210" t="str">
        <f t="shared" ca="1" si="11"/>
        <v/>
      </c>
      <c r="AF114" s="199" t="e">
        <f t="shared" ca="1" si="12"/>
        <v>#NAME?</v>
      </c>
      <c r="AG114" s="199">
        <f t="shared" si="13"/>
        <v>52010901</v>
      </c>
      <c r="AH114" s="199" t="e" cm="1">
        <f t="array" aca="1" ref="AH114" ca="1">_xlfn.XLOOKUP(PAA[[#This Row],[RCP-RUBRO]],COMPROMISOS_2025[[#All],[concatenado]],COMPROMISOS_2025[[#All],[Total pagado]],"",0)</f>
        <v>#NAME?</v>
      </c>
      <c r="AI114" s="199" t="e" cm="1">
        <f t="array" aca="1" ref="AI114" ca="1">_xlfn.XLOOKUP(PAA[[#This Row],[RCP-RUBRO]],COMPROMISOS_2025[[#All],[concatenado]],COMPROMISOS_2025[[#All],[Total Comprometido]],"",0)</f>
        <v>#NAME?</v>
      </c>
    </row>
    <row r="115" spans="1:35" s="50" customFormat="1" ht="42" hidden="1" customHeight="1" x14ac:dyDescent="0.25">
      <c r="A115" s="436">
        <v>615</v>
      </c>
      <c r="B115" s="418">
        <v>72101500</v>
      </c>
      <c r="C115" s="436" t="str">
        <f>VLOOKUP(PAA[[#This Row],[PROYECTO (formulado)2]],PROYECTOS!$G$1:$L$32,6,0)</f>
        <v>SUBGERENCIA ESCENARIOS DEPORTIVOS Y EQUIPAMIENTOS</v>
      </c>
      <c r="D115" s="436" t="str">
        <f>+IF(PAA[[#This Row],[UNIDAD DE CONTRATACION (formulado)]]="Subgerencia Administrativa y Financiera","FUNCIONAMIENTO","INVERSIÓN")</f>
        <v>INVERSIÓN</v>
      </c>
      <c r="E115" s="446" t="str">
        <f>VLOOKUP(Q115,PROYECTOS!$G$1:$K$32,5,0)</f>
        <v>Construcción de escenarios deportivos en el departamento de Antioquia</v>
      </c>
      <c r="F115" s="446">
        <f>VLOOKUP(E115,PROYECTOS!$K$1:$M$32,3,0)</f>
        <v>2024003050076</v>
      </c>
      <c r="G115" s="439" t="s">
        <v>255</v>
      </c>
      <c r="H115" s="439" t="str">
        <f>VLOOKUP(Q115,PROYECTOS!$V$1:$W$32,2,0)</f>
        <v>050074</v>
      </c>
      <c r="I115" s="440">
        <v>210000000</v>
      </c>
      <c r="J115" s="442" t="s">
        <v>260</v>
      </c>
      <c r="K115" s="436" t="str">
        <f ca="1">IF(ISNONTEXT(Y115)=TRUE,"CONTRATADO","NO CONTRATADO")</f>
        <v>CONTRATADO</v>
      </c>
      <c r="L115" s="442" t="s">
        <v>112</v>
      </c>
      <c r="M115" s="442" t="s">
        <v>241</v>
      </c>
      <c r="N115" s="447" t="s">
        <v>261</v>
      </c>
      <c r="O115" s="442">
        <f>VLOOKUP(N115,RUBROS[#All],3,0)</f>
        <v>105</v>
      </c>
      <c r="P115" s="448" t="str">
        <f>VLOOKUP(N115,RUBROS[#All],2,0)</f>
        <v>Construcción De Escenarios Deportivos En El Departamento De Antioquia - Construcción Y Servicios De La Construcción</v>
      </c>
      <c r="Q115" s="436" t="str">
        <f>+MID(N115,11,2)</f>
        <v>76</v>
      </c>
      <c r="R115" s="436" t="str">
        <f>+MID(N115,14,8)</f>
        <v>0-205128</v>
      </c>
      <c r="S115" s="417">
        <v>1</v>
      </c>
      <c r="T115" s="443" t="s">
        <v>46</v>
      </c>
      <c r="U115" s="444" t="e">
        <f ca="1">_xlfn.XLOOKUP(PAA[[#This Row],[ITEM]],Contrato!A:A,Contrato!Q:Q,"",0)</f>
        <v>#NAME?</v>
      </c>
      <c r="V115" s="436" t="s">
        <v>47</v>
      </c>
      <c r="W115" s="436" t="s">
        <v>133</v>
      </c>
      <c r="X115" s="436" t="s">
        <v>133</v>
      </c>
      <c r="Y115" s="445" t="e">
        <f ca="1">_xlfn.XLOOKUP(PAA[[#This Row],[ITEM]],Contrato!A:A,Contrato!B:B,"",0)</f>
        <v>#NAME?</v>
      </c>
      <c r="Z115" s="436" t="e">
        <f ca="1">_xlfn.XLOOKUP(PAA[[#This Row],[ITEM]],Contrato!A:A,Contrato!G:G,"",0)</f>
        <v>#NAME?</v>
      </c>
      <c r="AA115" s="436" t="e">
        <f ca="1">_xlfn.XLOOKUP(PAA[[#This Row],[ITEM]],Contrato!A:A,Contrato!T:T,"",0)</f>
        <v>#NAME?</v>
      </c>
      <c r="AB115" s="445" t="e">
        <f ca="1">+MAX(PAA[[#This Row],[Comprometido Contrato]],)</f>
        <v>#NAME?</v>
      </c>
      <c r="AC115" s="445" t="str">
        <f ca="1">IFERROR(I115-AB115,"")</f>
        <v/>
      </c>
      <c r="AD115" s="445" t="e">
        <f ca="1">+MAX(PAA[[#This Row],[Pago por Contrato]],)</f>
        <v>#NAME?</v>
      </c>
      <c r="AE115" s="445" t="str">
        <f ca="1">+IFERROR(AB115-AD115,"")</f>
        <v/>
      </c>
      <c r="AF115" s="436" t="e">
        <f ca="1">+CONCATENATE(AA115,N115)</f>
        <v>#NAME?</v>
      </c>
      <c r="AG115" s="436">
        <f>IFERROR(_xlfn.NUMBERVALUE(MID(G115,1,8)),"")</f>
        <v>52010901</v>
      </c>
      <c r="AH115" s="436" t="e" cm="1">
        <f t="array" aca="1" ref="AH115" ca="1">_xlfn.XLOOKUP(PAA[[#This Row],[RCP-RUBRO]],COMPROMISOS_2025[[#All],[concatenado]],COMPROMISOS_2025[[#All],[Total pagado]],"",0)</f>
        <v>#NAME?</v>
      </c>
      <c r="AI115" s="436" t="e" cm="1">
        <f t="array" aca="1" ref="AI115" ca="1">_xlfn.XLOOKUP(PAA[[#This Row],[RCP-RUBRO]],COMPROMISOS_2025[[#All],[concatenado]],COMPROMISOS_2025[[#All],[Total Comprometido]],"",0)</f>
        <v>#NAME?</v>
      </c>
    </row>
    <row r="116" spans="1:35" s="50" customFormat="1" ht="42" hidden="1" customHeight="1" x14ac:dyDescent="0.25">
      <c r="A116" s="436">
        <v>105</v>
      </c>
      <c r="B116" s="418">
        <v>72101500</v>
      </c>
      <c r="C116" s="436" t="str">
        <f>VLOOKUP(PAA[[#This Row],[PROYECTO (formulado)2]],PROYECTOS!$G$1:$L$32,6,0)</f>
        <v>SUBGERENCIA ESCENARIOS DEPORTIVOS Y EQUIPAMIENTOS</v>
      </c>
      <c r="D116" s="436" t="str">
        <f>+IF(PAA[[#This Row],[UNIDAD DE CONTRATACION (formulado)]]="Subgerencia Administrativa y Financiera","FUNCIONAMIENTO","INVERSIÓN")</f>
        <v>INVERSIÓN</v>
      </c>
      <c r="E116" s="446" t="str">
        <f>VLOOKUP(Q116,PROYECTOS!$G$1:$K$32,5,0)</f>
        <v>Construcción de escenarios deportivos en el departamento de Antioquia</v>
      </c>
      <c r="F116" s="446">
        <f>VLOOKUP(E116,PROYECTOS!$K$1:$M$32,3,0)</f>
        <v>2024003050076</v>
      </c>
      <c r="G116" s="439" t="s">
        <v>255</v>
      </c>
      <c r="H116" s="439" t="str">
        <f>VLOOKUP(Q116,PROYECTOS!$V$1:$W$32,2,0)</f>
        <v>050074</v>
      </c>
      <c r="I116" s="440">
        <v>1534835906</v>
      </c>
      <c r="J116" s="442" t="s">
        <v>262</v>
      </c>
      <c r="K116" s="436" t="str">
        <f t="shared" ca="1" si="7"/>
        <v>CONTRATADO</v>
      </c>
      <c r="L116" s="442" t="s">
        <v>112</v>
      </c>
      <c r="M116" s="442" t="s">
        <v>241</v>
      </c>
      <c r="N116" s="447" t="s">
        <v>263</v>
      </c>
      <c r="O116" s="442">
        <f>VLOOKUP(N116,RUBROS[#All],3,0)</f>
        <v>93</v>
      </c>
      <c r="P116" s="448" t="str">
        <f>VLOOKUP(N116,RUBROS[#All],2,0)</f>
        <v xml:space="preserve">Construcción de escenarios deportivos en el departamento de Antioquia -Para la adquisición de activos no financieros </v>
      </c>
      <c r="Q116" s="436" t="str">
        <f t="shared" si="8"/>
        <v>76</v>
      </c>
      <c r="R116" s="436" t="str">
        <f t="shared" si="9"/>
        <v>0-205128</v>
      </c>
      <c r="S116" s="417">
        <v>11</v>
      </c>
      <c r="T116" s="449" t="s">
        <v>46</v>
      </c>
      <c r="U116" s="444" t="e">
        <f ca="1">_xlfn.XLOOKUP(PAA[[#This Row],[ITEM]],Contrato!A:A,Contrato!Q:Q,"",0)</f>
        <v>#NAME?</v>
      </c>
      <c r="V116" s="436" t="s">
        <v>47</v>
      </c>
      <c r="W116" s="436" t="s">
        <v>48</v>
      </c>
      <c r="X116" s="436" t="s">
        <v>48</v>
      </c>
      <c r="Y116" s="445" t="e">
        <f ca="1">_xlfn.XLOOKUP(PAA[[#This Row],[ITEM]],Contrato!A:A,Contrato!B:B,"",0)</f>
        <v>#NAME?</v>
      </c>
      <c r="Z116" s="436" t="e">
        <f ca="1">_xlfn.XLOOKUP(PAA[[#This Row],[ITEM]],Contrato!A:A,Contrato!G:G,"",0)</f>
        <v>#NAME?</v>
      </c>
      <c r="AA116" s="436" t="e">
        <f ca="1">_xlfn.XLOOKUP(PAA[[#This Row],[ITEM]],Contrato!A:A,Contrato!T:T,"",0)</f>
        <v>#NAME?</v>
      </c>
      <c r="AB116" s="445" t="e">
        <f ca="1">+MAX(PAA[[#This Row],[Comprometido Contrato]],)</f>
        <v>#NAME?</v>
      </c>
      <c r="AC116" s="445" t="str">
        <f t="shared" ca="1" si="10"/>
        <v/>
      </c>
      <c r="AD116" s="445" t="e">
        <f ca="1">+MAX(PAA[[#This Row],[Pago por Contrato]],)</f>
        <v>#NAME?</v>
      </c>
      <c r="AE116" s="445" t="str">
        <f t="shared" ca="1" si="11"/>
        <v/>
      </c>
      <c r="AF116" s="436" t="e">
        <f t="shared" ca="1" si="12"/>
        <v>#NAME?</v>
      </c>
      <c r="AG116" s="436">
        <f t="shared" si="13"/>
        <v>52010901</v>
      </c>
      <c r="AH116" s="436" t="e" cm="1">
        <f t="array" aca="1" ref="AH116" ca="1">_xlfn.XLOOKUP(PAA[[#This Row],[RCP-RUBRO]],COMPROMISOS_2025[[#All],[concatenado]],COMPROMISOS_2025[[#All],[Total pagado]],"",0)</f>
        <v>#NAME?</v>
      </c>
      <c r="AI116" s="436" t="e" cm="1">
        <f t="array" aca="1" ref="AI116" ca="1">_xlfn.XLOOKUP(PAA[[#This Row],[RCP-RUBRO]],COMPROMISOS_2025[[#All],[concatenado]],COMPROMISOS_2025[[#All],[Total Comprometido]],"",0)</f>
        <v>#NAME?</v>
      </c>
    </row>
    <row r="117" spans="1:35" s="50" customFormat="1" ht="42" hidden="1" customHeight="1" x14ac:dyDescent="0.25">
      <c r="A117" s="199">
        <v>107</v>
      </c>
      <c r="B117" s="212">
        <v>80111600</v>
      </c>
      <c r="C117" s="199" t="str">
        <f>VLOOKUP(PAA[[#This Row],[PROYECTO (formulado)2]],PROYECTOS!$G$1:$L$32,6,0)</f>
        <v>SUBGERENCIA DE FOMENTO Y DESARROLLO</v>
      </c>
      <c r="D117" s="199" t="str">
        <f>+IF(PAA[[#This Row],[UNIDAD DE CONTRATACION (formulado)]]="Subgerencia Administrativa y Financiera","FUNCIONAMIENTO","INVERSIÓN")</f>
        <v>INVERSIÓN</v>
      </c>
      <c r="E117" s="201" t="str">
        <f>VLOOKUP(Q117,PROYECTOS!$G$1:$K$32,5,0)</f>
        <v>Desarrollo y promoción del deporte formativo, la recreación y la actividad física en el departamento Antioquia</v>
      </c>
      <c r="F117" s="201">
        <f>VLOOKUP(E117,PROYECTOS!$K$1:$M$32,3,0)</f>
        <v>2024003050101</v>
      </c>
      <c r="G117" s="202" t="s">
        <v>264</v>
      </c>
      <c r="H117" s="202" t="str">
        <f>VLOOKUP(Q117,PROYECTOS!$V$1:$W$32,2,0)</f>
        <v>050075</v>
      </c>
      <c r="I117" s="203">
        <v>12034880</v>
      </c>
      <c r="J117" s="204" t="s">
        <v>265</v>
      </c>
      <c r="K117" s="199" t="str">
        <f t="shared" ca="1" si="7"/>
        <v>CONTRATADO</v>
      </c>
      <c r="L117" s="204" t="s">
        <v>112</v>
      </c>
      <c r="M117" s="204" t="s">
        <v>113</v>
      </c>
      <c r="N117" s="205" t="s">
        <v>266</v>
      </c>
      <c r="O117" s="204">
        <f>VLOOKUP(N117,RUBROS[#All],3,0)</f>
        <v>70</v>
      </c>
      <c r="P117" s="199" t="str">
        <f>VLOOKUP(N117,RUBROS[#All],2,0)</f>
        <v xml:space="preserve">Desarrollo y promoción del deporte formativo, la recreación y la actividad física en el departamento Antioquia - Servicios prestados a las empresas y servicios de producción </v>
      </c>
      <c r="Q117" s="199" t="str">
        <f t="shared" si="8"/>
        <v>01</v>
      </c>
      <c r="R117" s="199" t="str">
        <f t="shared" si="9"/>
        <v>0-205128</v>
      </c>
      <c r="S117" s="207">
        <v>8</v>
      </c>
      <c r="T117" s="208" t="s">
        <v>46</v>
      </c>
      <c r="U117" s="209" t="e">
        <f ca="1">_xlfn.XLOOKUP(PAA[[#This Row],[ITEM]],Contrato!A:A,Contrato!Q:Q,"",0)</f>
        <v>#NAME?</v>
      </c>
      <c r="V117" s="199" t="s">
        <v>47</v>
      </c>
      <c r="W117" s="199" t="s">
        <v>48</v>
      </c>
      <c r="X117" s="199" t="s">
        <v>48</v>
      </c>
      <c r="Y117" s="210" t="e">
        <f ca="1">_xlfn.XLOOKUP(PAA[[#This Row],[ITEM]],Contrato!A:A,Contrato!B:B,"",0)</f>
        <v>#NAME?</v>
      </c>
      <c r="Z117" s="199" t="e">
        <f ca="1">_xlfn.XLOOKUP(PAA[[#This Row],[ITEM]],Contrato!A:A,Contrato!G:G,"",0)</f>
        <v>#NAME?</v>
      </c>
      <c r="AA117" s="199" t="e">
        <f ca="1">_xlfn.XLOOKUP(PAA[[#This Row],[ITEM]],Contrato!A:A,Contrato!T:T,"",0)</f>
        <v>#NAME?</v>
      </c>
      <c r="AB117" s="210" t="e">
        <f ca="1">+MAX(PAA[[#This Row],[Comprometido Contrato]],)</f>
        <v>#NAME?</v>
      </c>
      <c r="AC117" s="210" t="str">
        <f t="shared" ca="1" si="10"/>
        <v/>
      </c>
      <c r="AD117" s="210" t="e">
        <f ca="1">+MAX(PAA[[#This Row],[Pago por Contrato]],)</f>
        <v>#NAME?</v>
      </c>
      <c r="AE117" s="210" t="str">
        <f t="shared" ca="1" si="11"/>
        <v/>
      </c>
      <c r="AF117" s="199" t="e">
        <f t="shared" ca="1" si="12"/>
        <v>#NAME?</v>
      </c>
      <c r="AG117" s="199">
        <f t="shared" si="13"/>
        <v>52010702</v>
      </c>
      <c r="AH117" s="199" t="e" cm="1">
        <f t="array" aca="1" ref="AH117" ca="1">_xlfn.XLOOKUP(PAA[[#This Row],[RCP-RUBRO]],COMPROMISOS_2025[[#All],[concatenado]],COMPROMISOS_2025[[#All],[Total pagado]],"",0)</f>
        <v>#NAME?</v>
      </c>
      <c r="AI117" s="199" t="e" cm="1">
        <f t="array" aca="1" ref="AI117" ca="1">_xlfn.XLOOKUP(PAA[[#This Row],[RCP-RUBRO]],COMPROMISOS_2025[[#All],[concatenado]],COMPROMISOS_2025[[#All],[Total Comprometido]],"",0)</f>
        <v>#NAME?</v>
      </c>
    </row>
    <row r="118" spans="1:35" s="50" customFormat="1" ht="42" hidden="1" customHeight="1" x14ac:dyDescent="0.25">
      <c r="A118" s="199">
        <v>107</v>
      </c>
      <c r="B118" s="212">
        <v>80111600</v>
      </c>
      <c r="C118" s="199" t="str">
        <f>VLOOKUP(PAA[[#This Row],[PROYECTO (formulado)2]],PROYECTOS!$G$1:$L$32,6,0)</f>
        <v>SUBGERENCIA DE FOMENTO Y DESARROLLO</v>
      </c>
      <c r="D118" s="199" t="str">
        <f>+IF(PAA[[#This Row],[UNIDAD DE CONTRATACION (formulado)]]="Subgerencia Administrativa y Financiera","FUNCIONAMIENTO","INVERSIÓN")</f>
        <v>INVERSIÓN</v>
      </c>
      <c r="E118" s="201" t="str">
        <f>VLOOKUP(Q118,PROYECTOS!$G$1:$K$32,5,0)</f>
        <v>Asesoria y acompañamiento institucional para el deporte formativo, la recreación y la actividad física en el departamento de Antioquia</v>
      </c>
      <c r="F118" s="201">
        <f>VLOOKUP(E118,PROYECTOS!$K$1:$M$32,3,0)</f>
        <v>2024003050100</v>
      </c>
      <c r="G118" s="202" t="s">
        <v>267</v>
      </c>
      <c r="H118" s="202" t="str">
        <f>VLOOKUP(Q118,PROYECTOS!$V$1:$W$32,2,0)</f>
        <v>050071</v>
      </c>
      <c r="I118" s="203">
        <v>12034880</v>
      </c>
      <c r="J118" s="204" t="s">
        <v>265</v>
      </c>
      <c r="K118" s="199" t="str">
        <f t="shared" ca="1" si="7"/>
        <v>CONTRATADO</v>
      </c>
      <c r="L118" s="204" t="s">
        <v>112</v>
      </c>
      <c r="M118" s="204" t="s">
        <v>113</v>
      </c>
      <c r="N118" s="205" t="s">
        <v>268</v>
      </c>
      <c r="O118" s="204">
        <f>VLOOKUP(N118,RUBROS[#All],3,0)</f>
        <v>74</v>
      </c>
      <c r="P118" s="199" t="str">
        <f>VLOOKUP(N118,RUBROS[#All],2,0)</f>
        <v xml:space="preserve">Asesoria y acompañamiento institucional para el deporte formativo, la recreación y la actividad física en el departamento de Antioquia. - Servicios prestados a las empresas y servicios de producción </v>
      </c>
      <c r="Q118" s="199" t="str">
        <f t="shared" si="8"/>
        <v>10</v>
      </c>
      <c r="R118" s="199" t="str">
        <f t="shared" si="9"/>
        <v>0-101024</v>
      </c>
      <c r="S118" s="207">
        <v>8</v>
      </c>
      <c r="T118" s="208" t="s">
        <v>46</v>
      </c>
      <c r="U118" s="209" t="e">
        <f ca="1">_xlfn.XLOOKUP(PAA[[#This Row],[ITEM]],Contrato!A:A,Contrato!Q:Q,"",0)</f>
        <v>#NAME?</v>
      </c>
      <c r="V118" s="199" t="s">
        <v>47</v>
      </c>
      <c r="W118" s="199" t="s">
        <v>48</v>
      </c>
      <c r="X118" s="199" t="s">
        <v>48</v>
      </c>
      <c r="Y118" s="210" t="e">
        <f ca="1">_xlfn.XLOOKUP(PAA[[#This Row],[ITEM]],Contrato!A:A,Contrato!B:B,"",0)</f>
        <v>#NAME?</v>
      </c>
      <c r="Z118" s="199" t="e">
        <f ca="1">_xlfn.XLOOKUP(PAA[[#This Row],[ITEM]],Contrato!A:A,Contrato!G:G,"",0)</f>
        <v>#NAME?</v>
      </c>
      <c r="AA118" s="199" t="e">
        <f ca="1">_xlfn.XLOOKUP(PAA[[#This Row],[ITEM]],Contrato!A:A,Contrato!T:T,"",0)</f>
        <v>#NAME?</v>
      </c>
      <c r="AB118" s="210" t="e">
        <f ca="1">+MAX(PAA[[#This Row],[Comprometido Contrato]],)</f>
        <v>#NAME?</v>
      </c>
      <c r="AC118" s="210" t="str">
        <f t="shared" ca="1" si="10"/>
        <v/>
      </c>
      <c r="AD118" s="210" t="e">
        <f ca="1">+MAX(PAA[[#This Row],[Pago por Contrato]],)</f>
        <v>#NAME?</v>
      </c>
      <c r="AE118" s="210" t="str">
        <f t="shared" ca="1" si="11"/>
        <v/>
      </c>
      <c r="AF118" s="199" t="e">
        <f t="shared" ca="1" si="12"/>
        <v>#NAME?</v>
      </c>
      <c r="AG118" s="199">
        <f t="shared" si="13"/>
        <v>52010705</v>
      </c>
      <c r="AH118" s="199" t="e" cm="1">
        <f t="array" aca="1" ref="AH118" ca="1">_xlfn.XLOOKUP(PAA[[#This Row],[RCP-RUBRO]],COMPROMISOS_2025[[#All],[concatenado]],COMPROMISOS_2025[[#All],[Total pagado]],"",0)</f>
        <v>#NAME?</v>
      </c>
      <c r="AI118" s="199" t="e" cm="1">
        <f t="array" aca="1" ref="AI118" ca="1">_xlfn.XLOOKUP(PAA[[#This Row],[RCP-RUBRO]],COMPROMISOS_2025[[#All],[concatenado]],COMPROMISOS_2025[[#All],[Total Comprometido]],"",0)</f>
        <v>#NAME?</v>
      </c>
    </row>
    <row r="119" spans="1:35" s="50" customFormat="1" ht="42" hidden="1" customHeight="1" x14ac:dyDescent="0.25">
      <c r="A119" s="199">
        <v>107</v>
      </c>
      <c r="B119" s="212">
        <v>80111600</v>
      </c>
      <c r="C119" s="199" t="str">
        <f>VLOOKUP(PAA[[#This Row],[PROYECTO (formulado)2]],PROYECTOS!$G$1:$L$32,6,0)</f>
        <v>SUBGERENCIA DE FOMENTO Y DESARROLLO</v>
      </c>
      <c r="D119" s="199" t="str">
        <f>+IF(PAA[[#This Row],[UNIDAD DE CONTRATACION (formulado)]]="Subgerencia Administrativa y Financiera","FUNCIONAMIENTO","INVERSIÓN")</f>
        <v>INVERSIÓN</v>
      </c>
      <c r="E119" s="201" t="str">
        <f>VLOOKUP(Q119,PROYECTOS!$G$1:$K$32,5,0)</f>
        <v>Capacitación para el sector del deporte, la recreación y la actividad física en el Departamento de   Antioquia</v>
      </c>
      <c r="F119" s="201">
        <f>VLOOKUP(E119,PROYECTOS!$K$1:$M$32,3,0)</f>
        <v>2024003050072</v>
      </c>
      <c r="G119" s="202" t="s">
        <v>269</v>
      </c>
      <c r="H119" s="202" t="str">
        <f>VLOOKUP(Q119,PROYECTOS!$V$1:$W$32,2,0)</f>
        <v>050072</v>
      </c>
      <c r="I119" s="203">
        <v>12034880</v>
      </c>
      <c r="J119" s="204" t="s">
        <v>265</v>
      </c>
      <c r="K119" s="199" t="str">
        <f t="shared" ca="1" si="7"/>
        <v>CONTRATADO</v>
      </c>
      <c r="L119" s="204" t="s">
        <v>112</v>
      </c>
      <c r="M119" s="204" t="s">
        <v>113</v>
      </c>
      <c r="N119" s="205" t="s">
        <v>270</v>
      </c>
      <c r="O119" s="204">
        <f>VLOOKUP(N119,RUBROS[#All],3,0)</f>
        <v>78</v>
      </c>
      <c r="P119" s="199" t="str">
        <f>VLOOKUP(N119,RUBROS[#All],2,0)</f>
        <v xml:space="preserve">Capacitación para el sector del deporte, la recreación y la actividad física en el Departamento de   Antioquia - Servicios prestados a las empresas y servicios de producción </v>
      </c>
      <c r="Q119" s="199" t="str">
        <f t="shared" si="8"/>
        <v>72</v>
      </c>
      <c r="R119" s="199" t="str">
        <f t="shared" si="9"/>
        <v>0-205128</v>
      </c>
      <c r="S119" s="207">
        <v>8</v>
      </c>
      <c r="T119" s="208" t="s">
        <v>46</v>
      </c>
      <c r="U119" s="209" t="e">
        <f ca="1">_xlfn.XLOOKUP(PAA[[#This Row],[ITEM]],Contrato!A:A,Contrato!Q:Q,"",0)</f>
        <v>#NAME?</v>
      </c>
      <c r="V119" s="199" t="s">
        <v>47</v>
      </c>
      <c r="W119" s="199" t="s">
        <v>48</v>
      </c>
      <c r="X119" s="199" t="s">
        <v>48</v>
      </c>
      <c r="Y119" s="210" t="e">
        <f ca="1">_xlfn.XLOOKUP(PAA[[#This Row],[ITEM]],Contrato!A:A,Contrato!B:B,"",0)</f>
        <v>#NAME?</v>
      </c>
      <c r="Z119" s="199" t="e">
        <f ca="1">_xlfn.XLOOKUP(PAA[[#This Row],[ITEM]],Contrato!A:A,Contrato!G:G,"",0)</f>
        <v>#NAME?</v>
      </c>
      <c r="AA119" s="199" t="e">
        <f ca="1">_xlfn.XLOOKUP(PAA[[#This Row],[ITEM]],Contrato!A:A,Contrato!T:T,"",0)</f>
        <v>#NAME?</v>
      </c>
      <c r="AB119" s="210" t="e">
        <f ca="1">+MAX(PAA[[#This Row],[Comprometido Contrato]],)</f>
        <v>#NAME?</v>
      </c>
      <c r="AC119" s="210" t="str">
        <f t="shared" ca="1" si="10"/>
        <v/>
      </c>
      <c r="AD119" s="210" t="e">
        <f ca="1">+MAX(PAA[[#This Row],[Pago por Contrato]],)</f>
        <v>#NAME?</v>
      </c>
      <c r="AE119" s="210" t="str">
        <f t="shared" ca="1" si="11"/>
        <v/>
      </c>
      <c r="AF119" s="199" t="e">
        <f t="shared" ca="1" si="12"/>
        <v>#NAME?</v>
      </c>
      <c r="AG119" s="199">
        <f t="shared" si="13"/>
        <v>52010704</v>
      </c>
      <c r="AH119" s="199" t="e" cm="1">
        <f t="array" aca="1" ref="AH119" ca="1">_xlfn.XLOOKUP(PAA[[#This Row],[RCP-RUBRO]],COMPROMISOS_2025[[#All],[concatenado]],COMPROMISOS_2025[[#All],[Total pagado]],"",0)</f>
        <v>#NAME?</v>
      </c>
      <c r="AI119" s="199" t="e" cm="1">
        <f t="array" aca="1" ref="AI119" ca="1">_xlfn.XLOOKUP(PAA[[#This Row],[RCP-RUBRO]],COMPROMISOS_2025[[#All],[concatenado]],COMPROMISOS_2025[[#All],[Total Comprometido]],"",0)</f>
        <v>#NAME?</v>
      </c>
    </row>
    <row r="120" spans="1:35" s="50" customFormat="1" ht="42" hidden="1" customHeight="1" x14ac:dyDescent="0.25">
      <c r="A120" s="199">
        <v>107</v>
      </c>
      <c r="B120" s="212">
        <v>80111600</v>
      </c>
      <c r="C120" s="199" t="str">
        <f>VLOOKUP(PAA[[#This Row],[PROYECTO (formulado)2]],PROYECTOS!$G$1:$L$32,6,0)</f>
        <v>SUBGERENCIA DE FOMENTO Y DESARROLLO</v>
      </c>
      <c r="D120" s="199" t="str">
        <f>+IF(PAA[[#This Row],[UNIDAD DE CONTRATACION (formulado)]]="Subgerencia Administrativa y Financiera","FUNCIONAMIENTO","INVERSIÓN")</f>
        <v>INVERSIÓN</v>
      </c>
      <c r="E120" s="201" t="str">
        <f>VLOOKUP(Q120,PROYECTOS!$G$1:$K$32,5,0)</f>
        <v>Fortalecimiento de los juegos deportivos institucionales en los municipios del departamento de Antioquia</v>
      </c>
      <c r="F120" s="201">
        <f>VLOOKUP(E120,PROYECTOS!$K$1:$M$32,3,0)</f>
        <v>2024003050073</v>
      </c>
      <c r="G120" s="202" t="s">
        <v>271</v>
      </c>
      <c r="H120" s="202" t="str">
        <f>VLOOKUP(Q120,PROYECTOS!$V$1:$W$32,2,0)</f>
        <v>050081</v>
      </c>
      <c r="I120" s="203">
        <v>12034880</v>
      </c>
      <c r="J120" s="204" t="s">
        <v>265</v>
      </c>
      <c r="K120" s="199" t="str">
        <f t="shared" ca="1" si="7"/>
        <v>CONTRATADO</v>
      </c>
      <c r="L120" s="204" t="s">
        <v>112</v>
      </c>
      <c r="M120" s="204" t="s">
        <v>113</v>
      </c>
      <c r="N120" s="205" t="s">
        <v>272</v>
      </c>
      <c r="O120" s="204">
        <f>VLOOKUP(N120,RUBROS[#All],3,0)</f>
        <v>81</v>
      </c>
      <c r="P120" s="199" t="str">
        <f>VLOOKUP(N120,RUBROS[#All],2,0)</f>
        <v xml:space="preserve">Fortalecimiento de los juegos deportivos institucionales en los municipios del departamento de Antioquia - Servicios prestados a las empresas y servicios de producción </v>
      </c>
      <c r="Q120" s="199" t="str">
        <f t="shared" si="8"/>
        <v>73</v>
      </c>
      <c r="R120" s="199" t="str">
        <f t="shared" si="9"/>
        <v>0-205128</v>
      </c>
      <c r="S120" s="207">
        <v>8</v>
      </c>
      <c r="T120" s="208" t="s">
        <v>46</v>
      </c>
      <c r="U120" s="209" t="e">
        <f ca="1">_xlfn.XLOOKUP(PAA[[#This Row],[ITEM]],Contrato!A:A,Contrato!Q:Q,"",0)</f>
        <v>#NAME?</v>
      </c>
      <c r="V120" s="199" t="s">
        <v>47</v>
      </c>
      <c r="W120" s="199" t="s">
        <v>48</v>
      </c>
      <c r="X120" s="199" t="s">
        <v>48</v>
      </c>
      <c r="Y120" s="210" t="e">
        <f ca="1">_xlfn.XLOOKUP(PAA[[#This Row],[ITEM]],Contrato!A:A,Contrato!B:B,"",0)</f>
        <v>#NAME?</v>
      </c>
      <c r="Z120" s="199" t="e">
        <f ca="1">_xlfn.XLOOKUP(PAA[[#This Row],[ITEM]],Contrato!A:A,Contrato!G:G,"",0)</f>
        <v>#NAME?</v>
      </c>
      <c r="AA120" s="199" t="e">
        <f ca="1">_xlfn.XLOOKUP(PAA[[#This Row],[ITEM]],Contrato!A:A,Contrato!T:T,"",0)</f>
        <v>#NAME?</v>
      </c>
      <c r="AB120" s="210" t="e">
        <f ca="1">+MAX(PAA[[#This Row],[Comprometido Contrato]],)</f>
        <v>#NAME?</v>
      </c>
      <c r="AC120" s="210" t="str">
        <f t="shared" ca="1" si="10"/>
        <v/>
      </c>
      <c r="AD120" s="210" t="e">
        <f ca="1">+MAX(PAA[[#This Row],[Pago por Contrato]],)</f>
        <v>#NAME?</v>
      </c>
      <c r="AE120" s="210" t="str">
        <f t="shared" ca="1" si="11"/>
        <v/>
      </c>
      <c r="AF120" s="199" t="e">
        <f t="shared" ca="1" si="12"/>
        <v>#NAME?</v>
      </c>
      <c r="AG120" s="199">
        <f t="shared" si="13"/>
        <v>52010703</v>
      </c>
      <c r="AH120" s="199" t="e" cm="1">
        <f t="array" aca="1" ref="AH120" ca="1">_xlfn.XLOOKUP(PAA[[#This Row],[RCP-RUBRO]],COMPROMISOS_2025[[#All],[concatenado]],COMPROMISOS_2025[[#All],[Total pagado]],"",0)</f>
        <v>#NAME?</v>
      </c>
      <c r="AI120" s="199" t="e" cm="1">
        <f t="array" aca="1" ref="AI120" ca="1">_xlfn.XLOOKUP(PAA[[#This Row],[RCP-RUBRO]],COMPROMISOS_2025[[#All],[concatenado]],COMPROMISOS_2025[[#All],[Total Comprometido]],"",0)</f>
        <v>#NAME?</v>
      </c>
    </row>
    <row r="121" spans="1:35" s="50" customFormat="1" ht="42" hidden="1" customHeight="1" x14ac:dyDescent="0.25">
      <c r="A121" s="199">
        <v>107</v>
      </c>
      <c r="B121" s="212">
        <v>80111600</v>
      </c>
      <c r="C121" s="199" t="str">
        <f>VLOOKUP(PAA[[#This Row],[PROYECTO (formulado)2]],PROYECTOS!$G$1:$L$32,6,0)</f>
        <v>SUBGERENCIA DE FOMENTO Y DESARROLLO</v>
      </c>
      <c r="D121" s="199" t="str">
        <f>+IF(PAA[[#This Row],[UNIDAD DE CONTRATACION (formulado)]]="Subgerencia Administrativa y Financiera","FUNCIONAMIENTO","INVERSIÓN")</f>
        <v>INVERSIÓN</v>
      </c>
      <c r="E121" s="201" t="str">
        <f>VLOOKUP(Q121,PROYECTOS!$G$1:$K$32,5,0)</f>
        <v>Cofinanciación de dotación de implementación para el deporte la recreación y a la actividad física en el departamento de Antioquia</v>
      </c>
      <c r="F121" s="201">
        <f>VLOOKUP(E121,PROYECTOS!$K$1:$M$32,3,0)</f>
        <v>2024003050074</v>
      </c>
      <c r="G121" s="202" t="s">
        <v>273</v>
      </c>
      <c r="H121" s="202" t="str">
        <f>VLOOKUP(Q121,PROYECTOS!$V$1:$W$32,2,0)</f>
        <v>050073</v>
      </c>
      <c r="I121" s="203">
        <v>12034880</v>
      </c>
      <c r="J121" s="204" t="s">
        <v>265</v>
      </c>
      <c r="K121" s="199" t="str">
        <f t="shared" ca="1" si="7"/>
        <v>CONTRATADO</v>
      </c>
      <c r="L121" s="204" t="s">
        <v>112</v>
      </c>
      <c r="M121" s="204" t="s">
        <v>113</v>
      </c>
      <c r="N121" s="205" t="s">
        <v>274</v>
      </c>
      <c r="O121" s="204">
        <f>VLOOKUP(N121,RUBROS[#All],3,0)</f>
        <v>85</v>
      </c>
      <c r="P121" s="199" t="str">
        <f>VLOOKUP(N121,RUBROS[#All],2,0)</f>
        <v xml:space="preserve">Cofinanciación de dotación de implementación para el deporte la recreación y a la actividad física en el departamento de Antioquia - Servicios prestados a las empresas y servicios de producción </v>
      </c>
      <c r="Q121" s="199" t="str">
        <f t="shared" si="8"/>
        <v>74</v>
      </c>
      <c r="R121" s="199" t="str">
        <f t="shared" si="9"/>
        <v>0-101024</v>
      </c>
      <c r="S121" s="207">
        <v>8</v>
      </c>
      <c r="T121" s="208" t="s">
        <v>46</v>
      </c>
      <c r="U121" s="209" t="e">
        <f ca="1">_xlfn.XLOOKUP(PAA[[#This Row],[ITEM]],Contrato!A:A,Contrato!Q:Q,"",0)</f>
        <v>#NAME?</v>
      </c>
      <c r="V121" s="199" t="s">
        <v>47</v>
      </c>
      <c r="W121" s="199" t="s">
        <v>48</v>
      </c>
      <c r="X121" s="199" t="s">
        <v>48</v>
      </c>
      <c r="Y121" s="210" t="e">
        <f ca="1">_xlfn.XLOOKUP(PAA[[#This Row],[ITEM]],Contrato!A:A,Contrato!B:B,"",0)</f>
        <v>#NAME?</v>
      </c>
      <c r="Z121" s="199" t="e">
        <f ca="1">_xlfn.XLOOKUP(PAA[[#This Row],[ITEM]],Contrato!A:A,Contrato!G:G,"",0)</f>
        <v>#NAME?</v>
      </c>
      <c r="AA121" s="199" t="e">
        <f ca="1">_xlfn.XLOOKUP(PAA[[#This Row],[ITEM]],Contrato!A:A,Contrato!T:T,"",0)</f>
        <v>#NAME?</v>
      </c>
      <c r="AB121" s="210" t="e">
        <f ca="1">+MAX(PAA[[#This Row],[Comprometido Contrato]],)</f>
        <v>#NAME?</v>
      </c>
      <c r="AC121" s="210" t="str">
        <f t="shared" ca="1" si="10"/>
        <v/>
      </c>
      <c r="AD121" s="210" t="e">
        <f ca="1">+MAX(PAA[[#This Row],[Pago por Contrato]],)</f>
        <v>#NAME?</v>
      </c>
      <c r="AE121" s="210" t="str">
        <f t="shared" ca="1" si="11"/>
        <v/>
      </c>
      <c r="AF121" s="199" t="e">
        <f t="shared" ca="1" si="12"/>
        <v>#NAME?</v>
      </c>
      <c r="AG121" s="199">
        <f t="shared" si="13"/>
        <v>52010701</v>
      </c>
      <c r="AH121" s="199" t="e" cm="1">
        <f t="array" aca="1" ref="AH121" ca="1">_xlfn.XLOOKUP(PAA[[#This Row],[RCP-RUBRO]],COMPROMISOS_2025[[#All],[concatenado]],COMPROMISOS_2025[[#All],[Total pagado]],"",0)</f>
        <v>#NAME?</v>
      </c>
      <c r="AI121" s="199" t="e" cm="1">
        <f t="array" aca="1" ref="AI121" ca="1">_xlfn.XLOOKUP(PAA[[#This Row],[RCP-RUBRO]],COMPROMISOS_2025[[#All],[concatenado]],COMPROMISOS_2025[[#All],[Total Comprometido]],"",0)</f>
        <v>#NAME?</v>
      </c>
    </row>
    <row r="122" spans="1:35" s="50" customFormat="1" ht="42" hidden="1" customHeight="1" x14ac:dyDescent="0.25">
      <c r="A122" s="199">
        <v>108</v>
      </c>
      <c r="B122" s="212">
        <v>80111600</v>
      </c>
      <c r="C122" s="199" t="str">
        <f>VLOOKUP(PAA[[#This Row],[PROYECTO (formulado)2]],PROYECTOS!$G$1:$L$32,6,0)</f>
        <v>SUBGERENCIA DE FOMENTO Y DESARROLLO</v>
      </c>
      <c r="D122" s="199" t="str">
        <f>+IF(PAA[[#This Row],[UNIDAD DE CONTRATACION (formulado)]]="Subgerencia Administrativa y Financiera","FUNCIONAMIENTO","INVERSIÓN")</f>
        <v>INVERSIÓN</v>
      </c>
      <c r="E122" s="201" t="str">
        <f>VLOOKUP(Q122,PROYECTOS!$G$1:$K$32,5,0)</f>
        <v>Desarrollo y promoción del deporte formativo, la recreación y la actividad física en el departamento Antioquia</v>
      </c>
      <c r="F122" s="201">
        <f>VLOOKUP(E122,PROYECTOS!$K$1:$M$32,3,0)</f>
        <v>2024003050101</v>
      </c>
      <c r="G122" s="202" t="s">
        <v>264</v>
      </c>
      <c r="H122" s="202" t="str">
        <f>VLOOKUP(Q122,PROYECTOS!$V$1:$W$32,2,0)</f>
        <v>050075</v>
      </c>
      <c r="I122" s="203">
        <v>12034880</v>
      </c>
      <c r="J122" s="204" t="s">
        <v>275</v>
      </c>
      <c r="K122" s="199" t="str">
        <f t="shared" ca="1" si="7"/>
        <v>CONTRATADO</v>
      </c>
      <c r="L122" s="204" t="s">
        <v>112</v>
      </c>
      <c r="M122" s="204" t="s">
        <v>113</v>
      </c>
      <c r="N122" s="205" t="s">
        <v>266</v>
      </c>
      <c r="O122" s="204">
        <f>VLOOKUP(N122,RUBROS[#All],3,0)</f>
        <v>70</v>
      </c>
      <c r="P122" s="199" t="str">
        <f>VLOOKUP(N122,RUBROS[#All],2,0)</f>
        <v xml:space="preserve">Desarrollo y promoción del deporte formativo, la recreación y la actividad física en el departamento Antioquia - Servicios prestados a las empresas y servicios de producción </v>
      </c>
      <c r="Q122" s="199" t="str">
        <f t="shared" si="8"/>
        <v>01</v>
      </c>
      <c r="R122" s="199" t="str">
        <f t="shared" si="9"/>
        <v>0-205128</v>
      </c>
      <c r="S122" s="207">
        <v>8</v>
      </c>
      <c r="T122" s="208" t="s">
        <v>46</v>
      </c>
      <c r="U122" s="209" t="e">
        <f ca="1">_xlfn.XLOOKUP(PAA[[#This Row],[ITEM]],Contrato!A:A,Contrato!Q:Q,"",0)</f>
        <v>#NAME?</v>
      </c>
      <c r="V122" s="199" t="s">
        <v>47</v>
      </c>
      <c r="W122" s="199" t="s">
        <v>48</v>
      </c>
      <c r="X122" s="199" t="s">
        <v>48</v>
      </c>
      <c r="Y122" s="210" t="e">
        <f ca="1">_xlfn.XLOOKUP(PAA[[#This Row],[ITEM]],Contrato!A:A,Contrato!B:B,"",0)</f>
        <v>#NAME?</v>
      </c>
      <c r="Z122" s="199" t="e">
        <f ca="1">_xlfn.XLOOKUP(PAA[[#This Row],[ITEM]],Contrato!A:A,Contrato!G:G,"",0)</f>
        <v>#NAME?</v>
      </c>
      <c r="AA122" s="199" t="e">
        <f ca="1">_xlfn.XLOOKUP(PAA[[#This Row],[ITEM]],Contrato!A:A,Contrato!T:T,"",0)</f>
        <v>#NAME?</v>
      </c>
      <c r="AB122" s="210" t="e">
        <f ca="1">+MAX(PAA[[#This Row],[Comprometido Contrato]],)</f>
        <v>#NAME?</v>
      </c>
      <c r="AC122" s="210" t="str">
        <f t="shared" ca="1" si="10"/>
        <v/>
      </c>
      <c r="AD122" s="210" t="e">
        <f ca="1">+MAX(PAA[[#This Row],[Pago por Contrato]],)</f>
        <v>#NAME?</v>
      </c>
      <c r="AE122" s="210" t="str">
        <f t="shared" ca="1" si="11"/>
        <v/>
      </c>
      <c r="AF122" s="199" t="e">
        <f t="shared" ca="1" si="12"/>
        <v>#NAME?</v>
      </c>
      <c r="AG122" s="199">
        <f t="shared" si="13"/>
        <v>52010702</v>
      </c>
      <c r="AH122" s="199" t="e" cm="1">
        <f t="array" aca="1" ref="AH122" ca="1">_xlfn.XLOOKUP(PAA[[#This Row],[RCP-RUBRO]],COMPROMISOS_2025[[#All],[concatenado]],COMPROMISOS_2025[[#All],[Total pagado]],"",0)</f>
        <v>#NAME?</v>
      </c>
      <c r="AI122" s="199" t="e" cm="1">
        <f t="array" aca="1" ref="AI122" ca="1">_xlfn.XLOOKUP(PAA[[#This Row],[RCP-RUBRO]],COMPROMISOS_2025[[#All],[concatenado]],COMPROMISOS_2025[[#All],[Total Comprometido]],"",0)</f>
        <v>#NAME?</v>
      </c>
    </row>
    <row r="123" spans="1:35" s="50" customFormat="1" ht="42" hidden="1" customHeight="1" x14ac:dyDescent="0.25">
      <c r="A123" s="199">
        <v>108</v>
      </c>
      <c r="B123" s="212">
        <v>80111600</v>
      </c>
      <c r="C123" s="199" t="str">
        <f>VLOOKUP(PAA[[#This Row],[PROYECTO (formulado)2]],PROYECTOS!$G$1:$L$32,6,0)</f>
        <v>SUBGERENCIA DE FOMENTO Y DESARROLLO</v>
      </c>
      <c r="D123" s="199" t="str">
        <f>+IF(PAA[[#This Row],[UNIDAD DE CONTRATACION (formulado)]]="Subgerencia Administrativa y Financiera","FUNCIONAMIENTO","INVERSIÓN")</f>
        <v>INVERSIÓN</v>
      </c>
      <c r="E123" s="201" t="str">
        <f>VLOOKUP(Q123,PROYECTOS!$G$1:$K$32,5,0)</f>
        <v>Asesoria y acompañamiento institucional para el deporte formativo, la recreación y la actividad física en el departamento de Antioquia</v>
      </c>
      <c r="F123" s="201">
        <f>VLOOKUP(E123,PROYECTOS!$K$1:$M$32,3,0)</f>
        <v>2024003050100</v>
      </c>
      <c r="G123" s="202" t="s">
        <v>267</v>
      </c>
      <c r="H123" s="202" t="str">
        <f>VLOOKUP(Q123,PROYECTOS!$V$1:$W$32,2,0)</f>
        <v>050071</v>
      </c>
      <c r="I123" s="203">
        <v>12034880</v>
      </c>
      <c r="J123" s="204" t="s">
        <v>275</v>
      </c>
      <c r="K123" s="199" t="str">
        <f t="shared" ca="1" si="7"/>
        <v>CONTRATADO</v>
      </c>
      <c r="L123" s="204" t="s">
        <v>112</v>
      </c>
      <c r="M123" s="204" t="s">
        <v>113</v>
      </c>
      <c r="N123" s="205" t="s">
        <v>268</v>
      </c>
      <c r="O123" s="204">
        <f>VLOOKUP(N123,RUBROS[#All],3,0)</f>
        <v>74</v>
      </c>
      <c r="P123" s="199" t="str">
        <f>VLOOKUP(N123,RUBROS[#All],2,0)</f>
        <v xml:space="preserve">Asesoria y acompañamiento institucional para el deporte formativo, la recreación y la actividad física en el departamento de Antioquia. - Servicios prestados a las empresas y servicios de producción </v>
      </c>
      <c r="Q123" s="199" t="str">
        <f t="shared" si="8"/>
        <v>10</v>
      </c>
      <c r="R123" s="199" t="str">
        <f t="shared" si="9"/>
        <v>0-101024</v>
      </c>
      <c r="S123" s="207">
        <v>8</v>
      </c>
      <c r="T123" s="208" t="s">
        <v>46</v>
      </c>
      <c r="U123" s="209" t="e">
        <f ca="1">_xlfn.XLOOKUP(PAA[[#This Row],[ITEM]],Contrato!A:A,Contrato!Q:Q,"",0)</f>
        <v>#NAME?</v>
      </c>
      <c r="V123" s="199" t="s">
        <v>47</v>
      </c>
      <c r="W123" s="199" t="s">
        <v>48</v>
      </c>
      <c r="X123" s="199" t="s">
        <v>48</v>
      </c>
      <c r="Y123" s="210" t="e">
        <f ca="1">_xlfn.XLOOKUP(PAA[[#This Row],[ITEM]],Contrato!A:A,Contrato!B:B,"",0)</f>
        <v>#NAME?</v>
      </c>
      <c r="Z123" s="199" t="e">
        <f ca="1">_xlfn.XLOOKUP(PAA[[#This Row],[ITEM]],Contrato!A:A,Contrato!G:G,"",0)</f>
        <v>#NAME?</v>
      </c>
      <c r="AA123" s="199" t="e">
        <f ca="1">_xlfn.XLOOKUP(PAA[[#This Row],[ITEM]],Contrato!A:A,Contrato!T:T,"",0)</f>
        <v>#NAME?</v>
      </c>
      <c r="AB123" s="210" t="e">
        <f ca="1">+MAX(PAA[[#This Row],[Comprometido Contrato]],)</f>
        <v>#NAME?</v>
      </c>
      <c r="AC123" s="210" t="str">
        <f t="shared" ca="1" si="10"/>
        <v/>
      </c>
      <c r="AD123" s="210" t="e">
        <f ca="1">+MAX(PAA[[#This Row],[Pago por Contrato]],)</f>
        <v>#NAME?</v>
      </c>
      <c r="AE123" s="210" t="str">
        <f t="shared" ca="1" si="11"/>
        <v/>
      </c>
      <c r="AF123" s="199" t="e">
        <f t="shared" ca="1" si="12"/>
        <v>#NAME?</v>
      </c>
      <c r="AG123" s="199">
        <f t="shared" si="13"/>
        <v>52010705</v>
      </c>
      <c r="AH123" s="199" t="e" cm="1">
        <f t="array" aca="1" ref="AH123" ca="1">_xlfn.XLOOKUP(PAA[[#This Row],[RCP-RUBRO]],COMPROMISOS_2025[[#All],[concatenado]],COMPROMISOS_2025[[#All],[Total pagado]],"",0)</f>
        <v>#NAME?</v>
      </c>
      <c r="AI123" s="199" t="e" cm="1">
        <f t="array" aca="1" ref="AI123" ca="1">_xlfn.XLOOKUP(PAA[[#This Row],[RCP-RUBRO]],COMPROMISOS_2025[[#All],[concatenado]],COMPROMISOS_2025[[#All],[Total Comprometido]],"",0)</f>
        <v>#NAME?</v>
      </c>
    </row>
    <row r="124" spans="1:35" s="50" customFormat="1" ht="42" hidden="1" customHeight="1" x14ac:dyDescent="0.25">
      <c r="A124" s="199">
        <v>108</v>
      </c>
      <c r="B124" s="212">
        <v>80111600</v>
      </c>
      <c r="C124" s="199" t="str">
        <f>VLOOKUP(PAA[[#This Row],[PROYECTO (formulado)2]],PROYECTOS!$G$1:$L$32,6,0)</f>
        <v>SUBGERENCIA DE FOMENTO Y DESARROLLO</v>
      </c>
      <c r="D124" s="199" t="str">
        <f>+IF(PAA[[#This Row],[UNIDAD DE CONTRATACION (formulado)]]="Subgerencia Administrativa y Financiera","FUNCIONAMIENTO","INVERSIÓN")</f>
        <v>INVERSIÓN</v>
      </c>
      <c r="E124" s="201" t="str">
        <f>VLOOKUP(Q124,PROYECTOS!$G$1:$K$32,5,0)</f>
        <v>Capacitación para el sector del deporte, la recreación y la actividad física en el Departamento de   Antioquia</v>
      </c>
      <c r="F124" s="201">
        <f>VLOOKUP(E124,PROYECTOS!$K$1:$M$32,3,0)</f>
        <v>2024003050072</v>
      </c>
      <c r="G124" s="202" t="s">
        <v>269</v>
      </c>
      <c r="H124" s="202" t="str">
        <f>VLOOKUP(Q124,PROYECTOS!$V$1:$W$32,2,0)</f>
        <v>050072</v>
      </c>
      <c r="I124" s="203">
        <v>12034880</v>
      </c>
      <c r="J124" s="204" t="s">
        <v>275</v>
      </c>
      <c r="K124" s="199" t="str">
        <f t="shared" ca="1" si="7"/>
        <v>CONTRATADO</v>
      </c>
      <c r="L124" s="204" t="s">
        <v>112</v>
      </c>
      <c r="M124" s="204" t="s">
        <v>113</v>
      </c>
      <c r="N124" s="205" t="s">
        <v>270</v>
      </c>
      <c r="O124" s="204">
        <f>VLOOKUP(N124,RUBROS[#All],3,0)</f>
        <v>78</v>
      </c>
      <c r="P124" s="199" t="str">
        <f>VLOOKUP(N124,RUBROS[#All],2,0)</f>
        <v xml:space="preserve">Capacitación para el sector del deporte, la recreación y la actividad física en el Departamento de   Antioquia - Servicios prestados a las empresas y servicios de producción </v>
      </c>
      <c r="Q124" s="199" t="str">
        <f t="shared" si="8"/>
        <v>72</v>
      </c>
      <c r="R124" s="199" t="str">
        <f t="shared" si="9"/>
        <v>0-205128</v>
      </c>
      <c r="S124" s="207">
        <v>8</v>
      </c>
      <c r="T124" s="208" t="s">
        <v>46</v>
      </c>
      <c r="U124" s="209" t="e">
        <f ca="1">_xlfn.XLOOKUP(PAA[[#This Row],[ITEM]],Contrato!A:A,Contrato!Q:Q,"",0)</f>
        <v>#NAME?</v>
      </c>
      <c r="V124" s="199" t="s">
        <v>47</v>
      </c>
      <c r="W124" s="199" t="s">
        <v>48</v>
      </c>
      <c r="X124" s="199" t="s">
        <v>48</v>
      </c>
      <c r="Y124" s="210" t="e">
        <f ca="1">_xlfn.XLOOKUP(PAA[[#This Row],[ITEM]],Contrato!A:A,Contrato!B:B,"",0)</f>
        <v>#NAME?</v>
      </c>
      <c r="Z124" s="199" t="e">
        <f ca="1">_xlfn.XLOOKUP(PAA[[#This Row],[ITEM]],Contrato!A:A,Contrato!G:G,"",0)</f>
        <v>#NAME?</v>
      </c>
      <c r="AA124" s="199" t="e">
        <f ca="1">_xlfn.XLOOKUP(PAA[[#This Row],[ITEM]],Contrato!A:A,Contrato!T:T,"",0)</f>
        <v>#NAME?</v>
      </c>
      <c r="AB124" s="210" t="e">
        <f ca="1">+MAX(PAA[[#This Row],[Comprometido Contrato]],)</f>
        <v>#NAME?</v>
      </c>
      <c r="AC124" s="210" t="str">
        <f t="shared" ca="1" si="10"/>
        <v/>
      </c>
      <c r="AD124" s="210" t="e">
        <f ca="1">+MAX(PAA[[#This Row],[Pago por Contrato]],)</f>
        <v>#NAME?</v>
      </c>
      <c r="AE124" s="210" t="str">
        <f t="shared" ca="1" si="11"/>
        <v/>
      </c>
      <c r="AF124" s="199" t="e">
        <f t="shared" ca="1" si="12"/>
        <v>#NAME?</v>
      </c>
      <c r="AG124" s="199">
        <f t="shared" si="13"/>
        <v>52010704</v>
      </c>
      <c r="AH124" s="199" t="e" cm="1">
        <f t="array" aca="1" ref="AH124" ca="1">_xlfn.XLOOKUP(PAA[[#This Row],[RCP-RUBRO]],COMPROMISOS_2025[[#All],[concatenado]],COMPROMISOS_2025[[#All],[Total pagado]],"",0)</f>
        <v>#NAME?</v>
      </c>
      <c r="AI124" s="199" t="e" cm="1">
        <f t="array" aca="1" ref="AI124" ca="1">_xlfn.XLOOKUP(PAA[[#This Row],[RCP-RUBRO]],COMPROMISOS_2025[[#All],[concatenado]],COMPROMISOS_2025[[#All],[Total Comprometido]],"",0)</f>
        <v>#NAME?</v>
      </c>
    </row>
    <row r="125" spans="1:35" s="50" customFormat="1" ht="42" hidden="1" customHeight="1" x14ac:dyDescent="0.25">
      <c r="A125" s="199">
        <v>108</v>
      </c>
      <c r="B125" s="212">
        <v>80111600</v>
      </c>
      <c r="C125" s="199" t="str">
        <f>VLOOKUP(PAA[[#This Row],[PROYECTO (formulado)2]],PROYECTOS!$G$1:$L$32,6,0)</f>
        <v>SUBGERENCIA DE FOMENTO Y DESARROLLO</v>
      </c>
      <c r="D125" s="199" t="str">
        <f>+IF(PAA[[#This Row],[UNIDAD DE CONTRATACION (formulado)]]="Subgerencia Administrativa y Financiera","FUNCIONAMIENTO","INVERSIÓN")</f>
        <v>INVERSIÓN</v>
      </c>
      <c r="E125" s="201" t="str">
        <f>VLOOKUP(Q125,PROYECTOS!$G$1:$K$32,5,0)</f>
        <v>Fortalecimiento de los juegos deportivos institucionales en los municipios del departamento de Antioquia</v>
      </c>
      <c r="F125" s="201">
        <f>VLOOKUP(E125,PROYECTOS!$K$1:$M$32,3,0)</f>
        <v>2024003050073</v>
      </c>
      <c r="G125" s="202" t="s">
        <v>271</v>
      </c>
      <c r="H125" s="202" t="str">
        <f>VLOOKUP(Q125,PROYECTOS!$V$1:$W$32,2,0)</f>
        <v>050081</v>
      </c>
      <c r="I125" s="203">
        <v>12034880</v>
      </c>
      <c r="J125" s="204" t="s">
        <v>275</v>
      </c>
      <c r="K125" s="199" t="str">
        <f t="shared" ca="1" si="7"/>
        <v>CONTRATADO</v>
      </c>
      <c r="L125" s="204" t="s">
        <v>112</v>
      </c>
      <c r="M125" s="204" t="s">
        <v>113</v>
      </c>
      <c r="N125" s="205" t="s">
        <v>272</v>
      </c>
      <c r="O125" s="204">
        <f>VLOOKUP(N125,RUBROS[#All],3,0)</f>
        <v>81</v>
      </c>
      <c r="P125" s="199" t="str">
        <f>VLOOKUP(N125,RUBROS[#All],2,0)</f>
        <v xml:space="preserve">Fortalecimiento de los juegos deportivos institucionales en los municipios del departamento de Antioquia - Servicios prestados a las empresas y servicios de producción </v>
      </c>
      <c r="Q125" s="199" t="str">
        <f t="shared" si="8"/>
        <v>73</v>
      </c>
      <c r="R125" s="199" t="str">
        <f t="shared" si="9"/>
        <v>0-205128</v>
      </c>
      <c r="S125" s="207">
        <v>8</v>
      </c>
      <c r="T125" s="208" t="s">
        <v>46</v>
      </c>
      <c r="U125" s="209" t="e">
        <f ca="1">_xlfn.XLOOKUP(PAA[[#This Row],[ITEM]],Contrato!A:A,Contrato!Q:Q,"",0)</f>
        <v>#NAME?</v>
      </c>
      <c r="V125" s="199" t="s">
        <v>47</v>
      </c>
      <c r="W125" s="199" t="s">
        <v>48</v>
      </c>
      <c r="X125" s="199" t="s">
        <v>48</v>
      </c>
      <c r="Y125" s="210" t="e">
        <f ca="1">_xlfn.XLOOKUP(PAA[[#This Row],[ITEM]],Contrato!A:A,Contrato!B:B,"",0)</f>
        <v>#NAME?</v>
      </c>
      <c r="Z125" s="199" t="e">
        <f ca="1">_xlfn.XLOOKUP(PAA[[#This Row],[ITEM]],Contrato!A:A,Contrato!G:G,"",0)</f>
        <v>#NAME?</v>
      </c>
      <c r="AA125" s="199" t="e">
        <f ca="1">_xlfn.XLOOKUP(PAA[[#This Row],[ITEM]],Contrato!A:A,Contrato!T:T,"",0)</f>
        <v>#NAME?</v>
      </c>
      <c r="AB125" s="210" t="e">
        <f ca="1">+MAX(PAA[[#This Row],[Comprometido Contrato]],)</f>
        <v>#NAME?</v>
      </c>
      <c r="AC125" s="210" t="str">
        <f t="shared" ca="1" si="10"/>
        <v/>
      </c>
      <c r="AD125" s="210" t="e">
        <f ca="1">+MAX(PAA[[#This Row],[Pago por Contrato]],)</f>
        <v>#NAME?</v>
      </c>
      <c r="AE125" s="210" t="str">
        <f t="shared" ca="1" si="11"/>
        <v/>
      </c>
      <c r="AF125" s="199" t="e">
        <f t="shared" ca="1" si="12"/>
        <v>#NAME?</v>
      </c>
      <c r="AG125" s="199">
        <f t="shared" si="13"/>
        <v>52010703</v>
      </c>
      <c r="AH125" s="199" t="e" cm="1">
        <f t="array" aca="1" ref="AH125" ca="1">_xlfn.XLOOKUP(PAA[[#This Row],[RCP-RUBRO]],COMPROMISOS_2025[[#All],[concatenado]],COMPROMISOS_2025[[#All],[Total pagado]],"",0)</f>
        <v>#NAME?</v>
      </c>
      <c r="AI125" s="199" t="e" cm="1">
        <f t="array" aca="1" ref="AI125" ca="1">_xlfn.XLOOKUP(PAA[[#This Row],[RCP-RUBRO]],COMPROMISOS_2025[[#All],[concatenado]],COMPROMISOS_2025[[#All],[Total Comprometido]],"",0)</f>
        <v>#NAME?</v>
      </c>
    </row>
    <row r="126" spans="1:35" s="50" customFormat="1" ht="42" hidden="1" customHeight="1" x14ac:dyDescent="0.25">
      <c r="A126" s="199">
        <v>108</v>
      </c>
      <c r="B126" s="212">
        <v>80111600</v>
      </c>
      <c r="C126" s="199" t="str">
        <f>VLOOKUP(PAA[[#This Row],[PROYECTO (formulado)2]],PROYECTOS!$G$1:$L$32,6,0)</f>
        <v>SUBGERENCIA DE FOMENTO Y DESARROLLO</v>
      </c>
      <c r="D126" s="199" t="str">
        <f>+IF(PAA[[#This Row],[UNIDAD DE CONTRATACION (formulado)]]="Subgerencia Administrativa y Financiera","FUNCIONAMIENTO","INVERSIÓN")</f>
        <v>INVERSIÓN</v>
      </c>
      <c r="E126" s="201" t="str">
        <f>VLOOKUP(Q126,PROYECTOS!$G$1:$K$32,5,0)</f>
        <v>Cofinanciación de dotación de implementación para el deporte la recreación y a la actividad física en el departamento de Antioquia</v>
      </c>
      <c r="F126" s="201">
        <f>VLOOKUP(E126,PROYECTOS!$K$1:$M$32,3,0)</f>
        <v>2024003050074</v>
      </c>
      <c r="G126" s="202" t="s">
        <v>273</v>
      </c>
      <c r="H126" s="202" t="str">
        <f>VLOOKUP(Q126,PROYECTOS!$V$1:$W$32,2,0)</f>
        <v>050073</v>
      </c>
      <c r="I126" s="203">
        <v>12034880</v>
      </c>
      <c r="J126" s="204" t="s">
        <v>275</v>
      </c>
      <c r="K126" s="199" t="str">
        <f t="shared" ca="1" si="7"/>
        <v>CONTRATADO</v>
      </c>
      <c r="L126" s="204" t="s">
        <v>112</v>
      </c>
      <c r="M126" s="204" t="s">
        <v>113</v>
      </c>
      <c r="N126" s="205" t="s">
        <v>274</v>
      </c>
      <c r="O126" s="204">
        <f>VLOOKUP(N126,RUBROS[#All],3,0)</f>
        <v>85</v>
      </c>
      <c r="P126" s="199" t="str">
        <f>VLOOKUP(N126,RUBROS[#All],2,0)</f>
        <v xml:space="preserve">Cofinanciación de dotación de implementación para el deporte la recreación y a la actividad física en el departamento de Antioquia - Servicios prestados a las empresas y servicios de producción </v>
      </c>
      <c r="Q126" s="199" t="str">
        <f t="shared" si="8"/>
        <v>74</v>
      </c>
      <c r="R126" s="199" t="str">
        <f t="shared" si="9"/>
        <v>0-101024</v>
      </c>
      <c r="S126" s="207">
        <v>8</v>
      </c>
      <c r="T126" s="208" t="s">
        <v>46</v>
      </c>
      <c r="U126" s="209" t="e">
        <f ca="1">_xlfn.XLOOKUP(PAA[[#This Row],[ITEM]],Contrato!A:A,Contrato!Q:Q,"",0)</f>
        <v>#NAME?</v>
      </c>
      <c r="V126" s="199" t="s">
        <v>47</v>
      </c>
      <c r="W126" s="199" t="s">
        <v>48</v>
      </c>
      <c r="X126" s="199" t="s">
        <v>48</v>
      </c>
      <c r="Y126" s="210" t="e">
        <f ca="1">_xlfn.XLOOKUP(PAA[[#This Row],[ITEM]],Contrato!A:A,Contrato!B:B,"",0)</f>
        <v>#NAME?</v>
      </c>
      <c r="Z126" s="199" t="e">
        <f ca="1">_xlfn.XLOOKUP(PAA[[#This Row],[ITEM]],Contrato!A:A,Contrato!G:G,"",0)</f>
        <v>#NAME?</v>
      </c>
      <c r="AA126" s="199" t="e">
        <f ca="1">_xlfn.XLOOKUP(PAA[[#This Row],[ITEM]],Contrato!A:A,Contrato!T:T,"",0)</f>
        <v>#NAME?</v>
      </c>
      <c r="AB126" s="210" t="e">
        <f ca="1">+MAX(PAA[[#This Row],[Comprometido Contrato]],)</f>
        <v>#NAME?</v>
      </c>
      <c r="AC126" s="210" t="str">
        <f t="shared" ca="1" si="10"/>
        <v/>
      </c>
      <c r="AD126" s="210" t="e">
        <f ca="1">+MAX(PAA[[#This Row],[Pago por Contrato]],)</f>
        <v>#NAME?</v>
      </c>
      <c r="AE126" s="210" t="str">
        <f t="shared" ca="1" si="11"/>
        <v/>
      </c>
      <c r="AF126" s="199" t="e">
        <f t="shared" ca="1" si="12"/>
        <v>#NAME?</v>
      </c>
      <c r="AG126" s="199">
        <f t="shared" si="13"/>
        <v>52010701</v>
      </c>
      <c r="AH126" s="199" t="e" cm="1">
        <f t="array" aca="1" ref="AH126" ca="1">_xlfn.XLOOKUP(PAA[[#This Row],[RCP-RUBRO]],COMPROMISOS_2025[[#All],[concatenado]],COMPROMISOS_2025[[#All],[Total pagado]],"",0)</f>
        <v>#NAME?</v>
      </c>
      <c r="AI126" s="199" t="e" cm="1">
        <f t="array" aca="1" ref="AI126" ca="1">_xlfn.XLOOKUP(PAA[[#This Row],[RCP-RUBRO]],COMPROMISOS_2025[[#All],[concatenado]],COMPROMISOS_2025[[#All],[Total Comprometido]],"",0)</f>
        <v>#NAME?</v>
      </c>
    </row>
    <row r="127" spans="1:35" s="50" customFormat="1" ht="42" hidden="1" customHeight="1" x14ac:dyDescent="0.25">
      <c r="A127" s="199">
        <v>109</v>
      </c>
      <c r="B127" s="212">
        <v>80111600</v>
      </c>
      <c r="C127" s="199" t="str">
        <f>VLOOKUP(PAA[[#This Row],[PROYECTO (formulado)2]],PROYECTOS!$G$1:$L$32,6,0)</f>
        <v>SUBGERENCIA DE FOMENTO Y DESARROLLO</v>
      </c>
      <c r="D127" s="199" t="str">
        <f>+IF(PAA[[#This Row],[UNIDAD DE CONTRATACION (formulado)]]="Subgerencia Administrativa y Financiera","FUNCIONAMIENTO","INVERSIÓN")</f>
        <v>INVERSIÓN</v>
      </c>
      <c r="E127" s="201" t="str">
        <f>VLOOKUP(Q127,PROYECTOS!$G$1:$K$32,5,0)</f>
        <v>Desarrollo y promoción del deporte formativo, la recreación y la actividad física en el departamento Antioquia</v>
      </c>
      <c r="F127" s="201">
        <f>VLOOKUP(E127,PROYECTOS!$K$1:$M$32,3,0)</f>
        <v>2024003050101</v>
      </c>
      <c r="G127" s="202" t="s">
        <v>264</v>
      </c>
      <c r="H127" s="202" t="str">
        <f>VLOOKUP(Q127,PROYECTOS!$V$1:$W$32,2,0)</f>
        <v>050075</v>
      </c>
      <c r="I127" s="203">
        <v>11034880</v>
      </c>
      <c r="J127" s="204" t="s">
        <v>276</v>
      </c>
      <c r="K127" s="199" t="str">
        <f t="shared" ca="1" si="7"/>
        <v>CONTRATADO</v>
      </c>
      <c r="L127" s="204" t="s">
        <v>112</v>
      </c>
      <c r="M127" s="204" t="s">
        <v>113</v>
      </c>
      <c r="N127" s="205" t="s">
        <v>266</v>
      </c>
      <c r="O127" s="204">
        <f>VLOOKUP(N127,RUBROS[#All],3,0)</f>
        <v>70</v>
      </c>
      <c r="P127" s="199" t="str">
        <f>VLOOKUP(N127,RUBROS[#All],2,0)</f>
        <v xml:space="preserve">Desarrollo y promoción del deporte formativo, la recreación y la actividad física en el departamento Antioquia - Servicios prestados a las empresas y servicios de producción </v>
      </c>
      <c r="Q127" s="199" t="str">
        <f t="shared" si="8"/>
        <v>01</v>
      </c>
      <c r="R127" s="199" t="str">
        <f t="shared" si="9"/>
        <v>0-205128</v>
      </c>
      <c r="S127" s="207">
        <v>8</v>
      </c>
      <c r="T127" s="208" t="s">
        <v>46</v>
      </c>
      <c r="U127" s="209" t="e">
        <f ca="1">_xlfn.XLOOKUP(PAA[[#This Row],[ITEM]],Contrato!A:A,Contrato!Q:Q,"",0)</f>
        <v>#NAME?</v>
      </c>
      <c r="V127" s="199" t="s">
        <v>47</v>
      </c>
      <c r="W127" s="199" t="s">
        <v>48</v>
      </c>
      <c r="X127" s="199" t="s">
        <v>48</v>
      </c>
      <c r="Y127" s="210" t="e">
        <f ca="1">_xlfn.XLOOKUP(PAA[[#This Row],[ITEM]],Contrato!A:A,Contrato!B:B,"",0)</f>
        <v>#NAME?</v>
      </c>
      <c r="Z127" s="199" t="e">
        <f ca="1">_xlfn.XLOOKUP(PAA[[#This Row],[ITEM]],Contrato!A:A,Contrato!G:G,"",0)</f>
        <v>#NAME?</v>
      </c>
      <c r="AA127" s="199" t="e">
        <f ca="1">_xlfn.XLOOKUP(PAA[[#This Row],[ITEM]],Contrato!A:A,Contrato!T:T,"",0)</f>
        <v>#NAME?</v>
      </c>
      <c r="AB127" s="210" t="e">
        <f ca="1">+MAX(PAA[[#This Row],[Comprometido Contrato]],)</f>
        <v>#NAME?</v>
      </c>
      <c r="AC127" s="210" t="str">
        <f t="shared" ca="1" si="10"/>
        <v/>
      </c>
      <c r="AD127" s="210" t="e">
        <f ca="1">+MAX(PAA[[#This Row],[Pago por Contrato]],)</f>
        <v>#NAME?</v>
      </c>
      <c r="AE127" s="210" t="str">
        <f t="shared" ca="1" si="11"/>
        <v/>
      </c>
      <c r="AF127" s="199" t="e">
        <f t="shared" ca="1" si="12"/>
        <v>#NAME?</v>
      </c>
      <c r="AG127" s="199">
        <f t="shared" si="13"/>
        <v>52010702</v>
      </c>
      <c r="AH127" s="199" t="e" cm="1">
        <f t="array" aca="1" ref="AH127" ca="1">_xlfn.XLOOKUP(PAA[[#This Row],[RCP-RUBRO]],COMPROMISOS_2025[[#All],[concatenado]],COMPROMISOS_2025[[#All],[Total pagado]],"",0)</f>
        <v>#NAME?</v>
      </c>
      <c r="AI127" s="199" t="e" cm="1">
        <f t="array" aca="1" ref="AI127" ca="1">_xlfn.XLOOKUP(PAA[[#This Row],[RCP-RUBRO]],COMPROMISOS_2025[[#All],[concatenado]],COMPROMISOS_2025[[#All],[Total Comprometido]],"",0)</f>
        <v>#NAME?</v>
      </c>
    </row>
    <row r="128" spans="1:35" s="50" customFormat="1" ht="42" hidden="1" customHeight="1" x14ac:dyDescent="0.25">
      <c r="A128" s="199">
        <v>109</v>
      </c>
      <c r="B128" s="212">
        <v>80111600</v>
      </c>
      <c r="C128" s="199" t="str">
        <f>VLOOKUP(PAA[[#This Row],[PROYECTO (formulado)2]],PROYECTOS!$G$1:$L$32,6,0)</f>
        <v>SUBGERENCIA DE FOMENTO Y DESARROLLO</v>
      </c>
      <c r="D128" s="199" t="str">
        <f>+IF(PAA[[#This Row],[UNIDAD DE CONTRATACION (formulado)]]="Subgerencia Administrativa y Financiera","FUNCIONAMIENTO","INVERSIÓN")</f>
        <v>INVERSIÓN</v>
      </c>
      <c r="E128" s="201" t="str">
        <f>VLOOKUP(Q128,PROYECTOS!$G$1:$K$32,5,0)</f>
        <v>Asesoria y acompañamiento institucional para el deporte formativo, la recreación y la actividad física en el departamento de Antioquia</v>
      </c>
      <c r="F128" s="201">
        <f>VLOOKUP(E128,PROYECTOS!$K$1:$M$32,3,0)</f>
        <v>2024003050100</v>
      </c>
      <c r="G128" s="202" t="s">
        <v>267</v>
      </c>
      <c r="H128" s="202" t="str">
        <f>VLOOKUP(Q128,PROYECTOS!$V$1:$W$32,2,0)</f>
        <v>050071</v>
      </c>
      <c r="I128" s="203">
        <v>11034880</v>
      </c>
      <c r="J128" s="204" t="s">
        <v>276</v>
      </c>
      <c r="K128" s="199" t="str">
        <f t="shared" ca="1" si="7"/>
        <v>CONTRATADO</v>
      </c>
      <c r="L128" s="204" t="s">
        <v>112</v>
      </c>
      <c r="M128" s="204" t="s">
        <v>113</v>
      </c>
      <c r="N128" s="205" t="s">
        <v>268</v>
      </c>
      <c r="O128" s="204">
        <f>VLOOKUP(N128,RUBROS[#All],3,0)</f>
        <v>74</v>
      </c>
      <c r="P128" s="199" t="str">
        <f>VLOOKUP(N128,RUBROS[#All],2,0)</f>
        <v xml:space="preserve">Asesoria y acompañamiento institucional para el deporte formativo, la recreación y la actividad física en el departamento de Antioquia. - Servicios prestados a las empresas y servicios de producción </v>
      </c>
      <c r="Q128" s="199" t="str">
        <f t="shared" si="8"/>
        <v>10</v>
      </c>
      <c r="R128" s="199" t="str">
        <f t="shared" si="9"/>
        <v>0-101024</v>
      </c>
      <c r="S128" s="207">
        <v>8</v>
      </c>
      <c r="T128" s="208" t="s">
        <v>46</v>
      </c>
      <c r="U128" s="209" t="e">
        <f ca="1">_xlfn.XLOOKUP(PAA[[#This Row],[ITEM]],Contrato!A:A,Contrato!Q:Q,"",0)</f>
        <v>#NAME?</v>
      </c>
      <c r="V128" s="199" t="s">
        <v>47</v>
      </c>
      <c r="W128" s="199" t="s">
        <v>48</v>
      </c>
      <c r="X128" s="199" t="s">
        <v>48</v>
      </c>
      <c r="Y128" s="210" t="e">
        <f ca="1">_xlfn.XLOOKUP(PAA[[#This Row],[ITEM]],Contrato!A:A,Contrato!B:B,"",0)</f>
        <v>#NAME?</v>
      </c>
      <c r="Z128" s="199" t="e">
        <f ca="1">_xlfn.XLOOKUP(PAA[[#This Row],[ITEM]],Contrato!A:A,Contrato!G:G,"",0)</f>
        <v>#NAME?</v>
      </c>
      <c r="AA128" s="199" t="e">
        <f ca="1">_xlfn.XLOOKUP(PAA[[#This Row],[ITEM]],Contrato!A:A,Contrato!T:T,"",0)</f>
        <v>#NAME?</v>
      </c>
      <c r="AB128" s="210" t="e">
        <f ca="1">+MAX(PAA[[#This Row],[Comprometido Contrato]],)</f>
        <v>#NAME?</v>
      </c>
      <c r="AC128" s="210" t="str">
        <f t="shared" ca="1" si="10"/>
        <v/>
      </c>
      <c r="AD128" s="210" t="e">
        <f ca="1">+MAX(PAA[[#This Row],[Pago por Contrato]],)</f>
        <v>#NAME?</v>
      </c>
      <c r="AE128" s="210" t="str">
        <f t="shared" ca="1" si="11"/>
        <v/>
      </c>
      <c r="AF128" s="199" t="e">
        <f t="shared" ca="1" si="12"/>
        <v>#NAME?</v>
      </c>
      <c r="AG128" s="199">
        <f t="shared" si="13"/>
        <v>52010705</v>
      </c>
      <c r="AH128" s="199" t="e" cm="1">
        <f t="array" aca="1" ref="AH128" ca="1">_xlfn.XLOOKUP(PAA[[#This Row],[RCP-RUBRO]],COMPROMISOS_2025[[#All],[concatenado]],COMPROMISOS_2025[[#All],[Total pagado]],"",0)</f>
        <v>#NAME?</v>
      </c>
      <c r="AI128" s="199" t="e" cm="1">
        <f t="array" aca="1" ref="AI128" ca="1">_xlfn.XLOOKUP(PAA[[#This Row],[RCP-RUBRO]],COMPROMISOS_2025[[#All],[concatenado]],COMPROMISOS_2025[[#All],[Total Comprometido]],"",0)</f>
        <v>#NAME?</v>
      </c>
    </row>
    <row r="129" spans="1:35" s="50" customFormat="1" ht="42" hidden="1" customHeight="1" x14ac:dyDescent="0.25">
      <c r="A129" s="199">
        <v>109</v>
      </c>
      <c r="B129" s="212">
        <v>80111600</v>
      </c>
      <c r="C129" s="199" t="str">
        <f>VLOOKUP(PAA[[#This Row],[PROYECTO (formulado)2]],PROYECTOS!$G$1:$L$32,6,0)</f>
        <v>SUBGERENCIA DE FOMENTO Y DESARROLLO</v>
      </c>
      <c r="D129" s="199" t="str">
        <f>+IF(PAA[[#This Row],[UNIDAD DE CONTRATACION (formulado)]]="Subgerencia Administrativa y Financiera","FUNCIONAMIENTO","INVERSIÓN")</f>
        <v>INVERSIÓN</v>
      </c>
      <c r="E129" s="201" t="str">
        <f>VLOOKUP(Q129,PROYECTOS!$G$1:$K$32,5,0)</f>
        <v>Capacitación para el sector del deporte, la recreación y la actividad física en el Departamento de   Antioquia</v>
      </c>
      <c r="F129" s="201">
        <f>VLOOKUP(E129,PROYECTOS!$K$1:$M$32,3,0)</f>
        <v>2024003050072</v>
      </c>
      <c r="G129" s="202" t="s">
        <v>269</v>
      </c>
      <c r="H129" s="202" t="str">
        <f>VLOOKUP(Q129,PROYECTOS!$V$1:$W$32,2,0)</f>
        <v>050072</v>
      </c>
      <c r="I129" s="203">
        <v>11034880</v>
      </c>
      <c r="J129" s="204" t="s">
        <v>276</v>
      </c>
      <c r="K129" s="199" t="str">
        <f t="shared" ca="1" si="7"/>
        <v>CONTRATADO</v>
      </c>
      <c r="L129" s="204" t="s">
        <v>112</v>
      </c>
      <c r="M129" s="204" t="s">
        <v>113</v>
      </c>
      <c r="N129" s="205" t="s">
        <v>270</v>
      </c>
      <c r="O129" s="204">
        <f>VLOOKUP(N129,RUBROS[#All],3,0)</f>
        <v>78</v>
      </c>
      <c r="P129" s="199" t="str">
        <f>VLOOKUP(N129,RUBROS[#All],2,0)</f>
        <v xml:space="preserve">Capacitación para el sector del deporte, la recreación y la actividad física en el Departamento de   Antioquia - Servicios prestados a las empresas y servicios de producción </v>
      </c>
      <c r="Q129" s="199" t="str">
        <f t="shared" si="8"/>
        <v>72</v>
      </c>
      <c r="R129" s="199" t="str">
        <f t="shared" si="9"/>
        <v>0-205128</v>
      </c>
      <c r="S129" s="207">
        <v>8</v>
      </c>
      <c r="T129" s="208" t="s">
        <v>46</v>
      </c>
      <c r="U129" s="209" t="e">
        <f ca="1">_xlfn.XLOOKUP(PAA[[#This Row],[ITEM]],Contrato!A:A,Contrato!Q:Q,"",0)</f>
        <v>#NAME?</v>
      </c>
      <c r="V129" s="199" t="s">
        <v>47</v>
      </c>
      <c r="W129" s="199" t="s">
        <v>48</v>
      </c>
      <c r="X129" s="199" t="s">
        <v>48</v>
      </c>
      <c r="Y129" s="210" t="e">
        <f ca="1">_xlfn.XLOOKUP(PAA[[#This Row],[ITEM]],Contrato!A:A,Contrato!B:B,"",0)</f>
        <v>#NAME?</v>
      </c>
      <c r="Z129" s="199" t="e">
        <f ca="1">_xlfn.XLOOKUP(PAA[[#This Row],[ITEM]],Contrato!A:A,Contrato!G:G,"",0)</f>
        <v>#NAME?</v>
      </c>
      <c r="AA129" s="199" t="e">
        <f ca="1">_xlfn.XLOOKUP(PAA[[#This Row],[ITEM]],Contrato!A:A,Contrato!T:T,"",0)</f>
        <v>#NAME?</v>
      </c>
      <c r="AB129" s="210" t="e">
        <f ca="1">+MAX(PAA[[#This Row],[Comprometido Contrato]],)</f>
        <v>#NAME?</v>
      </c>
      <c r="AC129" s="210" t="str">
        <f t="shared" ca="1" si="10"/>
        <v/>
      </c>
      <c r="AD129" s="210" t="e">
        <f ca="1">+MAX(PAA[[#This Row],[Pago por Contrato]],)</f>
        <v>#NAME?</v>
      </c>
      <c r="AE129" s="210" t="str">
        <f t="shared" ca="1" si="11"/>
        <v/>
      </c>
      <c r="AF129" s="199" t="e">
        <f t="shared" ca="1" si="12"/>
        <v>#NAME?</v>
      </c>
      <c r="AG129" s="199">
        <f t="shared" si="13"/>
        <v>52010704</v>
      </c>
      <c r="AH129" s="199" t="e" cm="1">
        <f t="array" aca="1" ref="AH129" ca="1">_xlfn.XLOOKUP(PAA[[#This Row],[RCP-RUBRO]],COMPROMISOS_2025[[#All],[concatenado]],COMPROMISOS_2025[[#All],[Total pagado]],"",0)</f>
        <v>#NAME?</v>
      </c>
      <c r="AI129" s="199" t="e" cm="1">
        <f t="array" aca="1" ref="AI129" ca="1">_xlfn.XLOOKUP(PAA[[#This Row],[RCP-RUBRO]],COMPROMISOS_2025[[#All],[concatenado]],COMPROMISOS_2025[[#All],[Total Comprometido]],"",0)</f>
        <v>#NAME?</v>
      </c>
    </row>
    <row r="130" spans="1:35" s="50" customFormat="1" ht="42" hidden="1" customHeight="1" x14ac:dyDescent="0.25">
      <c r="A130" s="199">
        <v>109</v>
      </c>
      <c r="B130" s="212">
        <v>80111600</v>
      </c>
      <c r="C130" s="199" t="str">
        <f>VLOOKUP(PAA[[#This Row],[PROYECTO (formulado)2]],PROYECTOS!$G$1:$L$32,6,0)</f>
        <v>SUBGERENCIA DE FOMENTO Y DESARROLLO</v>
      </c>
      <c r="D130" s="199" t="str">
        <f>+IF(PAA[[#This Row],[UNIDAD DE CONTRATACION (formulado)]]="Subgerencia Administrativa y Financiera","FUNCIONAMIENTO","INVERSIÓN")</f>
        <v>INVERSIÓN</v>
      </c>
      <c r="E130" s="201" t="str">
        <f>VLOOKUP(Q130,PROYECTOS!$G$1:$K$32,5,0)</f>
        <v>Fortalecimiento de los juegos deportivos institucionales en los municipios del departamento de Antioquia</v>
      </c>
      <c r="F130" s="201">
        <f>VLOOKUP(E130,PROYECTOS!$K$1:$M$32,3,0)</f>
        <v>2024003050073</v>
      </c>
      <c r="G130" s="202" t="s">
        <v>271</v>
      </c>
      <c r="H130" s="202" t="str">
        <f>VLOOKUP(Q130,PROYECTOS!$V$1:$W$32,2,0)</f>
        <v>050081</v>
      </c>
      <c r="I130" s="203">
        <v>11034880</v>
      </c>
      <c r="J130" s="204" t="s">
        <v>276</v>
      </c>
      <c r="K130" s="199" t="str">
        <f t="shared" ca="1" si="7"/>
        <v>CONTRATADO</v>
      </c>
      <c r="L130" s="204" t="s">
        <v>112</v>
      </c>
      <c r="M130" s="204" t="s">
        <v>113</v>
      </c>
      <c r="N130" s="205" t="s">
        <v>272</v>
      </c>
      <c r="O130" s="204">
        <f>VLOOKUP(N130,RUBROS[#All],3,0)</f>
        <v>81</v>
      </c>
      <c r="P130" s="199" t="str">
        <f>VLOOKUP(N130,RUBROS[#All],2,0)</f>
        <v xml:space="preserve">Fortalecimiento de los juegos deportivos institucionales en los municipios del departamento de Antioquia - Servicios prestados a las empresas y servicios de producción </v>
      </c>
      <c r="Q130" s="199" t="str">
        <f t="shared" si="8"/>
        <v>73</v>
      </c>
      <c r="R130" s="199" t="str">
        <f t="shared" si="9"/>
        <v>0-205128</v>
      </c>
      <c r="S130" s="207">
        <v>8</v>
      </c>
      <c r="T130" s="208" t="s">
        <v>46</v>
      </c>
      <c r="U130" s="209" t="e">
        <f ca="1">_xlfn.XLOOKUP(PAA[[#This Row],[ITEM]],Contrato!A:A,Contrato!Q:Q,"",0)</f>
        <v>#NAME?</v>
      </c>
      <c r="V130" s="199" t="s">
        <v>47</v>
      </c>
      <c r="W130" s="199" t="s">
        <v>48</v>
      </c>
      <c r="X130" s="199" t="s">
        <v>48</v>
      </c>
      <c r="Y130" s="210" t="e">
        <f ca="1">_xlfn.XLOOKUP(PAA[[#This Row],[ITEM]],Contrato!A:A,Contrato!B:B,"",0)</f>
        <v>#NAME?</v>
      </c>
      <c r="Z130" s="199" t="e">
        <f ca="1">_xlfn.XLOOKUP(PAA[[#This Row],[ITEM]],Contrato!A:A,Contrato!G:G,"",0)</f>
        <v>#NAME?</v>
      </c>
      <c r="AA130" s="199" t="e">
        <f ca="1">_xlfn.XLOOKUP(PAA[[#This Row],[ITEM]],Contrato!A:A,Contrato!T:T,"",0)</f>
        <v>#NAME?</v>
      </c>
      <c r="AB130" s="210" t="e">
        <f ca="1">+MAX(PAA[[#This Row],[Comprometido Contrato]],)</f>
        <v>#NAME?</v>
      </c>
      <c r="AC130" s="210" t="str">
        <f t="shared" ca="1" si="10"/>
        <v/>
      </c>
      <c r="AD130" s="210" t="e">
        <f ca="1">+MAX(PAA[[#This Row],[Pago por Contrato]],)</f>
        <v>#NAME?</v>
      </c>
      <c r="AE130" s="210" t="str">
        <f t="shared" ca="1" si="11"/>
        <v/>
      </c>
      <c r="AF130" s="199" t="e">
        <f t="shared" ca="1" si="12"/>
        <v>#NAME?</v>
      </c>
      <c r="AG130" s="199">
        <f t="shared" si="13"/>
        <v>52010703</v>
      </c>
      <c r="AH130" s="199" t="e" cm="1">
        <f t="array" aca="1" ref="AH130" ca="1">_xlfn.XLOOKUP(PAA[[#This Row],[RCP-RUBRO]],COMPROMISOS_2025[[#All],[concatenado]],COMPROMISOS_2025[[#All],[Total pagado]],"",0)</f>
        <v>#NAME?</v>
      </c>
      <c r="AI130" s="199" t="e" cm="1">
        <f t="array" aca="1" ref="AI130" ca="1">_xlfn.XLOOKUP(PAA[[#This Row],[RCP-RUBRO]],COMPROMISOS_2025[[#All],[concatenado]],COMPROMISOS_2025[[#All],[Total Comprometido]],"",0)</f>
        <v>#NAME?</v>
      </c>
    </row>
    <row r="131" spans="1:35" s="50" customFormat="1" ht="42" hidden="1" customHeight="1" x14ac:dyDescent="0.25">
      <c r="A131" s="199">
        <v>109</v>
      </c>
      <c r="B131" s="212">
        <v>80111600</v>
      </c>
      <c r="C131" s="199" t="str">
        <f>VLOOKUP(PAA[[#This Row],[PROYECTO (formulado)2]],PROYECTOS!$G$1:$L$32,6,0)</f>
        <v>SUBGERENCIA DE FOMENTO Y DESARROLLO</v>
      </c>
      <c r="D131" s="199" t="str">
        <f>+IF(PAA[[#This Row],[UNIDAD DE CONTRATACION (formulado)]]="Subgerencia Administrativa y Financiera","FUNCIONAMIENTO","INVERSIÓN")</f>
        <v>INVERSIÓN</v>
      </c>
      <c r="E131" s="201" t="str">
        <f>VLOOKUP(Q131,PROYECTOS!$G$1:$K$32,5,0)</f>
        <v>Cofinanciación de dotación de implementación para el deporte la recreación y a la actividad física en el departamento de Antioquia</v>
      </c>
      <c r="F131" s="201">
        <f>VLOOKUP(E131,PROYECTOS!$K$1:$M$32,3,0)</f>
        <v>2024003050074</v>
      </c>
      <c r="G131" s="202" t="s">
        <v>273</v>
      </c>
      <c r="H131" s="202" t="str">
        <f>VLOOKUP(Q131,PROYECTOS!$V$1:$W$32,2,0)</f>
        <v>050073</v>
      </c>
      <c r="I131" s="203">
        <v>16034880</v>
      </c>
      <c r="J131" s="204" t="s">
        <v>276</v>
      </c>
      <c r="K131" s="199" t="str">
        <f t="shared" ca="1" si="7"/>
        <v>CONTRATADO</v>
      </c>
      <c r="L131" s="204" t="s">
        <v>112</v>
      </c>
      <c r="M131" s="204" t="s">
        <v>113</v>
      </c>
      <c r="N131" s="205" t="s">
        <v>274</v>
      </c>
      <c r="O131" s="204">
        <f>VLOOKUP(N131,RUBROS[#All],3,0)</f>
        <v>85</v>
      </c>
      <c r="P131" s="199" t="str">
        <f>VLOOKUP(N131,RUBROS[#All],2,0)</f>
        <v xml:space="preserve">Cofinanciación de dotación de implementación para el deporte la recreación y a la actividad física en el departamento de Antioquia - Servicios prestados a las empresas y servicios de producción </v>
      </c>
      <c r="Q131" s="199" t="str">
        <f t="shared" si="8"/>
        <v>74</v>
      </c>
      <c r="R131" s="199" t="str">
        <f t="shared" si="9"/>
        <v>0-101024</v>
      </c>
      <c r="S131" s="207">
        <v>8</v>
      </c>
      <c r="T131" s="208" t="s">
        <v>46</v>
      </c>
      <c r="U131" s="209" t="e">
        <f ca="1">_xlfn.XLOOKUP(PAA[[#This Row],[ITEM]],Contrato!A:A,Contrato!Q:Q,"",0)</f>
        <v>#NAME?</v>
      </c>
      <c r="V131" s="199" t="s">
        <v>47</v>
      </c>
      <c r="W131" s="199" t="s">
        <v>48</v>
      </c>
      <c r="X131" s="199" t="s">
        <v>48</v>
      </c>
      <c r="Y131" s="210" t="e">
        <f ca="1">_xlfn.XLOOKUP(PAA[[#This Row],[ITEM]],Contrato!A:A,Contrato!B:B,"",0)</f>
        <v>#NAME?</v>
      </c>
      <c r="Z131" s="199" t="e">
        <f ca="1">_xlfn.XLOOKUP(PAA[[#This Row],[ITEM]],Contrato!A:A,Contrato!G:G,"",0)</f>
        <v>#NAME?</v>
      </c>
      <c r="AA131" s="199" t="e">
        <f ca="1">_xlfn.XLOOKUP(PAA[[#This Row],[ITEM]],Contrato!A:A,Contrato!T:T,"",0)</f>
        <v>#NAME?</v>
      </c>
      <c r="AB131" s="210" t="e">
        <f ca="1">+MAX(PAA[[#This Row],[Comprometido Contrato]],)</f>
        <v>#NAME?</v>
      </c>
      <c r="AC131" s="210" t="str">
        <f t="shared" ca="1" si="10"/>
        <v/>
      </c>
      <c r="AD131" s="210" t="e">
        <f ca="1">+MAX(PAA[[#This Row],[Pago por Contrato]],)</f>
        <v>#NAME?</v>
      </c>
      <c r="AE131" s="210" t="str">
        <f t="shared" ca="1" si="11"/>
        <v/>
      </c>
      <c r="AF131" s="199" t="e">
        <f t="shared" ca="1" si="12"/>
        <v>#NAME?</v>
      </c>
      <c r="AG131" s="199">
        <f t="shared" si="13"/>
        <v>52010701</v>
      </c>
      <c r="AH131" s="199" t="e" cm="1">
        <f t="array" aca="1" ref="AH131" ca="1">_xlfn.XLOOKUP(PAA[[#This Row],[RCP-RUBRO]],COMPROMISOS_2025[[#All],[concatenado]],COMPROMISOS_2025[[#All],[Total pagado]],"",0)</f>
        <v>#NAME?</v>
      </c>
      <c r="AI131" s="199" t="e" cm="1">
        <f t="array" aca="1" ref="AI131" ca="1">_xlfn.XLOOKUP(PAA[[#This Row],[RCP-RUBRO]],COMPROMISOS_2025[[#All],[concatenado]],COMPROMISOS_2025[[#All],[Total Comprometido]],"",0)</f>
        <v>#NAME?</v>
      </c>
    </row>
    <row r="132" spans="1:35" s="50" customFormat="1" ht="42" hidden="1" customHeight="1" x14ac:dyDescent="0.25">
      <c r="A132" s="199">
        <v>110</v>
      </c>
      <c r="B132" s="212">
        <v>80111600</v>
      </c>
      <c r="C132" s="199" t="str">
        <f>VLOOKUP(PAA[[#This Row],[PROYECTO (formulado)2]],PROYECTOS!$G$1:$L$32,6,0)</f>
        <v>SUBGERENCIA DE FOMENTO Y DESARROLLO</v>
      </c>
      <c r="D132" s="199" t="str">
        <f>+IF(PAA[[#This Row],[UNIDAD DE CONTRATACION (formulado)]]="Subgerencia Administrativa y Financiera","FUNCIONAMIENTO","INVERSIÓN")</f>
        <v>INVERSIÓN</v>
      </c>
      <c r="E132" s="201" t="str">
        <f>VLOOKUP(Q132,PROYECTOS!$G$1:$K$32,5,0)</f>
        <v>Desarrollo y promoción del deporte formativo, la recreación y la actividad física en el departamento Antioquia</v>
      </c>
      <c r="F132" s="201">
        <f>VLOOKUP(E132,PROYECTOS!$K$1:$M$32,3,0)</f>
        <v>2024003050101</v>
      </c>
      <c r="G132" s="202" t="s">
        <v>264</v>
      </c>
      <c r="H132" s="202" t="str">
        <f>VLOOKUP(Q132,PROYECTOS!$V$1:$W$32,2,0)</f>
        <v>050075</v>
      </c>
      <c r="I132" s="203">
        <v>13834880</v>
      </c>
      <c r="J132" s="204" t="s">
        <v>277</v>
      </c>
      <c r="K132" s="199" t="str">
        <f t="shared" ca="1" si="7"/>
        <v>CONTRATADO</v>
      </c>
      <c r="L132" s="204" t="s">
        <v>112</v>
      </c>
      <c r="M132" s="204" t="s">
        <v>113</v>
      </c>
      <c r="N132" s="205" t="s">
        <v>266</v>
      </c>
      <c r="O132" s="204">
        <f>VLOOKUP(N132,RUBROS[#All],3,0)</f>
        <v>70</v>
      </c>
      <c r="P132" s="199" t="str">
        <f>VLOOKUP(N132,RUBROS[#All],2,0)</f>
        <v xml:space="preserve">Desarrollo y promoción del deporte formativo, la recreación y la actividad física en el departamento Antioquia - Servicios prestados a las empresas y servicios de producción </v>
      </c>
      <c r="Q132" s="199" t="str">
        <f t="shared" si="8"/>
        <v>01</v>
      </c>
      <c r="R132" s="199" t="str">
        <f t="shared" si="9"/>
        <v>0-205128</v>
      </c>
      <c r="S132" s="207">
        <v>8</v>
      </c>
      <c r="T132" s="208" t="s">
        <v>46</v>
      </c>
      <c r="U132" s="209" t="e">
        <f ca="1">_xlfn.XLOOKUP(PAA[[#This Row],[ITEM]],Contrato!A:A,Contrato!Q:Q,"",0)</f>
        <v>#NAME?</v>
      </c>
      <c r="V132" s="199" t="s">
        <v>47</v>
      </c>
      <c r="W132" s="199" t="s">
        <v>48</v>
      </c>
      <c r="X132" s="199" t="s">
        <v>48</v>
      </c>
      <c r="Y132" s="210" t="e">
        <f ca="1">_xlfn.XLOOKUP(PAA[[#This Row],[ITEM]],Contrato!A:A,Contrato!B:B,"",0)</f>
        <v>#NAME?</v>
      </c>
      <c r="Z132" s="199" t="e">
        <f ca="1">_xlfn.XLOOKUP(PAA[[#This Row],[ITEM]],Contrato!A:A,Contrato!G:G,"",0)</f>
        <v>#NAME?</v>
      </c>
      <c r="AA132" s="199" t="e">
        <f ca="1">_xlfn.XLOOKUP(PAA[[#This Row],[ITEM]],Contrato!A:A,Contrato!T:T,"",0)</f>
        <v>#NAME?</v>
      </c>
      <c r="AB132" s="210" t="e">
        <f ca="1">+MAX(PAA[[#This Row],[Comprometido Contrato]],)</f>
        <v>#NAME?</v>
      </c>
      <c r="AC132" s="210" t="str">
        <f t="shared" ca="1" si="10"/>
        <v/>
      </c>
      <c r="AD132" s="210" t="e">
        <f ca="1">+MAX(PAA[[#This Row],[Pago por Contrato]],)</f>
        <v>#NAME?</v>
      </c>
      <c r="AE132" s="210" t="str">
        <f t="shared" ca="1" si="11"/>
        <v/>
      </c>
      <c r="AF132" s="199" t="e">
        <f t="shared" ca="1" si="12"/>
        <v>#NAME?</v>
      </c>
      <c r="AG132" s="199">
        <f t="shared" si="13"/>
        <v>52010702</v>
      </c>
      <c r="AH132" s="199" t="e" cm="1">
        <f t="array" aca="1" ref="AH132" ca="1">_xlfn.XLOOKUP(PAA[[#This Row],[RCP-RUBRO]],COMPROMISOS_2025[[#All],[concatenado]],COMPROMISOS_2025[[#All],[Total pagado]],"",0)</f>
        <v>#NAME?</v>
      </c>
      <c r="AI132" s="199" t="e" cm="1">
        <f t="array" aca="1" ref="AI132" ca="1">_xlfn.XLOOKUP(PAA[[#This Row],[RCP-RUBRO]],COMPROMISOS_2025[[#All],[concatenado]],COMPROMISOS_2025[[#All],[Total Comprometido]],"",0)</f>
        <v>#NAME?</v>
      </c>
    </row>
    <row r="133" spans="1:35" s="50" customFormat="1" ht="42" hidden="1" customHeight="1" x14ac:dyDescent="0.25">
      <c r="A133" s="199">
        <v>110</v>
      </c>
      <c r="B133" s="212">
        <v>80111600</v>
      </c>
      <c r="C133" s="199" t="str">
        <f>VLOOKUP(PAA[[#This Row],[PROYECTO (formulado)2]],PROYECTOS!$G$1:$L$32,6,0)</f>
        <v>SUBGERENCIA DE FOMENTO Y DESARROLLO</v>
      </c>
      <c r="D133" s="199" t="str">
        <f>+IF(PAA[[#This Row],[UNIDAD DE CONTRATACION (formulado)]]="Subgerencia Administrativa y Financiera","FUNCIONAMIENTO","INVERSIÓN")</f>
        <v>INVERSIÓN</v>
      </c>
      <c r="E133" s="201" t="str">
        <f>VLOOKUP(Q133,PROYECTOS!$G$1:$K$32,5,0)</f>
        <v>Asesoria y acompañamiento institucional para el deporte formativo, la recreación y la actividad física en el departamento de Antioquia</v>
      </c>
      <c r="F133" s="201">
        <f>VLOOKUP(E133,PROYECTOS!$K$1:$M$32,3,0)</f>
        <v>2024003050100</v>
      </c>
      <c r="G133" s="202" t="s">
        <v>267</v>
      </c>
      <c r="H133" s="202" t="str">
        <f>VLOOKUP(Q133,PROYECTOS!$V$1:$W$32,2,0)</f>
        <v>050071</v>
      </c>
      <c r="I133" s="203">
        <v>13834880</v>
      </c>
      <c r="J133" s="204" t="s">
        <v>277</v>
      </c>
      <c r="K133" s="199" t="str">
        <f t="shared" ca="1" si="7"/>
        <v>CONTRATADO</v>
      </c>
      <c r="L133" s="204" t="s">
        <v>112</v>
      </c>
      <c r="M133" s="204" t="s">
        <v>113</v>
      </c>
      <c r="N133" s="205" t="s">
        <v>268</v>
      </c>
      <c r="O133" s="204">
        <f>VLOOKUP(N133,RUBROS[#All],3,0)</f>
        <v>74</v>
      </c>
      <c r="P133" s="199" t="str">
        <f>VLOOKUP(N133,RUBROS[#All],2,0)</f>
        <v xml:space="preserve">Asesoria y acompañamiento institucional para el deporte formativo, la recreación y la actividad física en el departamento de Antioquia. - Servicios prestados a las empresas y servicios de producción </v>
      </c>
      <c r="Q133" s="199" t="str">
        <f t="shared" si="8"/>
        <v>10</v>
      </c>
      <c r="R133" s="199" t="str">
        <f t="shared" si="9"/>
        <v>0-101024</v>
      </c>
      <c r="S133" s="207">
        <v>8</v>
      </c>
      <c r="T133" s="208" t="s">
        <v>46</v>
      </c>
      <c r="U133" s="209" t="e">
        <f ca="1">_xlfn.XLOOKUP(PAA[[#This Row],[ITEM]],Contrato!A:A,Contrato!Q:Q,"",0)</f>
        <v>#NAME?</v>
      </c>
      <c r="V133" s="199" t="s">
        <v>47</v>
      </c>
      <c r="W133" s="199" t="s">
        <v>48</v>
      </c>
      <c r="X133" s="199" t="s">
        <v>48</v>
      </c>
      <c r="Y133" s="210" t="e">
        <f ca="1">_xlfn.XLOOKUP(PAA[[#This Row],[ITEM]],Contrato!A:A,Contrato!B:B,"",0)</f>
        <v>#NAME?</v>
      </c>
      <c r="Z133" s="199" t="e">
        <f ca="1">_xlfn.XLOOKUP(PAA[[#This Row],[ITEM]],Contrato!A:A,Contrato!G:G,"",0)</f>
        <v>#NAME?</v>
      </c>
      <c r="AA133" s="199" t="e">
        <f ca="1">_xlfn.XLOOKUP(PAA[[#This Row],[ITEM]],Contrato!A:A,Contrato!T:T,"",0)</f>
        <v>#NAME?</v>
      </c>
      <c r="AB133" s="210" t="e">
        <f ca="1">+MAX(PAA[[#This Row],[Comprometido Contrato]],)</f>
        <v>#NAME?</v>
      </c>
      <c r="AC133" s="210" t="str">
        <f t="shared" ca="1" si="10"/>
        <v/>
      </c>
      <c r="AD133" s="210" t="e">
        <f ca="1">+MAX(PAA[[#This Row],[Pago por Contrato]],)</f>
        <v>#NAME?</v>
      </c>
      <c r="AE133" s="210" t="str">
        <f t="shared" ca="1" si="11"/>
        <v/>
      </c>
      <c r="AF133" s="199" t="e">
        <f t="shared" ca="1" si="12"/>
        <v>#NAME?</v>
      </c>
      <c r="AG133" s="199">
        <f t="shared" si="13"/>
        <v>52010705</v>
      </c>
      <c r="AH133" s="199" t="e" cm="1">
        <f t="array" aca="1" ref="AH133" ca="1">_xlfn.XLOOKUP(PAA[[#This Row],[RCP-RUBRO]],COMPROMISOS_2025[[#All],[concatenado]],COMPROMISOS_2025[[#All],[Total pagado]],"",0)</f>
        <v>#NAME?</v>
      </c>
      <c r="AI133" s="199" t="e" cm="1">
        <f t="array" aca="1" ref="AI133" ca="1">_xlfn.XLOOKUP(PAA[[#This Row],[RCP-RUBRO]],COMPROMISOS_2025[[#All],[concatenado]],COMPROMISOS_2025[[#All],[Total Comprometido]],"",0)</f>
        <v>#NAME?</v>
      </c>
    </row>
    <row r="134" spans="1:35" s="50" customFormat="1" ht="42" hidden="1" customHeight="1" x14ac:dyDescent="0.25">
      <c r="A134" s="199">
        <v>110</v>
      </c>
      <c r="B134" s="212">
        <v>80111600</v>
      </c>
      <c r="C134" s="199" t="str">
        <f>VLOOKUP(PAA[[#This Row],[PROYECTO (formulado)2]],PROYECTOS!$G$1:$L$32,6,0)</f>
        <v>SUBGERENCIA DE FOMENTO Y DESARROLLO</v>
      </c>
      <c r="D134" s="199" t="str">
        <f>+IF(PAA[[#This Row],[UNIDAD DE CONTRATACION (formulado)]]="Subgerencia Administrativa y Financiera","FUNCIONAMIENTO","INVERSIÓN")</f>
        <v>INVERSIÓN</v>
      </c>
      <c r="E134" s="201" t="str">
        <f>VLOOKUP(Q134,PROYECTOS!$G$1:$K$32,5,0)</f>
        <v>Capacitación para el sector del deporte, la recreación y la actividad física en el Departamento de   Antioquia</v>
      </c>
      <c r="F134" s="201">
        <f>VLOOKUP(E134,PROYECTOS!$K$1:$M$32,3,0)</f>
        <v>2024003050072</v>
      </c>
      <c r="G134" s="202" t="s">
        <v>269</v>
      </c>
      <c r="H134" s="202" t="str">
        <f>VLOOKUP(Q134,PROYECTOS!$V$1:$W$32,2,0)</f>
        <v>050072</v>
      </c>
      <c r="I134" s="203">
        <v>13834880</v>
      </c>
      <c r="J134" s="204" t="s">
        <v>277</v>
      </c>
      <c r="K134" s="199" t="str">
        <f t="shared" ca="1" si="7"/>
        <v>CONTRATADO</v>
      </c>
      <c r="L134" s="204" t="s">
        <v>112</v>
      </c>
      <c r="M134" s="204" t="s">
        <v>113</v>
      </c>
      <c r="N134" s="205" t="s">
        <v>270</v>
      </c>
      <c r="O134" s="204">
        <f>VLOOKUP(N134,RUBROS[#All],3,0)</f>
        <v>78</v>
      </c>
      <c r="P134" s="199" t="str">
        <f>VLOOKUP(N134,RUBROS[#All],2,0)</f>
        <v xml:space="preserve">Capacitación para el sector del deporte, la recreación y la actividad física en el Departamento de   Antioquia - Servicios prestados a las empresas y servicios de producción </v>
      </c>
      <c r="Q134" s="199" t="str">
        <f t="shared" si="8"/>
        <v>72</v>
      </c>
      <c r="R134" s="199" t="str">
        <f t="shared" si="9"/>
        <v>0-205128</v>
      </c>
      <c r="S134" s="207">
        <v>8</v>
      </c>
      <c r="T134" s="208" t="s">
        <v>46</v>
      </c>
      <c r="U134" s="209" t="e">
        <f ca="1">_xlfn.XLOOKUP(PAA[[#This Row],[ITEM]],Contrato!A:A,Contrato!Q:Q,"",0)</f>
        <v>#NAME?</v>
      </c>
      <c r="V134" s="199" t="s">
        <v>47</v>
      </c>
      <c r="W134" s="199" t="s">
        <v>48</v>
      </c>
      <c r="X134" s="199" t="s">
        <v>48</v>
      </c>
      <c r="Y134" s="210" t="e">
        <f ca="1">_xlfn.XLOOKUP(PAA[[#This Row],[ITEM]],Contrato!A:A,Contrato!B:B,"",0)</f>
        <v>#NAME?</v>
      </c>
      <c r="Z134" s="199" t="e">
        <f ca="1">_xlfn.XLOOKUP(PAA[[#This Row],[ITEM]],Contrato!A:A,Contrato!G:G,"",0)</f>
        <v>#NAME?</v>
      </c>
      <c r="AA134" s="199" t="e">
        <f ca="1">_xlfn.XLOOKUP(PAA[[#This Row],[ITEM]],Contrato!A:A,Contrato!T:T,"",0)</f>
        <v>#NAME?</v>
      </c>
      <c r="AB134" s="210" t="e">
        <f ca="1">+MAX(PAA[[#This Row],[Comprometido Contrato]],)</f>
        <v>#NAME?</v>
      </c>
      <c r="AC134" s="210" t="str">
        <f t="shared" ca="1" si="10"/>
        <v/>
      </c>
      <c r="AD134" s="210" t="e">
        <f ca="1">+MAX(PAA[[#This Row],[Pago por Contrato]],)</f>
        <v>#NAME?</v>
      </c>
      <c r="AE134" s="210" t="str">
        <f t="shared" ca="1" si="11"/>
        <v/>
      </c>
      <c r="AF134" s="199" t="e">
        <f t="shared" ca="1" si="12"/>
        <v>#NAME?</v>
      </c>
      <c r="AG134" s="199">
        <f t="shared" si="13"/>
        <v>52010704</v>
      </c>
      <c r="AH134" s="199" t="e" cm="1">
        <f t="array" aca="1" ref="AH134" ca="1">_xlfn.XLOOKUP(PAA[[#This Row],[RCP-RUBRO]],COMPROMISOS_2025[[#All],[concatenado]],COMPROMISOS_2025[[#All],[Total pagado]],"",0)</f>
        <v>#NAME?</v>
      </c>
      <c r="AI134" s="199" t="e" cm="1">
        <f t="array" aca="1" ref="AI134" ca="1">_xlfn.XLOOKUP(PAA[[#This Row],[RCP-RUBRO]],COMPROMISOS_2025[[#All],[concatenado]],COMPROMISOS_2025[[#All],[Total Comprometido]],"",0)</f>
        <v>#NAME?</v>
      </c>
    </row>
    <row r="135" spans="1:35" s="50" customFormat="1" ht="42" hidden="1" customHeight="1" x14ac:dyDescent="0.25">
      <c r="A135" s="199">
        <v>110</v>
      </c>
      <c r="B135" s="212">
        <v>80111600</v>
      </c>
      <c r="C135" s="199" t="str">
        <f>VLOOKUP(PAA[[#This Row],[PROYECTO (formulado)2]],PROYECTOS!$G$1:$L$32,6,0)</f>
        <v>SUBGERENCIA DE FOMENTO Y DESARROLLO</v>
      </c>
      <c r="D135" s="199" t="str">
        <f>+IF(PAA[[#This Row],[UNIDAD DE CONTRATACION (formulado)]]="Subgerencia Administrativa y Financiera","FUNCIONAMIENTO","INVERSIÓN")</f>
        <v>INVERSIÓN</v>
      </c>
      <c r="E135" s="201" t="str">
        <f>VLOOKUP(Q135,PROYECTOS!$G$1:$K$32,5,0)</f>
        <v>Fortalecimiento de los juegos deportivos institucionales en los municipios del departamento de Antioquia</v>
      </c>
      <c r="F135" s="201">
        <f>VLOOKUP(E135,PROYECTOS!$K$1:$M$32,3,0)</f>
        <v>2024003050073</v>
      </c>
      <c r="G135" s="202" t="s">
        <v>271</v>
      </c>
      <c r="H135" s="202" t="str">
        <f>VLOOKUP(Q135,PROYECTOS!$V$1:$W$32,2,0)</f>
        <v>050081</v>
      </c>
      <c r="I135" s="203">
        <v>13834880</v>
      </c>
      <c r="J135" s="204" t="s">
        <v>277</v>
      </c>
      <c r="K135" s="199" t="str">
        <f t="shared" ca="1" si="7"/>
        <v>CONTRATADO</v>
      </c>
      <c r="L135" s="204" t="s">
        <v>112</v>
      </c>
      <c r="M135" s="204" t="s">
        <v>113</v>
      </c>
      <c r="N135" s="205" t="s">
        <v>272</v>
      </c>
      <c r="O135" s="204">
        <f>VLOOKUP(N135,RUBROS[#All],3,0)</f>
        <v>81</v>
      </c>
      <c r="P135" s="199" t="str">
        <f>VLOOKUP(N135,RUBROS[#All],2,0)</f>
        <v xml:space="preserve">Fortalecimiento de los juegos deportivos institucionales en los municipios del departamento de Antioquia - Servicios prestados a las empresas y servicios de producción </v>
      </c>
      <c r="Q135" s="199" t="str">
        <f t="shared" si="8"/>
        <v>73</v>
      </c>
      <c r="R135" s="199" t="str">
        <f t="shared" si="9"/>
        <v>0-205128</v>
      </c>
      <c r="S135" s="207">
        <v>8</v>
      </c>
      <c r="T135" s="208" t="s">
        <v>46</v>
      </c>
      <c r="U135" s="209" t="e">
        <f ca="1">_xlfn.XLOOKUP(PAA[[#This Row],[ITEM]],Contrato!A:A,Contrato!Q:Q,"",0)</f>
        <v>#NAME?</v>
      </c>
      <c r="V135" s="199" t="s">
        <v>47</v>
      </c>
      <c r="W135" s="199" t="s">
        <v>48</v>
      </c>
      <c r="X135" s="199" t="s">
        <v>48</v>
      </c>
      <c r="Y135" s="210" t="e">
        <f ca="1">_xlfn.XLOOKUP(PAA[[#This Row],[ITEM]],Contrato!A:A,Contrato!B:B,"",0)</f>
        <v>#NAME?</v>
      </c>
      <c r="Z135" s="199" t="e">
        <f ca="1">_xlfn.XLOOKUP(PAA[[#This Row],[ITEM]],Contrato!A:A,Contrato!G:G,"",0)</f>
        <v>#NAME?</v>
      </c>
      <c r="AA135" s="199" t="e">
        <f ca="1">_xlfn.XLOOKUP(PAA[[#This Row],[ITEM]],Contrato!A:A,Contrato!T:T,"",0)</f>
        <v>#NAME?</v>
      </c>
      <c r="AB135" s="210" t="e">
        <f ca="1">+MAX(PAA[[#This Row],[Comprometido Contrato]],)</f>
        <v>#NAME?</v>
      </c>
      <c r="AC135" s="210" t="str">
        <f t="shared" ca="1" si="10"/>
        <v/>
      </c>
      <c r="AD135" s="210" t="e">
        <f ca="1">+MAX(PAA[[#This Row],[Pago por Contrato]],)</f>
        <v>#NAME?</v>
      </c>
      <c r="AE135" s="210" t="str">
        <f t="shared" ca="1" si="11"/>
        <v/>
      </c>
      <c r="AF135" s="199" t="e">
        <f t="shared" ca="1" si="12"/>
        <v>#NAME?</v>
      </c>
      <c r="AG135" s="199">
        <f t="shared" si="13"/>
        <v>52010703</v>
      </c>
      <c r="AH135" s="199" t="e" cm="1">
        <f t="array" aca="1" ref="AH135" ca="1">_xlfn.XLOOKUP(PAA[[#This Row],[RCP-RUBRO]],COMPROMISOS_2025[[#All],[concatenado]],COMPROMISOS_2025[[#All],[Total pagado]],"",0)</f>
        <v>#NAME?</v>
      </c>
      <c r="AI135" s="199" t="e" cm="1">
        <f t="array" aca="1" ref="AI135" ca="1">_xlfn.XLOOKUP(PAA[[#This Row],[RCP-RUBRO]],COMPROMISOS_2025[[#All],[concatenado]],COMPROMISOS_2025[[#All],[Total Comprometido]],"",0)</f>
        <v>#NAME?</v>
      </c>
    </row>
    <row r="136" spans="1:35" s="50" customFormat="1" ht="42" hidden="1" customHeight="1" x14ac:dyDescent="0.25">
      <c r="A136" s="199">
        <v>110</v>
      </c>
      <c r="B136" s="212">
        <v>80111600</v>
      </c>
      <c r="C136" s="199" t="str">
        <f>VLOOKUP(PAA[[#This Row],[PROYECTO (formulado)2]],PROYECTOS!$G$1:$L$32,6,0)</f>
        <v>SUBGERENCIA DE FOMENTO Y DESARROLLO</v>
      </c>
      <c r="D136" s="199" t="str">
        <f>+IF(PAA[[#This Row],[UNIDAD DE CONTRATACION (formulado)]]="Subgerencia Administrativa y Financiera","FUNCIONAMIENTO","INVERSIÓN")</f>
        <v>INVERSIÓN</v>
      </c>
      <c r="E136" s="201" t="str">
        <f>VLOOKUP(Q136,PROYECTOS!$G$1:$K$32,5,0)</f>
        <v>Cofinanciación de dotación de implementación para el deporte la recreación y a la actividad física en el departamento de Antioquia</v>
      </c>
      <c r="F136" s="201">
        <f>VLOOKUP(E136,PROYECTOS!$K$1:$M$32,3,0)</f>
        <v>2024003050074</v>
      </c>
      <c r="G136" s="202" t="s">
        <v>273</v>
      </c>
      <c r="H136" s="202" t="str">
        <f>VLOOKUP(Q136,PROYECTOS!$V$1:$W$32,2,0)</f>
        <v>050073</v>
      </c>
      <c r="I136" s="203">
        <v>13834880</v>
      </c>
      <c r="J136" s="204" t="s">
        <v>277</v>
      </c>
      <c r="K136" s="199" t="str">
        <f t="shared" ca="1" si="7"/>
        <v>CONTRATADO</v>
      </c>
      <c r="L136" s="204" t="s">
        <v>112</v>
      </c>
      <c r="M136" s="204" t="s">
        <v>113</v>
      </c>
      <c r="N136" s="205" t="s">
        <v>274</v>
      </c>
      <c r="O136" s="204">
        <f>VLOOKUP(N136,RUBROS[#All],3,0)</f>
        <v>85</v>
      </c>
      <c r="P136" s="199" t="str">
        <f>VLOOKUP(N136,RUBROS[#All],2,0)</f>
        <v xml:space="preserve">Cofinanciación de dotación de implementación para el deporte la recreación y a la actividad física en el departamento de Antioquia - Servicios prestados a las empresas y servicios de producción </v>
      </c>
      <c r="Q136" s="199" t="str">
        <f t="shared" si="8"/>
        <v>74</v>
      </c>
      <c r="R136" s="199" t="str">
        <f t="shared" si="9"/>
        <v>0-101024</v>
      </c>
      <c r="S136" s="207">
        <v>8</v>
      </c>
      <c r="T136" s="208" t="s">
        <v>46</v>
      </c>
      <c r="U136" s="209" t="e">
        <f ca="1">_xlfn.XLOOKUP(PAA[[#This Row],[ITEM]],Contrato!A:A,Contrato!Q:Q,"",0)</f>
        <v>#NAME?</v>
      </c>
      <c r="V136" s="199" t="s">
        <v>47</v>
      </c>
      <c r="W136" s="199" t="s">
        <v>48</v>
      </c>
      <c r="X136" s="199" t="s">
        <v>48</v>
      </c>
      <c r="Y136" s="210" t="e">
        <f ca="1">_xlfn.XLOOKUP(PAA[[#This Row],[ITEM]],Contrato!A:A,Contrato!B:B,"",0)</f>
        <v>#NAME?</v>
      </c>
      <c r="Z136" s="199" t="e">
        <f ca="1">_xlfn.XLOOKUP(PAA[[#This Row],[ITEM]],Contrato!A:A,Contrato!G:G,"",0)</f>
        <v>#NAME?</v>
      </c>
      <c r="AA136" s="199" t="e">
        <f ca="1">_xlfn.XLOOKUP(PAA[[#This Row],[ITEM]],Contrato!A:A,Contrato!T:T,"",0)</f>
        <v>#NAME?</v>
      </c>
      <c r="AB136" s="210" t="e">
        <f ca="1">+MAX(PAA[[#This Row],[Comprometido Contrato]],)</f>
        <v>#NAME?</v>
      </c>
      <c r="AC136" s="210" t="str">
        <f t="shared" ca="1" si="10"/>
        <v/>
      </c>
      <c r="AD136" s="210" t="e">
        <f ca="1">+MAX(PAA[[#This Row],[Pago por Contrato]],)</f>
        <v>#NAME?</v>
      </c>
      <c r="AE136" s="210" t="str">
        <f t="shared" ca="1" si="11"/>
        <v/>
      </c>
      <c r="AF136" s="199" t="e">
        <f t="shared" ca="1" si="12"/>
        <v>#NAME?</v>
      </c>
      <c r="AG136" s="199">
        <f t="shared" si="13"/>
        <v>52010701</v>
      </c>
      <c r="AH136" s="199" t="e" cm="1">
        <f t="array" aca="1" ref="AH136" ca="1">_xlfn.XLOOKUP(PAA[[#This Row],[RCP-RUBRO]],COMPROMISOS_2025[[#All],[concatenado]],COMPROMISOS_2025[[#All],[Total pagado]],"",0)</f>
        <v>#NAME?</v>
      </c>
      <c r="AI136" s="199" t="e" cm="1">
        <f t="array" aca="1" ref="AI136" ca="1">_xlfn.XLOOKUP(PAA[[#This Row],[RCP-RUBRO]],COMPROMISOS_2025[[#All],[concatenado]],COMPROMISOS_2025[[#All],[Total Comprometido]],"",0)</f>
        <v>#NAME?</v>
      </c>
    </row>
    <row r="137" spans="1:35" s="50" customFormat="1" ht="42" hidden="1" customHeight="1" x14ac:dyDescent="0.25">
      <c r="A137" s="199">
        <v>111</v>
      </c>
      <c r="B137" s="212">
        <v>80111600</v>
      </c>
      <c r="C137" s="199" t="str">
        <f>VLOOKUP(PAA[[#This Row],[PROYECTO (formulado)2]],PROYECTOS!$G$1:$L$32,6,0)</f>
        <v>SUBGERENCIA DE FOMENTO Y DESARROLLO</v>
      </c>
      <c r="D137" s="199" t="str">
        <f>+IF(PAA[[#This Row],[UNIDAD DE CONTRATACION (formulado)]]="Subgerencia Administrativa y Financiera","FUNCIONAMIENTO","INVERSIÓN")</f>
        <v>INVERSIÓN</v>
      </c>
      <c r="E137" s="201" t="str">
        <f>VLOOKUP(Q137,PROYECTOS!$G$1:$K$32,5,0)</f>
        <v>Desarrollo y promoción del deporte formativo, la recreación y la actividad física en el departamento Antioquia</v>
      </c>
      <c r="F137" s="201">
        <f>VLOOKUP(E137,PROYECTOS!$K$1:$M$32,3,0)</f>
        <v>2024003050101</v>
      </c>
      <c r="G137" s="202" t="s">
        <v>264</v>
      </c>
      <c r="H137" s="202" t="str">
        <f>VLOOKUP(Q137,PROYECTOS!$V$1:$W$32,2,0)</f>
        <v>050075</v>
      </c>
      <c r="I137" s="203">
        <v>12034880</v>
      </c>
      <c r="J137" s="204" t="s">
        <v>278</v>
      </c>
      <c r="K137" s="199" t="str">
        <f t="shared" ca="1" si="7"/>
        <v>CONTRATADO</v>
      </c>
      <c r="L137" s="204" t="s">
        <v>112</v>
      </c>
      <c r="M137" s="204" t="s">
        <v>113</v>
      </c>
      <c r="N137" s="205" t="s">
        <v>266</v>
      </c>
      <c r="O137" s="204">
        <f>VLOOKUP(N137,RUBROS[#All],3,0)</f>
        <v>70</v>
      </c>
      <c r="P137" s="199" t="str">
        <f>VLOOKUP(N137,RUBROS[#All],2,0)</f>
        <v xml:space="preserve">Desarrollo y promoción del deporte formativo, la recreación y la actividad física en el departamento Antioquia - Servicios prestados a las empresas y servicios de producción </v>
      </c>
      <c r="Q137" s="199" t="str">
        <f t="shared" si="8"/>
        <v>01</v>
      </c>
      <c r="R137" s="199" t="str">
        <f t="shared" si="9"/>
        <v>0-205128</v>
      </c>
      <c r="S137" s="207">
        <v>8</v>
      </c>
      <c r="T137" s="208" t="s">
        <v>46</v>
      </c>
      <c r="U137" s="209" t="e">
        <f ca="1">_xlfn.XLOOKUP(PAA[[#This Row],[ITEM]],Contrato!A:A,Contrato!Q:Q,"",0)</f>
        <v>#NAME?</v>
      </c>
      <c r="V137" s="199" t="s">
        <v>47</v>
      </c>
      <c r="W137" s="199" t="s">
        <v>48</v>
      </c>
      <c r="X137" s="199" t="s">
        <v>48</v>
      </c>
      <c r="Y137" s="210" t="e">
        <f ca="1">_xlfn.XLOOKUP(PAA[[#This Row],[ITEM]],Contrato!A:A,Contrato!B:B,"",0)</f>
        <v>#NAME?</v>
      </c>
      <c r="Z137" s="199" t="e">
        <f ca="1">_xlfn.XLOOKUP(PAA[[#This Row],[ITEM]],Contrato!A:A,Contrato!G:G,"",0)</f>
        <v>#NAME?</v>
      </c>
      <c r="AA137" s="199" t="e">
        <f ca="1">_xlfn.XLOOKUP(PAA[[#This Row],[ITEM]],Contrato!A:A,Contrato!T:T,"",0)</f>
        <v>#NAME?</v>
      </c>
      <c r="AB137" s="210" t="e">
        <f ca="1">+MAX(PAA[[#This Row],[Comprometido Contrato]],)</f>
        <v>#NAME?</v>
      </c>
      <c r="AC137" s="210" t="str">
        <f t="shared" ca="1" si="10"/>
        <v/>
      </c>
      <c r="AD137" s="210" t="e">
        <f ca="1">+MAX(PAA[[#This Row],[Pago por Contrato]],)</f>
        <v>#NAME?</v>
      </c>
      <c r="AE137" s="210" t="str">
        <f t="shared" ca="1" si="11"/>
        <v/>
      </c>
      <c r="AF137" s="199" t="e">
        <f t="shared" ca="1" si="12"/>
        <v>#NAME?</v>
      </c>
      <c r="AG137" s="199">
        <f t="shared" si="13"/>
        <v>52010702</v>
      </c>
      <c r="AH137" s="199" t="e" cm="1">
        <f t="array" aca="1" ref="AH137" ca="1">_xlfn.XLOOKUP(PAA[[#This Row],[RCP-RUBRO]],COMPROMISOS_2025[[#All],[concatenado]],COMPROMISOS_2025[[#All],[Total pagado]],"",0)</f>
        <v>#NAME?</v>
      </c>
      <c r="AI137" s="199" t="e" cm="1">
        <f t="array" aca="1" ref="AI137" ca="1">_xlfn.XLOOKUP(PAA[[#This Row],[RCP-RUBRO]],COMPROMISOS_2025[[#All],[concatenado]],COMPROMISOS_2025[[#All],[Total Comprometido]],"",0)</f>
        <v>#NAME?</v>
      </c>
    </row>
    <row r="138" spans="1:35" s="50" customFormat="1" ht="42" hidden="1" customHeight="1" x14ac:dyDescent="0.25">
      <c r="A138" s="199">
        <v>111</v>
      </c>
      <c r="B138" s="212">
        <v>80111600</v>
      </c>
      <c r="C138" s="199" t="str">
        <f>VLOOKUP(PAA[[#This Row],[PROYECTO (formulado)2]],PROYECTOS!$G$1:$L$32,6,0)</f>
        <v>SUBGERENCIA DE FOMENTO Y DESARROLLO</v>
      </c>
      <c r="D138" s="199" t="str">
        <f>+IF(PAA[[#This Row],[UNIDAD DE CONTRATACION (formulado)]]="Subgerencia Administrativa y Financiera","FUNCIONAMIENTO","INVERSIÓN")</f>
        <v>INVERSIÓN</v>
      </c>
      <c r="E138" s="201" t="str">
        <f>VLOOKUP(Q138,PROYECTOS!$G$1:$K$32,5,0)</f>
        <v>Asesoria y acompañamiento institucional para el deporte formativo, la recreación y la actividad física en el departamento de Antioquia</v>
      </c>
      <c r="F138" s="201">
        <f>VLOOKUP(E138,PROYECTOS!$K$1:$M$32,3,0)</f>
        <v>2024003050100</v>
      </c>
      <c r="G138" s="202" t="s">
        <v>267</v>
      </c>
      <c r="H138" s="202" t="str">
        <f>VLOOKUP(Q138,PROYECTOS!$V$1:$W$32,2,0)</f>
        <v>050071</v>
      </c>
      <c r="I138" s="203">
        <v>12034880</v>
      </c>
      <c r="J138" s="204" t="s">
        <v>278</v>
      </c>
      <c r="K138" s="199" t="str">
        <f t="shared" ref="K138:K191" ca="1" si="14">IF(ISNONTEXT(Y138)=TRUE,"CONTRATADO","NO CONTRATADO")</f>
        <v>CONTRATADO</v>
      </c>
      <c r="L138" s="204" t="s">
        <v>112</v>
      </c>
      <c r="M138" s="204" t="s">
        <v>113</v>
      </c>
      <c r="N138" s="205" t="s">
        <v>268</v>
      </c>
      <c r="O138" s="204">
        <f>VLOOKUP(N138,RUBROS[#All],3,0)</f>
        <v>74</v>
      </c>
      <c r="P138" s="199" t="str">
        <f>VLOOKUP(N138,RUBROS[#All],2,0)</f>
        <v xml:space="preserve">Asesoria y acompañamiento institucional para el deporte formativo, la recreación y la actividad física en el departamento de Antioquia. - Servicios prestados a las empresas y servicios de producción </v>
      </c>
      <c r="Q138" s="199" t="str">
        <f t="shared" ref="Q138:Q191" si="15">+MID(N138,11,2)</f>
        <v>10</v>
      </c>
      <c r="R138" s="199" t="str">
        <f t="shared" ref="R138:R191" si="16">+MID(N138,14,8)</f>
        <v>0-101024</v>
      </c>
      <c r="S138" s="207">
        <v>8</v>
      </c>
      <c r="T138" s="208" t="s">
        <v>46</v>
      </c>
      <c r="U138" s="209" t="e">
        <f ca="1">_xlfn.XLOOKUP(PAA[[#This Row],[ITEM]],Contrato!A:A,Contrato!Q:Q,"",0)</f>
        <v>#NAME?</v>
      </c>
      <c r="V138" s="199" t="s">
        <v>47</v>
      </c>
      <c r="W138" s="199" t="s">
        <v>48</v>
      </c>
      <c r="X138" s="199" t="s">
        <v>48</v>
      </c>
      <c r="Y138" s="210" t="e">
        <f ca="1">_xlfn.XLOOKUP(PAA[[#This Row],[ITEM]],Contrato!A:A,Contrato!B:B,"",0)</f>
        <v>#NAME?</v>
      </c>
      <c r="Z138" s="199" t="e">
        <f ca="1">_xlfn.XLOOKUP(PAA[[#This Row],[ITEM]],Contrato!A:A,Contrato!G:G,"",0)</f>
        <v>#NAME?</v>
      </c>
      <c r="AA138" s="199" t="e">
        <f ca="1">_xlfn.XLOOKUP(PAA[[#This Row],[ITEM]],Contrato!A:A,Contrato!T:T,"",0)</f>
        <v>#NAME?</v>
      </c>
      <c r="AB138" s="210" t="e">
        <f ca="1">+MAX(PAA[[#This Row],[Comprometido Contrato]],)</f>
        <v>#NAME?</v>
      </c>
      <c r="AC138" s="210" t="str">
        <f t="shared" ref="AC138:AC191" ca="1" si="17">IFERROR(I138-AB138,"")</f>
        <v/>
      </c>
      <c r="AD138" s="210" t="e">
        <f ca="1">+MAX(PAA[[#This Row],[Pago por Contrato]],)</f>
        <v>#NAME?</v>
      </c>
      <c r="AE138" s="210" t="str">
        <f t="shared" ref="AE138:AE191" ca="1" si="18">+IFERROR(AB138-AD138,"")</f>
        <v/>
      </c>
      <c r="AF138" s="199" t="e">
        <f t="shared" ref="AF138:AF191" ca="1" si="19">+CONCATENATE(AA138,N138)</f>
        <v>#NAME?</v>
      </c>
      <c r="AG138" s="199">
        <f t="shared" ref="AG138:AG191" si="20">IFERROR(_xlfn.NUMBERVALUE(MID(G138,1,8)),"")</f>
        <v>52010705</v>
      </c>
      <c r="AH138" s="199" t="e" cm="1">
        <f t="array" aca="1" ref="AH138" ca="1">_xlfn.XLOOKUP(PAA[[#This Row],[RCP-RUBRO]],COMPROMISOS_2025[[#All],[concatenado]],COMPROMISOS_2025[[#All],[Total pagado]],"",0)</f>
        <v>#NAME?</v>
      </c>
      <c r="AI138" s="199" t="e" cm="1">
        <f t="array" aca="1" ref="AI138" ca="1">_xlfn.XLOOKUP(PAA[[#This Row],[RCP-RUBRO]],COMPROMISOS_2025[[#All],[concatenado]],COMPROMISOS_2025[[#All],[Total Comprometido]],"",0)</f>
        <v>#NAME?</v>
      </c>
    </row>
    <row r="139" spans="1:35" s="50" customFormat="1" ht="42" hidden="1" customHeight="1" x14ac:dyDescent="0.25">
      <c r="A139" s="199">
        <v>111</v>
      </c>
      <c r="B139" s="212">
        <v>80111600</v>
      </c>
      <c r="C139" s="199" t="str">
        <f>VLOOKUP(PAA[[#This Row],[PROYECTO (formulado)2]],PROYECTOS!$G$1:$L$32,6,0)</f>
        <v>SUBGERENCIA DE FOMENTO Y DESARROLLO</v>
      </c>
      <c r="D139" s="199" t="str">
        <f>+IF(PAA[[#This Row],[UNIDAD DE CONTRATACION (formulado)]]="Subgerencia Administrativa y Financiera","FUNCIONAMIENTO","INVERSIÓN")</f>
        <v>INVERSIÓN</v>
      </c>
      <c r="E139" s="201" t="str">
        <f>VLOOKUP(Q139,PROYECTOS!$G$1:$K$32,5,0)</f>
        <v>Capacitación para el sector del deporte, la recreación y la actividad física en el Departamento de   Antioquia</v>
      </c>
      <c r="F139" s="201">
        <f>VLOOKUP(E139,PROYECTOS!$K$1:$M$32,3,0)</f>
        <v>2024003050072</v>
      </c>
      <c r="G139" s="202" t="s">
        <v>269</v>
      </c>
      <c r="H139" s="202" t="str">
        <f>VLOOKUP(Q139,PROYECTOS!$V$1:$W$32,2,0)</f>
        <v>050072</v>
      </c>
      <c r="I139" s="203">
        <v>12034880</v>
      </c>
      <c r="J139" s="204" t="s">
        <v>278</v>
      </c>
      <c r="K139" s="199" t="str">
        <f t="shared" ca="1" si="14"/>
        <v>CONTRATADO</v>
      </c>
      <c r="L139" s="204" t="s">
        <v>112</v>
      </c>
      <c r="M139" s="204" t="s">
        <v>113</v>
      </c>
      <c r="N139" s="205" t="s">
        <v>270</v>
      </c>
      <c r="O139" s="204">
        <f>VLOOKUP(N139,RUBROS[#All],3,0)</f>
        <v>78</v>
      </c>
      <c r="P139" s="199" t="str">
        <f>VLOOKUP(N139,RUBROS[#All],2,0)</f>
        <v xml:space="preserve">Capacitación para el sector del deporte, la recreación y la actividad física en el Departamento de   Antioquia - Servicios prestados a las empresas y servicios de producción </v>
      </c>
      <c r="Q139" s="199" t="str">
        <f t="shared" si="15"/>
        <v>72</v>
      </c>
      <c r="R139" s="199" t="str">
        <f t="shared" si="16"/>
        <v>0-205128</v>
      </c>
      <c r="S139" s="207">
        <v>8</v>
      </c>
      <c r="T139" s="208" t="s">
        <v>46</v>
      </c>
      <c r="U139" s="209" t="e">
        <f ca="1">_xlfn.XLOOKUP(PAA[[#This Row],[ITEM]],Contrato!A:A,Contrato!Q:Q,"",0)</f>
        <v>#NAME?</v>
      </c>
      <c r="V139" s="199" t="s">
        <v>47</v>
      </c>
      <c r="W139" s="199" t="s">
        <v>48</v>
      </c>
      <c r="X139" s="199" t="s">
        <v>48</v>
      </c>
      <c r="Y139" s="210" t="e">
        <f ca="1">_xlfn.XLOOKUP(PAA[[#This Row],[ITEM]],Contrato!A:A,Contrato!B:B,"",0)</f>
        <v>#NAME?</v>
      </c>
      <c r="Z139" s="199" t="e">
        <f ca="1">_xlfn.XLOOKUP(PAA[[#This Row],[ITEM]],Contrato!A:A,Contrato!G:G,"",0)</f>
        <v>#NAME?</v>
      </c>
      <c r="AA139" s="199" t="e">
        <f ca="1">_xlfn.XLOOKUP(PAA[[#This Row],[ITEM]],Contrato!A:A,Contrato!T:T,"",0)</f>
        <v>#NAME?</v>
      </c>
      <c r="AB139" s="210" t="e">
        <f ca="1">+MAX(PAA[[#This Row],[Comprometido Contrato]],)</f>
        <v>#NAME?</v>
      </c>
      <c r="AC139" s="210" t="str">
        <f t="shared" ca="1" si="17"/>
        <v/>
      </c>
      <c r="AD139" s="210" t="e">
        <f ca="1">+MAX(PAA[[#This Row],[Pago por Contrato]],)</f>
        <v>#NAME?</v>
      </c>
      <c r="AE139" s="210" t="str">
        <f t="shared" ca="1" si="18"/>
        <v/>
      </c>
      <c r="AF139" s="199" t="e">
        <f t="shared" ca="1" si="19"/>
        <v>#NAME?</v>
      </c>
      <c r="AG139" s="199">
        <f t="shared" si="20"/>
        <v>52010704</v>
      </c>
      <c r="AH139" s="199" t="e" cm="1">
        <f t="array" aca="1" ref="AH139" ca="1">_xlfn.XLOOKUP(PAA[[#This Row],[RCP-RUBRO]],COMPROMISOS_2025[[#All],[concatenado]],COMPROMISOS_2025[[#All],[Total pagado]],"",0)</f>
        <v>#NAME?</v>
      </c>
      <c r="AI139" s="199" t="e" cm="1">
        <f t="array" aca="1" ref="AI139" ca="1">_xlfn.XLOOKUP(PAA[[#This Row],[RCP-RUBRO]],COMPROMISOS_2025[[#All],[concatenado]],COMPROMISOS_2025[[#All],[Total Comprometido]],"",0)</f>
        <v>#NAME?</v>
      </c>
    </row>
    <row r="140" spans="1:35" s="50" customFormat="1" ht="42" hidden="1" customHeight="1" x14ac:dyDescent="0.25">
      <c r="A140" s="199">
        <v>111</v>
      </c>
      <c r="B140" s="212">
        <v>80111600</v>
      </c>
      <c r="C140" s="199" t="str">
        <f>VLOOKUP(PAA[[#This Row],[PROYECTO (formulado)2]],PROYECTOS!$G$1:$L$32,6,0)</f>
        <v>SUBGERENCIA DE FOMENTO Y DESARROLLO</v>
      </c>
      <c r="D140" s="199" t="str">
        <f>+IF(PAA[[#This Row],[UNIDAD DE CONTRATACION (formulado)]]="Subgerencia Administrativa y Financiera","FUNCIONAMIENTO","INVERSIÓN")</f>
        <v>INVERSIÓN</v>
      </c>
      <c r="E140" s="201" t="str">
        <f>VLOOKUP(Q140,PROYECTOS!$G$1:$K$32,5,0)</f>
        <v>Fortalecimiento de los juegos deportivos institucionales en los municipios del departamento de Antioquia</v>
      </c>
      <c r="F140" s="201">
        <f>VLOOKUP(E140,PROYECTOS!$K$1:$M$32,3,0)</f>
        <v>2024003050073</v>
      </c>
      <c r="G140" s="202" t="s">
        <v>271</v>
      </c>
      <c r="H140" s="202" t="str">
        <f>VLOOKUP(Q140,PROYECTOS!$V$1:$W$32,2,0)</f>
        <v>050081</v>
      </c>
      <c r="I140" s="203">
        <v>12034880</v>
      </c>
      <c r="J140" s="204" t="s">
        <v>278</v>
      </c>
      <c r="K140" s="199" t="str">
        <f t="shared" ca="1" si="14"/>
        <v>CONTRATADO</v>
      </c>
      <c r="L140" s="204" t="s">
        <v>112</v>
      </c>
      <c r="M140" s="204" t="s">
        <v>113</v>
      </c>
      <c r="N140" s="205" t="s">
        <v>272</v>
      </c>
      <c r="O140" s="204">
        <f>VLOOKUP(N140,RUBROS[#All],3,0)</f>
        <v>81</v>
      </c>
      <c r="P140" s="199" t="str">
        <f>VLOOKUP(N140,RUBROS[#All],2,0)</f>
        <v xml:space="preserve">Fortalecimiento de los juegos deportivos institucionales en los municipios del departamento de Antioquia - Servicios prestados a las empresas y servicios de producción </v>
      </c>
      <c r="Q140" s="199" t="str">
        <f t="shared" si="15"/>
        <v>73</v>
      </c>
      <c r="R140" s="199" t="str">
        <f t="shared" si="16"/>
        <v>0-205128</v>
      </c>
      <c r="S140" s="207">
        <v>8</v>
      </c>
      <c r="T140" s="208" t="s">
        <v>46</v>
      </c>
      <c r="U140" s="209" t="e">
        <f ca="1">_xlfn.XLOOKUP(PAA[[#This Row],[ITEM]],Contrato!A:A,Contrato!Q:Q,"",0)</f>
        <v>#NAME?</v>
      </c>
      <c r="V140" s="199" t="s">
        <v>47</v>
      </c>
      <c r="W140" s="199" t="s">
        <v>48</v>
      </c>
      <c r="X140" s="199" t="s">
        <v>48</v>
      </c>
      <c r="Y140" s="210" t="e">
        <f ca="1">_xlfn.XLOOKUP(PAA[[#This Row],[ITEM]],Contrato!A:A,Contrato!B:B,"",0)</f>
        <v>#NAME?</v>
      </c>
      <c r="Z140" s="199" t="e">
        <f ca="1">_xlfn.XLOOKUP(PAA[[#This Row],[ITEM]],Contrato!A:A,Contrato!G:G,"",0)</f>
        <v>#NAME?</v>
      </c>
      <c r="AA140" s="199" t="e">
        <f ca="1">_xlfn.XLOOKUP(PAA[[#This Row],[ITEM]],Contrato!A:A,Contrato!T:T,"",0)</f>
        <v>#NAME?</v>
      </c>
      <c r="AB140" s="210" t="e">
        <f ca="1">+MAX(PAA[[#This Row],[Comprometido Contrato]],)</f>
        <v>#NAME?</v>
      </c>
      <c r="AC140" s="210" t="str">
        <f t="shared" ca="1" si="17"/>
        <v/>
      </c>
      <c r="AD140" s="210" t="e">
        <f ca="1">+MAX(PAA[[#This Row],[Pago por Contrato]],)</f>
        <v>#NAME?</v>
      </c>
      <c r="AE140" s="210" t="str">
        <f t="shared" ca="1" si="18"/>
        <v/>
      </c>
      <c r="AF140" s="199" t="e">
        <f t="shared" ca="1" si="19"/>
        <v>#NAME?</v>
      </c>
      <c r="AG140" s="199">
        <f t="shared" si="20"/>
        <v>52010703</v>
      </c>
      <c r="AH140" s="199" t="e" cm="1">
        <f t="array" aca="1" ref="AH140" ca="1">_xlfn.XLOOKUP(PAA[[#This Row],[RCP-RUBRO]],COMPROMISOS_2025[[#All],[concatenado]],COMPROMISOS_2025[[#All],[Total pagado]],"",0)</f>
        <v>#NAME?</v>
      </c>
      <c r="AI140" s="199" t="e" cm="1">
        <f t="array" aca="1" ref="AI140" ca="1">_xlfn.XLOOKUP(PAA[[#This Row],[RCP-RUBRO]],COMPROMISOS_2025[[#All],[concatenado]],COMPROMISOS_2025[[#All],[Total Comprometido]],"",0)</f>
        <v>#NAME?</v>
      </c>
    </row>
    <row r="141" spans="1:35" s="50" customFormat="1" ht="42" hidden="1" customHeight="1" x14ac:dyDescent="0.25">
      <c r="A141" s="199">
        <v>111</v>
      </c>
      <c r="B141" s="212">
        <v>80111600</v>
      </c>
      <c r="C141" s="199" t="str">
        <f>VLOOKUP(PAA[[#This Row],[PROYECTO (formulado)2]],PROYECTOS!$G$1:$L$32,6,0)</f>
        <v>SUBGERENCIA DE FOMENTO Y DESARROLLO</v>
      </c>
      <c r="D141" s="199" t="str">
        <f>+IF(PAA[[#This Row],[UNIDAD DE CONTRATACION (formulado)]]="Subgerencia Administrativa y Financiera","FUNCIONAMIENTO","INVERSIÓN")</f>
        <v>INVERSIÓN</v>
      </c>
      <c r="E141" s="201" t="str">
        <f>VLOOKUP(Q141,PROYECTOS!$G$1:$K$32,5,0)</f>
        <v>Cofinanciación de dotación de implementación para el deporte la recreación y a la actividad física en el departamento de Antioquia</v>
      </c>
      <c r="F141" s="201">
        <f>VLOOKUP(E141,PROYECTOS!$K$1:$M$32,3,0)</f>
        <v>2024003050074</v>
      </c>
      <c r="G141" s="202" t="s">
        <v>273</v>
      </c>
      <c r="H141" s="202" t="str">
        <f>VLOOKUP(Q141,PROYECTOS!$V$1:$W$32,2,0)</f>
        <v>050073</v>
      </c>
      <c r="I141" s="203">
        <v>12034880</v>
      </c>
      <c r="J141" s="204" t="s">
        <v>278</v>
      </c>
      <c r="K141" s="199" t="str">
        <f t="shared" ca="1" si="14"/>
        <v>CONTRATADO</v>
      </c>
      <c r="L141" s="204" t="s">
        <v>112</v>
      </c>
      <c r="M141" s="204" t="s">
        <v>113</v>
      </c>
      <c r="N141" s="205" t="s">
        <v>274</v>
      </c>
      <c r="O141" s="204">
        <f>VLOOKUP(N141,RUBROS[#All],3,0)</f>
        <v>85</v>
      </c>
      <c r="P141" s="199" t="str">
        <f>VLOOKUP(N141,RUBROS[#All],2,0)</f>
        <v xml:space="preserve">Cofinanciación de dotación de implementación para el deporte la recreación y a la actividad física en el departamento de Antioquia - Servicios prestados a las empresas y servicios de producción </v>
      </c>
      <c r="Q141" s="199" t="str">
        <f t="shared" si="15"/>
        <v>74</v>
      </c>
      <c r="R141" s="199" t="str">
        <f t="shared" si="16"/>
        <v>0-101024</v>
      </c>
      <c r="S141" s="207">
        <v>8</v>
      </c>
      <c r="T141" s="208" t="s">
        <v>46</v>
      </c>
      <c r="U141" s="209" t="e">
        <f ca="1">_xlfn.XLOOKUP(PAA[[#This Row],[ITEM]],Contrato!A:A,Contrato!Q:Q,"",0)</f>
        <v>#NAME?</v>
      </c>
      <c r="V141" s="199" t="s">
        <v>47</v>
      </c>
      <c r="W141" s="199" t="s">
        <v>48</v>
      </c>
      <c r="X141" s="199" t="s">
        <v>48</v>
      </c>
      <c r="Y141" s="210" t="e">
        <f ca="1">_xlfn.XLOOKUP(PAA[[#This Row],[ITEM]],Contrato!A:A,Contrato!B:B,"",0)</f>
        <v>#NAME?</v>
      </c>
      <c r="Z141" s="199" t="e">
        <f ca="1">_xlfn.XLOOKUP(PAA[[#This Row],[ITEM]],Contrato!A:A,Contrato!G:G,"",0)</f>
        <v>#NAME?</v>
      </c>
      <c r="AA141" s="199" t="e">
        <f ca="1">_xlfn.XLOOKUP(PAA[[#This Row],[ITEM]],Contrato!A:A,Contrato!T:T,"",0)</f>
        <v>#NAME?</v>
      </c>
      <c r="AB141" s="210" t="e">
        <f ca="1">+MAX(PAA[[#This Row],[Comprometido Contrato]],)</f>
        <v>#NAME?</v>
      </c>
      <c r="AC141" s="210" t="str">
        <f t="shared" ca="1" si="17"/>
        <v/>
      </c>
      <c r="AD141" s="210" t="e">
        <f ca="1">+MAX(PAA[[#This Row],[Pago por Contrato]],)</f>
        <v>#NAME?</v>
      </c>
      <c r="AE141" s="210" t="str">
        <f t="shared" ca="1" si="18"/>
        <v/>
      </c>
      <c r="AF141" s="199" t="e">
        <f t="shared" ca="1" si="19"/>
        <v>#NAME?</v>
      </c>
      <c r="AG141" s="199">
        <f t="shared" si="20"/>
        <v>52010701</v>
      </c>
      <c r="AH141" s="199" t="e" cm="1">
        <f t="array" aca="1" ref="AH141" ca="1">_xlfn.XLOOKUP(PAA[[#This Row],[RCP-RUBRO]],COMPROMISOS_2025[[#All],[concatenado]],COMPROMISOS_2025[[#All],[Total pagado]],"",0)</f>
        <v>#NAME?</v>
      </c>
      <c r="AI141" s="199" t="e" cm="1">
        <f t="array" aca="1" ref="AI141" ca="1">_xlfn.XLOOKUP(PAA[[#This Row],[RCP-RUBRO]],COMPROMISOS_2025[[#All],[concatenado]],COMPROMISOS_2025[[#All],[Total Comprometido]],"",0)</f>
        <v>#NAME?</v>
      </c>
    </row>
    <row r="142" spans="1:35" s="50" customFormat="1" ht="42" hidden="1" customHeight="1" x14ac:dyDescent="0.25">
      <c r="A142" s="57">
        <v>112</v>
      </c>
      <c r="B142" s="186">
        <v>80111600</v>
      </c>
      <c r="C142" s="57" t="str">
        <f>VLOOKUP(PAA[[#This Row],[PROYECTO (formulado)2]],PROYECTOS!$G$1:$L$32,6,0)</f>
        <v>SUBGERENCIA DE FOMENTO Y DESARROLLO</v>
      </c>
      <c r="D142" s="57" t="str">
        <f>+IF(PAA[[#This Row],[UNIDAD DE CONTRATACION (formulado)]]="Subgerencia Administrativa y Financiera","FUNCIONAMIENTO","INVERSIÓN")</f>
        <v>INVERSIÓN</v>
      </c>
      <c r="E142" s="153" t="str">
        <f>VLOOKUP(Q142,PROYECTOS!$G$1:$K$32,5,0)</f>
        <v>Desarrollo y promoción del deporte formativo, la recreación y la actividad física en el departamento Antioquia</v>
      </c>
      <c r="F142" s="153">
        <f>VLOOKUP(E142,PROYECTOS!$K$1:$M$32,3,0)</f>
        <v>2024003050101</v>
      </c>
      <c r="G142" s="154" t="s">
        <v>264</v>
      </c>
      <c r="H142" s="154" t="str">
        <f>VLOOKUP(Q142,PROYECTOS!$V$1:$W$32,2,0)</f>
        <v>050075</v>
      </c>
      <c r="I142" s="143">
        <v>24388687</v>
      </c>
      <c r="J142" s="155" t="s">
        <v>279</v>
      </c>
      <c r="K142" s="57" t="str">
        <f t="shared" ca="1" si="14"/>
        <v>CONTRATADO</v>
      </c>
      <c r="L142" s="155" t="s">
        <v>112</v>
      </c>
      <c r="M142" s="155" t="s">
        <v>113</v>
      </c>
      <c r="N142" s="142" t="s">
        <v>266</v>
      </c>
      <c r="O142" s="155">
        <f>VLOOKUP(N142,RUBROS[#All],3,0)</f>
        <v>70</v>
      </c>
      <c r="P142" s="156" t="str">
        <f>VLOOKUP(N142,RUBROS[#All],2,0)</f>
        <v xml:space="preserve">Desarrollo y promoción del deporte formativo, la recreación y la actividad física en el departamento Antioquia - Servicios prestados a las empresas y servicios de producción </v>
      </c>
      <c r="Q142" s="57" t="str">
        <f t="shared" si="15"/>
        <v>01</v>
      </c>
      <c r="R142" s="57" t="str">
        <f t="shared" si="16"/>
        <v>0-205128</v>
      </c>
      <c r="S142" s="152">
        <v>11.5</v>
      </c>
      <c r="T142" s="157" t="s">
        <v>46</v>
      </c>
      <c r="U142" s="162" t="e">
        <f ca="1">_xlfn.XLOOKUP(PAA[[#This Row],[ITEM]],Contrato!A:A,Contrato!Q:Q,"",0)</f>
        <v>#NAME?</v>
      </c>
      <c r="V142" s="57" t="s">
        <v>47</v>
      </c>
      <c r="W142" s="57" t="s">
        <v>48</v>
      </c>
      <c r="X142" s="57" t="s">
        <v>48</v>
      </c>
      <c r="Y142" s="58" t="e">
        <f ca="1">_xlfn.XLOOKUP(PAA[[#This Row],[ITEM]],Contrato!A:A,Contrato!B:B,"",0)</f>
        <v>#NAME?</v>
      </c>
      <c r="Z142" s="57" t="e">
        <f ca="1">_xlfn.XLOOKUP(PAA[[#This Row],[ITEM]],Contrato!A:A,Contrato!G:G,"",0)</f>
        <v>#NAME?</v>
      </c>
      <c r="AA142" s="57" t="e">
        <f ca="1">_xlfn.XLOOKUP(PAA[[#This Row],[ITEM]],Contrato!A:A,Contrato!T:T,"",0)</f>
        <v>#NAME?</v>
      </c>
      <c r="AB142" s="58" t="e">
        <f ca="1">+MAX(PAA[[#This Row],[Comprometido Contrato]],)</f>
        <v>#NAME?</v>
      </c>
      <c r="AC142" s="58" t="str">
        <f t="shared" ca="1" si="17"/>
        <v/>
      </c>
      <c r="AD142" s="58" t="e">
        <f ca="1">+MAX(PAA[[#This Row],[Pago por Contrato]],)</f>
        <v>#NAME?</v>
      </c>
      <c r="AE142" s="58" t="str">
        <f t="shared" ca="1" si="18"/>
        <v/>
      </c>
      <c r="AF142" s="57" t="e">
        <f t="shared" ca="1" si="19"/>
        <v>#NAME?</v>
      </c>
      <c r="AG142" s="57">
        <f t="shared" si="20"/>
        <v>52010702</v>
      </c>
      <c r="AH142" s="57" t="e" cm="1">
        <f t="array" aca="1" ref="AH142" ca="1">_xlfn.XLOOKUP(PAA[[#This Row],[RCP-RUBRO]],COMPROMISOS_2025[[#All],[concatenado]],COMPROMISOS_2025[[#All],[Total pagado]],"",0)</f>
        <v>#NAME?</v>
      </c>
      <c r="AI142" s="57" t="e" cm="1">
        <f t="array" aca="1" ref="AI142" ca="1">_xlfn.XLOOKUP(PAA[[#This Row],[RCP-RUBRO]],COMPROMISOS_2025[[#All],[concatenado]],COMPROMISOS_2025[[#All],[Total Comprometido]],"",0)</f>
        <v>#NAME?</v>
      </c>
    </row>
    <row r="143" spans="1:35" s="50" customFormat="1" ht="42" hidden="1" customHeight="1" x14ac:dyDescent="0.25">
      <c r="A143" s="57">
        <v>112</v>
      </c>
      <c r="B143" s="186">
        <v>80111600</v>
      </c>
      <c r="C143" s="57" t="str">
        <f>VLOOKUP(PAA[[#This Row],[PROYECTO (formulado)2]],PROYECTOS!$G$1:$L$32,6,0)</f>
        <v>SUBGERENCIA DE FOMENTO Y DESARROLLO</v>
      </c>
      <c r="D143" s="57" t="str">
        <f>+IF(PAA[[#This Row],[UNIDAD DE CONTRATACION (formulado)]]="Subgerencia Administrativa y Financiera","FUNCIONAMIENTO","INVERSIÓN")</f>
        <v>INVERSIÓN</v>
      </c>
      <c r="E143" s="153" t="str">
        <f>VLOOKUP(Q143,PROYECTOS!$G$1:$K$32,5,0)</f>
        <v>Asesoria y acompañamiento institucional para el deporte formativo, la recreación y la actividad física en el departamento de Antioquia</v>
      </c>
      <c r="F143" s="153">
        <f>VLOOKUP(E143,PROYECTOS!$K$1:$M$32,3,0)</f>
        <v>2024003050100</v>
      </c>
      <c r="G143" s="154" t="s">
        <v>267</v>
      </c>
      <c r="H143" s="154" t="str">
        <f>VLOOKUP(Q143,PROYECTOS!$V$1:$W$32,2,0)</f>
        <v>050071</v>
      </c>
      <c r="I143" s="143">
        <v>24388687</v>
      </c>
      <c r="J143" s="155" t="s">
        <v>279</v>
      </c>
      <c r="K143" s="57" t="str">
        <f t="shared" ca="1" si="14"/>
        <v>CONTRATADO</v>
      </c>
      <c r="L143" s="155" t="s">
        <v>112</v>
      </c>
      <c r="M143" s="155" t="s">
        <v>113</v>
      </c>
      <c r="N143" s="142" t="s">
        <v>268</v>
      </c>
      <c r="O143" s="155">
        <f>VLOOKUP(N143,RUBROS[#All],3,0)</f>
        <v>74</v>
      </c>
      <c r="P143" s="156" t="str">
        <f>VLOOKUP(N143,RUBROS[#All],2,0)</f>
        <v xml:space="preserve">Asesoria y acompañamiento institucional para el deporte formativo, la recreación y la actividad física en el departamento de Antioquia. - Servicios prestados a las empresas y servicios de producción </v>
      </c>
      <c r="Q143" s="57" t="str">
        <f t="shared" si="15"/>
        <v>10</v>
      </c>
      <c r="R143" s="57" t="str">
        <f t="shared" si="16"/>
        <v>0-101024</v>
      </c>
      <c r="S143" s="152">
        <v>11.5</v>
      </c>
      <c r="T143" s="157" t="s">
        <v>46</v>
      </c>
      <c r="U143" s="162" t="e">
        <f ca="1">_xlfn.XLOOKUP(PAA[[#This Row],[ITEM]],Contrato!A:A,Contrato!Q:Q,"",0)</f>
        <v>#NAME?</v>
      </c>
      <c r="V143" s="57" t="s">
        <v>47</v>
      </c>
      <c r="W143" s="57" t="s">
        <v>48</v>
      </c>
      <c r="X143" s="57" t="s">
        <v>48</v>
      </c>
      <c r="Y143" s="58" t="e">
        <f ca="1">_xlfn.XLOOKUP(PAA[[#This Row],[ITEM]],Contrato!A:A,Contrato!B:B,"",0)</f>
        <v>#NAME?</v>
      </c>
      <c r="Z143" s="57" t="e">
        <f ca="1">_xlfn.XLOOKUP(PAA[[#This Row],[ITEM]],Contrato!A:A,Contrato!G:G,"",0)</f>
        <v>#NAME?</v>
      </c>
      <c r="AA143" s="57" t="e">
        <f ca="1">_xlfn.XLOOKUP(PAA[[#This Row],[ITEM]],Contrato!A:A,Contrato!T:T,"",0)</f>
        <v>#NAME?</v>
      </c>
      <c r="AB143" s="58" t="e">
        <f ca="1">+MAX(PAA[[#This Row],[Comprometido Contrato]],)</f>
        <v>#NAME?</v>
      </c>
      <c r="AC143" s="58" t="str">
        <f t="shared" ca="1" si="17"/>
        <v/>
      </c>
      <c r="AD143" s="58" t="e">
        <f ca="1">+MAX(PAA[[#This Row],[Pago por Contrato]],)</f>
        <v>#NAME?</v>
      </c>
      <c r="AE143" s="58" t="str">
        <f t="shared" ca="1" si="18"/>
        <v/>
      </c>
      <c r="AF143" s="57" t="e">
        <f t="shared" ca="1" si="19"/>
        <v>#NAME?</v>
      </c>
      <c r="AG143" s="57">
        <f t="shared" si="20"/>
        <v>52010705</v>
      </c>
      <c r="AH143" s="57" t="e" cm="1">
        <f t="array" aca="1" ref="AH143" ca="1">_xlfn.XLOOKUP(PAA[[#This Row],[RCP-RUBRO]],COMPROMISOS_2025[[#All],[concatenado]],COMPROMISOS_2025[[#All],[Total pagado]],"",0)</f>
        <v>#NAME?</v>
      </c>
      <c r="AI143" s="57" t="e" cm="1">
        <f t="array" aca="1" ref="AI143" ca="1">_xlfn.XLOOKUP(PAA[[#This Row],[RCP-RUBRO]],COMPROMISOS_2025[[#All],[concatenado]],COMPROMISOS_2025[[#All],[Total Comprometido]],"",0)</f>
        <v>#NAME?</v>
      </c>
    </row>
    <row r="144" spans="1:35" s="50" customFormat="1" ht="42" hidden="1" customHeight="1" x14ac:dyDescent="0.25">
      <c r="A144" s="57">
        <v>112</v>
      </c>
      <c r="B144" s="186">
        <v>80111600</v>
      </c>
      <c r="C144" s="57" t="str">
        <f>VLOOKUP(PAA[[#This Row],[PROYECTO (formulado)2]],PROYECTOS!$G$1:$L$32,6,0)</f>
        <v>SUBGERENCIA DE FOMENTO Y DESARROLLO</v>
      </c>
      <c r="D144" s="57" t="str">
        <f>+IF(PAA[[#This Row],[UNIDAD DE CONTRATACION (formulado)]]="Subgerencia Administrativa y Financiera","FUNCIONAMIENTO","INVERSIÓN")</f>
        <v>INVERSIÓN</v>
      </c>
      <c r="E144" s="153" t="str">
        <f>VLOOKUP(Q144,PROYECTOS!$G$1:$K$32,5,0)</f>
        <v>Capacitación para el sector del deporte, la recreación y la actividad física en el Departamento de   Antioquia</v>
      </c>
      <c r="F144" s="153">
        <f>VLOOKUP(E144,PROYECTOS!$K$1:$M$32,3,0)</f>
        <v>2024003050072</v>
      </c>
      <c r="G144" s="154" t="s">
        <v>269</v>
      </c>
      <c r="H144" s="154" t="str">
        <f>VLOOKUP(Q144,PROYECTOS!$V$1:$W$32,2,0)</f>
        <v>050072</v>
      </c>
      <c r="I144" s="143">
        <v>24388675</v>
      </c>
      <c r="J144" s="155" t="s">
        <v>279</v>
      </c>
      <c r="K144" s="57" t="str">
        <f t="shared" ca="1" si="14"/>
        <v>CONTRATADO</v>
      </c>
      <c r="L144" s="155" t="s">
        <v>112</v>
      </c>
      <c r="M144" s="155" t="s">
        <v>113</v>
      </c>
      <c r="N144" s="142" t="s">
        <v>270</v>
      </c>
      <c r="O144" s="155">
        <f>VLOOKUP(N144,RUBROS[#All],3,0)</f>
        <v>78</v>
      </c>
      <c r="P144" s="156" t="str">
        <f>VLOOKUP(N144,RUBROS[#All],2,0)</f>
        <v xml:space="preserve">Capacitación para el sector del deporte, la recreación y la actividad física en el Departamento de   Antioquia - Servicios prestados a las empresas y servicios de producción </v>
      </c>
      <c r="Q144" s="57" t="str">
        <f t="shared" si="15"/>
        <v>72</v>
      </c>
      <c r="R144" s="57" t="str">
        <f t="shared" si="16"/>
        <v>0-205128</v>
      </c>
      <c r="S144" s="152">
        <v>11.5</v>
      </c>
      <c r="T144" s="157" t="s">
        <v>46</v>
      </c>
      <c r="U144" s="162" t="e">
        <f ca="1">_xlfn.XLOOKUP(PAA[[#This Row],[ITEM]],Contrato!A:A,Contrato!Q:Q,"",0)</f>
        <v>#NAME?</v>
      </c>
      <c r="V144" s="57" t="s">
        <v>47</v>
      </c>
      <c r="W144" s="57" t="s">
        <v>48</v>
      </c>
      <c r="X144" s="57" t="s">
        <v>48</v>
      </c>
      <c r="Y144" s="58" t="e">
        <f ca="1">_xlfn.XLOOKUP(PAA[[#This Row],[ITEM]],Contrato!A:A,Contrato!B:B,"",0)</f>
        <v>#NAME?</v>
      </c>
      <c r="Z144" s="57" t="e">
        <f ca="1">_xlfn.XLOOKUP(PAA[[#This Row],[ITEM]],Contrato!A:A,Contrato!G:G,"",0)</f>
        <v>#NAME?</v>
      </c>
      <c r="AA144" s="57" t="e">
        <f ca="1">_xlfn.XLOOKUP(PAA[[#This Row],[ITEM]],Contrato!A:A,Contrato!T:T,"",0)</f>
        <v>#NAME?</v>
      </c>
      <c r="AB144" s="58" t="e">
        <f ca="1">+MAX(PAA[[#This Row],[Comprometido Contrato]],)</f>
        <v>#NAME?</v>
      </c>
      <c r="AC144" s="58" t="str">
        <f t="shared" ca="1" si="17"/>
        <v/>
      </c>
      <c r="AD144" s="58" t="e">
        <f ca="1">+MAX(PAA[[#This Row],[Pago por Contrato]],)</f>
        <v>#NAME?</v>
      </c>
      <c r="AE144" s="58" t="str">
        <f t="shared" ca="1" si="18"/>
        <v/>
      </c>
      <c r="AF144" s="57" t="e">
        <f t="shared" ca="1" si="19"/>
        <v>#NAME?</v>
      </c>
      <c r="AG144" s="57">
        <f t="shared" si="20"/>
        <v>52010704</v>
      </c>
      <c r="AH144" s="57" t="e" cm="1">
        <f t="array" aca="1" ref="AH144" ca="1">_xlfn.XLOOKUP(PAA[[#This Row],[RCP-RUBRO]],COMPROMISOS_2025[[#All],[concatenado]],COMPROMISOS_2025[[#All],[Total pagado]],"",0)</f>
        <v>#NAME?</v>
      </c>
      <c r="AI144" s="57" t="e" cm="1">
        <f t="array" aca="1" ref="AI144" ca="1">_xlfn.XLOOKUP(PAA[[#This Row],[RCP-RUBRO]],COMPROMISOS_2025[[#All],[concatenado]],COMPROMISOS_2025[[#All],[Total Comprometido]],"",0)</f>
        <v>#NAME?</v>
      </c>
    </row>
    <row r="145" spans="1:35" s="50" customFormat="1" ht="42" hidden="1" customHeight="1" x14ac:dyDescent="0.25">
      <c r="A145" s="57">
        <v>112</v>
      </c>
      <c r="B145" s="186">
        <v>80111600</v>
      </c>
      <c r="C145" s="57" t="str">
        <f>VLOOKUP(PAA[[#This Row],[PROYECTO (formulado)2]],PROYECTOS!$G$1:$L$32,6,0)</f>
        <v>SUBGERENCIA DE FOMENTO Y DESARROLLO</v>
      </c>
      <c r="D145" s="57" t="str">
        <f>+IF(PAA[[#This Row],[UNIDAD DE CONTRATACION (formulado)]]="Subgerencia Administrativa y Financiera","FUNCIONAMIENTO","INVERSIÓN")</f>
        <v>INVERSIÓN</v>
      </c>
      <c r="E145" s="153" t="str">
        <f>VLOOKUP(Q145,PROYECTOS!$G$1:$K$32,5,0)</f>
        <v>Fortalecimiento de los juegos deportivos institucionales en los municipios del departamento de Antioquia</v>
      </c>
      <c r="F145" s="153">
        <f>VLOOKUP(E145,PROYECTOS!$K$1:$M$32,3,0)</f>
        <v>2024003050073</v>
      </c>
      <c r="G145" s="154" t="s">
        <v>271</v>
      </c>
      <c r="H145" s="154" t="str">
        <f>VLOOKUP(Q145,PROYECTOS!$V$1:$W$32,2,0)</f>
        <v>050081</v>
      </c>
      <c r="I145" s="143">
        <v>24388687</v>
      </c>
      <c r="J145" s="155" t="s">
        <v>279</v>
      </c>
      <c r="K145" s="57" t="str">
        <f t="shared" ca="1" si="14"/>
        <v>CONTRATADO</v>
      </c>
      <c r="L145" s="155" t="s">
        <v>112</v>
      </c>
      <c r="M145" s="155" t="s">
        <v>113</v>
      </c>
      <c r="N145" s="142" t="s">
        <v>272</v>
      </c>
      <c r="O145" s="155">
        <f>VLOOKUP(N145,RUBROS[#All],3,0)</f>
        <v>81</v>
      </c>
      <c r="P145" s="156" t="str">
        <f>VLOOKUP(N145,RUBROS[#All],2,0)</f>
        <v xml:space="preserve">Fortalecimiento de los juegos deportivos institucionales en los municipios del departamento de Antioquia - Servicios prestados a las empresas y servicios de producción </v>
      </c>
      <c r="Q145" s="57" t="str">
        <f t="shared" si="15"/>
        <v>73</v>
      </c>
      <c r="R145" s="57" t="str">
        <f t="shared" si="16"/>
        <v>0-205128</v>
      </c>
      <c r="S145" s="152">
        <v>11.5</v>
      </c>
      <c r="T145" s="157" t="s">
        <v>46</v>
      </c>
      <c r="U145" s="162" t="e">
        <f ca="1">_xlfn.XLOOKUP(PAA[[#This Row],[ITEM]],Contrato!A:A,Contrato!Q:Q,"",0)</f>
        <v>#NAME?</v>
      </c>
      <c r="V145" s="57" t="s">
        <v>47</v>
      </c>
      <c r="W145" s="57" t="s">
        <v>48</v>
      </c>
      <c r="X145" s="57" t="s">
        <v>48</v>
      </c>
      <c r="Y145" s="58" t="e">
        <f ca="1">_xlfn.XLOOKUP(PAA[[#This Row],[ITEM]],Contrato!A:A,Contrato!B:B,"",0)</f>
        <v>#NAME?</v>
      </c>
      <c r="Z145" s="57" t="e">
        <f ca="1">_xlfn.XLOOKUP(PAA[[#This Row],[ITEM]],Contrato!A:A,Contrato!G:G,"",0)</f>
        <v>#NAME?</v>
      </c>
      <c r="AA145" s="57" t="e">
        <f ca="1">_xlfn.XLOOKUP(PAA[[#This Row],[ITEM]],Contrato!A:A,Contrato!T:T,"",0)</f>
        <v>#NAME?</v>
      </c>
      <c r="AB145" s="58" t="e">
        <f ca="1">+MAX(PAA[[#This Row],[Comprometido Contrato]],)</f>
        <v>#NAME?</v>
      </c>
      <c r="AC145" s="58" t="str">
        <f t="shared" ca="1" si="17"/>
        <v/>
      </c>
      <c r="AD145" s="58" t="e">
        <f ca="1">+MAX(PAA[[#This Row],[Pago por Contrato]],)</f>
        <v>#NAME?</v>
      </c>
      <c r="AE145" s="58" t="str">
        <f t="shared" ca="1" si="18"/>
        <v/>
      </c>
      <c r="AF145" s="57" t="e">
        <f t="shared" ca="1" si="19"/>
        <v>#NAME?</v>
      </c>
      <c r="AG145" s="57">
        <f t="shared" si="20"/>
        <v>52010703</v>
      </c>
      <c r="AH145" s="57" t="e" cm="1">
        <f t="array" aca="1" ref="AH145" ca="1">_xlfn.XLOOKUP(PAA[[#This Row],[RCP-RUBRO]],COMPROMISOS_2025[[#All],[concatenado]],COMPROMISOS_2025[[#All],[Total pagado]],"",0)</f>
        <v>#NAME?</v>
      </c>
      <c r="AI145" s="57" t="e" cm="1">
        <f t="array" aca="1" ref="AI145" ca="1">_xlfn.XLOOKUP(PAA[[#This Row],[RCP-RUBRO]],COMPROMISOS_2025[[#All],[concatenado]],COMPROMISOS_2025[[#All],[Total Comprometido]],"",0)</f>
        <v>#NAME?</v>
      </c>
    </row>
    <row r="146" spans="1:35" s="50" customFormat="1" ht="42" hidden="1" customHeight="1" x14ac:dyDescent="0.25">
      <c r="A146" s="57">
        <v>112</v>
      </c>
      <c r="B146" s="186">
        <v>80111600</v>
      </c>
      <c r="C146" s="57" t="str">
        <f>VLOOKUP(PAA[[#This Row],[PROYECTO (formulado)2]],PROYECTOS!$G$1:$L$32,6,0)</f>
        <v>SUBGERENCIA DE FOMENTO Y DESARROLLO</v>
      </c>
      <c r="D146" s="57" t="str">
        <f>+IF(PAA[[#This Row],[UNIDAD DE CONTRATACION (formulado)]]="Subgerencia Administrativa y Financiera","FUNCIONAMIENTO","INVERSIÓN")</f>
        <v>INVERSIÓN</v>
      </c>
      <c r="E146" s="153" t="str">
        <f>VLOOKUP(Q146,PROYECTOS!$G$1:$K$32,5,0)</f>
        <v>Cofinanciación de dotación de implementación para el deporte la recreación y a la actividad física en el departamento de Antioquia</v>
      </c>
      <c r="F146" s="153">
        <f>VLOOKUP(E146,PROYECTOS!$K$1:$M$32,3,0)</f>
        <v>2024003050074</v>
      </c>
      <c r="G146" s="154" t="s">
        <v>273</v>
      </c>
      <c r="H146" s="154" t="str">
        <f>VLOOKUP(Q146,PROYECTOS!$V$1:$W$32,2,0)</f>
        <v>050073</v>
      </c>
      <c r="I146" s="143">
        <v>24388687</v>
      </c>
      <c r="J146" s="155" t="s">
        <v>279</v>
      </c>
      <c r="K146" s="57" t="str">
        <f t="shared" ca="1" si="14"/>
        <v>CONTRATADO</v>
      </c>
      <c r="L146" s="57" t="s">
        <v>112</v>
      </c>
      <c r="M146" s="155" t="s">
        <v>113</v>
      </c>
      <c r="N146" s="142" t="s">
        <v>274</v>
      </c>
      <c r="O146" s="155">
        <f>VLOOKUP(N146,RUBROS[#All],3,0)</f>
        <v>85</v>
      </c>
      <c r="P146" s="156" t="str">
        <f>VLOOKUP(N146,RUBROS[#All],2,0)</f>
        <v xml:space="preserve">Cofinanciación de dotación de implementación para el deporte la recreación y a la actividad física en el departamento de Antioquia - Servicios prestados a las empresas y servicios de producción </v>
      </c>
      <c r="Q146" s="57" t="str">
        <f t="shared" si="15"/>
        <v>74</v>
      </c>
      <c r="R146" s="57" t="str">
        <f t="shared" si="16"/>
        <v>0-101024</v>
      </c>
      <c r="S146" s="152">
        <v>11.5</v>
      </c>
      <c r="T146" s="157" t="s">
        <v>46</v>
      </c>
      <c r="U146" s="162" t="e">
        <f ca="1">_xlfn.XLOOKUP(PAA[[#This Row],[ITEM]],Contrato!A:A,Contrato!Q:Q,"",0)</f>
        <v>#NAME?</v>
      </c>
      <c r="V146" s="57" t="s">
        <v>47</v>
      </c>
      <c r="W146" s="57" t="s">
        <v>48</v>
      </c>
      <c r="X146" s="57" t="s">
        <v>48</v>
      </c>
      <c r="Y146" s="58" t="e">
        <f ca="1">_xlfn.XLOOKUP(PAA[[#This Row],[ITEM]],Contrato!A:A,Contrato!B:B,"",0)</f>
        <v>#NAME?</v>
      </c>
      <c r="Z146" s="57" t="e">
        <f ca="1">_xlfn.XLOOKUP(PAA[[#This Row],[ITEM]],Contrato!A:A,Contrato!G:G,"",0)</f>
        <v>#NAME?</v>
      </c>
      <c r="AA146" s="57" t="e">
        <f ca="1">_xlfn.XLOOKUP(PAA[[#This Row],[ITEM]],Contrato!A:A,Contrato!T:T,"",0)</f>
        <v>#NAME?</v>
      </c>
      <c r="AB146" s="58" t="e">
        <f ca="1">+MAX(PAA[[#This Row],[Comprometido Contrato]],)</f>
        <v>#NAME?</v>
      </c>
      <c r="AC146" s="58" t="str">
        <f t="shared" ca="1" si="17"/>
        <v/>
      </c>
      <c r="AD146" s="58" t="e">
        <f ca="1">+MAX(PAA[[#This Row],[Pago por Contrato]],)</f>
        <v>#NAME?</v>
      </c>
      <c r="AE146" s="58" t="str">
        <f t="shared" ca="1" si="18"/>
        <v/>
      </c>
      <c r="AF146" s="57" t="e">
        <f t="shared" ca="1" si="19"/>
        <v>#NAME?</v>
      </c>
      <c r="AG146" s="57">
        <f t="shared" si="20"/>
        <v>52010701</v>
      </c>
      <c r="AH146" s="57" t="e" cm="1">
        <f t="array" aca="1" ref="AH146" ca="1">_xlfn.XLOOKUP(PAA[[#This Row],[RCP-RUBRO]],COMPROMISOS_2025[[#All],[concatenado]],COMPROMISOS_2025[[#All],[Total pagado]],"",0)</f>
        <v>#NAME?</v>
      </c>
      <c r="AI146" s="57" t="e" cm="1">
        <f t="array" aca="1" ref="AI146" ca="1">_xlfn.XLOOKUP(PAA[[#This Row],[RCP-RUBRO]],COMPROMISOS_2025[[#All],[concatenado]],COMPROMISOS_2025[[#All],[Total Comprometido]],"",0)</f>
        <v>#NAME?</v>
      </c>
    </row>
    <row r="147" spans="1:35" s="50" customFormat="1" ht="42" hidden="1" customHeight="1" x14ac:dyDescent="0.25">
      <c r="A147" s="57">
        <v>113</v>
      </c>
      <c r="B147" s="186">
        <v>80111600</v>
      </c>
      <c r="C147" s="57" t="str">
        <f>VLOOKUP(PAA[[#This Row],[PROYECTO (formulado)2]],PROYECTOS!$G$1:$L$32,6,0)</f>
        <v>SUBGERENCIA DE FOMENTO Y DESARROLLO</v>
      </c>
      <c r="D147" s="57" t="str">
        <f>+IF(PAA[[#This Row],[UNIDAD DE CONTRATACION (formulado)]]="Subgerencia Administrativa y Financiera","FUNCIONAMIENTO","INVERSIÓN")</f>
        <v>INVERSIÓN</v>
      </c>
      <c r="E147" s="153" t="str">
        <f>VLOOKUP(Q147,PROYECTOS!$G$1:$K$32,5,0)</f>
        <v>Desarrollo y promoción del deporte formativo, la recreación y la actividad física en el departamento Antioquia</v>
      </c>
      <c r="F147" s="153">
        <f>VLOOKUP(E147,PROYECTOS!$K$1:$M$32,3,0)</f>
        <v>2024003050101</v>
      </c>
      <c r="G147" s="154" t="s">
        <v>264</v>
      </c>
      <c r="H147" s="154" t="str">
        <f>VLOOKUP(Q147,PROYECTOS!$V$1:$W$32,2,0)</f>
        <v>050075</v>
      </c>
      <c r="I147" s="143">
        <v>24388687</v>
      </c>
      <c r="J147" s="155" t="s">
        <v>279</v>
      </c>
      <c r="K147" s="57" t="str">
        <f t="shared" ca="1" si="14"/>
        <v>CONTRATADO</v>
      </c>
      <c r="L147" s="155" t="s">
        <v>112</v>
      </c>
      <c r="M147" s="155" t="s">
        <v>113</v>
      </c>
      <c r="N147" s="142" t="s">
        <v>266</v>
      </c>
      <c r="O147" s="155">
        <f>VLOOKUP(N147,RUBROS[#All],3,0)</f>
        <v>70</v>
      </c>
      <c r="P147" s="156" t="str">
        <f>VLOOKUP(N147,RUBROS[#All],2,0)</f>
        <v xml:space="preserve">Desarrollo y promoción del deporte formativo, la recreación y la actividad física en el departamento Antioquia - Servicios prestados a las empresas y servicios de producción </v>
      </c>
      <c r="Q147" s="57" t="str">
        <f t="shared" si="15"/>
        <v>01</v>
      </c>
      <c r="R147" s="57" t="str">
        <f t="shared" si="16"/>
        <v>0-205128</v>
      </c>
      <c r="S147" s="152">
        <v>11.5</v>
      </c>
      <c r="T147" s="157" t="s">
        <v>46</v>
      </c>
      <c r="U147" s="162" t="e">
        <f ca="1">_xlfn.XLOOKUP(PAA[[#This Row],[ITEM]],Contrato!A:A,Contrato!Q:Q,"",0)</f>
        <v>#NAME?</v>
      </c>
      <c r="V147" s="57" t="s">
        <v>47</v>
      </c>
      <c r="W147" s="57" t="s">
        <v>48</v>
      </c>
      <c r="X147" s="57" t="s">
        <v>48</v>
      </c>
      <c r="Y147" s="58" t="e">
        <f ca="1">_xlfn.XLOOKUP(PAA[[#This Row],[ITEM]],Contrato!A:A,Contrato!B:B,"",0)</f>
        <v>#NAME?</v>
      </c>
      <c r="Z147" s="57" t="e">
        <f ca="1">_xlfn.XLOOKUP(PAA[[#This Row],[ITEM]],Contrato!A:A,Contrato!G:G,"",0)</f>
        <v>#NAME?</v>
      </c>
      <c r="AA147" s="57" t="e">
        <f ca="1">_xlfn.XLOOKUP(PAA[[#This Row],[ITEM]],Contrato!A:A,Contrato!T:T,"",0)</f>
        <v>#NAME?</v>
      </c>
      <c r="AB147" s="58" t="e">
        <f ca="1">+MAX(PAA[[#This Row],[Comprometido Contrato]],)</f>
        <v>#NAME?</v>
      </c>
      <c r="AC147" s="58" t="str">
        <f t="shared" ca="1" si="17"/>
        <v/>
      </c>
      <c r="AD147" s="58" t="e">
        <f ca="1">+MAX(PAA[[#This Row],[Pago por Contrato]],)</f>
        <v>#NAME?</v>
      </c>
      <c r="AE147" s="58" t="str">
        <f t="shared" ca="1" si="18"/>
        <v/>
      </c>
      <c r="AF147" s="57" t="e">
        <f t="shared" ca="1" si="19"/>
        <v>#NAME?</v>
      </c>
      <c r="AG147" s="57">
        <f t="shared" si="20"/>
        <v>52010702</v>
      </c>
      <c r="AH147" s="57" t="e" cm="1">
        <f t="array" aca="1" ref="AH147" ca="1">_xlfn.XLOOKUP(PAA[[#This Row],[RCP-RUBRO]],COMPROMISOS_2025[[#All],[concatenado]],COMPROMISOS_2025[[#All],[Total pagado]],"",0)</f>
        <v>#NAME?</v>
      </c>
      <c r="AI147" s="57" t="e" cm="1">
        <f t="array" aca="1" ref="AI147" ca="1">_xlfn.XLOOKUP(PAA[[#This Row],[RCP-RUBRO]],COMPROMISOS_2025[[#All],[concatenado]],COMPROMISOS_2025[[#All],[Total Comprometido]],"",0)</f>
        <v>#NAME?</v>
      </c>
    </row>
    <row r="148" spans="1:35" s="50" customFormat="1" ht="42" hidden="1" customHeight="1" x14ac:dyDescent="0.25">
      <c r="A148" s="57">
        <v>113</v>
      </c>
      <c r="B148" s="186">
        <v>80111600</v>
      </c>
      <c r="C148" s="57" t="str">
        <f>VLOOKUP(PAA[[#This Row],[PROYECTO (formulado)2]],PROYECTOS!$G$1:$L$32,6,0)</f>
        <v>SUBGERENCIA DE FOMENTO Y DESARROLLO</v>
      </c>
      <c r="D148" s="57" t="str">
        <f>+IF(PAA[[#This Row],[UNIDAD DE CONTRATACION (formulado)]]="Subgerencia Administrativa y Financiera","FUNCIONAMIENTO","INVERSIÓN")</f>
        <v>INVERSIÓN</v>
      </c>
      <c r="E148" s="153" t="str">
        <f>VLOOKUP(Q148,PROYECTOS!$G$1:$K$32,5,0)</f>
        <v>Asesoria y acompañamiento institucional para el deporte formativo, la recreación y la actividad física en el departamento de Antioquia</v>
      </c>
      <c r="F148" s="153">
        <f>VLOOKUP(E148,PROYECTOS!$K$1:$M$32,3,0)</f>
        <v>2024003050100</v>
      </c>
      <c r="G148" s="154" t="s">
        <v>267</v>
      </c>
      <c r="H148" s="154" t="str">
        <f>VLOOKUP(Q148,PROYECTOS!$V$1:$W$32,2,0)</f>
        <v>050071</v>
      </c>
      <c r="I148" s="143">
        <v>24388687</v>
      </c>
      <c r="J148" s="155" t="s">
        <v>279</v>
      </c>
      <c r="K148" s="57" t="str">
        <f t="shared" ca="1" si="14"/>
        <v>CONTRATADO</v>
      </c>
      <c r="L148" s="155" t="s">
        <v>112</v>
      </c>
      <c r="M148" s="155" t="s">
        <v>113</v>
      </c>
      <c r="N148" s="142" t="s">
        <v>268</v>
      </c>
      <c r="O148" s="155">
        <f>VLOOKUP(N148,RUBROS[#All],3,0)</f>
        <v>74</v>
      </c>
      <c r="P148" s="156" t="str">
        <f>VLOOKUP(N148,RUBROS[#All],2,0)</f>
        <v xml:space="preserve">Asesoria y acompañamiento institucional para el deporte formativo, la recreación y la actividad física en el departamento de Antioquia. - Servicios prestados a las empresas y servicios de producción </v>
      </c>
      <c r="Q148" s="57" t="str">
        <f t="shared" si="15"/>
        <v>10</v>
      </c>
      <c r="R148" s="57" t="str">
        <f t="shared" si="16"/>
        <v>0-101024</v>
      </c>
      <c r="S148" s="152">
        <v>11.5</v>
      </c>
      <c r="T148" s="157" t="s">
        <v>46</v>
      </c>
      <c r="U148" s="162" t="e">
        <f ca="1">_xlfn.XLOOKUP(PAA[[#This Row],[ITEM]],Contrato!A:A,Contrato!Q:Q,"",0)</f>
        <v>#NAME?</v>
      </c>
      <c r="V148" s="57" t="s">
        <v>47</v>
      </c>
      <c r="W148" s="57" t="s">
        <v>48</v>
      </c>
      <c r="X148" s="57" t="s">
        <v>48</v>
      </c>
      <c r="Y148" s="58" t="e">
        <f ca="1">_xlfn.XLOOKUP(PAA[[#This Row],[ITEM]],Contrato!A:A,Contrato!B:B,"",0)</f>
        <v>#NAME?</v>
      </c>
      <c r="Z148" s="57" t="e">
        <f ca="1">_xlfn.XLOOKUP(PAA[[#This Row],[ITEM]],Contrato!A:A,Contrato!G:G,"",0)</f>
        <v>#NAME?</v>
      </c>
      <c r="AA148" s="57" t="e">
        <f ca="1">_xlfn.XLOOKUP(PAA[[#This Row],[ITEM]],Contrato!A:A,Contrato!T:T,"",0)</f>
        <v>#NAME?</v>
      </c>
      <c r="AB148" s="58" t="e">
        <f ca="1">+MAX(PAA[[#This Row],[Comprometido Contrato]],)</f>
        <v>#NAME?</v>
      </c>
      <c r="AC148" s="58" t="str">
        <f t="shared" ca="1" si="17"/>
        <v/>
      </c>
      <c r="AD148" s="58" t="e">
        <f ca="1">+MAX(PAA[[#This Row],[Pago por Contrato]],)</f>
        <v>#NAME?</v>
      </c>
      <c r="AE148" s="58" t="str">
        <f t="shared" ca="1" si="18"/>
        <v/>
      </c>
      <c r="AF148" s="57" t="e">
        <f t="shared" ca="1" si="19"/>
        <v>#NAME?</v>
      </c>
      <c r="AG148" s="57">
        <f t="shared" si="20"/>
        <v>52010705</v>
      </c>
      <c r="AH148" s="57" t="e" cm="1">
        <f t="array" aca="1" ref="AH148" ca="1">_xlfn.XLOOKUP(PAA[[#This Row],[RCP-RUBRO]],COMPROMISOS_2025[[#All],[concatenado]],COMPROMISOS_2025[[#All],[Total pagado]],"",0)</f>
        <v>#NAME?</v>
      </c>
      <c r="AI148" s="57" t="e" cm="1">
        <f t="array" aca="1" ref="AI148" ca="1">_xlfn.XLOOKUP(PAA[[#This Row],[RCP-RUBRO]],COMPROMISOS_2025[[#All],[concatenado]],COMPROMISOS_2025[[#All],[Total Comprometido]],"",0)</f>
        <v>#NAME?</v>
      </c>
    </row>
    <row r="149" spans="1:35" s="50" customFormat="1" ht="42" hidden="1" customHeight="1" x14ac:dyDescent="0.25">
      <c r="A149" s="57">
        <v>113</v>
      </c>
      <c r="B149" s="186">
        <v>80111600</v>
      </c>
      <c r="C149" s="57" t="str">
        <f>VLOOKUP(PAA[[#This Row],[PROYECTO (formulado)2]],PROYECTOS!$G$1:$L$32,6,0)</f>
        <v>SUBGERENCIA DE FOMENTO Y DESARROLLO</v>
      </c>
      <c r="D149" s="57" t="str">
        <f>+IF(PAA[[#This Row],[UNIDAD DE CONTRATACION (formulado)]]="Subgerencia Administrativa y Financiera","FUNCIONAMIENTO","INVERSIÓN")</f>
        <v>INVERSIÓN</v>
      </c>
      <c r="E149" s="153" t="str">
        <f>VLOOKUP(Q149,PROYECTOS!$G$1:$K$32,5,0)</f>
        <v>Capacitación para el sector del deporte, la recreación y la actividad física en el Departamento de   Antioquia</v>
      </c>
      <c r="F149" s="153">
        <f>VLOOKUP(E149,PROYECTOS!$K$1:$M$32,3,0)</f>
        <v>2024003050072</v>
      </c>
      <c r="G149" s="154" t="s">
        <v>269</v>
      </c>
      <c r="H149" s="154" t="str">
        <f>VLOOKUP(Q149,PROYECTOS!$V$1:$W$32,2,0)</f>
        <v>050072</v>
      </c>
      <c r="I149" s="143">
        <v>24388675</v>
      </c>
      <c r="J149" s="155" t="s">
        <v>279</v>
      </c>
      <c r="K149" s="57" t="str">
        <f t="shared" ca="1" si="14"/>
        <v>CONTRATADO</v>
      </c>
      <c r="L149" s="155" t="s">
        <v>112</v>
      </c>
      <c r="M149" s="155" t="s">
        <v>113</v>
      </c>
      <c r="N149" s="142" t="s">
        <v>270</v>
      </c>
      <c r="O149" s="155">
        <f>VLOOKUP(N149,RUBROS[#All],3,0)</f>
        <v>78</v>
      </c>
      <c r="P149" s="156" t="str">
        <f>VLOOKUP(N149,RUBROS[#All],2,0)</f>
        <v xml:space="preserve">Capacitación para el sector del deporte, la recreación y la actividad física en el Departamento de   Antioquia - Servicios prestados a las empresas y servicios de producción </v>
      </c>
      <c r="Q149" s="57" t="str">
        <f t="shared" si="15"/>
        <v>72</v>
      </c>
      <c r="R149" s="57" t="str">
        <f t="shared" si="16"/>
        <v>0-205128</v>
      </c>
      <c r="S149" s="152">
        <v>11.5</v>
      </c>
      <c r="T149" s="157" t="s">
        <v>46</v>
      </c>
      <c r="U149" s="162" t="e">
        <f ca="1">_xlfn.XLOOKUP(PAA[[#This Row],[ITEM]],Contrato!A:A,Contrato!Q:Q,"",0)</f>
        <v>#NAME?</v>
      </c>
      <c r="V149" s="57" t="s">
        <v>47</v>
      </c>
      <c r="W149" s="57" t="s">
        <v>48</v>
      </c>
      <c r="X149" s="57" t="s">
        <v>48</v>
      </c>
      <c r="Y149" s="58" t="e">
        <f ca="1">_xlfn.XLOOKUP(PAA[[#This Row],[ITEM]],Contrato!A:A,Contrato!B:B,"",0)</f>
        <v>#NAME?</v>
      </c>
      <c r="Z149" s="57" t="e">
        <f ca="1">_xlfn.XLOOKUP(PAA[[#This Row],[ITEM]],Contrato!A:A,Contrato!G:G,"",0)</f>
        <v>#NAME?</v>
      </c>
      <c r="AA149" s="57" t="e">
        <f ca="1">_xlfn.XLOOKUP(PAA[[#This Row],[ITEM]],Contrato!A:A,Contrato!T:T,"",0)</f>
        <v>#NAME?</v>
      </c>
      <c r="AB149" s="58" t="e">
        <f ca="1">+MAX(PAA[[#This Row],[Comprometido Contrato]],)</f>
        <v>#NAME?</v>
      </c>
      <c r="AC149" s="58" t="str">
        <f t="shared" ca="1" si="17"/>
        <v/>
      </c>
      <c r="AD149" s="58" t="e">
        <f ca="1">+MAX(PAA[[#This Row],[Pago por Contrato]],)</f>
        <v>#NAME?</v>
      </c>
      <c r="AE149" s="58" t="str">
        <f t="shared" ca="1" si="18"/>
        <v/>
      </c>
      <c r="AF149" s="57" t="e">
        <f t="shared" ca="1" si="19"/>
        <v>#NAME?</v>
      </c>
      <c r="AG149" s="57">
        <f t="shared" si="20"/>
        <v>52010704</v>
      </c>
      <c r="AH149" s="57" t="e" cm="1">
        <f t="array" aca="1" ref="AH149" ca="1">_xlfn.XLOOKUP(PAA[[#This Row],[RCP-RUBRO]],COMPROMISOS_2025[[#All],[concatenado]],COMPROMISOS_2025[[#All],[Total pagado]],"",0)</f>
        <v>#NAME?</v>
      </c>
      <c r="AI149" s="57" t="e" cm="1">
        <f t="array" aca="1" ref="AI149" ca="1">_xlfn.XLOOKUP(PAA[[#This Row],[RCP-RUBRO]],COMPROMISOS_2025[[#All],[concatenado]],COMPROMISOS_2025[[#All],[Total Comprometido]],"",0)</f>
        <v>#NAME?</v>
      </c>
    </row>
    <row r="150" spans="1:35" s="50" customFormat="1" ht="42" hidden="1" customHeight="1" x14ac:dyDescent="0.25">
      <c r="A150" s="57">
        <v>113</v>
      </c>
      <c r="B150" s="186">
        <v>80111600</v>
      </c>
      <c r="C150" s="57" t="str">
        <f>VLOOKUP(PAA[[#This Row],[PROYECTO (formulado)2]],PROYECTOS!$G$1:$L$32,6,0)</f>
        <v>SUBGERENCIA DE FOMENTO Y DESARROLLO</v>
      </c>
      <c r="D150" s="57" t="str">
        <f>+IF(PAA[[#This Row],[UNIDAD DE CONTRATACION (formulado)]]="Subgerencia Administrativa y Financiera","FUNCIONAMIENTO","INVERSIÓN")</f>
        <v>INVERSIÓN</v>
      </c>
      <c r="E150" s="153" t="str">
        <f>VLOOKUP(Q150,PROYECTOS!$G$1:$K$32,5,0)</f>
        <v>Fortalecimiento de los juegos deportivos institucionales en los municipios del departamento de Antioquia</v>
      </c>
      <c r="F150" s="153">
        <f>VLOOKUP(E150,PROYECTOS!$K$1:$M$32,3,0)</f>
        <v>2024003050073</v>
      </c>
      <c r="G150" s="154" t="s">
        <v>271</v>
      </c>
      <c r="H150" s="154" t="str">
        <f>VLOOKUP(Q150,PROYECTOS!$V$1:$W$32,2,0)</f>
        <v>050081</v>
      </c>
      <c r="I150" s="143">
        <v>24388687</v>
      </c>
      <c r="J150" s="155" t="s">
        <v>279</v>
      </c>
      <c r="K150" s="57" t="str">
        <f t="shared" ca="1" si="14"/>
        <v>CONTRATADO</v>
      </c>
      <c r="L150" s="155" t="s">
        <v>112</v>
      </c>
      <c r="M150" s="155" t="s">
        <v>113</v>
      </c>
      <c r="N150" s="142" t="s">
        <v>272</v>
      </c>
      <c r="O150" s="155">
        <f>VLOOKUP(N150,RUBROS[#All],3,0)</f>
        <v>81</v>
      </c>
      <c r="P150" s="156" t="str">
        <f>VLOOKUP(N150,RUBROS[#All],2,0)</f>
        <v xml:space="preserve">Fortalecimiento de los juegos deportivos institucionales en los municipios del departamento de Antioquia - Servicios prestados a las empresas y servicios de producción </v>
      </c>
      <c r="Q150" s="57" t="str">
        <f t="shared" si="15"/>
        <v>73</v>
      </c>
      <c r="R150" s="57" t="str">
        <f t="shared" si="16"/>
        <v>0-205128</v>
      </c>
      <c r="S150" s="152">
        <v>11.5</v>
      </c>
      <c r="T150" s="157" t="s">
        <v>46</v>
      </c>
      <c r="U150" s="162" t="e">
        <f ca="1">_xlfn.XLOOKUP(PAA[[#This Row],[ITEM]],Contrato!A:A,Contrato!Q:Q,"",0)</f>
        <v>#NAME?</v>
      </c>
      <c r="V150" s="57" t="s">
        <v>47</v>
      </c>
      <c r="W150" s="57" t="s">
        <v>48</v>
      </c>
      <c r="X150" s="57" t="s">
        <v>48</v>
      </c>
      <c r="Y150" s="58" t="e">
        <f ca="1">_xlfn.XLOOKUP(PAA[[#This Row],[ITEM]],Contrato!A:A,Contrato!B:B,"",0)</f>
        <v>#NAME?</v>
      </c>
      <c r="Z150" s="57" t="e">
        <f ca="1">_xlfn.XLOOKUP(PAA[[#This Row],[ITEM]],Contrato!A:A,Contrato!G:G,"",0)</f>
        <v>#NAME?</v>
      </c>
      <c r="AA150" s="57" t="e">
        <f ca="1">_xlfn.XLOOKUP(PAA[[#This Row],[ITEM]],Contrato!A:A,Contrato!T:T,"",0)</f>
        <v>#NAME?</v>
      </c>
      <c r="AB150" s="58" t="e">
        <f ca="1">+MAX(PAA[[#This Row],[Comprometido Contrato]],)</f>
        <v>#NAME?</v>
      </c>
      <c r="AC150" s="58" t="str">
        <f t="shared" ca="1" si="17"/>
        <v/>
      </c>
      <c r="AD150" s="58" t="e">
        <f ca="1">+MAX(PAA[[#This Row],[Pago por Contrato]],)</f>
        <v>#NAME?</v>
      </c>
      <c r="AE150" s="58" t="str">
        <f t="shared" ca="1" si="18"/>
        <v/>
      </c>
      <c r="AF150" s="57" t="e">
        <f t="shared" ca="1" si="19"/>
        <v>#NAME?</v>
      </c>
      <c r="AG150" s="57">
        <f t="shared" si="20"/>
        <v>52010703</v>
      </c>
      <c r="AH150" s="57" t="e" cm="1">
        <f t="array" aca="1" ref="AH150" ca="1">_xlfn.XLOOKUP(PAA[[#This Row],[RCP-RUBRO]],COMPROMISOS_2025[[#All],[concatenado]],COMPROMISOS_2025[[#All],[Total pagado]],"",0)</f>
        <v>#NAME?</v>
      </c>
      <c r="AI150" s="57" t="e" cm="1">
        <f t="array" aca="1" ref="AI150" ca="1">_xlfn.XLOOKUP(PAA[[#This Row],[RCP-RUBRO]],COMPROMISOS_2025[[#All],[concatenado]],COMPROMISOS_2025[[#All],[Total Comprometido]],"",0)</f>
        <v>#NAME?</v>
      </c>
    </row>
    <row r="151" spans="1:35" s="50" customFormat="1" ht="42" hidden="1" customHeight="1" x14ac:dyDescent="0.25">
      <c r="A151" s="57">
        <v>113</v>
      </c>
      <c r="B151" s="186">
        <v>80111600</v>
      </c>
      <c r="C151" s="57" t="str">
        <f>VLOOKUP(PAA[[#This Row],[PROYECTO (formulado)2]],PROYECTOS!$G$1:$L$32,6,0)</f>
        <v>SUBGERENCIA DE FOMENTO Y DESARROLLO</v>
      </c>
      <c r="D151" s="57" t="str">
        <f>+IF(PAA[[#This Row],[UNIDAD DE CONTRATACION (formulado)]]="Subgerencia Administrativa y Financiera","FUNCIONAMIENTO","INVERSIÓN")</f>
        <v>INVERSIÓN</v>
      </c>
      <c r="E151" s="153" t="str">
        <f>VLOOKUP(Q151,PROYECTOS!$G$1:$K$32,5,0)</f>
        <v>Cofinanciación de dotación de implementación para el deporte la recreación y a la actividad física en el departamento de Antioquia</v>
      </c>
      <c r="F151" s="153">
        <f>VLOOKUP(E151,PROYECTOS!$K$1:$M$32,3,0)</f>
        <v>2024003050074</v>
      </c>
      <c r="G151" s="154" t="s">
        <v>273</v>
      </c>
      <c r="H151" s="154" t="str">
        <f>VLOOKUP(Q151,PROYECTOS!$V$1:$W$32,2,0)</f>
        <v>050073</v>
      </c>
      <c r="I151" s="143">
        <v>24388687</v>
      </c>
      <c r="J151" s="155" t="s">
        <v>279</v>
      </c>
      <c r="K151" s="57" t="str">
        <f t="shared" ca="1" si="14"/>
        <v>CONTRATADO</v>
      </c>
      <c r="L151" s="57" t="s">
        <v>112</v>
      </c>
      <c r="M151" s="155" t="s">
        <v>113</v>
      </c>
      <c r="N151" s="142" t="s">
        <v>274</v>
      </c>
      <c r="O151" s="155">
        <f>VLOOKUP(N151,RUBROS[#All],3,0)</f>
        <v>85</v>
      </c>
      <c r="P151" s="156" t="str">
        <f>VLOOKUP(N151,RUBROS[#All],2,0)</f>
        <v xml:space="preserve">Cofinanciación de dotación de implementación para el deporte la recreación y a la actividad física en el departamento de Antioquia - Servicios prestados a las empresas y servicios de producción </v>
      </c>
      <c r="Q151" s="57" t="str">
        <f t="shared" si="15"/>
        <v>74</v>
      </c>
      <c r="R151" s="57" t="str">
        <f t="shared" si="16"/>
        <v>0-101024</v>
      </c>
      <c r="S151" s="152">
        <v>11.5</v>
      </c>
      <c r="T151" s="157" t="s">
        <v>46</v>
      </c>
      <c r="U151" s="162" t="e">
        <f ca="1">_xlfn.XLOOKUP(PAA[[#This Row],[ITEM]],Contrato!A:A,Contrato!Q:Q,"",0)</f>
        <v>#NAME?</v>
      </c>
      <c r="V151" s="57" t="s">
        <v>47</v>
      </c>
      <c r="W151" s="57" t="s">
        <v>48</v>
      </c>
      <c r="X151" s="57" t="s">
        <v>48</v>
      </c>
      <c r="Y151" s="58" t="e">
        <f ca="1">_xlfn.XLOOKUP(PAA[[#This Row],[ITEM]],Contrato!A:A,Contrato!B:B,"",0)</f>
        <v>#NAME?</v>
      </c>
      <c r="Z151" s="57" t="e">
        <f ca="1">_xlfn.XLOOKUP(PAA[[#This Row],[ITEM]],Contrato!A:A,Contrato!G:G,"",0)</f>
        <v>#NAME?</v>
      </c>
      <c r="AA151" s="57" t="e">
        <f ca="1">_xlfn.XLOOKUP(PAA[[#This Row],[ITEM]],Contrato!A:A,Contrato!T:T,"",0)</f>
        <v>#NAME?</v>
      </c>
      <c r="AB151" s="58" t="e">
        <f ca="1">+MAX(PAA[[#This Row],[Comprometido Contrato]],)</f>
        <v>#NAME?</v>
      </c>
      <c r="AC151" s="58" t="str">
        <f t="shared" ca="1" si="17"/>
        <v/>
      </c>
      <c r="AD151" s="58" t="e">
        <f ca="1">+MAX(PAA[[#This Row],[Pago por Contrato]],)</f>
        <v>#NAME?</v>
      </c>
      <c r="AE151" s="58" t="str">
        <f t="shared" ca="1" si="18"/>
        <v/>
      </c>
      <c r="AF151" s="57" t="e">
        <f t="shared" ca="1" si="19"/>
        <v>#NAME?</v>
      </c>
      <c r="AG151" s="57">
        <f t="shared" si="20"/>
        <v>52010701</v>
      </c>
      <c r="AH151" s="57" t="e" cm="1">
        <f t="array" aca="1" ref="AH151" ca="1">_xlfn.XLOOKUP(PAA[[#This Row],[RCP-RUBRO]],COMPROMISOS_2025[[#All],[concatenado]],COMPROMISOS_2025[[#All],[Total pagado]],"",0)</f>
        <v>#NAME?</v>
      </c>
      <c r="AI151" s="57" t="e" cm="1">
        <f t="array" aca="1" ref="AI151" ca="1">_xlfn.XLOOKUP(PAA[[#This Row],[RCP-RUBRO]],COMPROMISOS_2025[[#All],[concatenado]],COMPROMISOS_2025[[#All],[Total Comprometido]],"",0)</f>
        <v>#NAME?</v>
      </c>
    </row>
    <row r="152" spans="1:35" s="50" customFormat="1" ht="42" hidden="1" customHeight="1" x14ac:dyDescent="0.25">
      <c r="A152" s="199">
        <v>114</v>
      </c>
      <c r="B152" s="212">
        <v>80111600</v>
      </c>
      <c r="C152" s="199" t="str">
        <f>VLOOKUP(PAA[[#This Row],[PROYECTO (formulado)2]],PROYECTOS!$G$1:$L$32,6,0)</f>
        <v>SUBGERENCIA DE FOMENTO Y DESARROLLO</v>
      </c>
      <c r="D152" s="199" t="str">
        <f>+IF(PAA[[#This Row],[UNIDAD DE CONTRATACION (formulado)]]="Subgerencia Administrativa y Financiera","FUNCIONAMIENTO","INVERSIÓN")</f>
        <v>INVERSIÓN</v>
      </c>
      <c r="E152" s="201" t="str">
        <f>VLOOKUP(Q152,PROYECTOS!$G$1:$K$32,5,0)</f>
        <v>Desarrollo y promoción del deporte formativo, la recreación y la actividad física en el departamento Antioquia</v>
      </c>
      <c r="F152" s="201">
        <f>VLOOKUP(E152,PROYECTOS!$K$1:$M$32,3,0)</f>
        <v>2024003050101</v>
      </c>
      <c r="G152" s="202" t="s">
        <v>264</v>
      </c>
      <c r="H152" s="202" t="str">
        <f>VLOOKUP(Q152,PROYECTOS!$V$1:$W$32,2,0)</f>
        <v>050075</v>
      </c>
      <c r="I152" s="203">
        <v>17117120</v>
      </c>
      <c r="J152" s="204" t="s">
        <v>280</v>
      </c>
      <c r="K152" s="199" t="str">
        <f t="shared" ca="1" si="14"/>
        <v>CONTRATADO</v>
      </c>
      <c r="L152" s="204" t="s">
        <v>112</v>
      </c>
      <c r="M152" s="204" t="s">
        <v>113</v>
      </c>
      <c r="N152" s="205" t="s">
        <v>266</v>
      </c>
      <c r="O152" s="204">
        <f>VLOOKUP(N152,RUBROS[#All],3,0)</f>
        <v>70</v>
      </c>
      <c r="P152" s="199" t="str">
        <f>VLOOKUP(N152,RUBROS[#All],2,0)</f>
        <v xml:space="preserve">Desarrollo y promoción del deporte formativo, la recreación y la actividad física en el departamento Antioquia - Servicios prestados a las empresas y servicios de producción </v>
      </c>
      <c r="Q152" s="199" t="str">
        <f t="shared" si="15"/>
        <v>01</v>
      </c>
      <c r="R152" s="199" t="str">
        <f t="shared" si="16"/>
        <v>0-205128</v>
      </c>
      <c r="S152" s="207">
        <v>8</v>
      </c>
      <c r="T152" s="208" t="s">
        <v>46</v>
      </c>
      <c r="U152" s="209" t="e">
        <f ca="1">_xlfn.XLOOKUP(PAA[[#This Row],[ITEM]],Contrato!A:A,Contrato!Q:Q,"",0)</f>
        <v>#NAME?</v>
      </c>
      <c r="V152" s="199" t="s">
        <v>47</v>
      </c>
      <c r="W152" s="199" t="s">
        <v>48</v>
      </c>
      <c r="X152" s="199" t="s">
        <v>48</v>
      </c>
      <c r="Y152" s="210" t="e">
        <f ca="1">_xlfn.XLOOKUP(PAA[[#This Row],[ITEM]],Contrato!A:A,Contrato!B:B,"",0)</f>
        <v>#NAME?</v>
      </c>
      <c r="Z152" s="199" t="e">
        <f ca="1">_xlfn.XLOOKUP(PAA[[#This Row],[ITEM]],Contrato!A:A,Contrato!G:G,"",0)</f>
        <v>#NAME?</v>
      </c>
      <c r="AA152" s="199" t="e">
        <f ca="1">_xlfn.XLOOKUP(PAA[[#This Row],[ITEM]],Contrato!A:A,Contrato!T:T,"",0)</f>
        <v>#NAME?</v>
      </c>
      <c r="AB152" s="210" t="e">
        <f ca="1">+MAX(PAA[[#This Row],[Comprometido Contrato]],)</f>
        <v>#NAME?</v>
      </c>
      <c r="AC152" s="210" t="str">
        <f t="shared" ca="1" si="17"/>
        <v/>
      </c>
      <c r="AD152" s="210" t="e">
        <f ca="1">+MAX(PAA[[#This Row],[Pago por Contrato]],)</f>
        <v>#NAME?</v>
      </c>
      <c r="AE152" s="210" t="str">
        <f t="shared" ca="1" si="18"/>
        <v/>
      </c>
      <c r="AF152" s="199" t="e">
        <f t="shared" ca="1" si="19"/>
        <v>#NAME?</v>
      </c>
      <c r="AG152" s="199">
        <f t="shared" si="20"/>
        <v>52010702</v>
      </c>
      <c r="AH152" s="199" t="e" cm="1">
        <f t="array" aca="1" ref="AH152" ca="1">_xlfn.XLOOKUP(PAA[[#This Row],[RCP-RUBRO]],COMPROMISOS_2025[[#All],[concatenado]],COMPROMISOS_2025[[#All],[Total pagado]],"",0)</f>
        <v>#NAME?</v>
      </c>
      <c r="AI152" s="199" t="e" cm="1">
        <f t="array" aca="1" ref="AI152" ca="1">_xlfn.XLOOKUP(PAA[[#This Row],[RCP-RUBRO]],COMPROMISOS_2025[[#All],[concatenado]],COMPROMISOS_2025[[#All],[Total Comprometido]],"",0)</f>
        <v>#NAME?</v>
      </c>
    </row>
    <row r="153" spans="1:35" s="50" customFormat="1" ht="42" hidden="1" customHeight="1" x14ac:dyDescent="0.25">
      <c r="A153" s="199">
        <v>114</v>
      </c>
      <c r="B153" s="212">
        <v>80111600</v>
      </c>
      <c r="C153" s="199" t="str">
        <f>VLOOKUP(PAA[[#This Row],[PROYECTO (formulado)2]],PROYECTOS!$G$1:$L$32,6,0)</f>
        <v>SUBGERENCIA DE FOMENTO Y DESARROLLO</v>
      </c>
      <c r="D153" s="199" t="str">
        <f>+IF(PAA[[#This Row],[UNIDAD DE CONTRATACION (formulado)]]="Subgerencia Administrativa y Financiera","FUNCIONAMIENTO","INVERSIÓN")</f>
        <v>INVERSIÓN</v>
      </c>
      <c r="E153" s="201" t="str">
        <f>VLOOKUP(Q153,PROYECTOS!$G$1:$K$32,5,0)</f>
        <v>Asesoria y acompañamiento institucional para el deporte formativo, la recreación y la actividad física en el departamento de Antioquia</v>
      </c>
      <c r="F153" s="201">
        <f>VLOOKUP(E153,PROYECTOS!$K$1:$M$32,3,0)</f>
        <v>2024003050100</v>
      </c>
      <c r="G153" s="202" t="s">
        <v>267</v>
      </c>
      <c r="H153" s="202" t="str">
        <f>VLOOKUP(Q153,PROYECTOS!$V$1:$W$32,2,0)</f>
        <v>050071</v>
      </c>
      <c r="I153" s="203">
        <v>17117120</v>
      </c>
      <c r="J153" s="204" t="s">
        <v>280</v>
      </c>
      <c r="K153" s="199" t="str">
        <f t="shared" ca="1" si="14"/>
        <v>CONTRATADO</v>
      </c>
      <c r="L153" s="204" t="s">
        <v>112</v>
      </c>
      <c r="M153" s="204" t="s">
        <v>113</v>
      </c>
      <c r="N153" s="205" t="s">
        <v>268</v>
      </c>
      <c r="O153" s="204">
        <f>VLOOKUP(N153,RUBROS[#All],3,0)</f>
        <v>74</v>
      </c>
      <c r="P153" s="199" t="str">
        <f>VLOOKUP(N153,RUBROS[#All],2,0)</f>
        <v xml:space="preserve">Asesoria y acompañamiento institucional para el deporte formativo, la recreación y la actividad física en el departamento de Antioquia. - Servicios prestados a las empresas y servicios de producción </v>
      </c>
      <c r="Q153" s="199" t="str">
        <f t="shared" si="15"/>
        <v>10</v>
      </c>
      <c r="R153" s="199" t="str">
        <f t="shared" si="16"/>
        <v>0-101024</v>
      </c>
      <c r="S153" s="207">
        <v>8</v>
      </c>
      <c r="T153" s="208" t="s">
        <v>46</v>
      </c>
      <c r="U153" s="209" t="e">
        <f ca="1">_xlfn.XLOOKUP(PAA[[#This Row],[ITEM]],Contrato!A:A,Contrato!Q:Q,"",0)</f>
        <v>#NAME?</v>
      </c>
      <c r="V153" s="199" t="s">
        <v>47</v>
      </c>
      <c r="W153" s="199" t="s">
        <v>48</v>
      </c>
      <c r="X153" s="199" t="s">
        <v>48</v>
      </c>
      <c r="Y153" s="210" t="e">
        <f ca="1">_xlfn.XLOOKUP(PAA[[#This Row],[ITEM]],Contrato!A:A,Contrato!B:B,"",0)</f>
        <v>#NAME?</v>
      </c>
      <c r="Z153" s="199" t="e">
        <f ca="1">_xlfn.XLOOKUP(PAA[[#This Row],[ITEM]],Contrato!A:A,Contrato!G:G,"",0)</f>
        <v>#NAME?</v>
      </c>
      <c r="AA153" s="199" t="e">
        <f ca="1">_xlfn.XLOOKUP(PAA[[#This Row],[ITEM]],Contrato!A:A,Contrato!T:T,"",0)</f>
        <v>#NAME?</v>
      </c>
      <c r="AB153" s="210" t="e">
        <f ca="1">+MAX(PAA[[#This Row],[Comprometido Contrato]],)</f>
        <v>#NAME?</v>
      </c>
      <c r="AC153" s="210" t="str">
        <f t="shared" ca="1" si="17"/>
        <v/>
      </c>
      <c r="AD153" s="210" t="e">
        <f ca="1">+MAX(PAA[[#This Row],[Pago por Contrato]],)</f>
        <v>#NAME?</v>
      </c>
      <c r="AE153" s="210" t="str">
        <f t="shared" ca="1" si="18"/>
        <v/>
      </c>
      <c r="AF153" s="199" t="e">
        <f t="shared" ca="1" si="19"/>
        <v>#NAME?</v>
      </c>
      <c r="AG153" s="199">
        <f t="shared" si="20"/>
        <v>52010705</v>
      </c>
      <c r="AH153" s="199" t="e" cm="1">
        <f t="array" aca="1" ref="AH153" ca="1">_xlfn.XLOOKUP(PAA[[#This Row],[RCP-RUBRO]],COMPROMISOS_2025[[#All],[concatenado]],COMPROMISOS_2025[[#All],[Total pagado]],"",0)</f>
        <v>#NAME?</v>
      </c>
      <c r="AI153" s="199" t="e" cm="1">
        <f t="array" aca="1" ref="AI153" ca="1">_xlfn.XLOOKUP(PAA[[#This Row],[RCP-RUBRO]],COMPROMISOS_2025[[#All],[concatenado]],COMPROMISOS_2025[[#All],[Total Comprometido]],"",0)</f>
        <v>#NAME?</v>
      </c>
    </row>
    <row r="154" spans="1:35" s="50" customFormat="1" ht="42" hidden="1" customHeight="1" x14ac:dyDescent="0.25">
      <c r="A154" s="199">
        <v>114</v>
      </c>
      <c r="B154" s="212">
        <v>80111600</v>
      </c>
      <c r="C154" s="199" t="str">
        <f>VLOOKUP(PAA[[#This Row],[PROYECTO (formulado)2]],PROYECTOS!$G$1:$L$32,6,0)</f>
        <v>SUBGERENCIA DE FOMENTO Y DESARROLLO</v>
      </c>
      <c r="D154" s="199" t="str">
        <f>+IF(PAA[[#This Row],[UNIDAD DE CONTRATACION (formulado)]]="Subgerencia Administrativa y Financiera","FUNCIONAMIENTO","INVERSIÓN")</f>
        <v>INVERSIÓN</v>
      </c>
      <c r="E154" s="201" t="str">
        <f>VLOOKUP(Q154,PROYECTOS!$G$1:$K$32,5,0)</f>
        <v>Capacitación para el sector del deporte, la recreación y la actividad física en el Departamento de   Antioquia</v>
      </c>
      <c r="F154" s="201">
        <f>VLOOKUP(E154,PROYECTOS!$K$1:$M$32,3,0)</f>
        <v>2024003050072</v>
      </c>
      <c r="G154" s="202" t="s">
        <v>269</v>
      </c>
      <c r="H154" s="202" t="str">
        <f>VLOOKUP(Q154,PROYECTOS!$V$1:$W$32,2,0)</f>
        <v>050072</v>
      </c>
      <c r="I154" s="203">
        <v>17117120</v>
      </c>
      <c r="J154" s="204" t="s">
        <v>280</v>
      </c>
      <c r="K154" s="199" t="str">
        <f t="shared" ca="1" si="14"/>
        <v>CONTRATADO</v>
      </c>
      <c r="L154" s="204" t="s">
        <v>112</v>
      </c>
      <c r="M154" s="204" t="s">
        <v>113</v>
      </c>
      <c r="N154" s="205" t="s">
        <v>270</v>
      </c>
      <c r="O154" s="204">
        <f>VLOOKUP(N154,RUBROS[#All],3,0)</f>
        <v>78</v>
      </c>
      <c r="P154" s="199" t="str">
        <f>VLOOKUP(N154,RUBROS[#All],2,0)</f>
        <v xml:space="preserve">Capacitación para el sector del deporte, la recreación y la actividad física en el Departamento de   Antioquia - Servicios prestados a las empresas y servicios de producción </v>
      </c>
      <c r="Q154" s="199" t="str">
        <f t="shared" si="15"/>
        <v>72</v>
      </c>
      <c r="R154" s="199" t="str">
        <f t="shared" si="16"/>
        <v>0-205128</v>
      </c>
      <c r="S154" s="207">
        <v>8</v>
      </c>
      <c r="T154" s="208" t="s">
        <v>46</v>
      </c>
      <c r="U154" s="209" t="e">
        <f ca="1">_xlfn.XLOOKUP(PAA[[#This Row],[ITEM]],Contrato!A:A,Contrato!Q:Q,"",0)</f>
        <v>#NAME?</v>
      </c>
      <c r="V154" s="199" t="s">
        <v>47</v>
      </c>
      <c r="W154" s="199" t="s">
        <v>48</v>
      </c>
      <c r="X154" s="199" t="s">
        <v>48</v>
      </c>
      <c r="Y154" s="210" t="e">
        <f ca="1">_xlfn.XLOOKUP(PAA[[#This Row],[ITEM]],Contrato!A:A,Contrato!B:B,"",0)</f>
        <v>#NAME?</v>
      </c>
      <c r="Z154" s="199" t="e">
        <f ca="1">_xlfn.XLOOKUP(PAA[[#This Row],[ITEM]],Contrato!A:A,Contrato!G:G,"",0)</f>
        <v>#NAME?</v>
      </c>
      <c r="AA154" s="199" t="e">
        <f ca="1">_xlfn.XLOOKUP(PAA[[#This Row],[ITEM]],Contrato!A:A,Contrato!T:T,"",0)</f>
        <v>#NAME?</v>
      </c>
      <c r="AB154" s="210" t="e">
        <f ca="1">+MAX(PAA[[#This Row],[Comprometido Contrato]],)</f>
        <v>#NAME?</v>
      </c>
      <c r="AC154" s="210" t="str">
        <f t="shared" ca="1" si="17"/>
        <v/>
      </c>
      <c r="AD154" s="210" t="e">
        <f ca="1">+MAX(PAA[[#This Row],[Pago por Contrato]],)</f>
        <v>#NAME?</v>
      </c>
      <c r="AE154" s="210" t="str">
        <f t="shared" ca="1" si="18"/>
        <v/>
      </c>
      <c r="AF154" s="199" t="e">
        <f t="shared" ca="1" si="19"/>
        <v>#NAME?</v>
      </c>
      <c r="AG154" s="199">
        <f t="shared" si="20"/>
        <v>52010704</v>
      </c>
      <c r="AH154" s="199" t="e" cm="1">
        <f t="array" aca="1" ref="AH154" ca="1">_xlfn.XLOOKUP(PAA[[#This Row],[RCP-RUBRO]],COMPROMISOS_2025[[#All],[concatenado]],COMPROMISOS_2025[[#All],[Total pagado]],"",0)</f>
        <v>#NAME?</v>
      </c>
      <c r="AI154" s="199" t="e" cm="1">
        <f t="array" aca="1" ref="AI154" ca="1">_xlfn.XLOOKUP(PAA[[#This Row],[RCP-RUBRO]],COMPROMISOS_2025[[#All],[concatenado]],COMPROMISOS_2025[[#All],[Total Comprometido]],"",0)</f>
        <v>#NAME?</v>
      </c>
    </row>
    <row r="155" spans="1:35" s="50" customFormat="1" ht="42" hidden="1" customHeight="1" x14ac:dyDescent="0.25">
      <c r="A155" s="199">
        <v>114</v>
      </c>
      <c r="B155" s="212">
        <v>80111600</v>
      </c>
      <c r="C155" s="199" t="str">
        <f>VLOOKUP(PAA[[#This Row],[PROYECTO (formulado)2]],PROYECTOS!$G$1:$L$32,6,0)</f>
        <v>SUBGERENCIA DE FOMENTO Y DESARROLLO</v>
      </c>
      <c r="D155" s="199" t="str">
        <f>+IF(PAA[[#This Row],[UNIDAD DE CONTRATACION (formulado)]]="Subgerencia Administrativa y Financiera","FUNCIONAMIENTO","INVERSIÓN")</f>
        <v>INVERSIÓN</v>
      </c>
      <c r="E155" s="201" t="str">
        <f>VLOOKUP(Q155,PROYECTOS!$G$1:$K$32,5,0)</f>
        <v>Fortalecimiento de los juegos deportivos institucionales en los municipios del departamento de Antioquia</v>
      </c>
      <c r="F155" s="201">
        <f>VLOOKUP(E155,PROYECTOS!$K$1:$M$32,3,0)</f>
        <v>2024003050073</v>
      </c>
      <c r="G155" s="202" t="s">
        <v>271</v>
      </c>
      <c r="H155" s="202" t="str">
        <f>VLOOKUP(Q155,PROYECTOS!$V$1:$W$32,2,0)</f>
        <v>050081</v>
      </c>
      <c r="I155" s="203">
        <v>17117120</v>
      </c>
      <c r="J155" s="204" t="s">
        <v>280</v>
      </c>
      <c r="K155" s="199" t="str">
        <f t="shared" ca="1" si="14"/>
        <v>CONTRATADO</v>
      </c>
      <c r="L155" s="204" t="s">
        <v>112</v>
      </c>
      <c r="M155" s="204" t="s">
        <v>113</v>
      </c>
      <c r="N155" s="205" t="s">
        <v>272</v>
      </c>
      <c r="O155" s="204">
        <f>VLOOKUP(N155,RUBROS[#All],3,0)</f>
        <v>81</v>
      </c>
      <c r="P155" s="199" t="str">
        <f>VLOOKUP(N155,RUBROS[#All],2,0)</f>
        <v xml:space="preserve">Fortalecimiento de los juegos deportivos institucionales en los municipios del departamento de Antioquia - Servicios prestados a las empresas y servicios de producción </v>
      </c>
      <c r="Q155" s="199" t="str">
        <f t="shared" si="15"/>
        <v>73</v>
      </c>
      <c r="R155" s="199" t="str">
        <f t="shared" si="16"/>
        <v>0-205128</v>
      </c>
      <c r="S155" s="207">
        <v>8</v>
      </c>
      <c r="T155" s="208" t="s">
        <v>46</v>
      </c>
      <c r="U155" s="209" t="e">
        <f ca="1">_xlfn.XLOOKUP(PAA[[#This Row],[ITEM]],Contrato!A:A,Contrato!Q:Q,"",0)</f>
        <v>#NAME?</v>
      </c>
      <c r="V155" s="199" t="s">
        <v>47</v>
      </c>
      <c r="W155" s="199" t="s">
        <v>48</v>
      </c>
      <c r="X155" s="199" t="s">
        <v>48</v>
      </c>
      <c r="Y155" s="210" t="e">
        <f ca="1">_xlfn.XLOOKUP(PAA[[#This Row],[ITEM]],Contrato!A:A,Contrato!B:B,"",0)</f>
        <v>#NAME?</v>
      </c>
      <c r="Z155" s="199" t="e">
        <f ca="1">_xlfn.XLOOKUP(PAA[[#This Row],[ITEM]],Contrato!A:A,Contrato!G:G,"",0)</f>
        <v>#NAME?</v>
      </c>
      <c r="AA155" s="199" t="e">
        <f ca="1">_xlfn.XLOOKUP(PAA[[#This Row],[ITEM]],Contrato!A:A,Contrato!T:T,"",0)</f>
        <v>#NAME?</v>
      </c>
      <c r="AB155" s="210" t="e">
        <f ca="1">+MAX(PAA[[#This Row],[Comprometido Contrato]],)</f>
        <v>#NAME?</v>
      </c>
      <c r="AC155" s="210" t="str">
        <f t="shared" ca="1" si="17"/>
        <v/>
      </c>
      <c r="AD155" s="210" t="e">
        <f ca="1">+MAX(PAA[[#This Row],[Pago por Contrato]],)</f>
        <v>#NAME?</v>
      </c>
      <c r="AE155" s="210" t="str">
        <f t="shared" ca="1" si="18"/>
        <v/>
      </c>
      <c r="AF155" s="199" t="e">
        <f t="shared" ca="1" si="19"/>
        <v>#NAME?</v>
      </c>
      <c r="AG155" s="199">
        <f t="shared" si="20"/>
        <v>52010703</v>
      </c>
      <c r="AH155" s="199" t="e" cm="1">
        <f t="array" aca="1" ref="AH155" ca="1">_xlfn.XLOOKUP(PAA[[#This Row],[RCP-RUBRO]],COMPROMISOS_2025[[#All],[concatenado]],COMPROMISOS_2025[[#All],[Total pagado]],"",0)</f>
        <v>#NAME?</v>
      </c>
      <c r="AI155" s="199" t="e" cm="1">
        <f t="array" aca="1" ref="AI155" ca="1">_xlfn.XLOOKUP(PAA[[#This Row],[RCP-RUBRO]],COMPROMISOS_2025[[#All],[concatenado]],COMPROMISOS_2025[[#All],[Total Comprometido]],"",0)</f>
        <v>#NAME?</v>
      </c>
    </row>
    <row r="156" spans="1:35" s="50" customFormat="1" ht="42" hidden="1" customHeight="1" x14ac:dyDescent="0.25">
      <c r="A156" s="199">
        <v>114</v>
      </c>
      <c r="B156" s="212">
        <v>80111600</v>
      </c>
      <c r="C156" s="199" t="str">
        <f>VLOOKUP(PAA[[#This Row],[PROYECTO (formulado)2]],PROYECTOS!$G$1:$L$32,6,0)</f>
        <v>SUBGERENCIA DE FOMENTO Y DESARROLLO</v>
      </c>
      <c r="D156" s="199" t="str">
        <f>+IF(PAA[[#This Row],[UNIDAD DE CONTRATACION (formulado)]]="Subgerencia Administrativa y Financiera","FUNCIONAMIENTO","INVERSIÓN")</f>
        <v>INVERSIÓN</v>
      </c>
      <c r="E156" s="201" t="str">
        <f>VLOOKUP(Q156,PROYECTOS!$G$1:$K$32,5,0)</f>
        <v>Cofinanciación de dotación de implementación para el deporte la recreación y a la actividad física en el departamento de Antioquia</v>
      </c>
      <c r="F156" s="201">
        <f>VLOOKUP(E156,PROYECTOS!$K$1:$M$32,3,0)</f>
        <v>2024003050074</v>
      </c>
      <c r="G156" s="202" t="s">
        <v>273</v>
      </c>
      <c r="H156" s="202" t="str">
        <f>VLOOKUP(Q156,PROYECTOS!$V$1:$W$32,2,0)</f>
        <v>050073</v>
      </c>
      <c r="I156" s="203">
        <v>17117120</v>
      </c>
      <c r="J156" s="204" t="s">
        <v>280</v>
      </c>
      <c r="K156" s="199" t="str">
        <f t="shared" ca="1" si="14"/>
        <v>CONTRATADO</v>
      </c>
      <c r="L156" s="204" t="s">
        <v>112</v>
      </c>
      <c r="M156" s="204" t="s">
        <v>113</v>
      </c>
      <c r="N156" s="205" t="s">
        <v>274</v>
      </c>
      <c r="O156" s="204">
        <f>VLOOKUP(N156,RUBROS[#All],3,0)</f>
        <v>85</v>
      </c>
      <c r="P156" s="199" t="str">
        <f>VLOOKUP(N156,RUBROS[#All],2,0)</f>
        <v xml:space="preserve">Cofinanciación de dotación de implementación para el deporte la recreación y a la actividad física en el departamento de Antioquia - Servicios prestados a las empresas y servicios de producción </v>
      </c>
      <c r="Q156" s="199" t="str">
        <f t="shared" si="15"/>
        <v>74</v>
      </c>
      <c r="R156" s="199" t="str">
        <f t="shared" si="16"/>
        <v>0-101024</v>
      </c>
      <c r="S156" s="207">
        <v>8</v>
      </c>
      <c r="T156" s="208" t="s">
        <v>46</v>
      </c>
      <c r="U156" s="209" t="e">
        <f ca="1">_xlfn.XLOOKUP(PAA[[#This Row],[ITEM]],Contrato!A:A,Contrato!Q:Q,"",0)</f>
        <v>#NAME?</v>
      </c>
      <c r="V156" s="199" t="s">
        <v>47</v>
      </c>
      <c r="W156" s="199" t="s">
        <v>48</v>
      </c>
      <c r="X156" s="199" t="s">
        <v>48</v>
      </c>
      <c r="Y156" s="210" t="e">
        <f ca="1">_xlfn.XLOOKUP(PAA[[#This Row],[ITEM]],Contrato!A:A,Contrato!B:B,"",0)</f>
        <v>#NAME?</v>
      </c>
      <c r="Z156" s="199" t="e">
        <f ca="1">_xlfn.XLOOKUP(PAA[[#This Row],[ITEM]],Contrato!A:A,Contrato!G:G,"",0)</f>
        <v>#NAME?</v>
      </c>
      <c r="AA156" s="199" t="e">
        <f ca="1">_xlfn.XLOOKUP(PAA[[#This Row],[ITEM]],Contrato!A:A,Contrato!T:T,"",0)</f>
        <v>#NAME?</v>
      </c>
      <c r="AB156" s="210" t="e">
        <f ca="1">+MAX(PAA[[#This Row],[Comprometido Contrato]],)</f>
        <v>#NAME?</v>
      </c>
      <c r="AC156" s="210" t="str">
        <f t="shared" ca="1" si="17"/>
        <v/>
      </c>
      <c r="AD156" s="210" t="e">
        <f ca="1">+MAX(PAA[[#This Row],[Pago por Contrato]],)</f>
        <v>#NAME?</v>
      </c>
      <c r="AE156" s="210" t="str">
        <f t="shared" ca="1" si="18"/>
        <v/>
      </c>
      <c r="AF156" s="199" t="e">
        <f t="shared" ca="1" si="19"/>
        <v>#NAME?</v>
      </c>
      <c r="AG156" s="199">
        <f t="shared" si="20"/>
        <v>52010701</v>
      </c>
      <c r="AH156" s="199" t="e" cm="1">
        <f t="array" aca="1" ref="AH156" ca="1">_xlfn.XLOOKUP(PAA[[#This Row],[RCP-RUBRO]],COMPROMISOS_2025[[#All],[concatenado]],COMPROMISOS_2025[[#All],[Total pagado]],"",0)</f>
        <v>#NAME?</v>
      </c>
      <c r="AI156" s="199" t="e" cm="1">
        <f t="array" aca="1" ref="AI156" ca="1">_xlfn.XLOOKUP(PAA[[#This Row],[RCP-RUBRO]],COMPROMISOS_2025[[#All],[concatenado]],COMPROMISOS_2025[[#All],[Total Comprometido]],"",0)</f>
        <v>#NAME?</v>
      </c>
    </row>
    <row r="157" spans="1:35" s="50" customFormat="1" ht="42" hidden="1" customHeight="1" x14ac:dyDescent="0.25">
      <c r="A157" s="199">
        <v>115</v>
      </c>
      <c r="B157" s="200">
        <v>80111600</v>
      </c>
      <c r="C157" s="199" t="str">
        <f>VLOOKUP(PAA[[#This Row],[PROYECTO (formulado)2]],PROYECTOS!$G$1:$L$32,6,0)</f>
        <v>SUBGERENCIA DE FOMENTO Y DESARROLLO</v>
      </c>
      <c r="D157" s="199" t="str">
        <f>+IF(PAA[[#This Row],[UNIDAD DE CONTRATACION (formulado)]]="Subgerencia Administrativa y Financiera","FUNCIONAMIENTO","INVERSIÓN")</f>
        <v>INVERSIÓN</v>
      </c>
      <c r="E157" s="201" t="str">
        <f>VLOOKUP(Q157,PROYECTOS!$G$1:$K$32,5,0)</f>
        <v>Desarrollo y promoción del deporte formativo, la recreación y la actividad física en el departamento Antioquia</v>
      </c>
      <c r="F157" s="201">
        <f>VLOOKUP(E157,PROYECTOS!$K$1:$M$32,3,0)</f>
        <v>2024003050101</v>
      </c>
      <c r="G157" s="202" t="s">
        <v>264</v>
      </c>
      <c r="H157" s="202" t="str">
        <f>VLOOKUP(Q157,PROYECTOS!$V$1:$W$32,2,0)</f>
        <v>050075</v>
      </c>
      <c r="I157" s="203">
        <v>1773154</v>
      </c>
      <c r="J157" s="204" t="s">
        <v>281</v>
      </c>
      <c r="K157" s="199" t="str">
        <f t="shared" ca="1" si="14"/>
        <v>CONTRATADO</v>
      </c>
      <c r="L157" s="204" t="s">
        <v>112</v>
      </c>
      <c r="M157" s="204" t="s">
        <v>113</v>
      </c>
      <c r="N157" s="205" t="s">
        <v>266</v>
      </c>
      <c r="O157" s="204">
        <f>VLOOKUP(N157,RUBROS[#All],3,0)</f>
        <v>70</v>
      </c>
      <c r="P157" s="206" t="str">
        <f>VLOOKUP(N157,RUBROS[#All],2,0)</f>
        <v xml:space="preserve">Desarrollo y promoción del deporte formativo, la recreación y la actividad física en el departamento Antioquia - Servicios prestados a las empresas y servicios de producción </v>
      </c>
      <c r="Q157" s="199" t="str">
        <f t="shared" si="15"/>
        <v>01</v>
      </c>
      <c r="R157" s="199" t="str">
        <f t="shared" si="16"/>
        <v>0-205128</v>
      </c>
      <c r="S157" s="207">
        <v>11.5</v>
      </c>
      <c r="T157" s="208" t="s">
        <v>46</v>
      </c>
      <c r="U157" s="209" t="e">
        <f ca="1">_xlfn.XLOOKUP(PAA[[#This Row],[ITEM]],Contrato!A:A,Contrato!Q:Q,"",0)</f>
        <v>#NAME?</v>
      </c>
      <c r="V157" s="199" t="s">
        <v>47</v>
      </c>
      <c r="W157" s="199" t="s">
        <v>48</v>
      </c>
      <c r="X157" s="199" t="s">
        <v>48</v>
      </c>
      <c r="Y157" s="210" t="e">
        <f ca="1">_xlfn.XLOOKUP(PAA[[#This Row],[ITEM]],Contrato!A:A,Contrato!B:B,"",0)</f>
        <v>#NAME?</v>
      </c>
      <c r="Z157" s="199" t="e">
        <f ca="1">_xlfn.XLOOKUP(PAA[[#This Row],[ITEM]],Contrato!A:A,Contrato!G:G,"",0)</f>
        <v>#NAME?</v>
      </c>
      <c r="AA157" s="199" t="e">
        <f ca="1">_xlfn.XLOOKUP(PAA[[#This Row],[ITEM]],Contrato!A:A,Contrato!T:T,"",0)</f>
        <v>#NAME?</v>
      </c>
      <c r="AB157" s="210" t="e">
        <f ca="1">+MAX(PAA[[#This Row],[Comprometido Contrato]],)</f>
        <v>#NAME?</v>
      </c>
      <c r="AC157" s="210" t="str">
        <f t="shared" ca="1" si="17"/>
        <v/>
      </c>
      <c r="AD157" s="210" t="e">
        <f ca="1">+MAX(PAA[[#This Row],[Pago por Contrato]],)</f>
        <v>#NAME?</v>
      </c>
      <c r="AE157" s="210" t="str">
        <f t="shared" ca="1" si="18"/>
        <v/>
      </c>
      <c r="AF157" s="199" t="e">
        <f t="shared" ca="1" si="19"/>
        <v>#NAME?</v>
      </c>
      <c r="AG157" s="199">
        <f t="shared" si="20"/>
        <v>52010702</v>
      </c>
      <c r="AH157" s="199" t="e" cm="1">
        <f t="array" aca="1" ref="AH157" ca="1">_xlfn.XLOOKUP(PAA[[#This Row],[RCP-RUBRO]],COMPROMISOS_2025[[#All],[concatenado]],COMPROMISOS_2025[[#All],[Total pagado]],"",0)</f>
        <v>#NAME?</v>
      </c>
      <c r="AI157" s="199" t="e" cm="1">
        <f t="array" aca="1" ref="AI157" ca="1">_xlfn.XLOOKUP(PAA[[#This Row],[RCP-RUBRO]],COMPROMISOS_2025[[#All],[concatenado]],COMPROMISOS_2025[[#All],[Total Comprometido]],"",0)</f>
        <v>#NAME?</v>
      </c>
    </row>
    <row r="158" spans="1:35" s="50" customFormat="1" ht="42" hidden="1" customHeight="1" x14ac:dyDescent="0.25">
      <c r="A158" s="199">
        <v>115</v>
      </c>
      <c r="B158" s="200">
        <v>80111600</v>
      </c>
      <c r="C158" s="199" t="str">
        <f>VLOOKUP(PAA[[#This Row],[PROYECTO (formulado)2]],PROYECTOS!$G$1:$L$32,6,0)</f>
        <v>SUBGERENCIA DE FOMENTO Y DESARROLLO</v>
      </c>
      <c r="D158" s="199" t="str">
        <f>+IF(PAA[[#This Row],[UNIDAD DE CONTRATACION (formulado)]]="Subgerencia Administrativa y Financiera","FUNCIONAMIENTO","INVERSIÓN")</f>
        <v>INVERSIÓN</v>
      </c>
      <c r="E158" s="201" t="str">
        <f>VLOOKUP(Q158,PROYECTOS!$G$1:$K$32,5,0)</f>
        <v>Asesoria y acompañamiento institucional para el deporte formativo, la recreación y la actividad física en el departamento de Antioquia</v>
      </c>
      <c r="F158" s="201">
        <f>VLOOKUP(E158,PROYECTOS!$K$1:$M$32,3,0)</f>
        <v>2024003050100</v>
      </c>
      <c r="G158" s="202" t="s">
        <v>267</v>
      </c>
      <c r="H158" s="202" t="str">
        <f>VLOOKUP(Q158,PROYECTOS!$V$1:$W$32,2,0)</f>
        <v>050071</v>
      </c>
      <c r="I158" s="203">
        <v>1773154</v>
      </c>
      <c r="J158" s="204" t="s">
        <v>281</v>
      </c>
      <c r="K158" s="199" t="str">
        <f t="shared" ca="1" si="14"/>
        <v>CONTRATADO</v>
      </c>
      <c r="L158" s="204" t="s">
        <v>112</v>
      </c>
      <c r="M158" s="204" t="s">
        <v>113</v>
      </c>
      <c r="N158" s="205" t="s">
        <v>268</v>
      </c>
      <c r="O158" s="204">
        <f>VLOOKUP(N158,RUBROS[#All],3,0)</f>
        <v>74</v>
      </c>
      <c r="P158" s="206" t="str">
        <f>VLOOKUP(N158,RUBROS[#All],2,0)</f>
        <v xml:space="preserve">Asesoria y acompañamiento institucional para el deporte formativo, la recreación y la actividad física en el departamento de Antioquia. - Servicios prestados a las empresas y servicios de producción </v>
      </c>
      <c r="Q158" s="199" t="str">
        <f t="shared" si="15"/>
        <v>10</v>
      </c>
      <c r="R158" s="199" t="str">
        <f t="shared" si="16"/>
        <v>0-101024</v>
      </c>
      <c r="S158" s="207">
        <v>11.5</v>
      </c>
      <c r="T158" s="208" t="s">
        <v>46</v>
      </c>
      <c r="U158" s="209" t="e">
        <f ca="1">_xlfn.XLOOKUP(PAA[[#This Row],[ITEM]],Contrato!A:A,Contrato!Q:Q,"",0)</f>
        <v>#NAME?</v>
      </c>
      <c r="V158" s="199" t="s">
        <v>47</v>
      </c>
      <c r="W158" s="199" t="s">
        <v>48</v>
      </c>
      <c r="X158" s="199" t="s">
        <v>48</v>
      </c>
      <c r="Y158" s="210" t="e">
        <f ca="1">_xlfn.XLOOKUP(PAA[[#This Row],[ITEM]],Contrato!A:A,Contrato!B:B,"",0)</f>
        <v>#NAME?</v>
      </c>
      <c r="Z158" s="199" t="e">
        <f ca="1">_xlfn.XLOOKUP(PAA[[#This Row],[ITEM]],Contrato!A:A,Contrato!G:G,"",0)</f>
        <v>#NAME?</v>
      </c>
      <c r="AA158" s="199" t="e">
        <f ca="1">_xlfn.XLOOKUP(PAA[[#This Row],[ITEM]],Contrato!A:A,Contrato!T:T,"",0)</f>
        <v>#NAME?</v>
      </c>
      <c r="AB158" s="210" t="e">
        <f ca="1">+MAX(PAA[[#This Row],[Comprometido Contrato]],)</f>
        <v>#NAME?</v>
      </c>
      <c r="AC158" s="210" t="str">
        <f t="shared" ca="1" si="17"/>
        <v/>
      </c>
      <c r="AD158" s="210" t="e">
        <f ca="1">+MAX(PAA[[#This Row],[Pago por Contrato]],)</f>
        <v>#NAME?</v>
      </c>
      <c r="AE158" s="210" t="str">
        <f t="shared" ca="1" si="18"/>
        <v/>
      </c>
      <c r="AF158" s="199" t="e">
        <f t="shared" ca="1" si="19"/>
        <v>#NAME?</v>
      </c>
      <c r="AG158" s="199">
        <f t="shared" si="20"/>
        <v>52010705</v>
      </c>
      <c r="AH158" s="199" t="e" cm="1">
        <f t="array" aca="1" ref="AH158" ca="1">_xlfn.XLOOKUP(PAA[[#This Row],[RCP-RUBRO]],COMPROMISOS_2025[[#All],[concatenado]],COMPROMISOS_2025[[#All],[Total pagado]],"",0)</f>
        <v>#NAME?</v>
      </c>
      <c r="AI158" s="199" t="e" cm="1">
        <f t="array" aca="1" ref="AI158" ca="1">_xlfn.XLOOKUP(PAA[[#This Row],[RCP-RUBRO]],COMPROMISOS_2025[[#All],[concatenado]],COMPROMISOS_2025[[#All],[Total Comprometido]],"",0)</f>
        <v>#NAME?</v>
      </c>
    </row>
    <row r="159" spans="1:35" s="50" customFormat="1" ht="42" hidden="1" customHeight="1" x14ac:dyDescent="0.25">
      <c r="A159" s="199">
        <v>115</v>
      </c>
      <c r="B159" s="200">
        <v>80111600</v>
      </c>
      <c r="C159" s="199" t="str">
        <f>VLOOKUP(PAA[[#This Row],[PROYECTO (formulado)2]],PROYECTOS!$G$1:$L$32,6,0)</f>
        <v>SUBGERENCIA DE FOMENTO Y DESARROLLO</v>
      </c>
      <c r="D159" s="199" t="str">
        <f>+IF(PAA[[#This Row],[UNIDAD DE CONTRATACION (formulado)]]="Subgerencia Administrativa y Financiera","FUNCIONAMIENTO","INVERSIÓN")</f>
        <v>INVERSIÓN</v>
      </c>
      <c r="E159" s="201" t="str">
        <f>VLOOKUP(Q159,PROYECTOS!$G$1:$K$32,5,0)</f>
        <v>Capacitación para el sector del deporte, la recreación y la actividad física en el Departamento de   Antioquia</v>
      </c>
      <c r="F159" s="201">
        <f>VLOOKUP(E159,PROYECTOS!$K$1:$M$32,3,0)</f>
        <v>2024003050072</v>
      </c>
      <c r="G159" s="202" t="s">
        <v>269</v>
      </c>
      <c r="H159" s="202" t="str">
        <f>VLOOKUP(Q159,PROYECTOS!$V$1:$W$32,2,0)</f>
        <v>050072</v>
      </c>
      <c r="I159" s="203">
        <v>1773143</v>
      </c>
      <c r="J159" s="204" t="s">
        <v>281</v>
      </c>
      <c r="K159" s="199" t="str">
        <f t="shared" ca="1" si="14"/>
        <v>CONTRATADO</v>
      </c>
      <c r="L159" s="204" t="s">
        <v>112</v>
      </c>
      <c r="M159" s="204" t="s">
        <v>113</v>
      </c>
      <c r="N159" s="205" t="s">
        <v>270</v>
      </c>
      <c r="O159" s="204">
        <f>VLOOKUP(N159,RUBROS[#All],3,0)</f>
        <v>78</v>
      </c>
      <c r="P159" s="206" t="str">
        <f>VLOOKUP(N159,RUBROS[#All],2,0)</f>
        <v xml:space="preserve">Capacitación para el sector del deporte, la recreación y la actividad física en el Departamento de   Antioquia - Servicios prestados a las empresas y servicios de producción </v>
      </c>
      <c r="Q159" s="199" t="str">
        <f t="shared" si="15"/>
        <v>72</v>
      </c>
      <c r="R159" s="199" t="str">
        <f t="shared" si="16"/>
        <v>0-205128</v>
      </c>
      <c r="S159" s="207">
        <v>11.5</v>
      </c>
      <c r="T159" s="208" t="s">
        <v>46</v>
      </c>
      <c r="U159" s="209" t="e">
        <f ca="1">_xlfn.XLOOKUP(PAA[[#This Row],[ITEM]],Contrato!A:A,Contrato!Q:Q,"",0)</f>
        <v>#NAME?</v>
      </c>
      <c r="V159" s="199" t="s">
        <v>47</v>
      </c>
      <c r="W159" s="199" t="s">
        <v>48</v>
      </c>
      <c r="X159" s="199" t="s">
        <v>48</v>
      </c>
      <c r="Y159" s="210" t="e">
        <f ca="1">_xlfn.XLOOKUP(PAA[[#This Row],[ITEM]],Contrato!A:A,Contrato!B:B,"",0)</f>
        <v>#NAME?</v>
      </c>
      <c r="Z159" s="199" t="e">
        <f ca="1">_xlfn.XLOOKUP(PAA[[#This Row],[ITEM]],Contrato!A:A,Contrato!G:G,"",0)</f>
        <v>#NAME?</v>
      </c>
      <c r="AA159" s="199" t="e">
        <f ca="1">_xlfn.XLOOKUP(PAA[[#This Row],[ITEM]],Contrato!A:A,Contrato!T:T,"",0)</f>
        <v>#NAME?</v>
      </c>
      <c r="AB159" s="210" t="e">
        <f ca="1">+MAX(PAA[[#This Row],[Comprometido Contrato]],)</f>
        <v>#NAME?</v>
      </c>
      <c r="AC159" s="210" t="str">
        <f t="shared" ca="1" si="17"/>
        <v/>
      </c>
      <c r="AD159" s="210" t="e">
        <f ca="1">+MAX(PAA[[#This Row],[Pago por Contrato]],)</f>
        <v>#NAME?</v>
      </c>
      <c r="AE159" s="210" t="str">
        <f t="shared" ca="1" si="18"/>
        <v/>
      </c>
      <c r="AF159" s="199" t="e">
        <f t="shared" ca="1" si="19"/>
        <v>#NAME?</v>
      </c>
      <c r="AG159" s="199">
        <f t="shared" si="20"/>
        <v>52010704</v>
      </c>
      <c r="AH159" s="199" t="e" cm="1">
        <f t="array" aca="1" ref="AH159" ca="1">_xlfn.XLOOKUP(PAA[[#This Row],[RCP-RUBRO]],COMPROMISOS_2025[[#All],[concatenado]],COMPROMISOS_2025[[#All],[Total pagado]],"",0)</f>
        <v>#NAME?</v>
      </c>
      <c r="AI159" s="199" t="e" cm="1">
        <f t="array" aca="1" ref="AI159" ca="1">_xlfn.XLOOKUP(PAA[[#This Row],[RCP-RUBRO]],COMPROMISOS_2025[[#All],[concatenado]],COMPROMISOS_2025[[#All],[Total Comprometido]],"",0)</f>
        <v>#NAME?</v>
      </c>
    </row>
    <row r="160" spans="1:35" s="50" customFormat="1" ht="42" hidden="1" customHeight="1" x14ac:dyDescent="0.25">
      <c r="A160" s="199">
        <v>115</v>
      </c>
      <c r="B160" s="200">
        <v>80111600</v>
      </c>
      <c r="C160" s="199" t="str">
        <f>VLOOKUP(PAA[[#This Row],[PROYECTO (formulado)2]],PROYECTOS!$G$1:$L$32,6,0)</f>
        <v>SUBGERENCIA DE FOMENTO Y DESARROLLO</v>
      </c>
      <c r="D160" s="199" t="str">
        <f>+IF(PAA[[#This Row],[UNIDAD DE CONTRATACION (formulado)]]="Subgerencia Administrativa y Financiera","FUNCIONAMIENTO","INVERSIÓN")</f>
        <v>INVERSIÓN</v>
      </c>
      <c r="E160" s="201" t="str">
        <f>VLOOKUP(Q160,PROYECTOS!$G$1:$K$32,5,0)</f>
        <v>Fortalecimiento de los juegos deportivos institucionales en los municipios del departamento de Antioquia</v>
      </c>
      <c r="F160" s="201">
        <f>VLOOKUP(E160,PROYECTOS!$K$1:$M$32,3,0)</f>
        <v>2024003050073</v>
      </c>
      <c r="G160" s="202" t="s">
        <v>271</v>
      </c>
      <c r="H160" s="202" t="str">
        <f>VLOOKUP(Q160,PROYECTOS!$V$1:$W$32,2,0)</f>
        <v>050081</v>
      </c>
      <c r="I160" s="203">
        <v>1773154</v>
      </c>
      <c r="J160" s="204" t="s">
        <v>281</v>
      </c>
      <c r="K160" s="199" t="str">
        <f t="shared" ca="1" si="14"/>
        <v>CONTRATADO</v>
      </c>
      <c r="L160" s="204" t="s">
        <v>112</v>
      </c>
      <c r="M160" s="204" t="s">
        <v>113</v>
      </c>
      <c r="N160" s="205" t="s">
        <v>272</v>
      </c>
      <c r="O160" s="204">
        <f>VLOOKUP(N160,RUBROS[#All],3,0)</f>
        <v>81</v>
      </c>
      <c r="P160" s="206" t="str">
        <f>VLOOKUP(N160,RUBROS[#All],2,0)</f>
        <v xml:space="preserve">Fortalecimiento de los juegos deportivos institucionales en los municipios del departamento de Antioquia - Servicios prestados a las empresas y servicios de producción </v>
      </c>
      <c r="Q160" s="199" t="str">
        <f t="shared" si="15"/>
        <v>73</v>
      </c>
      <c r="R160" s="199" t="str">
        <f t="shared" si="16"/>
        <v>0-205128</v>
      </c>
      <c r="S160" s="207">
        <v>11.5</v>
      </c>
      <c r="T160" s="208" t="s">
        <v>46</v>
      </c>
      <c r="U160" s="209" t="e">
        <f ca="1">_xlfn.XLOOKUP(PAA[[#This Row],[ITEM]],Contrato!A:A,Contrato!Q:Q,"",0)</f>
        <v>#NAME?</v>
      </c>
      <c r="V160" s="199" t="s">
        <v>47</v>
      </c>
      <c r="W160" s="199" t="s">
        <v>48</v>
      </c>
      <c r="X160" s="199" t="s">
        <v>48</v>
      </c>
      <c r="Y160" s="210" t="e">
        <f ca="1">_xlfn.XLOOKUP(PAA[[#This Row],[ITEM]],Contrato!A:A,Contrato!B:B,"",0)</f>
        <v>#NAME?</v>
      </c>
      <c r="Z160" s="199" t="e">
        <f ca="1">_xlfn.XLOOKUP(PAA[[#This Row],[ITEM]],Contrato!A:A,Contrato!G:G,"",0)</f>
        <v>#NAME?</v>
      </c>
      <c r="AA160" s="199" t="e">
        <f ca="1">_xlfn.XLOOKUP(PAA[[#This Row],[ITEM]],Contrato!A:A,Contrato!T:T,"",0)</f>
        <v>#NAME?</v>
      </c>
      <c r="AB160" s="210" t="e">
        <f ca="1">+MAX(PAA[[#This Row],[Comprometido Contrato]],)</f>
        <v>#NAME?</v>
      </c>
      <c r="AC160" s="210" t="str">
        <f t="shared" ca="1" si="17"/>
        <v/>
      </c>
      <c r="AD160" s="210" t="e">
        <f ca="1">+MAX(PAA[[#This Row],[Pago por Contrato]],)</f>
        <v>#NAME?</v>
      </c>
      <c r="AE160" s="210" t="str">
        <f t="shared" ca="1" si="18"/>
        <v/>
      </c>
      <c r="AF160" s="199" t="e">
        <f t="shared" ca="1" si="19"/>
        <v>#NAME?</v>
      </c>
      <c r="AG160" s="199">
        <f t="shared" si="20"/>
        <v>52010703</v>
      </c>
      <c r="AH160" s="199" t="e" cm="1">
        <f t="array" aca="1" ref="AH160" ca="1">_xlfn.XLOOKUP(PAA[[#This Row],[RCP-RUBRO]],COMPROMISOS_2025[[#All],[concatenado]],COMPROMISOS_2025[[#All],[Total pagado]],"",0)</f>
        <v>#NAME?</v>
      </c>
      <c r="AI160" s="199" t="e" cm="1">
        <f t="array" aca="1" ref="AI160" ca="1">_xlfn.XLOOKUP(PAA[[#This Row],[RCP-RUBRO]],COMPROMISOS_2025[[#All],[concatenado]],COMPROMISOS_2025[[#All],[Total Comprometido]],"",0)</f>
        <v>#NAME?</v>
      </c>
    </row>
    <row r="161" spans="1:35" s="50" customFormat="1" ht="42" hidden="1" customHeight="1" x14ac:dyDescent="0.25">
      <c r="A161" s="199">
        <v>115</v>
      </c>
      <c r="B161" s="200">
        <v>80111600</v>
      </c>
      <c r="C161" s="199" t="str">
        <f>VLOOKUP(PAA[[#This Row],[PROYECTO (formulado)2]],PROYECTOS!$G$1:$L$32,6,0)</f>
        <v>SUBGERENCIA DE FOMENTO Y DESARROLLO</v>
      </c>
      <c r="D161" s="199" t="str">
        <f>+IF(PAA[[#This Row],[UNIDAD DE CONTRATACION (formulado)]]="Subgerencia Administrativa y Financiera","FUNCIONAMIENTO","INVERSIÓN")</f>
        <v>INVERSIÓN</v>
      </c>
      <c r="E161" s="201" t="str">
        <f>VLOOKUP(Q161,PROYECTOS!$G$1:$K$32,5,0)</f>
        <v>Cofinanciación de dotación de implementación para el deporte la recreación y a la actividad física en el departamento de Antioquia</v>
      </c>
      <c r="F161" s="201">
        <f>VLOOKUP(E161,PROYECTOS!$K$1:$M$32,3,0)</f>
        <v>2024003050074</v>
      </c>
      <c r="G161" s="202" t="s">
        <v>273</v>
      </c>
      <c r="H161" s="202" t="str">
        <f>VLOOKUP(Q161,PROYECTOS!$V$1:$W$32,2,0)</f>
        <v>050073</v>
      </c>
      <c r="I161" s="203">
        <v>1773154</v>
      </c>
      <c r="J161" s="204" t="s">
        <v>281</v>
      </c>
      <c r="K161" s="199" t="str">
        <f t="shared" ca="1" si="14"/>
        <v>CONTRATADO</v>
      </c>
      <c r="L161" s="199" t="s">
        <v>112</v>
      </c>
      <c r="M161" s="204" t="s">
        <v>113</v>
      </c>
      <c r="N161" s="205" t="s">
        <v>274</v>
      </c>
      <c r="O161" s="204">
        <f>VLOOKUP(N161,RUBROS[#All],3,0)</f>
        <v>85</v>
      </c>
      <c r="P161" s="206" t="str">
        <f>VLOOKUP(N161,RUBROS[#All],2,0)</f>
        <v xml:space="preserve">Cofinanciación de dotación de implementación para el deporte la recreación y a la actividad física en el departamento de Antioquia - Servicios prestados a las empresas y servicios de producción </v>
      </c>
      <c r="Q161" s="199" t="str">
        <f t="shared" si="15"/>
        <v>74</v>
      </c>
      <c r="R161" s="199" t="str">
        <f t="shared" si="16"/>
        <v>0-101024</v>
      </c>
      <c r="S161" s="207">
        <v>11.5</v>
      </c>
      <c r="T161" s="208" t="s">
        <v>46</v>
      </c>
      <c r="U161" s="209" t="e">
        <f ca="1">_xlfn.XLOOKUP(PAA[[#This Row],[ITEM]],Contrato!A:A,Contrato!Q:Q,"",0)</f>
        <v>#NAME?</v>
      </c>
      <c r="V161" s="199" t="s">
        <v>47</v>
      </c>
      <c r="W161" s="199" t="s">
        <v>48</v>
      </c>
      <c r="X161" s="199" t="s">
        <v>48</v>
      </c>
      <c r="Y161" s="210" t="e">
        <f ca="1">_xlfn.XLOOKUP(PAA[[#This Row],[ITEM]],Contrato!A:A,Contrato!B:B,"",0)</f>
        <v>#NAME?</v>
      </c>
      <c r="Z161" s="199" t="e">
        <f ca="1">_xlfn.XLOOKUP(PAA[[#This Row],[ITEM]],Contrato!A:A,Contrato!G:G,"",0)</f>
        <v>#NAME?</v>
      </c>
      <c r="AA161" s="199" t="e">
        <f ca="1">_xlfn.XLOOKUP(PAA[[#This Row],[ITEM]],Contrato!A:A,Contrato!T:T,"",0)</f>
        <v>#NAME?</v>
      </c>
      <c r="AB161" s="210" t="e">
        <f ca="1">+MAX(PAA[[#This Row],[Comprometido Contrato]],)</f>
        <v>#NAME?</v>
      </c>
      <c r="AC161" s="210" t="str">
        <f t="shared" ca="1" si="17"/>
        <v/>
      </c>
      <c r="AD161" s="210" t="e">
        <f ca="1">+MAX(PAA[[#This Row],[Pago por Contrato]],)</f>
        <v>#NAME?</v>
      </c>
      <c r="AE161" s="210" t="str">
        <f t="shared" ca="1" si="18"/>
        <v/>
      </c>
      <c r="AF161" s="199" t="e">
        <f t="shared" ca="1" si="19"/>
        <v>#NAME?</v>
      </c>
      <c r="AG161" s="199">
        <f t="shared" si="20"/>
        <v>52010701</v>
      </c>
      <c r="AH161" s="199" t="e" cm="1">
        <f t="array" aca="1" ref="AH161" ca="1">_xlfn.XLOOKUP(PAA[[#This Row],[RCP-RUBRO]],COMPROMISOS_2025[[#All],[concatenado]],COMPROMISOS_2025[[#All],[Total pagado]],"",0)</f>
        <v>#NAME?</v>
      </c>
      <c r="AI161" s="199" t="e" cm="1">
        <f t="array" aca="1" ref="AI161" ca="1">_xlfn.XLOOKUP(PAA[[#This Row],[RCP-RUBRO]],COMPROMISOS_2025[[#All],[concatenado]],COMPROMISOS_2025[[#All],[Total Comprometido]],"",0)</f>
        <v>#NAME?</v>
      </c>
    </row>
    <row r="162" spans="1:35" s="50" customFormat="1" ht="42" hidden="1" customHeight="1" x14ac:dyDescent="0.25">
      <c r="A162" s="57">
        <v>116</v>
      </c>
      <c r="B162" s="186">
        <v>80111600</v>
      </c>
      <c r="C162" s="57" t="str">
        <f>VLOOKUP(PAA[[#This Row],[PROYECTO (formulado)2]],PROYECTOS!$G$1:$L$32,6,0)</f>
        <v>SUBGERENCIA DE FOMENTO Y DESARROLLO</v>
      </c>
      <c r="D162" s="57" t="str">
        <f>+IF(PAA[[#This Row],[UNIDAD DE CONTRATACION (formulado)]]="Subgerencia Administrativa y Financiera","FUNCIONAMIENTO","INVERSIÓN")</f>
        <v>INVERSIÓN</v>
      </c>
      <c r="E162" s="153" t="str">
        <f>VLOOKUP(Q162,PROYECTOS!$G$1:$K$32,5,0)</f>
        <v>Desarrollo y promoción del deporte formativo, la recreación y la actividad física en el departamento Antioquia</v>
      </c>
      <c r="F162" s="153">
        <f>VLOOKUP(E162,PROYECTOS!$K$1:$M$32,3,0)</f>
        <v>2024003050101</v>
      </c>
      <c r="G162" s="154" t="s">
        <v>264</v>
      </c>
      <c r="H162" s="154" t="str">
        <f>VLOOKUP(Q162,PROYECTOS!$V$1:$W$32,2,0)</f>
        <v>050075</v>
      </c>
      <c r="I162" s="143">
        <v>15317120</v>
      </c>
      <c r="J162" s="155" t="s">
        <v>280</v>
      </c>
      <c r="K162" s="57" t="str">
        <f t="shared" ca="1" si="14"/>
        <v>CONTRATADO</v>
      </c>
      <c r="L162" s="57" t="s">
        <v>112</v>
      </c>
      <c r="M162" s="155" t="s">
        <v>113</v>
      </c>
      <c r="N162" s="142" t="s">
        <v>266</v>
      </c>
      <c r="O162" s="155">
        <f>VLOOKUP(N162,RUBROS[#All],3,0)</f>
        <v>70</v>
      </c>
      <c r="P162" s="156" t="str">
        <f>VLOOKUP(N162,RUBROS[#All],2,0)</f>
        <v xml:space="preserve">Desarrollo y promoción del deporte formativo, la recreación y la actividad física en el departamento Antioquia - Servicios prestados a las empresas y servicios de producción </v>
      </c>
      <c r="Q162" s="57" t="str">
        <f t="shared" si="15"/>
        <v>01</v>
      </c>
      <c r="R162" s="57" t="str">
        <f t="shared" si="16"/>
        <v>0-205128</v>
      </c>
      <c r="S162" s="152">
        <v>8</v>
      </c>
      <c r="T162" s="157" t="s">
        <v>46</v>
      </c>
      <c r="U162" s="162" t="e">
        <f ca="1">_xlfn.XLOOKUP(PAA[[#This Row],[ITEM]],Contrato!A:A,Contrato!Q:Q,"",0)</f>
        <v>#NAME?</v>
      </c>
      <c r="V162" s="57" t="s">
        <v>47</v>
      </c>
      <c r="W162" s="57" t="s">
        <v>48</v>
      </c>
      <c r="X162" s="57" t="s">
        <v>48</v>
      </c>
      <c r="Y162" s="58" t="e">
        <f ca="1">_xlfn.XLOOKUP(PAA[[#This Row],[ITEM]],Contrato!A:A,Contrato!B:B,"",0)</f>
        <v>#NAME?</v>
      </c>
      <c r="Z162" s="57" t="e">
        <f ca="1">_xlfn.XLOOKUP(PAA[[#This Row],[ITEM]],Contrato!A:A,Contrato!G:G,"",0)</f>
        <v>#NAME?</v>
      </c>
      <c r="AA162" s="57" t="e">
        <f ca="1">_xlfn.XLOOKUP(PAA[[#This Row],[ITEM]],Contrato!A:A,Contrato!T:T,"",0)</f>
        <v>#NAME?</v>
      </c>
      <c r="AB162" s="58" t="e">
        <f ca="1">+MAX(PAA[[#This Row],[Comprometido Contrato]],)</f>
        <v>#NAME?</v>
      </c>
      <c r="AC162" s="58" t="str">
        <f t="shared" ca="1" si="17"/>
        <v/>
      </c>
      <c r="AD162" s="58" t="e">
        <f ca="1">+MAX(PAA[[#This Row],[Pago por Contrato]],)</f>
        <v>#NAME?</v>
      </c>
      <c r="AE162" s="58" t="str">
        <f t="shared" ca="1" si="18"/>
        <v/>
      </c>
      <c r="AF162" s="57" t="e">
        <f t="shared" ca="1" si="19"/>
        <v>#NAME?</v>
      </c>
      <c r="AG162" s="57">
        <f t="shared" si="20"/>
        <v>52010702</v>
      </c>
      <c r="AH162" s="57" t="e" cm="1">
        <f t="array" aca="1" ref="AH162" ca="1">_xlfn.XLOOKUP(PAA[[#This Row],[RCP-RUBRO]],COMPROMISOS_2025[[#All],[concatenado]],COMPROMISOS_2025[[#All],[Total pagado]],"",0)</f>
        <v>#NAME?</v>
      </c>
      <c r="AI162" s="57" t="e" cm="1">
        <f t="array" aca="1" ref="AI162" ca="1">_xlfn.XLOOKUP(PAA[[#This Row],[RCP-RUBRO]],COMPROMISOS_2025[[#All],[concatenado]],COMPROMISOS_2025[[#All],[Total Comprometido]],"",0)</f>
        <v>#NAME?</v>
      </c>
    </row>
    <row r="163" spans="1:35" s="50" customFormat="1" ht="42" hidden="1" customHeight="1" x14ac:dyDescent="0.25">
      <c r="A163" s="57">
        <v>116</v>
      </c>
      <c r="B163" s="186">
        <v>80111600</v>
      </c>
      <c r="C163" s="57" t="str">
        <f>VLOOKUP(PAA[[#This Row],[PROYECTO (formulado)2]],PROYECTOS!$G$1:$L$32,6,0)</f>
        <v>SUBGERENCIA DE FOMENTO Y DESARROLLO</v>
      </c>
      <c r="D163" s="57" t="str">
        <f>+IF(PAA[[#This Row],[UNIDAD DE CONTRATACION (formulado)]]="Subgerencia Administrativa y Financiera","FUNCIONAMIENTO","INVERSIÓN")</f>
        <v>INVERSIÓN</v>
      </c>
      <c r="E163" s="153" t="str">
        <f>VLOOKUP(Q163,PROYECTOS!$G$1:$K$32,5,0)</f>
        <v>Asesoria y acompañamiento institucional para el deporte formativo, la recreación y la actividad física en el departamento de Antioquia</v>
      </c>
      <c r="F163" s="153">
        <f>VLOOKUP(E163,PROYECTOS!$K$1:$M$32,3,0)</f>
        <v>2024003050100</v>
      </c>
      <c r="G163" s="154" t="s">
        <v>267</v>
      </c>
      <c r="H163" s="154" t="str">
        <f>VLOOKUP(Q163,PROYECTOS!$V$1:$W$32,2,0)</f>
        <v>050071</v>
      </c>
      <c r="I163" s="143">
        <v>15317120</v>
      </c>
      <c r="J163" s="155" t="s">
        <v>280</v>
      </c>
      <c r="K163" s="57" t="str">
        <f t="shared" ca="1" si="14"/>
        <v>CONTRATADO</v>
      </c>
      <c r="L163" s="57" t="s">
        <v>112</v>
      </c>
      <c r="M163" s="155" t="s">
        <v>113</v>
      </c>
      <c r="N163" s="142" t="s">
        <v>268</v>
      </c>
      <c r="O163" s="155">
        <f>VLOOKUP(N163,RUBROS[#All],3,0)</f>
        <v>74</v>
      </c>
      <c r="P163" s="156" t="str">
        <f>VLOOKUP(N163,RUBROS[#All],2,0)</f>
        <v xml:space="preserve">Asesoria y acompañamiento institucional para el deporte formativo, la recreación y la actividad física en el departamento de Antioquia. - Servicios prestados a las empresas y servicios de producción </v>
      </c>
      <c r="Q163" s="57" t="str">
        <f t="shared" si="15"/>
        <v>10</v>
      </c>
      <c r="R163" s="57" t="str">
        <f t="shared" si="16"/>
        <v>0-101024</v>
      </c>
      <c r="S163" s="152">
        <v>8</v>
      </c>
      <c r="T163" s="157" t="s">
        <v>46</v>
      </c>
      <c r="U163" s="162" t="e">
        <f ca="1">_xlfn.XLOOKUP(PAA[[#This Row],[ITEM]],Contrato!A:A,Contrato!Q:Q,"",0)</f>
        <v>#NAME?</v>
      </c>
      <c r="V163" s="57" t="s">
        <v>47</v>
      </c>
      <c r="W163" s="57" t="s">
        <v>48</v>
      </c>
      <c r="X163" s="57" t="s">
        <v>48</v>
      </c>
      <c r="Y163" s="58" t="e">
        <f ca="1">_xlfn.XLOOKUP(PAA[[#This Row],[ITEM]],Contrato!A:A,Contrato!B:B,"",0)</f>
        <v>#NAME?</v>
      </c>
      <c r="Z163" s="57" t="e">
        <f ca="1">_xlfn.XLOOKUP(PAA[[#This Row],[ITEM]],Contrato!A:A,Contrato!G:G,"",0)</f>
        <v>#NAME?</v>
      </c>
      <c r="AA163" s="57" t="e">
        <f ca="1">_xlfn.XLOOKUP(PAA[[#This Row],[ITEM]],Contrato!A:A,Contrato!T:T,"",0)</f>
        <v>#NAME?</v>
      </c>
      <c r="AB163" s="58" t="e">
        <f ca="1">+MAX(PAA[[#This Row],[Comprometido Contrato]],)</f>
        <v>#NAME?</v>
      </c>
      <c r="AC163" s="58" t="str">
        <f t="shared" ca="1" si="17"/>
        <v/>
      </c>
      <c r="AD163" s="58" t="e">
        <f ca="1">+MAX(PAA[[#This Row],[Pago por Contrato]],)</f>
        <v>#NAME?</v>
      </c>
      <c r="AE163" s="58" t="str">
        <f t="shared" ca="1" si="18"/>
        <v/>
      </c>
      <c r="AF163" s="57" t="e">
        <f t="shared" ca="1" si="19"/>
        <v>#NAME?</v>
      </c>
      <c r="AG163" s="57">
        <f t="shared" si="20"/>
        <v>52010705</v>
      </c>
      <c r="AH163" s="57" t="e" cm="1">
        <f t="array" aca="1" ref="AH163" ca="1">_xlfn.XLOOKUP(PAA[[#This Row],[RCP-RUBRO]],COMPROMISOS_2025[[#All],[concatenado]],COMPROMISOS_2025[[#All],[Total pagado]],"",0)</f>
        <v>#NAME?</v>
      </c>
      <c r="AI163" s="57" t="e" cm="1">
        <f t="array" aca="1" ref="AI163" ca="1">_xlfn.XLOOKUP(PAA[[#This Row],[RCP-RUBRO]],COMPROMISOS_2025[[#All],[concatenado]],COMPROMISOS_2025[[#All],[Total Comprometido]],"",0)</f>
        <v>#NAME?</v>
      </c>
    </row>
    <row r="164" spans="1:35" s="50" customFormat="1" ht="42" hidden="1" customHeight="1" x14ac:dyDescent="0.25">
      <c r="A164" s="57">
        <v>116</v>
      </c>
      <c r="B164" s="186">
        <v>80111600</v>
      </c>
      <c r="C164" s="57" t="str">
        <f>VLOOKUP(PAA[[#This Row],[PROYECTO (formulado)2]],PROYECTOS!$G$1:$L$32,6,0)</f>
        <v>SUBGERENCIA DE FOMENTO Y DESARROLLO</v>
      </c>
      <c r="D164" s="57" t="str">
        <f>+IF(PAA[[#This Row],[UNIDAD DE CONTRATACION (formulado)]]="Subgerencia Administrativa y Financiera","FUNCIONAMIENTO","INVERSIÓN")</f>
        <v>INVERSIÓN</v>
      </c>
      <c r="E164" s="153" t="str">
        <f>VLOOKUP(Q164,PROYECTOS!$G$1:$K$32,5,0)</f>
        <v>Capacitación para el sector del deporte, la recreación y la actividad física en el Departamento de   Antioquia</v>
      </c>
      <c r="F164" s="153">
        <f>VLOOKUP(E164,PROYECTOS!$K$1:$M$32,3,0)</f>
        <v>2024003050072</v>
      </c>
      <c r="G164" s="154" t="s">
        <v>269</v>
      </c>
      <c r="H164" s="154" t="str">
        <f>VLOOKUP(Q164,PROYECTOS!$V$1:$W$32,2,0)</f>
        <v>050072</v>
      </c>
      <c r="I164" s="143">
        <v>15317120</v>
      </c>
      <c r="J164" s="155" t="s">
        <v>280</v>
      </c>
      <c r="K164" s="57" t="str">
        <f t="shared" ca="1" si="14"/>
        <v>CONTRATADO</v>
      </c>
      <c r="L164" s="57" t="s">
        <v>112</v>
      </c>
      <c r="M164" s="155" t="s">
        <v>113</v>
      </c>
      <c r="N164" s="142" t="s">
        <v>270</v>
      </c>
      <c r="O164" s="155">
        <f>VLOOKUP(N164,RUBROS[#All],3,0)</f>
        <v>78</v>
      </c>
      <c r="P164" s="156" t="str">
        <f>VLOOKUP(N164,RUBROS[#All],2,0)</f>
        <v xml:space="preserve">Capacitación para el sector del deporte, la recreación y la actividad física en el Departamento de   Antioquia - Servicios prestados a las empresas y servicios de producción </v>
      </c>
      <c r="Q164" s="57" t="str">
        <f t="shared" si="15"/>
        <v>72</v>
      </c>
      <c r="R164" s="57" t="str">
        <f t="shared" si="16"/>
        <v>0-205128</v>
      </c>
      <c r="S164" s="152">
        <v>8</v>
      </c>
      <c r="T164" s="157" t="s">
        <v>46</v>
      </c>
      <c r="U164" s="162" t="e">
        <f ca="1">_xlfn.XLOOKUP(PAA[[#This Row],[ITEM]],Contrato!A:A,Contrato!Q:Q,"",0)</f>
        <v>#NAME?</v>
      </c>
      <c r="V164" s="57" t="s">
        <v>47</v>
      </c>
      <c r="W164" s="57" t="s">
        <v>48</v>
      </c>
      <c r="X164" s="57" t="s">
        <v>48</v>
      </c>
      <c r="Y164" s="58" t="e">
        <f ca="1">_xlfn.XLOOKUP(PAA[[#This Row],[ITEM]],Contrato!A:A,Contrato!B:B,"",0)</f>
        <v>#NAME?</v>
      </c>
      <c r="Z164" s="57" t="e">
        <f ca="1">_xlfn.XLOOKUP(PAA[[#This Row],[ITEM]],Contrato!A:A,Contrato!G:G,"",0)</f>
        <v>#NAME?</v>
      </c>
      <c r="AA164" s="57" t="e">
        <f ca="1">_xlfn.XLOOKUP(PAA[[#This Row],[ITEM]],Contrato!A:A,Contrato!T:T,"",0)</f>
        <v>#NAME?</v>
      </c>
      <c r="AB164" s="58" t="e">
        <f ca="1">+MAX(PAA[[#This Row],[Comprometido Contrato]],)</f>
        <v>#NAME?</v>
      </c>
      <c r="AC164" s="58" t="str">
        <f t="shared" ca="1" si="17"/>
        <v/>
      </c>
      <c r="AD164" s="58" t="e">
        <f ca="1">+MAX(PAA[[#This Row],[Pago por Contrato]],)</f>
        <v>#NAME?</v>
      </c>
      <c r="AE164" s="58" t="str">
        <f t="shared" ca="1" si="18"/>
        <v/>
      </c>
      <c r="AF164" s="57" t="e">
        <f t="shared" ca="1" si="19"/>
        <v>#NAME?</v>
      </c>
      <c r="AG164" s="57">
        <f t="shared" si="20"/>
        <v>52010704</v>
      </c>
      <c r="AH164" s="57" t="e" cm="1">
        <f t="array" aca="1" ref="AH164" ca="1">_xlfn.XLOOKUP(PAA[[#This Row],[RCP-RUBRO]],COMPROMISOS_2025[[#All],[concatenado]],COMPROMISOS_2025[[#All],[Total pagado]],"",0)</f>
        <v>#NAME?</v>
      </c>
      <c r="AI164" s="57" t="e" cm="1">
        <f t="array" aca="1" ref="AI164" ca="1">_xlfn.XLOOKUP(PAA[[#This Row],[RCP-RUBRO]],COMPROMISOS_2025[[#All],[concatenado]],COMPROMISOS_2025[[#All],[Total Comprometido]],"",0)</f>
        <v>#NAME?</v>
      </c>
    </row>
    <row r="165" spans="1:35" s="50" customFormat="1" ht="42" hidden="1" customHeight="1" x14ac:dyDescent="0.25">
      <c r="A165" s="57">
        <v>116</v>
      </c>
      <c r="B165" s="186">
        <v>80111600</v>
      </c>
      <c r="C165" s="57" t="str">
        <f>VLOOKUP(PAA[[#This Row],[PROYECTO (formulado)2]],PROYECTOS!$G$1:$L$32,6,0)</f>
        <v>SUBGERENCIA DE FOMENTO Y DESARROLLO</v>
      </c>
      <c r="D165" s="57" t="str">
        <f>+IF(PAA[[#This Row],[UNIDAD DE CONTRATACION (formulado)]]="Subgerencia Administrativa y Financiera","FUNCIONAMIENTO","INVERSIÓN")</f>
        <v>INVERSIÓN</v>
      </c>
      <c r="E165" s="153" t="str">
        <f>VLOOKUP(Q165,PROYECTOS!$G$1:$K$32,5,0)</f>
        <v>Fortalecimiento de los juegos deportivos institucionales en los municipios del departamento de Antioquia</v>
      </c>
      <c r="F165" s="153">
        <f>VLOOKUP(E165,PROYECTOS!$K$1:$M$32,3,0)</f>
        <v>2024003050073</v>
      </c>
      <c r="G165" s="154" t="s">
        <v>271</v>
      </c>
      <c r="H165" s="154" t="str">
        <f>VLOOKUP(Q165,PROYECTOS!$V$1:$W$32,2,0)</f>
        <v>050081</v>
      </c>
      <c r="I165" s="143">
        <v>15317120</v>
      </c>
      <c r="J165" s="155" t="s">
        <v>280</v>
      </c>
      <c r="K165" s="57" t="str">
        <f t="shared" ca="1" si="14"/>
        <v>CONTRATADO</v>
      </c>
      <c r="L165" s="57" t="s">
        <v>112</v>
      </c>
      <c r="M165" s="155" t="s">
        <v>113</v>
      </c>
      <c r="N165" s="142" t="s">
        <v>272</v>
      </c>
      <c r="O165" s="155">
        <f>VLOOKUP(N165,RUBROS[#All],3,0)</f>
        <v>81</v>
      </c>
      <c r="P165" s="156" t="str">
        <f>VLOOKUP(N165,RUBROS[#All],2,0)</f>
        <v xml:space="preserve">Fortalecimiento de los juegos deportivos institucionales en los municipios del departamento de Antioquia - Servicios prestados a las empresas y servicios de producción </v>
      </c>
      <c r="Q165" s="57" t="str">
        <f t="shared" si="15"/>
        <v>73</v>
      </c>
      <c r="R165" s="57" t="str">
        <f t="shared" si="16"/>
        <v>0-205128</v>
      </c>
      <c r="S165" s="152">
        <v>8</v>
      </c>
      <c r="T165" s="157" t="s">
        <v>46</v>
      </c>
      <c r="U165" s="162" t="e">
        <f ca="1">_xlfn.XLOOKUP(PAA[[#This Row],[ITEM]],Contrato!A:A,Contrato!Q:Q,"",0)</f>
        <v>#NAME?</v>
      </c>
      <c r="V165" s="57" t="s">
        <v>47</v>
      </c>
      <c r="W165" s="57" t="s">
        <v>48</v>
      </c>
      <c r="X165" s="57" t="s">
        <v>48</v>
      </c>
      <c r="Y165" s="58" t="e">
        <f ca="1">_xlfn.XLOOKUP(PAA[[#This Row],[ITEM]],Contrato!A:A,Contrato!B:B,"",0)</f>
        <v>#NAME?</v>
      </c>
      <c r="Z165" s="57" t="e">
        <f ca="1">_xlfn.XLOOKUP(PAA[[#This Row],[ITEM]],Contrato!A:A,Contrato!G:G,"",0)</f>
        <v>#NAME?</v>
      </c>
      <c r="AA165" s="57" t="e">
        <f ca="1">_xlfn.XLOOKUP(PAA[[#This Row],[ITEM]],Contrato!A:A,Contrato!T:T,"",0)</f>
        <v>#NAME?</v>
      </c>
      <c r="AB165" s="58" t="e">
        <f ca="1">+MAX(PAA[[#This Row],[Comprometido Contrato]],)</f>
        <v>#NAME?</v>
      </c>
      <c r="AC165" s="58" t="str">
        <f t="shared" ca="1" si="17"/>
        <v/>
      </c>
      <c r="AD165" s="58" t="e">
        <f ca="1">+MAX(PAA[[#This Row],[Pago por Contrato]],)</f>
        <v>#NAME?</v>
      </c>
      <c r="AE165" s="58" t="str">
        <f t="shared" ca="1" si="18"/>
        <v/>
      </c>
      <c r="AF165" s="57" t="e">
        <f t="shared" ca="1" si="19"/>
        <v>#NAME?</v>
      </c>
      <c r="AG165" s="57">
        <f t="shared" si="20"/>
        <v>52010703</v>
      </c>
      <c r="AH165" s="57" t="e" cm="1">
        <f t="array" aca="1" ref="AH165" ca="1">_xlfn.XLOOKUP(PAA[[#This Row],[RCP-RUBRO]],COMPROMISOS_2025[[#All],[concatenado]],COMPROMISOS_2025[[#All],[Total pagado]],"",0)</f>
        <v>#NAME?</v>
      </c>
      <c r="AI165" s="57" t="e" cm="1">
        <f t="array" aca="1" ref="AI165" ca="1">_xlfn.XLOOKUP(PAA[[#This Row],[RCP-RUBRO]],COMPROMISOS_2025[[#All],[concatenado]],COMPROMISOS_2025[[#All],[Total Comprometido]],"",0)</f>
        <v>#NAME?</v>
      </c>
    </row>
    <row r="166" spans="1:35" s="50" customFormat="1" ht="42" hidden="1" customHeight="1" x14ac:dyDescent="0.25">
      <c r="A166" s="57">
        <v>116</v>
      </c>
      <c r="B166" s="186">
        <v>80111600</v>
      </c>
      <c r="C166" s="57" t="str">
        <f>VLOOKUP(PAA[[#This Row],[PROYECTO (formulado)2]],PROYECTOS!$G$1:$L$32,6,0)</f>
        <v>SUBGERENCIA DE FOMENTO Y DESARROLLO</v>
      </c>
      <c r="D166" s="57" t="str">
        <f>+IF(PAA[[#This Row],[UNIDAD DE CONTRATACION (formulado)]]="Subgerencia Administrativa y Financiera","FUNCIONAMIENTO","INVERSIÓN")</f>
        <v>INVERSIÓN</v>
      </c>
      <c r="E166" s="153" t="str">
        <f>VLOOKUP(Q166,PROYECTOS!$G$1:$K$32,5,0)</f>
        <v>Cofinanciación de dotación de implementación para el deporte la recreación y a la actividad física en el departamento de Antioquia</v>
      </c>
      <c r="F166" s="153">
        <f>VLOOKUP(E166,PROYECTOS!$K$1:$M$32,3,0)</f>
        <v>2024003050074</v>
      </c>
      <c r="G166" s="154" t="s">
        <v>273</v>
      </c>
      <c r="H166" s="154" t="str">
        <f>VLOOKUP(Q166,PROYECTOS!$V$1:$W$32,2,0)</f>
        <v>050073</v>
      </c>
      <c r="I166" s="143">
        <v>15317120</v>
      </c>
      <c r="J166" s="155" t="s">
        <v>280</v>
      </c>
      <c r="K166" s="57" t="str">
        <f t="shared" ca="1" si="14"/>
        <v>CONTRATADO</v>
      </c>
      <c r="L166" s="57" t="s">
        <v>112</v>
      </c>
      <c r="M166" s="155" t="s">
        <v>113</v>
      </c>
      <c r="N166" s="142" t="s">
        <v>274</v>
      </c>
      <c r="O166" s="155">
        <f>VLOOKUP(N166,RUBROS[#All],3,0)</f>
        <v>85</v>
      </c>
      <c r="P166" s="156" t="str">
        <f>VLOOKUP(N166,RUBROS[#All],2,0)</f>
        <v xml:space="preserve">Cofinanciación de dotación de implementación para el deporte la recreación y a la actividad física en el departamento de Antioquia - Servicios prestados a las empresas y servicios de producción </v>
      </c>
      <c r="Q166" s="57" t="str">
        <f t="shared" si="15"/>
        <v>74</v>
      </c>
      <c r="R166" s="57" t="str">
        <f t="shared" si="16"/>
        <v>0-101024</v>
      </c>
      <c r="S166" s="152">
        <v>8</v>
      </c>
      <c r="T166" s="157" t="s">
        <v>46</v>
      </c>
      <c r="U166" s="162" t="e">
        <f ca="1">_xlfn.XLOOKUP(PAA[[#This Row],[ITEM]],Contrato!A:A,Contrato!Q:Q,"",0)</f>
        <v>#NAME?</v>
      </c>
      <c r="V166" s="57" t="s">
        <v>47</v>
      </c>
      <c r="W166" s="57" t="s">
        <v>48</v>
      </c>
      <c r="X166" s="57" t="s">
        <v>48</v>
      </c>
      <c r="Y166" s="58" t="e">
        <f ca="1">_xlfn.XLOOKUP(PAA[[#This Row],[ITEM]],Contrato!A:A,Contrato!B:B,"",0)</f>
        <v>#NAME?</v>
      </c>
      <c r="Z166" s="57" t="e">
        <f ca="1">_xlfn.XLOOKUP(PAA[[#This Row],[ITEM]],Contrato!A:A,Contrato!G:G,"",0)</f>
        <v>#NAME?</v>
      </c>
      <c r="AA166" s="57" t="e">
        <f ca="1">_xlfn.XLOOKUP(PAA[[#This Row],[ITEM]],Contrato!A:A,Contrato!T:T,"",0)</f>
        <v>#NAME?</v>
      </c>
      <c r="AB166" s="58" t="e">
        <f ca="1">+MAX(PAA[[#This Row],[Comprometido Contrato]],)</f>
        <v>#NAME?</v>
      </c>
      <c r="AC166" s="58" t="str">
        <f t="shared" ca="1" si="17"/>
        <v/>
      </c>
      <c r="AD166" s="58" t="e">
        <f ca="1">+MAX(PAA[[#This Row],[Pago por Contrato]],)</f>
        <v>#NAME?</v>
      </c>
      <c r="AE166" s="58" t="str">
        <f t="shared" ca="1" si="18"/>
        <v/>
      </c>
      <c r="AF166" s="57" t="e">
        <f t="shared" ca="1" si="19"/>
        <v>#NAME?</v>
      </c>
      <c r="AG166" s="57">
        <f t="shared" si="20"/>
        <v>52010701</v>
      </c>
      <c r="AH166" s="57" t="e" cm="1">
        <f t="array" aca="1" ref="AH166" ca="1">_xlfn.XLOOKUP(PAA[[#This Row],[RCP-RUBRO]],COMPROMISOS_2025[[#All],[concatenado]],COMPROMISOS_2025[[#All],[Total pagado]],"",0)</f>
        <v>#NAME?</v>
      </c>
      <c r="AI166" s="57" t="e" cm="1">
        <f t="array" aca="1" ref="AI166" ca="1">_xlfn.XLOOKUP(PAA[[#This Row],[RCP-RUBRO]],COMPROMISOS_2025[[#All],[concatenado]],COMPROMISOS_2025[[#All],[Total Comprometido]],"",0)</f>
        <v>#NAME?</v>
      </c>
    </row>
    <row r="167" spans="1:35" s="50" customFormat="1" ht="42" hidden="1" customHeight="1" x14ac:dyDescent="0.25">
      <c r="A167" s="326">
        <v>117</v>
      </c>
      <c r="B167" s="325">
        <v>80141607</v>
      </c>
      <c r="C167" s="326" t="str">
        <f>VLOOKUP(PAA[[#This Row],[PROYECTO (formulado)2]],PROYECTOS!$G$1:$L$32,6,0)</f>
        <v>SUBGERENCIA DE FOMENTO Y DESARROLLO</v>
      </c>
      <c r="D167" s="326" t="str">
        <f>+IF(PAA[[#This Row],[UNIDAD DE CONTRATACION (formulado)]]="Subgerencia Administrativa y Financiera","FUNCIONAMIENTO","INVERSIÓN")</f>
        <v>INVERSIÓN</v>
      </c>
      <c r="E167" s="327" t="str">
        <f>VLOOKUP(Q167,PROYECTOS!$G$1:$K$32,5,0)</f>
        <v>Desarrollo y promoción del deporte formativo, la recreación y la actividad física en el departamento Antioquia</v>
      </c>
      <c r="F167" s="327">
        <f>VLOOKUP(E167,PROYECTOS!$K$1:$M$32,3,0)</f>
        <v>2024003050101</v>
      </c>
      <c r="G167" s="328" t="s">
        <v>282</v>
      </c>
      <c r="H167" s="328" t="str">
        <f>VLOOKUP(Q167,PROYECTOS!$V$1:$W$32,2,0)</f>
        <v>050075</v>
      </c>
      <c r="I167" s="329">
        <v>861960000</v>
      </c>
      <c r="J167" s="330" t="s">
        <v>283</v>
      </c>
      <c r="K167" s="326" t="str">
        <f t="shared" ca="1" si="14"/>
        <v>CONTRATADO</v>
      </c>
      <c r="L167" s="330" t="s">
        <v>112</v>
      </c>
      <c r="M167" s="330" t="s">
        <v>125</v>
      </c>
      <c r="N167" s="331" t="s">
        <v>284</v>
      </c>
      <c r="O167" s="330">
        <f>VLOOKUP(N167,RUBROS[#All],3,0)</f>
        <v>73</v>
      </c>
      <c r="P167" s="332" t="str">
        <f>VLOOKUP(N167,RUBROS[#All],2,0)</f>
        <v>Desarrollo y promoción del deporte formativo, la recreación y la actividad física en el departamento Antioquia. - Servicios para la comunidad, sociales y personales</v>
      </c>
      <c r="Q167" s="326" t="str">
        <f t="shared" si="15"/>
        <v>01</v>
      </c>
      <c r="R167" s="326" t="str">
        <f t="shared" si="16"/>
        <v>0-205400</v>
      </c>
      <c r="S167" s="333">
        <v>10</v>
      </c>
      <c r="T167" s="337" t="s">
        <v>46</v>
      </c>
      <c r="U167" s="335" t="e">
        <f ca="1">_xlfn.XLOOKUP(PAA[[#This Row],[ITEM]],Contrato!A:A,Contrato!Q:Q,"",0)</f>
        <v>#NAME?</v>
      </c>
      <c r="V167" s="326" t="s">
        <v>47</v>
      </c>
      <c r="W167" s="326" t="s">
        <v>127</v>
      </c>
      <c r="X167" s="326" t="s">
        <v>127</v>
      </c>
      <c r="Y167" s="336" t="e">
        <f ca="1">_xlfn.XLOOKUP(PAA[[#This Row],[ITEM]],Contrato!A:A,Contrato!B:B,"",0)</f>
        <v>#NAME?</v>
      </c>
      <c r="Z167" s="326" t="e">
        <f ca="1">_xlfn.XLOOKUP(PAA[[#This Row],[ITEM]],Contrato!A:A,Contrato!G:G,"",0)</f>
        <v>#NAME?</v>
      </c>
      <c r="AA167" s="326" t="e">
        <f ca="1">_xlfn.XLOOKUP(PAA[[#This Row],[ITEM]],Contrato!A:A,Contrato!T:T,"",0)</f>
        <v>#NAME?</v>
      </c>
      <c r="AB167" s="336" t="e">
        <f ca="1">+MAX(PAA[[#This Row],[Comprometido Contrato]],)</f>
        <v>#NAME?</v>
      </c>
      <c r="AC167" s="336" t="str">
        <f t="shared" ca="1" si="17"/>
        <v/>
      </c>
      <c r="AD167" s="336" t="e">
        <f ca="1">+MAX(PAA[[#This Row],[Pago por Contrato]],)</f>
        <v>#NAME?</v>
      </c>
      <c r="AE167" s="336" t="str">
        <f t="shared" ca="1" si="18"/>
        <v/>
      </c>
      <c r="AF167" s="326" t="e">
        <f t="shared" ca="1" si="19"/>
        <v>#NAME?</v>
      </c>
      <c r="AG167" s="326">
        <f t="shared" si="20"/>
        <v>52010702</v>
      </c>
      <c r="AH167" s="326" t="e" cm="1">
        <f t="array" aca="1" ref="AH167" ca="1">_xlfn.XLOOKUP(PAA[[#This Row],[RCP-RUBRO]],COMPROMISOS_2025[[#All],[concatenado]],COMPROMISOS_2025[[#All],[Total pagado]],"",0)</f>
        <v>#NAME?</v>
      </c>
      <c r="AI167" s="326" t="e" cm="1">
        <f t="array" aca="1" ref="AI167" ca="1">_xlfn.XLOOKUP(PAA[[#This Row],[RCP-RUBRO]],COMPROMISOS_2025[[#All],[concatenado]],COMPROMISOS_2025[[#All],[Total Comprometido]],"",0)</f>
        <v>#NAME?</v>
      </c>
    </row>
    <row r="168" spans="1:35" s="50" customFormat="1" ht="42" hidden="1" customHeight="1" x14ac:dyDescent="0.25">
      <c r="A168" s="265">
        <v>118</v>
      </c>
      <c r="B168" s="255">
        <v>80141607</v>
      </c>
      <c r="C168" s="265" t="str">
        <f>VLOOKUP(PAA[[#This Row],[PROYECTO (formulado)2]],PROYECTOS!$G$1:$L$32,6,0)</f>
        <v>SUBGERENCIA DE FOMENTO Y DESARROLLO</v>
      </c>
      <c r="D168" s="265" t="str">
        <f>+IF(PAA[[#This Row],[UNIDAD DE CONTRATACION (formulado)]]="Subgerencia Administrativa y Financiera","FUNCIONAMIENTO","INVERSIÓN")</f>
        <v>INVERSIÓN</v>
      </c>
      <c r="E168" s="274" t="str">
        <f>VLOOKUP(Q168,PROYECTOS!$G$1:$K$32,5,0)</f>
        <v>Desarrollo y promoción del deporte formativo, la recreación y la actividad física en el departamento Antioquia</v>
      </c>
      <c r="F168" s="274">
        <f>VLOOKUP(E168,PROYECTOS!$K$1:$M$32,3,0)</f>
        <v>2024003050101</v>
      </c>
      <c r="G168" s="266" t="s">
        <v>285</v>
      </c>
      <c r="H168" s="266" t="str">
        <f>VLOOKUP(Q168,PROYECTOS!$V$1:$W$32,2,0)</f>
        <v>050075</v>
      </c>
      <c r="I168" s="269">
        <v>764418163</v>
      </c>
      <c r="J168" s="275" t="s">
        <v>286</v>
      </c>
      <c r="K168" s="265" t="str">
        <f t="shared" ca="1" si="14"/>
        <v>CONTRATADO</v>
      </c>
      <c r="L168" s="275" t="s">
        <v>112</v>
      </c>
      <c r="M168" s="275" t="s">
        <v>125</v>
      </c>
      <c r="N168" s="276" t="s">
        <v>284</v>
      </c>
      <c r="O168" s="275">
        <f>VLOOKUP(N168,RUBROS[#All],3,0)</f>
        <v>73</v>
      </c>
      <c r="P168" s="277" t="str">
        <f>VLOOKUP(N168,RUBROS[#All],2,0)</f>
        <v>Desarrollo y promoción del deporte formativo, la recreación y la actividad física en el departamento Antioquia. - Servicios para la comunidad, sociales y personales</v>
      </c>
      <c r="Q168" s="265" t="str">
        <f t="shared" si="15"/>
        <v>01</v>
      </c>
      <c r="R168" s="265" t="str">
        <f t="shared" si="16"/>
        <v>0-205400</v>
      </c>
      <c r="S168" s="254">
        <v>11</v>
      </c>
      <c r="T168" s="278" t="s">
        <v>46</v>
      </c>
      <c r="U168" s="272" t="e">
        <f ca="1">_xlfn.XLOOKUP(PAA[[#This Row],[ITEM]],Contrato!A:A,Contrato!Q:Q,"",0)</f>
        <v>#NAME?</v>
      </c>
      <c r="V168" s="265" t="s">
        <v>47</v>
      </c>
      <c r="W168" s="265" t="s">
        <v>127</v>
      </c>
      <c r="X168" s="265" t="s">
        <v>127</v>
      </c>
      <c r="Y168" s="273" t="e">
        <f ca="1">_xlfn.XLOOKUP(PAA[[#This Row],[ITEM]],Contrato!A:A,Contrato!B:B,"",0)</f>
        <v>#NAME?</v>
      </c>
      <c r="Z168" s="265" t="e">
        <f ca="1">_xlfn.XLOOKUP(PAA[[#This Row],[ITEM]],Contrato!A:A,Contrato!G:G,"",0)</f>
        <v>#NAME?</v>
      </c>
      <c r="AA168" s="265" t="e">
        <f ca="1">_xlfn.XLOOKUP(PAA[[#This Row],[ITEM]],Contrato!A:A,Contrato!T:T,"",0)</f>
        <v>#NAME?</v>
      </c>
      <c r="AB168" s="273" t="e">
        <f ca="1">+MAX(PAA[[#This Row],[Comprometido Contrato]],)</f>
        <v>#NAME?</v>
      </c>
      <c r="AC168" s="273" t="str">
        <f t="shared" ca="1" si="17"/>
        <v/>
      </c>
      <c r="AD168" s="273" t="e">
        <f ca="1">+MAX(PAA[[#This Row],[Pago por Contrato]],)</f>
        <v>#NAME?</v>
      </c>
      <c r="AE168" s="273" t="str">
        <f t="shared" ca="1" si="18"/>
        <v/>
      </c>
      <c r="AF168" s="265" t="e">
        <f t="shared" ca="1" si="19"/>
        <v>#NAME?</v>
      </c>
      <c r="AG168" s="265">
        <f t="shared" si="20"/>
        <v>52010702</v>
      </c>
      <c r="AH168" s="265" t="e" cm="1">
        <f t="array" aca="1" ref="AH168" ca="1">_xlfn.XLOOKUP(PAA[[#This Row],[RCP-RUBRO]],COMPROMISOS_2025[[#All],[concatenado]],COMPROMISOS_2025[[#All],[Total pagado]],"",0)</f>
        <v>#NAME?</v>
      </c>
      <c r="AI168" s="265" t="e" cm="1">
        <f t="array" aca="1" ref="AI168" ca="1">_xlfn.XLOOKUP(PAA[[#This Row],[RCP-RUBRO]],COMPROMISOS_2025[[#All],[concatenado]],COMPROMISOS_2025[[#All],[Total Comprometido]],"",0)</f>
        <v>#NAME?</v>
      </c>
    </row>
    <row r="169" spans="1:35" s="50" customFormat="1" ht="42" hidden="1" customHeight="1" x14ac:dyDescent="0.25">
      <c r="A169" s="199">
        <v>119</v>
      </c>
      <c r="B169" s="200">
        <v>80141607</v>
      </c>
      <c r="C169" s="199" t="str">
        <f>VLOOKUP(PAA[[#This Row],[PROYECTO (formulado)2]],PROYECTOS!$G$1:$L$32,6,0)</f>
        <v>SUBGERENCIA DE FOMENTO Y DESARROLLO</v>
      </c>
      <c r="D169" s="199" t="str">
        <f>+IF(PAA[[#This Row],[UNIDAD DE CONTRATACION (formulado)]]="Subgerencia Administrativa y Financiera","FUNCIONAMIENTO","INVERSIÓN")</f>
        <v>INVERSIÓN</v>
      </c>
      <c r="E169" s="201" t="str">
        <f>VLOOKUP(Q169,PROYECTOS!$G$1:$K$32,5,0)</f>
        <v>Desarrollo y promoción del deporte formativo, la recreación y la actividad física en el departamento Antioquia</v>
      </c>
      <c r="F169" s="201">
        <f>VLOOKUP(E169,PROYECTOS!$K$1:$M$32,3,0)</f>
        <v>2024003050101</v>
      </c>
      <c r="G169" s="202" t="s">
        <v>287</v>
      </c>
      <c r="H169" s="202" t="str">
        <f>VLOOKUP(Q169,PROYECTOS!$V$1:$W$32,2,0)</f>
        <v>050075</v>
      </c>
      <c r="I169" s="203">
        <v>34114597</v>
      </c>
      <c r="J169" s="204" t="s">
        <v>288</v>
      </c>
      <c r="K169" s="199" t="str">
        <f t="shared" ca="1" si="14"/>
        <v>CONTRATADO</v>
      </c>
      <c r="L169" s="204" t="s">
        <v>112</v>
      </c>
      <c r="M169" s="204" t="s">
        <v>125</v>
      </c>
      <c r="N169" s="205" t="s">
        <v>284</v>
      </c>
      <c r="O169" s="204">
        <f>VLOOKUP(N169,RUBROS[#All],3,0)</f>
        <v>73</v>
      </c>
      <c r="P169" s="206" t="str">
        <f>VLOOKUP(N169,RUBROS[#All],2,0)</f>
        <v>Desarrollo y promoción del deporte formativo, la recreación y la actividad física en el departamento Antioquia. - Servicios para la comunidad, sociales y personales</v>
      </c>
      <c r="Q169" s="199" t="str">
        <f t="shared" si="15"/>
        <v>01</v>
      </c>
      <c r="R169" s="199" t="str">
        <f t="shared" si="16"/>
        <v>0-205400</v>
      </c>
      <c r="S169" s="207">
        <v>2</v>
      </c>
      <c r="T169" s="208" t="s">
        <v>46</v>
      </c>
      <c r="U169" s="209" t="e">
        <f ca="1">_xlfn.XLOOKUP(PAA[[#This Row],[ITEM]],Contrato!A:A,Contrato!Q:Q,"",0)</f>
        <v>#NAME?</v>
      </c>
      <c r="V169" s="199" t="s">
        <v>47</v>
      </c>
      <c r="W169" s="199" t="s">
        <v>154</v>
      </c>
      <c r="X169" s="199" t="s">
        <v>154</v>
      </c>
      <c r="Y169" s="210" t="e">
        <f ca="1">_xlfn.XLOOKUP(PAA[[#This Row],[ITEM]],Contrato!A:A,Contrato!B:B,"",0)</f>
        <v>#NAME?</v>
      </c>
      <c r="Z169" s="199" t="e">
        <f ca="1">_xlfn.XLOOKUP(PAA[[#This Row],[ITEM]],Contrato!A:A,Contrato!G:G,"",0)</f>
        <v>#NAME?</v>
      </c>
      <c r="AA169" s="199" t="e">
        <f ca="1">_xlfn.XLOOKUP(PAA[[#This Row],[ITEM]],Contrato!A:A,Contrato!T:T,"",0)</f>
        <v>#NAME?</v>
      </c>
      <c r="AB169" s="210" t="e">
        <f ca="1">+MAX(PAA[[#This Row],[Comprometido Contrato]],)</f>
        <v>#NAME?</v>
      </c>
      <c r="AC169" s="210" t="str">
        <f t="shared" ca="1" si="17"/>
        <v/>
      </c>
      <c r="AD169" s="210" t="e">
        <f ca="1">+MAX(PAA[[#This Row],[Pago por Contrato]],)</f>
        <v>#NAME?</v>
      </c>
      <c r="AE169" s="210" t="str">
        <f t="shared" ca="1" si="18"/>
        <v/>
      </c>
      <c r="AF169" s="199" t="e">
        <f t="shared" ca="1" si="19"/>
        <v>#NAME?</v>
      </c>
      <c r="AG169" s="199">
        <f t="shared" si="20"/>
        <v>52010702</v>
      </c>
      <c r="AH169" s="199" t="e" cm="1">
        <f t="array" aca="1" ref="AH169" ca="1">_xlfn.XLOOKUP(PAA[[#This Row],[RCP-RUBRO]],COMPROMISOS_2025[[#All],[concatenado]],COMPROMISOS_2025[[#All],[Total pagado]],"",0)</f>
        <v>#NAME?</v>
      </c>
      <c r="AI169" s="199" t="e" cm="1">
        <f t="array" aca="1" ref="AI169" ca="1">_xlfn.XLOOKUP(PAA[[#This Row],[RCP-RUBRO]],COMPROMISOS_2025[[#All],[concatenado]],COMPROMISOS_2025[[#All],[Total Comprometido]],"",0)</f>
        <v>#NAME?</v>
      </c>
    </row>
    <row r="170" spans="1:35" s="50" customFormat="1" ht="42" hidden="1" customHeight="1" x14ac:dyDescent="0.25">
      <c r="A170" s="436">
        <v>582</v>
      </c>
      <c r="B170" s="418">
        <v>80111600</v>
      </c>
      <c r="C170" s="436" t="str">
        <f>VLOOKUP(PAA[[#This Row],[PROYECTO (formulado)2]],PROYECTOS!$G$1:$L$32,6,0)</f>
        <v>SUBGERENCIA DE FOMENTO Y DESARROLLO</v>
      </c>
      <c r="D170" s="436" t="str">
        <f>+IF(PAA[[#This Row],[UNIDAD DE CONTRATACION (formulado)]]="Subgerencia Administrativa y Financiera","FUNCIONAMIENTO","INVERSIÓN")</f>
        <v>INVERSIÓN</v>
      </c>
      <c r="E170" s="446" t="str">
        <f>VLOOKUP(Q170,PROYECTOS!$G$1:$K$32,5,0)</f>
        <v>Desarrollo y promoción del deporte formativo, la recreación y la actividad física en el departamento Antioquia</v>
      </c>
      <c r="F170" s="446">
        <f>VLOOKUP(E170,PROYECTOS!$K$1:$M$32,3,0)</f>
        <v>2024003050101</v>
      </c>
      <c r="G170" s="439" t="s">
        <v>289</v>
      </c>
      <c r="H170" s="439" t="str">
        <f>VLOOKUP(Q170,PROYECTOS!$V$1:$W$32,2,0)</f>
        <v>050075</v>
      </c>
      <c r="I170" s="440">
        <v>38646000</v>
      </c>
      <c r="J170" s="442" t="s">
        <v>290</v>
      </c>
      <c r="K170" s="436" t="str">
        <f ca="1">IF(ISNONTEXT(Y170)=TRUE,"CONTRATADO","NO CONTRATADO")</f>
        <v>CONTRATADO</v>
      </c>
      <c r="L170" s="442" t="s">
        <v>112</v>
      </c>
      <c r="M170" s="442" t="s">
        <v>291</v>
      </c>
      <c r="N170" s="447" t="s">
        <v>284</v>
      </c>
      <c r="O170" s="442">
        <f>VLOOKUP(N170,RUBROS[#All],3,0)</f>
        <v>73</v>
      </c>
      <c r="P170" s="448" t="str">
        <f>VLOOKUP(N170,RUBROS[#All],2,0)</f>
        <v>Desarrollo y promoción del deporte formativo, la recreación y la actividad física en el departamento Antioquia. - Servicios para la comunidad, sociales y personales</v>
      </c>
      <c r="Q170" s="436" t="str">
        <f>+MID(N170,11,2)</f>
        <v>01</v>
      </c>
      <c r="R170" s="436" t="str">
        <f>+MID(N170,14,8)</f>
        <v>0-205400</v>
      </c>
      <c r="S170" s="417">
        <v>9</v>
      </c>
      <c r="T170" s="443" t="s">
        <v>46</v>
      </c>
      <c r="U170" s="444" t="e">
        <f ca="1">_xlfn.XLOOKUP(PAA[[#This Row],[ITEM]],Contrato!A:A,Contrato!Q:Q,"",0)</f>
        <v>#NAME?</v>
      </c>
      <c r="V170" s="436" t="s">
        <v>47</v>
      </c>
      <c r="W170" s="436" t="s">
        <v>127</v>
      </c>
      <c r="X170" s="436" t="s">
        <v>127</v>
      </c>
      <c r="Y170" s="445" t="e">
        <f ca="1">_xlfn.XLOOKUP(PAA[[#This Row],[ITEM]],Contrato!A:A,Contrato!B:B,"",0)</f>
        <v>#NAME?</v>
      </c>
      <c r="Z170" s="436" t="e">
        <f ca="1">_xlfn.XLOOKUP(PAA[[#This Row],[ITEM]],Contrato!A:A,Contrato!G:G,"",0)</f>
        <v>#NAME?</v>
      </c>
      <c r="AA170" s="436" t="e">
        <f ca="1">_xlfn.XLOOKUP(PAA[[#This Row],[ITEM]],Contrato!A:A,Contrato!T:T,"",0)</f>
        <v>#NAME?</v>
      </c>
      <c r="AB170" s="445" t="e">
        <f ca="1">+MAX(PAA[[#This Row],[Comprometido Contrato]],)</f>
        <v>#NAME?</v>
      </c>
      <c r="AC170" s="445" t="str">
        <f ca="1">IFERROR(I170-AB170,"")</f>
        <v/>
      </c>
      <c r="AD170" s="445" t="e">
        <f ca="1">+MAX(PAA[[#This Row],[Pago por Contrato]],)</f>
        <v>#NAME?</v>
      </c>
      <c r="AE170" s="445" t="str">
        <f ca="1">+IFERROR(AB170-AD170,"")</f>
        <v/>
      </c>
      <c r="AF170" s="436" t="e">
        <f ca="1">+CONCATENATE(AA170,N170)</f>
        <v>#NAME?</v>
      </c>
      <c r="AG170" s="436">
        <f>IFERROR(_xlfn.NUMBERVALUE(MID(G170,1,8)),"")</f>
        <v>52010702</v>
      </c>
      <c r="AH170" s="436" t="e" cm="1">
        <f t="array" aca="1" ref="AH170" ca="1">_xlfn.XLOOKUP(PAA[[#This Row],[RCP-RUBRO]],COMPROMISOS_2025[[#All],[concatenado]],COMPROMISOS_2025[[#All],[Total pagado]],"",0)</f>
        <v>#NAME?</v>
      </c>
      <c r="AI170" s="436" t="e" cm="1">
        <f t="array" aca="1" ref="AI170" ca="1">_xlfn.XLOOKUP(PAA[[#This Row],[RCP-RUBRO]],COMPROMISOS_2025[[#All],[concatenado]],COMPROMISOS_2025[[#All],[Total Comprometido]],"",0)</f>
        <v>#NAME?</v>
      </c>
    </row>
    <row r="171" spans="1:35" s="50" customFormat="1" ht="42" hidden="1" customHeight="1" x14ac:dyDescent="0.25">
      <c r="A171" s="436">
        <v>120</v>
      </c>
      <c r="B171" s="418">
        <v>80141607</v>
      </c>
      <c r="C171" s="436" t="str">
        <f>VLOOKUP(PAA[[#This Row],[PROYECTO (formulado)2]],PROYECTOS!$G$1:$L$32,6,0)</f>
        <v>SUBGERENCIA DE FOMENTO Y DESARROLLO</v>
      </c>
      <c r="D171" s="436" t="str">
        <f>+IF(PAA[[#This Row],[UNIDAD DE CONTRATACION (formulado)]]="Subgerencia Administrativa y Financiera","FUNCIONAMIENTO","INVERSIÓN")</f>
        <v>INVERSIÓN</v>
      </c>
      <c r="E171" s="446" t="str">
        <f>VLOOKUP(Q171,PROYECTOS!$G$1:$K$32,5,0)</f>
        <v>Desarrollo y promoción del deporte formativo, la recreación y la actividad física en el departamento Antioquia</v>
      </c>
      <c r="F171" s="446">
        <f>VLOOKUP(E171,PROYECTOS!$K$1:$M$32,3,0)</f>
        <v>2024003050101</v>
      </c>
      <c r="G171" s="439" t="s">
        <v>292</v>
      </c>
      <c r="H171" s="439" t="str">
        <f>VLOOKUP(Q171,PROYECTOS!$V$1:$W$32,2,0)</f>
        <v>050075</v>
      </c>
      <c r="I171" s="440">
        <v>493746020</v>
      </c>
      <c r="J171" s="442" t="s">
        <v>293</v>
      </c>
      <c r="K171" s="436" t="str">
        <f t="shared" ca="1" si="14"/>
        <v>CONTRATADO</v>
      </c>
      <c r="L171" s="442" t="s">
        <v>112</v>
      </c>
      <c r="M171" s="442" t="s">
        <v>125</v>
      </c>
      <c r="N171" s="447" t="s">
        <v>284</v>
      </c>
      <c r="O171" s="442">
        <f>VLOOKUP(N171,RUBROS[#All],3,0)</f>
        <v>73</v>
      </c>
      <c r="P171" s="448" t="str">
        <f>VLOOKUP(N171,RUBROS[#All],2,0)</f>
        <v>Desarrollo y promoción del deporte formativo, la recreación y la actividad física en el departamento Antioquia. - Servicios para la comunidad, sociales y personales</v>
      </c>
      <c r="Q171" s="436" t="str">
        <f t="shared" si="15"/>
        <v>01</v>
      </c>
      <c r="R171" s="436" t="str">
        <f t="shared" si="16"/>
        <v>0-205400</v>
      </c>
      <c r="S171" s="417">
        <v>10</v>
      </c>
      <c r="T171" s="449" t="s">
        <v>46</v>
      </c>
      <c r="U171" s="444" t="e">
        <f ca="1">_xlfn.XLOOKUP(PAA[[#This Row],[ITEM]],Contrato!A:A,Contrato!Q:Q,"",0)</f>
        <v>#NAME?</v>
      </c>
      <c r="V171" s="436" t="s">
        <v>47</v>
      </c>
      <c r="W171" s="436" t="s">
        <v>127</v>
      </c>
      <c r="X171" s="436" t="s">
        <v>127</v>
      </c>
      <c r="Y171" s="445" t="e">
        <f ca="1">_xlfn.XLOOKUP(PAA[[#This Row],[ITEM]],Contrato!A:A,Contrato!B:B,"",0)</f>
        <v>#NAME?</v>
      </c>
      <c r="Z171" s="436" t="e">
        <f ca="1">_xlfn.XLOOKUP(PAA[[#This Row],[ITEM]],Contrato!A:A,Contrato!G:G,"",0)</f>
        <v>#NAME?</v>
      </c>
      <c r="AA171" s="436" t="e">
        <f ca="1">_xlfn.XLOOKUP(PAA[[#This Row],[ITEM]],Contrato!A:A,Contrato!T:T,"",0)</f>
        <v>#NAME?</v>
      </c>
      <c r="AB171" s="445" t="e">
        <f ca="1">+MAX(PAA[[#This Row],[Comprometido Contrato]],)</f>
        <v>#NAME?</v>
      </c>
      <c r="AC171" s="445" t="str">
        <f t="shared" ca="1" si="17"/>
        <v/>
      </c>
      <c r="AD171" s="445" t="e">
        <f ca="1">+MAX(PAA[[#This Row],[Pago por Contrato]],)</f>
        <v>#NAME?</v>
      </c>
      <c r="AE171" s="445" t="str">
        <f t="shared" ca="1" si="18"/>
        <v/>
      </c>
      <c r="AF171" s="436" t="e">
        <f t="shared" ca="1" si="19"/>
        <v>#NAME?</v>
      </c>
      <c r="AG171" s="436">
        <f t="shared" si="20"/>
        <v>52010702</v>
      </c>
      <c r="AH171" s="436" t="e" cm="1">
        <f t="array" aca="1" ref="AH171" ca="1">_xlfn.XLOOKUP(PAA[[#This Row],[RCP-RUBRO]],COMPROMISOS_2025[[#All],[concatenado]],COMPROMISOS_2025[[#All],[Total pagado]],"",0)</f>
        <v>#NAME?</v>
      </c>
      <c r="AI171" s="436" t="e" cm="1">
        <f t="array" aca="1" ref="AI171" ca="1">_xlfn.XLOOKUP(PAA[[#This Row],[RCP-RUBRO]],COMPROMISOS_2025[[#All],[concatenado]],COMPROMISOS_2025[[#All],[Total Comprometido]],"",0)</f>
        <v>#NAME?</v>
      </c>
    </row>
    <row r="172" spans="1:35" s="50" customFormat="1" ht="42" hidden="1" customHeight="1" x14ac:dyDescent="0.25">
      <c r="A172" s="265">
        <v>121</v>
      </c>
      <c r="B172" s="255">
        <v>80111600</v>
      </c>
      <c r="C172" s="265" t="str">
        <f>VLOOKUP(PAA[[#This Row],[PROYECTO (formulado)2]],PROYECTOS!$G$1:$L$32,6,0)</f>
        <v>SUBGERENCIA DE FOMENTO Y DESARROLLO</v>
      </c>
      <c r="D172" s="265" t="str">
        <f>+IF(PAA[[#This Row],[UNIDAD DE CONTRATACION (formulado)]]="Subgerencia Administrativa y Financiera","FUNCIONAMIENTO","INVERSIÓN")</f>
        <v>INVERSIÓN</v>
      </c>
      <c r="E172" s="274" t="str">
        <f>VLOOKUP(Q172,PROYECTOS!$G$1:$K$32,5,0)</f>
        <v>Desarrollo y promoción del deporte formativo, la recreación y la actividad física en el departamento Antioquia</v>
      </c>
      <c r="F172" s="274">
        <f>VLOOKUP(E172,PROYECTOS!$K$1:$M$32,3,0)</f>
        <v>2024003050101</v>
      </c>
      <c r="G172" s="266" t="s">
        <v>289</v>
      </c>
      <c r="H172" s="266" t="str">
        <f>VLOOKUP(Q172,PROYECTOS!$V$1:$W$32,2,0)</f>
        <v>050075</v>
      </c>
      <c r="I172" s="269">
        <v>83968000</v>
      </c>
      <c r="J172" s="275" t="s">
        <v>294</v>
      </c>
      <c r="K172" s="265" t="str">
        <f t="shared" ca="1" si="14"/>
        <v>CONTRATADO</v>
      </c>
      <c r="L172" s="275" t="s">
        <v>112</v>
      </c>
      <c r="M172" s="275" t="s">
        <v>113</v>
      </c>
      <c r="N172" s="276" t="s">
        <v>284</v>
      </c>
      <c r="O172" s="275">
        <f>VLOOKUP(N172,RUBROS[#All],3,0)</f>
        <v>73</v>
      </c>
      <c r="P172" s="277" t="str">
        <f>VLOOKUP(N172,RUBROS[#All],2,0)</f>
        <v>Desarrollo y promoción del deporte formativo, la recreación y la actividad física en el departamento Antioquia. - Servicios para la comunidad, sociales y personales</v>
      </c>
      <c r="Q172" s="265" t="str">
        <f t="shared" si="15"/>
        <v>01</v>
      </c>
      <c r="R172" s="265" t="str">
        <f t="shared" si="16"/>
        <v>0-205400</v>
      </c>
      <c r="S172" s="254">
        <v>10</v>
      </c>
      <c r="T172" s="278" t="s">
        <v>46</v>
      </c>
      <c r="U172" s="272" t="e">
        <f ca="1">_xlfn.XLOOKUP(PAA[[#This Row],[ITEM]],Contrato!A:A,Contrato!Q:Q,"",0)</f>
        <v>#NAME?</v>
      </c>
      <c r="V172" s="265" t="s">
        <v>47</v>
      </c>
      <c r="W172" s="265" t="s">
        <v>127</v>
      </c>
      <c r="X172" s="265" t="s">
        <v>127</v>
      </c>
      <c r="Y172" s="273" t="e">
        <f ca="1">_xlfn.XLOOKUP(PAA[[#This Row],[ITEM]],Contrato!A:A,Contrato!B:B,"",0)</f>
        <v>#NAME?</v>
      </c>
      <c r="Z172" s="265" t="e">
        <f ca="1">_xlfn.XLOOKUP(PAA[[#This Row],[ITEM]],Contrato!A:A,Contrato!G:G,"",0)</f>
        <v>#NAME?</v>
      </c>
      <c r="AA172" s="265" t="e">
        <f ca="1">_xlfn.XLOOKUP(PAA[[#This Row],[ITEM]],Contrato!A:A,Contrato!T:T,"",0)</f>
        <v>#NAME?</v>
      </c>
      <c r="AB172" s="273" t="e">
        <f ca="1">+MAX(PAA[[#This Row],[Comprometido Contrato]],)</f>
        <v>#NAME?</v>
      </c>
      <c r="AC172" s="273" t="str">
        <f t="shared" ca="1" si="17"/>
        <v/>
      </c>
      <c r="AD172" s="273" t="e">
        <f ca="1">+MAX(PAA[[#This Row],[Pago por Contrato]],)</f>
        <v>#NAME?</v>
      </c>
      <c r="AE172" s="273" t="str">
        <f t="shared" ca="1" si="18"/>
        <v/>
      </c>
      <c r="AF172" s="265" t="e">
        <f t="shared" ca="1" si="19"/>
        <v>#NAME?</v>
      </c>
      <c r="AG172" s="265">
        <f t="shared" si="20"/>
        <v>52010702</v>
      </c>
      <c r="AH172" s="265" t="e" cm="1">
        <f t="array" aca="1" ref="AH172" ca="1">_xlfn.XLOOKUP(PAA[[#This Row],[RCP-RUBRO]],COMPROMISOS_2025[[#All],[concatenado]],COMPROMISOS_2025[[#All],[Total pagado]],"",0)</f>
        <v>#NAME?</v>
      </c>
      <c r="AI172" s="265" t="e" cm="1">
        <f t="array" aca="1" ref="AI172" ca="1">_xlfn.XLOOKUP(PAA[[#This Row],[RCP-RUBRO]],COMPROMISOS_2025[[#All],[concatenado]],COMPROMISOS_2025[[#All],[Total Comprometido]],"",0)</f>
        <v>#NAME?</v>
      </c>
    </row>
    <row r="173" spans="1:35" s="50" customFormat="1" ht="42" hidden="1" customHeight="1" x14ac:dyDescent="0.25">
      <c r="A173" s="199">
        <v>122</v>
      </c>
      <c r="B173" s="200">
        <v>80111600</v>
      </c>
      <c r="C173" s="199" t="str">
        <f>VLOOKUP(PAA[[#This Row],[PROYECTO (formulado)2]],PROYECTOS!$G$1:$L$32,6,0)</f>
        <v>SUBGERENCIA DE FOMENTO Y DESARROLLO</v>
      </c>
      <c r="D173" s="199" t="str">
        <f>+IF(PAA[[#This Row],[UNIDAD DE CONTRATACION (formulado)]]="Subgerencia Administrativa y Financiera","FUNCIONAMIENTO","INVERSIÓN")</f>
        <v>INVERSIÓN</v>
      </c>
      <c r="E173" s="201" t="str">
        <f>VLOOKUP(Q173,PROYECTOS!$G$1:$K$32,5,0)</f>
        <v>Desarrollo y promoción del deporte formativo, la recreación y la actividad física en el departamento Antioquia</v>
      </c>
      <c r="F173" s="201">
        <f>VLOOKUP(E173,PROYECTOS!$K$1:$M$32,3,0)</f>
        <v>2024003050101</v>
      </c>
      <c r="G173" s="202" t="s">
        <v>289</v>
      </c>
      <c r="H173" s="202" t="str">
        <f>VLOOKUP(Q173,PROYECTOS!$V$1:$W$32,2,0)</f>
        <v>050075</v>
      </c>
      <c r="I173" s="203">
        <v>0</v>
      </c>
      <c r="J173" s="204" t="s">
        <v>41</v>
      </c>
      <c r="K173" s="199" t="str">
        <f t="shared" ca="1" si="14"/>
        <v>CONTRATADO</v>
      </c>
      <c r="L173" s="204" t="s">
        <v>112</v>
      </c>
      <c r="M173" s="204" t="s">
        <v>113</v>
      </c>
      <c r="N173" s="205" t="s">
        <v>284</v>
      </c>
      <c r="O173" s="204">
        <f>VLOOKUP(N173,RUBROS[#All],3,0)</f>
        <v>73</v>
      </c>
      <c r="P173" s="206" t="str">
        <f>VLOOKUP(N173,RUBROS[#All],2,0)</f>
        <v>Desarrollo y promoción del deporte formativo, la recreación y la actividad física en el departamento Antioquia. - Servicios para la comunidad, sociales y personales</v>
      </c>
      <c r="Q173" s="199" t="str">
        <f t="shared" si="15"/>
        <v>01</v>
      </c>
      <c r="R173" s="199" t="str">
        <f t="shared" si="16"/>
        <v>0-205400</v>
      </c>
      <c r="S173" s="207">
        <v>10</v>
      </c>
      <c r="T173" s="208" t="s">
        <v>46</v>
      </c>
      <c r="U173" s="209" t="e">
        <f ca="1">_xlfn.XLOOKUP(PAA[[#This Row],[ITEM]],Contrato!A:A,Contrato!Q:Q,"",0)</f>
        <v>#NAME?</v>
      </c>
      <c r="V173" s="199" t="s">
        <v>47</v>
      </c>
      <c r="W173" s="199" t="s">
        <v>127</v>
      </c>
      <c r="X173" s="199" t="s">
        <v>127</v>
      </c>
      <c r="Y173" s="210" t="e">
        <f ca="1">_xlfn.XLOOKUP(PAA[[#This Row],[ITEM]],Contrato!A:A,Contrato!B:B,"",0)</f>
        <v>#NAME?</v>
      </c>
      <c r="Z173" s="199" t="e">
        <f ca="1">_xlfn.XLOOKUP(PAA[[#This Row],[ITEM]],Contrato!A:A,Contrato!G:G,"",0)</f>
        <v>#NAME?</v>
      </c>
      <c r="AA173" s="199" t="e">
        <f ca="1">_xlfn.XLOOKUP(PAA[[#This Row],[ITEM]],Contrato!A:A,Contrato!T:T,"",0)</f>
        <v>#NAME?</v>
      </c>
      <c r="AB173" s="210" t="e">
        <f ca="1">+MAX(PAA[[#This Row],[Comprometido Contrato]],)</f>
        <v>#NAME?</v>
      </c>
      <c r="AC173" s="210" t="str">
        <f t="shared" ca="1" si="17"/>
        <v/>
      </c>
      <c r="AD173" s="210" t="e">
        <f ca="1">+MAX(PAA[[#This Row],[Pago por Contrato]],)</f>
        <v>#NAME?</v>
      </c>
      <c r="AE173" s="210" t="str">
        <f t="shared" ca="1" si="18"/>
        <v/>
      </c>
      <c r="AF173" s="199" t="e">
        <f t="shared" ca="1" si="19"/>
        <v>#NAME?</v>
      </c>
      <c r="AG173" s="199">
        <f t="shared" si="20"/>
        <v>52010702</v>
      </c>
      <c r="AH173" s="199" t="e" cm="1">
        <f t="array" aca="1" ref="AH173" ca="1">_xlfn.XLOOKUP(PAA[[#This Row],[RCP-RUBRO]],COMPROMISOS_2025[[#All],[concatenado]],COMPROMISOS_2025[[#All],[Total pagado]],"",0)</f>
        <v>#NAME?</v>
      </c>
      <c r="AI173" s="199" t="e" cm="1">
        <f t="array" aca="1" ref="AI173" ca="1">_xlfn.XLOOKUP(PAA[[#This Row],[RCP-RUBRO]],COMPROMISOS_2025[[#All],[concatenado]],COMPROMISOS_2025[[#All],[Total Comprometido]],"",0)</f>
        <v>#NAME?</v>
      </c>
    </row>
    <row r="174" spans="1:35" s="50" customFormat="1" ht="42" hidden="1" customHeight="1" x14ac:dyDescent="0.25">
      <c r="A174" s="199">
        <v>123</v>
      </c>
      <c r="B174" s="200">
        <v>80111600</v>
      </c>
      <c r="C174" s="199" t="str">
        <f>VLOOKUP(PAA[[#This Row],[PROYECTO (formulado)2]],PROYECTOS!$G$1:$L$32,6,0)</f>
        <v>SUBGERENCIA DE FOMENTO Y DESARROLLO</v>
      </c>
      <c r="D174" s="199" t="str">
        <f>+IF(PAA[[#This Row],[UNIDAD DE CONTRATACION (formulado)]]="Subgerencia Administrativa y Financiera","FUNCIONAMIENTO","INVERSIÓN")</f>
        <v>INVERSIÓN</v>
      </c>
      <c r="E174" s="201" t="str">
        <f>VLOOKUP(Q174,PROYECTOS!$G$1:$K$32,5,0)</f>
        <v>Desarrollo y promoción del deporte formativo, la recreación y la actividad física en el departamento Antioquia</v>
      </c>
      <c r="F174" s="201">
        <f>VLOOKUP(E174,PROYECTOS!$K$1:$M$32,3,0)</f>
        <v>2024003050101</v>
      </c>
      <c r="G174" s="202" t="s">
        <v>295</v>
      </c>
      <c r="H174" s="202" t="str">
        <f>VLOOKUP(Q174,PROYECTOS!$V$1:$W$32,2,0)</f>
        <v>050075</v>
      </c>
      <c r="I174" s="203">
        <v>0</v>
      </c>
      <c r="J174" s="204" t="s">
        <v>41</v>
      </c>
      <c r="K174" s="199" t="str">
        <f t="shared" ca="1" si="14"/>
        <v>CONTRATADO</v>
      </c>
      <c r="L174" s="204" t="s">
        <v>112</v>
      </c>
      <c r="M174" s="204" t="s">
        <v>113</v>
      </c>
      <c r="N174" s="205" t="s">
        <v>284</v>
      </c>
      <c r="O174" s="204">
        <f>VLOOKUP(N174,RUBROS[#All],3,0)</f>
        <v>73</v>
      </c>
      <c r="P174" s="206" t="str">
        <f>VLOOKUP(N174,RUBROS[#All],2,0)</f>
        <v>Desarrollo y promoción del deporte formativo, la recreación y la actividad física en el departamento Antioquia. - Servicios para la comunidad, sociales y personales</v>
      </c>
      <c r="Q174" s="199" t="str">
        <f t="shared" si="15"/>
        <v>01</v>
      </c>
      <c r="R174" s="199" t="str">
        <f t="shared" si="16"/>
        <v>0-205400</v>
      </c>
      <c r="S174" s="207">
        <v>10</v>
      </c>
      <c r="T174" s="208" t="s">
        <v>46</v>
      </c>
      <c r="U174" s="209" t="e">
        <f ca="1">_xlfn.XLOOKUP(PAA[[#This Row],[ITEM]],Contrato!A:A,Contrato!Q:Q,"",0)</f>
        <v>#NAME?</v>
      </c>
      <c r="V174" s="199" t="s">
        <v>47</v>
      </c>
      <c r="W174" s="199" t="s">
        <v>127</v>
      </c>
      <c r="X174" s="199" t="s">
        <v>127</v>
      </c>
      <c r="Y174" s="210" t="e">
        <f ca="1">_xlfn.XLOOKUP(PAA[[#This Row],[ITEM]],Contrato!A:A,Contrato!B:B,"",0)</f>
        <v>#NAME?</v>
      </c>
      <c r="Z174" s="199" t="e">
        <f ca="1">_xlfn.XLOOKUP(PAA[[#This Row],[ITEM]],Contrato!A:A,Contrato!G:G,"",0)</f>
        <v>#NAME?</v>
      </c>
      <c r="AA174" s="199" t="e">
        <f ca="1">_xlfn.XLOOKUP(PAA[[#This Row],[ITEM]],Contrato!A:A,Contrato!T:T,"",0)</f>
        <v>#NAME?</v>
      </c>
      <c r="AB174" s="210" t="e">
        <f ca="1">+MAX(PAA[[#This Row],[Comprometido Contrato]],)</f>
        <v>#NAME?</v>
      </c>
      <c r="AC174" s="210" t="str">
        <f t="shared" ca="1" si="17"/>
        <v/>
      </c>
      <c r="AD174" s="210" t="e">
        <f ca="1">+MAX(PAA[[#This Row],[Pago por Contrato]],)</f>
        <v>#NAME?</v>
      </c>
      <c r="AE174" s="210" t="str">
        <f t="shared" ca="1" si="18"/>
        <v/>
      </c>
      <c r="AF174" s="199" t="e">
        <f t="shared" ca="1" si="19"/>
        <v>#NAME?</v>
      </c>
      <c r="AG174" s="199">
        <f t="shared" si="20"/>
        <v>52010702</v>
      </c>
      <c r="AH174" s="199" t="e" cm="1">
        <f t="array" aca="1" ref="AH174" ca="1">_xlfn.XLOOKUP(PAA[[#This Row],[RCP-RUBRO]],COMPROMISOS_2025[[#All],[concatenado]],COMPROMISOS_2025[[#All],[Total pagado]],"",0)</f>
        <v>#NAME?</v>
      </c>
      <c r="AI174" s="199" t="e" cm="1">
        <f t="array" aca="1" ref="AI174" ca="1">_xlfn.XLOOKUP(PAA[[#This Row],[RCP-RUBRO]],COMPROMISOS_2025[[#All],[concatenado]],COMPROMISOS_2025[[#All],[Total Comprometido]],"",0)</f>
        <v>#NAME?</v>
      </c>
    </row>
    <row r="175" spans="1:35" s="50" customFormat="1" ht="42" hidden="1" customHeight="1" x14ac:dyDescent="0.25">
      <c r="A175" s="199">
        <v>124</v>
      </c>
      <c r="B175" s="200">
        <v>80111600</v>
      </c>
      <c r="C175" s="199" t="str">
        <f>VLOOKUP(PAA[[#This Row],[PROYECTO (formulado)2]],PROYECTOS!$G$1:$L$32,6,0)</f>
        <v>SUBGERENCIA DE FOMENTO Y DESARROLLO</v>
      </c>
      <c r="D175" s="199" t="str">
        <f>+IF(PAA[[#This Row],[UNIDAD DE CONTRATACION (formulado)]]="Subgerencia Administrativa y Financiera","FUNCIONAMIENTO","INVERSIÓN")</f>
        <v>INVERSIÓN</v>
      </c>
      <c r="E175" s="201" t="str">
        <f>VLOOKUP(Q175,PROYECTOS!$G$1:$K$32,5,0)</f>
        <v>Desarrollo y promoción del deporte formativo, la recreación y la actividad física en el departamento Antioquia</v>
      </c>
      <c r="F175" s="201">
        <f>VLOOKUP(E175,PROYECTOS!$K$1:$M$32,3,0)</f>
        <v>2024003050101</v>
      </c>
      <c r="G175" s="202" t="s">
        <v>295</v>
      </c>
      <c r="H175" s="202" t="str">
        <f>VLOOKUP(Q175,PROYECTOS!$V$1:$W$32,2,0)</f>
        <v>050075</v>
      </c>
      <c r="I175" s="203">
        <v>0</v>
      </c>
      <c r="J175" s="204" t="s">
        <v>41</v>
      </c>
      <c r="K175" s="199" t="str">
        <f t="shared" ca="1" si="14"/>
        <v>CONTRATADO</v>
      </c>
      <c r="L175" s="204" t="s">
        <v>112</v>
      </c>
      <c r="M175" s="204" t="s">
        <v>113</v>
      </c>
      <c r="N175" s="205" t="s">
        <v>284</v>
      </c>
      <c r="O175" s="204">
        <f>VLOOKUP(N175,RUBROS[#All],3,0)</f>
        <v>73</v>
      </c>
      <c r="P175" s="206" t="str">
        <f>VLOOKUP(N175,RUBROS[#All],2,0)</f>
        <v>Desarrollo y promoción del deporte formativo, la recreación y la actividad física en el departamento Antioquia. - Servicios para la comunidad, sociales y personales</v>
      </c>
      <c r="Q175" s="199" t="str">
        <f t="shared" si="15"/>
        <v>01</v>
      </c>
      <c r="R175" s="199" t="str">
        <f t="shared" si="16"/>
        <v>0-205400</v>
      </c>
      <c r="S175" s="207">
        <v>10</v>
      </c>
      <c r="T175" s="208" t="s">
        <v>46</v>
      </c>
      <c r="U175" s="209" t="e">
        <f ca="1">_xlfn.XLOOKUP(PAA[[#This Row],[ITEM]],Contrato!A:A,Contrato!Q:Q,"",0)</f>
        <v>#NAME?</v>
      </c>
      <c r="V175" s="199" t="s">
        <v>47</v>
      </c>
      <c r="W175" s="199" t="s">
        <v>127</v>
      </c>
      <c r="X175" s="199" t="s">
        <v>127</v>
      </c>
      <c r="Y175" s="210" t="e">
        <f ca="1">_xlfn.XLOOKUP(PAA[[#This Row],[ITEM]],Contrato!A:A,Contrato!B:B,"",0)</f>
        <v>#NAME?</v>
      </c>
      <c r="Z175" s="199" t="e">
        <f ca="1">_xlfn.XLOOKUP(PAA[[#This Row],[ITEM]],Contrato!A:A,Contrato!G:G,"",0)</f>
        <v>#NAME?</v>
      </c>
      <c r="AA175" s="199" t="e">
        <f ca="1">_xlfn.XLOOKUP(PAA[[#This Row],[ITEM]],Contrato!A:A,Contrato!T:T,"",0)</f>
        <v>#NAME?</v>
      </c>
      <c r="AB175" s="210" t="e">
        <f ca="1">+MAX(PAA[[#This Row],[Comprometido Contrato]],)</f>
        <v>#NAME?</v>
      </c>
      <c r="AC175" s="210" t="str">
        <f t="shared" ca="1" si="17"/>
        <v/>
      </c>
      <c r="AD175" s="210" t="e">
        <f ca="1">+MAX(PAA[[#This Row],[Pago por Contrato]],)</f>
        <v>#NAME?</v>
      </c>
      <c r="AE175" s="210" t="str">
        <f t="shared" ca="1" si="18"/>
        <v/>
      </c>
      <c r="AF175" s="199" t="e">
        <f t="shared" ca="1" si="19"/>
        <v>#NAME?</v>
      </c>
      <c r="AG175" s="199">
        <f t="shared" si="20"/>
        <v>52010702</v>
      </c>
      <c r="AH175" s="199" t="e" cm="1">
        <f t="array" aca="1" ref="AH175" ca="1">_xlfn.XLOOKUP(PAA[[#This Row],[RCP-RUBRO]],COMPROMISOS_2025[[#All],[concatenado]],COMPROMISOS_2025[[#All],[Total pagado]],"",0)</f>
        <v>#NAME?</v>
      </c>
      <c r="AI175" s="199" t="e" cm="1">
        <f t="array" aca="1" ref="AI175" ca="1">_xlfn.XLOOKUP(PAA[[#This Row],[RCP-RUBRO]],COMPROMISOS_2025[[#All],[concatenado]],COMPROMISOS_2025[[#All],[Total Comprometido]],"",0)</f>
        <v>#NAME?</v>
      </c>
    </row>
    <row r="176" spans="1:35" s="50" customFormat="1" ht="42" customHeight="1" x14ac:dyDescent="0.25">
      <c r="A176" s="265">
        <v>125</v>
      </c>
      <c r="B176" s="255">
        <v>80111600</v>
      </c>
      <c r="C176" s="265" t="str">
        <f>VLOOKUP(PAA[[#This Row],[PROYECTO (formulado)2]],PROYECTOS!$G$1:$L$32,6,0)</f>
        <v>SUBGERENCIA DE FOMENTO Y DESARROLLO</v>
      </c>
      <c r="D176" s="265" t="str">
        <f>+IF(PAA[[#This Row],[UNIDAD DE CONTRATACION (formulado)]]="Subgerencia Administrativa y Financiera","FUNCIONAMIENTO","INVERSIÓN")</f>
        <v>INVERSIÓN</v>
      </c>
      <c r="E176" s="274" t="str">
        <f>VLOOKUP(Q176,PROYECTOS!$G$1:$K$32,5,0)</f>
        <v>Desarrollo y promoción del deporte formativo, la recreación y la actividad física en el departamento Antioquia</v>
      </c>
      <c r="F176" s="274">
        <f>VLOOKUP(E176,PROYECTOS!$K$1:$M$32,3,0)</f>
        <v>2024003050101</v>
      </c>
      <c r="G176" s="266" t="s">
        <v>289</v>
      </c>
      <c r="H176" s="266" t="str">
        <f>VLOOKUP(Q176,PROYECTOS!$V$1:$W$32,2,0)</f>
        <v>050075</v>
      </c>
      <c r="I176" s="269">
        <v>0</v>
      </c>
      <c r="J176" s="275" t="s">
        <v>41</v>
      </c>
      <c r="K176" s="265" t="str">
        <f t="shared" ca="1" si="14"/>
        <v>CONTRATADO</v>
      </c>
      <c r="L176" s="275" t="s">
        <v>41</v>
      </c>
      <c r="M176" s="275" t="s">
        <v>41</v>
      </c>
      <c r="N176" s="276" t="s">
        <v>284</v>
      </c>
      <c r="O176" s="275">
        <f>VLOOKUP(N176,RUBROS[#All],3,0)</f>
        <v>73</v>
      </c>
      <c r="P176" s="277" t="str">
        <f>VLOOKUP(N176,RUBROS[#All],2,0)</f>
        <v>Desarrollo y promoción del deporte formativo, la recreación y la actividad física en el departamento Antioquia. - Servicios para la comunidad, sociales y personales</v>
      </c>
      <c r="Q176" s="265" t="str">
        <f t="shared" si="15"/>
        <v>01</v>
      </c>
      <c r="R176" s="265" t="str">
        <f t="shared" si="16"/>
        <v>0-205400</v>
      </c>
      <c r="S176" s="254">
        <v>11</v>
      </c>
      <c r="T176" s="278" t="s">
        <v>46</v>
      </c>
      <c r="U176" s="272" t="e">
        <f ca="1">_xlfn.XLOOKUP(PAA[[#This Row],[ITEM]],Contrato!A:A,Contrato!Q:Q,"",0)</f>
        <v>#NAME?</v>
      </c>
      <c r="V176" s="265" t="s">
        <v>47</v>
      </c>
      <c r="W176" s="265" t="s">
        <v>154</v>
      </c>
      <c r="X176" s="265" t="s">
        <v>154</v>
      </c>
      <c r="Y176" s="273" t="e">
        <f ca="1">_xlfn.XLOOKUP(PAA[[#This Row],[ITEM]],Contrato!A:A,Contrato!B:B,"",0)</f>
        <v>#NAME?</v>
      </c>
      <c r="Z176" s="265" t="e">
        <f ca="1">_xlfn.XLOOKUP(PAA[[#This Row],[ITEM]],Contrato!A:A,Contrato!G:G,"",0)</f>
        <v>#NAME?</v>
      </c>
      <c r="AA176" s="265" t="e">
        <f ca="1">_xlfn.XLOOKUP(PAA[[#This Row],[ITEM]],Contrato!A:A,Contrato!T:T,"",0)</f>
        <v>#NAME?</v>
      </c>
      <c r="AB176" s="273" t="e">
        <f ca="1">+MAX(PAA[[#This Row],[Comprometido Contrato]],)</f>
        <v>#NAME?</v>
      </c>
      <c r="AC176" s="273" t="str">
        <f t="shared" ca="1" si="17"/>
        <v/>
      </c>
      <c r="AD176" s="273" t="e">
        <f ca="1">+MAX(PAA[[#This Row],[Pago por Contrato]],)</f>
        <v>#NAME?</v>
      </c>
      <c r="AE176" s="273" t="str">
        <f t="shared" ca="1" si="18"/>
        <v/>
      </c>
      <c r="AF176" s="265" t="e">
        <f t="shared" ca="1" si="19"/>
        <v>#NAME?</v>
      </c>
      <c r="AG176" s="265">
        <f t="shared" si="20"/>
        <v>52010702</v>
      </c>
      <c r="AH176" s="265" t="e" cm="1">
        <f t="array" aca="1" ref="AH176" ca="1">_xlfn.XLOOKUP(PAA[[#This Row],[RCP-RUBRO]],COMPROMISOS_2025[[#All],[concatenado]],COMPROMISOS_2025[[#All],[Total pagado]],"",0)</f>
        <v>#NAME?</v>
      </c>
      <c r="AI176" s="265" t="e" cm="1">
        <f t="array" aca="1" ref="AI176" ca="1">_xlfn.XLOOKUP(PAA[[#This Row],[RCP-RUBRO]],COMPROMISOS_2025[[#All],[concatenado]],COMPROMISOS_2025[[#All],[Total Comprometido]],"",0)</f>
        <v>#NAME?</v>
      </c>
    </row>
    <row r="177" spans="1:35" s="50" customFormat="1" ht="42" hidden="1" customHeight="1" x14ac:dyDescent="0.25">
      <c r="A177" s="199">
        <v>125</v>
      </c>
      <c r="B177" s="200">
        <v>80111600</v>
      </c>
      <c r="C177" s="199" t="str">
        <f>VLOOKUP(PAA[[#This Row],[PROYECTO (formulado)2]],PROYECTOS!$G$1:$L$32,6,0)</f>
        <v>SUBGERENCIA DE FOMENTO Y DESARROLLO</v>
      </c>
      <c r="D177" s="199" t="str">
        <f>+IF(PAA[[#This Row],[UNIDAD DE CONTRATACION (formulado)]]="Subgerencia Administrativa y Financiera","FUNCIONAMIENTO","INVERSIÓN")</f>
        <v>INVERSIÓN</v>
      </c>
      <c r="E177" s="201" t="str">
        <f>VLOOKUP(Q177,PROYECTOS!$G$1:$K$32,5,0)</f>
        <v>Desarrollo y promoción del deporte formativo, la recreación y la actividad física en el departamento Antioquia</v>
      </c>
      <c r="F177" s="201">
        <f>VLOOKUP(E177,PROYECTOS!$K$1:$M$32,3,0)</f>
        <v>2024003050101</v>
      </c>
      <c r="G177" s="202" t="s">
        <v>289</v>
      </c>
      <c r="H177" s="202" t="str">
        <f>VLOOKUP(Q177,PROYECTOS!$V$1:$W$32,2,0)</f>
        <v>050075</v>
      </c>
      <c r="I177" s="203">
        <v>0</v>
      </c>
      <c r="J177" s="204" t="s">
        <v>41</v>
      </c>
      <c r="K177" s="199" t="str">
        <f t="shared" ca="1" si="14"/>
        <v>CONTRATADO</v>
      </c>
      <c r="L177" s="204" t="s">
        <v>112</v>
      </c>
      <c r="M177" s="204" t="s">
        <v>113</v>
      </c>
      <c r="N177" s="205" t="s">
        <v>296</v>
      </c>
      <c r="O177" s="204">
        <f>VLOOKUP(N177,RUBROS[#All],3,0)</f>
        <v>71</v>
      </c>
      <c r="P177" s="206" t="str">
        <f>VLOOKUP(N177,RUBROS[#All],2,0)</f>
        <v>Desarrollo y promoción del deporte formativo, la recreación y la actividad física en el departamento Antioquia-Servicios para la comunidad, sociales y personales</v>
      </c>
      <c r="Q177" s="199" t="str">
        <f t="shared" si="15"/>
        <v>01</v>
      </c>
      <c r="R177" s="199" t="str">
        <f t="shared" si="16"/>
        <v>0-205128</v>
      </c>
      <c r="S177" s="207" t="s">
        <v>41</v>
      </c>
      <c r="T177" s="208" t="s">
        <v>41</v>
      </c>
      <c r="U177" s="209" t="e">
        <f ca="1">_xlfn.XLOOKUP(PAA[[#This Row],[ITEM]],Contrato!A:A,Contrato!Q:Q,"",0)</f>
        <v>#NAME?</v>
      </c>
      <c r="V177" s="199" t="s">
        <v>47</v>
      </c>
      <c r="W177" s="199" t="s">
        <v>41</v>
      </c>
      <c r="X177" s="199" t="s">
        <v>41</v>
      </c>
      <c r="Y177" s="210" t="e">
        <f ca="1">_xlfn.XLOOKUP(PAA[[#This Row],[ITEM]],Contrato!A:A,Contrato!B:B,"",0)</f>
        <v>#NAME?</v>
      </c>
      <c r="Z177" s="199" t="e">
        <f ca="1">_xlfn.XLOOKUP(PAA[[#This Row],[ITEM]],Contrato!A:A,Contrato!G:G,"",0)</f>
        <v>#NAME?</v>
      </c>
      <c r="AA177" s="199" t="e">
        <f ca="1">_xlfn.XLOOKUP(PAA[[#This Row],[ITEM]],Contrato!A:A,Contrato!T:T,"",0)</f>
        <v>#NAME?</v>
      </c>
      <c r="AB177" s="210" t="e">
        <f ca="1">+MAX(PAA[[#This Row],[Comprometido Contrato]],)</f>
        <v>#NAME?</v>
      </c>
      <c r="AC177" s="210" t="str">
        <f t="shared" ca="1" si="17"/>
        <v/>
      </c>
      <c r="AD177" s="210" t="e">
        <f ca="1">+MAX(PAA[[#This Row],[Pago por Contrato]],)</f>
        <v>#NAME?</v>
      </c>
      <c r="AE177" s="210" t="str">
        <f t="shared" ca="1" si="18"/>
        <v/>
      </c>
      <c r="AF177" s="199" t="e">
        <f t="shared" ca="1" si="19"/>
        <v>#NAME?</v>
      </c>
      <c r="AG177" s="199">
        <f t="shared" si="20"/>
        <v>52010702</v>
      </c>
      <c r="AH177" s="199" t="e" cm="1">
        <f t="array" aca="1" ref="AH177" ca="1">_xlfn.XLOOKUP(PAA[[#This Row],[RCP-RUBRO]],COMPROMISOS_2025[[#All],[concatenado]],COMPROMISOS_2025[[#All],[Total pagado]],"",0)</f>
        <v>#NAME?</v>
      </c>
      <c r="AI177" s="199" t="e" cm="1">
        <f t="array" aca="1" ref="AI177" ca="1">_xlfn.XLOOKUP(PAA[[#This Row],[RCP-RUBRO]],COMPROMISOS_2025[[#All],[concatenado]],COMPROMISOS_2025[[#All],[Total Comprometido]],"",0)</f>
        <v>#NAME?</v>
      </c>
    </row>
    <row r="178" spans="1:35" s="50" customFormat="1" ht="42" hidden="1" customHeight="1" x14ac:dyDescent="0.25">
      <c r="A178" s="199">
        <v>126</v>
      </c>
      <c r="B178" s="200">
        <v>80111600</v>
      </c>
      <c r="C178" s="199" t="str">
        <f>VLOOKUP(PAA[[#This Row],[PROYECTO (formulado)2]],PROYECTOS!$G$1:$L$32,6,0)</f>
        <v>SUBGERENCIA DE FOMENTO Y DESARROLLO</v>
      </c>
      <c r="D178" s="199" t="str">
        <f>+IF(PAA[[#This Row],[UNIDAD DE CONTRATACION (formulado)]]="Subgerencia Administrativa y Financiera","FUNCIONAMIENTO","INVERSIÓN")</f>
        <v>INVERSIÓN</v>
      </c>
      <c r="E178" s="201" t="str">
        <f>VLOOKUP(Q178,PROYECTOS!$G$1:$K$32,5,0)</f>
        <v>Desarrollo y promoción del deporte formativo, la recreación y la actividad física en el departamento Antioquia</v>
      </c>
      <c r="F178" s="201">
        <f>VLOOKUP(E178,PROYECTOS!$K$1:$M$32,3,0)</f>
        <v>2024003050101</v>
      </c>
      <c r="G178" s="202" t="s">
        <v>297</v>
      </c>
      <c r="H178" s="202" t="str">
        <f>VLOOKUP(Q178,PROYECTOS!$V$1:$W$32,2,0)</f>
        <v>050075</v>
      </c>
      <c r="I178" s="203">
        <v>0</v>
      </c>
      <c r="J178" s="204" t="s">
        <v>41</v>
      </c>
      <c r="K178" s="199" t="str">
        <f t="shared" ca="1" si="14"/>
        <v>CONTRATADO</v>
      </c>
      <c r="L178" s="204" t="s">
        <v>112</v>
      </c>
      <c r="M178" s="204" t="s">
        <v>113</v>
      </c>
      <c r="N178" s="205" t="s">
        <v>296</v>
      </c>
      <c r="O178" s="204">
        <f>VLOOKUP(N178,RUBROS[#All],3,0)</f>
        <v>71</v>
      </c>
      <c r="P178" s="206" t="str">
        <f>VLOOKUP(N178,RUBROS[#All],2,0)</f>
        <v>Desarrollo y promoción del deporte formativo, la recreación y la actividad física en el departamento Antioquia-Servicios para la comunidad, sociales y personales</v>
      </c>
      <c r="Q178" s="199" t="str">
        <f t="shared" si="15"/>
        <v>01</v>
      </c>
      <c r="R178" s="199" t="str">
        <f t="shared" si="16"/>
        <v>0-205128</v>
      </c>
      <c r="S178" s="207" t="s">
        <v>41</v>
      </c>
      <c r="T178" s="208" t="s">
        <v>41</v>
      </c>
      <c r="U178" s="209" t="e">
        <f ca="1">_xlfn.XLOOKUP(PAA[[#This Row],[ITEM]],Contrato!A:A,Contrato!Q:Q,"",0)</f>
        <v>#NAME?</v>
      </c>
      <c r="V178" s="199" t="s">
        <v>47</v>
      </c>
      <c r="W178" s="199" t="s">
        <v>41</v>
      </c>
      <c r="X178" s="199" t="s">
        <v>41</v>
      </c>
      <c r="Y178" s="210" t="e">
        <f ca="1">_xlfn.XLOOKUP(PAA[[#This Row],[ITEM]],Contrato!A:A,Contrato!B:B,"",0)</f>
        <v>#NAME?</v>
      </c>
      <c r="Z178" s="199" t="e">
        <f ca="1">_xlfn.XLOOKUP(PAA[[#This Row],[ITEM]],Contrato!A:A,Contrato!G:G,"",0)</f>
        <v>#NAME?</v>
      </c>
      <c r="AA178" s="199" t="e">
        <f ca="1">_xlfn.XLOOKUP(PAA[[#This Row],[ITEM]],Contrato!A:A,Contrato!T:T,"",0)</f>
        <v>#NAME?</v>
      </c>
      <c r="AB178" s="210" t="e">
        <f ca="1">+MAX(PAA[[#This Row],[Comprometido Contrato]],)</f>
        <v>#NAME?</v>
      </c>
      <c r="AC178" s="210" t="str">
        <f t="shared" ca="1" si="17"/>
        <v/>
      </c>
      <c r="AD178" s="210" t="e">
        <f ca="1">+MAX(PAA[[#This Row],[Pago por Contrato]],)</f>
        <v>#NAME?</v>
      </c>
      <c r="AE178" s="210" t="str">
        <f t="shared" ca="1" si="18"/>
        <v/>
      </c>
      <c r="AF178" s="199" t="e">
        <f t="shared" ca="1" si="19"/>
        <v>#NAME?</v>
      </c>
      <c r="AG178" s="199">
        <f t="shared" si="20"/>
        <v>52010702</v>
      </c>
      <c r="AH178" s="199" t="e" cm="1">
        <f t="array" aca="1" ref="AH178" ca="1">_xlfn.XLOOKUP(PAA[[#This Row],[RCP-RUBRO]],COMPROMISOS_2025[[#All],[concatenado]],COMPROMISOS_2025[[#All],[Total pagado]],"",0)</f>
        <v>#NAME?</v>
      </c>
      <c r="AI178" s="199" t="e" cm="1">
        <f t="array" aca="1" ref="AI178" ca="1">_xlfn.XLOOKUP(PAA[[#This Row],[RCP-RUBRO]],COMPROMISOS_2025[[#All],[concatenado]],COMPROMISOS_2025[[#All],[Total Comprometido]],"",0)</f>
        <v>#NAME?</v>
      </c>
    </row>
    <row r="179" spans="1:35" s="50" customFormat="1" ht="42" hidden="1" customHeight="1" x14ac:dyDescent="0.25">
      <c r="A179" s="199">
        <v>127</v>
      </c>
      <c r="B179" s="200">
        <v>80111600</v>
      </c>
      <c r="C179" s="199" t="str">
        <f>VLOOKUP(PAA[[#This Row],[PROYECTO (formulado)2]],PROYECTOS!$G$1:$L$32,6,0)</f>
        <v>SUBGERENCIA DE FOMENTO Y DESARROLLO</v>
      </c>
      <c r="D179" s="199" t="str">
        <f>+IF(PAA[[#This Row],[UNIDAD DE CONTRATACION (formulado)]]="Subgerencia Administrativa y Financiera","FUNCIONAMIENTO","INVERSIÓN")</f>
        <v>INVERSIÓN</v>
      </c>
      <c r="E179" s="201" t="str">
        <f>VLOOKUP(Q179,PROYECTOS!$G$1:$K$32,5,0)</f>
        <v>Desarrollo y promoción del deporte formativo, la recreación y la actividad física en el departamento Antioquia</v>
      </c>
      <c r="F179" s="201">
        <f>VLOOKUP(E179,PROYECTOS!$K$1:$M$32,3,0)</f>
        <v>2024003050101</v>
      </c>
      <c r="G179" s="202" t="s">
        <v>297</v>
      </c>
      <c r="H179" s="202" t="str">
        <f>VLOOKUP(Q179,PROYECTOS!$V$1:$W$32,2,0)</f>
        <v>050075</v>
      </c>
      <c r="I179" s="203">
        <v>0</v>
      </c>
      <c r="J179" s="204" t="s">
        <v>41</v>
      </c>
      <c r="K179" s="199" t="str">
        <f t="shared" ca="1" si="14"/>
        <v>CONTRATADO</v>
      </c>
      <c r="L179" s="204" t="s">
        <v>112</v>
      </c>
      <c r="M179" s="204" t="s">
        <v>113</v>
      </c>
      <c r="N179" s="205" t="s">
        <v>296</v>
      </c>
      <c r="O179" s="204">
        <f>VLOOKUP(N179,RUBROS[#All],3,0)</f>
        <v>71</v>
      </c>
      <c r="P179" s="206" t="str">
        <f>VLOOKUP(N179,RUBROS[#All],2,0)</f>
        <v>Desarrollo y promoción del deporte formativo, la recreación y la actividad física en el departamento Antioquia-Servicios para la comunidad, sociales y personales</v>
      </c>
      <c r="Q179" s="199" t="str">
        <f t="shared" si="15"/>
        <v>01</v>
      </c>
      <c r="R179" s="199" t="str">
        <f t="shared" si="16"/>
        <v>0-205128</v>
      </c>
      <c r="S179" s="207" t="s">
        <v>41</v>
      </c>
      <c r="T179" s="208" t="s">
        <v>41</v>
      </c>
      <c r="U179" s="209" t="e">
        <f ca="1">_xlfn.XLOOKUP(PAA[[#This Row],[ITEM]],Contrato!A:A,Contrato!Q:Q,"",0)</f>
        <v>#NAME?</v>
      </c>
      <c r="V179" s="199" t="s">
        <v>47</v>
      </c>
      <c r="W179" s="199" t="s">
        <v>41</v>
      </c>
      <c r="X179" s="199" t="s">
        <v>41</v>
      </c>
      <c r="Y179" s="210" t="e">
        <f ca="1">_xlfn.XLOOKUP(PAA[[#This Row],[ITEM]],Contrato!A:A,Contrato!B:B,"",0)</f>
        <v>#NAME?</v>
      </c>
      <c r="Z179" s="199" t="e">
        <f ca="1">_xlfn.XLOOKUP(PAA[[#This Row],[ITEM]],Contrato!A:A,Contrato!G:G,"",0)</f>
        <v>#NAME?</v>
      </c>
      <c r="AA179" s="199" t="e">
        <f ca="1">_xlfn.XLOOKUP(PAA[[#This Row],[ITEM]],Contrato!A:A,Contrato!T:T,"",0)</f>
        <v>#NAME?</v>
      </c>
      <c r="AB179" s="210" t="e">
        <f ca="1">+MAX(PAA[[#This Row],[Comprometido Contrato]],)</f>
        <v>#NAME?</v>
      </c>
      <c r="AC179" s="210" t="str">
        <f t="shared" ca="1" si="17"/>
        <v/>
      </c>
      <c r="AD179" s="210" t="e">
        <f ca="1">+MAX(PAA[[#This Row],[Pago por Contrato]],)</f>
        <v>#NAME?</v>
      </c>
      <c r="AE179" s="210" t="str">
        <f t="shared" ca="1" si="18"/>
        <v/>
      </c>
      <c r="AF179" s="199" t="e">
        <f t="shared" ca="1" si="19"/>
        <v>#NAME?</v>
      </c>
      <c r="AG179" s="199">
        <f t="shared" si="20"/>
        <v>52010702</v>
      </c>
      <c r="AH179" s="199" t="e" cm="1">
        <f t="array" aca="1" ref="AH179" ca="1">_xlfn.XLOOKUP(PAA[[#This Row],[RCP-RUBRO]],COMPROMISOS_2025[[#All],[concatenado]],COMPROMISOS_2025[[#All],[Total pagado]],"",0)</f>
        <v>#NAME?</v>
      </c>
      <c r="AI179" s="199" t="e" cm="1">
        <f t="array" aca="1" ref="AI179" ca="1">_xlfn.XLOOKUP(PAA[[#This Row],[RCP-RUBRO]],COMPROMISOS_2025[[#All],[concatenado]],COMPROMISOS_2025[[#All],[Total Comprometido]],"",0)</f>
        <v>#NAME?</v>
      </c>
    </row>
    <row r="180" spans="1:35" s="50" customFormat="1" ht="42" hidden="1" customHeight="1" x14ac:dyDescent="0.25">
      <c r="A180" s="152">
        <v>128</v>
      </c>
      <c r="B180" s="186">
        <v>80111600</v>
      </c>
      <c r="C180" s="152" t="str">
        <f>VLOOKUP(PAA[[#This Row],[PROYECTO (formulado)2]],PROYECTOS!$G$1:$L$32,6,0)</f>
        <v>SUBGERENCIA DE FOMENTO Y DESARROLLO</v>
      </c>
      <c r="D180" s="152" t="str">
        <f>+IF(PAA[[#This Row],[UNIDAD DE CONTRATACION (formulado)]]="Subgerencia Administrativa y Financiera","FUNCIONAMIENTO","INVERSIÓN")</f>
        <v>INVERSIÓN</v>
      </c>
      <c r="E180" s="236" t="str">
        <f>VLOOKUP(Q180,PROYECTOS!$G$1:$K$32,5,0)</f>
        <v>Desarrollo y promoción del deporte formativo, la recreación y la actividad física en el departamento Antioquia</v>
      </c>
      <c r="F180" s="236">
        <f>VLOOKUP(E180,PROYECTOS!$K$1:$M$32,3,0)</f>
        <v>2024003050101</v>
      </c>
      <c r="G180" s="237" t="s">
        <v>297</v>
      </c>
      <c r="H180" s="237" t="str">
        <f>VLOOKUP(Q180,PROYECTOS!$V$1:$W$32,2,0)</f>
        <v>050075</v>
      </c>
      <c r="I180" s="238">
        <v>44190000</v>
      </c>
      <c r="J180" s="187" t="s">
        <v>298</v>
      </c>
      <c r="K180" s="152" t="str">
        <f t="shared" ca="1" si="14"/>
        <v>CONTRATADO</v>
      </c>
      <c r="L180" s="187" t="s">
        <v>112</v>
      </c>
      <c r="M180" s="187" t="s">
        <v>113</v>
      </c>
      <c r="N180" s="239" t="s">
        <v>296</v>
      </c>
      <c r="O180" s="187">
        <f>VLOOKUP(N180,RUBROS[#All],3,0)</f>
        <v>71</v>
      </c>
      <c r="P180" s="187" t="str">
        <f>VLOOKUP(N180,RUBROS[#All],2,0)</f>
        <v>Desarrollo y promoción del deporte formativo, la recreación y la actividad física en el departamento Antioquia-Servicios para la comunidad, sociales y personales</v>
      </c>
      <c r="Q180" s="152" t="str">
        <f t="shared" si="15"/>
        <v>01</v>
      </c>
      <c r="R180" s="57" t="str">
        <f t="shared" si="16"/>
        <v>0-205128</v>
      </c>
      <c r="S180" s="152">
        <v>10</v>
      </c>
      <c r="T180" s="157" t="s">
        <v>46</v>
      </c>
      <c r="U180" s="241" t="e">
        <f ca="1">_xlfn.XLOOKUP(PAA[[#This Row],[ITEM]],Contrato!A:A,Contrato!Q:Q,"",0)</f>
        <v>#NAME?</v>
      </c>
      <c r="V180" s="152" t="s">
        <v>47</v>
      </c>
      <c r="W180" s="152" t="s">
        <v>154</v>
      </c>
      <c r="X180" s="152" t="s">
        <v>154</v>
      </c>
      <c r="Y180" s="242" t="e">
        <f ca="1">_xlfn.XLOOKUP(PAA[[#This Row],[ITEM]],Contrato!A:A,Contrato!B:B,"",0)</f>
        <v>#NAME?</v>
      </c>
      <c r="Z180" s="152" t="e">
        <f ca="1">_xlfn.XLOOKUP(PAA[[#This Row],[ITEM]],Contrato!A:A,Contrato!G:G,"",0)</f>
        <v>#NAME?</v>
      </c>
      <c r="AA180" s="152" t="e">
        <f ca="1">_xlfn.XLOOKUP(PAA[[#This Row],[ITEM]],Contrato!A:A,Contrato!T:T,"",0)</f>
        <v>#NAME?</v>
      </c>
      <c r="AB180" s="242" t="e">
        <f ca="1">+MAX(PAA[[#This Row],[Comprometido Contrato]],)</f>
        <v>#NAME?</v>
      </c>
      <c r="AC180" s="242" t="str">
        <f t="shared" ca="1" si="17"/>
        <v/>
      </c>
      <c r="AD180" s="242" t="e">
        <f ca="1">+MAX(PAA[[#This Row],[Pago por Contrato]],)</f>
        <v>#NAME?</v>
      </c>
      <c r="AE180" s="242" t="str">
        <f t="shared" ca="1" si="18"/>
        <v/>
      </c>
      <c r="AF180" s="152" t="e">
        <f t="shared" ca="1" si="19"/>
        <v>#NAME?</v>
      </c>
      <c r="AG180" s="152">
        <f t="shared" si="20"/>
        <v>52010702</v>
      </c>
      <c r="AH180" s="152" t="e" cm="1">
        <f t="array" aca="1" ref="AH180" ca="1">_xlfn.XLOOKUP(PAA[[#This Row],[RCP-RUBRO]],COMPROMISOS_2025[[#All],[concatenado]],COMPROMISOS_2025[[#All],[Total pagado]],"",0)</f>
        <v>#NAME?</v>
      </c>
      <c r="AI180" s="152" t="e" cm="1">
        <f t="array" aca="1" ref="AI180" ca="1">_xlfn.XLOOKUP(PAA[[#This Row],[RCP-RUBRO]],COMPROMISOS_2025[[#All],[concatenado]],COMPROMISOS_2025[[#All],[Total Comprometido]],"",0)</f>
        <v>#NAME?</v>
      </c>
    </row>
    <row r="181" spans="1:35" s="50" customFormat="1" ht="42" customHeight="1" x14ac:dyDescent="0.25">
      <c r="A181" s="265">
        <v>129</v>
      </c>
      <c r="B181" s="255">
        <v>80111600</v>
      </c>
      <c r="C181" s="265" t="str">
        <f>VLOOKUP(PAA[[#This Row],[PROYECTO (formulado)2]],PROYECTOS!$G$1:$L$32,6,0)</f>
        <v>SUBGERENCIA DE FOMENTO Y DESARROLLO</v>
      </c>
      <c r="D181" s="265" t="str">
        <f>+IF(PAA[[#This Row],[UNIDAD DE CONTRATACION (formulado)]]="Subgerencia Administrativa y Financiera","FUNCIONAMIENTO","INVERSIÓN")</f>
        <v>INVERSIÓN</v>
      </c>
      <c r="E181" s="274" t="str">
        <f>VLOOKUP(Q181,PROYECTOS!$G$1:$K$32,5,0)</f>
        <v>Desarrollo y promoción del deporte formativo, la recreación y la actividad física en el departamento Antioquia</v>
      </c>
      <c r="F181" s="274">
        <f>VLOOKUP(E181,PROYECTOS!$K$1:$M$32,3,0)</f>
        <v>2024003050101</v>
      </c>
      <c r="G181" s="266" t="s">
        <v>297</v>
      </c>
      <c r="H181" s="266" t="str">
        <f>VLOOKUP(Q181,PROYECTOS!$V$1:$W$32,2,0)</f>
        <v>050075</v>
      </c>
      <c r="I181" s="269">
        <v>0</v>
      </c>
      <c r="J181" s="275" t="s">
        <v>41</v>
      </c>
      <c r="K181" s="265" t="str">
        <f t="shared" ca="1" si="14"/>
        <v>CONTRATADO</v>
      </c>
      <c r="L181" s="275" t="s">
        <v>41</v>
      </c>
      <c r="M181" s="275" t="s">
        <v>41</v>
      </c>
      <c r="N181" s="276" t="s">
        <v>296</v>
      </c>
      <c r="O181" s="275">
        <f>VLOOKUP(N181,RUBROS[#All],3,0)</f>
        <v>71</v>
      </c>
      <c r="P181" s="277" t="str">
        <f>VLOOKUP(N181,RUBROS[#All],2,0)</f>
        <v>Desarrollo y promoción del deporte formativo, la recreación y la actividad física en el departamento Antioquia-Servicios para la comunidad, sociales y personales</v>
      </c>
      <c r="Q181" s="265" t="str">
        <f t="shared" si="15"/>
        <v>01</v>
      </c>
      <c r="R181" s="265" t="str">
        <f t="shared" si="16"/>
        <v>0-205128</v>
      </c>
      <c r="S181" s="254">
        <v>11</v>
      </c>
      <c r="T181" s="278" t="s">
        <v>46</v>
      </c>
      <c r="U181" s="272" t="e">
        <f ca="1">_xlfn.XLOOKUP(PAA[[#This Row],[ITEM]],Contrato!A:A,Contrato!Q:Q,"",0)</f>
        <v>#NAME?</v>
      </c>
      <c r="V181" s="265" t="s">
        <v>47</v>
      </c>
      <c r="W181" s="265" t="s">
        <v>154</v>
      </c>
      <c r="X181" s="265" t="s">
        <v>154</v>
      </c>
      <c r="Y181" s="273" t="e">
        <f ca="1">_xlfn.XLOOKUP(PAA[[#This Row],[ITEM]],Contrato!A:A,Contrato!B:B,"",0)</f>
        <v>#NAME?</v>
      </c>
      <c r="Z181" s="265" t="e">
        <f ca="1">_xlfn.XLOOKUP(PAA[[#This Row],[ITEM]],Contrato!A:A,Contrato!G:G,"",0)</f>
        <v>#NAME?</v>
      </c>
      <c r="AA181" s="265" t="e">
        <f ca="1">_xlfn.XLOOKUP(PAA[[#This Row],[ITEM]],Contrato!A:A,Contrato!T:T,"",0)</f>
        <v>#NAME?</v>
      </c>
      <c r="AB181" s="273" t="e">
        <f ca="1">+MAX(PAA[[#This Row],[Comprometido Contrato]],)</f>
        <v>#NAME?</v>
      </c>
      <c r="AC181" s="273" t="str">
        <f t="shared" ca="1" si="17"/>
        <v/>
      </c>
      <c r="AD181" s="273" t="e">
        <f ca="1">+MAX(PAA[[#This Row],[Pago por Contrato]],)</f>
        <v>#NAME?</v>
      </c>
      <c r="AE181" s="273" t="str">
        <f t="shared" ca="1" si="18"/>
        <v/>
      </c>
      <c r="AF181" s="265" t="e">
        <f t="shared" ca="1" si="19"/>
        <v>#NAME?</v>
      </c>
      <c r="AG181" s="265">
        <f t="shared" si="20"/>
        <v>52010702</v>
      </c>
      <c r="AH181" s="265" t="e" cm="1">
        <f t="array" aca="1" ref="AH181" ca="1">_xlfn.XLOOKUP(PAA[[#This Row],[RCP-RUBRO]],COMPROMISOS_2025[[#All],[concatenado]],COMPROMISOS_2025[[#All],[Total pagado]],"",0)</f>
        <v>#NAME?</v>
      </c>
      <c r="AI181" s="265" t="e" cm="1">
        <f t="array" aca="1" ref="AI181" ca="1">_xlfn.XLOOKUP(PAA[[#This Row],[RCP-RUBRO]],COMPROMISOS_2025[[#All],[concatenado]],COMPROMISOS_2025[[#All],[Total Comprometido]],"",0)</f>
        <v>#NAME?</v>
      </c>
    </row>
    <row r="182" spans="1:35" s="50" customFormat="1" ht="42" hidden="1" customHeight="1" x14ac:dyDescent="0.25">
      <c r="A182" s="199">
        <v>130</v>
      </c>
      <c r="B182" s="200">
        <v>80111600</v>
      </c>
      <c r="C182" s="199" t="str">
        <f>VLOOKUP(PAA[[#This Row],[PROYECTO (formulado)2]],PROYECTOS!$G$1:$L$32,6,0)</f>
        <v>SUBGERENCIA DE FOMENTO Y DESARROLLO</v>
      </c>
      <c r="D182" s="199" t="str">
        <f>+IF(PAA[[#This Row],[UNIDAD DE CONTRATACION (formulado)]]="Subgerencia Administrativa y Financiera","FUNCIONAMIENTO","INVERSIÓN")</f>
        <v>INVERSIÓN</v>
      </c>
      <c r="E182" s="201" t="str">
        <f>VLOOKUP(Q182,PROYECTOS!$G$1:$K$32,5,0)</f>
        <v>Desarrollo y promoción del deporte formativo, la recreación y la actividad física en el departamento Antioquia</v>
      </c>
      <c r="F182" s="201">
        <f>VLOOKUP(E182,PROYECTOS!$K$1:$M$32,3,0)</f>
        <v>2024003050101</v>
      </c>
      <c r="G182" s="202" t="s">
        <v>289</v>
      </c>
      <c r="H182" s="202" t="str">
        <f>VLOOKUP(Q182,PROYECTOS!$V$1:$W$32,2,0)</f>
        <v>050075</v>
      </c>
      <c r="I182" s="203">
        <v>0</v>
      </c>
      <c r="J182" s="204" t="s">
        <v>41</v>
      </c>
      <c r="K182" s="199" t="str">
        <f t="shared" ca="1" si="14"/>
        <v>CONTRATADO</v>
      </c>
      <c r="L182" s="204" t="s">
        <v>112</v>
      </c>
      <c r="M182" s="204" t="s">
        <v>113</v>
      </c>
      <c r="N182" s="205" t="s">
        <v>296</v>
      </c>
      <c r="O182" s="204">
        <f>VLOOKUP(N182,RUBROS[#All],3,0)</f>
        <v>71</v>
      </c>
      <c r="P182" s="206" t="str">
        <f>VLOOKUP(N182,RUBROS[#All],2,0)</f>
        <v>Desarrollo y promoción del deporte formativo, la recreación y la actividad física en el departamento Antioquia-Servicios para la comunidad, sociales y personales</v>
      </c>
      <c r="Q182" s="199" t="str">
        <f t="shared" si="15"/>
        <v>01</v>
      </c>
      <c r="R182" s="199" t="str">
        <f t="shared" si="16"/>
        <v>0-205128</v>
      </c>
      <c r="S182" s="207" t="s">
        <v>41</v>
      </c>
      <c r="T182" s="208" t="s">
        <v>41</v>
      </c>
      <c r="U182" s="209" t="e">
        <f ca="1">_xlfn.XLOOKUP(PAA[[#This Row],[ITEM]],Contrato!A:A,Contrato!Q:Q,"",0)</f>
        <v>#NAME?</v>
      </c>
      <c r="V182" s="199" t="s">
        <v>47</v>
      </c>
      <c r="W182" s="199" t="s">
        <v>41</v>
      </c>
      <c r="X182" s="199" t="s">
        <v>41</v>
      </c>
      <c r="Y182" s="210" t="e">
        <f ca="1">_xlfn.XLOOKUP(PAA[[#This Row],[ITEM]],Contrato!A:A,Contrato!B:B,"",0)</f>
        <v>#NAME?</v>
      </c>
      <c r="Z182" s="199" t="e">
        <f ca="1">_xlfn.XLOOKUP(PAA[[#This Row],[ITEM]],Contrato!A:A,Contrato!G:G,"",0)</f>
        <v>#NAME?</v>
      </c>
      <c r="AA182" s="199" t="e">
        <f ca="1">_xlfn.XLOOKUP(PAA[[#This Row],[ITEM]],Contrato!A:A,Contrato!T:T,"",0)</f>
        <v>#NAME?</v>
      </c>
      <c r="AB182" s="210" t="e">
        <f ca="1">+MAX(PAA[[#This Row],[Comprometido Contrato]],)</f>
        <v>#NAME?</v>
      </c>
      <c r="AC182" s="210" t="str">
        <f t="shared" ca="1" si="17"/>
        <v/>
      </c>
      <c r="AD182" s="210" t="e">
        <f ca="1">+MAX(PAA[[#This Row],[Pago por Contrato]],)</f>
        <v>#NAME?</v>
      </c>
      <c r="AE182" s="210" t="str">
        <f t="shared" ca="1" si="18"/>
        <v/>
      </c>
      <c r="AF182" s="199" t="e">
        <f t="shared" ca="1" si="19"/>
        <v>#NAME?</v>
      </c>
      <c r="AG182" s="199">
        <f t="shared" si="20"/>
        <v>52010702</v>
      </c>
      <c r="AH182" s="199" t="e" cm="1">
        <f t="array" aca="1" ref="AH182" ca="1">_xlfn.XLOOKUP(PAA[[#This Row],[RCP-RUBRO]],COMPROMISOS_2025[[#All],[concatenado]],COMPROMISOS_2025[[#All],[Total pagado]],"",0)</f>
        <v>#NAME?</v>
      </c>
      <c r="AI182" s="199" t="e" cm="1">
        <f t="array" aca="1" ref="AI182" ca="1">_xlfn.XLOOKUP(PAA[[#This Row],[RCP-RUBRO]],COMPROMISOS_2025[[#All],[concatenado]],COMPROMISOS_2025[[#All],[Total Comprometido]],"",0)</f>
        <v>#NAME?</v>
      </c>
    </row>
    <row r="183" spans="1:35" s="50" customFormat="1" ht="42" hidden="1" customHeight="1" x14ac:dyDescent="0.25">
      <c r="A183" s="265">
        <v>131</v>
      </c>
      <c r="B183" s="255">
        <v>80111600</v>
      </c>
      <c r="C183" s="265" t="str">
        <f>VLOOKUP(PAA[[#This Row],[PROYECTO (formulado)2]],PROYECTOS!$G$1:$L$32,6,0)</f>
        <v>SUBGERENCIA DE FOMENTO Y DESARROLLO</v>
      </c>
      <c r="D183" s="265" t="str">
        <f>+IF(PAA[[#This Row],[UNIDAD DE CONTRATACION (formulado)]]="Subgerencia Administrativa y Financiera","FUNCIONAMIENTO","INVERSIÓN")</f>
        <v>INVERSIÓN</v>
      </c>
      <c r="E183" s="274" t="str">
        <f>VLOOKUP(Q183,PROYECTOS!$G$1:$K$32,5,0)</f>
        <v>Desarrollo y promoción del deporte formativo, la recreación y la actividad física en el departamento Antioquia</v>
      </c>
      <c r="F183" s="274">
        <f>VLOOKUP(E183,PROYECTOS!$K$1:$M$32,3,0)</f>
        <v>2024003050101</v>
      </c>
      <c r="G183" s="266" t="s">
        <v>289</v>
      </c>
      <c r="H183" s="266" t="str">
        <f>VLOOKUP(Q183,PROYECTOS!$V$1:$W$32,2,0)</f>
        <v>050075</v>
      </c>
      <c r="I183" s="269">
        <v>0</v>
      </c>
      <c r="J183" s="275" t="s">
        <v>41</v>
      </c>
      <c r="K183" s="265" t="str">
        <f t="shared" ca="1" si="14"/>
        <v>CONTRATADO</v>
      </c>
      <c r="L183" s="275" t="s">
        <v>112</v>
      </c>
      <c r="M183" s="275" t="s">
        <v>113</v>
      </c>
      <c r="N183" s="276" t="s">
        <v>296</v>
      </c>
      <c r="O183" s="275">
        <f>VLOOKUP(N183,RUBROS[#All],3,0)</f>
        <v>71</v>
      </c>
      <c r="P183" s="277" t="str">
        <f>VLOOKUP(N183,RUBROS[#All],2,0)</f>
        <v>Desarrollo y promoción del deporte formativo, la recreación y la actividad física en el departamento Antioquia-Servicios para la comunidad, sociales y personales</v>
      </c>
      <c r="Q183" s="265" t="str">
        <f t="shared" si="15"/>
        <v>01</v>
      </c>
      <c r="R183" s="265" t="str">
        <f t="shared" si="16"/>
        <v>0-205128</v>
      </c>
      <c r="S183" s="254">
        <v>11</v>
      </c>
      <c r="T183" s="278" t="s">
        <v>46</v>
      </c>
      <c r="U183" s="272" t="e">
        <f ca="1">_xlfn.XLOOKUP(PAA[[#This Row],[ITEM]],Contrato!A:A,Contrato!Q:Q,"",0)</f>
        <v>#NAME?</v>
      </c>
      <c r="V183" s="265" t="s">
        <v>47</v>
      </c>
      <c r="W183" s="265" t="s">
        <v>154</v>
      </c>
      <c r="X183" s="265" t="s">
        <v>154</v>
      </c>
      <c r="Y183" s="273" t="e">
        <f ca="1">_xlfn.XLOOKUP(PAA[[#This Row],[ITEM]],Contrato!A:A,Contrato!B:B,"",0)</f>
        <v>#NAME?</v>
      </c>
      <c r="Z183" s="265" t="e">
        <f ca="1">_xlfn.XLOOKUP(PAA[[#This Row],[ITEM]],Contrato!A:A,Contrato!G:G,"",0)</f>
        <v>#NAME?</v>
      </c>
      <c r="AA183" s="265" t="e">
        <f ca="1">_xlfn.XLOOKUP(PAA[[#This Row],[ITEM]],Contrato!A:A,Contrato!T:T,"",0)</f>
        <v>#NAME?</v>
      </c>
      <c r="AB183" s="273" t="e">
        <f ca="1">+MAX(PAA[[#This Row],[Comprometido Contrato]],)</f>
        <v>#NAME?</v>
      </c>
      <c r="AC183" s="273" t="str">
        <f t="shared" ca="1" si="17"/>
        <v/>
      </c>
      <c r="AD183" s="273" t="e">
        <f ca="1">+MAX(PAA[[#This Row],[Pago por Contrato]],)</f>
        <v>#NAME?</v>
      </c>
      <c r="AE183" s="273" t="str">
        <f t="shared" ca="1" si="18"/>
        <v/>
      </c>
      <c r="AF183" s="265" t="e">
        <f t="shared" ca="1" si="19"/>
        <v>#NAME?</v>
      </c>
      <c r="AG183" s="265">
        <f t="shared" si="20"/>
        <v>52010702</v>
      </c>
      <c r="AH183" s="265" t="e" cm="1">
        <f t="array" aca="1" ref="AH183" ca="1">_xlfn.XLOOKUP(PAA[[#This Row],[RCP-RUBRO]],COMPROMISOS_2025[[#All],[concatenado]],COMPROMISOS_2025[[#All],[Total pagado]],"",0)</f>
        <v>#NAME?</v>
      </c>
      <c r="AI183" s="265" t="e" cm="1">
        <f t="array" aca="1" ref="AI183" ca="1">_xlfn.XLOOKUP(PAA[[#This Row],[RCP-RUBRO]],COMPROMISOS_2025[[#All],[concatenado]],COMPROMISOS_2025[[#All],[Total Comprometido]],"",0)</f>
        <v>#NAME?</v>
      </c>
    </row>
    <row r="184" spans="1:35" s="50" customFormat="1" ht="42" hidden="1" customHeight="1" x14ac:dyDescent="0.25">
      <c r="A184" s="265">
        <v>132</v>
      </c>
      <c r="B184" s="255">
        <v>93141506</v>
      </c>
      <c r="C184" s="265" t="str">
        <f>VLOOKUP(PAA[[#This Row],[PROYECTO (formulado)2]],PROYECTOS!$G$1:$L$32,6,0)</f>
        <v>SUBGERENCIA DE FOMENTO Y DESARROLLO</v>
      </c>
      <c r="D184" s="265" t="str">
        <f>+IF(PAA[[#This Row],[UNIDAD DE CONTRATACION (formulado)]]="Subgerencia Administrativa y Financiera","FUNCIONAMIENTO","INVERSIÓN")</f>
        <v>INVERSIÓN</v>
      </c>
      <c r="E184" s="274" t="str">
        <f>VLOOKUP(Q184,PROYECTOS!$G$1:$K$32,5,0)</f>
        <v>Desarrollo y promoción del deporte formativo, la recreación y la actividad física en el departamento Antioquia</v>
      </c>
      <c r="F184" s="274">
        <f>VLOOKUP(E184,PROYECTOS!$K$1:$M$32,3,0)</f>
        <v>2024003050101</v>
      </c>
      <c r="G184" s="266" t="s">
        <v>299</v>
      </c>
      <c r="H184" s="266" t="str">
        <f>VLOOKUP(Q184,PROYECTOS!$V$1:$W$32,2,0)</f>
        <v>050075</v>
      </c>
      <c r="I184" s="269">
        <v>2342022553</v>
      </c>
      <c r="J184" s="275" t="s">
        <v>300</v>
      </c>
      <c r="K184" s="265" t="str">
        <f t="shared" ca="1" si="14"/>
        <v>CONTRATADO</v>
      </c>
      <c r="L184" s="275" t="s">
        <v>112</v>
      </c>
      <c r="M184" s="275" t="s">
        <v>113</v>
      </c>
      <c r="N184" s="276" t="s">
        <v>296</v>
      </c>
      <c r="O184" s="275">
        <f>VLOOKUP(N184,RUBROS[#All],3,0)</f>
        <v>71</v>
      </c>
      <c r="P184" s="277" t="str">
        <f>VLOOKUP(N184,RUBROS[#All],2,0)</f>
        <v>Desarrollo y promoción del deporte formativo, la recreación y la actividad física en el departamento Antioquia-Servicios para la comunidad, sociales y personales</v>
      </c>
      <c r="Q184" s="265" t="str">
        <f t="shared" si="15"/>
        <v>01</v>
      </c>
      <c r="R184" s="265" t="str">
        <f t="shared" si="16"/>
        <v>0-205128</v>
      </c>
      <c r="S184" s="254">
        <v>11</v>
      </c>
      <c r="T184" s="278" t="s">
        <v>46</v>
      </c>
      <c r="U184" s="272" t="e">
        <f ca="1">_xlfn.XLOOKUP(PAA[[#This Row],[ITEM]],Contrato!A:A,Contrato!Q:Q,"",0)</f>
        <v>#NAME?</v>
      </c>
      <c r="V184" s="265" t="s">
        <v>47</v>
      </c>
      <c r="W184" s="265" t="s">
        <v>154</v>
      </c>
      <c r="X184" s="265" t="s">
        <v>154</v>
      </c>
      <c r="Y184" s="273" t="e">
        <f ca="1">_xlfn.XLOOKUP(PAA[[#This Row],[ITEM]],Contrato!A:A,Contrato!B:B,"",0)</f>
        <v>#NAME?</v>
      </c>
      <c r="Z184" s="265" t="e">
        <f ca="1">_xlfn.XLOOKUP(PAA[[#This Row],[ITEM]],Contrato!A:A,Contrato!G:G,"",0)</f>
        <v>#NAME?</v>
      </c>
      <c r="AA184" s="265" t="e">
        <f ca="1">_xlfn.XLOOKUP(PAA[[#This Row],[ITEM]],Contrato!A:A,Contrato!T:T,"",0)</f>
        <v>#NAME?</v>
      </c>
      <c r="AB184" s="273" t="e">
        <f ca="1">+MAX(PAA[[#This Row],[Comprometido Contrato]],)</f>
        <v>#NAME?</v>
      </c>
      <c r="AC184" s="273" t="str">
        <f t="shared" ca="1" si="17"/>
        <v/>
      </c>
      <c r="AD184" s="273" t="e">
        <f ca="1">+MAX(PAA[[#This Row],[Pago por Contrato]],)</f>
        <v>#NAME?</v>
      </c>
      <c r="AE184" s="273" t="str">
        <f t="shared" ca="1" si="18"/>
        <v/>
      </c>
      <c r="AF184" s="265" t="e">
        <f t="shared" ca="1" si="19"/>
        <v>#NAME?</v>
      </c>
      <c r="AG184" s="265">
        <f t="shared" si="20"/>
        <v>52010702</v>
      </c>
      <c r="AH184" s="265" t="e" cm="1">
        <f t="array" aca="1" ref="AH184" ca="1">_xlfn.XLOOKUP(PAA[[#This Row],[RCP-RUBRO]],COMPROMISOS_2025[[#All],[concatenado]],COMPROMISOS_2025[[#All],[Total pagado]],"",0)</f>
        <v>#NAME?</v>
      </c>
      <c r="AI184" s="265" t="e" cm="1">
        <f t="array" aca="1" ref="AI184" ca="1">_xlfn.XLOOKUP(PAA[[#This Row],[RCP-RUBRO]],COMPROMISOS_2025[[#All],[concatenado]],COMPROMISOS_2025[[#All],[Total Comprometido]],"",0)</f>
        <v>#NAME?</v>
      </c>
    </row>
    <row r="185" spans="1:35" s="50" customFormat="1" ht="42" customHeight="1" x14ac:dyDescent="0.25">
      <c r="A185" s="516">
        <v>617</v>
      </c>
      <c r="B185" s="517">
        <v>93141506</v>
      </c>
      <c r="C185" s="516" t="str">
        <f>VLOOKUP(PAA[[#This Row],[PROYECTO (formulado)2]],PROYECTOS!$G$1:$L$32,6,0)</f>
        <v>SUBGERENCIA DE FOMENTO Y DESARROLLO</v>
      </c>
      <c r="D185" s="516" t="str">
        <f>+IF(PAA[[#This Row],[UNIDAD DE CONTRATACION (formulado)]]="Subgerencia Administrativa y Financiera","FUNCIONAMIENTO","INVERSIÓN")</f>
        <v>INVERSIÓN</v>
      </c>
      <c r="E185" s="518" t="str">
        <f>VLOOKUP(Q185,PROYECTOS!$G$1:$K$32,5,0)</f>
        <v>Asesoria y acompañamiento institucional para el deporte formativo, la recreación y la actividad física en el departamento de Antioquia</v>
      </c>
      <c r="F185" s="518">
        <f>VLOOKUP(E185,PROYECTOS!$K$1:$M$32,3,0)</f>
        <v>2024003050100</v>
      </c>
      <c r="G185" s="519" t="s">
        <v>301</v>
      </c>
      <c r="H185" s="519" t="str">
        <f>VLOOKUP(Q185,PROYECTOS!$V$1:$W$32,2,0)</f>
        <v>050071</v>
      </c>
      <c r="I185" s="520">
        <v>300000000</v>
      </c>
      <c r="J185" s="521" t="s">
        <v>302</v>
      </c>
      <c r="K185" s="516" t="str">
        <f t="shared" ref="K185" ca="1" si="21">IF(ISNONTEXT(Y185)=TRUE,"CONTRATADO","NO CONTRATADO")</f>
        <v>CONTRATADO</v>
      </c>
      <c r="L185" s="521" t="s">
        <v>44</v>
      </c>
      <c r="M185" s="521" t="s">
        <v>44</v>
      </c>
      <c r="N185" s="522" t="s">
        <v>303</v>
      </c>
      <c r="O185" s="521">
        <f>VLOOKUP(N185,RUBROS[#All],3,0)</f>
        <v>76</v>
      </c>
      <c r="P185" s="523" t="str">
        <f>VLOOKUP(N185,RUBROS[#All],2,0)</f>
        <v>Asesoria y acompañamiento institucional para el deporte formativo, la recreación y la actividad física en el departamento de Antioquia -Actividades de promoción y desarrollo del Deporte</v>
      </c>
      <c r="Q185" s="516" t="str">
        <f t="shared" ref="Q185" si="22">+MID(N185,11,2)</f>
        <v>10</v>
      </c>
      <c r="R185" s="516" t="str">
        <f t="shared" ref="R185" si="23">+MID(N185,14,8)</f>
        <v>0-205617</v>
      </c>
      <c r="S185" s="524">
        <v>2</v>
      </c>
      <c r="T185" s="525" t="s">
        <v>46</v>
      </c>
      <c r="U185" s="526" t="e">
        <f ca="1">_xlfn.XLOOKUP(PAA[[#This Row],[ITEM]],Contrato!A:A,Contrato!Q:Q,"",0)</f>
        <v>#NAME?</v>
      </c>
      <c r="V185" s="516" t="s">
        <v>47</v>
      </c>
      <c r="W185" s="516" t="s">
        <v>133</v>
      </c>
      <c r="X185" s="516" t="s">
        <v>133</v>
      </c>
      <c r="Y185" s="527" t="e">
        <f ca="1">_xlfn.XLOOKUP(PAA[[#This Row],[ITEM]],Contrato!A:A,Contrato!B:B,"",0)</f>
        <v>#NAME?</v>
      </c>
      <c r="Z185" s="516" t="e">
        <f ca="1">_xlfn.XLOOKUP(PAA[[#This Row],[ITEM]],Contrato!A:A,Contrato!G:G,"",0)</f>
        <v>#NAME?</v>
      </c>
      <c r="AA185" s="516" t="e">
        <f ca="1">_xlfn.XLOOKUP(PAA[[#This Row],[ITEM]],Contrato!A:A,Contrato!T:T,"",0)</f>
        <v>#NAME?</v>
      </c>
      <c r="AB185" s="527" t="e">
        <f ca="1">+MAX(PAA[[#This Row],[Comprometido Contrato]],)</f>
        <v>#NAME?</v>
      </c>
      <c r="AC185" s="527" t="str">
        <f t="shared" ref="AC185" ca="1" si="24">IFERROR(I185-AB185,"")</f>
        <v/>
      </c>
      <c r="AD185" s="527" t="e">
        <f ca="1">+MAX(PAA[[#This Row],[Pago por Contrato]],)</f>
        <v>#NAME?</v>
      </c>
      <c r="AE185" s="527" t="str">
        <f t="shared" ref="AE185" ca="1" si="25">+IFERROR(AB185-AD185,"")</f>
        <v/>
      </c>
      <c r="AF185" s="516" t="e">
        <f t="shared" ref="AF185" ca="1" si="26">+CONCATENATE(AA185,N185)</f>
        <v>#NAME?</v>
      </c>
      <c r="AG185" s="516">
        <f t="shared" ref="AG185" si="27">IFERROR(_xlfn.NUMBERVALUE(MID(G185,1,8)),"")</f>
        <v>52010705</v>
      </c>
      <c r="AH185" s="516" t="e" cm="1">
        <f t="array" aca="1" ref="AH185" ca="1">_xlfn.XLOOKUP(PAA[[#This Row],[RCP-RUBRO]],COMPROMISOS_2025[[#All],[concatenado]],COMPROMISOS_2025[[#All],[Total pagado]],"",0)</f>
        <v>#NAME?</v>
      </c>
      <c r="AI185" s="516" t="e" cm="1">
        <f t="array" aca="1" ref="AI185" ca="1">_xlfn.XLOOKUP(PAA[[#This Row],[RCP-RUBRO]],COMPROMISOS_2025[[#All],[concatenado]],COMPROMISOS_2025[[#All],[Total Comprometido]],"",0)</f>
        <v>#NAME?</v>
      </c>
    </row>
    <row r="186" spans="1:35" s="50" customFormat="1" ht="42" customHeight="1" x14ac:dyDescent="0.25">
      <c r="A186" s="516">
        <v>133</v>
      </c>
      <c r="B186" s="517">
        <v>93141506</v>
      </c>
      <c r="C186" s="516" t="str">
        <f>VLOOKUP(PAA[[#This Row],[PROYECTO (formulado)2]],PROYECTOS!$G$1:$L$32,6,0)</f>
        <v>SUBGERENCIA DE FOMENTO Y DESARROLLO</v>
      </c>
      <c r="D186" s="516" t="str">
        <f>+IF(PAA[[#This Row],[UNIDAD DE CONTRATACION (formulado)]]="Subgerencia Administrativa y Financiera","FUNCIONAMIENTO","INVERSIÓN")</f>
        <v>INVERSIÓN</v>
      </c>
      <c r="E186" s="518" t="str">
        <f>VLOOKUP(Q186,PROYECTOS!$G$1:$K$32,5,0)</f>
        <v>Asesoria y acompañamiento institucional para el deporte formativo, la recreación y la actividad física en el departamento de Antioquia</v>
      </c>
      <c r="F186" s="518">
        <f>VLOOKUP(E186,PROYECTOS!$K$1:$M$32,3,0)</f>
        <v>2024003050100</v>
      </c>
      <c r="G186" s="519" t="s">
        <v>301</v>
      </c>
      <c r="H186" s="519" t="str">
        <f>VLOOKUP(Q186,PROYECTOS!$V$1:$W$32,2,0)</f>
        <v>050071</v>
      </c>
      <c r="I186" s="520">
        <f>9285353033-300000000</f>
        <v>8985353033</v>
      </c>
      <c r="J186" s="521" t="s">
        <v>304</v>
      </c>
      <c r="K186" s="516" t="str">
        <f t="shared" ca="1" si="14"/>
        <v>CONTRATADO</v>
      </c>
      <c r="L186" s="521" t="s">
        <v>44</v>
      </c>
      <c r="M186" s="521" t="s">
        <v>44</v>
      </c>
      <c r="N186" s="522" t="s">
        <v>303</v>
      </c>
      <c r="O186" s="521">
        <f>VLOOKUP(N186,RUBROS[#All],3,0)</f>
        <v>76</v>
      </c>
      <c r="P186" s="523" t="str">
        <f>VLOOKUP(N186,RUBROS[#All],2,0)</f>
        <v>Asesoria y acompañamiento institucional para el deporte formativo, la recreación y la actividad física en el departamento de Antioquia -Actividades de promoción y desarrollo del Deporte</v>
      </c>
      <c r="Q186" s="516" t="str">
        <f t="shared" si="15"/>
        <v>10</v>
      </c>
      <c r="R186" s="516" t="str">
        <f t="shared" si="16"/>
        <v>0-205617</v>
      </c>
      <c r="S186" s="524">
        <v>11</v>
      </c>
      <c r="T186" s="525" t="s">
        <v>46</v>
      </c>
      <c r="U186" s="526" t="e">
        <f ca="1">_xlfn.XLOOKUP(PAA[[#This Row],[ITEM]],Contrato!A:A,Contrato!Q:Q,"",0)</f>
        <v>#NAME?</v>
      </c>
      <c r="V186" s="516" t="s">
        <v>47</v>
      </c>
      <c r="W186" s="516" t="s">
        <v>154</v>
      </c>
      <c r="X186" s="516" t="s">
        <v>154</v>
      </c>
      <c r="Y186" s="527" t="e">
        <f ca="1">_xlfn.XLOOKUP(PAA[[#This Row],[ITEM]],Contrato!A:A,Contrato!B:B,"",0)</f>
        <v>#NAME?</v>
      </c>
      <c r="Z186" s="516" t="e">
        <f ca="1">_xlfn.XLOOKUP(PAA[[#This Row],[ITEM]],Contrato!A:A,Contrato!G:G,"",0)</f>
        <v>#NAME?</v>
      </c>
      <c r="AA186" s="516" t="e">
        <f ca="1">_xlfn.XLOOKUP(PAA[[#This Row],[ITEM]],Contrato!A:A,Contrato!T:T,"",0)</f>
        <v>#NAME?</v>
      </c>
      <c r="AB186" s="527" t="e">
        <f ca="1">+MAX(PAA[[#This Row],[Comprometido Contrato]],)</f>
        <v>#NAME?</v>
      </c>
      <c r="AC186" s="527" t="str">
        <f t="shared" ca="1" si="17"/>
        <v/>
      </c>
      <c r="AD186" s="527" t="e">
        <f ca="1">+MAX(PAA[[#This Row],[Pago por Contrato]],)</f>
        <v>#NAME?</v>
      </c>
      <c r="AE186" s="527" t="str">
        <f t="shared" ca="1" si="18"/>
        <v/>
      </c>
      <c r="AF186" s="516" t="e">
        <f t="shared" ca="1" si="19"/>
        <v>#NAME?</v>
      </c>
      <c r="AG186" s="516">
        <f t="shared" si="20"/>
        <v>52010705</v>
      </c>
      <c r="AH186" s="516" t="e" cm="1">
        <f t="array" aca="1" ref="AH186" ca="1">_xlfn.XLOOKUP(PAA[[#This Row],[RCP-RUBRO]],COMPROMISOS_2025[[#All],[concatenado]],COMPROMISOS_2025[[#All],[Total pagado]],"",0)</f>
        <v>#NAME?</v>
      </c>
      <c r="AI186" s="516" t="e" cm="1">
        <f t="array" aca="1" ref="AI186" ca="1">_xlfn.XLOOKUP(PAA[[#This Row],[RCP-RUBRO]],COMPROMISOS_2025[[#All],[concatenado]],COMPROMISOS_2025[[#All],[Total Comprometido]],"",0)</f>
        <v>#NAME?</v>
      </c>
    </row>
    <row r="187" spans="1:35" s="50" customFormat="1" ht="42" hidden="1" customHeight="1" x14ac:dyDescent="0.25">
      <c r="A187" s="199">
        <v>134</v>
      </c>
      <c r="B187" s="200">
        <v>80111600</v>
      </c>
      <c r="C187" s="199" t="str">
        <f>VLOOKUP(PAA[[#This Row],[PROYECTO (formulado)2]],PROYECTOS!$G$1:$L$32,6,0)</f>
        <v>SUBGERENCIA DE FOMENTO Y DESARROLLO</v>
      </c>
      <c r="D187" s="199" t="str">
        <f>+IF(PAA[[#This Row],[UNIDAD DE CONTRATACION (formulado)]]="Subgerencia Administrativa y Financiera","FUNCIONAMIENTO","INVERSIÓN")</f>
        <v>INVERSIÓN</v>
      </c>
      <c r="E187" s="201" t="str">
        <f>VLOOKUP(Q187,PROYECTOS!$G$1:$K$32,5,0)</f>
        <v>Asesoria y acompañamiento institucional para el deporte formativo, la recreación y la actividad física en el departamento de Antioquia</v>
      </c>
      <c r="F187" s="201">
        <f>VLOOKUP(E187,PROYECTOS!$K$1:$M$32,3,0)</f>
        <v>2024003050100</v>
      </c>
      <c r="G187" s="202" t="s">
        <v>267</v>
      </c>
      <c r="H187" s="202" t="str">
        <f>VLOOKUP(Q187,PROYECTOS!$V$1:$W$32,2,0)</f>
        <v>050071</v>
      </c>
      <c r="I187" s="203">
        <v>1997890</v>
      </c>
      <c r="J187" s="204" t="s">
        <v>305</v>
      </c>
      <c r="K187" s="199" t="str">
        <f t="shared" ca="1" si="14"/>
        <v>CONTRATADO</v>
      </c>
      <c r="L187" s="204" t="s">
        <v>112</v>
      </c>
      <c r="M187" s="204" t="s">
        <v>113</v>
      </c>
      <c r="N187" s="205" t="s">
        <v>306</v>
      </c>
      <c r="O187" s="204">
        <f>VLOOKUP(N187,RUBROS[#All],3,0)</f>
        <v>75</v>
      </c>
      <c r="P187" s="206" t="str">
        <f>VLOOKUP(N187,RUBROS[#All],2,0)</f>
        <v>Asesoria y acompañamiento institucional para el deporte formativo, la recreación y la actividad física en el departamento de Antioquia. - Servicios para la comunidad, sociales y personales</v>
      </c>
      <c r="Q187" s="199" t="str">
        <f t="shared" si="15"/>
        <v>10</v>
      </c>
      <c r="R187" s="199" t="str">
        <f t="shared" si="16"/>
        <v>0-101024</v>
      </c>
      <c r="S187" s="207">
        <v>10</v>
      </c>
      <c r="T187" s="208" t="s">
        <v>46</v>
      </c>
      <c r="U187" s="209" t="e">
        <f ca="1">_xlfn.XLOOKUP(PAA[[#This Row],[ITEM]],Contrato!A:A,Contrato!Q:Q,"",0)</f>
        <v>#NAME?</v>
      </c>
      <c r="V187" s="199" t="s">
        <v>47</v>
      </c>
      <c r="W187" s="199" t="s">
        <v>127</v>
      </c>
      <c r="X187" s="199" t="s">
        <v>127</v>
      </c>
      <c r="Y187" s="210" t="e">
        <f ca="1">_xlfn.XLOOKUP(PAA[[#This Row],[ITEM]],Contrato!A:A,Contrato!B:B,"",0)</f>
        <v>#NAME?</v>
      </c>
      <c r="Z187" s="199" t="e">
        <f ca="1">_xlfn.XLOOKUP(PAA[[#This Row],[ITEM]],Contrato!A:A,Contrato!G:G,"",0)</f>
        <v>#NAME?</v>
      </c>
      <c r="AA187" s="199" t="e">
        <f ca="1">_xlfn.XLOOKUP(PAA[[#This Row],[ITEM]],Contrato!A:A,Contrato!T:T,"",0)</f>
        <v>#NAME?</v>
      </c>
      <c r="AB187" s="210" t="e">
        <f ca="1">+MAX(PAA[[#This Row],[Comprometido Contrato]],)</f>
        <v>#NAME?</v>
      </c>
      <c r="AC187" s="210" t="str">
        <f t="shared" ca="1" si="17"/>
        <v/>
      </c>
      <c r="AD187" s="210" t="e">
        <f ca="1">+MAX(PAA[[#This Row],[Pago por Contrato]],)</f>
        <v>#NAME?</v>
      </c>
      <c r="AE187" s="210" t="str">
        <f t="shared" ca="1" si="18"/>
        <v/>
      </c>
      <c r="AF187" s="199" t="e">
        <f t="shared" ca="1" si="19"/>
        <v>#NAME?</v>
      </c>
      <c r="AG187" s="199">
        <f t="shared" si="20"/>
        <v>52010705</v>
      </c>
      <c r="AH187" s="199" t="e" cm="1">
        <f t="array" aca="1" ref="AH187" ca="1">_xlfn.XLOOKUP(PAA[[#This Row],[RCP-RUBRO]],COMPROMISOS_2025[[#All],[concatenado]],COMPROMISOS_2025[[#All],[Total pagado]],"",0)</f>
        <v>#NAME?</v>
      </c>
      <c r="AI187" s="199" t="e" cm="1">
        <f t="array" aca="1" ref="AI187" ca="1">_xlfn.XLOOKUP(PAA[[#This Row],[RCP-RUBRO]],COMPROMISOS_2025[[#All],[concatenado]],COMPROMISOS_2025[[#All],[Total Comprometido]],"",0)</f>
        <v>#NAME?</v>
      </c>
    </row>
    <row r="188" spans="1:35" s="50" customFormat="1" ht="42" hidden="1" customHeight="1" x14ac:dyDescent="0.25">
      <c r="A188" s="199">
        <v>136</v>
      </c>
      <c r="B188" s="200">
        <v>80111600</v>
      </c>
      <c r="C188" s="199" t="str">
        <f>VLOOKUP(PAA[[#This Row],[PROYECTO (formulado)2]],PROYECTOS!$G$1:$L$32,6,0)</f>
        <v>SUBGERENCIA DE FOMENTO Y DESARROLLO</v>
      </c>
      <c r="D188" s="199" t="str">
        <f>+IF(PAA[[#This Row],[UNIDAD DE CONTRATACION (formulado)]]="Subgerencia Administrativa y Financiera","FUNCIONAMIENTO","INVERSIÓN")</f>
        <v>INVERSIÓN</v>
      </c>
      <c r="E188" s="201" t="str">
        <f>VLOOKUP(Q188,PROYECTOS!$G$1:$K$32,5,0)</f>
        <v>Capacitación para el sector del deporte, la recreación y la actividad física en el Departamento de   Antioquia</v>
      </c>
      <c r="F188" s="201">
        <f>VLOOKUP(E188,PROYECTOS!$K$1:$M$32,3,0)</f>
        <v>2024003050072</v>
      </c>
      <c r="G188" s="202" t="s">
        <v>307</v>
      </c>
      <c r="H188" s="202" t="str">
        <f>VLOOKUP(Q188,PROYECTOS!$V$1:$W$32,2,0)</f>
        <v>050072</v>
      </c>
      <c r="I188" s="203">
        <v>0</v>
      </c>
      <c r="J188" s="204" t="s">
        <v>41</v>
      </c>
      <c r="K188" s="199" t="str">
        <f t="shared" ca="1" si="14"/>
        <v>CONTRATADO</v>
      </c>
      <c r="L188" s="204" t="s">
        <v>112</v>
      </c>
      <c r="M188" s="204" t="s">
        <v>113</v>
      </c>
      <c r="N188" s="205" t="s">
        <v>308</v>
      </c>
      <c r="O188" s="204">
        <f>VLOOKUP(N188,RUBROS[#All],3,0)</f>
        <v>79</v>
      </c>
      <c r="P188" s="206" t="str">
        <f>VLOOKUP(N188,RUBROS[#All],2,0)</f>
        <v>Capacitación para el sector del deporte, la recreación y la actividad física en el Departamento de   Antioquia -Servicios para la comunidad, sociales y personales</v>
      </c>
      <c r="Q188" s="199" t="str">
        <f t="shared" si="15"/>
        <v>72</v>
      </c>
      <c r="R188" s="199" t="str">
        <f t="shared" si="16"/>
        <v>0-205128</v>
      </c>
      <c r="S188" s="207">
        <v>10</v>
      </c>
      <c r="T188" s="208" t="s">
        <v>46</v>
      </c>
      <c r="U188" s="209" t="e">
        <f ca="1">_xlfn.XLOOKUP(PAA[[#This Row],[ITEM]],Contrato!A:A,Contrato!Q:Q,"",0)</f>
        <v>#NAME?</v>
      </c>
      <c r="V188" s="199" t="s">
        <v>47</v>
      </c>
      <c r="W188" s="199" t="s">
        <v>127</v>
      </c>
      <c r="X188" s="199" t="s">
        <v>127</v>
      </c>
      <c r="Y188" s="210" t="e">
        <f ca="1">_xlfn.XLOOKUP(PAA[[#This Row],[ITEM]],Contrato!A:A,Contrato!B:B,"",0)</f>
        <v>#NAME?</v>
      </c>
      <c r="Z188" s="199" t="e">
        <f ca="1">_xlfn.XLOOKUP(PAA[[#This Row],[ITEM]],Contrato!A:A,Contrato!G:G,"",0)</f>
        <v>#NAME?</v>
      </c>
      <c r="AA188" s="199" t="e">
        <f ca="1">_xlfn.XLOOKUP(PAA[[#This Row],[ITEM]],Contrato!A:A,Contrato!T:T,"",0)</f>
        <v>#NAME?</v>
      </c>
      <c r="AB188" s="210" t="e">
        <f ca="1">+MAX(PAA[[#This Row],[Comprometido Contrato]],)</f>
        <v>#NAME?</v>
      </c>
      <c r="AC188" s="210" t="str">
        <f t="shared" ca="1" si="17"/>
        <v/>
      </c>
      <c r="AD188" s="210" t="e">
        <f ca="1">+MAX(PAA[[#This Row],[Pago por Contrato]],)</f>
        <v>#NAME?</v>
      </c>
      <c r="AE188" s="210" t="str">
        <f t="shared" ca="1" si="18"/>
        <v/>
      </c>
      <c r="AF188" s="199" t="e">
        <f t="shared" ca="1" si="19"/>
        <v>#NAME?</v>
      </c>
      <c r="AG188" s="199">
        <f t="shared" si="20"/>
        <v>52010704</v>
      </c>
      <c r="AH188" s="199" t="e" cm="1">
        <f t="array" aca="1" ref="AH188" ca="1">_xlfn.XLOOKUP(PAA[[#This Row],[RCP-RUBRO]],COMPROMISOS_2025[[#All],[concatenado]],COMPROMISOS_2025[[#All],[Total pagado]],"",0)</f>
        <v>#NAME?</v>
      </c>
      <c r="AI188" s="199" t="e" cm="1">
        <f t="array" aca="1" ref="AI188" ca="1">_xlfn.XLOOKUP(PAA[[#This Row],[RCP-RUBRO]],COMPROMISOS_2025[[#All],[concatenado]],COMPROMISOS_2025[[#All],[Total Comprometido]],"",0)</f>
        <v>#NAME?</v>
      </c>
    </row>
    <row r="189" spans="1:35" s="50" customFormat="1" ht="42" hidden="1" customHeight="1" x14ac:dyDescent="0.25">
      <c r="A189" s="199">
        <v>137</v>
      </c>
      <c r="B189" s="200">
        <v>80111600</v>
      </c>
      <c r="C189" s="199" t="str">
        <f>VLOOKUP(PAA[[#This Row],[PROYECTO (formulado)2]],PROYECTOS!$G$1:$L$32,6,0)</f>
        <v>SUBGERENCIA DE FOMENTO Y DESARROLLO</v>
      </c>
      <c r="D189" s="199" t="str">
        <f>+IF(PAA[[#This Row],[UNIDAD DE CONTRATACION (formulado)]]="Subgerencia Administrativa y Financiera","FUNCIONAMIENTO","INVERSIÓN")</f>
        <v>INVERSIÓN</v>
      </c>
      <c r="E189" s="201" t="str">
        <f>VLOOKUP(Q189,PROYECTOS!$G$1:$K$32,5,0)</f>
        <v>Capacitación para el sector del deporte, la recreación y la actividad física en el Departamento de   Antioquia</v>
      </c>
      <c r="F189" s="201">
        <f>VLOOKUP(E189,PROYECTOS!$K$1:$M$32,3,0)</f>
        <v>2024003050072</v>
      </c>
      <c r="G189" s="202" t="s">
        <v>307</v>
      </c>
      <c r="H189" s="202" t="str">
        <f>VLOOKUP(Q189,PROYECTOS!$V$1:$W$32,2,0)</f>
        <v>050072</v>
      </c>
      <c r="I189" s="203">
        <v>0</v>
      </c>
      <c r="J189" s="204" t="s">
        <v>41</v>
      </c>
      <c r="K189" s="199" t="str">
        <f t="shared" ca="1" si="14"/>
        <v>CONTRATADO</v>
      </c>
      <c r="L189" s="204" t="s">
        <v>112</v>
      </c>
      <c r="M189" s="204" t="s">
        <v>113</v>
      </c>
      <c r="N189" s="205" t="s">
        <v>308</v>
      </c>
      <c r="O189" s="204">
        <f>VLOOKUP(N189,RUBROS[#All],3,0)</f>
        <v>79</v>
      </c>
      <c r="P189" s="206" t="str">
        <f>VLOOKUP(N189,RUBROS[#All],2,0)</f>
        <v>Capacitación para el sector del deporte, la recreación y la actividad física en el Departamento de   Antioquia -Servicios para la comunidad, sociales y personales</v>
      </c>
      <c r="Q189" s="199" t="str">
        <f t="shared" si="15"/>
        <v>72</v>
      </c>
      <c r="R189" s="199" t="str">
        <f t="shared" si="16"/>
        <v>0-205128</v>
      </c>
      <c r="S189" s="207">
        <v>10</v>
      </c>
      <c r="T189" s="208" t="s">
        <v>46</v>
      </c>
      <c r="U189" s="209" t="e">
        <f ca="1">_xlfn.XLOOKUP(PAA[[#This Row],[ITEM]],Contrato!A:A,Contrato!Q:Q,"",0)</f>
        <v>#NAME?</v>
      </c>
      <c r="V189" s="199" t="s">
        <v>47</v>
      </c>
      <c r="W189" s="199" t="s">
        <v>127</v>
      </c>
      <c r="X189" s="199" t="s">
        <v>127</v>
      </c>
      <c r="Y189" s="210" t="e">
        <f ca="1">_xlfn.XLOOKUP(PAA[[#This Row],[ITEM]],Contrato!A:A,Contrato!B:B,"",0)</f>
        <v>#NAME?</v>
      </c>
      <c r="Z189" s="199" t="e">
        <f ca="1">_xlfn.XLOOKUP(PAA[[#This Row],[ITEM]],Contrato!A:A,Contrato!G:G,"",0)</f>
        <v>#NAME?</v>
      </c>
      <c r="AA189" s="199" t="e">
        <f ca="1">_xlfn.XLOOKUP(PAA[[#This Row],[ITEM]],Contrato!A:A,Contrato!T:T,"",0)</f>
        <v>#NAME?</v>
      </c>
      <c r="AB189" s="210" t="e">
        <f ca="1">+MAX(PAA[[#This Row],[Comprometido Contrato]],)</f>
        <v>#NAME?</v>
      </c>
      <c r="AC189" s="210" t="str">
        <f t="shared" ca="1" si="17"/>
        <v/>
      </c>
      <c r="AD189" s="210" t="e">
        <f ca="1">+MAX(PAA[[#This Row],[Pago por Contrato]],)</f>
        <v>#NAME?</v>
      </c>
      <c r="AE189" s="210" t="str">
        <f t="shared" ca="1" si="18"/>
        <v/>
      </c>
      <c r="AF189" s="199" t="e">
        <f t="shared" ca="1" si="19"/>
        <v>#NAME?</v>
      </c>
      <c r="AG189" s="199">
        <f t="shared" si="20"/>
        <v>52010704</v>
      </c>
      <c r="AH189" s="199" t="e" cm="1">
        <f t="array" aca="1" ref="AH189" ca="1">_xlfn.XLOOKUP(PAA[[#This Row],[RCP-RUBRO]],COMPROMISOS_2025[[#All],[concatenado]],COMPROMISOS_2025[[#All],[Total pagado]],"",0)</f>
        <v>#NAME?</v>
      </c>
      <c r="AI189" s="199" t="e" cm="1">
        <f t="array" aca="1" ref="AI189" ca="1">_xlfn.XLOOKUP(PAA[[#This Row],[RCP-RUBRO]],COMPROMISOS_2025[[#All],[concatenado]],COMPROMISOS_2025[[#All],[Total Comprometido]],"",0)</f>
        <v>#NAME?</v>
      </c>
    </row>
    <row r="190" spans="1:35" s="50" customFormat="1" ht="42" hidden="1" customHeight="1" x14ac:dyDescent="0.25">
      <c r="A190" s="265">
        <v>138</v>
      </c>
      <c r="B190" s="255">
        <v>80111600</v>
      </c>
      <c r="C190" s="265" t="str">
        <f>VLOOKUP(PAA[[#This Row],[PROYECTO (formulado)2]],PROYECTOS!$G$1:$L$32,6,0)</f>
        <v>SUBGERENCIA DE FOMENTO Y DESARROLLO</v>
      </c>
      <c r="D190" s="265" t="str">
        <f>+IF(PAA[[#This Row],[UNIDAD DE CONTRATACION (formulado)]]="Subgerencia Administrativa y Financiera","FUNCIONAMIENTO","INVERSIÓN")</f>
        <v>INVERSIÓN</v>
      </c>
      <c r="E190" s="274" t="str">
        <f>VLOOKUP(Q190,PROYECTOS!$G$1:$K$32,5,0)</f>
        <v>Capacitación para el sector del deporte, la recreación y la actividad física en el Departamento de   Antioquia</v>
      </c>
      <c r="F190" s="274">
        <f>VLOOKUP(E190,PROYECTOS!$K$1:$M$32,3,0)</f>
        <v>2024003050072</v>
      </c>
      <c r="G190" s="266" t="s">
        <v>307</v>
      </c>
      <c r="H190" s="266" t="str">
        <f>VLOOKUP(Q190,PROYECTOS!$V$1:$W$32,2,0)</f>
        <v>050072</v>
      </c>
      <c r="I190" s="269">
        <v>85843000</v>
      </c>
      <c r="J190" s="275" t="s">
        <v>309</v>
      </c>
      <c r="K190" s="265" t="str">
        <f t="shared" ca="1" si="14"/>
        <v>CONTRATADO</v>
      </c>
      <c r="L190" s="275" t="s">
        <v>112</v>
      </c>
      <c r="M190" s="275" t="s">
        <v>113</v>
      </c>
      <c r="N190" s="276" t="s">
        <v>308</v>
      </c>
      <c r="O190" s="275">
        <f>VLOOKUP(N190,RUBROS[#All],3,0)</f>
        <v>79</v>
      </c>
      <c r="P190" s="277" t="str">
        <f>VLOOKUP(N190,RUBROS[#All],2,0)</f>
        <v>Capacitación para el sector del deporte, la recreación y la actividad física en el Departamento de   Antioquia -Servicios para la comunidad, sociales y personales</v>
      </c>
      <c r="Q190" s="265" t="str">
        <f t="shared" si="15"/>
        <v>72</v>
      </c>
      <c r="R190" s="265" t="str">
        <f t="shared" si="16"/>
        <v>0-205128</v>
      </c>
      <c r="S190" s="254">
        <v>10</v>
      </c>
      <c r="T190" s="278" t="s">
        <v>46</v>
      </c>
      <c r="U190" s="272" t="e">
        <f ca="1">_xlfn.XLOOKUP(PAA[[#This Row],[ITEM]],Contrato!A:A,Contrato!Q:Q,"",0)</f>
        <v>#NAME?</v>
      </c>
      <c r="V190" s="265" t="s">
        <v>47</v>
      </c>
      <c r="W190" s="265" t="s">
        <v>127</v>
      </c>
      <c r="X190" s="265" t="s">
        <v>127</v>
      </c>
      <c r="Y190" s="273" t="e">
        <f ca="1">_xlfn.XLOOKUP(PAA[[#This Row],[ITEM]],Contrato!A:A,Contrato!B:B,"",0)</f>
        <v>#NAME?</v>
      </c>
      <c r="Z190" s="265" t="e">
        <f ca="1">_xlfn.XLOOKUP(PAA[[#This Row],[ITEM]],Contrato!A:A,Contrato!G:G,"",0)</f>
        <v>#NAME?</v>
      </c>
      <c r="AA190" s="265" t="e">
        <f ca="1">_xlfn.XLOOKUP(PAA[[#This Row],[ITEM]],Contrato!A:A,Contrato!T:T,"",0)</f>
        <v>#NAME?</v>
      </c>
      <c r="AB190" s="273" t="e">
        <f ca="1">+MAX(PAA[[#This Row],[Comprometido Contrato]],)</f>
        <v>#NAME?</v>
      </c>
      <c r="AC190" s="273" t="str">
        <f t="shared" ca="1" si="17"/>
        <v/>
      </c>
      <c r="AD190" s="273" t="e">
        <f ca="1">+MAX(PAA[[#This Row],[Pago por Contrato]],)</f>
        <v>#NAME?</v>
      </c>
      <c r="AE190" s="273" t="str">
        <f t="shared" ca="1" si="18"/>
        <v/>
      </c>
      <c r="AF190" s="265" t="e">
        <f t="shared" ca="1" si="19"/>
        <v>#NAME?</v>
      </c>
      <c r="AG190" s="265">
        <f t="shared" si="20"/>
        <v>52010704</v>
      </c>
      <c r="AH190" s="265" t="e" cm="1">
        <f t="array" aca="1" ref="AH190" ca="1">_xlfn.XLOOKUP(PAA[[#This Row],[RCP-RUBRO]],COMPROMISOS_2025[[#All],[concatenado]],COMPROMISOS_2025[[#All],[Total pagado]],"",0)</f>
        <v>#NAME?</v>
      </c>
      <c r="AI190" s="265" t="e" cm="1">
        <f t="array" aca="1" ref="AI190" ca="1">_xlfn.XLOOKUP(PAA[[#This Row],[RCP-RUBRO]],COMPROMISOS_2025[[#All],[concatenado]],COMPROMISOS_2025[[#All],[Total Comprometido]],"",0)</f>
        <v>#NAME?</v>
      </c>
    </row>
    <row r="191" spans="1:35" s="50" customFormat="1" ht="42" hidden="1" customHeight="1" x14ac:dyDescent="0.25">
      <c r="A191" s="265">
        <v>139</v>
      </c>
      <c r="B191" s="255">
        <v>86111602</v>
      </c>
      <c r="C191" s="265" t="str">
        <f>VLOOKUP(PAA[[#This Row],[PROYECTO (formulado)2]],PROYECTOS!$G$1:$L$32,6,0)</f>
        <v>SUBGERENCIA DE FOMENTO Y DESARROLLO</v>
      </c>
      <c r="D191" s="265" t="str">
        <f>+IF(PAA[[#This Row],[UNIDAD DE CONTRATACION (formulado)]]="Subgerencia Administrativa y Financiera","FUNCIONAMIENTO","INVERSIÓN")</f>
        <v>INVERSIÓN</v>
      </c>
      <c r="E191" s="274" t="str">
        <f>VLOOKUP(Q191,PROYECTOS!$G$1:$K$32,5,0)</f>
        <v>Capacitación para el sector del deporte, la recreación y la actividad física en el Departamento de   Antioquia</v>
      </c>
      <c r="F191" s="274">
        <f>VLOOKUP(E191,PROYECTOS!$K$1:$M$32,3,0)</f>
        <v>2024003050072</v>
      </c>
      <c r="G191" s="266" t="s">
        <v>310</v>
      </c>
      <c r="H191" s="266" t="str">
        <f>VLOOKUP(Q191,PROYECTOS!$V$1:$W$32,2,0)</f>
        <v>050072</v>
      </c>
      <c r="I191" s="269">
        <v>444991788</v>
      </c>
      <c r="J191" s="275" t="s">
        <v>311</v>
      </c>
      <c r="K191" s="265" t="str">
        <f t="shared" ca="1" si="14"/>
        <v>CONTRATADO</v>
      </c>
      <c r="L191" s="275" t="s">
        <v>112</v>
      </c>
      <c r="M191" s="275" t="s">
        <v>142</v>
      </c>
      <c r="N191" s="276" t="s">
        <v>308</v>
      </c>
      <c r="O191" s="275">
        <f>VLOOKUP(N191,RUBROS[#All],3,0)</f>
        <v>79</v>
      </c>
      <c r="P191" s="277" t="str">
        <f>VLOOKUP(N191,RUBROS[#All],2,0)</f>
        <v>Capacitación para el sector del deporte, la recreación y la actividad física en el Departamento de   Antioquia -Servicios para la comunidad, sociales y personales</v>
      </c>
      <c r="Q191" s="265" t="str">
        <f t="shared" si="15"/>
        <v>72</v>
      </c>
      <c r="R191" s="265" t="str">
        <f t="shared" si="16"/>
        <v>0-205128</v>
      </c>
      <c r="S191" s="254">
        <v>2</v>
      </c>
      <c r="T191" s="278" t="s">
        <v>46</v>
      </c>
      <c r="U191" s="272" t="e">
        <f ca="1">_xlfn.XLOOKUP(PAA[[#This Row],[ITEM]],Contrato!A:A,Contrato!Q:Q,"",0)</f>
        <v>#NAME?</v>
      </c>
      <c r="V191" s="265" t="s">
        <v>47</v>
      </c>
      <c r="W191" s="265" t="s">
        <v>133</v>
      </c>
      <c r="X191" s="265" t="s">
        <v>133</v>
      </c>
      <c r="Y191" s="273" t="e">
        <f ca="1">_xlfn.XLOOKUP(PAA[[#This Row],[ITEM]],Contrato!A:A,Contrato!B:B,"",0)</f>
        <v>#NAME?</v>
      </c>
      <c r="Z191" s="265" t="e">
        <f ca="1">_xlfn.XLOOKUP(PAA[[#This Row],[ITEM]],Contrato!A:A,Contrato!G:G,"",0)</f>
        <v>#NAME?</v>
      </c>
      <c r="AA191" s="265" t="e">
        <f ca="1">_xlfn.XLOOKUP(PAA[[#This Row],[ITEM]],Contrato!A:A,Contrato!T:T,"",0)</f>
        <v>#NAME?</v>
      </c>
      <c r="AB191" s="273" t="e">
        <f ca="1">+MAX(PAA[[#This Row],[Comprometido Contrato]],)</f>
        <v>#NAME?</v>
      </c>
      <c r="AC191" s="273" t="str">
        <f t="shared" ca="1" si="17"/>
        <v/>
      </c>
      <c r="AD191" s="273" t="e">
        <f ca="1">+MAX(PAA[[#This Row],[Pago por Contrato]],)</f>
        <v>#NAME?</v>
      </c>
      <c r="AE191" s="273" t="str">
        <f t="shared" ca="1" si="18"/>
        <v/>
      </c>
      <c r="AF191" s="265" t="e">
        <f t="shared" ca="1" si="19"/>
        <v>#NAME?</v>
      </c>
      <c r="AG191" s="265">
        <f t="shared" si="20"/>
        <v>52010704</v>
      </c>
      <c r="AH191" s="265" t="e" cm="1">
        <f t="array" aca="1" ref="AH191" ca="1">_xlfn.XLOOKUP(PAA[[#This Row],[RCP-RUBRO]],COMPROMISOS_2025[[#All],[concatenado]],COMPROMISOS_2025[[#All],[Total pagado]],"",0)</f>
        <v>#NAME?</v>
      </c>
      <c r="AI191" s="265" t="e" cm="1">
        <f t="array" aca="1" ref="AI191" ca="1">_xlfn.XLOOKUP(PAA[[#This Row],[RCP-RUBRO]],COMPROMISOS_2025[[#All],[concatenado]],COMPROMISOS_2025[[#All],[Total Comprometido]],"",0)</f>
        <v>#NAME?</v>
      </c>
    </row>
    <row r="192" spans="1:35" s="50" customFormat="1" ht="42" hidden="1" customHeight="1" x14ac:dyDescent="0.25">
      <c r="A192" s="436">
        <v>608</v>
      </c>
      <c r="B192" s="418" t="s">
        <v>312</v>
      </c>
      <c r="C192" s="436" t="str">
        <f>VLOOKUP(PAA[[#This Row],[PROYECTO (formulado)2]],PROYECTOS!$G$1:$L$32,6,0)</f>
        <v>SUBGERENCIA DE FOMENTO Y DESARROLLO</v>
      </c>
      <c r="D192" s="436" t="str">
        <f>+IF(PAA[[#This Row],[UNIDAD DE CONTRATACION (formulado)]]="Subgerencia Administrativa y Financiera","FUNCIONAMIENTO","INVERSIÓN")</f>
        <v>INVERSIÓN</v>
      </c>
      <c r="E192" s="446" t="str">
        <f>VLOOKUP(Q192,PROYECTOS!$G$1:$K$32,5,0)</f>
        <v>Fortalecimiento de los juegos deportivos institucionales en los municipios del departamento de Antioquia</v>
      </c>
      <c r="F192" s="446">
        <f>VLOOKUP(E192,PROYECTOS!$K$1:$M$32,3,0)</f>
        <v>2024003050073</v>
      </c>
      <c r="G192" s="439" t="s">
        <v>313</v>
      </c>
      <c r="H192" s="439" t="str">
        <f>VLOOKUP(Q192,PROYECTOS!$V$1:$W$32,2,0)</f>
        <v>050081</v>
      </c>
      <c r="I192" s="440">
        <v>725348816</v>
      </c>
      <c r="J192" s="442" t="s">
        <v>314</v>
      </c>
      <c r="K192" s="436" t="str">
        <f t="shared" ref="K192:K226" ca="1" si="28">IF(ISNONTEXT(Y192)=TRUE,"CONTRATADO","NO CONTRATADO")</f>
        <v>CONTRATADO</v>
      </c>
      <c r="L192" s="442" t="s">
        <v>112</v>
      </c>
      <c r="M192" s="442" t="s">
        <v>241</v>
      </c>
      <c r="N192" s="447" t="s">
        <v>315</v>
      </c>
      <c r="O192" s="442">
        <f>VLOOKUP(N192,RUBROS[#All],3,0)</f>
        <v>82</v>
      </c>
      <c r="P192" s="448" t="str">
        <f>VLOOKUP(N192,RUBROS[#All],2,0)</f>
        <v>Fortalecimiento de los juegos deportivos institucionales en los municipios del departamento de Antioquia - Servicios para la comunidad, sociales y personales</v>
      </c>
      <c r="Q192" s="436" t="str">
        <f t="shared" ref="Q192:Q226" si="29">+MID(N192,11,2)</f>
        <v>73</v>
      </c>
      <c r="R192" s="436" t="str">
        <f t="shared" ref="R192:R226" si="30">+MID(N192,14,8)</f>
        <v>0-205128</v>
      </c>
      <c r="S192" s="417">
        <v>4</v>
      </c>
      <c r="T192" s="443" t="s">
        <v>46</v>
      </c>
      <c r="U192" s="444" t="e">
        <f ca="1">_xlfn.XLOOKUP(PAA[[#This Row],[ITEM]],Contrato!A:A,Contrato!Q:Q,"",0)</f>
        <v>#NAME?</v>
      </c>
      <c r="V192" s="436" t="s">
        <v>47</v>
      </c>
      <c r="W192" s="436" t="s">
        <v>133</v>
      </c>
      <c r="X192" s="436" t="s">
        <v>133</v>
      </c>
      <c r="Y192" s="445" t="e">
        <f ca="1">_xlfn.XLOOKUP(PAA[[#This Row],[ITEM]],Contrato!A:A,Contrato!B:B,"",0)</f>
        <v>#NAME?</v>
      </c>
      <c r="Z192" s="436" t="e">
        <f ca="1">_xlfn.XLOOKUP(PAA[[#This Row],[ITEM]],Contrato!A:A,Contrato!G:G,"",0)</f>
        <v>#NAME?</v>
      </c>
      <c r="AA192" s="436" t="e">
        <f ca="1">_xlfn.XLOOKUP(PAA[[#This Row],[ITEM]],Contrato!A:A,Contrato!T:T,"",0)</f>
        <v>#NAME?</v>
      </c>
      <c r="AB192" s="445" t="e">
        <f ca="1">+MAX(PAA[[#This Row],[Comprometido Contrato]],)</f>
        <v>#NAME?</v>
      </c>
      <c r="AC192" s="445" t="str">
        <f t="shared" ref="AC192:AC226" ca="1" si="31">IFERROR(I192-AB192,"")</f>
        <v/>
      </c>
      <c r="AD192" s="445" t="e">
        <f ca="1">+MAX(PAA[[#This Row],[Pago por Contrato]],)</f>
        <v>#NAME?</v>
      </c>
      <c r="AE192" s="445" t="str">
        <f t="shared" ref="AE192:AE226" ca="1" si="32">+IFERROR(AB192-AD192,"")</f>
        <v/>
      </c>
      <c r="AF192" s="436" t="e">
        <f t="shared" ref="AF192:AF226" ca="1" si="33">+CONCATENATE(AA192,N192)</f>
        <v>#NAME?</v>
      </c>
      <c r="AG192" s="436">
        <f t="shared" ref="AG192:AG226" si="34">IFERROR(_xlfn.NUMBERVALUE(MID(G192,1,8)),"")</f>
        <v>52010703</v>
      </c>
      <c r="AH192" s="436" t="e" cm="1">
        <f t="array" aca="1" ref="AH192" ca="1">_xlfn.XLOOKUP(PAA[[#This Row],[RCP-RUBRO]],COMPROMISOS_2025[[#All],[concatenado]],COMPROMISOS_2025[[#All],[Total pagado]],"",0)</f>
        <v>#NAME?</v>
      </c>
      <c r="AI192" s="436" t="e" cm="1">
        <f t="array" aca="1" ref="AI192" ca="1">_xlfn.XLOOKUP(PAA[[#This Row],[RCP-RUBRO]],COMPROMISOS_2025[[#All],[concatenado]],COMPROMISOS_2025[[#All],[Total Comprometido]],"",0)</f>
        <v>#NAME?</v>
      </c>
    </row>
    <row r="193" spans="1:35" s="50" customFormat="1" ht="42" hidden="1" customHeight="1" x14ac:dyDescent="0.25">
      <c r="A193" s="436">
        <v>608</v>
      </c>
      <c r="B193" s="418" t="s">
        <v>312</v>
      </c>
      <c r="C193" s="436" t="str">
        <f>VLOOKUP(PAA[[#This Row],[PROYECTO (formulado)2]],PROYECTOS!$G$1:$L$32,6,0)</f>
        <v>SUBGERENCIA DE FOMENTO Y DESARROLLO</v>
      </c>
      <c r="D193" s="436" t="str">
        <f>+IF(PAA[[#This Row],[UNIDAD DE CONTRATACION (formulado)]]="Subgerencia Administrativa y Financiera","FUNCIONAMIENTO","INVERSIÓN")</f>
        <v>INVERSIÓN</v>
      </c>
      <c r="E193" s="446" t="str">
        <f>VLOOKUP(Q193,PROYECTOS!$G$1:$K$32,5,0)</f>
        <v>Fortalecimiento de los juegos deportivos institucionales en los municipios del departamento de Antioquia</v>
      </c>
      <c r="F193" s="446">
        <f>VLOOKUP(E193,PROYECTOS!$K$1:$M$32,3,0)</f>
        <v>2024003050073</v>
      </c>
      <c r="G193" s="439" t="s">
        <v>313</v>
      </c>
      <c r="H193" s="439" t="str">
        <f>VLOOKUP(Q193,PROYECTOS!$V$1:$W$32,2,0)</f>
        <v>050081</v>
      </c>
      <c r="I193" s="440">
        <v>445277800</v>
      </c>
      <c r="J193" s="442" t="s">
        <v>316</v>
      </c>
      <c r="K193" s="436" t="str">
        <f t="shared" ca="1" si="28"/>
        <v>CONTRATADO</v>
      </c>
      <c r="L193" s="442" t="s">
        <v>112</v>
      </c>
      <c r="M193" s="442" t="s">
        <v>241</v>
      </c>
      <c r="N193" s="447" t="s">
        <v>317</v>
      </c>
      <c r="O193" s="442">
        <f>VLOOKUP(N193,RUBROS[#All],3,0)</f>
        <v>83</v>
      </c>
      <c r="P193" s="448" t="str">
        <f>VLOOKUP(N193,RUBROS[#All],2,0)</f>
        <v>Fortalecimiento de los juegos deportivos institucionales en los municipios del departamento de Antioquia - Servicios para la comunidad, sociales y personales</v>
      </c>
      <c r="Q193" s="436" t="str">
        <f t="shared" si="29"/>
        <v>73</v>
      </c>
      <c r="R193" s="436" t="str">
        <f t="shared" si="30"/>
        <v>0-205400</v>
      </c>
      <c r="S193" s="417">
        <v>4</v>
      </c>
      <c r="T193" s="443" t="s">
        <v>46</v>
      </c>
      <c r="U193" s="444" t="e">
        <f ca="1">_xlfn.XLOOKUP(PAA[[#This Row],[ITEM]],Contrato!A:A,Contrato!Q:Q,"",0)</f>
        <v>#NAME?</v>
      </c>
      <c r="V193" s="436" t="s">
        <v>47</v>
      </c>
      <c r="W193" s="436" t="s">
        <v>133</v>
      </c>
      <c r="X193" s="436" t="s">
        <v>133</v>
      </c>
      <c r="Y193" s="445" t="e">
        <f ca="1">_xlfn.XLOOKUP(PAA[[#This Row],[ITEM]],Contrato!A:A,Contrato!B:B,"",0)</f>
        <v>#NAME?</v>
      </c>
      <c r="Z193" s="436" t="e">
        <f ca="1">_xlfn.XLOOKUP(PAA[[#This Row],[ITEM]],Contrato!A:A,Contrato!G:G,"",0)</f>
        <v>#NAME?</v>
      </c>
      <c r="AA193" s="436" t="e">
        <f ca="1">_xlfn.XLOOKUP(PAA[[#This Row],[ITEM]],Contrato!A:A,Contrato!T:T,"",0)</f>
        <v>#NAME?</v>
      </c>
      <c r="AB193" s="445" t="e">
        <f ca="1">+MAX(PAA[[#This Row],[Comprometido Contrato]],)</f>
        <v>#NAME?</v>
      </c>
      <c r="AC193" s="445" t="str">
        <f t="shared" ca="1" si="31"/>
        <v/>
      </c>
      <c r="AD193" s="445" t="e">
        <f ca="1">+MAX(PAA[[#This Row],[Pago por Contrato]],)</f>
        <v>#NAME?</v>
      </c>
      <c r="AE193" s="445" t="str">
        <f t="shared" ca="1" si="32"/>
        <v/>
      </c>
      <c r="AF193" s="436" t="e">
        <f t="shared" ca="1" si="33"/>
        <v>#NAME?</v>
      </c>
      <c r="AG193" s="436">
        <f t="shared" si="34"/>
        <v>52010703</v>
      </c>
      <c r="AH193" s="436" t="e" cm="1">
        <f t="array" aca="1" ref="AH193" ca="1">_xlfn.XLOOKUP(PAA[[#This Row],[RCP-RUBRO]],COMPROMISOS_2025[[#All],[concatenado]],COMPROMISOS_2025[[#All],[Total pagado]],"",0)</f>
        <v>#NAME?</v>
      </c>
      <c r="AI193" s="436" t="e" cm="1">
        <f t="array" aca="1" ref="AI193" ca="1">_xlfn.XLOOKUP(PAA[[#This Row],[RCP-RUBRO]],COMPROMISOS_2025[[#All],[concatenado]],COMPROMISOS_2025[[#All],[Total Comprometido]],"",0)</f>
        <v>#NAME?</v>
      </c>
    </row>
    <row r="194" spans="1:35" s="50" customFormat="1" ht="42" hidden="1" customHeight="1" x14ac:dyDescent="0.25">
      <c r="A194" s="436">
        <v>609</v>
      </c>
      <c r="B194" s="418" t="s">
        <v>312</v>
      </c>
      <c r="C194" s="436" t="str">
        <f>VLOOKUP(PAA[[#This Row],[PROYECTO (formulado)2]],PROYECTOS!$G$1:$L$32,6,0)</f>
        <v>SUBGERENCIA DE FOMENTO Y DESARROLLO</v>
      </c>
      <c r="D194" s="436" t="str">
        <f>+IF(PAA[[#This Row],[UNIDAD DE CONTRATACION (formulado)]]="Subgerencia Administrativa y Financiera","FUNCIONAMIENTO","INVERSIÓN")</f>
        <v>INVERSIÓN</v>
      </c>
      <c r="E194" s="446" t="str">
        <f>VLOOKUP(Q194,PROYECTOS!$G$1:$K$32,5,0)</f>
        <v>Fortalecimiento de los juegos deportivos institucionales en los municipios del departamento de Antioquia</v>
      </c>
      <c r="F194" s="446">
        <f>VLOOKUP(E194,PROYECTOS!$K$1:$M$32,3,0)</f>
        <v>2024003050073</v>
      </c>
      <c r="G194" s="439" t="s">
        <v>313</v>
      </c>
      <c r="H194" s="439" t="str">
        <f>VLOOKUP(Q194,PROYECTOS!$V$1:$W$32,2,0)</f>
        <v>050081</v>
      </c>
      <c r="I194" s="440">
        <v>251477757</v>
      </c>
      <c r="J194" s="442" t="s">
        <v>318</v>
      </c>
      <c r="K194" s="436" t="str">
        <f t="shared" ca="1" si="28"/>
        <v>CONTRATADO</v>
      </c>
      <c r="L194" s="442" t="s">
        <v>112</v>
      </c>
      <c r="M194" s="442" t="s">
        <v>241</v>
      </c>
      <c r="N194" s="447" t="s">
        <v>315</v>
      </c>
      <c r="O194" s="442">
        <f>VLOOKUP(N194,RUBROS[#All],3,0)</f>
        <v>82</v>
      </c>
      <c r="P194" s="448" t="str">
        <f>VLOOKUP(N194,RUBROS[#All],2,0)</f>
        <v>Fortalecimiento de los juegos deportivos institucionales en los municipios del departamento de Antioquia - Servicios para la comunidad, sociales y personales</v>
      </c>
      <c r="Q194" s="436" t="str">
        <f t="shared" si="29"/>
        <v>73</v>
      </c>
      <c r="R194" s="436" t="str">
        <f t="shared" si="30"/>
        <v>0-205128</v>
      </c>
      <c r="S194" s="417">
        <v>4</v>
      </c>
      <c r="T194" s="443" t="s">
        <v>46</v>
      </c>
      <c r="U194" s="444" t="e">
        <f ca="1">_xlfn.XLOOKUP(PAA[[#This Row],[ITEM]],Contrato!A:A,Contrato!Q:Q,"",0)</f>
        <v>#NAME?</v>
      </c>
      <c r="V194" s="436" t="s">
        <v>47</v>
      </c>
      <c r="W194" s="436" t="s">
        <v>133</v>
      </c>
      <c r="X194" s="436" t="s">
        <v>133</v>
      </c>
      <c r="Y194" s="445" t="e">
        <f ca="1">_xlfn.XLOOKUP(PAA[[#This Row],[ITEM]],Contrato!A:A,Contrato!B:B,"",0)</f>
        <v>#NAME?</v>
      </c>
      <c r="Z194" s="436" t="e">
        <f ca="1">_xlfn.XLOOKUP(PAA[[#This Row],[ITEM]],Contrato!A:A,Contrato!G:G,"",0)</f>
        <v>#NAME?</v>
      </c>
      <c r="AA194" s="436" t="e">
        <f ca="1">_xlfn.XLOOKUP(PAA[[#This Row],[ITEM]],Contrato!A:A,Contrato!T:T,"",0)</f>
        <v>#NAME?</v>
      </c>
      <c r="AB194" s="445" t="e">
        <f ca="1">+MAX(PAA[[#This Row],[Comprometido Contrato]],)</f>
        <v>#NAME?</v>
      </c>
      <c r="AC194" s="445" t="str">
        <f t="shared" ca="1" si="31"/>
        <v/>
      </c>
      <c r="AD194" s="445" t="e">
        <f ca="1">+MAX(PAA[[#This Row],[Pago por Contrato]],)</f>
        <v>#NAME?</v>
      </c>
      <c r="AE194" s="445" t="str">
        <f t="shared" ca="1" si="32"/>
        <v/>
      </c>
      <c r="AF194" s="436" t="e">
        <f t="shared" ca="1" si="33"/>
        <v>#NAME?</v>
      </c>
      <c r="AG194" s="436">
        <f t="shared" si="34"/>
        <v>52010703</v>
      </c>
      <c r="AH194" s="436" t="e" cm="1">
        <f t="array" aca="1" ref="AH194" ca="1">_xlfn.XLOOKUP(PAA[[#This Row],[RCP-RUBRO]],COMPROMISOS_2025[[#All],[concatenado]],COMPROMISOS_2025[[#All],[Total pagado]],"",0)</f>
        <v>#NAME?</v>
      </c>
      <c r="AI194" s="436" t="e" cm="1">
        <f t="array" aca="1" ref="AI194" ca="1">_xlfn.XLOOKUP(PAA[[#This Row],[RCP-RUBRO]],COMPROMISOS_2025[[#All],[concatenado]],COMPROMISOS_2025[[#All],[Total Comprometido]],"",0)</f>
        <v>#NAME?</v>
      </c>
    </row>
    <row r="195" spans="1:35" s="50" customFormat="1" ht="42" hidden="1" customHeight="1" x14ac:dyDescent="0.25">
      <c r="A195" s="436">
        <v>609</v>
      </c>
      <c r="B195" s="418" t="s">
        <v>312</v>
      </c>
      <c r="C195" s="436" t="str">
        <f>VLOOKUP(PAA[[#This Row],[PROYECTO (formulado)2]],PROYECTOS!$G$1:$L$32,6,0)</f>
        <v>SUBGERENCIA DE FOMENTO Y DESARROLLO</v>
      </c>
      <c r="D195" s="436" t="str">
        <f>+IF(PAA[[#This Row],[UNIDAD DE CONTRATACION (formulado)]]="Subgerencia Administrativa y Financiera","FUNCIONAMIENTO","INVERSIÓN")</f>
        <v>INVERSIÓN</v>
      </c>
      <c r="E195" s="446" t="str">
        <f>VLOOKUP(Q195,PROYECTOS!$G$1:$K$32,5,0)</f>
        <v>Fortalecimiento de los juegos deportivos institucionales en los municipios del departamento de Antioquia</v>
      </c>
      <c r="F195" s="446">
        <f>VLOOKUP(E195,PROYECTOS!$K$1:$M$32,3,0)</f>
        <v>2024003050073</v>
      </c>
      <c r="G195" s="439" t="s">
        <v>313</v>
      </c>
      <c r="H195" s="439" t="str">
        <f>VLOOKUP(Q195,PROYECTOS!$V$1:$W$32,2,0)</f>
        <v>050081</v>
      </c>
      <c r="I195" s="440">
        <v>384558100</v>
      </c>
      <c r="J195" s="442" t="s">
        <v>319</v>
      </c>
      <c r="K195" s="436" t="str">
        <f t="shared" ca="1" si="28"/>
        <v>CONTRATADO</v>
      </c>
      <c r="L195" s="442" t="s">
        <v>112</v>
      </c>
      <c r="M195" s="442" t="s">
        <v>241</v>
      </c>
      <c r="N195" s="447" t="s">
        <v>317</v>
      </c>
      <c r="O195" s="442">
        <f>VLOOKUP(N195,RUBROS[#All],3,0)</f>
        <v>83</v>
      </c>
      <c r="P195" s="448" t="str">
        <f>VLOOKUP(N195,RUBROS[#All],2,0)</f>
        <v>Fortalecimiento de los juegos deportivos institucionales en los municipios del departamento de Antioquia - Servicios para la comunidad, sociales y personales</v>
      </c>
      <c r="Q195" s="436" t="str">
        <f t="shared" si="29"/>
        <v>73</v>
      </c>
      <c r="R195" s="436" t="str">
        <f t="shared" si="30"/>
        <v>0-205400</v>
      </c>
      <c r="S195" s="417">
        <v>4</v>
      </c>
      <c r="T195" s="443" t="s">
        <v>46</v>
      </c>
      <c r="U195" s="444" t="e">
        <f ca="1">_xlfn.XLOOKUP(PAA[[#This Row],[ITEM]],Contrato!A:A,Contrato!Q:Q,"",0)</f>
        <v>#NAME?</v>
      </c>
      <c r="V195" s="436" t="s">
        <v>47</v>
      </c>
      <c r="W195" s="436" t="s">
        <v>133</v>
      </c>
      <c r="X195" s="436" t="s">
        <v>133</v>
      </c>
      <c r="Y195" s="445" t="e">
        <f ca="1">_xlfn.XLOOKUP(PAA[[#This Row],[ITEM]],Contrato!A:A,Contrato!B:B,"",0)</f>
        <v>#NAME?</v>
      </c>
      <c r="Z195" s="436" t="e">
        <f ca="1">_xlfn.XLOOKUP(PAA[[#This Row],[ITEM]],Contrato!A:A,Contrato!G:G,"",0)</f>
        <v>#NAME?</v>
      </c>
      <c r="AA195" s="436" t="e">
        <f ca="1">_xlfn.XLOOKUP(PAA[[#This Row],[ITEM]],Contrato!A:A,Contrato!T:T,"",0)</f>
        <v>#NAME?</v>
      </c>
      <c r="AB195" s="445" t="e">
        <f ca="1">+MAX(PAA[[#This Row],[Comprometido Contrato]],)</f>
        <v>#NAME?</v>
      </c>
      <c r="AC195" s="445" t="str">
        <f t="shared" ca="1" si="31"/>
        <v/>
      </c>
      <c r="AD195" s="445" t="e">
        <f ca="1">+MAX(PAA[[#This Row],[Pago por Contrato]],)</f>
        <v>#NAME?</v>
      </c>
      <c r="AE195" s="445" t="str">
        <f t="shared" ca="1" si="32"/>
        <v/>
      </c>
      <c r="AF195" s="436" t="e">
        <f t="shared" ca="1" si="33"/>
        <v>#NAME?</v>
      </c>
      <c r="AG195" s="436">
        <f t="shared" si="34"/>
        <v>52010703</v>
      </c>
      <c r="AH195" s="436" t="e" cm="1">
        <f t="array" aca="1" ref="AH195" ca="1">_xlfn.XLOOKUP(PAA[[#This Row],[RCP-RUBRO]],COMPROMISOS_2025[[#All],[concatenado]],COMPROMISOS_2025[[#All],[Total pagado]],"",0)</f>
        <v>#NAME?</v>
      </c>
      <c r="AI195" s="436" t="e" cm="1">
        <f t="array" aca="1" ref="AI195" ca="1">_xlfn.XLOOKUP(PAA[[#This Row],[RCP-RUBRO]],COMPROMISOS_2025[[#All],[concatenado]],COMPROMISOS_2025[[#All],[Total Comprometido]],"",0)</f>
        <v>#NAME?</v>
      </c>
    </row>
    <row r="196" spans="1:35" s="50" customFormat="1" ht="42" hidden="1" customHeight="1" x14ac:dyDescent="0.25">
      <c r="A196" s="436">
        <v>610</v>
      </c>
      <c r="B196" s="418" t="s">
        <v>312</v>
      </c>
      <c r="C196" s="436" t="str">
        <f>VLOOKUP(PAA[[#This Row],[PROYECTO (formulado)2]],PROYECTOS!$G$1:$L$32,6,0)</f>
        <v>SUBGERENCIA DE FOMENTO Y DESARROLLO</v>
      </c>
      <c r="D196" s="436" t="str">
        <f>+IF(PAA[[#This Row],[UNIDAD DE CONTRATACION (formulado)]]="Subgerencia Administrativa y Financiera","FUNCIONAMIENTO","INVERSIÓN")</f>
        <v>INVERSIÓN</v>
      </c>
      <c r="E196" s="446" t="str">
        <f>VLOOKUP(Q196,PROYECTOS!$G$1:$K$32,5,0)</f>
        <v>Fortalecimiento de los juegos deportivos institucionales en los municipios del departamento de Antioquia</v>
      </c>
      <c r="F196" s="446">
        <f>VLOOKUP(E196,PROYECTOS!$K$1:$M$32,3,0)</f>
        <v>2024003050073</v>
      </c>
      <c r="G196" s="439" t="s">
        <v>313</v>
      </c>
      <c r="H196" s="439" t="str">
        <f>VLOOKUP(Q196,PROYECTOS!$V$1:$W$32,2,0)</f>
        <v>050081</v>
      </c>
      <c r="I196" s="440">
        <v>179977150</v>
      </c>
      <c r="J196" s="442" t="s">
        <v>320</v>
      </c>
      <c r="K196" s="436" t="str">
        <f t="shared" ca="1" si="28"/>
        <v>CONTRATADO</v>
      </c>
      <c r="L196" s="442" t="s">
        <v>112</v>
      </c>
      <c r="M196" s="442" t="s">
        <v>241</v>
      </c>
      <c r="N196" s="447" t="s">
        <v>315</v>
      </c>
      <c r="O196" s="442">
        <f>VLOOKUP(N196,RUBROS[#All],3,0)</f>
        <v>82</v>
      </c>
      <c r="P196" s="448" t="str">
        <f>VLOOKUP(N196,RUBROS[#All],2,0)</f>
        <v>Fortalecimiento de los juegos deportivos institucionales en los municipios del departamento de Antioquia - Servicios para la comunidad, sociales y personales</v>
      </c>
      <c r="Q196" s="436" t="str">
        <f t="shared" si="29"/>
        <v>73</v>
      </c>
      <c r="R196" s="436" t="str">
        <f t="shared" si="30"/>
        <v>0-205128</v>
      </c>
      <c r="S196" s="417">
        <v>4</v>
      </c>
      <c r="T196" s="443" t="s">
        <v>46</v>
      </c>
      <c r="U196" s="444" t="e">
        <f ca="1">_xlfn.XLOOKUP(PAA[[#This Row],[ITEM]],Contrato!A:A,Contrato!Q:Q,"",0)</f>
        <v>#NAME?</v>
      </c>
      <c r="V196" s="436" t="s">
        <v>47</v>
      </c>
      <c r="W196" s="436" t="s">
        <v>133</v>
      </c>
      <c r="X196" s="436" t="s">
        <v>133</v>
      </c>
      <c r="Y196" s="445" t="e">
        <f ca="1">_xlfn.XLOOKUP(PAA[[#This Row],[ITEM]],Contrato!A:A,Contrato!B:B,"",0)</f>
        <v>#NAME?</v>
      </c>
      <c r="Z196" s="436" t="e">
        <f ca="1">_xlfn.XLOOKUP(PAA[[#This Row],[ITEM]],Contrato!A:A,Contrato!G:G,"",0)</f>
        <v>#NAME?</v>
      </c>
      <c r="AA196" s="436" t="e">
        <f ca="1">_xlfn.XLOOKUP(PAA[[#This Row],[ITEM]],Contrato!A:A,Contrato!T:T,"",0)</f>
        <v>#NAME?</v>
      </c>
      <c r="AB196" s="445" t="e">
        <f ca="1">+MAX(PAA[[#This Row],[Comprometido Contrato]],)</f>
        <v>#NAME?</v>
      </c>
      <c r="AC196" s="445" t="str">
        <f t="shared" ca="1" si="31"/>
        <v/>
      </c>
      <c r="AD196" s="445" t="e">
        <f ca="1">+MAX(PAA[[#This Row],[Pago por Contrato]],)</f>
        <v>#NAME?</v>
      </c>
      <c r="AE196" s="445" t="str">
        <f t="shared" ca="1" si="32"/>
        <v/>
      </c>
      <c r="AF196" s="436" t="e">
        <f t="shared" ca="1" si="33"/>
        <v>#NAME?</v>
      </c>
      <c r="AG196" s="436">
        <f t="shared" si="34"/>
        <v>52010703</v>
      </c>
      <c r="AH196" s="436" t="e" cm="1">
        <f t="array" aca="1" ref="AH196" ca="1">_xlfn.XLOOKUP(PAA[[#This Row],[RCP-RUBRO]],COMPROMISOS_2025[[#All],[concatenado]],COMPROMISOS_2025[[#All],[Total pagado]],"",0)</f>
        <v>#NAME?</v>
      </c>
      <c r="AI196" s="436" t="e" cm="1">
        <f t="array" aca="1" ref="AI196" ca="1">_xlfn.XLOOKUP(PAA[[#This Row],[RCP-RUBRO]],COMPROMISOS_2025[[#All],[concatenado]],COMPROMISOS_2025[[#All],[Total Comprometido]],"",0)</f>
        <v>#NAME?</v>
      </c>
    </row>
    <row r="197" spans="1:35" s="50" customFormat="1" ht="42" hidden="1" customHeight="1" x14ac:dyDescent="0.25">
      <c r="A197" s="436">
        <v>610</v>
      </c>
      <c r="B197" s="418" t="s">
        <v>312</v>
      </c>
      <c r="C197" s="436" t="str">
        <f>VLOOKUP(PAA[[#This Row],[PROYECTO (formulado)2]],PROYECTOS!$G$1:$L$32,6,0)</f>
        <v>SUBGERENCIA DE FOMENTO Y DESARROLLO</v>
      </c>
      <c r="D197" s="436" t="str">
        <f>+IF(PAA[[#This Row],[UNIDAD DE CONTRATACION (formulado)]]="Subgerencia Administrativa y Financiera","FUNCIONAMIENTO","INVERSIÓN")</f>
        <v>INVERSIÓN</v>
      </c>
      <c r="E197" s="446" t="str">
        <f>VLOOKUP(Q197,PROYECTOS!$G$1:$K$32,5,0)</f>
        <v>Fortalecimiento de los juegos deportivos institucionales en los municipios del departamento de Antioquia</v>
      </c>
      <c r="F197" s="446">
        <f>VLOOKUP(E197,PROYECTOS!$K$1:$M$32,3,0)</f>
        <v>2024003050073</v>
      </c>
      <c r="G197" s="439" t="s">
        <v>313</v>
      </c>
      <c r="H197" s="439" t="str">
        <f>VLOOKUP(Q197,PROYECTOS!$V$1:$W$32,2,0)</f>
        <v>050081</v>
      </c>
      <c r="I197" s="440">
        <v>425037900</v>
      </c>
      <c r="J197" s="442" t="s">
        <v>321</v>
      </c>
      <c r="K197" s="436" t="str">
        <f t="shared" ca="1" si="28"/>
        <v>CONTRATADO</v>
      </c>
      <c r="L197" s="442" t="s">
        <v>112</v>
      </c>
      <c r="M197" s="442" t="s">
        <v>241</v>
      </c>
      <c r="N197" s="447" t="s">
        <v>317</v>
      </c>
      <c r="O197" s="442">
        <f>VLOOKUP(N197,RUBROS[#All],3,0)</f>
        <v>83</v>
      </c>
      <c r="P197" s="448" t="str">
        <f>VLOOKUP(N197,RUBROS[#All],2,0)</f>
        <v>Fortalecimiento de los juegos deportivos institucionales en los municipios del departamento de Antioquia - Servicios para la comunidad, sociales y personales</v>
      </c>
      <c r="Q197" s="436" t="str">
        <f t="shared" si="29"/>
        <v>73</v>
      </c>
      <c r="R197" s="436" t="str">
        <f t="shared" si="30"/>
        <v>0-205400</v>
      </c>
      <c r="S197" s="417">
        <v>4</v>
      </c>
      <c r="T197" s="443" t="s">
        <v>46</v>
      </c>
      <c r="U197" s="444" t="e">
        <f ca="1">_xlfn.XLOOKUP(PAA[[#This Row],[ITEM]],Contrato!A:A,Contrato!Q:Q,"",0)</f>
        <v>#NAME?</v>
      </c>
      <c r="V197" s="436" t="s">
        <v>47</v>
      </c>
      <c r="W197" s="436" t="s">
        <v>133</v>
      </c>
      <c r="X197" s="436" t="s">
        <v>133</v>
      </c>
      <c r="Y197" s="445" t="e">
        <f ca="1">_xlfn.XLOOKUP(PAA[[#This Row],[ITEM]],Contrato!A:A,Contrato!B:B,"",0)</f>
        <v>#NAME?</v>
      </c>
      <c r="Z197" s="436" t="e">
        <f ca="1">_xlfn.XLOOKUP(PAA[[#This Row],[ITEM]],Contrato!A:A,Contrato!G:G,"",0)</f>
        <v>#NAME?</v>
      </c>
      <c r="AA197" s="436" t="e">
        <f ca="1">_xlfn.XLOOKUP(PAA[[#This Row],[ITEM]],Contrato!A:A,Contrato!T:T,"",0)</f>
        <v>#NAME?</v>
      </c>
      <c r="AB197" s="445" t="e">
        <f ca="1">+MAX(PAA[[#This Row],[Comprometido Contrato]],)</f>
        <v>#NAME?</v>
      </c>
      <c r="AC197" s="445" t="str">
        <f t="shared" ca="1" si="31"/>
        <v/>
      </c>
      <c r="AD197" s="445" t="e">
        <f ca="1">+MAX(PAA[[#This Row],[Pago por Contrato]],)</f>
        <v>#NAME?</v>
      </c>
      <c r="AE197" s="445" t="str">
        <f t="shared" ca="1" si="32"/>
        <v/>
      </c>
      <c r="AF197" s="436" t="e">
        <f t="shared" ca="1" si="33"/>
        <v>#NAME?</v>
      </c>
      <c r="AG197" s="436">
        <f t="shared" si="34"/>
        <v>52010703</v>
      </c>
      <c r="AH197" s="436" t="e" cm="1">
        <f t="array" aca="1" ref="AH197" ca="1">_xlfn.XLOOKUP(PAA[[#This Row],[RCP-RUBRO]],COMPROMISOS_2025[[#All],[concatenado]],COMPROMISOS_2025[[#All],[Total pagado]],"",0)</f>
        <v>#NAME?</v>
      </c>
      <c r="AI197" s="436" t="e" cm="1">
        <f t="array" aca="1" ref="AI197" ca="1">_xlfn.XLOOKUP(PAA[[#This Row],[RCP-RUBRO]],COMPROMISOS_2025[[#All],[concatenado]],COMPROMISOS_2025[[#All],[Total Comprometido]],"",0)</f>
        <v>#NAME?</v>
      </c>
    </row>
    <row r="198" spans="1:35" s="50" customFormat="1" ht="42" hidden="1" customHeight="1" x14ac:dyDescent="0.25">
      <c r="A198" s="436">
        <v>611</v>
      </c>
      <c r="B198" s="418" t="s">
        <v>312</v>
      </c>
      <c r="C198" s="436" t="str">
        <f>VLOOKUP(PAA[[#This Row],[PROYECTO (formulado)2]],PROYECTOS!$G$1:$L$32,6,0)</f>
        <v>SUBGERENCIA DE FOMENTO Y DESARROLLO</v>
      </c>
      <c r="D198" s="436" t="str">
        <f>+IF(PAA[[#This Row],[UNIDAD DE CONTRATACION (formulado)]]="Subgerencia Administrativa y Financiera","FUNCIONAMIENTO","INVERSIÓN")</f>
        <v>INVERSIÓN</v>
      </c>
      <c r="E198" s="446" t="str">
        <f>VLOOKUP(Q198,PROYECTOS!$G$1:$K$32,5,0)</f>
        <v>Fortalecimiento de los juegos deportivos institucionales en los municipios del departamento de Antioquia</v>
      </c>
      <c r="F198" s="446">
        <f>VLOOKUP(E198,PROYECTOS!$K$1:$M$32,3,0)</f>
        <v>2024003050073</v>
      </c>
      <c r="G198" s="439" t="s">
        <v>313</v>
      </c>
      <c r="H198" s="439" t="str">
        <f>VLOOKUP(Q198,PROYECTOS!$V$1:$W$32,2,0)</f>
        <v>050081</v>
      </c>
      <c r="I198" s="440">
        <v>101847790</v>
      </c>
      <c r="J198" s="442" t="s">
        <v>322</v>
      </c>
      <c r="K198" s="436" t="str">
        <f t="shared" ca="1" si="28"/>
        <v>CONTRATADO</v>
      </c>
      <c r="L198" s="442" t="s">
        <v>112</v>
      </c>
      <c r="M198" s="442" t="s">
        <v>241</v>
      </c>
      <c r="N198" s="447" t="s">
        <v>315</v>
      </c>
      <c r="O198" s="442">
        <f>VLOOKUP(N198,RUBROS[#All],3,0)</f>
        <v>82</v>
      </c>
      <c r="P198" s="448" t="str">
        <f>VLOOKUP(N198,RUBROS[#All],2,0)</f>
        <v>Fortalecimiento de los juegos deportivos institucionales en los municipios del departamento de Antioquia - Servicios para la comunidad, sociales y personales</v>
      </c>
      <c r="Q198" s="436" t="str">
        <f t="shared" si="29"/>
        <v>73</v>
      </c>
      <c r="R198" s="436" t="str">
        <f t="shared" si="30"/>
        <v>0-205128</v>
      </c>
      <c r="S198" s="417">
        <v>4</v>
      </c>
      <c r="T198" s="443" t="s">
        <v>46</v>
      </c>
      <c r="U198" s="444" t="e">
        <f ca="1">_xlfn.XLOOKUP(PAA[[#This Row],[ITEM]],Contrato!A:A,Contrato!Q:Q,"",0)</f>
        <v>#NAME?</v>
      </c>
      <c r="V198" s="436" t="s">
        <v>47</v>
      </c>
      <c r="W198" s="436" t="s">
        <v>133</v>
      </c>
      <c r="X198" s="436" t="s">
        <v>133</v>
      </c>
      <c r="Y198" s="445" t="e">
        <f ca="1">_xlfn.XLOOKUP(PAA[[#This Row],[ITEM]],Contrato!A:A,Contrato!B:B,"",0)</f>
        <v>#NAME?</v>
      </c>
      <c r="Z198" s="436" t="e">
        <f ca="1">_xlfn.XLOOKUP(PAA[[#This Row],[ITEM]],Contrato!A:A,Contrato!G:G,"",0)</f>
        <v>#NAME?</v>
      </c>
      <c r="AA198" s="436" t="e">
        <f ca="1">_xlfn.XLOOKUP(PAA[[#This Row],[ITEM]],Contrato!A:A,Contrato!T:T,"",0)</f>
        <v>#NAME?</v>
      </c>
      <c r="AB198" s="445" t="e">
        <f ca="1">+MAX(PAA[[#This Row],[Comprometido Contrato]],)</f>
        <v>#NAME?</v>
      </c>
      <c r="AC198" s="445" t="str">
        <f t="shared" ca="1" si="31"/>
        <v/>
      </c>
      <c r="AD198" s="445" t="e">
        <f ca="1">+MAX(PAA[[#This Row],[Pago por Contrato]],)</f>
        <v>#NAME?</v>
      </c>
      <c r="AE198" s="445" t="str">
        <f t="shared" ca="1" si="32"/>
        <v/>
      </c>
      <c r="AF198" s="436" t="e">
        <f t="shared" ca="1" si="33"/>
        <v>#NAME?</v>
      </c>
      <c r="AG198" s="436">
        <f t="shared" si="34"/>
        <v>52010703</v>
      </c>
      <c r="AH198" s="436" t="e" cm="1">
        <f t="array" aca="1" ref="AH198" ca="1">_xlfn.XLOOKUP(PAA[[#This Row],[RCP-RUBRO]],COMPROMISOS_2025[[#All],[concatenado]],COMPROMISOS_2025[[#All],[Total pagado]],"",0)</f>
        <v>#NAME?</v>
      </c>
      <c r="AI198" s="436" t="e" cm="1">
        <f t="array" aca="1" ref="AI198" ca="1">_xlfn.XLOOKUP(PAA[[#This Row],[RCP-RUBRO]],COMPROMISOS_2025[[#All],[concatenado]],COMPROMISOS_2025[[#All],[Total Comprometido]],"",0)</f>
        <v>#NAME?</v>
      </c>
    </row>
    <row r="199" spans="1:35" s="50" customFormat="1" ht="42" hidden="1" customHeight="1" x14ac:dyDescent="0.25">
      <c r="A199" s="436">
        <v>611</v>
      </c>
      <c r="B199" s="418" t="s">
        <v>312</v>
      </c>
      <c r="C199" s="436" t="str">
        <f>VLOOKUP(PAA[[#This Row],[PROYECTO (formulado)2]],PROYECTOS!$G$1:$L$32,6,0)</f>
        <v>SUBGERENCIA DE FOMENTO Y DESARROLLO</v>
      </c>
      <c r="D199" s="436" t="str">
        <f>+IF(PAA[[#This Row],[UNIDAD DE CONTRATACION (formulado)]]="Subgerencia Administrativa y Financiera","FUNCIONAMIENTO","INVERSIÓN")</f>
        <v>INVERSIÓN</v>
      </c>
      <c r="E199" s="446" t="str">
        <f>VLOOKUP(Q199,PROYECTOS!$G$1:$K$32,5,0)</f>
        <v>Fortalecimiento de los juegos deportivos institucionales en los municipios del departamento de Antioquia</v>
      </c>
      <c r="F199" s="446">
        <f>VLOOKUP(E199,PROYECTOS!$K$1:$M$32,3,0)</f>
        <v>2024003050073</v>
      </c>
      <c r="G199" s="439" t="s">
        <v>313</v>
      </c>
      <c r="H199" s="439" t="str">
        <f>VLOOKUP(Q199,PROYECTOS!$V$1:$W$32,2,0)</f>
        <v>050081</v>
      </c>
      <c r="I199" s="440">
        <v>151394452</v>
      </c>
      <c r="J199" s="442" t="s">
        <v>323</v>
      </c>
      <c r="K199" s="436" t="str">
        <f t="shared" ca="1" si="28"/>
        <v>CONTRATADO</v>
      </c>
      <c r="L199" s="442" t="s">
        <v>112</v>
      </c>
      <c r="M199" s="442" t="s">
        <v>241</v>
      </c>
      <c r="N199" s="447" t="s">
        <v>317</v>
      </c>
      <c r="O199" s="442">
        <f>VLOOKUP(N199,RUBROS[#All],3,0)</f>
        <v>83</v>
      </c>
      <c r="P199" s="448" t="str">
        <f>VLOOKUP(N199,RUBROS[#All],2,0)</f>
        <v>Fortalecimiento de los juegos deportivos institucionales en los municipios del departamento de Antioquia - Servicios para la comunidad, sociales y personales</v>
      </c>
      <c r="Q199" s="436" t="str">
        <f t="shared" si="29"/>
        <v>73</v>
      </c>
      <c r="R199" s="436" t="str">
        <f t="shared" si="30"/>
        <v>0-205400</v>
      </c>
      <c r="S199" s="417">
        <v>4</v>
      </c>
      <c r="T199" s="443" t="s">
        <v>46</v>
      </c>
      <c r="U199" s="444" t="e">
        <f ca="1">_xlfn.XLOOKUP(PAA[[#This Row],[ITEM]],Contrato!A:A,Contrato!Q:Q,"",0)</f>
        <v>#NAME?</v>
      </c>
      <c r="V199" s="436" t="s">
        <v>47</v>
      </c>
      <c r="W199" s="436" t="s">
        <v>133</v>
      </c>
      <c r="X199" s="436" t="s">
        <v>133</v>
      </c>
      <c r="Y199" s="445" t="e">
        <f ca="1">_xlfn.XLOOKUP(PAA[[#This Row],[ITEM]],Contrato!A:A,Contrato!B:B,"",0)</f>
        <v>#NAME?</v>
      </c>
      <c r="Z199" s="436" t="e">
        <f ca="1">_xlfn.XLOOKUP(PAA[[#This Row],[ITEM]],Contrato!A:A,Contrato!G:G,"",0)</f>
        <v>#NAME?</v>
      </c>
      <c r="AA199" s="436" t="e">
        <f ca="1">_xlfn.XLOOKUP(PAA[[#This Row],[ITEM]],Contrato!A:A,Contrato!T:T,"",0)</f>
        <v>#NAME?</v>
      </c>
      <c r="AB199" s="445" t="e">
        <f ca="1">+MAX(PAA[[#This Row],[Comprometido Contrato]],)</f>
        <v>#NAME?</v>
      </c>
      <c r="AC199" s="445" t="str">
        <f t="shared" ca="1" si="31"/>
        <v/>
      </c>
      <c r="AD199" s="445" t="e">
        <f ca="1">+MAX(PAA[[#This Row],[Pago por Contrato]],)</f>
        <v>#NAME?</v>
      </c>
      <c r="AE199" s="445" t="str">
        <f t="shared" ca="1" si="32"/>
        <v/>
      </c>
      <c r="AF199" s="436" t="e">
        <f t="shared" ca="1" si="33"/>
        <v>#NAME?</v>
      </c>
      <c r="AG199" s="436">
        <f t="shared" si="34"/>
        <v>52010703</v>
      </c>
      <c r="AH199" s="436" t="e" cm="1">
        <f t="array" aca="1" ref="AH199" ca="1">_xlfn.XLOOKUP(PAA[[#This Row],[RCP-RUBRO]],COMPROMISOS_2025[[#All],[concatenado]],COMPROMISOS_2025[[#All],[Total pagado]],"",0)</f>
        <v>#NAME?</v>
      </c>
      <c r="AI199" s="436" t="e" cm="1">
        <f t="array" aca="1" ref="AI199" ca="1">_xlfn.XLOOKUP(PAA[[#This Row],[RCP-RUBRO]],COMPROMISOS_2025[[#All],[concatenado]],COMPROMISOS_2025[[#All],[Total Comprometido]],"",0)</f>
        <v>#NAME?</v>
      </c>
    </row>
    <row r="200" spans="1:35" s="50" customFormat="1" ht="42" hidden="1" customHeight="1" x14ac:dyDescent="0.25">
      <c r="A200" s="436">
        <v>612</v>
      </c>
      <c r="B200" s="418" t="s">
        <v>312</v>
      </c>
      <c r="C200" s="436" t="str">
        <f>VLOOKUP(PAA[[#This Row],[PROYECTO (formulado)2]],PROYECTOS!$G$1:$L$32,6,0)</f>
        <v>SUBGERENCIA DE FOMENTO Y DESARROLLO</v>
      </c>
      <c r="D200" s="436" t="str">
        <f>+IF(PAA[[#This Row],[UNIDAD DE CONTRATACION (formulado)]]="Subgerencia Administrativa y Financiera","FUNCIONAMIENTO","INVERSIÓN")</f>
        <v>INVERSIÓN</v>
      </c>
      <c r="E200" s="446" t="str">
        <f>VLOOKUP(Q200,PROYECTOS!$G$1:$K$32,5,0)</f>
        <v>Fortalecimiento de los juegos deportivos institucionales en los municipios del departamento de Antioquia</v>
      </c>
      <c r="F200" s="446">
        <f>VLOOKUP(E200,PROYECTOS!$K$1:$M$32,3,0)</f>
        <v>2024003050073</v>
      </c>
      <c r="G200" s="439" t="s">
        <v>313</v>
      </c>
      <c r="H200" s="439" t="str">
        <f>VLOOKUP(Q200,PROYECTOS!$V$1:$W$32,2,0)</f>
        <v>050081</v>
      </c>
      <c r="I200" s="440">
        <v>99370520</v>
      </c>
      <c r="J200" s="442" t="s">
        <v>324</v>
      </c>
      <c r="K200" s="436" t="str">
        <f t="shared" ca="1" si="28"/>
        <v>CONTRATADO</v>
      </c>
      <c r="L200" s="442" t="s">
        <v>112</v>
      </c>
      <c r="M200" s="442" t="s">
        <v>241</v>
      </c>
      <c r="N200" s="447" t="s">
        <v>315</v>
      </c>
      <c r="O200" s="442">
        <f>VLOOKUP(N200,RUBROS[#All],3,0)</f>
        <v>82</v>
      </c>
      <c r="P200" s="448" t="str">
        <f>VLOOKUP(N200,RUBROS[#All],2,0)</f>
        <v>Fortalecimiento de los juegos deportivos institucionales en los municipios del departamento de Antioquia - Servicios para la comunidad, sociales y personales</v>
      </c>
      <c r="Q200" s="436" t="str">
        <f t="shared" si="29"/>
        <v>73</v>
      </c>
      <c r="R200" s="436" t="str">
        <f t="shared" si="30"/>
        <v>0-205128</v>
      </c>
      <c r="S200" s="417">
        <v>4</v>
      </c>
      <c r="T200" s="443" t="s">
        <v>46</v>
      </c>
      <c r="U200" s="444" t="e">
        <f ca="1">_xlfn.XLOOKUP(PAA[[#This Row],[ITEM]],Contrato!A:A,Contrato!Q:Q,"",0)</f>
        <v>#NAME?</v>
      </c>
      <c r="V200" s="436" t="s">
        <v>47</v>
      </c>
      <c r="W200" s="436" t="s">
        <v>133</v>
      </c>
      <c r="X200" s="436" t="s">
        <v>133</v>
      </c>
      <c r="Y200" s="445" t="e">
        <f ca="1">_xlfn.XLOOKUP(PAA[[#This Row],[ITEM]],Contrato!A:A,Contrato!B:B,"",0)</f>
        <v>#NAME?</v>
      </c>
      <c r="Z200" s="436" t="e">
        <f ca="1">_xlfn.XLOOKUP(PAA[[#This Row],[ITEM]],Contrato!A:A,Contrato!G:G,"",0)</f>
        <v>#NAME?</v>
      </c>
      <c r="AA200" s="436" t="e">
        <f ca="1">_xlfn.XLOOKUP(PAA[[#This Row],[ITEM]],Contrato!A:A,Contrato!T:T,"",0)</f>
        <v>#NAME?</v>
      </c>
      <c r="AB200" s="445" t="e">
        <f ca="1">+MAX(PAA[[#This Row],[Comprometido Contrato]],)</f>
        <v>#NAME?</v>
      </c>
      <c r="AC200" s="445" t="str">
        <f t="shared" ca="1" si="31"/>
        <v/>
      </c>
      <c r="AD200" s="445" t="e">
        <f ca="1">+MAX(PAA[[#This Row],[Pago por Contrato]],)</f>
        <v>#NAME?</v>
      </c>
      <c r="AE200" s="445" t="str">
        <f t="shared" ca="1" si="32"/>
        <v/>
      </c>
      <c r="AF200" s="436" t="e">
        <f t="shared" ca="1" si="33"/>
        <v>#NAME?</v>
      </c>
      <c r="AG200" s="436">
        <f t="shared" si="34"/>
        <v>52010703</v>
      </c>
      <c r="AH200" s="436" t="e" cm="1">
        <f t="array" aca="1" ref="AH200" ca="1">_xlfn.XLOOKUP(PAA[[#This Row],[RCP-RUBRO]],COMPROMISOS_2025[[#All],[concatenado]],COMPROMISOS_2025[[#All],[Total pagado]],"",0)</f>
        <v>#NAME?</v>
      </c>
      <c r="AI200" s="436" t="e" cm="1">
        <f t="array" aca="1" ref="AI200" ca="1">_xlfn.XLOOKUP(PAA[[#This Row],[RCP-RUBRO]],COMPROMISOS_2025[[#All],[concatenado]],COMPROMISOS_2025[[#All],[Total Comprometido]],"",0)</f>
        <v>#NAME?</v>
      </c>
    </row>
    <row r="201" spans="1:35" s="50" customFormat="1" ht="42" hidden="1" customHeight="1" x14ac:dyDescent="0.25">
      <c r="A201" s="436">
        <v>612</v>
      </c>
      <c r="B201" s="418" t="s">
        <v>312</v>
      </c>
      <c r="C201" s="436" t="str">
        <f>VLOOKUP(PAA[[#This Row],[PROYECTO (formulado)2]],PROYECTOS!$G$1:$L$32,6,0)</f>
        <v>SUBGERENCIA DE FOMENTO Y DESARROLLO</v>
      </c>
      <c r="D201" s="436" t="str">
        <f>+IF(PAA[[#This Row],[UNIDAD DE CONTRATACION (formulado)]]="Subgerencia Administrativa y Financiera","FUNCIONAMIENTO","INVERSIÓN")</f>
        <v>INVERSIÓN</v>
      </c>
      <c r="E201" s="446" t="str">
        <f>VLOOKUP(Q201,PROYECTOS!$G$1:$K$32,5,0)</f>
        <v>Fortalecimiento de los juegos deportivos institucionales en los municipios del departamento de Antioquia</v>
      </c>
      <c r="F201" s="446">
        <f>VLOOKUP(E201,PROYECTOS!$K$1:$M$32,3,0)</f>
        <v>2024003050073</v>
      </c>
      <c r="G201" s="439" t="s">
        <v>313</v>
      </c>
      <c r="H201" s="439" t="str">
        <f>VLOOKUP(Q201,PROYECTOS!$V$1:$W$32,2,0)</f>
        <v>050081</v>
      </c>
      <c r="I201" s="440">
        <v>156252028</v>
      </c>
      <c r="J201" s="442" t="s">
        <v>325</v>
      </c>
      <c r="K201" s="436" t="str">
        <f t="shared" ca="1" si="28"/>
        <v>CONTRATADO</v>
      </c>
      <c r="L201" s="442" t="s">
        <v>112</v>
      </c>
      <c r="M201" s="442" t="s">
        <v>241</v>
      </c>
      <c r="N201" s="447" t="s">
        <v>317</v>
      </c>
      <c r="O201" s="442">
        <f>VLOOKUP(N201,RUBROS[#All],3,0)</f>
        <v>83</v>
      </c>
      <c r="P201" s="448" t="str">
        <f>VLOOKUP(N201,RUBROS[#All],2,0)</f>
        <v>Fortalecimiento de los juegos deportivos institucionales en los municipios del departamento de Antioquia - Servicios para la comunidad, sociales y personales</v>
      </c>
      <c r="Q201" s="436" t="str">
        <f t="shared" si="29"/>
        <v>73</v>
      </c>
      <c r="R201" s="436" t="str">
        <f t="shared" si="30"/>
        <v>0-205400</v>
      </c>
      <c r="S201" s="417">
        <v>4</v>
      </c>
      <c r="T201" s="443" t="s">
        <v>46</v>
      </c>
      <c r="U201" s="444" t="e">
        <f ca="1">_xlfn.XLOOKUP(PAA[[#This Row],[ITEM]],Contrato!A:A,Contrato!Q:Q,"",0)</f>
        <v>#NAME?</v>
      </c>
      <c r="V201" s="436" t="s">
        <v>47</v>
      </c>
      <c r="W201" s="436" t="s">
        <v>133</v>
      </c>
      <c r="X201" s="436" t="s">
        <v>133</v>
      </c>
      <c r="Y201" s="445" t="e">
        <f ca="1">_xlfn.XLOOKUP(PAA[[#This Row],[ITEM]],Contrato!A:A,Contrato!B:B,"",0)</f>
        <v>#NAME?</v>
      </c>
      <c r="Z201" s="436" t="e">
        <f ca="1">_xlfn.XLOOKUP(PAA[[#This Row],[ITEM]],Contrato!A:A,Contrato!G:G,"",0)</f>
        <v>#NAME?</v>
      </c>
      <c r="AA201" s="436" t="e">
        <f ca="1">_xlfn.XLOOKUP(PAA[[#This Row],[ITEM]],Contrato!A:A,Contrato!T:T,"",0)</f>
        <v>#NAME?</v>
      </c>
      <c r="AB201" s="445" t="e">
        <f ca="1">+MAX(PAA[[#This Row],[Comprometido Contrato]],)</f>
        <v>#NAME?</v>
      </c>
      <c r="AC201" s="445" t="str">
        <f t="shared" ca="1" si="31"/>
        <v/>
      </c>
      <c r="AD201" s="445" t="e">
        <f ca="1">+MAX(PAA[[#This Row],[Pago por Contrato]],)</f>
        <v>#NAME?</v>
      </c>
      <c r="AE201" s="445" t="str">
        <f t="shared" ca="1" si="32"/>
        <v/>
      </c>
      <c r="AF201" s="436" t="e">
        <f t="shared" ca="1" si="33"/>
        <v>#NAME?</v>
      </c>
      <c r="AG201" s="436">
        <f t="shared" si="34"/>
        <v>52010703</v>
      </c>
      <c r="AH201" s="436" t="e" cm="1">
        <f t="array" aca="1" ref="AH201" ca="1">_xlfn.XLOOKUP(PAA[[#This Row],[RCP-RUBRO]],COMPROMISOS_2025[[#All],[concatenado]],COMPROMISOS_2025[[#All],[Total pagado]],"",0)</f>
        <v>#NAME?</v>
      </c>
      <c r="AI201" s="436" t="e" cm="1">
        <f t="array" aca="1" ref="AI201" ca="1">_xlfn.XLOOKUP(PAA[[#This Row],[RCP-RUBRO]],COMPROMISOS_2025[[#All],[concatenado]],COMPROMISOS_2025[[#All],[Total Comprometido]],"",0)</f>
        <v>#NAME?</v>
      </c>
    </row>
    <row r="202" spans="1:35" s="50" customFormat="1" ht="42" hidden="1" customHeight="1" x14ac:dyDescent="0.25">
      <c r="A202" s="436">
        <v>613</v>
      </c>
      <c r="B202" s="418" t="s">
        <v>312</v>
      </c>
      <c r="C202" s="436" t="str">
        <f>VLOOKUP(PAA[[#This Row],[PROYECTO (formulado)2]],PROYECTOS!$G$1:$L$32,6,0)</f>
        <v>SUBGERENCIA DE FOMENTO Y DESARROLLO</v>
      </c>
      <c r="D202" s="436" t="str">
        <f>+IF(PAA[[#This Row],[UNIDAD DE CONTRATACION (formulado)]]="Subgerencia Administrativa y Financiera","FUNCIONAMIENTO","INVERSIÓN")</f>
        <v>INVERSIÓN</v>
      </c>
      <c r="E202" s="446" t="str">
        <f>VLOOKUP(Q202,PROYECTOS!$G$1:$K$32,5,0)</f>
        <v>Fortalecimiento de los juegos deportivos institucionales en los municipios del departamento de Antioquia</v>
      </c>
      <c r="F202" s="446">
        <f>VLOOKUP(E202,PROYECTOS!$K$1:$M$32,3,0)</f>
        <v>2024003050073</v>
      </c>
      <c r="G202" s="439" t="s">
        <v>313</v>
      </c>
      <c r="H202" s="439" t="str">
        <f>VLOOKUP(Q202,PROYECTOS!$V$1:$W$32,2,0)</f>
        <v>050081</v>
      </c>
      <c r="I202" s="440">
        <v>163134054</v>
      </c>
      <c r="J202" s="442" t="s">
        <v>326</v>
      </c>
      <c r="K202" s="436" t="str">
        <f t="shared" ca="1" si="28"/>
        <v>CONTRATADO</v>
      </c>
      <c r="L202" s="442" t="s">
        <v>112</v>
      </c>
      <c r="M202" s="442" t="s">
        <v>241</v>
      </c>
      <c r="N202" s="447" t="s">
        <v>315</v>
      </c>
      <c r="O202" s="442">
        <f>VLOOKUP(N202,RUBROS[#All],3,0)</f>
        <v>82</v>
      </c>
      <c r="P202" s="448" t="str">
        <f>VLOOKUP(N202,RUBROS[#All],2,0)</f>
        <v>Fortalecimiento de los juegos deportivos institucionales en los municipios del departamento de Antioquia - Servicios para la comunidad, sociales y personales</v>
      </c>
      <c r="Q202" s="436" t="str">
        <f t="shared" si="29"/>
        <v>73</v>
      </c>
      <c r="R202" s="436" t="str">
        <f t="shared" si="30"/>
        <v>0-205128</v>
      </c>
      <c r="S202" s="417">
        <v>4</v>
      </c>
      <c r="T202" s="443" t="s">
        <v>46</v>
      </c>
      <c r="U202" s="444" t="e">
        <f ca="1">_xlfn.XLOOKUP(PAA[[#This Row],[ITEM]],Contrato!A:A,Contrato!Q:Q,"",0)</f>
        <v>#NAME?</v>
      </c>
      <c r="V202" s="436" t="s">
        <v>47</v>
      </c>
      <c r="W202" s="436" t="s">
        <v>133</v>
      </c>
      <c r="X202" s="436" t="s">
        <v>133</v>
      </c>
      <c r="Y202" s="445" t="e">
        <f ca="1">_xlfn.XLOOKUP(PAA[[#This Row],[ITEM]],Contrato!A:A,Contrato!B:B,"",0)</f>
        <v>#NAME?</v>
      </c>
      <c r="Z202" s="436" t="e">
        <f ca="1">_xlfn.XLOOKUP(PAA[[#This Row],[ITEM]],Contrato!A:A,Contrato!G:G,"",0)</f>
        <v>#NAME?</v>
      </c>
      <c r="AA202" s="436" t="e">
        <f ca="1">_xlfn.XLOOKUP(PAA[[#This Row],[ITEM]],Contrato!A:A,Contrato!T:T,"",0)</f>
        <v>#NAME?</v>
      </c>
      <c r="AB202" s="445" t="e">
        <f ca="1">+MAX(PAA[[#This Row],[Comprometido Contrato]],)</f>
        <v>#NAME?</v>
      </c>
      <c r="AC202" s="445" t="str">
        <f t="shared" ca="1" si="31"/>
        <v/>
      </c>
      <c r="AD202" s="445" t="e">
        <f ca="1">+MAX(PAA[[#This Row],[Pago por Contrato]],)</f>
        <v>#NAME?</v>
      </c>
      <c r="AE202" s="445" t="str">
        <f t="shared" ca="1" si="32"/>
        <v/>
      </c>
      <c r="AF202" s="436" t="e">
        <f t="shared" ca="1" si="33"/>
        <v>#NAME?</v>
      </c>
      <c r="AG202" s="436">
        <f t="shared" si="34"/>
        <v>52010703</v>
      </c>
      <c r="AH202" s="436" t="e" cm="1">
        <f t="array" aca="1" ref="AH202" ca="1">_xlfn.XLOOKUP(PAA[[#This Row],[RCP-RUBRO]],COMPROMISOS_2025[[#All],[concatenado]],COMPROMISOS_2025[[#All],[Total pagado]],"",0)</f>
        <v>#NAME?</v>
      </c>
      <c r="AI202" s="436" t="e" cm="1">
        <f t="array" aca="1" ref="AI202" ca="1">_xlfn.XLOOKUP(PAA[[#This Row],[RCP-RUBRO]],COMPROMISOS_2025[[#All],[concatenado]],COMPROMISOS_2025[[#All],[Total Comprometido]],"",0)</f>
        <v>#NAME?</v>
      </c>
    </row>
    <row r="203" spans="1:35" s="50" customFormat="1" ht="42" hidden="1" customHeight="1" x14ac:dyDescent="0.25">
      <c r="A203" s="436">
        <v>613</v>
      </c>
      <c r="B203" s="418" t="s">
        <v>312</v>
      </c>
      <c r="C203" s="436" t="str">
        <f>VLOOKUP(PAA[[#This Row],[PROYECTO (formulado)2]],PROYECTOS!$G$1:$L$32,6,0)</f>
        <v>SUBGERENCIA DE FOMENTO Y DESARROLLO</v>
      </c>
      <c r="D203" s="436" t="str">
        <f>+IF(PAA[[#This Row],[UNIDAD DE CONTRATACION (formulado)]]="Subgerencia Administrativa y Financiera","FUNCIONAMIENTO","INVERSIÓN")</f>
        <v>INVERSIÓN</v>
      </c>
      <c r="E203" s="446" t="str">
        <f>VLOOKUP(Q203,PROYECTOS!$G$1:$K$32,5,0)</f>
        <v>Fortalecimiento de los juegos deportivos institucionales en los municipios del departamento de Antioquia</v>
      </c>
      <c r="F203" s="446">
        <f>VLOOKUP(E203,PROYECTOS!$K$1:$M$32,3,0)</f>
        <v>2024003050073</v>
      </c>
      <c r="G203" s="439" t="s">
        <v>313</v>
      </c>
      <c r="H203" s="439" t="str">
        <f>VLOOKUP(Q203,PROYECTOS!$V$1:$W$32,2,0)</f>
        <v>050081</v>
      </c>
      <c r="I203" s="440">
        <v>295502540</v>
      </c>
      <c r="J203" s="442" t="s">
        <v>327</v>
      </c>
      <c r="K203" s="436" t="str">
        <f t="shared" ca="1" si="28"/>
        <v>CONTRATADO</v>
      </c>
      <c r="L203" s="442" t="s">
        <v>112</v>
      </c>
      <c r="M203" s="442" t="s">
        <v>241</v>
      </c>
      <c r="N203" s="447" t="s">
        <v>317</v>
      </c>
      <c r="O203" s="442">
        <f>VLOOKUP(N203,RUBROS[#All],3,0)</f>
        <v>83</v>
      </c>
      <c r="P203" s="448" t="str">
        <f>VLOOKUP(N203,RUBROS[#All],2,0)</f>
        <v>Fortalecimiento de los juegos deportivos institucionales en los municipios del departamento de Antioquia - Servicios para la comunidad, sociales y personales</v>
      </c>
      <c r="Q203" s="436" t="str">
        <f t="shared" si="29"/>
        <v>73</v>
      </c>
      <c r="R203" s="436" t="str">
        <f t="shared" si="30"/>
        <v>0-205400</v>
      </c>
      <c r="S203" s="417">
        <v>4</v>
      </c>
      <c r="T203" s="443" t="s">
        <v>46</v>
      </c>
      <c r="U203" s="444" t="e">
        <f ca="1">_xlfn.XLOOKUP(PAA[[#This Row],[ITEM]],Contrato!A:A,Contrato!Q:Q,"",0)</f>
        <v>#NAME?</v>
      </c>
      <c r="V203" s="436" t="s">
        <v>47</v>
      </c>
      <c r="W203" s="436" t="s">
        <v>133</v>
      </c>
      <c r="X203" s="436" t="s">
        <v>133</v>
      </c>
      <c r="Y203" s="445" t="e">
        <f ca="1">_xlfn.XLOOKUP(PAA[[#This Row],[ITEM]],Contrato!A:A,Contrato!B:B,"",0)</f>
        <v>#NAME?</v>
      </c>
      <c r="Z203" s="436" t="e">
        <f ca="1">_xlfn.XLOOKUP(PAA[[#This Row],[ITEM]],Contrato!A:A,Contrato!G:G,"",0)</f>
        <v>#NAME?</v>
      </c>
      <c r="AA203" s="436" t="e">
        <f ca="1">_xlfn.XLOOKUP(PAA[[#This Row],[ITEM]],Contrato!A:A,Contrato!T:T,"",0)</f>
        <v>#NAME?</v>
      </c>
      <c r="AB203" s="445" t="e">
        <f ca="1">+MAX(PAA[[#This Row],[Comprometido Contrato]],)</f>
        <v>#NAME?</v>
      </c>
      <c r="AC203" s="445" t="str">
        <f t="shared" ca="1" si="31"/>
        <v/>
      </c>
      <c r="AD203" s="445" t="e">
        <f ca="1">+MAX(PAA[[#This Row],[Pago por Contrato]],)</f>
        <v>#NAME?</v>
      </c>
      <c r="AE203" s="445" t="str">
        <f t="shared" ca="1" si="32"/>
        <v/>
      </c>
      <c r="AF203" s="436" t="e">
        <f t="shared" ca="1" si="33"/>
        <v>#NAME?</v>
      </c>
      <c r="AG203" s="436">
        <f t="shared" si="34"/>
        <v>52010703</v>
      </c>
      <c r="AH203" s="436" t="e" cm="1">
        <f t="array" aca="1" ref="AH203" ca="1">_xlfn.XLOOKUP(PAA[[#This Row],[RCP-RUBRO]],COMPROMISOS_2025[[#All],[concatenado]],COMPROMISOS_2025[[#All],[Total pagado]],"",0)</f>
        <v>#NAME?</v>
      </c>
      <c r="AI203" s="436" t="e" cm="1">
        <f t="array" aca="1" ref="AI203" ca="1">_xlfn.XLOOKUP(PAA[[#This Row],[RCP-RUBRO]],COMPROMISOS_2025[[#All],[concatenado]],COMPROMISOS_2025[[#All],[Total Comprometido]],"",0)</f>
        <v>#NAME?</v>
      </c>
    </row>
    <row r="204" spans="1:35" s="50" customFormat="1" ht="42" hidden="1" customHeight="1" x14ac:dyDescent="0.25">
      <c r="A204" s="436">
        <v>614</v>
      </c>
      <c r="B204" s="418" t="s">
        <v>312</v>
      </c>
      <c r="C204" s="436" t="str">
        <f>VLOOKUP(PAA[[#This Row],[PROYECTO (formulado)2]],PROYECTOS!$G$1:$L$32,6,0)</f>
        <v>SUBGERENCIA DE FOMENTO Y DESARROLLO</v>
      </c>
      <c r="D204" s="436" t="str">
        <f>+IF(PAA[[#This Row],[UNIDAD DE CONTRATACION (formulado)]]="Subgerencia Administrativa y Financiera","FUNCIONAMIENTO","INVERSIÓN")</f>
        <v>INVERSIÓN</v>
      </c>
      <c r="E204" s="446" t="str">
        <f>VLOOKUP(Q204,PROYECTOS!$G$1:$K$32,5,0)</f>
        <v>Fortalecimiento de los juegos deportivos institucionales en los municipios del departamento de Antioquia</v>
      </c>
      <c r="F204" s="446">
        <f>VLOOKUP(E204,PROYECTOS!$K$1:$M$32,3,0)</f>
        <v>2024003050073</v>
      </c>
      <c r="G204" s="439" t="s">
        <v>313</v>
      </c>
      <c r="H204" s="439" t="str">
        <f>VLOOKUP(Q204,PROYECTOS!$V$1:$W$32,2,0)</f>
        <v>050081</v>
      </c>
      <c r="I204" s="440">
        <v>157237940</v>
      </c>
      <c r="J204" s="442" t="s">
        <v>328</v>
      </c>
      <c r="K204" s="436" t="str">
        <f t="shared" ca="1" si="28"/>
        <v>CONTRATADO</v>
      </c>
      <c r="L204" s="442" t="s">
        <v>112</v>
      </c>
      <c r="M204" s="442" t="s">
        <v>241</v>
      </c>
      <c r="N204" s="447" t="s">
        <v>315</v>
      </c>
      <c r="O204" s="442">
        <f>VLOOKUP(N204,RUBROS[#All],3,0)</f>
        <v>82</v>
      </c>
      <c r="P204" s="448" t="str">
        <f>VLOOKUP(N204,RUBROS[#All],2,0)</f>
        <v>Fortalecimiento de los juegos deportivos institucionales en los municipios del departamento de Antioquia - Servicios para la comunidad, sociales y personales</v>
      </c>
      <c r="Q204" s="436" t="str">
        <f t="shared" si="29"/>
        <v>73</v>
      </c>
      <c r="R204" s="436" t="str">
        <f t="shared" si="30"/>
        <v>0-205128</v>
      </c>
      <c r="S204" s="417">
        <v>4</v>
      </c>
      <c r="T204" s="443" t="s">
        <v>46</v>
      </c>
      <c r="U204" s="444" t="e">
        <f ca="1">_xlfn.XLOOKUP(PAA[[#This Row],[ITEM]],Contrato!A:A,Contrato!Q:Q,"",0)</f>
        <v>#NAME?</v>
      </c>
      <c r="V204" s="436" t="s">
        <v>47</v>
      </c>
      <c r="W204" s="436" t="s">
        <v>133</v>
      </c>
      <c r="X204" s="436" t="s">
        <v>133</v>
      </c>
      <c r="Y204" s="445" t="e">
        <f ca="1">_xlfn.XLOOKUP(PAA[[#This Row],[ITEM]],Contrato!A:A,Contrato!B:B,"",0)</f>
        <v>#NAME?</v>
      </c>
      <c r="Z204" s="436" t="e">
        <f ca="1">_xlfn.XLOOKUP(PAA[[#This Row],[ITEM]],Contrato!A:A,Contrato!G:G,"",0)</f>
        <v>#NAME?</v>
      </c>
      <c r="AA204" s="436" t="e">
        <f ca="1">_xlfn.XLOOKUP(PAA[[#This Row],[ITEM]],Contrato!A:A,Contrato!T:T,"",0)</f>
        <v>#NAME?</v>
      </c>
      <c r="AB204" s="445" t="e">
        <f ca="1">+MAX(PAA[[#This Row],[Comprometido Contrato]],)</f>
        <v>#NAME?</v>
      </c>
      <c r="AC204" s="445" t="str">
        <f t="shared" ca="1" si="31"/>
        <v/>
      </c>
      <c r="AD204" s="445" t="e">
        <f ca="1">+MAX(PAA[[#This Row],[Pago por Contrato]],)</f>
        <v>#NAME?</v>
      </c>
      <c r="AE204" s="445" t="str">
        <f t="shared" ca="1" si="32"/>
        <v/>
      </c>
      <c r="AF204" s="436" t="e">
        <f t="shared" ca="1" si="33"/>
        <v>#NAME?</v>
      </c>
      <c r="AG204" s="436">
        <f t="shared" si="34"/>
        <v>52010703</v>
      </c>
      <c r="AH204" s="436" t="e" cm="1">
        <f t="array" aca="1" ref="AH204" ca="1">_xlfn.XLOOKUP(PAA[[#This Row],[RCP-RUBRO]],COMPROMISOS_2025[[#All],[concatenado]],COMPROMISOS_2025[[#All],[Total pagado]],"",0)</f>
        <v>#NAME?</v>
      </c>
      <c r="AI204" s="436" t="e" cm="1">
        <f t="array" aca="1" ref="AI204" ca="1">_xlfn.XLOOKUP(PAA[[#This Row],[RCP-RUBRO]],COMPROMISOS_2025[[#All],[concatenado]],COMPROMISOS_2025[[#All],[Total Comprometido]],"",0)</f>
        <v>#NAME?</v>
      </c>
    </row>
    <row r="205" spans="1:35" s="50" customFormat="1" ht="42" hidden="1" customHeight="1" x14ac:dyDescent="0.25">
      <c r="A205" s="436">
        <v>614</v>
      </c>
      <c r="B205" s="418" t="s">
        <v>312</v>
      </c>
      <c r="C205" s="436" t="str">
        <f>VLOOKUP(PAA[[#This Row],[PROYECTO (formulado)2]],PROYECTOS!$G$1:$L$32,6,0)</f>
        <v>SUBGERENCIA DE FOMENTO Y DESARROLLO</v>
      </c>
      <c r="D205" s="436" t="str">
        <f>+IF(PAA[[#This Row],[UNIDAD DE CONTRATACION (formulado)]]="Subgerencia Administrativa y Financiera","FUNCIONAMIENTO","INVERSIÓN")</f>
        <v>INVERSIÓN</v>
      </c>
      <c r="E205" s="446" t="str">
        <f>VLOOKUP(Q205,PROYECTOS!$G$1:$K$32,5,0)</f>
        <v>Fortalecimiento de los juegos deportivos institucionales en los municipios del departamento de Antioquia</v>
      </c>
      <c r="F205" s="446">
        <f>VLOOKUP(E205,PROYECTOS!$K$1:$M$32,3,0)</f>
        <v>2024003050073</v>
      </c>
      <c r="G205" s="439" t="s">
        <v>313</v>
      </c>
      <c r="H205" s="439" t="str">
        <f>VLOOKUP(Q205,PROYECTOS!$V$1:$W$32,2,0)</f>
        <v>050081</v>
      </c>
      <c r="I205" s="440">
        <v>277286630</v>
      </c>
      <c r="J205" s="442" t="s">
        <v>329</v>
      </c>
      <c r="K205" s="436" t="str">
        <f t="shared" ca="1" si="28"/>
        <v>CONTRATADO</v>
      </c>
      <c r="L205" s="442" t="s">
        <v>112</v>
      </c>
      <c r="M205" s="442" t="s">
        <v>241</v>
      </c>
      <c r="N205" s="447" t="s">
        <v>317</v>
      </c>
      <c r="O205" s="442">
        <f>VLOOKUP(N205,RUBROS[#All],3,0)</f>
        <v>83</v>
      </c>
      <c r="P205" s="448" t="str">
        <f>VLOOKUP(N205,RUBROS[#All],2,0)</f>
        <v>Fortalecimiento de los juegos deportivos institucionales en los municipios del departamento de Antioquia - Servicios para la comunidad, sociales y personales</v>
      </c>
      <c r="Q205" s="436" t="str">
        <f t="shared" si="29"/>
        <v>73</v>
      </c>
      <c r="R205" s="436" t="str">
        <f t="shared" si="30"/>
        <v>0-205400</v>
      </c>
      <c r="S205" s="417">
        <v>4</v>
      </c>
      <c r="T205" s="443" t="s">
        <v>46</v>
      </c>
      <c r="U205" s="444" t="e">
        <f ca="1">_xlfn.XLOOKUP(PAA[[#This Row],[ITEM]],Contrato!A:A,Contrato!Q:Q,"",0)</f>
        <v>#NAME?</v>
      </c>
      <c r="V205" s="436" t="s">
        <v>47</v>
      </c>
      <c r="W205" s="436" t="s">
        <v>133</v>
      </c>
      <c r="X205" s="436" t="s">
        <v>133</v>
      </c>
      <c r="Y205" s="445" t="e">
        <f ca="1">_xlfn.XLOOKUP(PAA[[#This Row],[ITEM]],Contrato!A:A,Contrato!B:B,"",0)</f>
        <v>#NAME?</v>
      </c>
      <c r="Z205" s="436" t="e">
        <f ca="1">_xlfn.XLOOKUP(PAA[[#This Row],[ITEM]],Contrato!A:A,Contrato!G:G,"",0)</f>
        <v>#NAME?</v>
      </c>
      <c r="AA205" s="436" t="e">
        <f ca="1">_xlfn.XLOOKUP(PAA[[#This Row],[ITEM]],Contrato!A:A,Contrato!T:T,"",0)</f>
        <v>#NAME?</v>
      </c>
      <c r="AB205" s="445" t="e">
        <f ca="1">+MAX(PAA[[#This Row],[Comprometido Contrato]],)</f>
        <v>#NAME?</v>
      </c>
      <c r="AC205" s="445" t="str">
        <f t="shared" ca="1" si="31"/>
        <v/>
      </c>
      <c r="AD205" s="445" t="e">
        <f ca="1">+MAX(PAA[[#This Row],[Pago por Contrato]],)</f>
        <v>#NAME?</v>
      </c>
      <c r="AE205" s="445" t="str">
        <f t="shared" ca="1" si="32"/>
        <v/>
      </c>
      <c r="AF205" s="436" t="e">
        <f t="shared" ca="1" si="33"/>
        <v>#NAME?</v>
      </c>
      <c r="AG205" s="436">
        <f t="shared" si="34"/>
        <v>52010703</v>
      </c>
      <c r="AH205" s="436" t="e" cm="1">
        <f t="array" aca="1" ref="AH205" ca="1">_xlfn.XLOOKUP(PAA[[#This Row],[RCP-RUBRO]],COMPROMISOS_2025[[#All],[concatenado]],COMPROMISOS_2025[[#All],[Total pagado]],"",0)</f>
        <v>#NAME?</v>
      </c>
      <c r="AI205" s="436" t="e" cm="1">
        <f t="array" aca="1" ref="AI205" ca="1">_xlfn.XLOOKUP(PAA[[#This Row],[RCP-RUBRO]],COMPROMISOS_2025[[#All],[concatenado]],COMPROMISOS_2025[[#All],[Total Comprometido]],"",0)</f>
        <v>#NAME?</v>
      </c>
    </row>
    <row r="206" spans="1:35" s="50" customFormat="1" ht="42" hidden="1" customHeight="1" x14ac:dyDescent="0.25">
      <c r="A206" s="436">
        <v>616</v>
      </c>
      <c r="B206" s="418" t="s">
        <v>330</v>
      </c>
      <c r="C206" s="436" t="str">
        <f>VLOOKUP(PAA[[#This Row],[PROYECTO (formulado)2]],PROYECTOS!$G$1:$L$32,6,0)</f>
        <v>SUBGERENCIA DE FOMENTO Y DESARROLLO</v>
      </c>
      <c r="D206" s="436" t="str">
        <f>+IF(PAA[[#This Row],[UNIDAD DE CONTRATACION (formulado)]]="Subgerencia Administrativa y Financiera","FUNCIONAMIENTO","INVERSIÓN")</f>
        <v>INVERSIÓN</v>
      </c>
      <c r="E206" s="446" t="str">
        <f>VLOOKUP(Q206,PROYECTOS!$G$1:$K$32,5,0)</f>
        <v>Fortalecimiento de los juegos deportivos institucionales en los municipios del departamento de Antioquia</v>
      </c>
      <c r="F206" s="446">
        <f>VLOOKUP(E206,PROYECTOS!$K$1:$M$32,3,0)</f>
        <v>2024003050073</v>
      </c>
      <c r="G206" s="439" t="s">
        <v>313</v>
      </c>
      <c r="H206" s="439" t="str">
        <f>VLOOKUP(Q206,PROYECTOS!$V$1:$W$32,2,0)</f>
        <v>050081</v>
      </c>
      <c r="I206" s="440">
        <v>240711817</v>
      </c>
      <c r="J206" s="442" t="s">
        <v>331</v>
      </c>
      <c r="K206" s="436" t="str">
        <f t="shared" ref="K206:K207" ca="1" si="35">IF(ISNONTEXT(Y206)=TRUE,"CONTRATADO","NO CONTRATADO")</f>
        <v>CONTRATADO</v>
      </c>
      <c r="L206" s="442" t="s">
        <v>112</v>
      </c>
      <c r="M206" s="442" t="s">
        <v>241</v>
      </c>
      <c r="N206" s="447" t="s">
        <v>315</v>
      </c>
      <c r="O206" s="442">
        <f>VLOOKUP(N206,RUBROS[#All],3,0)</f>
        <v>82</v>
      </c>
      <c r="P206" s="448" t="str">
        <f>VLOOKUP(N206,RUBROS[#All],2,0)</f>
        <v>Fortalecimiento de los juegos deportivos institucionales en los municipios del departamento de Antioquia - Servicios para la comunidad, sociales y personales</v>
      </c>
      <c r="Q206" s="436" t="str">
        <f t="shared" ref="Q206:Q207" si="36">+MID(N206,11,2)</f>
        <v>73</v>
      </c>
      <c r="R206" s="436" t="str">
        <f t="shared" ref="R206:R207" si="37">+MID(N206,14,8)</f>
        <v>0-205128</v>
      </c>
      <c r="S206" s="417">
        <v>4</v>
      </c>
      <c r="T206" s="443" t="s">
        <v>46</v>
      </c>
      <c r="U206" s="444" t="e">
        <f ca="1">_xlfn.XLOOKUP(PAA[[#This Row],[ITEM]],Contrato!A:A,Contrato!Q:Q,"",0)</f>
        <v>#NAME?</v>
      </c>
      <c r="V206" s="436" t="s">
        <v>47</v>
      </c>
      <c r="W206" s="436" t="s">
        <v>133</v>
      </c>
      <c r="X206" s="436" t="s">
        <v>133</v>
      </c>
      <c r="Y206" s="445" t="e">
        <f ca="1">_xlfn.XLOOKUP(PAA[[#This Row],[ITEM]],Contrato!A:A,Contrato!B:B,"",0)</f>
        <v>#NAME?</v>
      </c>
      <c r="Z206" s="436" t="e">
        <f ca="1">_xlfn.XLOOKUP(PAA[[#This Row],[ITEM]],Contrato!A:A,Contrato!G:G,"",0)</f>
        <v>#NAME?</v>
      </c>
      <c r="AA206" s="436" t="e">
        <f ca="1">_xlfn.XLOOKUP(PAA[[#This Row],[ITEM]],Contrato!A:A,Contrato!T:T,"",0)</f>
        <v>#NAME?</v>
      </c>
      <c r="AB206" s="445" t="e">
        <f ca="1">+MAX(PAA[[#This Row],[Comprometido Contrato]],)</f>
        <v>#NAME?</v>
      </c>
      <c r="AC206" s="445" t="str">
        <f t="shared" ref="AC206:AC207" ca="1" si="38">IFERROR(I206-AB206,"")</f>
        <v/>
      </c>
      <c r="AD206" s="445" t="e">
        <f ca="1">+MAX(PAA[[#This Row],[Pago por Contrato]],)</f>
        <v>#NAME?</v>
      </c>
      <c r="AE206" s="445" t="str">
        <f t="shared" ref="AE206:AE207" ca="1" si="39">+IFERROR(AB206-AD206,"")</f>
        <v/>
      </c>
      <c r="AF206" s="436" t="e">
        <f t="shared" ref="AF206:AF207" ca="1" si="40">+CONCATENATE(AA206,N206)</f>
        <v>#NAME?</v>
      </c>
      <c r="AG206" s="436">
        <f t="shared" ref="AG206:AG207" si="41">IFERROR(_xlfn.NUMBERVALUE(MID(G206,1,8)),"")</f>
        <v>52010703</v>
      </c>
      <c r="AH206" s="436" t="e" cm="1">
        <f t="array" aca="1" ref="AH206" ca="1">_xlfn.XLOOKUP(PAA[[#This Row],[RCP-RUBRO]],COMPROMISOS_2025[[#All],[concatenado]],COMPROMISOS_2025[[#All],[Total pagado]],"",0)</f>
        <v>#NAME?</v>
      </c>
      <c r="AI206" s="436" t="e" cm="1">
        <f t="array" aca="1" ref="AI206" ca="1">_xlfn.XLOOKUP(PAA[[#This Row],[RCP-RUBRO]],COMPROMISOS_2025[[#All],[concatenado]],COMPROMISOS_2025[[#All],[Total Comprometido]],"",0)</f>
        <v>#NAME?</v>
      </c>
    </row>
    <row r="207" spans="1:35" s="50" customFormat="1" ht="42" hidden="1" customHeight="1" x14ac:dyDescent="0.25">
      <c r="A207" s="436">
        <v>616</v>
      </c>
      <c r="B207" s="418" t="s">
        <v>330</v>
      </c>
      <c r="C207" s="436" t="str">
        <f>VLOOKUP(PAA[[#This Row],[PROYECTO (formulado)2]],PROYECTOS!$G$1:$L$32,6,0)</f>
        <v>SUBGERENCIA DE FOMENTO Y DESARROLLO</v>
      </c>
      <c r="D207" s="436" t="str">
        <f>+IF(PAA[[#This Row],[UNIDAD DE CONTRATACION (formulado)]]="Subgerencia Administrativa y Financiera","FUNCIONAMIENTO","INVERSIÓN")</f>
        <v>INVERSIÓN</v>
      </c>
      <c r="E207" s="446" t="str">
        <f>VLOOKUP(Q207,PROYECTOS!$G$1:$K$32,5,0)</f>
        <v>Fortalecimiento de los juegos deportivos institucionales en los municipios del departamento de Antioquia</v>
      </c>
      <c r="F207" s="446">
        <f>VLOOKUP(E207,PROYECTOS!$K$1:$M$32,3,0)</f>
        <v>2024003050073</v>
      </c>
      <c r="G207" s="439" t="s">
        <v>313</v>
      </c>
      <c r="H207" s="439" t="str">
        <f>VLOOKUP(Q207,PROYECTOS!$V$1:$W$32,2,0)</f>
        <v>050081</v>
      </c>
      <c r="I207" s="440">
        <v>211633000</v>
      </c>
      <c r="J207" s="442" t="s">
        <v>332</v>
      </c>
      <c r="K207" s="436" t="str">
        <f t="shared" ca="1" si="35"/>
        <v>CONTRATADO</v>
      </c>
      <c r="L207" s="442" t="s">
        <v>112</v>
      </c>
      <c r="M207" s="442" t="s">
        <v>241</v>
      </c>
      <c r="N207" s="447" t="s">
        <v>317</v>
      </c>
      <c r="O207" s="442">
        <f>VLOOKUP(N207,RUBROS[#All],3,0)</f>
        <v>83</v>
      </c>
      <c r="P207" s="448" t="str">
        <f>VLOOKUP(N207,RUBROS[#All],2,0)</f>
        <v>Fortalecimiento de los juegos deportivos institucionales en los municipios del departamento de Antioquia - Servicios para la comunidad, sociales y personales</v>
      </c>
      <c r="Q207" s="436" t="str">
        <f t="shared" si="36"/>
        <v>73</v>
      </c>
      <c r="R207" s="436" t="str">
        <f t="shared" si="37"/>
        <v>0-205400</v>
      </c>
      <c r="S207" s="417">
        <v>4</v>
      </c>
      <c r="T207" s="443" t="s">
        <v>46</v>
      </c>
      <c r="U207" s="444" t="e">
        <f ca="1">_xlfn.XLOOKUP(PAA[[#This Row],[ITEM]],Contrato!A:A,Contrato!Q:Q,"",0)</f>
        <v>#NAME?</v>
      </c>
      <c r="V207" s="436" t="s">
        <v>47</v>
      </c>
      <c r="W207" s="436" t="s">
        <v>133</v>
      </c>
      <c r="X207" s="436" t="s">
        <v>133</v>
      </c>
      <c r="Y207" s="445" t="e">
        <f ca="1">_xlfn.XLOOKUP(PAA[[#This Row],[ITEM]],Contrato!A:A,Contrato!B:B,"",0)</f>
        <v>#NAME?</v>
      </c>
      <c r="Z207" s="436" t="e">
        <f ca="1">_xlfn.XLOOKUP(PAA[[#This Row],[ITEM]],Contrato!A:A,Contrato!G:G,"",0)</f>
        <v>#NAME?</v>
      </c>
      <c r="AA207" s="436" t="e">
        <f ca="1">_xlfn.XLOOKUP(PAA[[#This Row],[ITEM]],Contrato!A:A,Contrato!T:T,"",0)</f>
        <v>#NAME?</v>
      </c>
      <c r="AB207" s="445" t="e">
        <f ca="1">+MAX(PAA[[#This Row],[Comprometido Contrato]],)</f>
        <v>#NAME?</v>
      </c>
      <c r="AC207" s="445" t="str">
        <f t="shared" ca="1" si="38"/>
        <v/>
      </c>
      <c r="AD207" s="445" t="e">
        <f ca="1">+MAX(PAA[[#This Row],[Pago por Contrato]],)</f>
        <v>#NAME?</v>
      </c>
      <c r="AE207" s="445" t="str">
        <f t="shared" ca="1" si="39"/>
        <v/>
      </c>
      <c r="AF207" s="436" t="e">
        <f t="shared" ca="1" si="40"/>
        <v>#NAME?</v>
      </c>
      <c r="AG207" s="436">
        <f t="shared" si="41"/>
        <v>52010703</v>
      </c>
      <c r="AH207" s="436" t="e" cm="1">
        <f t="array" aca="1" ref="AH207" ca="1">_xlfn.XLOOKUP(PAA[[#This Row],[RCP-RUBRO]],COMPROMISOS_2025[[#All],[concatenado]],COMPROMISOS_2025[[#All],[Total pagado]],"",0)</f>
        <v>#NAME?</v>
      </c>
      <c r="AI207" s="436" t="e" cm="1">
        <f t="array" aca="1" ref="AI207" ca="1">_xlfn.XLOOKUP(PAA[[#This Row],[RCP-RUBRO]],COMPROMISOS_2025[[#All],[concatenado]],COMPROMISOS_2025[[#All],[Total Comprometido]],"",0)</f>
        <v>#NAME?</v>
      </c>
    </row>
    <row r="208" spans="1:35" s="50" customFormat="1" ht="42" hidden="1" customHeight="1" x14ac:dyDescent="0.25">
      <c r="A208" s="436">
        <v>141</v>
      </c>
      <c r="B208" s="418">
        <v>80141607</v>
      </c>
      <c r="C208" s="436" t="str">
        <f>VLOOKUP(PAA[[#This Row],[PROYECTO (formulado)2]],PROYECTOS!$G$1:$L$32,6,0)</f>
        <v>SUBGERENCIA DE FOMENTO Y DESARROLLO</v>
      </c>
      <c r="D208" s="436" t="str">
        <f>+IF(PAA[[#This Row],[UNIDAD DE CONTRATACION (formulado)]]="Subgerencia Administrativa y Financiera","FUNCIONAMIENTO","INVERSIÓN")</f>
        <v>INVERSIÓN</v>
      </c>
      <c r="E208" s="446" t="str">
        <f>VLOOKUP(Q208,PROYECTOS!$G$1:$K$32,5,0)</f>
        <v>Fortalecimiento de los juegos deportivos institucionales en los municipios del departamento de Antioquia</v>
      </c>
      <c r="F208" s="446">
        <f>VLOOKUP(E208,PROYECTOS!$K$1:$M$32,3,0)</f>
        <v>2024003050073</v>
      </c>
      <c r="G208" s="439" t="s">
        <v>333</v>
      </c>
      <c r="H208" s="439" t="str">
        <f>VLOOKUP(Q208,PROYECTOS!$V$1:$W$32,2,0)</f>
        <v>050081</v>
      </c>
      <c r="I208" s="440">
        <v>772858382</v>
      </c>
      <c r="J208" s="442" t="s">
        <v>334</v>
      </c>
      <c r="K208" s="436" t="str">
        <f t="shared" ca="1" si="28"/>
        <v>CONTRATADO</v>
      </c>
      <c r="L208" s="442" t="s">
        <v>112</v>
      </c>
      <c r="M208" s="442" t="s">
        <v>241</v>
      </c>
      <c r="N208" s="447" t="s">
        <v>315</v>
      </c>
      <c r="O208" s="442">
        <f>VLOOKUP(N208,RUBROS[#All],3,0)</f>
        <v>82</v>
      </c>
      <c r="P208" s="448" t="str">
        <f>VLOOKUP(N208,RUBROS[#All],2,0)</f>
        <v>Fortalecimiento de los juegos deportivos institucionales en los municipios del departamento de Antioquia - Servicios para la comunidad, sociales y personales</v>
      </c>
      <c r="Q208" s="436" t="str">
        <f t="shared" si="29"/>
        <v>73</v>
      </c>
      <c r="R208" s="436" t="str">
        <f t="shared" si="30"/>
        <v>0-205128</v>
      </c>
      <c r="S208" s="417">
        <v>10</v>
      </c>
      <c r="T208" s="461" t="s">
        <v>46</v>
      </c>
      <c r="U208" s="444" t="e">
        <f ca="1">_xlfn.XLOOKUP(PAA[[#This Row],[ITEM]],Contrato!A:A,Contrato!Q:Q,"",0)</f>
        <v>#NAME?</v>
      </c>
      <c r="V208" s="436" t="s">
        <v>47</v>
      </c>
      <c r="W208" s="436" t="s">
        <v>133</v>
      </c>
      <c r="X208" s="436" t="s">
        <v>133</v>
      </c>
      <c r="Y208" s="445" t="e">
        <f ca="1">_xlfn.XLOOKUP(PAA[[#This Row],[ITEM]],Contrato!A:A,Contrato!B:B,"",0)</f>
        <v>#NAME?</v>
      </c>
      <c r="Z208" s="436" t="e">
        <f ca="1">_xlfn.XLOOKUP(PAA[[#This Row],[ITEM]],Contrato!A:A,Contrato!G:G,"",0)</f>
        <v>#NAME?</v>
      </c>
      <c r="AA208" s="436" t="e">
        <f ca="1">_xlfn.XLOOKUP(PAA[[#This Row],[ITEM]],Contrato!A:A,Contrato!T:T,"",0)</f>
        <v>#NAME?</v>
      </c>
      <c r="AB208" s="445" t="e">
        <f ca="1">+MAX(PAA[[#This Row],[Comprometido Contrato]],)</f>
        <v>#NAME?</v>
      </c>
      <c r="AC208" s="445" t="str">
        <f t="shared" ca="1" si="31"/>
        <v/>
      </c>
      <c r="AD208" s="445" t="e">
        <f ca="1">+MAX(PAA[[#This Row],[Pago por Contrato]],)</f>
        <v>#NAME?</v>
      </c>
      <c r="AE208" s="445" t="str">
        <f t="shared" ca="1" si="32"/>
        <v/>
      </c>
      <c r="AF208" s="436" t="e">
        <f t="shared" ca="1" si="33"/>
        <v>#NAME?</v>
      </c>
      <c r="AG208" s="436">
        <f t="shared" si="34"/>
        <v>52010703</v>
      </c>
      <c r="AH208" s="436" t="e" cm="1">
        <f t="array" aca="1" ref="AH208" ca="1">_xlfn.XLOOKUP(PAA[[#This Row],[RCP-RUBRO]],COMPROMISOS_2025[[#All],[concatenado]],COMPROMISOS_2025[[#All],[Total pagado]],"",0)</f>
        <v>#NAME?</v>
      </c>
      <c r="AI208" s="436" t="e" cm="1">
        <f t="array" aca="1" ref="AI208" ca="1">_xlfn.XLOOKUP(PAA[[#This Row],[RCP-RUBRO]],COMPROMISOS_2025[[#All],[concatenado]],COMPROMISOS_2025[[#All],[Total Comprometido]],"",0)</f>
        <v>#NAME?</v>
      </c>
    </row>
    <row r="209" spans="1:35" s="50" customFormat="1" ht="42" customHeight="1" x14ac:dyDescent="0.25">
      <c r="A209" s="57">
        <v>142</v>
      </c>
      <c r="B209" s="186" t="s">
        <v>41</v>
      </c>
      <c r="C209" s="57" t="str">
        <f>VLOOKUP(PAA[[#This Row],[PROYECTO (formulado)2]],PROYECTOS!$G$1:$L$32,6,0)</f>
        <v>SUBGERENCIA DE FOMENTO Y DESARROLLO</v>
      </c>
      <c r="D209" s="57" t="str">
        <f>+IF(PAA[[#This Row],[UNIDAD DE CONTRATACION (formulado)]]="Subgerencia Administrativa y Financiera","FUNCIONAMIENTO","INVERSIÓN")</f>
        <v>INVERSIÓN</v>
      </c>
      <c r="E209" s="153" t="str">
        <f>VLOOKUP(Q209,PROYECTOS!$G$1:$K$32,5,0)</f>
        <v>Fortalecimiento de los juegos deportivos institucionales en los municipios del departamento de Antioquia</v>
      </c>
      <c r="F209" s="153">
        <f>VLOOKUP(E209,PROYECTOS!$K$1:$M$32,3,0)</f>
        <v>2024003050073</v>
      </c>
      <c r="G209" s="154" t="s">
        <v>313</v>
      </c>
      <c r="H209" s="154" t="str">
        <f>VLOOKUP(Q209,PROYECTOS!$V$1:$W$32,2,0)</f>
        <v>050081</v>
      </c>
      <c r="I209" s="143">
        <v>0</v>
      </c>
      <c r="J209" s="155" t="s">
        <v>41</v>
      </c>
      <c r="K209" s="57" t="str">
        <f t="shared" ca="1" si="28"/>
        <v>CONTRATADO</v>
      </c>
      <c r="L209" s="155" t="s">
        <v>41</v>
      </c>
      <c r="M209" s="155" t="s">
        <v>41</v>
      </c>
      <c r="N209" s="142" t="s">
        <v>315</v>
      </c>
      <c r="O209" s="155">
        <f>VLOOKUP(N209,RUBROS[#All],3,0)</f>
        <v>82</v>
      </c>
      <c r="P209" s="156" t="str">
        <f>VLOOKUP(N209,RUBROS[#All],2,0)</f>
        <v>Fortalecimiento de los juegos deportivos institucionales en los municipios del departamento de Antioquia - Servicios para la comunidad, sociales y personales</v>
      </c>
      <c r="Q209" s="57" t="str">
        <f t="shared" si="29"/>
        <v>73</v>
      </c>
      <c r="R209" s="57" t="str">
        <f t="shared" si="30"/>
        <v>0-205128</v>
      </c>
      <c r="S209" s="152" t="s">
        <v>41</v>
      </c>
      <c r="T209" s="469" t="s">
        <v>41</v>
      </c>
      <c r="U209" s="162" t="e">
        <f ca="1">_xlfn.XLOOKUP(PAA[[#This Row],[ITEM]],Contrato!A:A,Contrato!Q:Q,"",0)</f>
        <v>#NAME?</v>
      </c>
      <c r="V209" s="57" t="s">
        <v>47</v>
      </c>
      <c r="W209" s="152" t="s">
        <v>41</v>
      </c>
      <c r="X209" s="240" t="s">
        <v>41</v>
      </c>
      <c r="Y209" s="58" t="e">
        <f ca="1">_xlfn.XLOOKUP(PAA[[#This Row],[ITEM]],Contrato!A:A,Contrato!B:B,"",0)</f>
        <v>#NAME?</v>
      </c>
      <c r="Z209" s="57" t="e">
        <f ca="1">_xlfn.XLOOKUP(PAA[[#This Row],[ITEM]],Contrato!A:A,Contrato!G:G,"",0)</f>
        <v>#NAME?</v>
      </c>
      <c r="AA209" s="57" t="e">
        <f ca="1">_xlfn.XLOOKUP(PAA[[#This Row],[ITEM]],Contrato!A:A,Contrato!T:T,"",0)</f>
        <v>#NAME?</v>
      </c>
      <c r="AB209" s="58" t="e">
        <f ca="1">+MAX(PAA[[#This Row],[Comprometido Contrato]],)</f>
        <v>#NAME?</v>
      </c>
      <c r="AC209" s="58" t="str">
        <f t="shared" ca="1" si="31"/>
        <v/>
      </c>
      <c r="AD209" s="58" t="e">
        <f ca="1">+MAX(PAA[[#This Row],[Pago por Contrato]],)</f>
        <v>#NAME?</v>
      </c>
      <c r="AE209" s="58" t="str">
        <f t="shared" ca="1" si="32"/>
        <v/>
      </c>
      <c r="AF209" s="57" t="e">
        <f t="shared" ca="1" si="33"/>
        <v>#NAME?</v>
      </c>
      <c r="AG209" s="57">
        <f t="shared" si="34"/>
        <v>52010703</v>
      </c>
      <c r="AH209" s="57" t="e" cm="1">
        <f t="array" aca="1" ref="AH209" ca="1">_xlfn.XLOOKUP(PAA[[#This Row],[RCP-RUBRO]],COMPROMISOS_2025[[#All],[concatenado]],COMPROMISOS_2025[[#All],[Total pagado]],"",0)</f>
        <v>#NAME?</v>
      </c>
      <c r="AI209" s="57" t="e" cm="1">
        <f t="array" aca="1" ref="AI209" ca="1">_xlfn.XLOOKUP(PAA[[#This Row],[RCP-RUBRO]],COMPROMISOS_2025[[#All],[concatenado]],COMPROMISOS_2025[[#All],[Total Comprometido]],"",0)</f>
        <v>#NAME?</v>
      </c>
    </row>
    <row r="210" spans="1:35" s="50" customFormat="1" ht="42" customHeight="1" x14ac:dyDescent="0.25">
      <c r="A210" s="57">
        <v>143</v>
      </c>
      <c r="B210" s="186" t="s">
        <v>41</v>
      </c>
      <c r="C210" s="57" t="str">
        <f>VLOOKUP(PAA[[#This Row],[PROYECTO (formulado)2]],PROYECTOS!$G$1:$L$32,6,0)</f>
        <v>SUBGERENCIA DE FOMENTO Y DESARROLLO</v>
      </c>
      <c r="D210" s="57" t="str">
        <f>+IF(PAA[[#This Row],[UNIDAD DE CONTRATACION (formulado)]]="Subgerencia Administrativa y Financiera","FUNCIONAMIENTO","INVERSIÓN")</f>
        <v>INVERSIÓN</v>
      </c>
      <c r="E210" s="153" t="str">
        <f>VLOOKUP(Q210,PROYECTOS!$G$1:$K$32,5,0)</f>
        <v>Fortalecimiento de los juegos deportivos institucionales en los municipios del departamento de Antioquia</v>
      </c>
      <c r="F210" s="153">
        <f>VLOOKUP(E210,PROYECTOS!$K$1:$M$32,3,0)</f>
        <v>2024003050073</v>
      </c>
      <c r="G210" s="154" t="s">
        <v>335</v>
      </c>
      <c r="H210" s="154" t="str">
        <f>VLOOKUP(Q210,PROYECTOS!$V$1:$W$32,2,0)</f>
        <v>050081</v>
      </c>
      <c r="I210" s="143">
        <v>0</v>
      </c>
      <c r="J210" s="155" t="s">
        <v>41</v>
      </c>
      <c r="K210" s="57" t="str">
        <f t="shared" ca="1" si="28"/>
        <v>CONTRATADO</v>
      </c>
      <c r="L210" s="155" t="s">
        <v>41</v>
      </c>
      <c r="M210" s="155" t="s">
        <v>41</v>
      </c>
      <c r="N210" s="142" t="s">
        <v>315</v>
      </c>
      <c r="O210" s="155">
        <f>VLOOKUP(N210,RUBROS[#All],3,0)</f>
        <v>82</v>
      </c>
      <c r="P210" s="156" t="str">
        <f>VLOOKUP(N210,RUBROS[#All],2,0)</f>
        <v>Fortalecimiento de los juegos deportivos institucionales en los municipios del departamento de Antioquia - Servicios para la comunidad, sociales y personales</v>
      </c>
      <c r="Q210" s="57" t="str">
        <f t="shared" si="29"/>
        <v>73</v>
      </c>
      <c r="R210" s="57" t="str">
        <f t="shared" si="30"/>
        <v>0-205128</v>
      </c>
      <c r="S210" s="152" t="s">
        <v>41</v>
      </c>
      <c r="T210" s="469" t="s">
        <v>41</v>
      </c>
      <c r="U210" s="162" t="e">
        <f ca="1">_xlfn.XLOOKUP(PAA[[#This Row],[ITEM]],Contrato!A:A,Contrato!Q:Q,"",0)</f>
        <v>#NAME?</v>
      </c>
      <c r="V210" s="57" t="s">
        <v>47</v>
      </c>
      <c r="W210" s="152" t="s">
        <v>41</v>
      </c>
      <c r="X210" s="240" t="s">
        <v>41</v>
      </c>
      <c r="Y210" s="58" t="e">
        <f ca="1">_xlfn.XLOOKUP(PAA[[#This Row],[ITEM]],Contrato!A:A,Contrato!B:B,"",0)</f>
        <v>#NAME?</v>
      </c>
      <c r="Z210" s="57" t="e">
        <f ca="1">_xlfn.XLOOKUP(PAA[[#This Row],[ITEM]],Contrato!A:A,Contrato!G:G,"",0)</f>
        <v>#NAME?</v>
      </c>
      <c r="AA210" s="57" t="e">
        <f ca="1">_xlfn.XLOOKUP(PAA[[#This Row],[ITEM]],Contrato!A:A,Contrato!T:T,"",0)</f>
        <v>#NAME?</v>
      </c>
      <c r="AB210" s="58" t="e">
        <f ca="1">+MAX(PAA[[#This Row],[Comprometido Contrato]],)</f>
        <v>#NAME?</v>
      </c>
      <c r="AC210" s="58" t="str">
        <f t="shared" ca="1" si="31"/>
        <v/>
      </c>
      <c r="AD210" s="58" t="e">
        <f ca="1">+MAX(PAA[[#This Row],[Pago por Contrato]],)</f>
        <v>#NAME?</v>
      </c>
      <c r="AE210" s="58" t="str">
        <f t="shared" ca="1" si="32"/>
        <v/>
      </c>
      <c r="AF210" s="57" t="e">
        <f t="shared" ca="1" si="33"/>
        <v>#NAME?</v>
      </c>
      <c r="AG210" s="57">
        <f t="shared" si="34"/>
        <v>52010703</v>
      </c>
      <c r="AH210" s="57" t="e" cm="1">
        <f t="array" aca="1" ref="AH210" ca="1">_xlfn.XLOOKUP(PAA[[#This Row],[RCP-RUBRO]],COMPROMISOS_2025[[#All],[concatenado]],COMPROMISOS_2025[[#All],[Total pagado]],"",0)</f>
        <v>#NAME?</v>
      </c>
      <c r="AI210" s="57" t="e" cm="1">
        <f t="array" aca="1" ref="AI210" ca="1">_xlfn.XLOOKUP(PAA[[#This Row],[RCP-RUBRO]],COMPROMISOS_2025[[#All],[concatenado]],COMPROMISOS_2025[[#All],[Total Comprometido]],"",0)</f>
        <v>#NAME?</v>
      </c>
    </row>
    <row r="211" spans="1:35" s="50" customFormat="1" ht="42" hidden="1" customHeight="1" x14ac:dyDescent="0.25">
      <c r="A211" s="57">
        <v>144</v>
      </c>
      <c r="B211" s="186">
        <v>80111600</v>
      </c>
      <c r="C211" s="57" t="str">
        <f>VLOOKUP(PAA[[#This Row],[PROYECTO (formulado)2]],PROYECTOS!$G$1:$L$32,6,0)</f>
        <v>SUBGERENCIA DE FOMENTO Y DESARROLLO</v>
      </c>
      <c r="D211" s="57" t="str">
        <f>+IF(PAA[[#This Row],[UNIDAD DE CONTRATACION (formulado)]]="Subgerencia Administrativa y Financiera","FUNCIONAMIENTO","INVERSIÓN")</f>
        <v>INVERSIÓN</v>
      </c>
      <c r="E211" s="153" t="str">
        <f>VLOOKUP(Q211,PROYECTOS!$G$1:$K$32,5,0)</f>
        <v>Desarrollo y promoción del deporte formativo, la recreación y la actividad física en el departamento Antioquia</v>
      </c>
      <c r="F211" s="153">
        <f>VLOOKUP(E211,PROYECTOS!$K$1:$M$32,3,0)</f>
        <v>2024003050101</v>
      </c>
      <c r="G211" s="154" t="s">
        <v>264</v>
      </c>
      <c r="H211" s="154" t="str">
        <f>VLOOKUP(Q211,PROYECTOS!$V$1:$W$32,2,0)</f>
        <v>050075</v>
      </c>
      <c r="I211" s="143">
        <v>25565400</v>
      </c>
      <c r="J211" s="155" t="s">
        <v>336</v>
      </c>
      <c r="K211" s="57" t="str">
        <f t="shared" ca="1" si="28"/>
        <v>CONTRATADO</v>
      </c>
      <c r="L211" s="155" t="s">
        <v>112</v>
      </c>
      <c r="M211" s="155" t="s">
        <v>113</v>
      </c>
      <c r="N211" s="142" t="s">
        <v>296</v>
      </c>
      <c r="O211" s="155">
        <f>VLOOKUP(N211,RUBROS[#All],3,0)</f>
        <v>71</v>
      </c>
      <c r="P211" s="156" t="str">
        <f>VLOOKUP(N211,RUBROS[#All],2,0)</f>
        <v>Desarrollo y promoción del deporte formativo, la recreación y la actividad física en el departamento Antioquia-Servicios para la comunidad, sociales y personales</v>
      </c>
      <c r="Q211" s="57" t="str">
        <f t="shared" si="29"/>
        <v>01</v>
      </c>
      <c r="R211" s="57" t="str">
        <f t="shared" si="30"/>
        <v>0-205128</v>
      </c>
      <c r="S211" s="152">
        <v>10</v>
      </c>
      <c r="T211" s="469" t="s">
        <v>46</v>
      </c>
      <c r="U211" s="162" t="e">
        <f ca="1">_xlfn.XLOOKUP(PAA[[#This Row],[ITEM]],Contrato!A:A,Contrato!Q:Q,"",0)</f>
        <v>#NAME?</v>
      </c>
      <c r="V211" s="57" t="s">
        <v>47</v>
      </c>
      <c r="W211" s="57" t="s">
        <v>154</v>
      </c>
      <c r="X211" s="57" t="s">
        <v>154</v>
      </c>
      <c r="Y211" s="58" t="e">
        <f ca="1">_xlfn.XLOOKUP(PAA[[#This Row],[ITEM]],Contrato!A:A,Contrato!B:B,"",0)</f>
        <v>#NAME?</v>
      </c>
      <c r="Z211" s="57" t="e">
        <f ca="1">_xlfn.XLOOKUP(PAA[[#This Row],[ITEM]],Contrato!A:A,Contrato!G:G,"",0)</f>
        <v>#NAME?</v>
      </c>
      <c r="AA211" s="57" t="e">
        <f ca="1">_xlfn.XLOOKUP(PAA[[#This Row],[ITEM]],Contrato!A:A,Contrato!T:T,"",0)</f>
        <v>#NAME?</v>
      </c>
      <c r="AB211" s="58" t="e">
        <f ca="1">+MAX(PAA[[#This Row],[Comprometido Contrato]],)</f>
        <v>#NAME?</v>
      </c>
      <c r="AC211" s="58" t="str">
        <f t="shared" ca="1" si="31"/>
        <v/>
      </c>
      <c r="AD211" s="58" t="e">
        <f ca="1">+MAX(PAA[[#This Row],[Pago por Contrato]],)</f>
        <v>#NAME?</v>
      </c>
      <c r="AE211" s="58" t="str">
        <f t="shared" ca="1" si="32"/>
        <v/>
      </c>
      <c r="AF211" s="57" t="e">
        <f t="shared" ca="1" si="33"/>
        <v>#NAME?</v>
      </c>
      <c r="AG211" s="57">
        <f t="shared" si="34"/>
        <v>52010702</v>
      </c>
      <c r="AH211" s="57" t="e" cm="1">
        <f t="array" aca="1" ref="AH211" ca="1">_xlfn.XLOOKUP(PAA[[#This Row],[RCP-RUBRO]],COMPROMISOS_2025[[#All],[concatenado]],COMPROMISOS_2025[[#All],[Total pagado]],"",0)</f>
        <v>#NAME?</v>
      </c>
      <c r="AI211" s="57" t="e" cm="1">
        <f t="array" aca="1" ref="AI211" ca="1">_xlfn.XLOOKUP(PAA[[#This Row],[RCP-RUBRO]],COMPROMISOS_2025[[#All],[concatenado]],COMPROMISOS_2025[[#All],[Total Comprometido]],"",0)</f>
        <v>#NAME?</v>
      </c>
    </row>
    <row r="212" spans="1:35" s="50" customFormat="1" ht="42" hidden="1" customHeight="1" x14ac:dyDescent="0.25">
      <c r="A212" s="57">
        <v>144</v>
      </c>
      <c r="B212" s="186">
        <v>80111600</v>
      </c>
      <c r="C212" s="57" t="str">
        <f>VLOOKUP(PAA[[#This Row],[PROYECTO (formulado)2]],PROYECTOS!$G$1:$L$32,6,0)</f>
        <v>SUBGERENCIA DE FOMENTO Y DESARROLLO</v>
      </c>
      <c r="D212" s="57" t="str">
        <f>+IF(PAA[[#This Row],[UNIDAD DE CONTRATACION (formulado)]]="Subgerencia Administrativa y Financiera","FUNCIONAMIENTO","INVERSIÓN")</f>
        <v>INVERSIÓN</v>
      </c>
      <c r="E212" s="153" t="str">
        <f>VLOOKUP(Q212,PROYECTOS!$G$1:$K$32,5,0)</f>
        <v>Fortalecimiento de los juegos deportivos institucionales en los municipios del departamento de Antioquia</v>
      </c>
      <c r="F212" s="153">
        <f>VLOOKUP(E212,PROYECTOS!$K$1:$M$32,3,0)</f>
        <v>2024003050073</v>
      </c>
      <c r="G212" s="154" t="s">
        <v>335</v>
      </c>
      <c r="H212" s="154" t="str">
        <f>VLOOKUP(Q212,PROYECTOS!$V$1:$W$32,2,0)</f>
        <v>050081</v>
      </c>
      <c r="I212" s="143">
        <v>59652599.999999993</v>
      </c>
      <c r="J212" s="155" t="s">
        <v>336</v>
      </c>
      <c r="K212" s="57" t="str">
        <f t="shared" ca="1" si="28"/>
        <v>CONTRATADO</v>
      </c>
      <c r="L212" s="155" t="s">
        <v>112</v>
      </c>
      <c r="M212" s="155" t="s">
        <v>113</v>
      </c>
      <c r="N212" s="142" t="s">
        <v>315</v>
      </c>
      <c r="O212" s="155">
        <f>VLOOKUP(N212,RUBROS[#All],3,0)</f>
        <v>82</v>
      </c>
      <c r="P212" s="156" t="str">
        <f>VLOOKUP(N212,RUBROS[#All],2,0)</f>
        <v>Fortalecimiento de los juegos deportivos institucionales en los municipios del departamento de Antioquia - Servicios para la comunidad, sociales y personales</v>
      </c>
      <c r="Q212" s="57" t="str">
        <f t="shared" si="29"/>
        <v>73</v>
      </c>
      <c r="R212" s="57" t="str">
        <f t="shared" si="30"/>
        <v>0-205128</v>
      </c>
      <c r="S212" s="152">
        <v>10</v>
      </c>
      <c r="T212" s="469" t="s">
        <v>46</v>
      </c>
      <c r="U212" s="162" t="e">
        <f ca="1">_xlfn.XLOOKUP(PAA[[#This Row],[ITEM]],Contrato!A:A,Contrato!Q:Q,"",0)</f>
        <v>#NAME?</v>
      </c>
      <c r="V212" s="57" t="s">
        <v>47</v>
      </c>
      <c r="W212" s="57" t="s">
        <v>154</v>
      </c>
      <c r="X212" s="57" t="s">
        <v>154</v>
      </c>
      <c r="Y212" s="58" t="e">
        <f ca="1">_xlfn.XLOOKUP(PAA[[#This Row],[ITEM]],Contrato!A:A,Contrato!B:B,"",0)</f>
        <v>#NAME?</v>
      </c>
      <c r="Z212" s="57" t="e">
        <f ca="1">_xlfn.XLOOKUP(PAA[[#This Row],[ITEM]],Contrato!A:A,Contrato!G:G,"",0)</f>
        <v>#NAME?</v>
      </c>
      <c r="AA212" s="57" t="e">
        <f ca="1">_xlfn.XLOOKUP(PAA[[#This Row],[ITEM]],Contrato!A:A,Contrato!T:T,"",0)</f>
        <v>#NAME?</v>
      </c>
      <c r="AB212" s="58" t="e">
        <f ca="1">+MAX(PAA[[#This Row],[Comprometido Contrato]],)</f>
        <v>#NAME?</v>
      </c>
      <c r="AC212" s="58" t="str">
        <f t="shared" ca="1" si="31"/>
        <v/>
      </c>
      <c r="AD212" s="58" t="e">
        <f ca="1">+MAX(PAA[[#This Row],[Pago por Contrato]],)</f>
        <v>#NAME?</v>
      </c>
      <c r="AE212" s="58" t="str">
        <f t="shared" ca="1" si="32"/>
        <v/>
      </c>
      <c r="AF212" s="57" t="e">
        <f t="shared" ca="1" si="33"/>
        <v>#NAME?</v>
      </c>
      <c r="AG212" s="57">
        <f t="shared" si="34"/>
        <v>52010703</v>
      </c>
      <c r="AH212" s="57" t="e" cm="1">
        <f t="array" aca="1" ref="AH212" ca="1">_xlfn.XLOOKUP(PAA[[#This Row],[RCP-RUBRO]],COMPROMISOS_2025[[#All],[concatenado]],COMPROMISOS_2025[[#All],[Total pagado]],"",0)</f>
        <v>#NAME?</v>
      </c>
      <c r="AI212" s="57" t="e" cm="1">
        <f t="array" aca="1" ref="AI212" ca="1">_xlfn.XLOOKUP(PAA[[#This Row],[RCP-RUBRO]],COMPROMISOS_2025[[#All],[concatenado]],COMPROMISOS_2025[[#All],[Total Comprometido]],"",0)</f>
        <v>#NAME?</v>
      </c>
    </row>
    <row r="213" spans="1:35" s="50" customFormat="1" ht="42" hidden="1" customHeight="1" x14ac:dyDescent="0.25">
      <c r="A213" s="57">
        <v>145</v>
      </c>
      <c r="B213" s="186">
        <v>80111600</v>
      </c>
      <c r="C213" s="57" t="str">
        <f>VLOOKUP(PAA[[#This Row],[PROYECTO (formulado)2]],PROYECTOS!$G$1:$L$32,6,0)</f>
        <v>SUBGERENCIA DE FOMENTO Y DESARROLLO</v>
      </c>
      <c r="D213" s="57" t="str">
        <f>+IF(PAA[[#This Row],[UNIDAD DE CONTRATACION (formulado)]]="Subgerencia Administrativa y Financiera","FUNCIONAMIENTO","INVERSIÓN")</f>
        <v>INVERSIÓN</v>
      </c>
      <c r="E213" s="153" t="str">
        <f>VLOOKUP(Q213,PROYECTOS!$G$1:$K$32,5,0)</f>
        <v>Fortalecimiento de los juegos deportivos institucionales en los municipios del departamento de Antioquia</v>
      </c>
      <c r="F213" s="153">
        <f>VLOOKUP(E213,PROYECTOS!$K$1:$M$32,3,0)</f>
        <v>2024003050073</v>
      </c>
      <c r="G213" s="154" t="s">
        <v>335</v>
      </c>
      <c r="H213" s="154" t="str">
        <f>VLOOKUP(Q213,PROYECTOS!$V$1:$W$32,2,0)</f>
        <v>050081</v>
      </c>
      <c r="I213" s="143">
        <v>105732000</v>
      </c>
      <c r="J213" s="155" t="s">
        <v>337</v>
      </c>
      <c r="K213" s="57" t="str">
        <f t="shared" ca="1" si="28"/>
        <v>CONTRATADO</v>
      </c>
      <c r="L213" s="155" t="s">
        <v>112</v>
      </c>
      <c r="M213" s="155" t="s">
        <v>113</v>
      </c>
      <c r="N213" s="142" t="s">
        <v>315</v>
      </c>
      <c r="O213" s="155">
        <f>VLOOKUP(N213,RUBROS[#All],3,0)</f>
        <v>82</v>
      </c>
      <c r="P213" s="156" t="str">
        <f>VLOOKUP(N213,RUBROS[#All],2,0)</f>
        <v>Fortalecimiento de los juegos deportivos institucionales en los municipios del departamento de Antioquia - Servicios para la comunidad, sociales y personales</v>
      </c>
      <c r="Q213" s="57" t="str">
        <f t="shared" si="29"/>
        <v>73</v>
      </c>
      <c r="R213" s="57" t="str">
        <f t="shared" si="30"/>
        <v>0-205128</v>
      </c>
      <c r="S213" s="152">
        <v>10</v>
      </c>
      <c r="T213" s="469" t="s">
        <v>46</v>
      </c>
      <c r="U213" s="162" t="e">
        <f ca="1">_xlfn.XLOOKUP(PAA[[#This Row],[ITEM]],Contrato!A:A,Contrato!Q:Q,"",0)</f>
        <v>#NAME?</v>
      </c>
      <c r="V213" s="57" t="s">
        <v>47</v>
      </c>
      <c r="W213" s="57" t="s">
        <v>154</v>
      </c>
      <c r="X213" s="57" t="s">
        <v>154</v>
      </c>
      <c r="Y213" s="58" t="e">
        <f ca="1">_xlfn.XLOOKUP(PAA[[#This Row],[ITEM]],Contrato!A:A,Contrato!B:B,"",0)</f>
        <v>#NAME?</v>
      </c>
      <c r="Z213" s="57" t="e">
        <f ca="1">_xlfn.XLOOKUP(PAA[[#This Row],[ITEM]],Contrato!A:A,Contrato!G:G,"",0)</f>
        <v>#NAME?</v>
      </c>
      <c r="AA213" s="57" t="e">
        <f ca="1">_xlfn.XLOOKUP(PAA[[#This Row],[ITEM]],Contrato!A:A,Contrato!T:T,"",0)</f>
        <v>#NAME?</v>
      </c>
      <c r="AB213" s="58" t="e">
        <f ca="1">+MAX(PAA[[#This Row],[Comprometido Contrato]],)</f>
        <v>#NAME?</v>
      </c>
      <c r="AC213" s="58" t="str">
        <f t="shared" ca="1" si="31"/>
        <v/>
      </c>
      <c r="AD213" s="58" t="e">
        <f ca="1">+MAX(PAA[[#This Row],[Pago por Contrato]],)</f>
        <v>#NAME?</v>
      </c>
      <c r="AE213" s="58" t="str">
        <f t="shared" ca="1" si="32"/>
        <v/>
      </c>
      <c r="AF213" s="57" t="e">
        <f t="shared" ca="1" si="33"/>
        <v>#NAME?</v>
      </c>
      <c r="AG213" s="57">
        <f t="shared" si="34"/>
        <v>52010703</v>
      </c>
      <c r="AH213" s="57" t="e" cm="1">
        <f t="array" aca="1" ref="AH213" ca="1">_xlfn.XLOOKUP(PAA[[#This Row],[RCP-RUBRO]],COMPROMISOS_2025[[#All],[concatenado]],COMPROMISOS_2025[[#All],[Total pagado]],"",0)</f>
        <v>#NAME?</v>
      </c>
      <c r="AI213" s="57" t="e" cm="1">
        <f t="array" aca="1" ref="AI213" ca="1">_xlfn.XLOOKUP(PAA[[#This Row],[RCP-RUBRO]],COMPROMISOS_2025[[#All],[concatenado]],COMPROMISOS_2025[[#All],[Total Comprometido]],"",0)</f>
        <v>#NAME?</v>
      </c>
    </row>
    <row r="214" spans="1:35" s="50" customFormat="1" ht="42" hidden="1" customHeight="1" x14ac:dyDescent="0.25">
      <c r="A214" s="57">
        <v>146</v>
      </c>
      <c r="B214" s="186">
        <v>80111600</v>
      </c>
      <c r="C214" s="57" t="str">
        <f>VLOOKUP(PAA[[#This Row],[PROYECTO (formulado)2]],PROYECTOS!$G$1:$L$32,6,0)</f>
        <v>SUBGERENCIA DE FOMENTO Y DESARROLLO</v>
      </c>
      <c r="D214" s="57" t="str">
        <f>+IF(PAA[[#This Row],[UNIDAD DE CONTRATACION (formulado)]]="Subgerencia Administrativa y Financiera","FUNCIONAMIENTO","INVERSIÓN")</f>
        <v>INVERSIÓN</v>
      </c>
      <c r="E214" s="153" t="str">
        <f>VLOOKUP(Q214,PROYECTOS!$G$1:$K$32,5,0)</f>
        <v>Fortalecimiento de los juegos deportivos institucionales en los municipios del departamento de Antioquia</v>
      </c>
      <c r="F214" s="153">
        <f>VLOOKUP(E214,PROYECTOS!$K$1:$M$32,3,0)</f>
        <v>2024003050073</v>
      </c>
      <c r="G214" s="154" t="s">
        <v>335</v>
      </c>
      <c r="H214" s="154" t="str">
        <f>VLOOKUP(Q214,PROYECTOS!$V$1:$W$32,2,0)</f>
        <v>050081</v>
      </c>
      <c r="I214" s="143">
        <v>114482000</v>
      </c>
      <c r="J214" s="155" t="s">
        <v>338</v>
      </c>
      <c r="K214" s="57" t="str">
        <f t="shared" ca="1" si="28"/>
        <v>CONTRATADO</v>
      </c>
      <c r="L214" s="155" t="s">
        <v>112</v>
      </c>
      <c r="M214" s="155" t="s">
        <v>113</v>
      </c>
      <c r="N214" s="142" t="s">
        <v>315</v>
      </c>
      <c r="O214" s="155">
        <f>VLOOKUP(N214,RUBROS[#All],3,0)</f>
        <v>82</v>
      </c>
      <c r="P214" s="156" t="str">
        <f>VLOOKUP(N214,RUBROS[#All],2,0)</f>
        <v>Fortalecimiento de los juegos deportivos institucionales en los municipios del departamento de Antioquia - Servicios para la comunidad, sociales y personales</v>
      </c>
      <c r="Q214" s="57" t="str">
        <f t="shared" si="29"/>
        <v>73</v>
      </c>
      <c r="R214" s="57" t="str">
        <f t="shared" si="30"/>
        <v>0-205128</v>
      </c>
      <c r="S214" s="152">
        <v>10</v>
      </c>
      <c r="T214" s="469" t="s">
        <v>46</v>
      </c>
      <c r="U214" s="162" t="e">
        <f ca="1">_xlfn.XLOOKUP(PAA[[#This Row],[ITEM]],Contrato!A:A,Contrato!Q:Q,"",0)</f>
        <v>#NAME?</v>
      </c>
      <c r="V214" s="57" t="s">
        <v>47</v>
      </c>
      <c r="W214" s="57" t="s">
        <v>154</v>
      </c>
      <c r="X214" s="57" t="s">
        <v>154</v>
      </c>
      <c r="Y214" s="58" t="e">
        <f ca="1">_xlfn.XLOOKUP(PAA[[#This Row],[ITEM]],Contrato!A:A,Contrato!B:B,"",0)</f>
        <v>#NAME?</v>
      </c>
      <c r="Z214" s="57" t="e">
        <f ca="1">_xlfn.XLOOKUP(PAA[[#This Row],[ITEM]],Contrato!A:A,Contrato!G:G,"",0)</f>
        <v>#NAME?</v>
      </c>
      <c r="AA214" s="57" t="e">
        <f ca="1">_xlfn.XLOOKUP(PAA[[#This Row],[ITEM]],Contrato!A:A,Contrato!T:T,"",0)</f>
        <v>#NAME?</v>
      </c>
      <c r="AB214" s="58" t="e">
        <f ca="1">+MAX(PAA[[#This Row],[Comprometido Contrato]],)</f>
        <v>#NAME?</v>
      </c>
      <c r="AC214" s="58" t="str">
        <f t="shared" ca="1" si="31"/>
        <v/>
      </c>
      <c r="AD214" s="58" t="e">
        <f ca="1">+MAX(PAA[[#This Row],[Pago por Contrato]],)</f>
        <v>#NAME?</v>
      </c>
      <c r="AE214" s="58" t="str">
        <f t="shared" ca="1" si="32"/>
        <v/>
      </c>
      <c r="AF214" s="57" t="e">
        <f t="shared" ca="1" si="33"/>
        <v>#NAME?</v>
      </c>
      <c r="AG214" s="57">
        <f t="shared" si="34"/>
        <v>52010703</v>
      </c>
      <c r="AH214" s="57" t="e" cm="1">
        <f t="array" aca="1" ref="AH214" ca="1">_xlfn.XLOOKUP(PAA[[#This Row],[RCP-RUBRO]],COMPROMISOS_2025[[#All],[concatenado]],COMPROMISOS_2025[[#All],[Total pagado]],"",0)</f>
        <v>#NAME?</v>
      </c>
      <c r="AI214" s="57" t="e" cm="1">
        <f t="array" aca="1" ref="AI214" ca="1">_xlfn.XLOOKUP(PAA[[#This Row],[RCP-RUBRO]],COMPROMISOS_2025[[#All],[concatenado]],COMPROMISOS_2025[[#All],[Total Comprometido]],"",0)</f>
        <v>#NAME?</v>
      </c>
    </row>
    <row r="215" spans="1:35" s="59" customFormat="1" ht="42" hidden="1" customHeight="1" x14ac:dyDescent="0.25">
      <c r="A215" s="57">
        <v>147</v>
      </c>
      <c r="B215" s="186">
        <v>80111600</v>
      </c>
      <c r="C215" s="57" t="str">
        <f>VLOOKUP(PAA[[#This Row],[PROYECTO (formulado)2]],PROYECTOS!$G$1:$L$32,6,0)</f>
        <v>SUBGERENCIA DE FOMENTO Y DESARROLLO</v>
      </c>
      <c r="D215" s="57" t="str">
        <f>+IF(PAA[[#This Row],[UNIDAD DE CONTRATACION (formulado)]]="Subgerencia Administrativa y Financiera","FUNCIONAMIENTO","INVERSIÓN")</f>
        <v>INVERSIÓN</v>
      </c>
      <c r="E215" s="153" t="str">
        <f>VLOOKUP(Q215,PROYECTOS!$G$1:$K$32,5,0)</f>
        <v>Fortalecimiento de los juegos deportivos institucionales en los municipios del departamento de Antioquia</v>
      </c>
      <c r="F215" s="153">
        <f>VLOOKUP(E215,PROYECTOS!$K$1:$M$32,3,0)</f>
        <v>2024003050073</v>
      </c>
      <c r="G215" s="154" t="s">
        <v>335</v>
      </c>
      <c r="H215" s="154" t="str">
        <f>VLOOKUP(Q215,PROYECTOS!$V$1:$W$32,2,0)</f>
        <v>050081</v>
      </c>
      <c r="I215" s="143">
        <v>87218000</v>
      </c>
      <c r="J215" s="155" t="s">
        <v>339</v>
      </c>
      <c r="K215" s="57" t="str">
        <f t="shared" ca="1" si="28"/>
        <v>CONTRATADO</v>
      </c>
      <c r="L215" s="155" t="s">
        <v>112</v>
      </c>
      <c r="M215" s="155" t="s">
        <v>113</v>
      </c>
      <c r="N215" s="142" t="s">
        <v>315</v>
      </c>
      <c r="O215" s="155">
        <f>VLOOKUP(N215,RUBROS[#All],3,0)</f>
        <v>82</v>
      </c>
      <c r="P215" s="156" t="str">
        <f>VLOOKUP(N215,RUBROS[#All],2,0)</f>
        <v>Fortalecimiento de los juegos deportivos institucionales en los municipios del departamento de Antioquia - Servicios para la comunidad, sociales y personales</v>
      </c>
      <c r="Q215" s="57" t="str">
        <f t="shared" si="29"/>
        <v>73</v>
      </c>
      <c r="R215" s="57" t="str">
        <f t="shared" si="30"/>
        <v>0-205128</v>
      </c>
      <c r="S215" s="152">
        <v>10</v>
      </c>
      <c r="T215" s="469" t="s">
        <v>46</v>
      </c>
      <c r="U215" s="162" t="e">
        <f ca="1">_xlfn.XLOOKUP(PAA[[#This Row],[ITEM]],Contrato!A:A,Contrato!Q:Q,"",0)</f>
        <v>#NAME?</v>
      </c>
      <c r="V215" s="57" t="s">
        <v>47</v>
      </c>
      <c r="W215" s="57" t="s">
        <v>154</v>
      </c>
      <c r="X215" s="57" t="s">
        <v>154</v>
      </c>
      <c r="Y215" s="58" t="e">
        <f ca="1">_xlfn.XLOOKUP(PAA[[#This Row],[ITEM]],Contrato!A:A,Contrato!B:B,"",0)</f>
        <v>#NAME?</v>
      </c>
      <c r="Z215" s="57" t="e">
        <f ca="1">_xlfn.XLOOKUP(PAA[[#This Row],[ITEM]],Contrato!A:A,Contrato!G:G,"",0)</f>
        <v>#NAME?</v>
      </c>
      <c r="AA215" s="57" t="e">
        <f ca="1">_xlfn.XLOOKUP(PAA[[#This Row],[ITEM]],Contrato!A:A,Contrato!T:T,"",0)</f>
        <v>#NAME?</v>
      </c>
      <c r="AB215" s="58" t="e">
        <f ca="1">+MAX(PAA[[#This Row],[Comprometido Contrato]],)</f>
        <v>#NAME?</v>
      </c>
      <c r="AC215" s="58" t="str">
        <f t="shared" ca="1" si="31"/>
        <v/>
      </c>
      <c r="AD215" s="58" t="e">
        <f ca="1">+MAX(PAA[[#This Row],[Pago por Contrato]],)</f>
        <v>#NAME?</v>
      </c>
      <c r="AE215" s="58" t="str">
        <f t="shared" ca="1" si="32"/>
        <v/>
      </c>
      <c r="AF215" s="57" t="e">
        <f t="shared" ca="1" si="33"/>
        <v>#NAME?</v>
      </c>
      <c r="AG215" s="57">
        <f t="shared" si="34"/>
        <v>52010703</v>
      </c>
      <c r="AH215" s="57" t="e" cm="1">
        <f t="array" aca="1" ref="AH215" ca="1">_xlfn.XLOOKUP(PAA[[#This Row],[RCP-RUBRO]],COMPROMISOS_2025[[#All],[concatenado]],COMPROMISOS_2025[[#All],[Total pagado]],"",0)</f>
        <v>#NAME?</v>
      </c>
      <c r="AI215" s="57" t="e" cm="1">
        <f t="array" aca="1" ref="AI215" ca="1">_xlfn.XLOOKUP(PAA[[#This Row],[RCP-RUBRO]],COMPROMISOS_2025[[#All],[concatenado]],COMPROMISOS_2025[[#All],[Total Comprometido]],"",0)</f>
        <v>#NAME?</v>
      </c>
    </row>
    <row r="216" spans="1:35" s="50" customFormat="1" ht="42" hidden="1" customHeight="1" x14ac:dyDescent="0.25">
      <c r="A216" s="57">
        <v>148</v>
      </c>
      <c r="B216" s="186">
        <v>80111600</v>
      </c>
      <c r="C216" s="57" t="str">
        <f>VLOOKUP(PAA[[#This Row],[PROYECTO (formulado)2]],PROYECTOS!$G$1:$L$32,6,0)</f>
        <v>SUBGERENCIA DE FOMENTO Y DESARROLLO</v>
      </c>
      <c r="D216" s="57" t="str">
        <f>+IF(PAA[[#This Row],[UNIDAD DE CONTRATACION (formulado)]]="Subgerencia Administrativa y Financiera","FUNCIONAMIENTO","INVERSIÓN")</f>
        <v>INVERSIÓN</v>
      </c>
      <c r="E216" s="153" t="str">
        <f>VLOOKUP(Q216,PROYECTOS!$G$1:$K$32,5,0)</f>
        <v>Fortalecimiento de los juegos deportivos institucionales en los municipios del departamento de Antioquia</v>
      </c>
      <c r="F216" s="153">
        <f>VLOOKUP(E216,PROYECTOS!$K$1:$M$32,3,0)</f>
        <v>2024003050073</v>
      </c>
      <c r="G216" s="154" t="s">
        <v>335</v>
      </c>
      <c r="H216" s="154" t="str">
        <f>VLOOKUP(Q216,PROYECTOS!$V$1:$W$32,2,0)</f>
        <v>050081</v>
      </c>
      <c r="I216" s="143">
        <v>0</v>
      </c>
      <c r="J216" s="155" t="s">
        <v>41</v>
      </c>
      <c r="K216" s="57" t="str">
        <f t="shared" ca="1" si="28"/>
        <v>CONTRATADO</v>
      </c>
      <c r="L216" s="155" t="s">
        <v>112</v>
      </c>
      <c r="M216" s="155" t="s">
        <v>113</v>
      </c>
      <c r="N216" s="142" t="s">
        <v>315</v>
      </c>
      <c r="O216" s="155">
        <f>VLOOKUP(N216,RUBROS[#All],3,0)</f>
        <v>82</v>
      </c>
      <c r="P216" s="156" t="str">
        <f>VLOOKUP(N216,RUBROS[#All],2,0)</f>
        <v>Fortalecimiento de los juegos deportivos institucionales en los municipios del departamento de Antioquia - Servicios para la comunidad, sociales y personales</v>
      </c>
      <c r="Q216" s="57" t="str">
        <f t="shared" si="29"/>
        <v>73</v>
      </c>
      <c r="R216" s="57" t="str">
        <f t="shared" si="30"/>
        <v>0-205128</v>
      </c>
      <c r="S216" s="152">
        <v>11</v>
      </c>
      <c r="T216" s="469" t="s">
        <v>46</v>
      </c>
      <c r="U216" s="162" t="e">
        <f ca="1">_xlfn.XLOOKUP(PAA[[#This Row],[ITEM]],Contrato!A:A,Contrato!Q:Q,"",0)</f>
        <v>#NAME?</v>
      </c>
      <c r="V216" s="57" t="s">
        <v>47</v>
      </c>
      <c r="W216" s="57" t="s">
        <v>154</v>
      </c>
      <c r="X216" s="57" t="s">
        <v>154</v>
      </c>
      <c r="Y216" s="58" t="e">
        <f ca="1">_xlfn.XLOOKUP(PAA[[#This Row],[ITEM]],Contrato!A:A,Contrato!B:B,"",0)</f>
        <v>#NAME?</v>
      </c>
      <c r="Z216" s="57" t="e">
        <f ca="1">_xlfn.XLOOKUP(PAA[[#This Row],[ITEM]],Contrato!A:A,Contrato!G:G,"",0)</f>
        <v>#NAME?</v>
      </c>
      <c r="AA216" s="57" t="e">
        <f ca="1">_xlfn.XLOOKUP(PAA[[#This Row],[ITEM]],Contrato!A:A,Contrato!T:T,"",0)</f>
        <v>#NAME?</v>
      </c>
      <c r="AB216" s="58" t="e">
        <f ca="1">+MAX(PAA[[#This Row],[Comprometido Contrato]],)</f>
        <v>#NAME?</v>
      </c>
      <c r="AC216" s="58" t="str">
        <f t="shared" ca="1" si="31"/>
        <v/>
      </c>
      <c r="AD216" s="58" t="e">
        <f ca="1">+MAX(PAA[[#This Row],[Pago por Contrato]],)</f>
        <v>#NAME?</v>
      </c>
      <c r="AE216" s="58" t="str">
        <f t="shared" ca="1" si="32"/>
        <v/>
      </c>
      <c r="AF216" s="57" t="e">
        <f t="shared" ca="1" si="33"/>
        <v>#NAME?</v>
      </c>
      <c r="AG216" s="57">
        <f t="shared" si="34"/>
        <v>52010703</v>
      </c>
      <c r="AH216" s="57" t="e" cm="1">
        <f t="array" aca="1" ref="AH216" ca="1">_xlfn.XLOOKUP(PAA[[#This Row],[RCP-RUBRO]],COMPROMISOS_2025[[#All],[concatenado]],COMPROMISOS_2025[[#All],[Total pagado]],"",0)</f>
        <v>#NAME?</v>
      </c>
      <c r="AI216" s="57" t="e" cm="1">
        <f t="array" aca="1" ref="AI216" ca="1">_xlfn.XLOOKUP(PAA[[#This Row],[RCP-RUBRO]],COMPROMISOS_2025[[#All],[concatenado]],COMPROMISOS_2025[[#All],[Total Comprometido]],"",0)</f>
        <v>#NAME?</v>
      </c>
    </row>
    <row r="217" spans="1:35" s="50" customFormat="1" ht="42" hidden="1" customHeight="1" x14ac:dyDescent="0.25">
      <c r="A217" s="57">
        <v>149</v>
      </c>
      <c r="B217" s="186">
        <v>80111600</v>
      </c>
      <c r="C217" s="57" t="str">
        <f>VLOOKUP(PAA[[#This Row],[PROYECTO (formulado)2]],PROYECTOS!$G$1:$L$32,6,0)</f>
        <v>SUBGERENCIA DE FOMENTO Y DESARROLLO</v>
      </c>
      <c r="D217" s="57" t="str">
        <f>+IF(PAA[[#This Row],[UNIDAD DE CONTRATACION (formulado)]]="Subgerencia Administrativa y Financiera","FUNCIONAMIENTO","INVERSIÓN")</f>
        <v>INVERSIÓN</v>
      </c>
      <c r="E217" s="153" t="str">
        <f>VLOOKUP(Q217,PROYECTOS!$G$1:$K$32,5,0)</f>
        <v>Fortalecimiento de los juegos deportivos institucionales en los municipios del departamento de Antioquia</v>
      </c>
      <c r="F217" s="153">
        <f>VLOOKUP(E217,PROYECTOS!$K$1:$M$32,3,0)</f>
        <v>2024003050073</v>
      </c>
      <c r="G217" s="154" t="s">
        <v>335</v>
      </c>
      <c r="H217" s="154" t="str">
        <f>VLOOKUP(Q217,PROYECTOS!$V$1:$W$32,2,0)</f>
        <v>050081</v>
      </c>
      <c r="I217" s="143">
        <v>0</v>
      </c>
      <c r="J217" s="155" t="s">
        <v>41</v>
      </c>
      <c r="K217" s="57" t="str">
        <f t="shared" ca="1" si="28"/>
        <v>CONTRATADO</v>
      </c>
      <c r="L217" s="155" t="s">
        <v>112</v>
      </c>
      <c r="M217" s="155" t="s">
        <v>113</v>
      </c>
      <c r="N217" s="142" t="s">
        <v>315</v>
      </c>
      <c r="O217" s="155">
        <f>VLOOKUP(N217,RUBROS[#All],3,0)</f>
        <v>82</v>
      </c>
      <c r="P217" s="156" t="str">
        <f>VLOOKUP(N217,RUBROS[#All],2,0)</f>
        <v>Fortalecimiento de los juegos deportivos institucionales en los municipios del departamento de Antioquia - Servicios para la comunidad, sociales y personales</v>
      </c>
      <c r="Q217" s="57" t="str">
        <f t="shared" si="29"/>
        <v>73</v>
      </c>
      <c r="R217" s="57" t="str">
        <f t="shared" si="30"/>
        <v>0-205128</v>
      </c>
      <c r="S217" s="152">
        <v>11</v>
      </c>
      <c r="T217" s="469" t="s">
        <v>46</v>
      </c>
      <c r="U217" s="162" t="e">
        <f ca="1">_xlfn.XLOOKUP(PAA[[#This Row],[ITEM]],Contrato!A:A,Contrato!Q:Q,"",0)</f>
        <v>#NAME?</v>
      </c>
      <c r="V217" s="57" t="s">
        <v>47</v>
      </c>
      <c r="W217" s="57" t="s">
        <v>154</v>
      </c>
      <c r="X217" s="57" t="s">
        <v>154</v>
      </c>
      <c r="Y217" s="58" t="e">
        <f ca="1">_xlfn.XLOOKUP(PAA[[#This Row],[ITEM]],Contrato!A:A,Contrato!B:B,"",0)</f>
        <v>#NAME?</v>
      </c>
      <c r="Z217" s="57" t="e">
        <f ca="1">_xlfn.XLOOKUP(PAA[[#This Row],[ITEM]],Contrato!A:A,Contrato!G:G,"",0)</f>
        <v>#NAME?</v>
      </c>
      <c r="AA217" s="57" t="e">
        <f ca="1">_xlfn.XLOOKUP(PAA[[#This Row],[ITEM]],Contrato!A:A,Contrato!T:T,"",0)</f>
        <v>#NAME?</v>
      </c>
      <c r="AB217" s="58" t="e">
        <f ca="1">+MAX(PAA[[#This Row],[Comprometido Contrato]],)</f>
        <v>#NAME?</v>
      </c>
      <c r="AC217" s="58" t="str">
        <f t="shared" ca="1" si="31"/>
        <v/>
      </c>
      <c r="AD217" s="58" t="e">
        <f ca="1">+MAX(PAA[[#This Row],[Pago por Contrato]],)</f>
        <v>#NAME?</v>
      </c>
      <c r="AE217" s="58" t="str">
        <f t="shared" ca="1" si="32"/>
        <v/>
      </c>
      <c r="AF217" s="57" t="e">
        <f t="shared" ca="1" si="33"/>
        <v>#NAME?</v>
      </c>
      <c r="AG217" s="57">
        <f t="shared" si="34"/>
        <v>52010703</v>
      </c>
      <c r="AH217" s="57" t="e" cm="1">
        <f t="array" aca="1" ref="AH217" ca="1">_xlfn.XLOOKUP(PAA[[#This Row],[RCP-RUBRO]],COMPROMISOS_2025[[#All],[concatenado]],COMPROMISOS_2025[[#All],[Total pagado]],"",0)</f>
        <v>#NAME?</v>
      </c>
      <c r="AI217" s="57" t="e" cm="1">
        <f t="array" aca="1" ref="AI217" ca="1">_xlfn.XLOOKUP(PAA[[#This Row],[RCP-RUBRO]],COMPROMISOS_2025[[#All],[concatenado]],COMPROMISOS_2025[[#All],[Total Comprometido]],"",0)</f>
        <v>#NAME?</v>
      </c>
    </row>
    <row r="218" spans="1:35" s="50" customFormat="1" ht="42" hidden="1" customHeight="1" x14ac:dyDescent="0.25">
      <c r="A218" s="57">
        <v>150</v>
      </c>
      <c r="B218" s="186">
        <v>80111600</v>
      </c>
      <c r="C218" s="57" t="str">
        <f>VLOOKUP(PAA[[#This Row],[PROYECTO (formulado)2]],PROYECTOS!$G$1:$L$32,6,0)</f>
        <v>SUBGERENCIA DE FOMENTO Y DESARROLLO</v>
      </c>
      <c r="D218" s="57" t="str">
        <f>+IF(PAA[[#This Row],[UNIDAD DE CONTRATACION (formulado)]]="Subgerencia Administrativa y Financiera","FUNCIONAMIENTO","INVERSIÓN")</f>
        <v>INVERSIÓN</v>
      </c>
      <c r="E218" s="153" t="str">
        <f>VLOOKUP(Q218,PROYECTOS!$G$1:$K$32,5,0)</f>
        <v>Fortalecimiento de los juegos deportivos institucionales en los municipios del departamento de Antioquia</v>
      </c>
      <c r="F218" s="153">
        <f>VLOOKUP(E218,PROYECTOS!$K$1:$M$32,3,0)</f>
        <v>2024003050073</v>
      </c>
      <c r="G218" s="154" t="s">
        <v>335</v>
      </c>
      <c r="H218" s="154" t="str">
        <f>VLOOKUP(Q218,PROYECTOS!$V$1:$W$32,2,0)</f>
        <v>050081</v>
      </c>
      <c r="I218" s="143">
        <v>0</v>
      </c>
      <c r="J218" s="155" t="s">
        <v>41</v>
      </c>
      <c r="K218" s="57" t="str">
        <f t="shared" ca="1" si="28"/>
        <v>CONTRATADO</v>
      </c>
      <c r="L218" s="155" t="s">
        <v>112</v>
      </c>
      <c r="M218" s="155" t="s">
        <v>113</v>
      </c>
      <c r="N218" s="142" t="s">
        <v>315</v>
      </c>
      <c r="O218" s="155">
        <f>VLOOKUP(N218,RUBROS[#All],3,0)</f>
        <v>82</v>
      </c>
      <c r="P218" s="156" t="str">
        <f>VLOOKUP(N218,RUBROS[#All],2,0)</f>
        <v>Fortalecimiento de los juegos deportivos institucionales en los municipios del departamento de Antioquia - Servicios para la comunidad, sociales y personales</v>
      </c>
      <c r="Q218" s="57" t="str">
        <f t="shared" si="29"/>
        <v>73</v>
      </c>
      <c r="R218" s="57" t="str">
        <f t="shared" si="30"/>
        <v>0-205128</v>
      </c>
      <c r="S218" s="152">
        <v>11</v>
      </c>
      <c r="T218" s="469" t="s">
        <v>46</v>
      </c>
      <c r="U218" s="162" t="e">
        <f ca="1">_xlfn.XLOOKUP(PAA[[#This Row],[ITEM]],Contrato!A:A,Contrato!Q:Q,"",0)</f>
        <v>#NAME?</v>
      </c>
      <c r="V218" s="57" t="s">
        <v>47</v>
      </c>
      <c r="W218" s="57" t="s">
        <v>154</v>
      </c>
      <c r="X218" s="57" t="s">
        <v>154</v>
      </c>
      <c r="Y218" s="58" t="e">
        <f ca="1">_xlfn.XLOOKUP(PAA[[#This Row],[ITEM]],Contrato!A:A,Contrato!B:B,"",0)</f>
        <v>#NAME?</v>
      </c>
      <c r="Z218" s="57" t="e">
        <f ca="1">_xlfn.XLOOKUP(PAA[[#This Row],[ITEM]],Contrato!A:A,Contrato!G:G,"",0)</f>
        <v>#NAME?</v>
      </c>
      <c r="AA218" s="57" t="e">
        <f ca="1">_xlfn.XLOOKUP(PAA[[#This Row],[ITEM]],Contrato!A:A,Contrato!T:T,"",0)</f>
        <v>#NAME?</v>
      </c>
      <c r="AB218" s="58" t="e">
        <f ca="1">+MAX(PAA[[#This Row],[Comprometido Contrato]],)</f>
        <v>#NAME?</v>
      </c>
      <c r="AC218" s="58" t="str">
        <f t="shared" ca="1" si="31"/>
        <v/>
      </c>
      <c r="AD218" s="58" t="e">
        <f ca="1">+MAX(PAA[[#This Row],[Pago por Contrato]],)</f>
        <v>#NAME?</v>
      </c>
      <c r="AE218" s="58" t="str">
        <f t="shared" ca="1" si="32"/>
        <v/>
      </c>
      <c r="AF218" s="57" t="e">
        <f t="shared" ca="1" si="33"/>
        <v>#NAME?</v>
      </c>
      <c r="AG218" s="57">
        <f t="shared" si="34"/>
        <v>52010703</v>
      </c>
      <c r="AH218" s="57" t="e" cm="1">
        <f t="array" aca="1" ref="AH218" ca="1">_xlfn.XLOOKUP(PAA[[#This Row],[RCP-RUBRO]],COMPROMISOS_2025[[#All],[concatenado]],COMPROMISOS_2025[[#All],[Total pagado]],"",0)</f>
        <v>#NAME?</v>
      </c>
      <c r="AI218" s="57" t="e" cm="1">
        <f t="array" aca="1" ref="AI218" ca="1">_xlfn.XLOOKUP(PAA[[#This Row],[RCP-RUBRO]],COMPROMISOS_2025[[#All],[concatenado]],COMPROMISOS_2025[[#All],[Total Comprometido]],"",0)</f>
        <v>#NAME?</v>
      </c>
    </row>
    <row r="219" spans="1:35" s="50" customFormat="1" ht="42" hidden="1" customHeight="1" x14ac:dyDescent="0.25">
      <c r="A219" s="57">
        <v>151</v>
      </c>
      <c r="B219" s="186">
        <v>80111600</v>
      </c>
      <c r="C219" s="57" t="str">
        <f>VLOOKUP(PAA[[#This Row],[PROYECTO (formulado)2]],PROYECTOS!$G$1:$L$32,6,0)</f>
        <v>SUBGERENCIA DE FOMENTO Y DESARROLLO</v>
      </c>
      <c r="D219" s="57" t="str">
        <f>+IF(PAA[[#This Row],[UNIDAD DE CONTRATACION (formulado)]]="Subgerencia Administrativa y Financiera","FUNCIONAMIENTO","INVERSIÓN")</f>
        <v>INVERSIÓN</v>
      </c>
      <c r="E219" s="153" t="str">
        <f>VLOOKUP(Q219,PROYECTOS!$G$1:$K$32,5,0)</f>
        <v>Fortalecimiento de los juegos deportivos institucionales en los municipios del departamento de Antioquia</v>
      </c>
      <c r="F219" s="153">
        <f>VLOOKUP(E219,PROYECTOS!$K$1:$M$32,3,0)</f>
        <v>2024003050073</v>
      </c>
      <c r="G219" s="154" t="s">
        <v>335</v>
      </c>
      <c r="H219" s="154" t="str">
        <f>VLOOKUP(Q219,PROYECTOS!$V$1:$W$32,2,0)</f>
        <v>050081</v>
      </c>
      <c r="I219" s="143">
        <v>0</v>
      </c>
      <c r="J219" s="155" t="s">
        <v>41</v>
      </c>
      <c r="K219" s="57" t="str">
        <f t="shared" ca="1" si="28"/>
        <v>CONTRATADO</v>
      </c>
      <c r="L219" s="155" t="s">
        <v>112</v>
      </c>
      <c r="M219" s="155" t="s">
        <v>113</v>
      </c>
      <c r="N219" s="142" t="s">
        <v>315</v>
      </c>
      <c r="O219" s="155">
        <f>VLOOKUP(N219,RUBROS[#All],3,0)</f>
        <v>82</v>
      </c>
      <c r="P219" s="156" t="str">
        <f>VLOOKUP(N219,RUBROS[#All],2,0)</f>
        <v>Fortalecimiento de los juegos deportivos institucionales en los municipios del departamento de Antioquia - Servicios para la comunidad, sociales y personales</v>
      </c>
      <c r="Q219" s="57" t="str">
        <f t="shared" si="29"/>
        <v>73</v>
      </c>
      <c r="R219" s="57" t="str">
        <f t="shared" si="30"/>
        <v>0-205128</v>
      </c>
      <c r="S219" s="152">
        <v>11</v>
      </c>
      <c r="T219" s="469" t="s">
        <v>46</v>
      </c>
      <c r="U219" s="162" t="e">
        <f ca="1">_xlfn.XLOOKUP(PAA[[#This Row],[ITEM]],Contrato!A:A,Contrato!Q:Q,"",0)</f>
        <v>#NAME?</v>
      </c>
      <c r="V219" s="57" t="s">
        <v>47</v>
      </c>
      <c r="W219" s="57" t="s">
        <v>154</v>
      </c>
      <c r="X219" s="57" t="s">
        <v>154</v>
      </c>
      <c r="Y219" s="58" t="e">
        <f ca="1">_xlfn.XLOOKUP(PAA[[#This Row],[ITEM]],Contrato!A:A,Contrato!B:B,"",0)</f>
        <v>#NAME?</v>
      </c>
      <c r="Z219" s="57" t="e">
        <f ca="1">_xlfn.XLOOKUP(PAA[[#This Row],[ITEM]],Contrato!A:A,Contrato!G:G,"",0)</f>
        <v>#NAME?</v>
      </c>
      <c r="AA219" s="57" t="e">
        <f ca="1">_xlfn.XLOOKUP(PAA[[#This Row],[ITEM]],Contrato!A:A,Contrato!T:T,"",0)</f>
        <v>#NAME?</v>
      </c>
      <c r="AB219" s="58" t="e">
        <f ca="1">+MAX(PAA[[#This Row],[Comprometido Contrato]],)</f>
        <v>#NAME?</v>
      </c>
      <c r="AC219" s="58" t="str">
        <f t="shared" ca="1" si="31"/>
        <v/>
      </c>
      <c r="AD219" s="58" t="e">
        <f ca="1">+MAX(PAA[[#This Row],[Pago por Contrato]],)</f>
        <v>#NAME?</v>
      </c>
      <c r="AE219" s="58" t="str">
        <f t="shared" ca="1" si="32"/>
        <v/>
      </c>
      <c r="AF219" s="57" t="e">
        <f t="shared" ca="1" si="33"/>
        <v>#NAME?</v>
      </c>
      <c r="AG219" s="57">
        <f t="shared" si="34"/>
        <v>52010703</v>
      </c>
      <c r="AH219" s="57" t="e" cm="1">
        <f t="array" aca="1" ref="AH219" ca="1">_xlfn.XLOOKUP(PAA[[#This Row],[RCP-RUBRO]],COMPROMISOS_2025[[#All],[concatenado]],COMPROMISOS_2025[[#All],[Total pagado]],"",0)</f>
        <v>#NAME?</v>
      </c>
      <c r="AI219" s="57" t="e" cm="1">
        <f t="array" aca="1" ref="AI219" ca="1">_xlfn.XLOOKUP(PAA[[#This Row],[RCP-RUBRO]],COMPROMISOS_2025[[#All],[concatenado]],COMPROMISOS_2025[[#All],[Total Comprometido]],"",0)</f>
        <v>#NAME?</v>
      </c>
    </row>
    <row r="220" spans="1:35" s="50" customFormat="1" ht="42" hidden="1" customHeight="1" x14ac:dyDescent="0.25">
      <c r="A220" s="57">
        <v>152</v>
      </c>
      <c r="B220" s="186">
        <v>80111600</v>
      </c>
      <c r="C220" s="57" t="str">
        <f>VLOOKUP(PAA[[#This Row],[PROYECTO (formulado)2]],PROYECTOS!$G$1:$L$32,6,0)</f>
        <v>SUBGERENCIA DE FOMENTO Y DESARROLLO</v>
      </c>
      <c r="D220" s="57" t="str">
        <f>+IF(PAA[[#This Row],[UNIDAD DE CONTRATACION (formulado)]]="Subgerencia Administrativa y Financiera","FUNCIONAMIENTO","INVERSIÓN")</f>
        <v>INVERSIÓN</v>
      </c>
      <c r="E220" s="153" t="str">
        <f>VLOOKUP(Q220,PROYECTOS!$G$1:$K$32,5,0)</f>
        <v>Fortalecimiento de los juegos deportivos institucionales en los municipios del departamento de Antioquia</v>
      </c>
      <c r="F220" s="153">
        <f>VLOOKUP(E220,PROYECTOS!$K$1:$M$32,3,0)</f>
        <v>2024003050073</v>
      </c>
      <c r="G220" s="154" t="s">
        <v>335</v>
      </c>
      <c r="H220" s="154" t="str">
        <f>VLOOKUP(Q220,PROYECTOS!$V$1:$W$32,2,0)</f>
        <v>050081</v>
      </c>
      <c r="I220" s="143">
        <v>0</v>
      </c>
      <c r="J220" s="155" t="s">
        <v>41</v>
      </c>
      <c r="K220" s="57" t="str">
        <f t="shared" ca="1" si="28"/>
        <v>CONTRATADO</v>
      </c>
      <c r="L220" s="155" t="s">
        <v>112</v>
      </c>
      <c r="M220" s="155" t="s">
        <v>113</v>
      </c>
      <c r="N220" s="142" t="s">
        <v>315</v>
      </c>
      <c r="O220" s="155">
        <f>VLOOKUP(N220,RUBROS[#All],3,0)</f>
        <v>82</v>
      </c>
      <c r="P220" s="156" t="str">
        <f>VLOOKUP(N220,RUBROS[#All],2,0)</f>
        <v>Fortalecimiento de los juegos deportivos institucionales en los municipios del departamento de Antioquia - Servicios para la comunidad, sociales y personales</v>
      </c>
      <c r="Q220" s="57" t="str">
        <f t="shared" si="29"/>
        <v>73</v>
      </c>
      <c r="R220" s="57" t="str">
        <f t="shared" si="30"/>
        <v>0-205128</v>
      </c>
      <c r="S220" s="152">
        <v>11</v>
      </c>
      <c r="T220" s="469" t="s">
        <v>46</v>
      </c>
      <c r="U220" s="162" t="e">
        <f ca="1">_xlfn.XLOOKUP(PAA[[#This Row],[ITEM]],Contrato!A:A,Contrato!Q:Q,"",0)</f>
        <v>#NAME?</v>
      </c>
      <c r="V220" s="57" t="s">
        <v>47</v>
      </c>
      <c r="W220" s="57" t="s">
        <v>154</v>
      </c>
      <c r="X220" s="57" t="s">
        <v>154</v>
      </c>
      <c r="Y220" s="58" t="e">
        <f ca="1">_xlfn.XLOOKUP(PAA[[#This Row],[ITEM]],Contrato!A:A,Contrato!B:B,"",0)</f>
        <v>#NAME?</v>
      </c>
      <c r="Z220" s="57" t="e">
        <f ca="1">_xlfn.XLOOKUP(PAA[[#This Row],[ITEM]],Contrato!A:A,Contrato!G:G,"",0)</f>
        <v>#NAME?</v>
      </c>
      <c r="AA220" s="57" t="e">
        <f ca="1">_xlfn.XLOOKUP(PAA[[#This Row],[ITEM]],Contrato!A:A,Contrato!T:T,"",0)</f>
        <v>#NAME?</v>
      </c>
      <c r="AB220" s="58" t="e">
        <f ca="1">+MAX(PAA[[#This Row],[Comprometido Contrato]],)</f>
        <v>#NAME?</v>
      </c>
      <c r="AC220" s="58" t="str">
        <f t="shared" ca="1" si="31"/>
        <v/>
      </c>
      <c r="AD220" s="58" t="e">
        <f ca="1">+MAX(PAA[[#This Row],[Pago por Contrato]],)</f>
        <v>#NAME?</v>
      </c>
      <c r="AE220" s="58" t="str">
        <f t="shared" ca="1" si="32"/>
        <v/>
      </c>
      <c r="AF220" s="57" t="e">
        <f t="shared" ca="1" si="33"/>
        <v>#NAME?</v>
      </c>
      <c r="AG220" s="57">
        <f t="shared" si="34"/>
        <v>52010703</v>
      </c>
      <c r="AH220" s="57" t="e" cm="1">
        <f t="array" aca="1" ref="AH220" ca="1">_xlfn.XLOOKUP(PAA[[#This Row],[RCP-RUBRO]],COMPROMISOS_2025[[#All],[concatenado]],COMPROMISOS_2025[[#All],[Total pagado]],"",0)</f>
        <v>#NAME?</v>
      </c>
      <c r="AI220" s="57" t="e" cm="1">
        <f t="array" aca="1" ref="AI220" ca="1">_xlfn.XLOOKUP(PAA[[#This Row],[RCP-RUBRO]],COMPROMISOS_2025[[#All],[concatenado]],COMPROMISOS_2025[[#All],[Total Comprometido]],"",0)</f>
        <v>#NAME?</v>
      </c>
    </row>
    <row r="221" spans="1:35" s="50" customFormat="1" ht="42" hidden="1" customHeight="1" x14ac:dyDescent="0.25">
      <c r="A221" s="57">
        <v>580</v>
      </c>
      <c r="B221" s="186">
        <v>80111600</v>
      </c>
      <c r="C221" s="57" t="str">
        <f>VLOOKUP(PAA[[#This Row],[PROYECTO (formulado)2]],PROYECTOS!$G$1:$L$32,6,0)</f>
        <v>SUBGERENCIA DE FOMENTO Y DESARROLLO</v>
      </c>
      <c r="D221" s="57" t="str">
        <f>+IF(PAA[[#This Row],[UNIDAD DE CONTRATACION (formulado)]]="Subgerencia Administrativa y Financiera","FUNCIONAMIENTO","INVERSIÓN")</f>
        <v>INVERSIÓN</v>
      </c>
      <c r="E221" s="153" t="str">
        <f>VLOOKUP(Q221,PROYECTOS!$G$1:$K$32,5,0)</f>
        <v>Fortalecimiento de los juegos deportivos institucionales en los municipios del departamento de Antioquia</v>
      </c>
      <c r="F221" s="153">
        <f>VLOOKUP(E221,PROYECTOS!$K$1:$M$32,3,0)</f>
        <v>2024003050073</v>
      </c>
      <c r="G221" s="154" t="s">
        <v>335</v>
      </c>
      <c r="H221" s="154" t="str">
        <f>VLOOKUP(Q221,PROYECTOS!$V$1:$W$32,2,0)</f>
        <v>050081</v>
      </c>
      <c r="I221" s="143">
        <v>39771000</v>
      </c>
      <c r="J221" s="155" t="s">
        <v>340</v>
      </c>
      <c r="K221" s="57" t="str">
        <f t="shared" ca="1" si="28"/>
        <v>CONTRATADO</v>
      </c>
      <c r="L221" s="155" t="s">
        <v>112</v>
      </c>
      <c r="M221" s="155" t="s">
        <v>113</v>
      </c>
      <c r="N221" s="142" t="s">
        <v>315</v>
      </c>
      <c r="O221" s="155">
        <f>VLOOKUP(N221,RUBROS[#All],3,0)</f>
        <v>82</v>
      </c>
      <c r="P221" s="156" t="str">
        <f>VLOOKUP(N221,RUBROS[#All],2,0)</f>
        <v>Fortalecimiento de los juegos deportivos institucionales en los municipios del departamento de Antioquia - Servicios para la comunidad, sociales y personales</v>
      </c>
      <c r="Q221" s="57" t="str">
        <f t="shared" si="29"/>
        <v>73</v>
      </c>
      <c r="R221" s="57" t="str">
        <f t="shared" si="30"/>
        <v>0-205128</v>
      </c>
      <c r="S221" s="152">
        <v>9</v>
      </c>
      <c r="T221" s="469" t="s">
        <v>46</v>
      </c>
      <c r="U221" s="162" t="e">
        <f ca="1">_xlfn.XLOOKUP(PAA[[#This Row],[ITEM]],Contrato!A:A,Contrato!Q:Q,"",0)</f>
        <v>#NAME?</v>
      </c>
      <c r="V221" s="57" t="s">
        <v>47</v>
      </c>
      <c r="W221" s="57" t="s">
        <v>127</v>
      </c>
      <c r="X221" s="57" t="s">
        <v>127</v>
      </c>
      <c r="Y221" s="58" t="e">
        <f ca="1">_xlfn.XLOOKUP(PAA[[#This Row],[ITEM]],Contrato!A:A,Contrato!B:B,"",0)</f>
        <v>#NAME?</v>
      </c>
      <c r="Z221" s="57" t="e">
        <f ca="1">_xlfn.XLOOKUP(PAA[[#This Row],[ITEM]],Contrato!A:A,Contrato!G:G,"",0)</f>
        <v>#NAME?</v>
      </c>
      <c r="AA221" s="57" t="e">
        <f ca="1">_xlfn.XLOOKUP(PAA[[#This Row],[ITEM]],Contrato!A:A,Contrato!T:T,"",0)</f>
        <v>#NAME?</v>
      </c>
      <c r="AB221" s="58" t="e">
        <f ca="1">+MAX(PAA[[#This Row],[Comprometido Contrato]],)</f>
        <v>#NAME?</v>
      </c>
      <c r="AC221" s="58" t="str">
        <f t="shared" ca="1" si="31"/>
        <v/>
      </c>
      <c r="AD221" s="58" t="e">
        <f ca="1">+MAX(PAA[[#This Row],[Pago por Contrato]],)</f>
        <v>#NAME?</v>
      </c>
      <c r="AE221" s="58" t="str">
        <f t="shared" ca="1" si="32"/>
        <v/>
      </c>
      <c r="AF221" s="57" t="e">
        <f t="shared" ca="1" si="33"/>
        <v>#NAME?</v>
      </c>
      <c r="AG221" s="57">
        <f t="shared" si="34"/>
        <v>52010703</v>
      </c>
      <c r="AH221" s="57" t="e" cm="1">
        <f t="array" aca="1" ref="AH221" ca="1">_xlfn.XLOOKUP(PAA[[#This Row],[RCP-RUBRO]],COMPROMISOS_2025[[#All],[concatenado]],COMPROMISOS_2025[[#All],[Total pagado]],"",0)</f>
        <v>#NAME?</v>
      </c>
      <c r="AI221" s="57" t="e" cm="1">
        <f t="array" aca="1" ref="AI221" ca="1">_xlfn.XLOOKUP(PAA[[#This Row],[RCP-RUBRO]],COMPROMISOS_2025[[#All],[concatenado]],COMPROMISOS_2025[[#All],[Total Comprometido]],"",0)</f>
        <v>#NAME?</v>
      </c>
    </row>
    <row r="222" spans="1:35" s="50" customFormat="1" ht="42" hidden="1" customHeight="1" x14ac:dyDescent="0.25">
      <c r="A222" s="57">
        <v>581</v>
      </c>
      <c r="B222" s="186">
        <v>80111600</v>
      </c>
      <c r="C222" s="57" t="str">
        <f>VLOOKUP(PAA[[#This Row],[PROYECTO (formulado)2]],PROYECTOS!$G$1:$L$32,6,0)</f>
        <v>SUBGERENCIA DE FOMENTO Y DESARROLLO</v>
      </c>
      <c r="D222" s="57" t="str">
        <f>+IF(PAA[[#This Row],[UNIDAD DE CONTRATACION (formulado)]]="Subgerencia Administrativa y Financiera","FUNCIONAMIENTO","INVERSIÓN")</f>
        <v>INVERSIÓN</v>
      </c>
      <c r="E222" s="153" t="str">
        <f>VLOOKUP(Q222,PROYECTOS!$G$1:$K$32,5,0)</f>
        <v>Fortalecimiento de los juegos deportivos institucionales en los municipios del departamento de Antioquia</v>
      </c>
      <c r="F222" s="153">
        <f>VLOOKUP(E222,PROYECTOS!$K$1:$M$32,3,0)</f>
        <v>2024003050073</v>
      </c>
      <c r="G222" s="154" t="s">
        <v>335</v>
      </c>
      <c r="H222" s="154" t="str">
        <f>VLOOKUP(Q222,PROYECTOS!$V$1:$W$32,2,0)</f>
        <v>050081</v>
      </c>
      <c r="I222" s="143">
        <v>39771000</v>
      </c>
      <c r="J222" s="155" t="s">
        <v>341</v>
      </c>
      <c r="K222" s="57" t="str">
        <f t="shared" ca="1" si="28"/>
        <v>CONTRATADO</v>
      </c>
      <c r="L222" s="155" t="s">
        <v>112</v>
      </c>
      <c r="M222" s="155" t="s">
        <v>113</v>
      </c>
      <c r="N222" s="142" t="s">
        <v>315</v>
      </c>
      <c r="O222" s="155">
        <f>VLOOKUP(N222,RUBROS[#All],3,0)</f>
        <v>82</v>
      </c>
      <c r="P222" s="156" t="str">
        <f>VLOOKUP(N222,RUBROS[#All],2,0)</f>
        <v>Fortalecimiento de los juegos deportivos institucionales en los municipios del departamento de Antioquia - Servicios para la comunidad, sociales y personales</v>
      </c>
      <c r="Q222" s="57" t="str">
        <f t="shared" si="29"/>
        <v>73</v>
      </c>
      <c r="R222" s="57" t="str">
        <f t="shared" si="30"/>
        <v>0-205128</v>
      </c>
      <c r="S222" s="152">
        <v>9</v>
      </c>
      <c r="T222" s="469" t="s">
        <v>46</v>
      </c>
      <c r="U222" s="162" t="e">
        <f ca="1">_xlfn.XLOOKUP(PAA[[#This Row],[ITEM]],Contrato!A:A,Contrato!Q:Q,"",0)</f>
        <v>#NAME?</v>
      </c>
      <c r="V222" s="57" t="s">
        <v>47</v>
      </c>
      <c r="W222" s="57" t="s">
        <v>127</v>
      </c>
      <c r="X222" s="57" t="s">
        <v>127</v>
      </c>
      <c r="Y222" s="58" t="e">
        <f ca="1">_xlfn.XLOOKUP(PAA[[#This Row],[ITEM]],Contrato!A:A,Contrato!B:B,"",0)</f>
        <v>#NAME?</v>
      </c>
      <c r="Z222" s="57" t="e">
        <f ca="1">_xlfn.XLOOKUP(PAA[[#This Row],[ITEM]],Contrato!A:A,Contrato!G:G,"",0)</f>
        <v>#NAME?</v>
      </c>
      <c r="AA222" s="57" t="e">
        <f ca="1">_xlfn.XLOOKUP(PAA[[#This Row],[ITEM]],Contrato!A:A,Contrato!T:T,"",0)</f>
        <v>#NAME?</v>
      </c>
      <c r="AB222" s="58" t="e">
        <f ca="1">+MAX(PAA[[#This Row],[Comprometido Contrato]],)</f>
        <v>#NAME?</v>
      </c>
      <c r="AC222" s="58" t="str">
        <f t="shared" ca="1" si="31"/>
        <v/>
      </c>
      <c r="AD222" s="58" t="e">
        <f ca="1">+MAX(PAA[[#This Row],[Pago por Contrato]],)</f>
        <v>#NAME?</v>
      </c>
      <c r="AE222" s="58" t="str">
        <f t="shared" ca="1" si="32"/>
        <v/>
      </c>
      <c r="AF222" s="57" t="e">
        <f t="shared" ca="1" si="33"/>
        <v>#NAME?</v>
      </c>
      <c r="AG222" s="57">
        <f t="shared" si="34"/>
        <v>52010703</v>
      </c>
      <c r="AH222" s="57" t="e" cm="1">
        <f t="array" aca="1" ref="AH222" ca="1">_xlfn.XLOOKUP(PAA[[#This Row],[RCP-RUBRO]],COMPROMISOS_2025[[#All],[concatenado]],COMPROMISOS_2025[[#All],[Total pagado]],"",0)</f>
        <v>#NAME?</v>
      </c>
      <c r="AI222" s="57" t="e" cm="1">
        <f t="array" aca="1" ref="AI222" ca="1">_xlfn.XLOOKUP(PAA[[#This Row],[RCP-RUBRO]],COMPROMISOS_2025[[#All],[concatenado]],COMPROMISOS_2025[[#All],[Total Comprometido]],"",0)</f>
        <v>#NAME?</v>
      </c>
    </row>
    <row r="223" spans="1:35" s="50" customFormat="1" ht="42" hidden="1" customHeight="1" x14ac:dyDescent="0.25">
      <c r="A223" s="57">
        <v>153</v>
      </c>
      <c r="B223" s="186" t="s">
        <v>41</v>
      </c>
      <c r="C223" s="57" t="str">
        <f>VLOOKUP(PAA[[#This Row],[PROYECTO (formulado)2]],PROYECTOS!$G$1:$L$32,6,0)</f>
        <v>SUBGERENCIA DE FOMENTO Y DESARROLLO</v>
      </c>
      <c r="D223" s="57" t="str">
        <f>+IF(PAA[[#This Row],[UNIDAD DE CONTRATACION (formulado)]]="Subgerencia Administrativa y Financiera","FUNCIONAMIENTO","INVERSIÓN")</f>
        <v>INVERSIÓN</v>
      </c>
      <c r="E223" s="153" t="str">
        <f>VLOOKUP(Q223,PROYECTOS!$G$1:$K$32,5,0)</f>
        <v>Fortalecimiento de los juegos deportivos institucionales en los municipios del departamento de Antioquia</v>
      </c>
      <c r="F223" s="153">
        <f>VLOOKUP(E223,PROYECTOS!$K$1:$M$32,3,0)</f>
        <v>2024003050073</v>
      </c>
      <c r="G223" s="154" t="s">
        <v>335</v>
      </c>
      <c r="H223" s="154" t="str">
        <f>VLOOKUP(Q223,PROYECTOS!$V$1:$W$32,2,0)</f>
        <v>050081</v>
      </c>
      <c r="I223" s="143">
        <v>0</v>
      </c>
      <c r="J223" s="155" t="s">
        <v>41</v>
      </c>
      <c r="K223" s="57" t="str">
        <f t="shared" ca="1" si="28"/>
        <v>CONTRATADO</v>
      </c>
      <c r="L223" s="155" t="s">
        <v>112</v>
      </c>
      <c r="M223" s="155" t="s">
        <v>113</v>
      </c>
      <c r="N223" s="142" t="s">
        <v>315</v>
      </c>
      <c r="O223" s="155">
        <f>VLOOKUP(N223,RUBROS[#All],3,0)</f>
        <v>82</v>
      </c>
      <c r="P223" s="156" t="str">
        <f>VLOOKUP(N223,RUBROS[#All],2,0)</f>
        <v>Fortalecimiento de los juegos deportivos institucionales en los municipios del departamento de Antioquia - Servicios para la comunidad, sociales y personales</v>
      </c>
      <c r="Q223" s="57" t="str">
        <f t="shared" si="29"/>
        <v>73</v>
      </c>
      <c r="R223" s="57" t="str">
        <f t="shared" si="30"/>
        <v>0-205128</v>
      </c>
      <c r="S223" s="152" t="s">
        <v>41</v>
      </c>
      <c r="T223" s="469" t="s">
        <v>41</v>
      </c>
      <c r="U223" s="162" t="e">
        <f ca="1">_xlfn.XLOOKUP(PAA[[#This Row],[ITEM]],Contrato!A:A,Contrato!Q:Q,"",0)</f>
        <v>#NAME?</v>
      </c>
      <c r="V223" s="57" t="s">
        <v>47</v>
      </c>
      <c r="W223" s="57" t="s">
        <v>41</v>
      </c>
      <c r="X223" s="57" t="s">
        <v>41</v>
      </c>
      <c r="Y223" s="58" t="e">
        <f ca="1">_xlfn.XLOOKUP(PAA[[#This Row],[ITEM]],Contrato!A:A,Contrato!B:B,"",0)</f>
        <v>#NAME?</v>
      </c>
      <c r="Z223" s="57" t="e">
        <f ca="1">_xlfn.XLOOKUP(PAA[[#This Row],[ITEM]],Contrato!A:A,Contrato!G:G,"",0)</f>
        <v>#NAME?</v>
      </c>
      <c r="AA223" s="57" t="e">
        <f ca="1">_xlfn.XLOOKUP(PAA[[#This Row],[ITEM]],Contrato!A:A,Contrato!T:T,"",0)</f>
        <v>#NAME?</v>
      </c>
      <c r="AB223" s="58" t="e">
        <f ca="1">+MAX(PAA[[#This Row],[Comprometido Contrato]],)</f>
        <v>#NAME?</v>
      </c>
      <c r="AC223" s="58" t="str">
        <f t="shared" ca="1" si="31"/>
        <v/>
      </c>
      <c r="AD223" s="58" t="e">
        <f ca="1">+MAX(PAA[[#This Row],[Pago por Contrato]],)</f>
        <v>#NAME?</v>
      </c>
      <c r="AE223" s="58" t="str">
        <f t="shared" ca="1" si="32"/>
        <v/>
      </c>
      <c r="AF223" s="57" t="e">
        <f t="shared" ca="1" si="33"/>
        <v>#NAME?</v>
      </c>
      <c r="AG223" s="57">
        <f t="shared" si="34"/>
        <v>52010703</v>
      </c>
      <c r="AH223" s="57" t="e" cm="1">
        <f t="array" aca="1" ref="AH223" ca="1">_xlfn.XLOOKUP(PAA[[#This Row],[RCP-RUBRO]],COMPROMISOS_2025[[#All],[concatenado]],COMPROMISOS_2025[[#All],[Total pagado]],"",0)</f>
        <v>#NAME?</v>
      </c>
      <c r="AI223" s="57" t="e" cm="1">
        <f t="array" aca="1" ref="AI223" ca="1">_xlfn.XLOOKUP(PAA[[#This Row],[RCP-RUBRO]],COMPROMISOS_2025[[#All],[concatenado]],COMPROMISOS_2025[[#All],[Total Comprometido]],"",0)</f>
        <v>#NAME?</v>
      </c>
    </row>
    <row r="224" spans="1:35" s="50" customFormat="1" ht="42" hidden="1" customHeight="1" x14ac:dyDescent="0.25">
      <c r="A224" s="57">
        <v>154</v>
      </c>
      <c r="B224" s="186">
        <v>80111600</v>
      </c>
      <c r="C224" s="57" t="str">
        <f>VLOOKUP(PAA[[#This Row],[PROYECTO (formulado)2]],PROYECTOS!$G$1:$L$32,6,0)</f>
        <v>SUBGERENCIA DE FOMENTO Y DESARROLLO</v>
      </c>
      <c r="D224" s="57" t="str">
        <f>+IF(PAA[[#This Row],[UNIDAD DE CONTRATACION (formulado)]]="Subgerencia Administrativa y Financiera","FUNCIONAMIENTO","INVERSIÓN")</f>
        <v>INVERSIÓN</v>
      </c>
      <c r="E224" s="153" t="str">
        <f>VLOOKUP(Q224,PROYECTOS!$G$1:$K$32,5,0)</f>
        <v>Fortalecimiento de los juegos deportivos institucionales en los municipios del departamento de Antioquia</v>
      </c>
      <c r="F224" s="153">
        <f>VLOOKUP(E224,PROYECTOS!$K$1:$M$32,3,0)</f>
        <v>2024003050073</v>
      </c>
      <c r="G224" s="154" t="s">
        <v>335</v>
      </c>
      <c r="H224" s="154" t="str">
        <f>VLOOKUP(Q224,PROYECTOS!$V$1:$W$32,2,0)</f>
        <v>050081</v>
      </c>
      <c r="I224" s="143">
        <v>83218000</v>
      </c>
      <c r="J224" s="155" t="s">
        <v>342</v>
      </c>
      <c r="K224" s="57" t="str">
        <f t="shared" ca="1" si="28"/>
        <v>CONTRATADO</v>
      </c>
      <c r="L224" s="155" t="s">
        <v>112</v>
      </c>
      <c r="M224" s="155" t="s">
        <v>113</v>
      </c>
      <c r="N224" s="142" t="s">
        <v>315</v>
      </c>
      <c r="O224" s="155">
        <f>VLOOKUP(N224,RUBROS[#All],3,0)</f>
        <v>82</v>
      </c>
      <c r="P224" s="156" t="str">
        <f>VLOOKUP(N224,RUBROS[#All],2,0)</f>
        <v>Fortalecimiento de los juegos deportivos institucionales en los municipios del departamento de Antioquia - Servicios para la comunidad, sociales y personales</v>
      </c>
      <c r="Q224" s="57" t="str">
        <f t="shared" si="29"/>
        <v>73</v>
      </c>
      <c r="R224" s="57" t="str">
        <f t="shared" si="30"/>
        <v>0-205128</v>
      </c>
      <c r="S224" s="152">
        <v>10</v>
      </c>
      <c r="T224" s="469" t="s">
        <v>46</v>
      </c>
      <c r="U224" s="162" t="e">
        <f ca="1">_xlfn.XLOOKUP(PAA[[#This Row],[ITEM]],Contrato!A:A,Contrato!Q:Q,"",0)</f>
        <v>#NAME?</v>
      </c>
      <c r="V224" s="57" t="s">
        <v>47</v>
      </c>
      <c r="W224" s="57" t="s">
        <v>154</v>
      </c>
      <c r="X224" s="57" t="s">
        <v>154</v>
      </c>
      <c r="Y224" s="58" t="e">
        <f ca="1">_xlfn.XLOOKUP(PAA[[#This Row],[ITEM]],Contrato!A:A,Contrato!B:B,"",0)</f>
        <v>#NAME?</v>
      </c>
      <c r="Z224" s="57" t="e">
        <f ca="1">_xlfn.XLOOKUP(PAA[[#This Row],[ITEM]],Contrato!A:A,Contrato!G:G,"",0)</f>
        <v>#NAME?</v>
      </c>
      <c r="AA224" s="57" t="e">
        <f ca="1">_xlfn.XLOOKUP(PAA[[#This Row],[ITEM]],Contrato!A:A,Contrato!T:T,"",0)</f>
        <v>#NAME?</v>
      </c>
      <c r="AB224" s="58" t="e">
        <f ca="1">+MAX(PAA[[#This Row],[Comprometido Contrato]],)</f>
        <v>#NAME?</v>
      </c>
      <c r="AC224" s="58" t="str">
        <f t="shared" ca="1" si="31"/>
        <v/>
      </c>
      <c r="AD224" s="58" t="e">
        <f ca="1">+MAX(PAA[[#This Row],[Pago por Contrato]],)</f>
        <v>#NAME?</v>
      </c>
      <c r="AE224" s="58" t="str">
        <f t="shared" ca="1" si="32"/>
        <v/>
      </c>
      <c r="AF224" s="57" t="e">
        <f t="shared" ca="1" si="33"/>
        <v>#NAME?</v>
      </c>
      <c r="AG224" s="57">
        <f t="shared" si="34"/>
        <v>52010703</v>
      </c>
      <c r="AH224" s="57" t="e" cm="1">
        <f t="array" aca="1" ref="AH224" ca="1">_xlfn.XLOOKUP(PAA[[#This Row],[RCP-RUBRO]],COMPROMISOS_2025[[#All],[concatenado]],COMPROMISOS_2025[[#All],[Total pagado]],"",0)</f>
        <v>#NAME?</v>
      </c>
      <c r="AI224" s="57" t="e" cm="1">
        <f t="array" aca="1" ref="AI224" ca="1">_xlfn.XLOOKUP(PAA[[#This Row],[RCP-RUBRO]],COMPROMISOS_2025[[#All],[concatenado]],COMPROMISOS_2025[[#All],[Total Comprometido]],"",0)</f>
        <v>#NAME?</v>
      </c>
    </row>
    <row r="225" spans="1:35" s="50" customFormat="1" ht="42" hidden="1" customHeight="1" x14ac:dyDescent="0.25">
      <c r="A225" s="436">
        <v>155</v>
      </c>
      <c r="B225" s="418">
        <v>80111600</v>
      </c>
      <c r="C225" s="436" t="str">
        <f>VLOOKUP(PAA[[#This Row],[PROYECTO (formulado)2]],PROYECTOS!$G$1:$L$32,6,0)</f>
        <v>SUBGERENCIA DE FOMENTO Y DESARROLLO</v>
      </c>
      <c r="D225" s="436" t="str">
        <f>+IF(PAA[[#This Row],[UNIDAD DE CONTRATACION (formulado)]]="Subgerencia Administrativa y Financiera","FUNCIONAMIENTO","INVERSIÓN")</f>
        <v>INVERSIÓN</v>
      </c>
      <c r="E225" s="446" t="str">
        <f>VLOOKUP(Q225,PROYECTOS!$G$1:$K$32,5,0)</f>
        <v>Fortalecimiento de los juegos deportivos institucionales en los municipios del departamento de Antioquia</v>
      </c>
      <c r="F225" s="446">
        <f>VLOOKUP(E225,PROYECTOS!$K$1:$M$32,3,0)</f>
        <v>2024003050073</v>
      </c>
      <c r="G225" s="439" t="s">
        <v>335</v>
      </c>
      <c r="H225" s="439" t="str">
        <f>VLOOKUP(Q225,PROYECTOS!$V$1:$W$32,2,0)</f>
        <v>050081</v>
      </c>
      <c r="I225" s="440">
        <v>79188933</v>
      </c>
      <c r="J225" s="442" t="s">
        <v>343</v>
      </c>
      <c r="K225" s="436" t="str">
        <f t="shared" ca="1" si="28"/>
        <v>CONTRATADO</v>
      </c>
      <c r="L225" s="442" t="s">
        <v>112</v>
      </c>
      <c r="M225" s="442" t="s">
        <v>113</v>
      </c>
      <c r="N225" s="447" t="s">
        <v>315</v>
      </c>
      <c r="O225" s="442">
        <f>VLOOKUP(N225,RUBROS[#All],3,0)</f>
        <v>82</v>
      </c>
      <c r="P225" s="448" t="str">
        <f>VLOOKUP(N225,RUBROS[#All],2,0)</f>
        <v>Fortalecimiento de los juegos deportivos institucionales en los municipios del departamento de Antioquia - Servicios para la comunidad, sociales y personales</v>
      </c>
      <c r="Q225" s="436" t="str">
        <f t="shared" si="29"/>
        <v>73</v>
      </c>
      <c r="R225" s="436" t="str">
        <f t="shared" si="30"/>
        <v>0-205128</v>
      </c>
      <c r="S225" s="417">
        <v>8.5</v>
      </c>
      <c r="T225" s="449" t="s">
        <v>46</v>
      </c>
      <c r="U225" s="444" t="e">
        <f ca="1">_xlfn.XLOOKUP(PAA[[#This Row],[ITEM]],Contrato!A:A,Contrato!Q:Q,"",0)</f>
        <v>#NAME?</v>
      </c>
      <c r="V225" s="436" t="s">
        <v>47</v>
      </c>
      <c r="W225" s="436" t="s">
        <v>133</v>
      </c>
      <c r="X225" s="436" t="s">
        <v>133</v>
      </c>
      <c r="Y225" s="445" t="e">
        <f ca="1">_xlfn.XLOOKUP(PAA[[#This Row],[ITEM]],Contrato!A:A,Contrato!B:B,"",0)</f>
        <v>#NAME?</v>
      </c>
      <c r="Z225" s="436" t="e">
        <f ca="1">_xlfn.XLOOKUP(PAA[[#This Row],[ITEM]],Contrato!A:A,Contrato!G:G,"",0)</f>
        <v>#NAME?</v>
      </c>
      <c r="AA225" s="436" t="e">
        <f ca="1">_xlfn.XLOOKUP(PAA[[#This Row],[ITEM]],Contrato!A:A,Contrato!T:T,"",0)</f>
        <v>#NAME?</v>
      </c>
      <c r="AB225" s="445" t="e">
        <f ca="1">+MAX(PAA[[#This Row],[Comprometido Contrato]],)</f>
        <v>#NAME?</v>
      </c>
      <c r="AC225" s="445" t="str">
        <f t="shared" ca="1" si="31"/>
        <v/>
      </c>
      <c r="AD225" s="445" t="e">
        <f ca="1">+MAX(PAA[[#This Row],[Pago por Contrato]],)</f>
        <v>#NAME?</v>
      </c>
      <c r="AE225" s="445" t="str">
        <f t="shared" ca="1" si="32"/>
        <v/>
      </c>
      <c r="AF225" s="436" t="e">
        <f t="shared" ca="1" si="33"/>
        <v>#NAME?</v>
      </c>
      <c r="AG225" s="436">
        <f t="shared" si="34"/>
        <v>52010703</v>
      </c>
      <c r="AH225" s="436" t="e" cm="1">
        <f t="array" aca="1" ref="AH225" ca="1">_xlfn.XLOOKUP(PAA[[#This Row],[RCP-RUBRO]],COMPROMISOS_2025[[#All],[concatenado]],COMPROMISOS_2025[[#All],[Total pagado]],"",0)</f>
        <v>#NAME?</v>
      </c>
      <c r="AI225" s="436" t="e" cm="1">
        <f t="array" aca="1" ref="AI225" ca="1">_xlfn.XLOOKUP(PAA[[#This Row],[RCP-RUBRO]],COMPROMISOS_2025[[#All],[concatenado]],COMPROMISOS_2025[[#All],[Total Comprometido]],"",0)</f>
        <v>#NAME?</v>
      </c>
    </row>
    <row r="226" spans="1:35" s="50" customFormat="1" ht="42" hidden="1" customHeight="1" x14ac:dyDescent="0.25">
      <c r="A226" s="436">
        <v>156</v>
      </c>
      <c r="B226" s="418">
        <v>80141607</v>
      </c>
      <c r="C226" s="436" t="str">
        <f>VLOOKUP(PAA[[#This Row],[PROYECTO (formulado)2]],PROYECTOS!$G$1:$L$32,6,0)</f>
        <v>SUBGERENCIA DE FOMENTO Y DESARROLLO</v>
      </c>
      <c r="D226" s="436" t="str">
        <f>+IF(PAA[[#This Row],[UNIDAD DE CONTRATACION (formulado)]]="Subgerencia Administrativa y Financiera","FUNCIONAMIENTO","INVERSIÓN")</f>
        <v>INVERSIÓN</v>
      </c>
      <c r="E226" s="446" t="str">
        <f>VLOOKUP(Q226,PROYECTOS!$G$1:$K$32,5,0)</f>
        <v>Fortalecimiento de los juegos deportivos institucionales en los municipios del departamento de Antioquia</v>
      </c>
      <c r="F226" s="446">
        <f>VLOOKUP(E226,PROYECTOS!$K$1:$M$32,3,0)</f>
        <v>2024003050073</v>
      </c>
      <c r="G226" s="439" t="s">
        <v>313</v>
      </c>
      <c r="H226" s="439" t="str">
        <f>VLOOKUP(Q226,PROYECTOS!$V$1:$W$32,2,0)</f>
        <v>050081</v>
      </c>
      <c r="I226" s="440">
        <v>217882425</v>
      </c>
      <c r="J226" s="442" t="s">
        <v>344</v>
      </c>
      <c r="K226" s="436" t="str">
        <f t="shared" ca="1" si="28"/>
        <v>CONTRATADO</v>
      </c>
      <c r="L226" s="442" t="s">
        <v>112</v>
      </c>
      <c r="M226" s="442" t="s">
        <v>241</v>
      </c>
      <c r="N226" s="447" t="s">
        <v>317</v>
      </c>
      <c r="O226" s="442">
        <f>VLOOKUP(N226,RUBROS[#All],3,0)</f>
        <v>83</v>
      </c>
      <c r="P226" s="448" t="str">
        <f>VLOOKUP(N226,RUBROS[#All],2,0)</f>
        <v>Fortalecimiento de los juegos deportivos institucionales en los municipios del departamento de Antioquia - Servicios para la comunidad, sociales y personales</v>
      </c>
      <c r="Q226" s="436" t="str">
        <f t="shared" si="29"/>
        <v>73</v>
      </c>
      <c r="R226" s="436" t="str">
        <f t="shared" si="30"/>
        <v>0-205400</v>
      </c>
      <c r="S226" s="417" t="s">
        <v>41</v>
      </c>
      <c r="T226" s="467" t="s">
        <v>41</v>
      </c>
      <c r="U226" s="444" t="e">
        <f ca="1">_xlfn.XLOOKUP(PAA[[#This Row],[ITEM]],Contrato!A:A,Contrato!Q:Q,"",0)</f>
        <v>#NAME?</v>
      </c>
      <c r="V226" s="436" t="s">
        <v>47</v>
      </c>
      <c r="W226" s="436" t="s">
        <v>133</v>
      </c>
      <c r="X226" s="436" t="s">
        <v>133</v>
      </c>
      <c r="Y226" s="445" t="e">
        <f ca="1">_xlfn.XLOOKUP(PAA[[#This Row],[ITEM]],Contrato!A:A,Contrato!B:B,"",0)</f>
        <v>#NAME?</v>
      </c>
      <c r="Z226" s="436" t="e">
        <f ca="1">_xlfn.XLOOKUP(PAA[[#This Row],[ITEM]],Contrato!A:A,Contrato!G:G,"",0)</f>
        <v>#NAME?</v>
      </c>
      <c r="AA226" s="436" t="e">
        <f ca="1">_xlfn.XLOOKUP(PAA[[#This Row],[ITEM]],Contrato!A:A,Contrato!T:T,"",0)</f>
        <v>#NAME?</v>
      </c>
      <c r="AB226" s="445" t="e">
        <f ca="1">+MAX(PAA[[#This Row],[Comprometido Contrato]],)</f>
        <v>#NAME?</v>
      </c>
      <c r="AC226" s="445" t="str">
        <f t="shared" ca="1" si="31"/>
        <v/>
      </c>
      <c r="AD226" s="445" t="e">
        <f ca="1">+MAX(PAA[[#This Row],[Pago por Contrato]],)</f>
        <v>#NAME?</v>
      </c>
      <c r="AE226" s="445" t="str">
        <f t="shared" ca="1" si="32"/>
        <v/>
      </c>
      <c r="AF226" s="436" t="e">
        <f t="shared" ca="1" si="33"/>
        <v>#NAME?</v>
      </c>
      <c r="AG226" s="436">
        <f t="shared" si="34"/>
        <v>52010703</v>
      </c>
      <c r="AH226" s="436" t="e" cm="1">
        <f t="array" aca="1" ref="AH226" ca="1">_xlfn.XLOOKUP(PAA[[#This Row],[RCP-RUBRO]],COMPROMISOS_2025[[#All],[concatenado]],COMPROMISOS_2025[[#All],[Total pagado]],"",0)</f>
        <v>#NAME?</v>
      </c>
      <c r="AI226" s="436" t="e" cm="1">
        <f t="array" aca="1" ref="AI226" ca="1">_xlfn.XLOOKUP(PAA[[#This Row],[RCP-RUBRO]],COMPROMISOS_2025[[#All],[concatenado]],COMPROMISOS_2025[[#All],[Total Comprometido]],"",0)</f>
        <v>#NAME?</v>
      </c>
    </row>
    <row r="227" spans="1:35" s="50" customFormat="1" ht="42" hidden="1" customHeight="1" x14ac:dyDescent="0.25">
      <c r="A227" s="199">
        <v>157</v>
      </c>
      <c r="B227" s="200">
        <v>80141607</v>
      </c>
      <c r="C227" s="199" t="str">
        <f>VLOOKUP(PAA[[#This Row],[PROYECTO (formulado)2]],PROYECTOS!$G$1:$L$32,6,0)</f>
        <v>SUBGERENCIA DE FOMENTO Y DESARROLLO</v>
      </c>
      <c r="D227" s="199" t="str">
        <f>+IF(PAA[[#This Row],[UNIDAD DE CONTRATACION (formulado)]]="Subgerencia Administrativa y Financiera","FUNCIONAMIENTO","INVERSIÓN")</f>
        <v>INVERSIÓN</v>
      </c>
      <c r="E227" s="201" t="str">
        <f>VLOOKUP(Q227,PROYECTOS!$G$1:$K$32,5,0)</f>
        <v>Fortalecimiento de los juegos deportivos institucionales en los municipios del departamento de Antioquia</v>
      </c>
      <c r="F227" s="201">
        <f>VLOOKUP(E227,PROYECTOS!$K$1:$M$32,3,0)</f>
        <v>2024003050073</v>
      </c>
      <c r="G227" s="202" t="s">
        <v>345</v>
      </c>
      <c r="H227" s="202" t="str">
        <f>VLOOKUP(Q227,PROYECTOS!$V$1:$W$32,2,0)</f>
        <v>050081</v>
      </c>
      <c r="I227" s="203">
        <v>1084687020</v>
      </c>
      <c r="J227" s="204" t="s">
        <v>346</v>
      </c>
      <c r="K227" s="199" t="str">
        <f t="shared" ref="K227:K300" ca="1" si="42">IF(ISNONTEXT(Y227)=TRUE,"CONTRATADO","NO CONTRATADO")</f>
        <v>CONTRATADO</v>
      </c>
      <c r="L227" s="204" t="s">
        <v>112</v>
      </c>
      <c r="M227" s="204" t="s">
        <v>241</v>
      </c>
      <c r="N227" s="205" t="s">
        <v>317</v>
      </c>
      <c r="O227" s="204">
        <f>VLOOKUP(N227,RUBROS[#All],3,0)</f>
        <v>83</v>
      </c>
      <c r="P227" s="206" t="str">
        <f>VLOOKUP(N227,RUBROS[#All],2,0)</f>
        <v>Fortalecimiento de los juegos deportivos institucionales en los municipios del departamento de Antioquia - Servicios para la comunidad, sociales y personales</v>
      </c>
      <c r="Q227" s="199" t="str">
        <f t="shared" ref="Q227:Q300" si="43">+MID(N227,11,2)</f>
        <v>73</v>
      </c>
      <c r="R227" s="199" t="str">
        <f t="shared" ref="R227:R300" si="44">+MID(N227,14,8)</f>
        <v>0-205400</v>
      </c>
      <c r="S227" s="207">
        <v>2</v>
      </c>
      <c r="T227" s="208" t="s">
        <v>46</v>
      </c>
      <c r="U227" s="209" t="e">
        <f ca="1">_xlfn.XLOOKUP(PAA[[#This Row],[ITEM]],Contrato!A:A,Contrato!Q:Q,"",0)</f>
        <v>#NAME?</v>
      </c>
      <c r="V227" s="199" t="s">
        <v>47</v>
      </c>
      <c r="W227" s="199" t="s">
        <v>347</v>
      </c>
      <c r="X227" s="199" t="s">
        <v>347</v>
      </c>
      <c r="Y227" s="210" t="e">
        <f ca="1">_xlfn.XLOOKUP(PAA[[#This Row],[ITEM]],Contrato!A:A,Contrato!B:B,"",0)</f>
        <v>#NAME?</v>
      </c>
      <c r="Z227" s="199" t="e">
        <f ca="1">_xlfn.XLOOKUP(PAA[[#This Row],[ITEM]],Contrato!A:A,Contrato!G:G,"",0)</f>
        <v>#NAME?</v>
      </c>
      <c r="AA227" s="199" t="e">
        <f ca="1">_xlfn.XLOOKUP(PAA[[#This Row],[ITEM]],Contrato!A:A,Contrato!T:T,"",0)</f>
        <v>#NAME?</v>
      </c>
      <c r="AB227" s="210" t="e">
        <f ca="1">+MAX(PAA[[#This Row],[Comprometido Contrato]],)</f>
        <v>#NAME?</v>
      </c>
      <c r="AC227" s="210" t="str">
        <f t="shared" ref="AC227:AC250" ca="1" si="45">IFERROR(I227-AB227,"")</f>
        <v/>
      </c>
      <c r="AD227" s="210" t="e">
        <f ca="1">+MAX(PAA[[#This Row],[Pago por Contrato]],)</f>
        <v>#NAME?</v>
      </c>
      <c r="AE227" s="210" t="str">
        <f t="shared" ref="AE227:AE300" ca="1" si="46">+IFERROR(AB227-AD227,"")</f>
        <v/>
      </c>
      <c r="AF227" s="199" t="e">
        <f t="shared" ref="AF227:AF300" ca="1" si="47">+CONCATENATE(AA227,N227)</f>
        <v>#NAME?</v>
      </c>
      <c r="AG227" s="199">
        <f t="shared" ref="AG227:AG300" si="48">IFERROR(_xlfn.NUMBERVALUE(MID(G227,1,8)),"")</f>
        <v>52010703</v>
      </c>
      <c r="AH227" s="199" t="e" cm="1">
        <f t="array" aca="1" ref="AH227" ca="1">_xlfn.XLOOKUP(PAA[[#This Row],[RCP-RUBRO]],COMPROMISOS_2025[[#All],[concatenado]],COMPROMISOS_2025[[#All],[Total pagado]],"",0)</f>
        <v>#NAME?</v>
      </c>
      <c r="AI227" s="199" t="e" cm="1">
        <f t="array" aca="1" ref="AI227" ca="1">_xlfn.XLOOKUP(PAA[[#This Row],[RCP-RUBRO]],COMPROMISOS_2025[[#All],[concatenado]],COMPROMISOS_2025[[#All],[Total Comprometido]],"",0)</f>
        <v>#NAME?</v>
      </c>
    </row>
    <row r="228" spans="1:35" s="50" customFormat="1" ht="42" hidden="1" customHeight="1" x14ac:dyDescent="0.25">
      <c r="A228" s="57">
        <v>158</v>
      </c>
      <c r="B228" s="186">
        <v>49221500</v>
      </c>
      <c r="C228" s="57" t="str">
        <f>VLOOKUP(PAA[[#This Row],[PROYECTO (formulado)2]],PROYECTOS!$G$1:$L$32,6,0)</f>
        <v>SUBGERENCIA DE FOMENTO Y DESARROLLO</v>
      </c>
      <c r="D228" s="57" t="str">
        <f>+IF(PAA[[#This Row],[UNIDAD DE CONTRATACION (formulado)]]="Subgerencia Administrativa y Financiera","FUNCIONAMIENTO","INVERSIÓN")</f>
        <v>INVERSIÓN</v>
      </c>
      <c r="E228" s="153" t="str">
        <f>VLOOKUP(Q228,PROYECTOS!$G$1:$K$32,5,0)</f>
        <v>Cofinanciación de dotación de implementación para el deporte la recreación y a la actividad física en el departamento de Antioquia</v>
      </c>
      <c r="F228" s="153">
        <f>VLOOKUP(E228,PROYECTOS!$K$1:$M$32,3,0)</f>
        <v>2024003050074</v>
      </c>
      <c r="G228" s="154" t="s">
        <v>348</v>
      </c>
      <c r="H228" s="154" t="str">
        <f>VLOOKUP(Q228,PROYECTOS!$V$1:$W$32,2,0)</f>
        <v>050073</v>
      </c>
      <c r="I228" s="143">
        <v>214608013</v>
      </c>
      <c r="J228" s="155" t="s">
        <v>349</v>
      </c>
      <c r="K228" s="57" t="str">
        <f t="shared" ca="1" si="42"/>
        <v>CONTRATADO</v>
      </c>
      <c r="L228" s="155" t="s">
        <v>131</v>
      </c>
      <c r="M228" s="155" t="s">
        <v>132</v>
      </c>
      <c r="N228" s="142" t="s">
        <v>350</v>
      </c>
      <c r="O228" s="155">
        <f>VLOOKUP(N228,RUBROS[#All],3,0)</f>
        <v>84</v>
      </c>
      <c r="P228" s="156" t="str">
        <f>VLOOKUP(N228,RUBROS[#All],2,0)</f>
        <v>Cofinanciación de dotación de implementación para el deporte la recreación y a la actividad física en el departamento de Antioquia -Otros bienes transportables (excepto productos metálicos, maquinaria y equipo)</v>
      </c>
      <c r="Q228" s="57" t="str">
        <f t="shared" si="43"/>
        <v>74</v>
      </c>
      <c r="R228" s="57" t="str">
        <f t="shared" si="44"/>
        <v>0-101024</v>
      </c>
      <c r="S228" s="152">
        <v>6</v>
      </c>
      <c r="T228" s="157" t="s">
        <v>46</v>
      </c>
      <c r="U228" s="162" t="e">
        <f ca="1">_xlfn.XLOOKUP(PAA[[#This Row],[ITEM]],Contrato!A:A,Contrato!Q:Q,"",0)</f>
        <v>#NAME?</v>
      </c>
      <c r="V228" s="57" t="s">
        <v>47</v>
      </c>
      <c r="W228" s="57" t="s">
        <v>351</v>
      </c>
      <c r="X228" s="57" t="s">
        <v>351</v>
      </c>
      <c r="Y228" s="58" t="e">
        <f ca="1">_xlfn.XLOOKUP(PAA[[#This Row],[ITEM]],Contrato!A:A,Contrato!B:B,"",0)</f>
        <v>#NAME?</v>
      </c>
      <c r="Z228" s="57" t="e">
        <f ca="1">_xlfn.XLOOKUP(PAA[[#This Row],[ITEM]],Contrato!A:A,Contrato!G:G,"",0)</f>
        <v>#NAME?</v>
      </c>
      <c r="AA228" s="57" t="e">
        <f ca="1">_xlfn.XLOOKUP(PAA[[#This Row],[ITEM]],Contrato!A:A,Contrato!T:T,"",0)</f>
        <v>#NAME?</v>
      </c>
      <c r="AB228" s="58" t="e">
        <f ca="1">+MAX(PAA[[#This Row],[Comprometido Contrato]],)</f>
        <v>#NAME?</v>
      </c>
      <c r="AC228" s="58" t="str">
        <f t="shared" ca="1" si="45"/>
        <v/>
      </c>
      <c r="AD228" s="58" t="e">
        <f ca="1">+MAX(PAA[[#This Row],[Pago por Contrato]],)</f>
        <v>#NAME?</v>
      </c>
      <c r="AE228" s="58" t="str">
        <f t="shared" ca="1" si="46"/>
        <v/>
      </c>
      <c r="AF228" s="57" t="e">
        <f t="shared" ca="1" si="47"/>
        <v>#NAME?</v>
      </c>
      <c r="AG228" s="57">
        <f t="shared" si="48"/>
        <v>52010701</v>
      </c>
      <c r="AH228" s="57" t="e" cm="1">
        <f t="array" aca="1" ref="AH228" ca="1">_xlfn.XLOOKUP(PAA[[#This Row],[RCP-RUBRO]],COMPROMISOS_2025[[#All],[concatenado]],COMPROMISOS_2025[[#All],[Total pagado]],"",0)</f>
        <v>#NAME?</v>
      </c>
      <c r="AI228" s="57" t="e" cm="1">
        <f t="array" aca="1" ref="AI228" ca="1">_xlfn.XLOOKUP(PAA[[#This Row],[RCP-RUBRO]],COMPROMISOS_2025[[#All],[concatenado]],COMPROMISOS_2025[[#All],[Total Comprometido]],"",0)</f>
        <v>#NAME?</v>
      </c>
    </row>
    <row r="229" spans="1:35" s="50" customFormat="1" ht="42" hidden="1" customHeight="1" x14ac:dyDescent="0.25">
      <c r="A229" s="57">
        <v>159</v>
      </c>
      <c r="B229" s="186">
        <v>49221500</v>
      </c>
      <c r="C229" s="57" t="str">
        <f>VLOOKUP(PAA[[#This Row],[PROYECTO (formulado)2]],PROYECTOS!$G$1:$L$32,6,0)</f>
        <v>SUBGERENCIA DE FOMENTO Y DESARROLLO</v>
      </c>
      <c r="D229" s="57" t="str">
        <f>+IF(PAA[[#This Row],[UNIDAD DE CONTRATACION (formulado)]]="Subgerencia Administrativa y Financiera","FUNCIONAMIENTO","INVERSIÓN")</f>
        <v>INVERSIÓN</v>
      </c>
      <c r="E229" s="153" t="str">
        <f>VLOOKUP(Q229,PROYECTOS!$G$1:$K$32,5,0)</f>
        <v>Cofinanciación de dotación de implementación para el deporte la recreación y a la actividad física en el departamento de Antioquia</v>
      </c>
      <c r="F229" s="153">
        <f>VLOOKUP(E229,PROYECTOS!$K$1:$M$32,3,0)</f>
        <v>2024003050074</v>
      </c>
      <c r="G229" s="154" t="s">
        <v>352</v>
      </c>
      <c r="H229" s="154" t="str">
        <f>VLOOKUP(Q229,PROYECTOS!$V$1:$W$32,2,0)</f>
        <v>050073</v>
      </c>
      <c r="I229" s="143">
        <v>1071975465</v>
      </c>
      <c r="J229" s="155" t="s">
        <v>353</v>
      </c>
      <c r="K229" s="57" t="str">
        <f t="shared" ca="1" si="42"/>
        <v>CONTRATADO</v>
      </c>
      <c r="L229" s="155" t="s">
        <v>131</v>
      </c>
      <c r="M229" s="155" t="s">
        <v>132</v>
      </c>
      <c r="N229" s="142" t="s">
        <v>354</v>
      </c>
      <c r="O229" s="155">
        <f>VLOOKUP(N229,RUBROS[#All],3,0)</f>
        <v>86</v>
      </c>
      <c r="P229" s="156" t="str">
        <f>VLOOKUP(N229,RUBROS[#All],2,0)</f>
        <v>Cofinanciación de dotación de implementación para el deporte la recreación y a la actividad física en el departamento de Antioquia -Otros bienes transportables (excepto productos metálicos, maquinaria y equipo)</v>
      </c>
      <c r="Q229" s="57" t="str">
        <f t="shared" si="43"/>
        <v>74</v>
      </c>
      <c r="R229" s="57" t="str">
        <f t="shared" si="44"/>
        <v>0-205400</v>
      </c>
      <c r="S229" s="152">
        <v>6</v>
      </c>
      <c r="T229" s="157" t="s">
        <v>46</v>
      </c>
      <c r="U229" s="162" t="e">
        <f ca="1">_xlfn.XLOOKUP(PAA[[#This Row],[ITEM]],Contrato!A:A,Contrato!Q:Q,"",0)</f>
        <v>#NAME?</v>
      </c>
      <c r="V229" s="57" t="s">
        <v>47</v>
      </c>
      <c r="W229" s="57" t="s">
        <v>347</v>
      </c>
      <c r="X229" s="57" t="s">
        <v>347</v>
      </c>
      <c r="Y229" s="58" t="e">
        <f ca="1">_xlfn.XLOOKUP(PAA[[#This Row],[ITEM]],Contrato!A:A,Contrato!B:B,"",0)</f>
        <v>#NAME?</v>
      </c>
      <c r="Z229" s="57" t="e">
        <f ca="1">_xlfn.XLOOKUP(PAA[[#This Row],[ITEM]],Contrato!A:A,Contrato!G:G,"",0)</f>
        <v>#NAME?</v>
      </c>
      <c r="AA229" s="57" t="e">
        <f ca="1">_xlfn.XLOOKUP(PAA[[#This Row],[ITEM]],Contrato!A:A,Contrato!T:T,"",0)</f>
        <v>#NAME?</v>
      </c>
      <c r="AB229" s="58" t="e">
        <f ca="1">+MAX(PAA[[#This Row],[Comprometido Contrato]],)</f>
        <v>#NAME?</v>
      </c>
      <c r="AC229" s="58" t="str">
        <f t="shared" ca="1" si="45"/>
        <v/>
      </c>
      <c r="AD229" s="58" t="e">
        <f ca="1">+MAX(PAA[[#This Row],[Pago por Contrato]],)</f>
        <v>#NAME?</v>
      </c>
      <c r="AE229" s="58" t="str">
        <f t="shared" ca="1" si="46"/>
        <v/>
      </c>
      <c r="AF229" s="57" t="e">
        <f t="shared" ca="1" si="47"/>
        <v>#NAME?</v>
      </c>
      <c r="AG229" s="57">
        <f t="shared" si="48"/>
        <v>52010701</v>
      </c>
      <c r="AH229" s="57" t="e" cm="1">
        <f t="array" aca="1" ref="AH229" ca="1">_xlfn.XLOOKUP(PAA[[#This Row],[RCP-RUBRO]],COMPROMISOS_2025[[#All],[concatenado]],COMPROMISOS_2025[[#All],[Total pagado]],"",0)</f>
        <v>#NAME?</v>
      </c>
      <c r="AI229" s="57" t="e" cm="1">
        <f t="array" aca="1" ref="AI229" ca="1">_xlfn.XLOOKUP(PAA[[#This Row],[RCP-RUBRO]],COMPROMISOS_2025[[#All],[concatenado]],COMPROMISOS_2025[[#All],[Total Comprometido]],"",0)</f>
        <v>#NAME?</v>
      </c>
    </row>
    <row r="230" spans="1:35" s="50" customFormat="1" ht="42" hidden="1" customHeight="1" x14ac:dyDescent="0.25">
      <c r="A230" s="57">
        <v>160</v>
      </c>
      <c r="B230" s="186">
        <v>49221500</v>
      </c>
      <c r="C230" s="57" t="str">
        <f>VLOOKUP(PAA[[#This Row],[PROYECTO (formulado)2]],PROYECTOS!$G$1:$L$32,6,0)</f>
        <v>SUBGERENCIA DE FOMENTO Y DESARROLLO</v>
      </c>
      <c r="D230" s="57" t="str">
        <f>+IF(PAA[[#This Row],[UNIDAD DE CONTRATACION (formulado)]]="Subgerencia Administrativa y Financiera","FUNCIONAMIENTO","INVERSIÓN")</f>
        <v>INVERSIÓN</v>
      </c>
      <c r="E230" s="153" t="str">
        <f>VLOOKUP(Q230,PROYECTOS!$G$1:$K$32,5,0)</f>
        <v>Cofinanciación de dotación de implementación para el deporte la recreación y a la actividad física en el departamento de Antioquia</v>
      </c>
      <c r="F230" s="153">
        <f>VLOOKUP(E230,PROYECTOS!$K$1:$M$32,3,0)</f>
        <v>2024003050074</v>
      </c>
      <c r="G230" s="154" t="s">
        <v>355</v>
      </c>
      <c r="H230" s="154" t="str">
        <f>VLOOKUP(Q230,PROYECTOS!$V$1:$W$32,2,0)</f>
        <v>050073</v>
      </c>
      <c r="I230" s="143">
        <v>638400000</v>
      </c>
      <c r="J230" s="155" t="s">
        <v>356</v>
      </c>
      <c r="K230" s="57" t="str">
        <f t="shared" ca="1" si="42"/>
        <v>CONTRATADO</v>
      </c>
      <c r="L230" s="155" t="s">
        <v>131</v>
      </c>
      <c r="M230" s="155" t="s">
        <v>132</v>
      </c>
      <c r="N230" s="142" t="s">
        <v>354</v>
      </c>
      <c r="O230" s="155">
        <f>VLOOKUP(N230,RUBROS[#All],3,0)</f>
        <v>86</v>
      </c>
      <c r="P230" s="156" t="str">
        <f>VLOOKUP(N230,RUBROS[#All],2,0)</f>
        <v>Cofinanciación de dotación de implementación para el deporte la recreación y a la actividad física en el departamento de Antioquia -Otros bienes transportables (excepto productos metálicos, maquinaria y equipo)</v>
      </c>
      <c r="Q230" s="57" t="str">
        <f t="shared" si="43"/>
        <v>74</v>
      </c>
      <c r="R230" s="57" t="str">
        <f t="shared" si="44"/>
        <v>0-205400</v>
      </c>
      <c r="S230" s="152">
        <v>6</v>
      </c>
      <c r="T230" s="157" t="s">
        <v>46</v>
      </c>
      <c r="U230" s="162" t="e">
        <f ca="1">_xlfn.XLOOKUP(PAA[[#This Row],[ITEM]],Contrato!A:A,Contrato!Q:Q,"",0)</f>
        <v>#NAME?</v>
      </c>
      <c r="V230" s="57" t="s">
        <v>47</v>
      </c>
      <c r="W230" s="57" t="s">
        <v>347</v>
      </c>
      <c r="X230" s="57" t="s">
        <v>347</v>
      </c>
      <c r="Y230" s="58" t="e">
        <f ca="1">_xlfn.XLOOKUP(PAA[[#This Row],[ITEM]],Contrato!A:A,Contrato!B:B,"",0)</f>
        <v>#NAME?</v>
      </c>
      <c r="Z230" s="57" t="e">
        <f ca="1">_xlfn.XLOOKUP(PAA[[#This Row],[ITEM]],Contrato!A:A,Contrato!G:G,"",0)</f>
        <v>#NAME?</v>
      </c>
      <c r="AA230" s="57" t="e">
        <f ca="1">_xlfn.XLOOKUP(PAA[[#This Row],[ITEM]],Contrato!A:A,Contrato!T:T,"",0)</f>
        <v>#NAME?</v>
      </c>
      <c r="AB230" s="58" t="e">
        <f ca="1">+MAX(PAA[[#This Row],[Comprometido Contrato]],)</f>
        <v>#NAME?</v>
      </c>
      <c r="AC230" s="58" t="str">
        <f t="shared" ca="1" si="45"/>
        <v/>
      </c>
      <c r="AD230" s="58" t="e">
        <f ca="1">+MAX(PAA[[#This Row],[Pago por Contrato]],)</f>
        <v>#NAME?</v>
      </c>
      <c r="AE230" s="58" t="str">
        <f t="shared" ca="1" si="46"/>
        <v/>
      </c>
      <c r="AF230" s="57" t="e">
        <f t="shared" ca="1" si="47"/>
        <v>#NAME?</v>
      </c>
      <c r="AG230" s="57">
        <f t="shared" si="48"/>
        <v>52010701</v>
      </c>
      <c r="AH230" s="57" t="e" cm="1">
        <f t="array" aca="1" ref="AH230" ca="1">_xlfn.XLOOKUP(PAA[[#This Row],[RCP-RUBRO]],COMPROMISOS_2025[[#All],[concatenado]],COMPROMISOS_2025[[#All],[Total pagado]],"",0)</f>
        <v>#NAME?</v>
      </c>
      <c r="AI230" s="57" t="e" cm="1">
        <f t="array" aca="1" ref="AI230" ca="1">_xlfn.XLOOKUP(PAA[[#This Row],[RCP-RUBRO]],COMPROMISOS_2025[[#All],[concatenado]],COMPROMISOS_2025[[#All],[Total Comprometido]],"",0)</f>
        <v>#NAME?</v>
      </c>
    </row>
    <row r="231" spans="1:35" s="50" customFormat="1" ht="42" hidden="1" customHeight="1" x14ac:dyDescent="0.25">
      <c r="A231" s="57">
        <v>161</v>
      </c>
      <c r="B231" s="186">
        <v>95122306</v>
      </c>
      <c r="C231" s="57" t="str">
        <f>VLOOKUP(PAA[[#This Row],[PROYECTO (formulado)2]],PROYECTOS!$G$1:$L$32,6,0)</f>
        <v>SUBGERENCIA DE FOMENTO Y DESARROLLO</v>
      </c>
      <c r="D231" s="57" t="str">
        <f>+IF(PAA[[#This Row],[UNIDAD DE CONTRATACION (formulado)]]="Subgerencia Administrativa y Financiera","FUNCIONAMIENTO","INVERSIÓN")</f>
        <v>INVERSIÓN</v>
      </c>
      <c r="E231" s="153" t="str">
        <f>VLOOKUP(Q231,PROYECTOS!$G$1:$K$32,5,0)</f>
        <v>Cofinanciación de dotación de implementación para el deporte la recreación y a la actividad física en el departamento de Antioquia</v>
      </c>
      <c r="F231" s="153">
        <f>VLOOKUP(E231,PROYECTOS!$K$1:$M$32,3,0)</f>
        <v>2024003050074</v>
      </c>
      <c r="G231" s="154" t="s">
        <v>357</v>
      </c>
      <c r="H231" s="154" t="str">
        <f>VLOOKUP(Q231,PROYECTOS!$V$1:$W$32,2,0)</f>
        <v>050073</v>
      </c>
      <c r="I231" s="143">
        <v>1521777821</v>
      </c>
      <c r="J231" s="155" t="s">
        <v>358</v>
      </c>
      <c r="K231" s="57" t="str">
        <f t="shared" ca="1" si="42"/>
        <v>CONTRATADO</v>
      </c>
      <c r="L231" s="155" t="s">
        <v>131</v>
      </c>
      <c r="M231" s="155" t="s">
        <v>132</v>
      </c>
      <c r="N231" s="142" t="s">
        <v>354</v>
      </c>
      <c r="O231" s="155">
        <f>VLOOKUP(N231,RUBROS[#All],3,0)</f>
        <v>86</v>
      </c>
      <c r="P231" s="156" t="str">
        <f>VLOOKUP(N231,RUBROS[#All],2,0)</f>
        <v>Cofinanciación de dotación de implementación para el deporte la recreación y a la actividad física en el departamento de Antioquia -Otros bienes transportables (excepto productos metálicos, maquinaria y equipo)</v>
      </c>
      <c r="Q231" s="57" t="str">
        <f t="shared" si="43"/>
        <v>74</v>
      </c>
      <c r="R231" s="57" t="str">
        <f t="shared" si="44"/>
        <v>0-205400</v>
      </c>
      <c r="S231" s="152">
        <v>6</v>
      </c>
      <c r="T231" s="157" t="s">
        <v>46</v>
      </c>
      <c r="U231" s="162" t="e">
        <f ca="1">_xlfn.XLOOKUP(PAA[[#This Row],[ITEM]],Contrato!A:A,Contrato!Q:Q,"",0)</f>
        <v>#NAME?</v>
      </c>
      <c r="V231" s="57" t="s">
        <v>47</v>
      </c>
      <c r="W231" s="57" t="s">
        <v>347</v>
      </c>
      <c r="X231" s="57" t="s">
        <v>347</v>
      </c>
      <c r="Y231" s="58" t="e">
        <f ca="1">_xlfn.XLOOKUP(PAA[[#This Row],[ITEM]],Contrato!A:A,Contrato!B:B,"",0)</f>
        <v>#NAME?</v>
      </c>
      <c r="Z231" s="57" t="e">
        <f ca="1">_xlfn.XLOOKUP(PAA[[#This Row],[ITEM]],Contrato!A:A,Contrato!G:G,"",0)</f>
        <v>#NAME?</v>
      </c>
      <c r="AA231" s="57" t="e">
        <f ca="1">_xlfn.XLOOKUP(PAA[[#This Row],[ITEM]],Contrato!A:A,Contrato!T:T,"",0)</f>
        <v>#NAME?</v>
      </c>
      <c r="AB231" s="58" t="e">
        <f ca="1">+MAX(PAA[[#This Row],[Comprometido Contrato]],)</f>
        <v>#NAME?</v>
      </c>
      <c r="AC231" s="58" t="str">
        <f t="shared" ca="1" si="45"/>
        <v/>
      </c>
      <c r="AD231" s="58" t="e">
        <f ca="1">+MAX(PAA[[#This Row],[Pago por Contrato]],)</f>
        <v>#NAME?</v>
      </c>
      <c r="AE231" s="58" t="str">
        <f t="shared" ca="1" si="46"/>
        <v/>
      </c>
      <c r="AF231" s="57" t="e">
        <f t="shared" ca="1" si="47"/>
        <v>#NAME?</v>
      </c>
      <c r="AG231" s="57">
        <f t="shared" si="48"/>
        <v>52010701</v>
      </c>
      <c r="AH231" s="57" t="e" cm="1">
        <f t="array" aca="1" ref="AH231" ca="1">_xlfn.XLOOKUP(PAA[[#This Row],[RCP-RUBRO]],COMPROMISOS_2025[[#All],[concatenado]],COMPROMISOS_2025[[#All],[Total pagado]],"",0)</f>
        <v>#NAME?</v>
      </c>
      <c r="AI231" s="57" t="e" cm="1">
        <f t="array" aca="1" ref="AI231" ca="1">_xlfn.XLOOKUP(PAA[[#This Row],[RCP-RUBRO]],COMPROMISOS_2025[[#All],[concatenado]],COMPROMISOS_2025[[#All],[Total Comprometido]],"",0)</f>
        <v>#NAME?</v>
      </c>
    </row>
    <row r="232" spans="1:35" s="50" customFormat="1" ht="42" hidden="1" customHeight="1" x14ac:dyDescent="0.25">
      <c r="A232" s="57">
        <v>162</v>
      </c>
      <c r="B232" s="186">
        <v>49221500</v>
      </c>
      <c r="C232" s="57" t="str">
        <f>VLOOKUP(PAA[[#This Row],[PROYECTO (formulado)2]],PROYECTOS!$G$1:$L$32,6,0)</f>
        <v>SUBGERENCIA DE FOMENTO Y DESARROLLO</v>
      </c>
      <c r="D232" s="57" t="str">
        <f>+IF(PAA[[#This Row],[UNIDAD DE CONTRATACION (formulado)]]="Subgerencia Administrativa y Financiera","FUNCIONAMIENTO","INVERSIÓN")</f>
        <v>INVERSIÓN</v>
      </c>
      <c r="E232" s="153" t="str">
        <f>VLOOKUP(Q232,PROYECTOS!$G$1:$K$32,5,0)</f>
        <v>Cofinanciación de dotación de implementación para el deporte la recreación y a la actividad física en el departamento de Antioquia</v>
      </c>
      <c r="F232" s="153">
        <f>VLOOKUP(E232,PROYECTOS!$K$1:$M$32,3,0)</f>
        <v>2024003050074</v>
      </c>
      <c r="G232" s="154" t="s">
        <v>348</v>
      </c>
      <c r="H232" s="154" t="str">
        <f>VLOOKUP(Q232,PROYECTOS!$V$1:$W$32,2,0)</f>
        <v>050073</v>
      </c>
      <c r="I232" s="143">
        <v>215838110</v>
      </c>
      <c r="J232" s="155" t="s">
        <v>349</v>
      </c>
      <c r="K232" s="57" t="str">
        <f t="shared" ca="1" si="42"/>
        <v>CONTRATADO</v>
      </c>
      <c r="L232" s="155" t="s">
        <v>131</v>
      </c>
      <c r="M232" s="155" t="s">
        <v>132</v>
      </c>
      <c r="N232" s="142" t="s">
        <v>354</v>
      </c>
      <c r="O232" s="155">
        <f>VLOOKUP(N232,RUBROS[#All],3,0)</f>
        <v>86</v>
      </c>
      <c r="P232" s="156" t="str">
        <f>VLOOKUP(N232,RUBROS[#All],2,0)</f>
        <v>Cofinanciación de dotación de implementación para el deporte la recreación y a la actividad física en el departamento de Antioquia -Otros bienes transportables (excepto productos metálicos, maquinaria y equipo)</v>
      </c>
      <c r="Q232" s="57" t="str">
        <f t="shared" si="43"/>
        <v>74</v>
      </c>
      <c r="R232" s="57" t="str">
        <f t="shared" si="44"/>
        <v>0-205400</v>
      </c>
      <c r="S232" s="152">
        <v>6</v>
      </c>
      <c r="T232" s="157" t="s">
        <v>46</v>
      </c>
      <c r="U232" s="162" t="e">
        <f ca="1">_xlfn.XLOOKUP(PAA[[#This Row],[ITEM]],Contrato!A:A,Contrato!Q:Q,"",0)</f>
        <v>#NAME?</v>
      </c>
      <c r="V232" s="57" t="s">
        <v>47</v>
      </c>
      <c r="W232" s="57" t="s">
        <v>347</v>
      </c>
      <c r="X232" s="57" t="s">
        <v>347</v>
      </c>
      <c r="Y232" s="58" t="e">
        <f ca="1">_xlfn.XLOOKUP(PAA[[#This Row],[ITEM]],Contrato!A:A,Contrato!B:B,"",0)</f>
        <v>#NAME?</v>
      </c>
      <c r="Z232" s="57" t="e">
        <f ca="1">_xlfn.XLOOKUP(PAA[[#This Row],[ITEM]],Contrato!A:A,Contrato!G:G,"",0)</f>
        <v>#NAME?</v>
      </c>
      <c r="AA232" s="57" t="e">
        <f ca="1">_xlfn.XLOOKUP(PAA[[#This Row],[ITEM]],Contrato!A:A,Contrato!T:T,"",0)</f>
        <v>#NAME?</v>
      </c>
      <c r="AB232" s="58" t="e">
        <f ca="1">+MAX(PAA[[#This Row],[Comprometido Contrato]],)</f>
        <v>#NAME?</v>
      </c>
      <c r="AC232" s="58" t="str">
        <f t="shared" ca="1" si="45"/>
        <v/>
      </c>
      <c r="AD232" s="58" t="e">
        <f ca="1">+MAX(PAA[[#This Row],[Pago por Contrato]],)</f>
        <v>#NAME?</v>
      </c>
      <c r="AE232" s="58" t="str">
        <f t="shared" ca="1" si="46"/>
        <v/>
      </c>
      <c r="AF232" s="57" t="e">
        <f t="shared" ca="1" si="47"/>
        <v>#NAME?</v>
      </c>
      <c r="AG232" s="57">
        <f t="shared" si="48"/>
        <v>52010701</v>
      </c>
      <c r="AH232" s="57" t="e" cm="1">
        <f t="array" aca="1" ref="AH232" ca="1">_xlfn.XLOOKUP(PAA[[#This Row],[RCP-RUBRO]],COMPROMISOS_2025[[#All],[concatenado]],COMPROMISOS_2025[[#All],[Total pagado]],"",0)</f>
        <v>#NAME?</v>
      </c>
      <c r="AI232" s="57" t="e" cm="1">
        <f t="array" aca="1" ref="AI232" ca="1">_xlfn.XLOOKUP(PAA[[#This Row],[RCP-RUBRO]],COMPROMISOS_2025[[#All],[concatenado]],COMPROMISOS_2025[[#All],[Total Comprometido]],"",0)</f>
        <v>#NAME?</v>
      </c>
    </row>
    <row r="233" spans="1:35" s="50" customFormat="1" ht="42" hidden="1" customHeight="1" x14ac:dyDescent="0.25">
      <c r="A233" s="57">
        <v>163</v>
      </c>
      <c r="B233" s="186">
        <v>49221500</v>
      </c>
      <c r="C233" s="57" t="str">
        <f>VLOOKUP(PAA[[#This Row],[PROYECTO (formulado)2]],PROYECTOS!$G$1:$L$32,6,0)</f>
        <v>SUBGERENCIA DE FOMENTO Y DESARROLLO</v>
      </c>
      <c r="D233" s="57" t="str">
        <f>+IF(PAA[[#This Row],[UNIDAD DE CONTRATACION (formulado)]]="Subgerencia Administrativa y Financiera","FUNCIONAMIENTO","INVERSIÓN")</f>
        <v>INVERSIÓN</v>
      </c>
      <c r="E233" s="153" t="str">
        <f>VLOOKUP(Q233,PROYECTOS!$G$1:$K$32,5,0)</f>
        <v>Cofinanciación de dotación de implementación para el deporte la recreación y a la actividad física en el departamento de Antioquia</v>
      </c>
      <c r="F233" s="153">
        <f>VLOOKUP(E233,PROYECTOS!$K$1:$M$32,3,0)</f>
        <v>2024003050074</v>
      </c>
      <c r="G233" s="154" t="s">
        <v>348</v>
      </c>
      <c r="H233" s="154" t="str">
        <f>VLOOKUP(Q233,PROYECTOS!$V$1:$W$32,2,0)</f>
        <v>050073</v>
      </c>
      <c r="I233" s="143">
        <v>64553877</v>
      </c>
      <c r="J233" s="155" t="s">
        <v>349</v>
      </c>
      <c r="K233" s="57" t="str">
        <f t="shared" ca="1" si="42"/>
        <v>CONTRATADO</v>
      </c>
      <c r="L233" s="155" t="s">
        <v>131</v>
      </c>
      <c r="M233" s="155" t="s">
        <v>132</v>
      </c>
      <c r="N233" s="142" t="s">
        <v>354</v>
      </c>
      <c r="O233" s="155">
        <f>VLOOKUP(N233,RUBROS[#All],3,0)</f>
        <v>86</v>
      </c>
      <c r="P233" s="156" t="str">
        <f>VLOOKUP(N233,RUBROS[#All],2,0)</f>
        <v>Cofinanciación de dotación de implementación para el deporte la recreación y a la actividad física en el departamento de Antioquia -Otros bienes transportables (excepto productos metálicos, maquinaria y equipo)</v>
      </c>
      <c r="Q233" s="57" t="str">
        <f t="shared" si="43"/>
        <v>74</v>
      </c>
      <c r="R233" s="57" t="str">
        <f t="shared" si="44"/>
        <v>0-205400</v>
      </c>
      <c r="S233" s="152">
        <v>6</v>
      </c>
      <c r="T233" s="157" t="s">
        <v>46</v>
      </c>
      <c r="U233" s="162" t="e">
        <f ca="1">_xlfn.XLOOKUP(PAA[[#This Row],[ITEM]],Contrato!A:A,Contrato!Q:Q,"",0)</f>
        <v>#NAME?</v>
      </c>
      <c r="V233" s="57" t="s">
        <v>47</v>
      </c>
      <c r="W233" s="57" t="s">
        <v>347</v>
      </c>
      <c r="X233" s="57" t="s">
        <v>347</v>
      </c>
      <c r="Y233" s="58" t="e">
        <f ca="1">_xlfn.XLOOKUP(PAA[[#This Row],[ITEM]],Contrato!A:A,Contrato!B:B,"",0)</f>
        <v>#NAME?</v>
      </c>
      <c r="Z233" s="57" t="e">
        <f ca="1">_xlfn.XLOOKUP(PAA[[#This Row],[ITEM]],Contrato!A:A,Contrato!G:G,"",0)</f>
        <v>#NAME?</v>
      </c>
      <c r="AA233" s="57" t="e">
        <f ca="1">_xlfn.XLOOKUP(PAA[[#This Row],[ITEM]],Contrato!A:A,Contrato!T:T,"",0)</f>
        <v>#NAME?</v>
      </c>
      <c r="AB233" s="58" t="e">
        <f ca="1">+MAX(PAA[[#This Row],[Comprometido Contrato]],)</f>
        <v>#NAME?</v>
      </c>
      <c r="AC233" s="58" t="str">
        <f t="shared" ca="1" si="45"/>
        <v/>
      </c>
      <c r="AD233" s="58" t="e">
        <f ca="1">+MAX(PAA[[#This Row],[Pago por Contrato]],)</f>
        <v>#NAME?</v>
      </c>
      <c r="AE233" s="58" t="str">
        <f t="shared" ca="1" si="46"/>
        <v/>
      </c>
      <c r="AF233" s="57" t="e">
        <f t="shared" ca="1" si="47"/>
        <v>#NAME?</v>
      </c>
      <c r="AG233" s="57">
        <f t="shared" si="48"/>
        <v>52010701</v>
      </c>
      <c r="AH233" s="57" t="e" cm="1">
        <f t="array" aca="1" ref="AH233" ca="1">_xlfn.XLOOKUP(PAA[[#This Row],[RCP-RUBRO]],COMPROMISOS_2025[[#All],[concatenado]],COMPROMISOS_2025[[#All],[Total pagado]],"",0)</f>
        <v>#NAME?</v>
      </c>
      <c r="AI233" s="57" t="e" cm="1">
        <f t="array" aca="1" ref="AI233" ca="1">_xlfn.XLOOKUP(PAA[[#This Row],[RCP-RUBRO]],COMPROMISOS_2025[[#All],[concatenado]],COMPROMISOS_2025[[#All],[Total Comprometido]],"",0)</f>
        <v>#NAME?</v>
      </c>
    </row>
    <row r="234" spans="1:35" s="50" customFormat="1" ht="42" hidden="1" customHeight="1" x14ac:dyDescent="0.25">
      <c r="A234" s="436">
        <v>164</v>
      </c>
      <c r="B234" s="418">
        <v>90141502</v>
      </c>
      <c r="C234" s="436" t="str">
        <f>VLOOKUP(PAA[[#This Row],[PROYECTO (formulado)2]],PROYECTOS!$G$1:$L$32,6,0)</f>
        <v>SUBGERENCIA DE ALTOS LOGROS Y DEPORTE ASOCIADO</v>
      </c>
      <c r="D234" s="436" t="str">
        <f>+IF(PAA[[#This Row],[UNIDAD DE CONTRATACION (formulado)]]="Subgerencia Administrativa y Financiera","FUNCIONAMIENTO","INVERSIÓN")</f>
        <v>INVERSIÓN</v>
      </c>
      <c r="E234" s="446" t="str">
        <f>VLOOKUP(Q234,PROYECTOS!$G$1:$K$32,5,0)</f>
        <v>Apoyo económico a las organizaciones deportivas que representan en competencias al departamento de Antioquia</v>
      </c>
      <c r="F234" s="446">
        <f>VLOOKUP(E234,PROYECTOS!$K$1:$M$32,3,0)</f>
        <v>2024003050102</v>
      </c>
      <c r="G234" s="439" t="s">
        <v>359</v>
      </c>
      <c r="H234" s="439" t="str">
        <f>VLOOKUP(Q234,PROYECTOS!$V$1:$W$32,2,0)</f>
        <v>050076</v>
      </c>
      <c r="I234" s="440">
        <v>500000000</v>
      </c>
      <c r="J234" s="442" t="s">
        <v>360</v>
      </c>
      <c r="K234" s="436" t="str">
        <f ca="1">IF(ISNONTEXT(Y234)=TRUE,"CONTRATADO","NO CONTRATADO")</f>
        <v>CONTRATADO</v>
      </c>
      <c r="L234" s="442" t="s">
        <v>112</v>
      </c>
      <c r="M234" s="442" t="s">
        <v>361</v>
      </c>
      <c r="N234" s="447" t="s">
        <v>362</v>
      </c>
      <c r="O234" s="442">
        <f>VLOOKUP(N234,RUBROS[#All],3,0)</f>
        <v>100</v>
      </c>
      <c r="P234" s="448" t="str">
        <f>VLOOKUP(N234,RUBROS[#All],2,0)</f>
        <v>Apoyo Económico A Las Organizaciones Deportivas Que Representen Competencias Al Departamento De Antioquia -Actividades De Promoción Y   Desarrollo Del Deporte</v>
      </c>
      <c r="Q234" s="436" t="str">
        <f>+MID(N234,11,2)</f>
        <v>02</v>
      </c>
      <c r="R234" s="436" t="str">
        <f>+MID(N234,14,8)</f>
        <v>0-205400</v>
      </c>
      <c r="S234" s="417">
        <v>9</v>
      </c>
      <c r="T234" s="443" t="s">
        <v>46</v>
      </c>
      <c r="U234" s="444" t="e">
        <f ca="1">_xlfn.XLOOKUP(PAA[[#This Row],[ITEM]],Contrato!A:A,Contrato!Q:Q,"",0)</f>
        <v>#NAME?</v>
      </c>
      <c r="V234" s="436" t="s">
        <v>47</v>
      </c>
      <c r="W234" s="436" t="s">
        <v>127</v>
      </c>
      <c r="X234" s="436" t="s">
        <v>127</v>
      </c>
      <c r="Y234" s="445" t="e">
        <f ca="1">_xlfn.XLOOKUP(PAA[[#This Row],[ITEM]],Contrato!A:A,Contrato!B:B,"",0)</f>
        <v>#NAME?</v>
      </c>
      <c r="Z234" s="436" t="e">
        <f ca="1">_xlfn.XLOOKUP(PAA[[#This Row],[ITEM]],Contrato!A:A,Contrato!G:G,"",0)</f>
        <v>#NAME?</v>
      </c>
      <c r="AA234" s="436" t="e">
        <f ca="1">_xlfn.XLOOKUP(PAA[[#This Row],[ITEM]],Contrato!A:A,Contrato!T:T,"",0)</f>
        <v>#NAME?</v>
      </c>
      <c r="AB234" s="445" t="e">
        <f ca="1">+MAX(PAA[[#This Row],[Comprometido Contrato]],)</f>
        <v>#NAME?</v>
      </c>
      <c r="AC234" s="445" t="str">
        <f ca="1">IFERROR(I234-AB234,"")</f>
        <v/>
      </c>
      <c r="AD234" s="445" t="e">
        <f ca="1">+MAX(PAA[[#This Row],[Pago por Contrato]],)</f>
        <v>#NAME?</v>
      </c>
      <c r="AE234" s="445" t="str">
        <f ca="1">+IFERROR(AB234-AD234,"")</f>
        <v/>
      </c>
      <c r="AF234" s="436" t="e">
        <f ca="1">+CONCATENATE(AA234,N234)</f>
        <v>#NAME?</v>
      </c>
      <c r="AG234" s="436">
        <f>IFERROR(_xlfn.NUMBERVALUE(MID(G234,1,8)),"")</f>
        <v>52010801</v>
      </c>
      <c r="AH234" s="436" t="e" cm="1">
        <f t="array" aca="1" ref="AH234" ca="1">_xlfn.XLOOKUP(PAA[[#This Row],[RCP-RUBRO]],COMPROMISOS_2025[[#All],[concatenado]],COMPROMISOS_2025[[#All],[Total pagado]],"",0)</f>
        <v>#NAME?</v>
      </c>
      <c r="AI234" s="436" t="e" cm="1">
        <f t="array" aca="1" ref="AI234" ca="1">_xlfn.XLOOKUP(PAA[[#This Row],[RCP-RUBRO]],COMPROMISOS_2025[[#All],[concatenado]],COMPROMISOS_2025[[#All],[Total Comprometido]],"",0)</f>
        <v>#NAME?</v>
      </c>
    </row>
    <row r="235" spans="1:35" s="50" customFormat="1" ht="42" hidden="1" customHeight="1" x14ac:dyDescent="0.25">
      <c r="A235" s="436">
        <v>164</v>
      </c>
      <c r="B235" s="418">
        <v>90141502</v>
      </c>
      <c r="C235" s="436" t="str">
        <f>VLOOKUP(PAA[[#This Row],[PROYECTO (formulado)2]],PROYECTOS!$G$1:$L$32,6,0)</f>
        <v>SUBGERENCIA DE ALTOS LOGROS Y DEPORTE ASOCIADO</v>
      </c>
      <c r="D235" s="436" t="str">
        <f>+IF(PAA[[#This Row],[UNIDAD DE CONTRATACION (formulado)]]="Subgerencia Administrativa y Financiera","FUNCIONAMIENTO","INVERSIÓN")</f>
        <v>INVERSIÓN</v>
      </c>
      <c r="E235" s="446" t="str">
        <f>VLOOKUP(Q235,PROYECTOS!$G$1:$K$32,5,0)</f>
        <v>Apoyo económico a las organizaciones deportivas que representan en competencias al departamento de Antioquia</v>
      </c>
      <c r="F235" s="446">
        <f>VLOOKUP(E235,PROYECTOS!$K$1:$M$32,3,0)</f>
        <v>2024003050102</v>
      </c>
      <c r="G235" s="439" t="s">
        <v>359</v>
      </c>
      <c r="H235" s="439" t="str">
        <f>VLOOKUP(Q235,PROYECTOS!$V$1:$W$32,2,0)</f>
        <v>050076</v>
      </c>
      <c r="I235" s="440">
        <v>500000000</v>
      </c>
      <c r="J235" s="442" t="s">
        <v>360</v>
      </c>
      <c r="K235" s="436" t="str">
        <f t="shared" ca="1" si="42"/>
        <v>CONTRATADO</v>
      </c>
      <c r="L235" s="436" t="s">
        <v>112</v>
      </c>
      <c r="M235" s="436" t="s">
        <v>361</v>
      </c>
      <c r="N235" s="447" t="s">
        <v>363</v>
      </c>
      <c r="O235" s="442">
        <f>VLOOKUP(N235,RUBROS[#All],3,0)</f>
        <v>57</v>
      </c>
      <c r="P235" s="448" t="str">
        <f>VLOOKUP(N235,RUBROS[#All],2,0)</f>
        <v>Apoyo económico a las organizaciones deportivas que representan en competencias al departamento de Antioquia -Actividades de promoción y desarrollo del Deporte</v>
      </c>
      <c r="Q235" s="436" t="str">
        <f t="shared" si="43"/>
        <v>02</v>
      </c>
      <c r="R235" s="436" t="str">
        <f t="shared" si="44"/>
        <v>0-205128</v>
      </c>
      <c r="S235" s="417">
        <v>9</v>
      </c>
      <c r="T235" s="449" t="s">
        <v>46</v>
      </c>
      <c r="U235" s="444" t="e">
        <f ca="1">_xlfn.XLOOKUP(PAA[[#This Row],[ITEM]],Contrato!A:A,Contrato!Q:Q,"",0)</f>
        <v>#NAME?</v>
      </c>
      <c r="V235" s="436" t="s">
        <v>47</v>
      </c>
      <c r="W235" s="436" t="s">
        <v>127</v>
      </c>
      <c r="X235" s="436" t="s">
        <v>127</v>
      </c>
      <c r="Y235" s="445" t="e">
        <f ca="1">_xlfn.XLOOKUP(PAA[[#This Row],[ITEM]],Contrato!A:A,Contrato!B:B,"",0)</f>
        <v>#NAME?</v>
      </c>
      <c r="Z235" s="436" t="e">
        <f ca="1">_xlfn.XLOOKUP(PAA[[#This Row],[ITEM]],Contrato!A:A,Contrato!G:G,"",0)</f>
        <v>#NAME?</v>
      </c>
      <c r="AA235" s="436" t="e">
        <f ca="1">_xlfn.XLOOKUP(PAA[[#This Row],[ITEM]],Contrato!A:A,Contrato!T:T,"",0)</f>
        <v>#NAME?</v>
      </c>
      <c r="AB235" s="445" t="e">
        <f ca="1">+MAX(PAA[[#This Row],[Comprometido Contrato]],)</f>
        <v>#NAME?</v>
      </c>
      <c r="AC235" s="445" t="str">
        <f t="shared" ca="1" si="45"/>
        <v/>
      </c>
      <c r="AD235" s="445" t="e">
        <f ca="1">+MAX(PAA[[#This Row],[Pago por Contrato]],)</f>
        <v>#NAME?</v>
      </c>
      <c r="AE235" s="445" t="str">
        <f t="shared" ca="1" si="46"/>
        <v/>
      </c>
      <c r="AF235" s="436" t="e">
        <f t="shared" ca="1" si="47"/>
        <v>#NAME?</v>
      </c>
      <c r="AG235" s="436">
        <f t="shared" si="48"/>
        <v>52010801</v>
      </c>
      <c r="AH235" s="436" t="e" cm="1">
        <f t="array" aca="1" ref="AH235" ca="1">_xlfn.XLOOKUP(PAA[[#This Row],[RCP-RUBRO]],COMPROMISOS_2025[[#All],[concatenado]],COMPROMISOS_2025[[#All],[Total pagado]],"",0)</f>
        <v>#NAME?</v>
      </c>
      <c r="AI235" s="436" t="e" cm="1">
        <f t="array" aca="1" ref="AI235" ca="1">_xlfn.XLOOKUP(PAA[[#This Row],[RCP-RUBRO]],COMPROMISOS_2025[[#All],[concatenado]],COMPROMISOS_2025[[#All],[Total Comprometido]],"",0)</f>
        <v>#NAME?</v>
      </c>
    </row>
    <row r="236" spans="1:35" s="50" customFormat="1" ht="42" hidden="1" customHeight="1" x14ac:dyDescent="0.25">
      <c r="A236" s="436">
        <v>165</v>
      </c>
      <c r="B236" s="418">
        <v>90141502</v>
      </c>
      <c r="C236" s="436" t="str">
        <f>VLOOKUP(PAA[[#This Row],[PROYECTO (formulado)2]],PROYECTOS!$G$1:$L$32,6,0)</f>
        <v>SUBGERENCIA DE ALTOS LOGROS Y DEPORTE ASOCIADO</v>
      </c>
      <c r="D236" s="436" t="str">
        <f>+IF(PAA[[#This Row],[UNIDAD DE CONTRATACION (formulado)]]="Subgerencia Administrativa y Financiera","FUNCIONAMIENTO","INVERSIÓN")</f>
        <v>INVERSIÓN</v>
      </c>
      <c r="E236" s="446" t="str">
        <f>VLOOKUP(Q236,PROYECTOS!$G$1:$K$32,5,0)</f>
        <v>Apoyo económico a las organizaciones deportivas que representan en competencias al departamento de Antioquia</v>
      </c>
      <c r="F236" s="446">
        <f>VLOOKUP(E236,PROYECTOS!$K$1:$M$32,3,0)</f>
        <v>2024003050102</v>
      </c>
      <c r="G236" s="439" t="s">
        <v>359</v>
      </c>
      <c r="H236" s="439" t="str">
        <f>VLOOKUP(Q236,PROYECTOS!$V$1:$W$32,2,0)</f>
        <v>050076</v>
      </c>
      <c r="I236" s="440">
        <v>200000000</v>
      </c>
      <c r="J236" s="442" t="s">
        <v>364</v>
      </c>
      <c r="K236" s="436" t="str">
        <f ca="1">IF(ISNONTEXT(Y236)=TRUE,"CONTRATADO","NO CONTRATADO")</f>
        <v>CONTRATADO</v>
      </c>
      <c r="L236" s="436" t="s">
        <v>112</v>
      </c>
      <c r="M236" s="436" t="s">
        <v>361</v>
      </c>
      <c r="N236" s="447" t="s">
        <v>362</v>
      </c>
      <c r="O236" s="442">
        <f>VLOOKUP(N236,RUBROS[#All],3,0)</f>
        <v>100</v>
      </c>
      <c r="P236" s="448" t="str">
        <f>VLOOKUP(N236,RUBROS[#All],2,0)</f>
        <v>Apoyo Económico A Las Organizaciones Deportivas Que Representen Competencias Al Departamento De Antioquia -Actividades De Promoción Y   Desarrollo Del Deporte</v>
      </c>
      <c r="Q236" s="436" t="str">
        <f>+MID(N236,11,2)</f>
        <v>02</v>
      </c>
      <c r="R236" s="436" t="str">
        <f>+MID(N236,14,8)</f>
        <v>0-205400</v>
      </c>
      <c r="S236" s="417">
        <v>9</v>
      </c>
      <c r="T236" s="443" t="s">
        <v>46</v>
      </c>
      <c r="U236" s="444" t="e">
        <f ca="1">_xlfn.XLOOKUP(PAA[[#This Row],[ITEM]],Contrato!A:A,Contrato!Q:Q,"",0)</f>
        <v>#NAME?</v>
      </c>
      <c r="V236" s="436" t="s">
        <v>47</v>
      </c>
      <c r="W236" s="436" t="s">
        <v>127</v>
      </c>
      <c r="X236" s="436" t="s">
        <v>127</v>
      </c>
      <c r="Y236" s="445" t="e">
        <f ca="1">_xlfn.XLOOKUP(PAA[[#This Row],[ITEM]],Contrato!A:A,Contrato!B:B,"",0)</f>
        <v>#NAME?</v>
      </c>
      <c r="Z236" s="436" t="e">
        <f ca="1">_xlfn.XLOOKUP(PAA[[#This Row],[ITEM]],Contrato!A:A,Contrato!G:G,"",0)</f>
        <v>#NAME?</v>
      </c>
      <c r="AA236" s="436" t="e">
        <f ca="1">_xlfn.XLOOKUP(PAA[[#This Row],[ITEM]],Contrato!A:A,Contrato!T:T,"",0)</f>
        <v>#NAME?</v>
      </c>
      <c r="AB236" s="445" t="e">
        <f ca="1">+MAX(PAA[[#This Row],[Comprometido Contrato]],)</f>
        <v>#NAME?</v>
      </c>
      <c r="AC236" s="445" t="str">
        <f ca="1">IFERROR(I236-AB236,"")</f>
        <v/>
      </c>
      <c r="AD236" s="445" t="e">
        <f ca="1">+MAX(PAA[[#This Row],[Pago por Contrato]],)</f>
        <v>#NAME?</v>
      </c>
      <c r="AE236" s="445" t="str">
        <f ca="1">+IFERROR(AB236-AD236,"")</f>
        <v/>
      </c>
      <c r="AF236" s="436" t="e">
        <f ca="1">+CONCATENATE(AA236,N236)</f>
        <v>#NAME?</v>
      </c>
      <c r="AG236" s="436">
        <f>IFERROR(_xlfn.NUMBERVALUE(MID(G236,1,8)),"")</f>
        <v>52010801</v>
      </c>
      <c r="AH236" s="436" t="e" cm="1">
        <f t="array" aca="1" ref="AH236" ca="1">_xlfn.XLOOKUP(PAA[[#This Row],[RCP-RUBRO]],COMPROMISOS_2025[[#All],[concatenado]],COMPROMISOS_2025[[#All],[Total pagado]],"",0)</f>
        <v>#NAME?</v>
      </c>
      <c r="AI236" s="436" t="e" cm="1">
        <f t="array" aca="1" ref="AI236" ca="1">_xlfn.XLOOKUP(PAA[[#This Row],[RCP-RUBRO]],COMPROMISOS_2025[[#All],[concatenado]],COMPROMISOS_2025[[#All],[Total Comprometido]],"",0)</f>
        <v>#NAME?</v>
      </c>
    </row>
    <row r="237" spans="1:35" s="50" customFormat="1" ht="42" hidden="1" customHeight="1" x14ac:dyDescent="0.25">
      <c r="A237" s="436">
        <v>165</v>
      </c>
      <c r="B237" s="418">
        <v>90141502</v>
      </c>
      <c r="C237" s="436" t="str">
        <f>VLOOKUP(PAA[[#This Row],[PROYECTO (formulado)2]],PROYECTOS!$G$1:$L$32,6,0)</f>
        <v>SUBGERENCIA DE ALTOS LOGROS Y DEPORTE ASOCIADO</v>
      </c>
      <c r="D237" s="436" t="str">
        <f>+IF(PAA[[#This Row],[UNIDAD DE CONTRATACION (formulado)]]="Subgerencia Administrativa y Financiera","FUNCIONAMIENTO","INVERSIÓN")</f>
        <v>INVERSIÓN</v>
      </c>
      <c r="E237" s="446" t="str">
        <f>VLOOKUP(Q237,PROYECTOS!$G$1:$K$32,5,0)</f>
        <v>Apoyo económico a las organizaciones deportivas que representan en competencias al departamento de Antioquia</v>
      </c>
      <c r="F237" s="446">
        <f>VLOOKUP(E237,PROYECTOS!$K$1:$M$32,3,0)</f>
        <v>2024003050102</v>
      </c>
      <c r="G237" s="439" t="s">
        <v>359</v>
      </c>
      <c r="H237" s="439" t="str">
        <f>VLOOKUP(Q237,PROYECTOS!$V$1:$W$32,2,0)</f>
        <v>050076</v>
      </c>
      <c r="I237" s="440">
        <v>100000000</v>
      </c>
      <c r="J237" s="442" t="s">
        <v>364</v>
      </c>
      <c r="K237" s="436" t="str">
        <f t="shared" ca="1" si="42"/>
        <v>CONTRATADO</v>
      </c>
      <c r="L237" s="436" t="s">
        <v>112</v>
      </c>
      <c r="M237" s="436" t="s">
        <v>361</v>
      </c>
      <c r="N237" s="447" t="s">
        <v>363</v>
      </c>
      <c r="O237" s="442">
        <f>VLOOKUP(N237,RUBROS[#All],3,0)</f>
        <v>57</v>
      </c>
      <c r="P237" s="448" t="str">
        <f>VLOOKUP(N237,RUBROS[#All],2,0)</f>
        <v>Apoyo económico a las organizaciones deportivas que representan en competencias al departamento de Antioquia -Actividades de promoción y desarrollo del Deporte</v>
      </c>
      <c r="Q237" s="436" t="str">
        <f t="shared" si="43"/>
        <v>02</v>
      </c>
      <c r="R237" s="436" t="str">
        <f t="shared" si="44"/>
        <v>0-205128</v>
      </c>
      <c r="S237" s="417">
        <v>9</v>
      </c>
      <c r="T237" s="449" t="s">
        <v>46</v>
      </c>
      <c r="U237" s="444" t="e">
        <f ca="1">_xlfn.XLOOKUP(PAA[[#This Row],[ITEM]],Contrato!A:A,Contrato!Q:Q,"",0)</f>
        <v>#NAME?</v>
      </c>
      <c r="V237" s="436" t="s">
        <v>47</v>
      </c>
      <c r="W237" s="436" t="s">
        <v>127</v>
      </c>
      <c r="X237" s="436" t="s">
        <v>127</v>
      </c>
      <c r="Y237" s="445" t="e">
        <f ca="1">_xlfn.XLOOKUP(PAA[[#This Row],[ITEM]],Contrato!A:A,Contrato!B:B,"",0)</f>
        <v>#NAME?</v>
      </c>
      <c r="Z237" s="436" t="e">
        <f ca="1">_xlfn.XLOOKUP(PAA[[#This Row],[ITEM]],Contrato!A:A,Contrato!G:G,"",0)</f>
        <v>#NAME?</v>
      </c>
      <c r="AA237" s="436" t="e">
        <f ca="1">_xlfn.XLOOKUP(PAA[[#This Row],[ITEM]],Contrato!A:A,Contrato!T:T,"",0)</f>
        <v>#NAME?</v>
      </c>
      <c r="AB237" s="445" t="e">
        <f ca="1">+MAX(PAA[[#This Row],[Comprometido Contrato]],)</f>
        <v>#NAME?</v>
      </c>
      <c r="AC237" s="445" t="str">
        <f t="shared" ca="1" si="45"/>
        <v/>
      </c>
      <c r="AD237" s="445" t="e">
        <f ca="1">+MAX(PAA[[#This Row],[Pago por Contrato]],)</f>
        <v>#NAME?</v>
      </c>
      <c r="AE237" s="445" t="str">
        <f t="shared" ca="1" si="46"/>
        <v/>
      </c>
      <c r="AF237" s="436" t="e">
        <f t="shared" ca="1" si="47"/>
        <v>#NAME?</v>
      </c>
      <c r="AG237" s="436">
        <f t="shared" si="48"/>
        <v>52010801</v>
      </c>
      <c r="AH237" s="436" t="e" cm="1">
        <f t="array" aca="1" ref="AH237" ca="1">_xlfn.XLOOKUP(PAA[[#This Row],[RCP-RUBRO]],COMPROMISOS_2025[[#All],[concatenado]],COMPROMISOS_2025[[#All],[Total pagado]],"",0)</f>
        <v>#NAME?</v>
      </c>
      <c r="AI237" s="436" t="e" cm="1">
        <f t="array" aca="1" ref="AI237" ca="1">_xlfn.XLOOKUP(PAA[[#This Row],[RCP-RUBRO]],COMPROMISOS_2025[[#All],[concatenado]],COMPROMISOS_2025[[#All],[Total Comprometido]],"",0)</f>
        <v>#NAME?</v>
      </c>
    </row>
    <row r="238" spans="1:35" s="50" customFormat="1" ht="42" hidden="1" customHeight="1" x14ac:dyDescent="0.25">
      <c r="A238" s="436">
        <v>166</v>
      </c>
      <c r="B238" s="418">
        <v>90141502</v>
      </c>
      <c r="C238" s="436" t="str">
        <f>VLOOKUP(PAA[[#This Row],[PROYECTO (formulado)2]],PROYECTOS!$G$1:$L$32,6,0)</f>
        <v>SUBGERENCIA DE ALTOS LOGROS Y DEPORTE ASOCIADO</v>
      </c>
      <c r="D238" s="436" t="str">
        <f>+IF(PAA[[#This Row],[UNIDAD DE CONTRATACION (formulado)]]="Subgerencia Administrativa y Financiera","FUNCIONAMIENTO","INVERSIÓN")</f>
        <v>INVERSIÓN</v>
      </c>
      <c r="E238" s="446" t="str">
        <f>VLOOKUP(Q238,PROYECTOS!$G$1:$K$32,5,0)</f>
        <v>Apoyo económico a las organizaciones deportivas que representan en competencias al departamento de Antioquia</v>
      </c>
      <c r="F238" s="446">
        <f>VLOOKUP(E238,PROYECTOS!$K$1:$M$32,3,0)</f>
        <v>2024003050102</v>
      </c>
      <c r="G238" s="439" t="s">
        <v>359</v>
      </c>
      <c r="H238" s="439" t="str">
        <f>VLOOKUP(Q238,PROYECTOS!$V$1:$W$32,2,0)</f>
        <v>050076</v>
      </c>
      <c r="I238" s="440">
        <v>20000000</v>
      </c>
      <c r="J238" s="442" t="s">
        <v>365</v>
      </c>
      <c r="K238" s="436" t="str">
        <f t="shared" ca="1" si="42"/>
        <v>CONTRATADO</v>
      </c>
      <c r="L238" s="436" t="s">
        <v>112</v>
      </c>
      <c r="M238" s="436" t="s">
        <v>361</v>
      </c>
      <c r="N238" s="447" t="s">
        <v>363</v>
      </c>
      <c r="O238" s="442">
        <f>VLOOKUP(N238,RUBROS[#All],3,0)</f>
        <v>57</v>
      </c>
      <c r="P238" s="448" t="str">
        <f>VLOOKUP(N238,RUBROS[#All],2,0)</f>
        <v>Apoyo económico a las organizaciones deportivas que representan en competencias al departamento de Antioquia -Actividades de promoción y desarrollo del Deporte</v>
      </c>
      <c r="Q238" s="436" t="str">
        <f t="shared" si="43"/>
        <v>02</v>
      </c>
      <c r="R238" s="436" t="str">
        <f t="shared" si="44"/>
        <v>0-205128</v>
      </c>
      <c r="S238" s="417">
        <v>8.5</v>
      </c>
      <c r="T238" s="449" t="s">
        <v>46</v>
      </c>
      <c r="U238" s="444" t="e">
        <f ca="1">_xlfn.XLOOKUP(PAA[[#This Row],[ITEM]],Contrato!A:A,Contrato!Q:Q,"",0)</f>
        <v>#NAME?</v>
      </c>
      <c r="V238" s="436" t="s">
        <v>47</v>
      </c>
      <c r="W238" s="436" t="s">
        <v>127</v>
      </c>
      <c r="X238" s="436" t="s">
        <v>133</v>
      </c>
      <c r="Y238" s="445" t="e">
        <f ca="1">_xlfn.XLOOKUP(PAA[[#This Row],[ITEM]],Contrato!A:A,Contrato!B:B,"",0)</f>
        <v>#NAME?</v>
      </c>
      <c r="Z238" s="436" t="e">
        <f ca="1">_xlfn.XLOOKUP(PAA[[#This Row],[ITEM]],Contrato!A:A,Contrato!G:G,"",0)</f>
        <v>#NAME?</v>
      </c>
      <c r="AA238" s="436" t="e">
        <f ca="1">_xlfn.XLOOKUP(PAA[[#This Row],[ITEM]],Contrato!A:A,Contrato!T:T,"",0)</f>
        <v>#NAME?</v>
      </c>
      <c r="AB238" s="445" t="e">
        <f ca="1">+MAX(PAA[[#This Row],[Comprometido Contrato]],)</f>
        <v>#NAME?</v>
      </c>
      <c r="AC238" s="445" t="str">
        <f t="shared" ca="1" si="45"/>
        <v/>
      </c>
      <c r="AD238" s="445" t="e">
        <f ca="1">+MAX(PAA[[#This Row],[Pago por Contrato]],)</f>
        <v>#NAME?</v>
      </c>
      <c r="AE238" s="445" t="str">
        <f t="shared" ca="1" si="46"/>
        <v/>
      </c>
      <c r="AF238" s="436" t="e">
        <f t="shared" ca="1" si="47"/>
        <v>#NAME?</v>
      </c>
      <c r="AG238" s="436">
        <f t="shared" si="48"/>
        <v>52010801</v>
      </c>
      <c r="AH238" s="436" t="e" cm="1">
        <f t="array" aca="1" ref="AH238" ca="1">_xlfn.XLOOKUP(PAA[[#This Row],[RCP-RUBRO]],COMPROMISOS_2025[[#All],[concatenado]],COMPROMISOS_2025[[#All],[Total pagado]],"",0)</f>
        <v>#NAME?</v>
      </c>
      <c r="AI238" s="436" t="e" cm="1">
        <f t="array" aca="1" ref="AI238" ca="1">_xlfn.XLOOKUP(PAA[[#This Row],[RCP-RUBRO]],COMPROMISOS_2025[[#All],[concatenado]],COMPROMISOS_2025[[#All],[Total Comprometido]],"",0)</f>
        <v>#NAME?</v>
      </c>
    </row>
    <row r="239" spans="1:35" s="50" customFormat="1" ht="42" hidden="1" customHeight="1" x14ac:dyDescent="0.25">
      <c r="A239" s="436">
        <v>167</v>
      </c>
      <c r="B239" s="418">
        <v>90141502</v>
      </c>
      <c r="C239" s="436" t="str">
        <f>VLOOKUP(PAA[[#This Row],[PROYECTO (formulado)2]],PROYECTOS!$G$1:$L$32,6,0)</f>
        <v>SUBGERENCIA DE ALTOS LOGROS Y DEPORTE ASOCIADO</v>
      </c>
      <c r="D239" s="436" t="str">
        <f>+IF(PAA[[#This Row],[UNIDAD DE CONTRATACION (formulado)]]="Subgerencia Administrativa y Financiera","FUNCIONAMIENTO","INVERSIÓN")</f>
        <v>INVERSIÓN</v>
      </c>
      <c r="E239" s="446" t="str">
        <f>VLOOKUP(Q239,PROYECTOS!$G$1:$K$32,5,0)</f>
        <v>Apoyo económico a las organizaciones deportivas que representan en competencias al departamento de Antioquia</v>
      </c>
      <c r="F239" s="446">
        <f>VLOOKUP(E239,PROYECTOS!$K$1:$M$32,3,0)</f>
        <v>2024003050102</v>
      </c>
      <c r="G239" s="439" t="s">
        <v>359</v>
      </c>
      <c r="H239" s="439" t="str">
        <f>VLOOKUP(Q239,PROYECTOS!$V$1:$W$32,2,0)</f>
        <v>050076</v>
      </c>
      <c r="I239" s="440">
        <v>40000000</v>
      </c>
      <c r="J239" s="442" t="s">
        <v>366</v>
      </c>
      <c r="K239" s="436" t="str">
        <f ca="1">IF(ISNONTEXT(Y239)=TRUE,"CONTRATADO","NO CONTRATADO")</f>
        <v>CONTRATADO</v>
      </c>
      <c r="L239" s="436" t="s">
        <v>112</v>
      </c>
      <c r="M239" s="436" t="s">
        <v>361</v>
      </c>
      <c r="N239" s="447" t="s">
        <v>362</v>
      </c>
      <c r="O239" s="442">
        <f>VLOOKUP(N239,RUBROS[#All],3,0)</f>
        <v>100</v>
      </c>
      <c r="P239" s="448" t="str">
        <f>VLOOKUP(N239,RUBROS[#All],2,0)</f>
        <v>Apoyo Económico A Las Organizaciones Deportivas Que Representen Competencias Al Departamento De Antioquia -Actividades De Promoción Y   Desarrollo Del Deporte</v>
      </c>
      <c r="Q239" s="436" t="str">
        <f>+MID(N239,11,2)</f>
        <v>02</v>
      </c>
      <c r="R239" s="436" t="str">
        <f>+MID(N239,14,8)</f>
        <v>0-205400</v>
      </c>
      <c r="S239" s="417">
        <v>9</v>
      </c>
      <c r="T239" s="443" t="s">
        <v>46</v>
      </c>
      <c r="U239" s="444" t="e">
        <f ca="1">_xlfn.XLOOKUP(PAA[[#This Row],[ITEM]],Contrato!A:A,Contrato!Q:Q,"",0)</f>
        <v>#NAME?</v>
      </c>
      <c r="V239" s="436" t="s">
        <v>47</v>
      </c>
      <c r="W239" s="436" t="s">
        <v>127</v>
      </c>
      <c r="X239" s="436" t="s">
        <v>127</v>
      </c>
      <c r="Y239" s="445" t="e">
        <f ca="1">_xlfn.XLOOKUP(PAA[[#This Row],[ITEM]],Contrato!A:A,Contrato!B:B,"",0)</f>
        <v>#NAME?</v>
      </c>
      <c r="Z239" s="436" t="e">
        <f ca="1">_xlfn.XLOOKUP(PAA[[#This Row],[ITEM]],Contrato!A:A,Contrato!G:G,"",0)</f>
        <v>#NAME?</v>
      </c>
      <c r="AA239" s="436" t="e">
        <f ca="1">_xlfn.XLOOKUP(PAA[[#This Row],[ITEM]],Contrato!A:A,Contrato!T:T,"",0)</f>
        <v>#NAME?</v>
      </c>
      <c r="AB239" s="445" t="e">
        <f ca="1">+MAX(PAA[[#This Row],[Comprometido Contrato]],)</f>
        <v>#NAME?</v>
      </c>
      <c r="AC239" s="445" t="str">
        <f ca="1">IFERROR(I239-AB239,"")</f>
        <v/>
      </c>
      <c r="AD239" s="445" t="e">
        <f ca="1">+MAX(PAA[[#This Row],[Pago por Contrato]],)</f>
        <v>#NAME?</v>
      </c>
      <c r="AE239" s="445" t="str">
        <f ca="1">+IFERROR(AB239-AD239,"")</f>
        <v/>
      </c>
      <c r="AF239" s="436" t="e">
        <f ca="1">+CONCATENATE(AA239,N239)</f>
        <v>#NAME?</v>
      </c>
      <c r="AG239" s="436">
        <f>IFERROR(_xlfn.NUMBERVALUE(MID(G239,1,8)),"")</f>
        <v>52010801</v>
      </c>
      <c r="AH239" s="436" t="e" cm="1">
        <f t="array" aca="1" ref="AH239" ca="1">_xlfn.XLOOKUP(PAA[[#This Row],[RCP-RUBRO]],COMPROMISOS_2025[[#All],[concatenado]],COMPROMISOS_2025[[#All],[Total pagado]],"",0)</f>
        <v>#NAME?</v>
      </c>
      <c r="AI239" s="436" t="e" cm="1">
        <f t="array" aca="1" ref="AI239" ca="1">_xlfn.XLOOKUP(PAA[[#This Row],[RCP-RUBRO]],COMPROMISOS_2025[[#All],[concatenado]],COMPROMISOS_2025[[#All],[Total Comprometido]],"",0)</f>
        <v>#NAME?</v>
      </c>
    </row>
    <row r="240" spans="1:35" s="50" customFormat="1" ht="42" hidden="1" customHeight="1" x14ac:dyDescent="0.25">
      <c r="A240" s="436">
        <v>167</v>
      </c>
      <c r="B240" s="418">
        <v>90141502</v>
      </c>
      <c r="C240" s="436" t="str">
        <f>VLOOKUP(PAA[[#This Row],[PROYECTO (formulado)2]],PROYECTOS!$G$1:$L$32,6,0)</f>
        <v>SUBGERENCIA DE ALTOS LOGROS Y DEPORTE ASOCIADO</v>
      </c>
      <c r="D240" s="436" t="str">
        <f>+IF(PAA[[#This Row],[UNIDAD DE CONTRATACION (formulado)]]="Subgerencia Administrativa y Financiera","FUNCIONAMIENTO","INVERSIÓN")</f>
        <v>INVERSIÓN</v>
      </c>
      <c r="E240" s="446" t="str">
        <f>VLOOKUP(Q240,PROYECTOS!$G$1:$K$32,5,0)</f>
        <v>Apoyo económico a las organizaciones deportivas que representan en competencias al departamento de Antioquia</v>
      </c>
      <c r="F240" s="446">
        <f>VLOOKUP(E240,PROYECTOS!$K$1:$M$32,3,0)</f>
        <v>2024003050102</v>
      </c>
      <c r="G240" s="439" t="s">
        <v>359</v>
      </c>
      <c r="H240" s="439" t="str">
        <f>VLOOKUP(Q240,PROYECTOS!$V$1:$W$32,2,0)</f>
        <v>050076</v>
      </c>
      <c r="I240" s="440">
        <v>80000000</v>
      </c>
      <c r="J240" s="442" t="s">
        <v>366</v>
      </c>
      <c r="K240" s="436" t="str">
        <f t="shared" ca="1" si="42"/>
        <v>CONTRATADO</v>
      </c>
      <c r="L240" s="436" t="s">
        <v>112</v>
      </c>
      <c r="M240" s="436" t="s">
        <v>361</v>
      </c>
      <c r="N240" s="447" t="s">
        <v>363</v>
      </c>
      <c r="O240" s="442">
        <f>VLOOKUP(N240,RUBROS[#All],3,0)</f>
        <v>57</v>
      </c>
      <c r="P240" s="448" t="str">
        <f>VLOOKUP(N240,RUBROS[#All],2,0)</f>
        <v>Apoyo económico a las organizaciones deportivas que representan en competencias al departamento de Antioquia -Actividades de promoción y desarrollo del Deporte</v>
      </c>
      <c r="Q240" s="436" t="str">
        <f t="shared" si="43"/>
        <v>02</v>
      </c>
      <c r="R240" s="436" t="str">
        <f t="shared" si="44"/>
        <v>0-205128</v>
      </c>
      <c r="S240" s="417">
        <v>9</v>
      </c>
      <c r="T240" s="449" t="s">
        <v>46</v>
      </c>
      <c r="U240" s="444" t="e">
        <f ca="1">_xlfn.XLOOKUP(PAA[[#This Row],[ITEM]],Contrato!A:A,Contrato!Q:Q,"",0)</f>
        <v>#NAME?</v>
      </c>
      <c r="V240" s="436" t="s">
        <v>47</v>
      </c>
      <c r="W240" s="436" t="s">
        <v>127</v>
      </c>
      <c r="X240" s="436" t="s">
        <v>127</v>
      </c>
      <c r="Y240" s="445" t="e">
        <f ca="1">_xlfn.XLOOKUP(PAA[[#This Row],[ITEM]],Contrato!A:A,Contrato!B:B,"",0)</f>
        <v>#NAME?</v>
      </c>
      <c r="Z240" s="436" t="e">
        <f ca="1">_xlfn.XLOOKUP(PAA[[#This Row],[ITEM]],Contrato!A:A,Contrato!G:G,"",0)</f>
        <v>#NAME?</v>
      </c>
      <c r="AA240" s="436" t="e">
        <f ca="1">_xlfn.XLOOKUP(PAA[[#This Row],[ITEM]],Contrato!A:A,Contrato!T:T,"",0)</f>
        <v>#NAME?</v>
      </c>
      <c r="AB240" s="445" t="e">
        <f ca="1">+MAX(PAA[[#This Row],[Comprometido Contrato]],)</f>
        <v>#NAME?</v>
      </c>
      <c r="AC240" s="445" t="str">
        <f t="shared" ca="1" si="45"/>
        <v/>
      </c>
      <c r="AD240" s="445" t="e">
        <f ca="1">+MAX(PAA[[#This Row],[Pago por Contrato]],)</f>
        <v>#NAME?</v>
      </c>
      <c r="AE240" s="445" t="str">
        <f t="shared" ca="1" si="46"/>
        <v/>
      </c>
      <c r="AF240" s="436" t="e">
        <f t="shared" ca="1" si="47"/>
        <v>#NAME?</v>
      </c>
      <c r="AG240" s="436">
        <f t="shared" si="48"/>
        <v>52010801</v>
      </c>
      <c r="AH240" s="436" t="e" cm="1">
        <f t="array" aca="1" ref="AH240" ca="1">_xlfn.XLOOKUP(PAA[[#This Row],[RCP-RUBRO]],COMPROMISOS_2025[[#All],[concatenado]],COMPROMISOS_2025[[#All],[Total pagado]],"",0)</f>
        <v>#NAME?</v>
      </c>
      <c r="AI240" s="436" t="e" cm="1">
        <f t="array" aca="1" ref="AI240" ca="1">_xlfn.XLOOKUP(PAA[[#This Row],[RCP-RUBRO]],COMPROMISOS_2025[[#All],[concatenado]],COMPROMISOS_2025[[#All],[Total Comprometido]],"",0)</f>
        <v>#NAME?</v>
      </c>
    </row>
    <row r="241" spans="1:35" s="50" customFormat="1" ht="42" hidden="1" customHeight="1" x14ac:dyDescent="0.25">
      <c r="A241" s="265">
        <v>168</v>
      </c>
      <c r="B241" s="255">
        <v>90141502</v>
      </c>
      <c r="C241" s="265" t="str">
        <f>VLOOKUP(PAA[[#This Row],[PROYECTO (formulado)2]],PROYECTOS!$G$1:$L$32,6,0)</f>
        <v>SUBGERENCIA DE ALTOS LOGROS Y DEPORTE ASOCIADO</v>
      </c>
      <c r="D241" s="265" t="str">
        <f>+IF(PAA[[#This Row],[UNIDAD DE CONTRATACION (formulado)]]="Subgerencia Administrativa y Financiera","FUNCIONAMIENTO","INVERSIÓN")</f>
        <v>INVERSIÓN</v>
      </c>
      <c r="E241" s="274" t="str">
        <f>VLOOKUP(Q241,PROYECTOS!$G$1:$K$32,5,0)</f>
        <v>Apoyo económico a las organizaciones deportivas que representan en competencias al departamento de Antioquia</v>
      </c>
      <c r="F241" s="274">
        <f>VLOOKUP(E241,PROYECTOS!$K$1:$M$32,3,0)</f>
        <v>2024003050102</v>
      </c>
      <c r="G241" s="266" t="s">
        <v>359</v>
      </c>
      <c r="H241" s="266" t="str">
        <f>VLOOKUP(Q241,PROYECTOS!$V$1:$W$32,2,0)</f>
        <v>050076</v>
      </c>
      <c r="I241" s="269">
        <v>120000000</v>
      </c>
      <c r="J241" s="275" t="s">
        <v>367</v>
      </c>
      <c r="K241" s="265" t="str">
        <f t="shared" ca="1" si="42"/>
        <v>CONTRATADO</v>
      </c>
      <c r="L241" s="265" t="s">
        <v>112</v>
      </c>
      <c r="M241" s="265" t="s">
        <v>361</v>
      </c>
      <c r="N241" s="276" t="s">
        <v>363</v>
      </c>
      <c r="O241" s="275">
        <f>VLOOKUP(N241,RUBROS[#All],3,0)</f>
        <v>57</v>
      </c>
      <c r="P241" s="277" t="str">
        <f>VLOOKUP(N241,RUBROS[#All],2,0)</f>
        <v>Apoyo económico a las organizaciones deportivas que representan en competencias al departamento de Antioquia -Actividades de promoción y desarrollo del Deporte</v>
      </c>
      <c r="Q241" s="265" t="str">
        <f t="shared" si="43"/>
        <v>02</v>
      </c>
      <c r="R241" s="265" t="str">
        <f t="shared" si="44"/>
        <v>0-205128</v>
      </c>
      <c r="S241" s="254">
        <v>285</v>
      </c>
      <c r="T241" s="278" t="s">
        <v>220</v>
      </c>
      <c r="U241" s="272" t="e">
        <f ca="1">_xlfn.XLOOKUP(PAA[[#This Row],[ITEM]],Contrato!A:A,Contrato!Q:Q,"",0)</f>
        <v>#NAME?</v>
      </c>
      <c r="V241" s="265" t="s">
        <v>47</v>
      </c>
      <c r="W241" s="265" t="s">
        <v>127</v>
      </c>
      <c r="X241" s="265" t="s">
        <v>127</v>
      </c>
      <c r="Y241" s="273" t="e">
        <f ca="1">_xlfn.XLOOKUP(PAA[[#This Row],[ITEM]],Contrato!A:A,Contrato!B:B,"",0)</f>
        <v>#NAME?</v>
      </c>
      <c r="Z241" s="265" t="e">
        <f ca="1">_xlfn.XLOOKUP(PAA[[#This Row],[ITEM]],Contrato!A:A,Contrato!G:G,"",0)</f>
        <v>#NAME?</v>
      </c>
      <c r="AA241" s="265" t="e">
        <f ca="1">_xlfn.XLOOKUP(PAA[[#This Row],[ITEM]],Contrato!A:A,Contrato!T:T,"",0)</f>
        <v>#NAME?</v>
      </c>
      <c r="AB241" s="273" t="e">
        <f ca="1">+MAX(PAA[[#This Row],[Comprometido Contrato]],)</f>
        <v>#NAME?</v>
      </c>
      <c r="AC241" s="273" t="str">
        <f t="shared" ca="1" si="45"/>
        <v/>
      </c>
      <c r="AD241" s="273" t="e">
        <f ca="1">+MAX(PAA[[#This Row],[Pago por Contrato]],)</f>
        <v>#NAME?</v>
      </c>
      <c r="AE241" s="273" t="str">
        <f t="shared" ca="1" si="46"/>
        <v/>
      </c>
      <c r="AF241" s="265" t="e">
        <f t="shared" ca="1" si="47"/>
        <v>#NAME?</v>
      </c>
      <c r="AG241" s="265">
        <f t="shared" si="48"/>
        <v>52010801</v>
      </c>
      <c r="AH241" s="265" t="e" cm="1">
        <f t="array" aca="1" ref="AH241" ca="1">_xlfn.XLOOKUP(PAA[[#This Row],[RCP-RUBRO]],COMPROMISOS_2025[[#All],[concatenado]],COMPROMISOS_2025[[#All],[Total pagado]],"",0)</f>
        <v>#NAME?</v>
      </c>
      <c r="AI241" s="265" t="e" cm="1">
        <f t="array" aca="1" ref="AI241" ca="1">_xlfn.XLOOKUP(PAA[[#This Row],[RCP-RUBRO]],COMPROMISOS_2025[[#All],[concatenado]],COMPROMISOS_2025[[#All],[Total Comprometido]],"",0)</f>
        <v>#NAME?</v>
      </c>
    </row>
    <row r="242" spans="1:35" s="50" customFormat="1" ht="42" hidden="1" customHeight="1" x14ac:dyDescent="0.25">
      <c r="A242" s="436">
        <v>169</v>
      </c>
      <c r="B242" s="418">
        <v>90141502</v>
      </c>
      <c r="C242" s="436" t="str">
        <f>VLOOKUP(PAA[[#This Row],[PROYECTO (formulado)2]],PROYECTOS!$G$1:$L$32,6,0)</f>
        <v>SUBGERENCIA DE ALTOS LOGROS Y DEPORTE ASOCIADO</v>
      </c>
      <c r="D242" s="436" t="str">
        <f>+IF(PAA[[#This Row],[UNIDAD DE CONTRATACION (formulado)]]="Subgerencia Administrativa y Financiera","FUNCIONAMIENTO","INVERSIÓN")</f>
        <v>INVERSIÓN</v>
      </c>
      <c r="E242" s="446" t="str">
        <f>VLOOKUP(Q242,PROYECTOS!$G$1:$K$32,5,0)</f>
        <v>Apoyo económico a las organizaciones deportivas que representan en competencias al departamento de Antioquia</v>
      </c>
      <c r="F242" s="446">
        <f>VLOOKUP(E242,PROYECTOS!$K$1:$M$32,3,0)</f>
        <v>2024003050102</v>
      </c>
      <c r="G242" s="439" t="s">
        <v>359</v>
      </c>
      <c r="H242" s="439" t="str">
        <f>VLOOKUP(Q242,PROYECTOS!$V$1:$W$32,2,0)</f>
        <v>050076</v>
      </c>
      <c r="I242" s="440">
        <v>44000000</v>
      </c>
      <c r="J242" s="442" t="s">
        <v>368</v>
      </c>
      <c r="K242" s="436" t="str">
        <f ca="1">IF(ISNONTEXT(Y242)=TRUE,"CONTRATADO","NO CONTRATADO")</f>
        <v>CONTRATADO</v>
      </c>
      <c r="L242" s="436" t="s">
        <v>112</v>
      </c>
      <c r="M242" s="436" t="s">
        <v>361</v>
      </c>
      <c r="N242" s="447" t="s">
        <v>362</v>
      </c>
      <c r="O242" s="442">
        <f>VLOOKUP(N242,RUBROS[#All],3,0)</f>
        <v>100</v>
      </c>
      <c r="P242" s="448" t="str">
        <f>VLOOKUP(N242,RUBROS[#All],2,0)</f>
        <v>Apoyo Económico A Las Organizaciones Deportivas Que Representen Competencias Al Departamento De Antioquia -Actividades De Promoción Y   Desarrollo Del Deporte</v>
      </c>
      <c r="Q242" s="436" t="str">
        <f>+MID(N242,11,2)</f>
        <v>02</v>
      </c>
      <c r="R242" s="436" t="str">
        <f>+MID(N242,14,8)</f>
        <v>0-205400</v>
      </c>
      <c r="S242" s="417">
        <v>9</v>
      </c>
      <c r="T242" s="443" t="s">
        <v>46</v>
      </c>
      <c r="U242" s="444" t="e">
        <f ca="1">_xlfn.XLOOKUP(PAA[[#This Row],[ITEM]],Contrato!A:A,Contrato!Q:Q,"",0)</f>
        <v>#NAME?</v>
      </c>
      <c r="V242" s="436" t="s">
        <v>47</v>
      </c>
      <c r="W242" s="436" t="s">
        <v>127</v>
      </c>
      <c r="X242" s="436" t="s">
        <v>127</v>
      </c>
      <c r="Y242" s="445" t="e">
        <f ca="1">_xlfn.XLOOKUP(PAA[[#This Row],[ITEM]],Contrato!A:A,Contrato!B:B,"",0)</f>
        <v>#NAME?</v>
      </c>
      <c r="Z242" s="436" t="e">
        <f ca="1">_xlfn.XLOOKUP(PAA[[#This Row],[ITEM]],Contrato!A:A,Contrato!G:G,"",0)</f>
        <v>#NAME?</v>
      </c>
      <c r="AA242" s="436" t="e">
        <f ca="1">_xlfn.XLOOKUP(PAA[[#This Row],[ITEM]],Contrato!A:A,Contrato!T:T,"",0)</f>
        <v>#NAME?</v>
      </c>
      <c r="AB242" s="445" t="e">
        <f ca="1">+MAX(PAA[[#This Row],[Comprometido Contrato]],)</f>
        <v>#NAME?</v>
      </c>
      <c r="AC242" s="445" t="str">
        <f ca="1">IFERROR(I242-AB242,"")</f>
        <v/>
      </c>
      <c r="AD242" s="445" t="e">
        <f ca="1">+MAX(PAA[[#This Row],[Pago por Contrato]],)</f>
        <v>#NAME?</v>
      </c>
      <c r="AE242" s="445" t="str">
        <f ca="1">+IFERROR(AB242-AD242,"")</f>
        <v/>
      </c>
      <c r="AF242" s="436" t="e">
        <f ca="1">+CONCATENATE(AA242,N242)</f>
        <v>#NAME?</v>
      </c>
      <c r="AG242" s="436">
        <f>IFERROR(_xlfn.NUMBERVALUE(MID(G242,1,8)),"")</f>
        <v>52010801</v>
      </c>
      <c r="AH242" s="436" t="e" cm="1">
        <f t="array" aca="1" ref="AH242" ca="1">_xlfn.XLOOKUP(PAA[[#This Row],[RCP-RUBRO]],COMPROMISOS_2025[[#All],[concatenado]],COMPROMISOS_2025[[#All],[Total pagado]],"",0)</f>
        <v>#NAME?</v>
      </c>
      <c r="AI242" s="436" t="e" cm="1">
        <f t="array" aca="1" ref="AI242" ca="1">_xlfn.XLOOKUP(PAA[[#This Row],[RCP-RUBRO]],COMPROMISOS_2025[[#All],[concatenado]],COMPROMISOS_2025[[#All],[Total Comprometido]],"",0)</f>
        <v>#NAME?</v>
      </c>
    </row>
    <row r="243" spans="1:35" s="50" customFormat="1" ht="42" hidden="1" customHeight="1" x14ac:dyDescent="0.25">
      <c r="A243" s="436">
        <v>169</v>
      </c>
      <c r="B243" s="418">
        <v>90141502</v>
      </c>
      <c r="C243" s="436" t="str">
        <f>VLOOKUP(PAA[[#This Row],[PROYECTO (formulado)2]],PROYECTOS!$G$1:$L$32,6,0)</f>
        <v>SUBGERENCIA DE ALTOS LOGROS Y DEPORTE ASOCIADO</v>
      </c>
      <c r="D243" s="436" t="str">
        <f>+IF(PAA[[#This Row],[UNIDAD DE CONTRATACION (formulado)]]="Subgerencia Administrativa y Financiera","FUNCIONAMIENTO","INVERSIÓN")</f>
        <v>INVERSIÓN</v>
      </c>
      <c r="E243" s="446" t="str">
        <f>VLOOKUP(Q243,PROYECTOS!$G$1:$K$32,5,0)</f>
        <v>Apoyo económico a las organizaciones deportivas que representan en competencias al departamento de Antioquia</v>
      </c>
      <c r="F243" s="446">
        <f>VLOOKUP(E243,PROYECTOS!$K$1:$M$32,3,0)</f>
        <v>2024003050102</v>
      </c>
      <c r="G243" s="439" t="s">
        <v>359</v>
      </c>
      <c r="H243" s="439" t="str">
        <f>VLOOKUP(Q243,PROYECTOS!$V$1:$W$32,2,0)</f>
        <v>050076</v>
      </c>
      <c r="I243" s="440">
        <v>36000000</v>
      </c>
      <c r="J243" s="442" t="s">
        <v>368</v>
      </c>
      <c r="K243" s="436" t="str">
        <f t="shared" ca="1" si="42"/>
        <v>CONTRATADO</v>
      </c>
      <c r="L243" s="436" t="s">
        <v>112</v>
      </c>
      <c r="M243" s="436" t="s">
        <v>361</v>
      </c>
      <c r="N243" s="447" t="s">
        <v>363</v>
      </c>
      <c r="O243" s="442">
        <f>VLOOKUP(N243,RUBROS[#All],3,0)</f>
        <v>57</v>
      </c>
      <c r="P243" s="448" t="str">
        <f>VLOOKUP(N243,RUBROS[#All],2,0)</f>
        <v>Apoyo económico a las organizaciones deportivas que representan en competencias al departamento de Antioquia -Actividades de promoción y desarrollo del Deporte</v>
      </c>
      <c r="Q243" s="436" t="str">
        <f t="shared" si="43"/>
        <v>02</v>
      </c>
      <c r="R243" s="436" t="str">
        <f t="shared" si="44"/>
        <v>0-205128</v>
      </c>
      <c r="S243" s="417">
        <v>9</v>
      </c>
      <c r="T243" s="449" t="s">
        <v>46</v>
      </c>
      <c r="U243" s="444" t="e">
        <f ca="1">_xlfn.XLOOKUP(PAA[[#This Row],[ITEM]],Contrato!A:A,Contrato!Q:Q,"",0)</f>
        <v>#NAME?</v>
      </c>
      <c r="V243" s="436" t="s">
        <v>47</v>
      </c>
      <c r="W243" s="436" t="s">
        <v>127</v>
      </c>
      <c r="X243" s="436" t="s">
        <v>127</v>
      </c>
      <c r="Y243" s="445" t="e">
        <f ca="1">_xlfn.XLOOKUP(PAA[[#This Row],[ITEM]],Contrato!A:A,Contrato!B:B,"",0)</f>
        <v>#NAME?</v>
      </c>
      <c r="Z243" s="436" t="e">
        <f ca="1">_xlfn.XLOOKUP(PAA[[#This Row],[ITEM]],Contrato!A:A,Contrato!G:G,"",0)</f>
        <v>#NAME?</v>
      </c>
      <c r="AA243" s="436" t="e">
        <f ca="1">_xlfn.XLOOKUP(PAA[[#This Row],[ITEM]],Contrato!A:A,Contrato!T:T,"",0)</f>
        <v>#NAME?</v>
      </c>
      <c r="AB243" s="445" t="e">
        <f ca="1">+MAX(PAA[[#This Row],[Comprometido Contrato]],)</f>
        <v>#NAME?</v>
      </c>
      <c r="AC243" s="445" t="str">
        <f t="shared" ca="1" si="45"/>
        <v/>
      </c>
      <c r="AD243" s="445" t="e">
        <f ca="1">+MAX(PAA[[#This Row],[Pago por Contrato]],)</f>
        <v>#NAME?</v>
      </c>
      <c r="AE243" s="445" t="str">
        <f t="shared" ca="1" si="46"/>
        <v/>
      </c>
      <c r="AF243" s="436" t="e">
        <f t="shared" ca="1" si="47"/>
        <v>#NAME?</v>
      </c>
      <c r="AG243" s="436">
        <f t="shared" si="48"/>
        <v>52010801</v>
      </c>
      <c r="AH243" s="436" t="e" cm="1">
        <f t="array" aca="1" ref="AH243" ca="1">_xlfn.XLOOKUP(PAA[[#This Row],[RCP-RUBRO]],COMPROMISOS_2025[[#All],[concatenado]],COMPROMISOS_2025[[#All],[Total pagado]],"",0)</f>
        <v>#NAME?</v>
      </c>
      <c r="AI243" s="436" t="e" cm="1">
        <f t="array" aca="1" ref="AI243" ca="1">_xlfn.XLOOKUP(PAA[[#This Row],[RCP-RUBRO]],COMPROMISOS_2025[[#All],[concatenado]],COMPROMISOS_2025[[#All],[Total Comprometido]],"",0)</f>
        <v>#NAME?</v>
      </c>
    </row>
    <row r="244" spans="1:35" s="50" customFormat="1" ht="42" hidden="1" customHeight="1" x14ac:dyDescent="0.25">
      <c r="A244" s="436">
        <v>170</v>
      </c>
      <c r="B244" s="418">
        <v>90141502</v>
      </c>
      <c r="C244" s="436" t="str">
        <f>VLOOKUP(PAA[[#This Row],[PROYECTO (formulado)2]],PROYECTOS!$G$1:$L$32,6,0)</f>
        <v>SUBGERENCIA DE ALTOS LOGROS Y DEPORTE ASOCIADO</v>
      </c>
      <c r="D244" s="436" t="str">
        <f>+IF(PAA[[#This Row],[UNIDAD DE CONTRATACION (formulado)]]="Subgerencia Administrativa y Financiera","FUNCIONAMIENTO","INVERSIÓN")</f>
        <v>INVERSIÓN</v>
      </c>
      <c r="E244" s="446" t="str">
        <f>VLOOKUP(Q244,PROYECTOS!$G$1:$K$32,5,0)</f>
        <v>Apoyo económico a las organizaciones deportivas que representan en competencias al departamento de Antioquia</v>
      </c>
      <c r="F244" s="446">
        <f>VLOOKUP(E244,PROYECTOS!$K$1:$M$32,3,0)</f>
        <v>2024003050102</v>
      </c>
      <c r="G244" s="439" t="s">
        <v>359</v>
      </c>
      <c r="H244" s="439" t="str">
        <f>VLOOKUP(Q244,PROYECTOS!$V$1:$W$32,2,0)</f>
        <v>050076</v>
      </c>
      <c r="I244" s="440">
        <v>140000000</v>
      </c>
      <c r="J244" s="442" t="s">
        <v>369</v>
      </c>
      <c r="K244" s="436" t="str">
        <f ca="1">IF(ISNONTEXT(Y244)=TRUE,"CONTRATADO","NO CONTRATADO")</f>
        <v>CONTRATADO</v>
      </c>
      <c r="L244" s="436" t="s">
        <v>112</v>
      </c>
      <c r="M244" s="436" t="s">
        <v>361</v>
      </c>
      <c r="N244" s="442" t="s">
        <v>362</v>
      </c>
      <c r="O244" s="442">
        <f>VLOOKUP(N244,RUBROS[#All],3,0)</f>
        <v>100</v>
      </c>
      <c r="P244" s="448" t="str">
        <f>VLOOKUP(N244,RUBROS[#All],2,0)</f>
        <v>Apoyo Económico A Las Organizaciones Deportivas Que Representen Competencias Al Departamento De Antioquia -Actividades De Promoción Y   Desarrollo Del Deporte</v>
      </c>
      <c r="Q244" s="436" t="str">
        <f>+MID(N244,11,2)</f>
        <v>02</v>
      </c>
      <c r="R244" s="436" t="str">
        <f>+MID(N244,14,8)</f>
        <v>0-205400</v>
      </c>
      <c r="S244" s="417">
        <v>9</v>
      </c>
      <c r="T244" s="443" t="s">
        <v>46</v>
      </c>
      <c r="U244" s="444" t="e">
        <f ca="1">_xlfn.XLOOKUP(PAA[[#This Row],[ITEM]],Contrato!A:A,Contrato!Q:Q,"",0)</f>
        <v>#NAME?</v>
      </c>
      <c r="V244" s="436" t="s">
        <v>47</v>
      </c>
      <c r="W244" s="436" t="s">
        <v>127</v>
      </c>
      <c r="X244" s="436" t="s">
        <v>127</v>
      </c>
      <c r="Y244" s="445" t="e">
        <f ca="1">_xlfn.XLOOKUP(PAA[[#This Row],[ITEM]],Contrato!A:A,Contrato!B:B,"",0)</f>
        <v>#NAME?</v>
      </c>
      <c r="Z244" s="436" t="e">
        <f ca="1">_xlfn.XLOOKUP(PAA[[#This Row],[ITEM]],Contrato!A:A,Contrato!G:G,"",0)</f>
        <v>#NAME?</v>
      </c>
      <c r="AA244" s="436" t="e">
        <f ca="1">_xlfn.XLOOKUP(PAA[[#This Row],[ITEM]],Contrato!A:A,Contrato!T:T,"",0)</f>
        <v>#NAME?</v>
      </c>
      <c r="AB244" s="445" t="e">
        <f ca="1">+MAX(PAA[[#This Row],[Comprometido Contrato]],)</f>
        <v>#NAME?</v>
      </c>
      <c r="AC244" s="445" t="str">
        <f ca="1">IFERROR(I244-AB244,"")</f>
        <v/>
      </c>
      <c r="AD244" s="445" t="e">
        <f ca="1">+MAX(PAA[[#This Row],[Pago por Contrato]],)</f>
        <v>#NAME?</v>
      </c>
      <c r="AE244" s="445" t="str">
        <f ca="1">+IFERROR(AB244-AD244,"")</f>
        <v/>
      </c>
      <c r="AF244" s="436" t="e">
        <f ca="1">+CONCATENATE(AA244,N244)</f>
        <v>#NAME?</v>
      </c>
      <c r="AG244" s="436">
        <f>IFERROR(_xlfn.NUMBERVALUE(MID(G244,1,8)),"")</f>
        <v>52010801</v>
      </c>
      <c r="AH244" s="436" t="e" cm="1">
        <f t="array" aca="1" ref="AH244" ca="1">_xlfn.XLOOKUP(PAA[[#This Row],[RCP-RUBRO]],COMPROMISOS_2025[[#All],[concatenado]],COMPROMISOS_2025[[#All],[Total pagado]],"",0)</f>
        <v>#NAME?</v>
      </c>
      <c r="AI244" s="436" t="e" cm="1">
        <f t="array" aca="1" ref="AI244" ca="1">_xlfn.XLOOKUP(PAA[[#This Row],[RCP-RUBRO]],COMPROMISOS_2025[[#All],[concatenado]],COMPROMISOS_2025[[#All],[Total Comprometido]],"",0)</f>
        <v>#NAME?</v>
      </c>
    </row>
    <row r="245" spans="1:35" s="50" customFormat="1" ht="42" hidden="1" customHeight="1" x14ac:dyDescent="0.25">
      <c r="A245" s="436">
        <v>170</v>
      </c>
      <c r="B245" s="418">
        <v>90141502</v>
      </c>
      <c r="C245" s="436" t="str">
        <f>VLOOKUP(PAA[[#This Row],[PROYECTO (formulado)2]],PROYECTOS!$G$1:$L$32,6,0)</f>
        <v>SUBGERENCIA DE ALTOS LOGROS Y DEPORTE ASOCIADO</v>
      </c>
      <c r="D245" s="436" t="str">
        <f>+IF(PAA[[#This Row],[UNIDAD DE CONTRATACION (formulado)]]="Subgerencia Administrativa y Financiera","FUNCIONAMIENTO","INVERSIÓN")</f>
        <v>INVERSIÓN</v>
      </c>
      <c r="E245" s="446" t="str">
        <f>VLOOKUP(Q245,PROYECTOS!$G$1:$K$32,5,0)</f>
        <v>Apoyo económico a las organizaciones deportivas que representan en competencias al departamento de Antioquia</v>
      </c>
      <c r="F245" s="446">
        <f>VLOOKUP(E245,PROYECTOS!$K$1:$M$32,3,0)</f>
        <v>2024003050102</v>
      </c>
      <c r="G245" s="439" t="s">
        <v>359</v>
      </c>
      <c r="H245" s="439" t="str">
        <f>VLOOKUP(Q245,PROYECTOS!$V$1:$W$32,2,0)</f>
        <v>050076</v>
      </c>
      <c r="I245" s="440">
        <v>60000000</v>
      </c>
      <c r="J245" s="442" t="s">
        <v>369</v>
      </c>
      <c r="K245" s="436" t="str">
        <f t="shared" ca="1" si="42"/>
        <v>CONTRATADO</v>
      </c>
      <c r="L245" s="436" t="s">
        <v>112</v>
      </c>
      <c r="M245" s="436" t="s">
        <v>361</v>
      </c>
      <c r="N245" s="447" t="s">
        <v>363</v>
      </c>
      <c r="O245" s="442">
        <f>VLOOKUP(N245,RUBROS[#All],3,0)</f>
        <v>57</v>
      </c>
      <c r="P245" s="448" t="str">
        <f>VLOOKUP(N245,RUBROS[#All],2,0)</f>
        <v>Apoyo económico a las organizaciones deportivas que representan en competencias al departamento de Antioquia -Actividades de promoción y desarrollo del Deporte</v>
      </c>
      <c r="Q245" s="436" t="str">
        <f t="shared" si="43"/>
        <v>02</v>
      </c>
      <c r="R245" s="436" t="str">
        <f t="shared" si="44"/>
        <v>0-205128</v>
      </c>
      <c r="S245" s="417">
        <v>9</v>
      </c>
      <c r="T245" s="449" t="s">
        <v>46</v>
      </c>
      <c r="U245" s="444" t="e">
        <f ca="1">_xlfn.XLOOKUP(PAA[[#This Row],[ITEM]],Contrato!A:A,Contrato!Q:Q,"",0)</f>
        <v>#NAME?</v>
      </c>
      <c r="V245" s="436" t="s">
        <v>47</v>
      </c>
      <c r="W245" s="436" t="s">
        <v>127</v>
      </c>
      <c r="X245" s="436" t="s">
        <v>127</v>
      </c>
      <c r="Y245" s="445" t="e">
        <f ca="1">_xlfn.XLOOKUP(PAA[[#This Row],[ITEM]],Contrato!A:A,Contrato!B:B,"",0)</f>
        <v>#NAME?</v>
      </c>
      <c r="Z245" s="436" t="e">
        <f ca="1">_xlfn.XLOOKUP(PAA[[#This Row],[ITEM]],Contrato!A:A,Contrato!G:G,"",0)</f>
        <v>#NAME?</v>
      </c>
      <c r="AA245" s="436" t="e">
        <f ca="1">_xlfn.XLOOKUP(PAA[[#This Row],[ITEM]],Contrato!A:A,Contrato!T:T,"",0)</f>
        <v>#NAME?</v>
      </c>
      <c r="AB245" s="445" t="e">
        <f ca="1">+MAX(PAA[[#This Row],[Comprometido Contrato]],)</f>
        <v>#NAME?</v>
      </c>
      <c r="AC245" s="445" t="str">
        <f t="shared" ca="1" si="45"/>
        <v/>
      </c>
      <c r="AD245" s="445" t="e">
        <f ca="1">+MAX(PAA[[#This Row],[Pago por Contrato]],)</f>
        <v>#NAME?</v>
      </c>
      <c r="AE245" s="445" t="str">
        <f t="shared" ca="1" si="46"/>
        <v/>
      </c>
      <c r="AF245" s="436" t="e">
        <f t="shared" ca="1" si="47"/>
        <v>#NAME?</v>
      </c>
      <c r="AG245" s="436">
        <f t="shared" si="48"/>
        <v>52010801</v>
      </c>
      <c r="AH245" s="436" t="e" cm="1">
        <f t="array" aca="1" ref="AH245" ca="1">_xlfn.XLOOKUP(PAA[[#This Row],[RCP-RUBRO]],COMPROMISOS_2025[[#All],[concatenado]],COMPROMISOS_2025[[#All],[Total pagado]],"",0)</f>
        <v>#NAME?</v>
      </c>
      <c r="AI245" s="436" t="e" cm="1">
        <f t="array" aca="1" ref="AI245" ca="1">_xlfn.XLOOKUP(PAA[[#This Row],[RCP-RUBRO]],COMPROMISOS_2025[[#All],[concatenado]],COMPROMISOS_2025[[#All],[Total Comprometido]],"",0)</f>
        <v>#NAME?</v>
      </c>
    </row>
    <row r="246" spans="1:35" s="50" customFormat="1" ht="42" hidden="1" customHeight="1" x14ac:dyDescent="0.25">
      <c r="A246" s="516">
        <v>171</v>
      </c>
      <c r="B246" s="517">
        <v>90141502</v>
      </c>
      <c r="C246" s="516" t="str">
        <f>VLOOKUP(PAA[[#This Row],[PROYECTO (formulado)2]],PROYECTOS!$G$1:$L$32,6,0)</f>
        <v>SUBGERENCIA DE ALTOS LOGROS Y DEPORTE ASOCIADO</v>
      </c>
      <c r="D246" s="516" t="str">
        <f>+IF(PAA[[#This Row],[UNIDAD DE CONTRATACION (formulado)]]="Subgerencia Administrativa y Financiera","FUNCIONAMIENTO","INVERSIÓN")</f>
        <v>INVERSIÓN</v>
      </c>
      <c r="E246" s="518" t="str">
        <f>VLOOKUP(Q246,PROYECTOS!$G$1:$K$32,5,0)</f>
        <v>Apoyo económico a las organizaciones deportivas que representan en competencias al departamento de Antioquia</v>
      </c>
      <c r="F246" s="518">
        <f>VLOOKUP(E246,PROYECTOS!$K$1:$M$32,3,0)</f>
        <v>2024003050102</v>
      </c>
      <c r="G246" s="519" t="s">
        <v>359</v>
      </c>
      <c r="H246" s="519" t="str">
        <f>VLOOKUP(Q246,PROYECTOS!$V$1:$W$32,2,0)</f>
        <v>050076</v>
      </c>
      <c r="I246" s="520">
        <v>70000000</v>
      </c>
      <c r="J246" s="521" t="s">
        <v>370</v>
      </c>
      <c r="K246" s="516" t="str">
        <f t="shared" ca="1" si="42"/>
        <v>CONTRATADO</v>
      </c>
      <c r="L246" s="516" t="s">
        <v>112</v>
      </c>
      <c r="M246" s="516" t="s">
        <v>361</v>
      </c>
      <c r="N246" s="522" t="s">
        <v>363</v>
      </c>
      <c r="O246" s="521">
        <f>VLOOKUP(N246,RUBROS[#All],3,0)</f>
        <v>57</v>
      </c>
      <c r="P246" s="523" t="str">
        <f>VLOOKUP(N246,RUBROS[#All],2,0)</f>
        <v>Apoyo económico a las organizaciones deportivas que representan en competencias al departamento de Antioquia -Actividades de promoción y desarrollo del Deporte</v>
      </c>
      <c r="Q246" s="516" t="str">
        <f t="shared" si="43"/>
        <v>02</v>
      </c>
      <c r="R246" s="516" t="str">
        <f t="shared" si="44"/>
        <v>0-205128</v>
      </c>
      <c r="S246" s="524">
        <v>220</v>
      </c>
      <c r="T246" s="525" t="s">
        <v>220</v>
      </c>
      <c r="U246" s="526" t="e">
        <f ca="1">_xlfn.XLOOKUP(PAA[[#This Row],[ITEM]],Contrato!A:A,Contrato!Q:Q,"",0)</f>
        <v>#NAME?</v>
      </c>
      <c r="V246" s="516" t="s">
        <v>47</v>
      </c>
      <c r="W246" s="516" t="s">
        <v>133</v>
      </c>
      <c r="X246" s="516" t="s">
        <v>347</v>
      </c>
      <c r="Y246" s="527" t="e">
        <f ca="1">_xlfn.XLOOKUP(PAA[[#This Row],[ITEM]],Contrato!A:A,Contrato!B:B,"",0)</f>
        <v>#NAME?</v>
      </c>
      <c r="Z246" s="516" t="e">
        <f ca="1">_xlfn.XLOOKUP(PAA[[#This Row],[ITEM]],Contrato!A:A,Contrato!G:G,"",0)</f>
        <v>#NAME?</v>
      </c>
      <c r="AA246" s="516" t="e">
        <f ca="1">_xlfn.XLOOKUP(PAA[[#This Row],[ITEM]],Contrato!A:A,Contrato!T:T,"",0)</f>
        <v>#NAME?</v>
      </c>
      <c r="AB246" s="527" t="e">
        <f ca="1">+MAX(PAA[[#This Row],[Comprometido Contrato]],)</f>
        <v>#NAME?</v>
      </c>
      <c r="AC246" s="527" t="str">
        <f t="shared" ca="1" si="45"/>
        <v/>
      </c>
      <c r="AD246" s="527" t="e">
        <f ca="1">+MAX(PAA[[#This Row],[Pago por Contrato]],)</f>
        <v>#NAME?</v>
      </c>
      <c r="AE246" s="527" t="str">
        <f t="shared" ca="1" si="46"/>
        <v/>
      </c>
      <c r="AF246" s="516" t="e">
        <f t="shared" ca="1" si="47"/>
        <v>#NAME?</v>
      </c>
      <c r="AG246" s="516">
        <f t="shared" si="48"/>
        <v>52010801</v>
      </c>
      <c r="AH246" s="516" t="e" cm="1">
        <f t="array" aca="1" ref="AH246" ca="1">_xlfn.XLOOKUP(PAA[[#This Row],[RCP-RUBRO]],COMPROMISOS_2025[[#All],[concatenado]],COMPROMISOS_2025[[#All],[Total pagado]],"",0)</f>
        <v>#NAME?</v>
      </c>
      <c r="AI246" s="516" t="e" cm="1">
        <f t="array" aca="1" ref="AI246" ca="1">_xlfn.XLOOKUP(PAA[[#This Row],[RCP-RUBRO]],COMPROMISOS_2025[[#All],[concatenado]],COMPROMISOS_2025[[#All],[Total Comprometido]],"",0)</f>
        <v>#NAME?</v>
      </c>
    </row>
    <row r="247" spans="1:35" s="50" customFormat="1" ht="42" hidden="1" customHeight="1" x14ac:dyDescent="0.25">
      <c r="A247" s="57">
        <v>172</v>
      </c>
      <c r="B247" s="186">
        <v>90141502</v>
      </c>
      <c r="C247" s="57" t="str">
        <f>VLOOKUP(PAA[[#This Row],[PROYECTO (formulado)2]],PROYECTOS!$G$1:$L$32,6,0)</f>
        <v>SUBGERENCIA DE ALTOS LOGROS Y DEPORTE ASOCIADO</v>
      </c>
      <c r="D247" s="57" t="str">
        <f>+IF(PAA[[#This Row],[UNIDAD DE CONTRATACION (formulado)]]="Subgerencia Administrativa y Financiera","FUNCIONAMIENTO","INVERSIÓN")</f>
        <v>INVERSIÓN</v>
      </c>
      <c r="E247" s="153" t="str">
        <f>VLOOKUP(Q247,PROYECTOS!$G$1:$K$32,5,0)</f>
        <v>Apoyo económico a las organizaciones deportivas que representan en competencias al departamento de Antioquia</v>
      </c>
      <c r="F247" s="153">
        <f>VLOOKUP(E247,PROYECTOS!$K$1:$M$32,3,0)</f>
        <v>2024003050102</v>
      </c>
      <c r="G247" s="154" t="s">
        <v>359</v>
      </c>
      <c r="H247" s="154" t="str">
        <f>VLOOKUP(Q247,PROYECTOS!$V$1:$W$32,2,0)</f>
        <v>050076</v>
      </c>
      <c r="I247" s="143">
        <v>10000000</v>
      </c>
      <c r="J247" s="155" t="s">
        <v>371</v>
      </c>
      <c r="K247" s="57" t="str">
        <f t="shared" ca="1" si="42"/>
        <v>CONTRATADO</v>
      </c>
      <c r="L247" s="57" t="s">
        <v>112</v>
      </c>
      <c r="M247" s="57" t="s">
        <v>361</v>
      </c>
      <c r="N247" s="142" t="s">
        <v>363</v>
      </c>
      <c r="O247" s="155">
        <f>VLOOKUP(N247,RUBROS[#All],3,0)</f>
        <v>57</v>
      </c>
      <c r="P247" s="156" t="str">
        <f>VLOOKUP(N247,RUBROS[#All],2,0)</f>
        <v>Apoyo económico a las organizaciones deportivas que representan en competencias al departamento de Antioquia -Actividades de promoción y desarrollo del Deporte</v>
      </c>
      <c r="Q247" s="57" t="str">
        <f t="shared" si="43"/>
        <v>02</v>
      </c>
      <c r="R247" s="57" t="str">
        <f t="shared" si="44"/>
        <v>0-205128</v>
      </c>
      <c r="S247" s="152">
        <v>9</v>
      </c>
      <c r="T247" s="157" t="s">
        <v>46</v>
      </c>
      <c r="U247" s="162" t="e">
        <f ca="1">_xlfn.XLOOKUP(PAA[[#This Row],[ITEM]],Contrato!A:A,Contrato!Q:Q,"",0)</f>
        <v>#NAME?</v>
      </c>
      <c r="V247" s="57" t="s">
        <v>47</v>
      </c>
      <c r="W247" s="57" t="s">
        <v>127</v>
      </c>
      <c r="X247" s="57" t="s">
        <v>127</v>
      </c>
      <c r="Y247" s="58" t="e">
        <f ca="1">_xlfn.XLOOKUP(PAA[[#This Row],[ITEM]],Contrato!A:A,Contrato!B:B,"",0)</f>
        <v>#NAME?</v>
      </c>
      <c r="Z247" s="57" t="e">
        <f ca="1">_xlfn.XLOOKUP(PAA[[#This Row],[ITEM]],Contrato!A:A,Contrato!G:G,"",0)</f>
        <v>#NAME?</v>
      </c>
      <c r="AA247" s="57" t="e">
        <f ca="1">_xlfn.XLOOKUP(PAA[[#This Row],[ITEM]],Contrato!A:A,Contrato!T:T,"",0)</f>
        <v>#NAME?</v>
      </c>
      <c r="AB247" s="58" t="e">
        <f ca="1">+MAX(PAA[[#This Row],[Comprometido Contrato]],)</f>
        <v>#NAME?</v>
      </c>
      <c r="AC247" s="58" t="str">
        <f t="shared" ca="1" si="45"/>
        <v/>
      </c>
      <c r="AD247" s="58" t="e">
        <f ca="1">+MAX(PAA[[#This Row],[Pago por Contrato]],)</f>
        <v>#NAME?</v>
      </c>
      <c r="AE247" s="58" t="str">
        <f t="shared" ca="1" si="46"/>
        <v/>
      </c>
      <c r="AF247" s="57" t="e">
        <f t="shared" ca="1" si="47"/>
        <v>#NAME?</v>
      </c>
      <c r="AG247" s="57">
        <f t="shared" si="48"/>
        <v>52010801</v>
      </c>
      <c r="AH247" s="57" t="e" cm="1">
        <f t="array" aca="1" ref="AH247" ca="1">_xlfn.XLOOKUP(PAA[[#This Row],[RCP-RUBRO]],COMPROMISOS_2025[[#All],[concatenado]],COMPROMISOS_2025[[#All],[Total pagado]],"",0)</f>
        <v>#NAME?</v>
      </c>
      <c r="AI247" s="57" t="e" cm="1">
        <f t="array" aca="1" ref="AI247" ca="1">_xlfn.XLOOKUP(PAA[[#This Row],[RCP-RUBRO]],COMPROMISOS_2025[[#All],[concatenado]],COMPROMISOS_2025[[#All],[Total Comprometido]],"",0)</f>
        <v>#NAME?</v>
      </c>
    </row>
    <row r="248" spans="1:35" s="50" customFormat="1" ht="42" hidden="1" customHeight="1" x14ac:dyDescent="0.25">
      <c r="A248" s="57">
        <v>173</v>
      </c>
      <c r="B248" s="186">
        <v>90141502</v>
      </c>
      <c r="C248" s="57" t="str">
        <f>VLOOKUP(PAA[[#This Row],[PROYECTO (formulado)2]],PROYECTOS!$G$1:$L$32,6,0)</f>
        <v>SUBGERENCIA DE ALTOS LOGROS Y DEPORTE ASOCIADO</v>
      </c>
      <c r="D248" s="57" t="str">
        <f>+IF(PAA[[#This Row],[UNIDAD DE CONTRATACION (formulado)]]="Subgerencia Administrativa y Financiera","FUNCIONAMIENTO","INVERSIÓN")</f>
        <v>INVERSIÓN</v>
      </c>
      <c r="E248" s="153" t="str">
        <f>VLOOKUP(Q248,PROYECTOS!$G$1:$K$32,5,0)</f>
        <v>Apoyo económico a las organizaciones deportivas que representan en competencias al departamento de Antioquia</v>
      </c>
      <c r="F248" s="153">
        <f>VLOOKUP(E248,PROYECTOS!$K$1:$M$32,3,0)</f>
        <v>2024003050102</v>
      </c>
      <c r="G248" s="154" t="s">
        <v>359</v>
      </c>
      <c r="H248" s="154" t="str">
        <f>VLOOKUP(Q248,PROYECTOS!$V$1:$W$32,2,0)</f>
        <v>050076</v>
      </c>
      <c r="I248" s="143">
        <v>40000000</v>
      </c>
      <c r="J248" s="155" t="s">
        <v>372</v>
      </c>
      <c r="K248" s="57" t="str">
        <f t="shared" ca="1" si="42"/>
        <v>CONTRATADO</v>
      </c>
      <c r="L248" s="57" t="s">
        <v>112</v>
      </c>
      <c r="M248" s="57" t="s">
        <v>361</v>
      </c>
      <c r="N248" s="142" t="s">
        <v>363</v>
      </c>
      <c r="O248" s="155">
        <f>VLOOKUP(N248,RUBROS[#All],3,0)</f>
        <v>57</v>
      </c>
      <c r="P248" s="156" t="str">
        <f>VLOOKUP(N248,RUBROS[#All],2,0)</f>
        <v>Apoyo económico a las organizaciones deportivas que representan en competencias al departamento de Antioquia -Actividades de promoción y desarrollo del Deporte</v>
      </c>
      <c r="Q248" s="57" t="str">
        <f t="shared" si="43"/>
        <v>02</v>
      </c>
      <c r="R248" s="57" t="str">
        <f t="shared" si="44"/>
        <v>0-205128</v>
      </c>
      <c r="S248" s="152">
        <v>9</v>
      </c>
      <c r="T248" s="157" t="s">
        <v>46</v>
      </c>
      <c r="U248" s="162" t="e">
        <f ca="1">_xlfn.XLOOKUP(PAA[[#This Row],[ITEM]],Contrato!A:A,Contrato!Q:Q,"",0)</f>
        <v>#NAME?</v>
      </c>
      <c r="V248" s="57" t="s">
        <v>47</v>
      </c>
      <c r="W248" s="57" t="s">
        <v>127</v>
      </c>
      <c r="X248" s="57" t="s">
        <v>127</v>
      </c>
      <c r="Y248" s="58" t="e">
        <f ca="1">_xlfn.XLOOKUP(PAA[[#This Row],[ITEM]],Contrato!A:A,Contrato!B:B,"",0)</f>
        <v>#NAME?</v>
      </c>
      <c r="Z248" s="57" t="e">
        <f ca="1">_xlfn.XLOOKUP(PAA[[#This Row],[ITEM]],Contrato!A:A,Contrato!G:G,"",0)</f>
        <v>#NAME?</v>
      </c>
      <c r="AA248" s="57" t="e">
        <f ca="1">_xlfn.XLOOKUP(PAA[[#This Row],[ITEM]],Contrato!A:A,Contrato!T:T,"",0)</f>
        <v>#NAME?</v>
      </c>
      <c r="AB248" s="58" t="e">
        <f ca="1">+MAX(PAA[[#This Row],[Comprometido Contrato]],)</f>
        <v>#NAME?</v>
      </c>
      <c r="AC248" s="58" t="str">
        <f t="shared" ca="1" si="45"/>
        <v/>
      </c>
      <c r="AD248" s="58" t="e">
        <f ca="1">+MAX(PAA[[#This Row],[Pago por Contrato]],)</f>
        <v>#NAME?</v>
      </c>
      <c r="AE248" s="58" t="str">
        <f t="shared" ca="1" si="46"/>
        <v/>
      </c>
      <c r="AF248" s="57" t="e">
        <f t="shared" ca="1" si="47"/>
        <v>#NAME?</v>
      </c>
      <c r="AG248" s="57">
        <f t="shared" si="48"/>
        <v>52010801</v>
      </c>
      <c r="AH248" s="57" t="e" cm="1">
        <f t="array" aca="1" ref="AH248" ca="1">_xlfn.XLOOKUP(PAA[[#This Row],[RCP-RUBRO]],COMPROMISOS_2025[[#All],[concatenado]],COMPROMISOS_2025[[#All],[Total pagado]],"",0)</f>
        <v>#NAME?</v>
      </c>
      <c r="AI248" s="57" t="e" cm="1">
        <f t="array" aca="1" ref="AI248" ca="1">_xlfn.XLOOKUP(PAA[[#This Row],[RCP-RUBRO]],COMPROMISOS_2025[[#All],[concatenado]],COMPROMISOS_2025[[#All],[Total Comprometido]],"",0)</f>
        <v>#NAME?</v>
      </c>
    </row>
    <row r="249" spans="1:35" s="50" customFormat="1" ht="42" hidden="1" customHeight="1" x14ac:dyDescent="0.25">
      <c r="A249" s="436">
        <v>174</v>
      </c>
      <c r="B249" s="418">
        <v>90141502</v>
      </c>
      <c r="C249" s="436" t="str">
        <f>VLOOKUP(PAA[[#This Row],[PROYECTO (formulado)2]],PROYECTOS!$G$1:$L$32,6,0)</f>
        <v>SUBGERENCIA DE ALTOS LOGROS Y DEPORTE ASOCIADO</v>
      </c>
      <c r="D249" s="436" t="str">
        <f>+IF(PAA[[#This Row],[UNIDAD DE CONTRATACION (formulado)]]="Subgerencia Administrativa y Financiera","FUNCIONAMIENTO","INVERSIÓN")</f>
        <v>INVERSIÓN</v>
      </c>
      <c r="E249" s="446" t="str">
        <f>VLOOKUP(Q249,PROYECTOS!$G$1:$K$32,5,0)</f>
        <v>Apoyo económico a las organizaciones deportivas que representan en competencias al departamento de Antioquia</v>
      </c>
      <c r="F249" s="446">
        <f>VLOOKUP(E249,PROYECTOS!$K$1:$M$32,3,0)</f>
        <v>2024003050102</v>
      </c>
      <c r="G249" s="439" t="s">
        <v>359</v>
      </c>
      <c r="H249" s="439" t="str">
        <f>VLOOKUP(Q249,PROYECTOS!$V$1:$W$32,2,0)</f>
        <v>050076</v>
      </c>
      <c r="I249" s="440">
        <v>100000000</v>
      </c>
      <c r="J249" s="442" t="s">
        <v>373</v>
      </c>
      <c r="K249" s="436" t="str">
        <f ca="1">IF(ISNONTEXT(Y249)=TRUE,"CONTRATADO","NO CONTRATADO")</f>
        <v>CONTRATADO</v>
      </c>
      <c r="L249" s="436" t="s">
        <v>112</v>
      </c>
      <c r="M249" s="436" t="s">
        <v>361</v>
      </c>
      <c r="N249" s="447" t="s">
        <v>362</v>
      </c>
      <c r="O249" s="442">
        <f>VLOOKUP(N249,RUBROS[#All],3,0)</f>
        <v>100</v>
      </c>
      <c r="P249" s="448" t="str">
        <f>VLOOKUP(N249,RUBROS[#All],2,0)</f>
        <v>Apoyo Económico A Las Organizaciones Deportivas Que Representen Competencias Al Departamento De Antioquia -Actividades De Promoción Y   Desarrollo Del Deporte</v>
      </c>
      <c r="Q249" s="436" t="str">
        <f>+MID(N249,11,2)</f>
        <v>02</v>
      </c>
      <c r="R249" s="436" t="str">
        <f>+MID(N249,14,8)</f>
        <v>0-205400</v>
      </c>
      <c r="S249" s="417">
        <v>9</v>
      </c>
      <c r="T249" s="443" t="s">
        <v>46</v>
      </c>
      <c r="U249" s="444" t="e">
        <f ca="1">_xlfn.XLOOKUP(PAA[[#This Row],[ITEM]],Contrato!A:A,Contrato!Q:Q,"",0)</f>
        <v>#NAME?</v>
      </c>
      <c r="V249" s="436" t="s">
        <v>47</v>
      </c>
      <c r="W249" s="436" t="s">
        <v>127</v>
      </c>
      <c r="X249" s="436" t="s">
        <v>127</v>
      </c>
      <c r="Y249" s="445" t="e">
        <f ca="1">_xlfn.XLOOKUP(PAA[[#This Row],[ITEM]],Contrato!A:A,Contrato!B:B,"",0)</f>
        <v>#NAME?</v>
      </c>
      <c r="Z249" s="436" t="e">
        <f ca="1">_xlfn.XLOOKUP(PAA[[#This Row],[ITEM]],Contrato!A:A,Contrato!G:G,"",0)</f>
        <v>#NAME?</v>
      </c>
      <c r="AA249" s="436" t="e">
        <f ca="1">_xlfn.XLOOKUP(PAA[[#This Row],[ITEM]],Contrato!A:A,Contrato!T:T,"",0)</f>
        <v>#NAME?</v>
      </c>
      <c r="AB249" s="445" t="e">
        <f ca="1">+MAX(PAA[[#This Row],[Comprometido Contrato]],)</f>
        <v>#NAME?</v>
      </c>
      <c r="AC249" s="445" t="str">
        <f ca="1">IFERROR(I249-AB249,"")</f>
        <v/>
      </c>
      <c r="AD249" s="445" t="e">
        <f ca="1">+MAX(PAA[[#This Row],[Pago por Contrato]],)</f>
        <v>#NAME?</v>
      </c>
      <c r="AE249" s="445" t="str">
        <f ca="1">+IFERROR(AB249-AD249,"")</f>
        <v/>
      </c>
      <c r="AF249" s="436" t="e">
        <f ca="1">+CONCATENATE(AA249,N249)</f>
        <v>#NAME?</v>
      </c>
      <c r="AG249" s="436">
        <f>IFERROR(_xlfn.NUMBERVALUE(MID(G249,1,8)),"")</f>
        <v>52010801</v>
      </c>
      <c r="AH249" s="436" t="e" cm="1">
        <f t="array" aca="1" ref="AH249" ca="1">_xlfn.XLOOKUP(PAA[[#This Row],[RCP-RUBRO]],COMPROMISOS_2025[[#All],[concatenado]],COMPROMISOS_2025[[#All],[Total pagado]],"",0)</f>
        <v>#NAME?</v>
      </c>
      <c r="AI249" s="436" t="e" cm="1">
        <f t="array" aca="1" ref="AI249" ca="1">_xlfn.XLOOKUP(PAA[[#This Row],[RCP-RUBRO]],COMPROMISOS_2025[[#All],[concatenado]],COMPROMISOS_2025[[#All],[Total Comprometido]],"",0)</f>
        <v>#NAME?</v>
      </c>
    </row>
    <row r="250" spans="1:35" s="50" customFormat="1" ht="42" hidden="1" customHeight="1" x14ac:dyDescent="0.25">
      <c r="A250" s="516">
        <v>174</v>
      </c>
      <c r="B250" s="517">
        <v>90141502</v>
      </c>
      <c r="C250" s="516" t="str">
        <f>VLOOKUP(PAA[[#This Row],[PROYECTO (formulado)2]],PROYECTOS!$G$1:$L$32,6,0)</f>
        <v>SUBGERENCIA DE ALTOS LOGROS Y DEPORTE ASOCIADO</v>
      </c>
      <c r="D250" s="516" t="str">
        <f>+IF(PAA[[#This Row],[UNIDAD DE CONTRATACION (formulado)]]="Subgerencia Administrativa y Financiera","FUNCIONAMIENTO","INVERSIÓN")</f>
        <v>INVERSIÓN</v>
      </c>
      <c r="E250" s="518" t="str">
        <f>VLOOKUP(Q250,PROYECTOS!$G$1:$K$32,5,0)</f>
        <v>Apoyo económico a las organizaciones deportivas que representan en competencias al departamento de Antioquia</v>
      </c>
      <c r="F250" s="518">
        <f>VLOOKUP(E250,PROYECTOS!$K$1:$M$32,3,0)</f>
        <v>2024003050102</v>
      </c>
      <c r="G250" s="519" t="s">
        <v>359</v>
      </c>
      <c r="H250" s="519" t="str">
        <f>VLOOKUP(Q250,PROYECTOS!$V$1:$W$32,2,0)</f>
        <v>050076</v>
      </c>
      <c r="I250" s="520">
        <v>100000000</v>
      </c>
      <c r="J250" s="521" t="s">
        <v>373</v>
      </c>
      <c r="K250" s="516" t="str">
        <f t="shared" ca="1" si="42"/>
        <v>CONTRATADO</v>
      </c>
      <c r="L250" s="516" t="s">
        <v>112</v>
      </c>
      <c r="M250" s="516" t="s">
        <v>361</v>
      </c>
      <c r="N250" s="522" t="s">
        <v>363</v>
      </c>
      <c r="O250" s="521">
        <f>VLOOKUP(N250,RUBROS[#All],3,0)</f>
        <v>57</v>
      </c>
      <c r="P250" s="523" t="str">
        <f>VLOOKUP(N250,RUBROS[#All],2,0)</f>
        <v>Apoyo económico a las organizaciones deportivas que representan en competencias al departamento de Antioquia -Actividades de promoción y desarrollo del Deporte</v>
      </c>
      <c r="Q250" s="516" t="str">
        <f t="shared" si="43"/>
        <v>02</v>
      </c>
      <c r="R250" s="516" t="str">
        <f t="shared" si="44"/>
        <v>0-205128</v>
      </c>
      <c r="S250" s="524">
        <v>220</v>
      </c>
      <c r="T250" s="525" t="s">
        <v>220</v>
      </c>
      <c r="U250" s="526" t="e">
        <f ca="1">_xlfn.XLOOKUP(PAA[[#This Row],[ITEM]],Contrato!A:A,Contrato!Q:Q,"",0)</f>
        <v>#NAME?</v>
      </c>
      <c r="V250" s="516" t="s">
        <v>47</v>
      </c>
      <c r="W250" s="516" t="s">
        <v>133</v>
      </c>
      <c r="X250" s="516" t="s">
        <v>347</v>
      </c>
      <c r="Y250" s="527" t="e">
        <f ca="1">_xlfn.XLOOKUP(PAA[[#This Row],[ITEM]],Contrato!A:A,Contrato!B:B,"",0)</f>
        <v>#NAME?</v>
      </c>
      <c r="Z250" s="516" t="e">
        <f ca="1">_xlfn.XLOOKUP(PAA[[#This Row],[ITEM]],Contrato!A:A,Contrato!G:G,"",0)</f>
        <v>#NAME?</v>
      </c>
      <c r="AA250" s="516" t="e">
        <f ca="1">_xlfn.XLOOKUP(PAA[[#This Row],[ITEM]],Contrato!A:A,Contrato!T:T,"",0)</f>
        <v>#NAME?</v>
      </c>
      <c r="AB250" s="527" t="e">
        <f ca="1">+MAX(PAA[[#This Row],[Comprometido Contrato]],)</f>
        <v>#NAME?</v>
      </c>
      <c r="AC250" s="527" t="str">
        <f t="shared" ca="1" si="45"/>
        <v/>
      </c>
      <c r="AD250" s="527" t="e">
        <f ca="1">+MAX(PAA[[#This Row],[Pago por Contrato]],)</f>
        <v>#NAME?</v>
      </c>
      <c r="AE250" s="527" t="str">
        <f t="shared" ca="1" si="46"/>
        <v/>
      </c>
      <c r="AF250" s="516" t="e">
        <f t="shared" ca="1" si="47"/>
        <v>#NAME?</v>
      </c>
      <c r="AG250" s="516">
        <f t="shared" si="48"/>
        <v>52010801</v>
      </c>
      <c r="AH250" s="516" t="e" cm="1">
        <f t="array" aca="1" ref="AH250" ca="1">_xlfn.XLOOKUP(PAA[[#This Row],[RCP-RUBRO]],COMPROMISOS_2025[[#All],[concatenado]],COMPROMISOS_2025[[#All],[Total pagado]],"",0)</f>
        <v>#NAME?</v>
      </c>
      <c r="AI250" s="516" t="e" cm="1">
        <f t="array" aca="1" ref="AI250" ca="1">_xlfn.XLOOKUP(PAA[[#This Row],[RCP-RUBRO]],COMPROMISOS_2025[[#All],[concatenado]],COMPROMISOS_2025[[#All],[Total Comprometido]],"",0)</f>
        <v>#NAME?</v>
      </c>
    </row>
    <row r="251" spans="1:35" s="50" customFormat="1" ht="42" hidden="1" customHeight="1" x14ac:dyDescent="0.25">
      <c r="A251" s="436">
        <v>175</v>
      </c>
      <c r="B251" s="418">
        <v>90141502</v>
      </c>
      <c r="C251" s="436" t="str">
        <f>VLOOKUP(PAA[[#This Row],[PROYECTO (formulado)2]],PROYECTOS!$G$1:$L$32,6,0)</f>
        <v>SUBGERENCIA DE ALTOS LOGROS Y DEPORTE ASOCIADO</v>
      </c>
      <c r="D251" s="436" t="str">
        <f>+IF(PAA[[#This Row],[UNIDAD DE CONTRATACION (formulado)]]="Subgerencia Administrativa y Financiera","FUNCIONAMIENTO","INVERSIÓN")</f>
        <v>INVERSIÓN</v>
      </c>
      <c r="E251" s="446" t="str">
        <f>VLOOKUP(Q251,PROYECTOS!$G$1:$K$32,5,0)</f>
        <v>Apoyo económico a las organizaciones deportivas que representan en competencias al departamento de Antioquia</v>
      </c>
      <c r="F251" s="446">
        <f>VLOOKUP(E251,PROYECTOS!$K$1:$M$32,3,0)</f>
        <v>2024003050102</v>
      </c>
      <c r="G251" s="439" t="s">
        <v>359</v>
      </c>
      <c r="H251" s="439" t="str">
        <f>VLOOKUP(Q251,PROYECTOS!$V$1:$W$32,2,0)</f>
        <v>050076</v>
      </c>
      <c r="I251" s="440">
        <v>220000000</v>
      </c>
      <c r="J251" s="442" t="s">
        <v>374</v>
      </c>
      <c r="K251" s="436" t="str">
        <f ca="1">IF(ISNONTEXT(Y251)=TRUE,"CONTRATADO","NO CONTRATADO")</f>
        <v>CONTRATADO</v>
      </c>
      <c r="L251" s="436" t="s">
        <v>112</v>
      </c>
      <c r="M251" s="436" t="s">
        <v>361</v>
      </c>
      <c r="N251" s="447" t="s">
        <v>362</v>
      </c>
      <c r="O251" s="442">
        <f>VLOOKUP(N251,RUBROS[#All],3,0)</f>
        <v>100</v>
      </c>
      <c r="P251" s="448" t="str">
        <f>VLOOKUP(N251,RUBROS[#All],2,0)</f>
        <v>Apoyo Económico A Las Organizaciones Deportivas Que Representen Competencias Al Departamento De Antioquia -Actividades De Promoción Y   Desarrollo Del Deporte</v>
      </c>
      <c r="Q251" s="436" t="str">
        <f>+MID(N251,11,2)</f>
        <v>02</v>
      </c>
      <c r="R251" s="436" t="str">
        <f>+MID(N251,14,8)</f>
        <v>0-205400</v>
      </c>
      <c r="S251" s="417">
        <v>9</v>
      </c>
      <c r="T251" s="443" t="s">
        <v>46</v>
      </c>
      <c r="U251" s="444" t="e">
        <f ca="1">_xlfn.XLOOKUP(PAA[[#This Row],[ITEM]],Contrato!A:A,Contrato!Q:Q,"",0)</f>
        <v>#NAME?</v>
      </c>
      <c r="V251" s="436" t="s">
        <v>47</v>
      </c>
      <c r="W251" s="436" t="s">
        <v>127</v>
      </c>
      <c r="X251" s="436" t="s">
        <v>127</v>
      </c>
      <c r="Y251" s="445" t="e">
        <f ca="1">_xlfn.XLOOKUP(PAA[[#This Row],[ITEM]],Contrato!A:A,Contrato!B:B,"",0)</f>
        <v>#NAME?</v>
      </c>
      <c r="Z251" s="436" t="e">
        <f ca="1">_xlfn.XLOOKUP(PAA[[#This Row],[ITEM]],Contrato!A:A,Contrato!G:G,"",0)</f>
        <v>#NAME?</v>
      </c>
      <c r="AA251" s="436" t="e">
        <f ca="1">_xlfn.XLOOKUP(PAA[[#This Row],[ITEM]],Contrato!A:A,Contrato!T:T,"",0)</f>
        <v>#NAME?</v>
      </c>
      <c r="AB251" s="445" t="e">
        <f ca="1">+MAX(PAA[[#This Row],[Comprometido Contrato]],)</f>
        <v>#NAME?</v>
      </c>
      <c r="AC251" s="445" t="str">
        <f ca="1">IFERROR(I251-AB251,"")</f>
        <v/>
      </c>
      <c r="AD251" s="445" t="e">
        <f ca="1">+MAX(PAA[[#This Row],[Pago por Contrato]],)</f>
        <v>#NAME?</v>
      </c>
      <c r="AE251" s="445" t="str">
        <f ca="1">+IFERROR(AB251-AD251,"")</f>
        <v/>
      </c>
      <c r="AF251" s="436" t="e">
        <f ca="1">+CONCATENATE(AA251,N251)</f>
        <v>#NAME?</v>
      </c>
      <c r="AG251" s="436">
        <f>IFERROR(_xlfn.NUMBERVALUE(MID(G251,1,8)),"")</f>
        <v>52010801</v>
      </c>
      <c r="AH251" s="436" t="e" cm="1">
        <f t="array" aca="1" ref="AH251" ca="1">_xlfn.XLOOKUP(PAA[[#This Row],[RCP-RUBRO]],COMPROMISOS_2025[[#All],[concatenado]],COMPROMISOS_2025[[#All],[Total pagado]],"",0)</f>
        <v>#NAME?</v>
      </c>
      <c r="AI251" s="436" t="e" cm="1">
        <f t="array" aca="1" ref="AI251" ca="1">_xlfn.XLOOKUP(PAA[[#This Row],[RCP-RUBRO]],COMPROMISOS_2025[[#All],[concatenado]],COMPROMISOS_2025[[#All],[Total Comprometido]],"",0)</f>
        <v>#NAME?</v>
      </c>
    </row>
    <row r="252" spans="1:35" s="50" customFormat="1" ht="42" hidden="1" customHeight="1" x14ac:dyDescent="0.25">
      <c r="A252" s="436">
        <v>175</v>
      </c>
      <c r="B252" s="418">
        <v>90141502</v>
      </c>
      <c r="C252" s="436" t="str">
        <f>VLOOKUP(PAA[[#This Row],[PROYECTO (formulado)2]],PROYECTOS!$G$1:$L$32,6,0)</f>
        <v>SUBGERENCIA DE ALTOS LOGROS Y DEPORTE ASOCIADO</v>
      </c>
      <c r="D252" s="436" t="str">
        <f>+IF(PAA[[#This Row],[UNIDAD DE CONTRATACION (formulado)]]="Subgerencia Administrativa y Financiera","FUNCIONAMIENTO","INVERSIÓN")</f>
        <v>INVERSIÓN</v>
      </c>
      <c r="E252" s="446" t="str">
        <f>VLOOKUP(Q252,PROYECTOS!$G$1:$K$32,5,0)</f>
        <v>Apoyo económico a las organizaciones deportivas que representan en competencias al departamento de Antioquia</v>
      </c>
      <c r="F252" s="446">
        <f>VLOOKUP(E252,PROYECTOS!$K$1:$M$32,3,0)</f>
        <v>2024003050102</v>
      </c>
      <c r="G252" s="439" t="s">
        <v>359</v>
      </c>
      <c r="H252" s="439" t="str">
        <f>VLOOKUP(Q252,PROYECTOS!$V$1:$W$32,2,0)</f>
        <v>050076</v>
      </c>
      <c r="I252" s="440">
        <v>80000000</v>
      </c>
      <c r="J252" s="442" t="s">
        <v>374</v>
      </c>
      <c r="K252" s="436" t="str">
        <f t="shared" ca="1" si="42"/>
        <v>CONTRATADO</v>
      </c>
      <c r="L252" s="436" t="s">
        <v>112</v>
      </c>
      <c r="M252" s="436" t="s">
        <v>361</v>
      </c>
      <c r="N252" s="447" t="s">
        <v>363</v>
      </c>
      <c r="O252" s="442">
        <f>VLOOKUP(N252,RUBROS[#All],3,0)</f>
        <v>57</v>
      </c>
      <c r="P252" s="448" t="str">
        <f>VLOOKUP(N252,RUBROS[#All],2,0)</f>
        <v>Apoyo económico a las organizaciones deportivas que representan en competencias al departamento de Antioquia -Actividades de promoción y desarrollo del Deporte</v>
      </c>
      <c r="Q252" s="436" t="str">
        <f t="shared" si="43"/>
        <v>02</v>
      </c>
      <c r="R252" s="436" t="str">
        <f t="shared" si="44"/>
        <v>0-205128</v>
      </c>
      <c r="S252" s="417">
        <v>9</v>
      </c>
      <c r="T252" s="449" t="s">
        <v>46</v>
      </c>
      <c r="U252" s="444" t="e">
        <f ca="1">_xlfn.XLOOKUP(PAA[[#This Row],[ITEM]],Contrato!A:A,Contrato!Q:Q,"",0)</f>
        <v>#NAME?</v>
      </c>
      <c r="V252" s="436" t="s">
        <v>47</v>
      </c>
      <c r="W252" s="436" t="s">
        <v>127</v>
      </c>
      <c r="X252" s="436" t="s">
        <v>127</v>
      </c>
      <c r="Y252" s="445" t="e">
        <f ca="1">_xlfn.XLOOKUP(PAA[[#This Row],[ITEM]],Contrato!A:A,Contrato!B:B,"",0)</f>
        <v>#NAME?</v>
      </c>
      <c r="Z252" s="436" t="e">
        <f ca="1">_xlfn.XLOOKUP(PAA[[#This Row],[ITEM]],Contrato!A:A,Contrato!G:G,"",0)</f>
        <v>#NAME?</v>
      </c>
      <c r="AA252" s="436" t="e">
        <f ca="1">_xlfn.XLOOKUP(PAA[[#This Row],[ITEM]],Contrato!A:A,Contrato!T:T,"",0)</f>
        <v>#NAME?</v>
      </c>
      <c r="AB252" s="445" t="e">
        <f ca="1">+MAX(PAA[[#This Row],[Comprometido Contrato]],)</f>
        <v>#NAME?</v>
      </c>
      <c r="AC252" s="445">
        <v>0</v>
      </c>
      <c r="AD252" s="445" t="e">
        <f ca="1">+MAX(PAA[[#This Row],[Pago por Contrato]],)</f>
        <v>#NAME?</v>
      </c>
      <c r="AE252" s="445" t="str">
        <f t="shared" ca="1" si="46"/>
        <v/>
      </c>
      <c r="AF252" s="436" t="e">
        <f t="shared" ca="1" si="47"/>
        <v>#NAME?</v>
      </c>
      <c r="AG252" s="436">
        <f t="shared" si="48"/>
        <v>52010801</v>
      </c>
      <c r="AH252" s="436" t="e" cm="1">
        <f t="array" aca="1" ref="AH252" ca="1">_xlfn.XLOOKUP(PAA[[#This Row],[RCP-RUBRO]],COMPROMISOS_2025[[#All],[concatenado]],COMPROMISOS_2025[[#All],[Total pagado]],"",0)</f>
        <v>#NAME?</v>
      </c>
      <c r="AI252" s="436" t="e" cm="1">
        <f t="array" aca="1" ref="AI252" ca="1">_xlfn.XLOOKUP(PAA[[#This Row],[RCP-RUBRO]],COMPROMISOS_2025[[#All],[concatenado]],COMPROMISOS_2025[[#All],[Total Comprometido]],"",0)</f>
        <v>#NAME?</v>
      </c>
    </row>
    <row r="253" spans="1:35" s="50" customFormat="1" ht="42" hidden="1" customHeight="1" x14ac:dyDescent="0.25">
      <c r="A253" s="476">
        <v>176</v>
      </c>
      <c r="B253" s="477">
        <v>90141502</v>
      </c>
      <c r="C253" s="476" t="str">
        <f>VLOOKUP(PAA[[#This Row],[PROYECTO (formulado)2]],PROYECTOS!$G$1:$L$32,6,0)</f>
        <v>SUBGERENCIA DE ALTOS LOGROS Y DEPORTE ASOCIADO</v>
      </c>
      <c r="D253" s="476" t="str">
        <f>+IF(PAA[[#This Row],[UNIDAD DE CONTRATACION (formulado)]]="Subgerencia Administrativa y Financiera","FUNCIONAMIENTO","INVERSIÓN")</f>
        <v>INVERSIÓN</v>
      </c>
      <c r="E253" s="478" t="str">
        <f>VLOOKUP(Q253,PROYECTOS!$G$1:$K$32,5,0)</f>
        <v>Apoyo económico a las organizaciones deportivas que representan en competencias al departamento de Antioquia</v>
      </c>
      <c r="F253" s="478">
        <f>VLOOKUP(E253,PROYECTOS!$K$1:$M$32,3,0)</f>
        <v>2024003050102</v>
      </c>
      <c r="G253" s="479" t="s">
        <v>359</v>
      </c>
      <c r="H253" s="479" t="str">
        <f>VLOOKUP(Q253,PROYECTOS!$V$1:$W$32,2,0)</f>
        <v>050076</v>
      </c>
      <c r="I253" s="480">
        <v>150000000</v>
      </c>
      <c r="J253" s="481" t="s">
        <v>375</v>
      </c>
      <c r="K253" s="476" t="str">
        <f t="shared" ca="1" si="42"/>
        <v>CONTRATADO</v>
      </c>
      <c r="L253" s="476" t="s">
        <v>112</v>
      </c>
      <c r="M253" s="476" t="s">
        <v>361</v>
      </c>
      <c r="N253" s="482" t="s">
        <v>363</v>
      </c>
      <c r="O253" s="481">
        <f>VLOOKUP(N253,RUBROS[#All],3,0)</f>
        <v>57</v>
      </c>
      <c r="P253" s="483" t="str">
        <f>VLOOKUP(N253,RUBROS[#All],2,0)</f>
        <v>Apoyo económico a las organizaciones deportivas que representan en competencias al departamento de Antioquia -Actividades de promoción y desarrollo del Deporte</v>
      </c>
      <c r="Q253" s="476" t="str">
        <f t="shared" si="43"/>
        <v>02</v>
      </c>
      <c r="R253" s="476" t="str">
        <f t="shared" si="44"/>
        <v>0-205128</v>
      </c>
      <c r="S253" s="484">
        <v>220</v>
      </c>
      <c r="T253" s="485" t="s">
        <v>220</v>
      </c>
      <c r="U253" s="486" t="e">
        <f ca="1">_xlfn.XLOOKUP(PAA[[#This Row],[ITEM]],Contrato!A:A,Contrato!Q:Q,"",0)</f>
        <v>#NAME?</v>
      </c>
      <c r="V253" s="476" t="s">
        <v>47</v>
      </c>
      <c r="W253" s="476" t="s">
        <v>133</v>
      </c>
      <c r="X253" s="476" t="s">
        <v>347</v>
      </c>
      <c r="Y253" s="487" t="e">
        <f ca="1">_xlfn.XLOOKUP(PAA[[#This Row],[ITEM]],Contrato!A:A,Contrato!B:B,"",0)</f>
        <v>#NAME?</v>
      </c>
      <c r="Z253" s="476" t="e">
        <f ca="1">_xlfn.XLOOKUP(PAA[[#This Row],[ITEM]],Contrato!A:A,Contrato!G:G,"",0)</f>
        <v>#NAME?</v>
      </c>
      <c r="AA253" s="476" t="e">
        <f ca="1">_xlfn.XLOOKUP(PAA[[#This Row],[ITEM]],Contrato!A:A,Contrato!T:T,"",0)</f>
        <v>#NAME?</v>
      </c>
      <c r="AB253" s="487" t="e">
        <f ca="1">+MAX(PAA[[#This Row],[Comprometido Contrato]],)</f>
        <v>#NAME?</v>
      </c>
      <c r="AC253" s="487" t="str">
        <f t="shared" ref="AC253:AC324" ca="1" si="49">IFERROR(I253-AB253,"")</f>
        <v/>
      </c>
      <c r="AD253" s="487" t="e">
        <f ca="1">+MAX(PAA[[#This Row],[Pago por Contrato]],)</f>
        <v>#NAME?</v>
      </c>
      <c r="AE253" s="487" t="str">
        <f t="shared" ca="1" si="46"/>
        <v/>
      </c>
      <c r="AF253" s="476" t="e">
        <f t="shared" ca="1" si="47"/>
        <v>#NAME?</v>
      </c>
      <c r="AG253" s="476">
        <f t="shared" si="48"/>
        <v>52010801</v>
      </c>
      <c r="AH253" s="476" t="e" cm="1">
        <f t="array" aca="1" ref="AH253" ca="1">_xlfn.XLOOKUP(PAA[[#This Row],[RCP-RUBRO]],COMPROMISOS_2025[[#All],[concatenado]],COMPROMISOS_2025[[#All],[Total pagado]],"",0)</f>
        <v>#NAME?</v>
      </c>
      <c r="AI253" s="476" t="e" cm="1">
        <f t="array" aca="1" ref="AI253" ca="1">_xlfn.XLOOKUP(PAA[[#This Row],[RCP-RUBRO]],COMPROMISOS_2025[[#All],[concatenado]],COMPROMISOS_2025[[#All],[Total Comprometido]],"",0)</f>
        <v>#NAME?</v>
      </c>
    </row>
    <row r="254" spans="1:35" s="50" customFormat="1" ht="42" hidden="1" customHeight="1" x14ac:dyDescent="0.25">
      <c r="A254" s="476">
        <v>177</v>
      </c>
      <c r="B254" s="477">
        <v>90141502</v>
      </c>
      <c r="C254" s="476" t="str">
        <f>VLOOKUP(PAA[[#This Row],[PROYECTO (formulado)2]],PROYECTOS!$G$1:$L$32,6,0)</f>
        <v>SUBGERENCIA DE ALTOS LOGROS Y DEPORTE ASOCIADO</v>
      </c>
      <c r="D254" s="476" t="str">
        <f>+IF(PAA[[#This Row],[UNIDAD DE CONTRATACION (formulado)]]="Subgerencia Administrativa y Financiera","FUNCIONAMIENTO","INVERSIÓN")</f>
        <v>INVERSIÓN</v>
      </c>
      <c r="E254" s="478" t="str">
        <f>VLOOKUP(Q254,PROYECTOS!$G$1:$K$32,5,0)</f>
        <v>Apoyo económico a las organizaciones deportivas que representan en competencias al departamento de Antioquia</v>
      </c>
      <c r="F254" s="478">
        <f>VLOOKUP(E254,PROYECTOS!$K$1:$M$32,3,0)</f>
        <v>2024003050102</v>
      </c>
      <c r="G254" s="479" t="s">
        <v>359</v>
      </c>
      <c r="H254" s="479" t="str">
        <f>VLOOKUP(Q254,PROYECTOS!$V$1:$W$32,2,0)</f>
        <v>050076</v>
      </c>
      <c r="I254" s="480">
        <v>5000000</v>
      </c>
      <c r="J254" s="481" t="s">
        <v>376</v>
      </c>
      <c r="K254" s="476" t="str">
        <f t="shared" ca="1" si="42"/>
        <v>CONTRATADO</v>
      </c>
      <c r="L254" s="476" t="s">
        <v>112</v>
      </c>
      <c r="M254" s="476" t="s">
        <v>361</v>
      </c>
      <c r="N254" s="482" t="s">
        <v>363</v>
      </c>
      <c r="O254" s="481">
        <f>VLOOKUP(N254,RUBROS[#All],3,0)</f>
        <v>57</v>
      </c>
      <c r="P254" s="483" t="str">
        <f>VLOOKUP(N254,RUBROS[#All],2,0)</f>
        <v>Apoyo económico a las organizaciones deportivas que representan en competencias al departamento de Antioquia -Actividades de promoción y desarrollo del Deporte</v>
      </c>
      <c r="Q254" s="476" t="str">
        <f t="shared" si="43"/>
        <v>02</v>
      </c>
      <c r="R254" s="476" t="str">
        <f t="shared" si="44"/>
        <v>0-205128</v>
      </c>
      <c r="S254" s="484" t="s">
        <v>41</v>
      </c>
      <c r="T254" s="485" t="s">
        <v>41</v>
      </c>
      <c r="U254" s="486" t="e">
        <f ca="1">_xlfn.XLOOKUP(PAA[[#This Row],[ITEM]],Contrato!A:A,Contrato!Q:Q,"",0)</f>
        <v>#NAME?</v>
      </c>
      <c r="V254" s="476" t="s">
        <v>47</v>
      </c>
      <c r="W254" s="476" t="s">
        <v>41</v>
      </c>
      <c r="X254" s="476" t="s">
        <v>41</v>
      </c>
      <c r="Y254" s="487" t="e">
        <f ca="1">_xlfn.XLOOKUP(PAA[[#This Row],[ITEM]],Contrato!A:A,Contrato!B:B,"",0)</f>
        <v>#NAME?</v>
      </c>
      <c r="Z254" s="476" t="e">
        <f ca="1">_xlfn.XLOOKUP(PAA[[#This Row],[ITEM]],Contrato!A:A,Contrato!G:G,"",0)</f>
        <v>#NAME?</v>
      </c>
      <c r="AA254" s="476" t="e">
        <f ca="1">_xlfn.XLOOKUP(PAA[[#This Row],[ITEM]],Contrato!A:A,Contrato!T:T,"",0)</f>
        <v>#NAME?</v>
      </c>
      <c r="AB254" s="487" t="e">
        <f ca="1">+MAX(PAA[[#This Row],[Comprometido Contrato]],)</f>
        <v>#NAME?</v>
      </c>
      <c r="AC254" s="487" t="str">
        <f t="shared" ca="1" si="49"/>
        <v/>
      </c>
      <c r="AD254" s="487" t="e">
        <f ca="1">+MAX(PAA[[#This Row],[Pago por Contrato]],)</f>
        <v>#NAME?</v>
      </c>
      <c r="AE254" s="487" t="str">
        <f t="shared" ca="1" si="46"/>
        <v/>
      </c>
      <c r="AF254" s="476" t="e">
        <f t="shared" ca="1" si="47"/>
        <v>#NAME?</v>
      </c>
      <c r="AG254" s="476">
        <f t="shared" si="48"/>
        <v>52010801</v>
      </c>
      <c r="AH254" s="476" t="e" cm="1">
        <f t="array" aca="1" ref="AH254" ca="1">_xlfn.XLOOKUP(PAA[[#This Row],[RCP-RUBRO]],COMPROMISOS_2025[[#All],[concatenado]],COMPROMISOS_2025[[#All],[Total pagado]],"",0)</f>
        <v>#NAME?</v>
      </c>
      <c r="AI254" s="476" t="e" cm="1">
        <f t="array" aca="1" ref="AI254" ca="1">_xlfn.XLOOKUP(PAA[[#This Row],[RCP-RUBRO]],COMPROMISOS_2025[[#All],[concatenado]],COMPROMISOS_2025[[#All],[Total Comprometido]],"",0)</f>
        <v>#NAME?</v>
      </c>
    </row>
    <row r="255" spans="1:35" s="50" customFormat="1" ht="42" hidden="1" customHeight="1" x14ac:dyDescent="0.25">
      <c r="A255" s="436">
        <v>178</v>
      </c>
      <c r="B255" s="418">
        <v>90141502</v>
      </c>
      <c r="C255" s="436" t="str">
        <f>VLOOKUP(PAA[[#This Row],[PROYECTO (formulado)2]],PROYECTOS!$G$1:$L$32,6,0)</f>
        <v>SUBGERENCIA DE ALTOS LOGROS Y DEPORTE ASOCIADO</v>
      </c>
      <c r="D255" s="436" t="str">
        <f>+IF(PAA[[#This Row],[UNIDAD DE CONTRATACION (formulado)]]="Subgerencia Administrativa y Financiera","FUNCIONAMIENTO","INVERSIÓN")</f>
        <v>INVERSIÓN</v>
      </c>
      <c r="E255" s="446" t="str">
        <f>VLOOKUP(Q255,PROYECTOS!$G$1:$K$32,5,0)</f>
        <v>Apoyo económico a las organizaciones deportivas que representan en competencias al departamento de Antioquia</v>
      </c>
      <c r="F255" s="446">
        <f>VLOOKUP(E255,PROYECTOS!$K$1:$M$32,3,0)</f>
        <v>2024003050102</v>
      </c>
      <c r="G255" s="439" t="s">
        <v>359</v>
      </c>
      <c r="H255" s="439" t="str">
        <f>VLOOKUP(Q255,PROYECTOS!$V$1:$W$32,2,0)</f>
        <v>050076</v>
      </c>
      <c r="I255" s="440">
        <v>15889526</v>
      </c>
      <c r="J255" s="442" t="s">
        <v>377</v>
      </c>
      <c r="K255" s="436" t="str">
        <f ca="1">IF(ISNONTEXT(Y255)=TRUE,"CONTRATADO","NO CONTRATADO")</f>
        <v>CONTRATADO</v>
      </c>
      <c r="L255" s="436" t="s">
        <v>112</v>
      </c>
      <c r="M255" s="436" t="s">
        <v>361</v>
      </c>
      <c r="N255" s="447" t="s">
        <v>362</v>
      </c>
      <c r="O255" s="442">
        <f>VLOOKUP(N255,RUBROS[#All],3,0)</f>
        <v>100</v>
      </c>
      <c r="P255" s="448" t="str">
        <f>VLOOKUP(N255,RUBROS[#All],2,0)</f>
        <v>Apoyo Económico A Las Organizaciones Deportivas Que Representen Competencias Al Departamento De Antioquia -Actividades De Promoción Y   Desarrollo Del Deporte</v>
      </c>
      <c r="Q255" s="436" t="str">
        <f>+MID(N255,11,2)</f>
        <v>02</v>
      </c>
      <c r="R255" s="436" t="str">
        <f>+MID(N255,14,8)</f>
        <v>0-205400</v>
      </c>
      <c r="S255" s="417">
        <v>9</v>
      </c>
      <c r="T255" s="443" t="s">
        <v>46</v>
      </c>
      <c r="U255" s="444" t="e">
        <f ca="1">_xlfn.XLOOKUP(PAA[[#This Row],[ITEM]],Contrato!A:A,Contrato!Q:Q,"",0)</f>
        <v>#NAME?</v>
      </c>
      <c r="V255" s="436" t="s">
        <v>47</v>
      </c>
      <c r="W255" s="436" t="s">
        <v>127</v>
      </c>
      <c r="X255" s="436" t="s">
        <v>127</v>
      </c>
      <c r="Y255" s="445" t="e">
        <f ca="1">_xlfn.XLOOKUP(PAA[[#This Row],[ITEM]],Contrato!A:A,Contrato!B:B,"",0)</f>
        <v>#NAME?</v>
      </c>
      <c r="Z255" s="436" t="e">
        <f ca="1">_xlfn.XLOOKUP(PAA[[#This Row],[ITEM]],Contrato!A:A,Contrato!G:G,"",0)</f>
        <v>#NAME?</v>
      </c>
      <c r="AA255" s="436" t="e">
        <f ca="1">_xlfn.XLOOKUP(PAA[[#This Row],[ITEM]],Contrato!A:A,Contrato!T:T,"",0)</f>
        <v>#NAME?</v>
      </c>
      <c r="AB255" s="445" t="e">
        <f ca="1">+MAX(PAA[[#This Row],[Comprometido Contrato]],)</f>
        <v>#NAME?</v>
      </c>
      <c r="AC255" s="445" t="str">
        <f ca="1">IFERROR(I255-AB255,"")</f>
        <v/>
      </c>
      <c r="AD255" s="445" t="e">
        <f ca="1">+MAX(PAA[[#This Row],[Pago por Contrato]],)</f>
        <v>#NAME?</v>
      </c>
      <c r="AE255" s="445" t="str">
        <f ca="1">+IFERROR(AB255-AD255,"")</f>
        <v/>
      </c>
      <c r="AF255" s="436" t="e">
        <f ca="1">+CONCATENATE(AA255,N255)</f>
        <v>#NAME?</v>
      </c>
      <c r="AG255" s="436">
        <f>IFERROR(_xlfn.NUMBERVALUE(MID(G255,1,8)),"")</f>
        <v>52010801</v>
      </c>
      <c r="AH255" s="436" t="e" cm="1">
        <f t="array" aca="1" ref="AH255" ca="1">_xlfn.XLOOKUP(PAA[[#This Row],[RCP-RUBRO]],COMPROMISOS_2025[[#All],[concatenado]],COMPROMISOS_2025[[#All],[Total pagado]],"",0)</f>
        <v>#NAME?</v>
      </c>
      <c r="AI255" s="436" t="e" cm="1">
        <f t="array" aca="1" ref="AI255" ca="1">_xlfn.XLOOKUP(PAA[[#This Row],[RCP-RUBRO]],COMPROMISOS_2025[[#All],[concatenado]],COMPROMISOS_2025[[#All],[Total Comprometido]],"",0)</f>
        <v>#NAME?</v>
      </c>
    </row>
    <row r="256" spans="1:35" s="50" customFormat="1" ht="42" hidden="1" customHeight="1" x14ac:dyDescent="0.25">
      <c r="A256" s="516">
        <v>178</v>
      </c>
      <c r="B256" s="517">
        <v>90141502</v>
      </c>
      <c r="C256" s="516" t="str">
        <f>VLOOKUP(PAA[[#This Row],[PROYECTO (formulado)2]],PROYECTOS!$G$1:$L$32,6,0)</f>
        <v>SUBGERENCIA DE ALTOS LOGROS Y DEPORTE ASOCIADO</v>
      </c>
      <c r="D256" s="516" t="str">
        <f>+IF(PAA[[#This Row],[UNIDAD DE CONTRATACION (formulado)]]="Subgerencia Administrativa y Financiera","FUNCIONAMIENTO","INVERSIÓN")</f>
        <v>INVERSIÓN</v>
      </c>
      <c r="E256" s="518" t="str">
        <f>VLOOKUP(Q256,PROYECTOS!$G$1:$K$32,5,0)</f>
        <v>Apoyo económico a las organizaciones deportivas que representan en competencias al departamento de Antioquia</v>
      </c>
      <c r="F256" s="518">
        <f>VLOOKUP(E256,PROYECTOS!$K$1:$M$32,3,0)</f>
        <v>2024003050102</v>
      </c>
      <c r="G256" s="519" t="s">
        <v>359</v>
      </c>
      <c r="H256" s="519" t="str">
        <f>VLOOKUP(Q256,PROYECTOS!$V$1:$W$32,2,0)</f>
        <v>050076</v>
      </c>
      <c r="I256" s="520">
        <v>10000000</v>
      </c>
      <c r="J256" s="521" t="s">
        <v>377</v>
      </c>
      <c r="K256" s="516" t="str">
        <f t="shared" ca="1" si="42"/>
        <v>CONTRATADO</v>
      </c>
      <c r="L256" s="516" t="s">
        <v>112</v>
      </c>
      <c r="M256" s="516" t="s">
        <v>361</v>
      </c>
      <c r="N256" s="522" t="s">
        <v>363</v>
      </c>
      <c r="O256" s="521">
        <f>VLOOKUP(N256,RUBROS[#All],3,0)</f>
        <v>57</v>
      </c>
      <c r="P256" s="523" t="str">
        <f>VLOOKUP(N256,RUBROS[#All],2,0)</f>
        <v>Apoyo económico a las organizaciones deportivas que representan en competencias al departamento de Antioquia -Actividades de promoción y desarrollo del Deporte</v>
      </c>
      <c r="Q256" s="516" t="str">
        <f t="shared" si="43"/>
        <v>02</v>
      </c>
      <c r="R256" s="516" t="str">
        <f t="shared" si="44"/>
        <v>0-205128</v>
      </c>
      <c r="S256" s="524" t="s">
        <v>41</v>
      </c>
      <c r="T256" s="525" t="s">
        <v>41</v>
      </c>
      <c r="U256" s="526" t="e">
        <f ca="1">_xlfn.XLOOKUP(PAA[[#This Row],[ITEM]],Contrato!A:A,Contrato!Q:Q,"",0)</f>
        <v>#NAME?</v>
      </c>
      <c r="V256" s="516" t="s">
        <v>47</v>
      </c>
      <c r="W256" s="516" t="s">
        <v>41</v>
      </c>
      <c r="X256" s="516" t="s">
        <v>41</v>
      </c>
      <c r="Y256" s="527" t="e">
        <f ca="1">_xlfn.XLOOKUP(PAA[[#This Row],[ITEM]],Contrato!A:A,Contrato!B:B,"",0)</f>
        <v>#NAME?</v>
      </c>
      <c r="Z256" s="516" t="e">
        <f ca="1">_xlfn.XLOOKUP(PAA[[#This Row],[ITEM]],Contrato!A:A,Contrato!G:G,"",0)</f>
        <v>#NAME?</v>
      </c>
      <c r="AA256" s="516" t="e">
        <f ca="1">_xlfn.XLOOKUP(PAA[[#This Row],[ITEM]],Contrato!A:A,Contrato!T:T,"",0)</f>
        <v>#NAME?</v>
      </c>
      <c r="AB256" s="527" t="e">
        <f ca="1">+MAX(PAA[[#This Row],[Comprometido Contrato]],)</f>
        <v>#NAME?</v>
      </c>
      <c r="AC256" s="527" t="str">
        <f t="shared" ca="1" si="49"/>
        <v/>
      </c>
      <c r="AD256" s="527" t="e">
        <f ca="1">+MAX(PAA[[#This Row],[Pago por Contrato]],)</f>
        <v>#NAME?</v>
      </c>
      <c r="AE256" s="527" t="str">
        <f t="shared" ca="1" si="46"/>
        <v/>
      </c>
      <c r="AF256" s="516" t="e">
        <f t="shared" ca="1" si="47"/>
        <v>#NAME?</v>
      </c>
      <c r="AG256" s="516">
        <f t="shared" si="48"/>
        <v>52010801</v>
      </c>
      <c r="AH256" s="516" t="e" cm="1">
        <f t="array" aca="1" ref="AH256" ca="1">_xlfn.XLOOKUP(PAA[[#This Row],[RCP-RUBRO]],COMPROMISOS_2025[[#All],[concatenado]],COMPROMISOS_2025[[#All],[Total pagado]],"",0)</f>
        <v>#NAME?</v>
      </c>
      <c r="AI256" s="516" t="e" cm="1">
        <f t="array" aca="1" ref="AI256" ca="1">_xlfn.XLOOKUP(PAA[[#This Row],[RCP-RUBRO]],COMPROMISOS_2025[[#All],[concatenado]],COMPROMISOS_2025[[#All],[Total Comprometido]],"",0)</f>
        <v>#NAME?</v>
      </c>
    </row>
    <row r="257" spans="1:35" s="50" customFormat="1" ht="42" hidden="1" customHeight="1" x14ac:dyDescent="0.25">
      <c r="A257" s="436">
        <v>179</v>
      </c>
      <c r="B257" s="418">
        <v>90141502</v>
      </c>
      <c r="C257" s="436" t="str">
        <f>VLOOKUP(PAA[[#This Row],[PROYECTO (formulado)2]],PROYECTOS!$G$1:$L$32,6,0)</f>
        <v>SUBGERENCIA DE ALTOS LOGROS Y DEPORTE ASOCIADO</v>
      </c>
      <c r="D257" s="436" t="str">
        <f>+IF(PAA[[#This Row],[UNIDAD DE CONTRATACION (formulado)]]="Subgerencia Administrativa y Financiera","FUNCIONAMIENTO","INVERSIÓN")</f>
        <v>INVERSIÓN</v>
      </c>
      <c r="E257" s="446" t="str">
        <f>VLOOKUP(Q257,PROYECTOS!$G$1:$K$32,5,0)</f>
        <v>Apoyo económico a las organizaciones deportivas que representan en competencias al departamento de Antioquia</v>
      </c>
      <c r="F257" s="446">
        <f>VLOOKUP(E257,PROYECTOS!$K$1:$M$32,3,0)</f>
        <v>2024003050102</v>
      </c>
      <c r="G257" s="439" t="s">
        <v>359</v>
      </c>
      <c r="H257" s="439" t="str">
        <f>VLOOKUP(Q257,PROYECTOS!$V$1:$W$32,2,0)</f>
        <v>050076</v>
      </c>
      <c r="I257" s="440">
        <v>143000000</v>
      </c>
      <c r="J257" s="442" t="s">
        <v>378</v>
      </c>
      <c r="K257" s="436" t="str">
        <f ca="1">IF(ISNONTEXT(Y257)=TRUE,"CONTRATADO","NO CONTRATADO")</f>
        <v>CONTRATADO</v>
      </c>
      <c r="L257" s="436" t="s">
        <v>112</v>
      </c>
      <c r="M257" s="436" t="s">
        <v>361</v>
      </c>
      <c r="N257" s="447" t="s">
        <v>362</v>
      </c>
      <c r="O257" s="442">
        <f>VLOOKUP(N257,RUBROS[#All],3,0)</f>
        <v>100</v>
      </c>
      <c r="P257" s="448" t="str">
        <f>VLOOKUP(N257,RUBROS[#All],2,0)</f>
        <v>Apoyo Económico A Las Organizaciones Deportivas Que Representen Competencias Al Departamento De Antioquia -Actividades De Promoción Y   Desarrollo Del Deporte</v>
      </c>
      <c r="Q257" s="436" t="str">
        <f>+MID(N257,11,2)</f>
        <v>02</v>
      </c>
      <c r="R257" s="436" t="str">
        <f>+MID(N257,14,8)</f>
        <v>0-205400</v>
      </c>
      <c r="S257" s="417">
        <v>9</v>
      </c>
      <c r="T257" s="443" t="s">
        <v>46</v>
      </c>
      <c r="U257" s="444" t="e">
        <f ca="1">_xlfn.XLOOKUP(PAA[[#This Row],[ITEM]],Contrato!A:A,Contrato!Q:Q,"",0)</f>
        <v>#NAME?</v>
      </c>
      <c r="V257" s="436" t="s">
        <v>47</v>
      </c>
      <c r="W257" s="436" t="s">
        <v>127</v>
      </c>
      <c r="X257" s="436" t="s">
        <v>127</v>
      </c>
      <c r="Y257" s="445" t="e">
        <f ca="1">_xlfn.XLOOKUP(PAA[[#This Row],[ITEM]],Contrato!A:A,Contrato!B:B,"",0)</f>
        <v>#NAME?</v>
      </c>
      <c r="Z257" s="436" t="e">
        <f ca="1">_xlfn.XLOOKUP(PAA[[#This Row],[ITEM]],Contrato!A:A,Contrato!G:G,"",0)</f>
        <v>#NAME?</v>
      </c>
      <c r="AA257" s="436" t="e">
        <f ca="1">_xlfn.XLOOKUP(PAA[[#This Row],[ITEM]],Contrato!A:A,Contrato!T:T,"",0)</f>
        <v>#NAME?</v>
      </c>
      <c r="AB257" s="445" t="e">
        <f ca="1">+MAX(PAA[[#This Row],[Comprometido Contrato]],)</f>
        <v>#NAME?</v>
      </c>
      <c r="AC257" s="445" t="str">
        <f ca="1">IFERROR(I257-AB257,"")</f>
        <v/>
      </c>
      <c r="AD257" s="445" t="e">
        <f ca="1">+MAX(PAA[[#This Row],[Pago por Contrato]],)</f>
        <v>#NAME?</v>
      </c>
      <c r="AE257" s="445" t="str">
        <f ca="1">+IFERROR(AB257-AD257,"")</f>
        <v/>
      </c>
      <c r="AF257" s="436" t="e">
        <f ca="1">+CONCATENATE(AA257,N257)</f>
        <v>#NAME?</v>
      </c>
      <c r="AG257" s="436">
        <f>IFERROR(_xlfn.NUMBERVALUE(MID(G257,1,8)),"")</f>
        <v>52010801</v>
      </c>
      <c r="AH257" s="436" t="e" cm="1">
        <f t="array" aca="1" ref="AH257" ca="1">_xlfn.XLOOKUP(PAA[[#This Row],[RCP-RUBRO]],COMPROMISOS_2025[[#All],[concatenado]],COMPROMISOS_2025[[#All],[Total pagado]],"",0)</f>
        <v>#NAME?</v>
      </c>
      <c r="AI257" s="436" t="e" cm="1">
        <f t="array" aca="1" ref="AI257" ca="1">_xlfn.XLOOKUP(PAA[[#This Row],[RCP-RUBRO]],COMPROMISOS_2025[[#All],[concatenado]],COMPROMISOS_2025[[#All],[Total Comprometido]],"",0)</f>
        <v>#NAME?</v>
      </c>
    </row>
    <row r="258" spans="1:35" s="50" customFormat="1" ht="42" hidden="1" customHeight="1" x14ac:dyDescent="0.25">
      <c r="A258" s="436">
        <v>179</v>
      </c>
      <c r="B258" s="418">
        <v>90141502</v>
      </c>
      <c r="C258" s="436" t="str">
        <f>VLOOKUP(PAA[[#This Row],[PROYECTO (formulado)2]],PROYECTOS!$G$1:$L$32,6,0)</f>
        <v>SUBGERENCIA DE ALTOS LOGROS Y DEPORTE ASOCIADO</v>
      </c>
      <c r="D258" s="436" t="str">
        <f>+IF(PAA[[#This Row],[UNIDAD DE CONTRATACION (formulado)]]="Subgerencia Administrativa y Financiera","FUNCIONAMIENTO","INVERSIÓN")</f>
        <v>INVERSIÓN</v>
      </c>
      <c r="E258" s="446" t="str">
        <f>VLOOKUP(Q258,PROYECTOS!$G$1:$K$32,5,0)</f>
        <v>Apoyo económico a las organizaciones deportivas que representan en competencias al departamento de Antioquia</v>
      </c>
      <c r="F258" s="446">
        <f>VLOOKUP(E258,PROYECTOS!$K$1:$M$32,3,0)</f>
        <v>2024003050102</v>
      </c>
      <c r="G258" s="439" t="s">
        <v>359</v>
      </c>
      <c r="H258" s="439" t="str">
        <f>VLOOKUP(Q258,PROYECTOS!$V$1:$W$32,2,0)</f>
        <v>050076</v>
      </c>
      <c r="I258" s="440">
        <v>77000000</v>
      </c>
      <c r="J258" s="442" t="s">
        <v>378</v>
      </c>
      <c r="K258" s="436" t="str">
        <f t="shared" ca="1" si="42"/>
        <v>CONTRATADO</v>
      </c>
      <c r="L258" s="436" t="s">
        <v>112</v>
      </c>
      <c r="M258" s="436" t="s">
        <v>361</v>
      </c>
      <c r="N258" s="447" t="s">
        <v>363</v>
      </c>
      <c r="O258" s="442">
        <f>VLOOKUP(N258,RUBROS[#All],3,0)</f>
        <v>57</v>
      </c>
      <c r="P258" s="448" t="str">
        <f>VLOOKUP(N258,RUBROS[#All],2,0)</f>
        <v>Apoyo económico a las organizaciones deportivas que representan en competencias al departamento de Antioquia -Actividades de promoción y desarrollo del Deporte</v>
      </c>
      <c r="Q258" s="436" t="str">
        <f t="shared" si="43"/>
        <v>02</v>
      </c>
      <c r="R258" s="436" t="str">
        <f t="shared" si="44"/>
        <v>0-205128</v>
      </c>
      <c r="S258" s="417">
        <v>9</v>
      </c>
      <c r="T258" s="449" t="s">
        <v>46</v>
      </c>
      <c r="U258" s="444" t="e">
        <f ca="1">_xlfn.XLOOKUP(PAA[[#This Row],[ITEM]],Contrato!A:A,Contrato!Q:Q,"",0)</f>
        <v>#NAME?</v>
      </c>
      <c r="V258" s="436" t="s">
        <v>47</v>
      </c>
      <c r="W258" s="436" t="s">
        <v>127</v>
      </c>
      <c r="X258" s="436" t="s">
        <v>127</v>
      </c>
      <c r="Y258" s="445" t="e">
        <f ca="1">_xlfn.XLOOKUP(PAA[[#This Row],[ITEM]],Contrato!A:A,Contrato!B:B,"",0)</f>
        <v>#NAME?</v>
      </c>
      <c r="Z258" s="436" t="e">
        <f ca="1">_xlfn.XLOOKUP(PAA[[#This Row],[ITEM]],Contrato!A:A,Contrato!G:G,"",0)</f>
        <v>#NAME?</v>
      </c>
      <c r="AA258" s="436" t="e">
        <f ca="1">_xlfn.XLOOKUP(PAA[[#This Row],[ITEM]],Contrato!A:A,Contrato!T:T,"",0)</f>
        <v>#NAME?</v>
      </c>
      <c r="AB258" s="445" t="e">
        <f ca="1">+MAX(PAA[[#This Row],[Comprometido Contrato]],)</f>
        <v>#NAME?</v>
      </c>
      <c r="AC258" s="445" t="str">
        <f t="shared" ca="1" si="49"/>
        <v/>
      </c>
      <c r="AD258" s="445" t="e">
        <f ca="1">+MAX(PAA[[#This Row],[Pago por Contrato]],)</f>
        <v>#NAME?</v>
      </c>
      <c r="AE258" s="445" t="str">
        <f t="shared" ca="1" si="46"/>
        <v/>
      </c>
      <c r="AF258" s="436" t="e">
        <f t="shared" ca="1" si="47"/>
        <v>#NAME?</v>
      </c>
      <c r="AG258" s="436">
        <f t="shared" si="48"/>
        <v>52010801</v>
      </c>
      <c r="AH258" s="436" t="e" cm="1">
        <f t="array" aca="1" ref="AH258" ca="1">_xlfn.XLOOKUP(PAA[[#This Row],[RCP-RUBRO]],COMPROMISOS_2025[[#All],[concatenado]],COMPROMISOS_2025[[#All],[Total pagado]],"",0)</f>
        <v>#NAME?</v>
      </c>
      <c r="AI258" s="436" t="e" cm="1">
        <f t="array" aca="1" ref="AI258" ca="1">_xlfn.XLOOKUP(PAA[[#This Row],[RCP-RUBRO]],COMPROMISOS_2025[[#All],[concatenado]],COMPROMISOS_2025[[#All],[Total Comprometido]],"",0)</f>
        <v>#NAME?</v>
      </c>
    </row>
    <row r="259" spans="1:35" s="50" customFormat="1" ht="42" hidden="1" customHeight="1" x14ac:dyDescent="0.25">
      <c r="A259" s="436">
        <v>180</v>
      </c>
      <c r="B259" s="418">
        <v>90141502</v>
      </c>
      <c r="C259" s="436" t="str">
        <f>VLOOKUP(PAA[[#This Row],[PROYECTO (formulado)2]],PROYECTOS!$G$1:$L$32,6,0)</f>
        <v>SUBGERENCIA DE ALTOS LOGROS Y DEPORTE ASOCIADO</v>
      </c>
      <c r="D259" s="436" t="str">
        <f>+IF(PAA[[#This Row],[UNIDAD DE CONTRATACION (formulado)]]="Subgerencia Administrativa y Financiera","FUNCIONAMIENTO","INVERSIÓN")</f>
        <v>INVERSIÓN</v>
      </c>
      <c r="E259" s="446" t="str">
        <f>VLOOKUP(Q259,PROYECTOS!$G$1:$K$32,5,0)</f>
        <v>Apoyo económico a las organizaciones deportivas que representan en competencias al departamento de Antioquia</v>
      </c>
      <c r="F259" s="446">
        <f>VLOOKUP(E259,PROYECTOS!$K$1:$M$32,3,0)</f>
        <v>2024003050102</v>
      </c>
      <c r="G259" s="439" t="s">
        <v>359</v>
      </c>
      <c r="H259" s="439" t="str">
        <f>VLOOKUP(Q259,PROYECTOS!$V$1:$W$32,2,0)</f>
        <v>050076</v>
      </c>
      <c r="I259" s="440">
        <v>130000000</v>
      </c>
      <c r="J259" s="442" t="s">
        <v>379</v>
      </c>
      <c r="K259" s="436" t="str">
        <f t="shared" ca="1" si="42"/>
        <v>CONTRATADO</v>
      </c>
      <c r="L259" s="436" t="s">
        <v>112</v>
      </c>
      <c r="M259" s="436" t="s">
        <v>361</v>
      </c>
      <c r="N259" s="447" t="s">
        <v>363</v>
      </c>
      <c r="O259" s="442">
        <f>VLOOKUP(N259,RUBROS[#All],3,0)</f>
        <v>57</v>
      </c>
      <c r="P259" s="448" t="str">
        <f>VLOOKUP(N259,RUBROS[#All],2,0)</f>
        <v>Apoyo económico a las organizaciones deportivas que representan en competencias al departamento de Antioquia -Actividades de promoción y desarrollo del Deporte</v>
      </c>
      <c r="Q259" s="436" t="str">
        <f t="shared" si="43"/>
        <v>02</v>
      </c>
      <c r="R259" s="436" t="str">
        <f t="shared" si="44"/>
        <v>0-205128</v>
      </c>
      <c r="S259" s="417">
        <v>8.5</v>
      </c>
      <c r="T259" s="449" t="s">
        <v>46</v>
      </c>
      <c r="U259" s="444" t="e">
        <f ca="1">_xlfn.XLOOKUP(PAA[[#This Row],[ITEM]],Contrato!A:A,Contrato!Q:Q,"",0)</f>
        <v>#NAME?</v>
      </c>
      <c r="V259" s="436" t="s">
        <v>47</v>
      </c>
      <c r="W259" s="436" t="s">
        <v>127</v>
      </c>
      <c r="X259" s="436" t="s">
        <v>133</v>
      </c>
      <c r="Y259" s="445" t="e">
        <f ca="1">_xlfn.XLOOKUP(PAA[[#This Row],[ITEM]],Contrato!A:A,Contrato!B:B,"",0)</f>
        <v>#NAME?</v>
      </c>
      <c r="Z259" s="436" t="e">
        <f ca="1">_xlfn.XLOOKUP(PAA[[#This Row],[ITEM]],Contrato!A:A,Contrato!G:G,"",0)</f>
        <v>#NAME?</v>
      </c>
      <c r="AA259" s="436" t="e">
        <f ca="1">_xlfn.XLOOKUP(PAA[[#This Row],[ITEM]],Contrato!A:A,Contrato!T:T,"",0)</f>
        <v>#NAME?</v>
      </c>
      <c r="AB259" s="445" t="e">
        <f ca="1">+MAX(PAA[[#This Row],[Comprometido Contrato]],)</f>
        <v>#NAME?</v>
      </c>
      <c r="AC259" s="445" t="str">
        <f t="shared" ca="1" si="49"/>
        <v/>
      </c>
      <c r="AD259" s="445" t="e">
        <f ca="1">+MAX(PAA[[#This Row],[Pago por Contrato]],)</f>
        <v>#NAME?</v>
      </c>
      <c r="AE259" s="445" t="str">
        <f t="shared" ca="1" si="46"/>
        <v/>
      </c>
      <c r="AF259" s="436" t="e">
        <f t="shared" ca="1" si="47"/>
        <v>#NAME?</v>
      </c>
      <c r="AG259" s="436">
        <f t="shared" si="48"/>
        <v>52010801</v>
      </c>
      <c r="AH259" s="436" t="e" cm="1">
        <f t="array" aca="1" ref="AH259" ca="1">_xlfn.XLOOKUP(PAA[[#This Row],[RCP-RUBRO]],COMPROMISOS_2025[[#All],[concatenado]],COMPROMISOS_2025[[#All],[Total pagado]],"",0)</f>
        <v>#NAME?</v>
      </c>
      <c r="AI259" s="436" t="e" cm="1">
        <f t="array" aca="1" ref="AI259" ca="1">_xlfn.XLOOKUP(PAA[[#This Row],[RCP-RUBRO]],COMPROMISOS_2025[[#All],[concatenado]],COMPROMISOS_2025[[#All],[Total Comprometido]],"",0)</f>
        <v>#NAME?</v>
      </c>
    </row>
    <row r="260" spans="1:35" s="50" customFormat="1" ht="42" hidden="1" customHeight="1" x14ac:dyDescent="0.25">
      <c r="A260" s="436">
        <v>181</v>
      </c>
      <c r="B260" s="418">
        <v>90141502</v>
      </c>
      <c r="C260" s="436" t="str">
        <f>VLOOKUP(PAA[[#This Row],[PROYECTO (formulado)2]],PROYECTOS!$G$1:$L$32,6,0)</f>
        <v>SUBGERENCIA DE ALTOS LOGROS Y DEPORTE ASOCIADO</v>
      </c>
      <c r="D260" s="436" t="str">
        <f>+IF(PAA[[#This Row],[UNIDAD DE CONTRATACION (formulado)]]="Subgerencia Administrativa y Financiera","FUNCIONAMIENTO","INVERSIÓN")</f>
        <v>INVERSIÓN</v>
      </c>
      <c r="E260" s="446" t="str">
        <f>VLOOKUP(Q260,PROYECTOS!$G$1:$K$32,5,0)</f>
        <v>Apoyo económico a las organizaciones deportivas que representan en competencias al departamento de Antioquia</v>
      </c>
      <c r="F260" s="446">
        <f>VLOOKUP(E260,PROYECTOS!$K$1:$M$32,3,0)</f>
        <v>2024003050102</v>
      </c>
      <c r="G260" s="439" t="s">
        <v>359</v>
      </c>
      <c r="H260" s="439" t="str">
        <f>VLOOKUP(Q260,PROYECTOS!$V$1:$W$32,2,0)</f>
        <v>050076</v>
      </c>
      <c r="I260" s="440">
        <v>140000000</v>
      </c>
      <c r="J260" s="442" t="s">
        <v>380</v>
      </c>
      <c r="K260" s="436" t="str">
        <f ca="1">IF(ISNONTEXT(Y260)=TRUE,"CONTRATADO","NO CONTRATADO")</f>
        <v>CONTRATADO</v>
      </c>
      <c r="L260" s="436" t="s">
        <v>112</v>
      </c>
      <c r="M260" s="436" t="s">
        <v>361</v>
      </c>
      <c r="N260" s="447" t="s">
        <v>362</v>
      </c>
      <c r="O260" s="442">
        <f>VLOOKUP(N260,RUBROS[#All],3,0)</f>
        <v>100</v>
      </c>
      <c r="P260" s="448" t="str">
        <f>VLOOKUP(N260,RUBROS[#All],2,0)</f>
        <v>Apoyo Económico A Las Organizaciones Deportivas Que Representen Competencias Al Departamento De Antioquia -Actividades De Promoción Y   Desarrollo Del Deporte</v>
      </c>
      <c r="Q260" s="436" t="str">
        <f>+MID(N260,11,2)</f>
        <v>02</v>
      </c>
      <c r="R260" s="436" t="str">
        <f>+MID(N260,14,8)</f>
        <v>0-205400</v>
      </c>
      <c r="S260" s="417">
        <v>9</v>
      </c>
      <c r="T260" s="443" t="s">
        <v>46</v>
      </c>
      <c r="U260" s="444" t="e">
        <f ca="1">_xlfn.XLOOKUP(PAA[[#This Row],[ITEM]],Contrato!A:A,Contrato!Q:Q,"",0)</f>
        <v>#NAME?</v>
      </c>
      <c r="V260" s="436" t="s">
        <v>47</v>
      </c>
      <c r="W260" s="436" t="s">
        <v>127</v>
      </c>
      <c r="X260" s="436" t="s">
        <v>127</v>
      </c>
      <c r="Y260" s="445" t="e">
        <f ca="1">_xlfn.XLOOKUP(PAA[[#This Row],[ITEM]],Contrato!A:A,Contrato!B:B,"",0)</f>
        <v>#NAME?</v>
      </c>
      <c r="Z260" s="436" t="e">
        <f ca="1">_xlfn.XLOOKUP(PAA[[#This Row],[ITEM]],Contrato!A:A,Contrato!G:G,"",0)</f>
        <v>#NAME?</v>
      </c>
      <c r="AA260" s="436" t="e">
        <f ca="1">_xlfn.XLOOKUP(PAA[[#This Row],[ITEM]],Contrato!A:A,Contrato!T:T,"",0)</f>
        <v>#NAME?</v>
      </c>
      <c r="AB260" s="445" t="e">
        <f ca="1">+MAX(PAA[[#This Row],[Comprometido Contrato]],)</f>
        <v>#NAME?</v>
      </c>
      <c r="AC260" s="445" t="str">
        <f ca="1">IFERROR(I260-AB260,"")</f>
        <v/>
      </c>
      <c r="AD260" s="445" t="e">
        <f ca="1">+MAX(PAA[[#This Row],[Pago por Contrato]],)</f>
        <v>#NAME?</v>
      </c>
      <c r="AE260" s="445" t="str">
        <f ca="1">+IFERROR(AB260-AD260,"")</f>
        <v/>
      </c>
      <c r="AF260" s="436" t="e">
        <f ca="1">+CONCATENATE(AA260,N260)</f>
        <v>#NAME?</v>
      </c>
      <c r="AG260" s="436">
        <f>IFERROR(_xlfn.NUMBERVALUE(MID(G260,1,8)),"")</f>
        <v>52010801</v>
      </c>
      <c r="AH260" s="436" t="e" cm="1">
        <f t="array" aca="1" ref="AH260" ca="1">_xlfn.XLOOKUP(PAA[[#This Row],[RCP-RUBRO]],COMPROMISOS_2025[[#All],[concatenado]],COMPROMISOS_2025[[#All],[Total pagado]],"",0)</f>
        <v>#NAME?</v>
      </c>
      <c r="AI260" s="436" t="e" cm="1">
        <f t="array" aca="1" ref="AI260" ca="1">_xlfn.XLOOKUP(PAA[[#This Row],[RCP-RUBRO]],COMPROMISOS_2025[[#All],[concatenado]],COMPROMISOS_2025[[#All],[Total Comprometido]],"",0)</f>
        <v>#NAME?</v>
      </c>
    </row>
    <row r="261" spans="1:35" s="50" customFormat="1" ht="42" hidden="1" customHeight="1" x14ac:dyDescent="0.25">
      <c r="A261" s="436">
        <v>181</v>
      </c>
      <c r="B261" s="418">
        <v>90141502</v>
      </c>
      <c r="C261" s="436" t="str">
        <f>VLOOKUP(PAA[[#This Row],[PROYECTO (formulado)2]],PROYECTOS!$G$1:$L$32,6,0)</f>
        <v>SUBGERENCIA DE ALTOS LOGROS Y DEPORTE ASOCIADO</v>
      </c>
      <c r="D261" s="436" t="str">
        <f>+IF(PAA[[#This Row],[UNIDAD DE CONTRATACION (formulado)]]="Subgerencia Administrativa y Financiera","FUNCIONAMIENTO","INVERSIÓN")</f>
        <v>INVERSIÓN</v>
      </c>
      <c r="E261" s="446" t="str">
        <f>VLOOKUP(Q261,PROYECTOS!$G$1:$K$32,5,0)</f>
        <v>Apoyo económico a las organizaciones deportivas que representan en competencias al departamento de Antioquia</v>
      </c>
      <c r="F261" s="446">
        <f>VLOOKUP(E261,PROYECTOS!$K$1:$M$32,3,0)</f>
        <v>2024003050102</v>
      </c>
      <c r="G261" s="439" t="s">
        <v>359</v>
      </c>
      <c r="H261" s="439" t="str">
        <f>VLOOKUP(Q261,PROYECTOS!$V$1:$W$32,2,0)</f>
        <v>050076</v>
      </c>
      <c r="I261" s="440">
        <v>60000000</v>
      </c>
      <c r="J261" s="442" t="s">
        <v>380</v>
      </c>
      <c r="K261" s="436" t="str">
        <f t="shared" ca="1" si="42"/>
        <v>CONTRATADO</v>
      </c>
      <c r="L261" s="436" t="s">
        <v>112</v>
      </c>
      <c r="M261" s="436" t="s">
        <v>361</v>
      </c>
      <c r="N261" s="447" t="s">
        <v>363</v>
      </c>
      <c r="O261" s="442">
        <f>VLOOKUP(N261,RUBROS[#All],3,0)</f>
        <v>57</v>
      </c>
      <c r="P261" s="448" t="str">
        <f>VLOOKUP(N261,RUBROS[#All],2,0)</f>
        <v>Apoyo económico a las organizaciones deportivas que representan en competencias al departamento de Antioquia -Actividades de promoción y desarrollo del Deporte</v>
      </c>
      <c r="Q261" s="436" t="str">
        <f t="shared" si="43"/>
        <v>02</v>
      </c>
      <c r="R261" s="436" t="str">
        <f t="shared" si="44"/>
        <v>0-205128</v>
      </c>
      <c r="S261" s="417">
        <v>9</v>
      </c>
      <c r="T261" s="449" t="s">
        <v>46</v>
      </c>
      <c r="U261" s="444" t="e">
        <f ca="1">_xlfn.XLOOKUP(PAA[[#This Row],[ITEM]],Contrato!A:A,Contrato!Q:Q,"",0)</f>
        <v>#NAME?</v>
      </c>
      <c r="V261" s="436" t="s">
        <v>47</v>
      </c>
      <c r="W261" s="436" t="s">
        <v>127</v>
      </c>
      <c r="X261" s="436" t="s">
        <v>127</v>
      </c>
      <c r="Y261" s="445" t="e">
        <f ca="1">_xlfn.XLOOKUP(PAA[[#This Row],[ITEM]],Contrato!A:A,Contrato!B:B,"",0)</f>
        <v>#NAME?</v>
      </c>
      <c r="Z261" s="436" t="e">
        <f ca="1">_xlfn.XLOOKUP(PAA[[#This Row],[ITEM]],Contrato!A:A,Contrato!G:G,"",0)</f>
        <v>#NAME?</v>
      </c>
      <c r="AA261" s="436" t="e">
        <f ca="1">_xlfn.XLOOKUP(PAA[[#This Row],[ITEM]],Contrato!A:A,Contrato!T:T,"",0)</f>
        <v>#NAME?</v>
      </c>
      <c r="AB261" s="445" t="e">
        <f ca="1">+MAX(PAA[[#This Row],[Comprometido Contrato]],)</f>
        <v>#NAME?</v>
      </c>
      <c r="AC261" s="445" t="str">
        <f t="shared" ca="1" si="49"/>
        <v/>
      </c>
      <c r="AD261" s="445" t="e">
        <f ca="1">+MAX(PAA[[#This Row],[Pago por Contrato]],)</f>
        <v>#NAME?</v>
      </c>
      <c r="AE261" s="445" t="str">
        <f t="shared" ca="1" si="46"/>
        <v/>
      </c>
      <c r="AF261" s="436" t="e">
        <f t="shared" ca="1" si="47"/>
        <v>#NAME?</v>
      </c>
      <c r="AG261" s="436">
        <f t="shared" si="48"/>
        <v>52010801</v>
      </c>
      <c r="AH261" s="436" t="e" cm="1">
        <f t="array" aca="1" ref="AH261" ca="1">_xlfn.XLOOKUP(PAA[[#This Row],[RCP-RUBRO]],COMPROMISOS_2025[[#All],[concatenado]],COMPROMISOS_2025[[#All],[Total pagado]],"",0)</f>
        <v>#NAME?</v>
      </c>
      <c r="AI261" s="436" t="e" cm="1">
        <f t="array" aca="1" ref="AI261" ca="1">_xlfn.XLOOKUP(PAA[[#This Row],[RCP-RUBRO]],COMPROMISOS_2025[[#All],[concatenado]],COMPROMISOS_2025[[#All],[Total Comprometido]],"",0)</f>
        <v>#NAME?</v>
      </c>
    </row>
    <row r="262" spans="1:35" s="50" customFormat="1" ht="42" hidden="1" customHeight="1" x14ac:dyDescent="0.25">
      <c r="A262" s="476">
        <v>182</v>
      </c>
      <c r="B262" s="477">
        <v>90141502</v>
      </c>
      <c r="C262" s="476" t="str">
        <f>VLOOKUP(PAA[[#This Row],[PROYECTO (formulado)2]],PROYECTOS!$G$1:$L$32,6,0)</f>
        <v>SUBGERENCIA DE ALTOS LOGROS Y DEPORTE ASOCIADO</v>
      </c>
      <c r="D262" s="476" t="str">
        <f>+IF(PAA[[#This Row],[UNIDAD DE CONTRATACION (formulado)]]="Subgerencia Administrativa y Financiera","FUNCIONAMIENTO","INVERSIÓN")</f>
        <v>INVERSIÓN</v>
      </c>
      <c r="E262" s="478" t="str">
        <f>VLOOKUP(Q262,PROYECTOS!$G$1:$K$32,5,0)</f>
        <v>Apoyo económico a las organizaciones deportivas que representan en competencias al departamento de Antioquia</v>
      </c>
      <c r="F262" s="478">
        <f>VLOOKUP(E262,PROYECTOS!$K$1:$M$32,3,0)</f>
        <v>2024003050102</v>
      </c>
      <c r="G262" s="479" t="s">
        <v>359</v>
      </c>
      <c r="H262" s="479" t="str">
        <f>VLOOKUP(Q262,PROYECTOS!$V$1:$W$32,2,0)</f>
        <v>050076</v>
      </c>
      <c r="I262" s="480">
        <v>10000000</v>
      </c>
      <c r="J262" s="481" t="s">
        <v>381</v>
      </c>
      <c r="K262" s="476" t="str">
        <f t="shared" ca="1" si="42"/>
        <v>CONTRATADO</v>
      </c>
      <c r="L262" s="476" t="s">
        <v>112</v>
      </c>
      <c r="M262" s="476" t="s">
        <v>361</v>
      </c>
      <c r="N262" s="482" t="s">
        <v>363</v>
      </c>
      <c r="O262" s="481">
        <f>VLOOKUP(N262,RUBROS[#All],3,0)</f>
        <v>57</v>
      </c>
      <c r="P262" s="483" t="str">
        <f>VLOOKUP(N262,RUBROS[#All],2,0)</f>
        <v>Apoyo económico a las organizaciones deportivas que representan en competencias al departamento de Antioquia -Actividades de promoción y desarrollo del Deporte</v>
      </c>
      <c r="Q262" s="476" t="str">
        <f t="shared" si="43"/>
        <v>02</v>
      </c>
      <c r="R262" s="476" t="str">
        <f t="shared" si="44"/>
        <v>0-205128</v>
      </c>
      <c r="S262" s="484" t="s">
        <v>41</v>
      </c>
      <c r="T262" s="485" t="s">
        <v>41</v>
      </c>
      <c r="U262" s="486" t="e">
        <f ca="1">_xlfn.XLOOKUP(PAA[[#This Row],[ITEM]],Contrato!A:A,Contrato!Q:Q,"",0)</f>
        <v>#NAME?</v>
      </c>
      <c r="V262" s="476" t="s">
        <v>47</v>
      </c>
      <c r="W262" s="476" t="s">
        <v>41</v>
      </c>
      <c r="X262" s="476" t="s">
        <v>41</v>
      </c>
      <c r="Y262" s="487" t="e">
        <f ca="1">_xlfn.XLOOKUP(PAA[[#This Row],[ITEM]],Contrato!A:A,Contrato!B:B,"",0)</f>
        <v>#NAME?</v>
      </c>
      <c r="Z262" s="476" t="e">
        <f ca="1">_xlfn.XLOOKUP(PAA[[#This Row],[ITEM]],Contrato!A:A,Contrato!G:G,"",0)</f>
        <v>#NAME?</v>
      </c>
      <c r="AA262" s="476" t="e">
        <f ca="1">_xlfn.XLOOKUP(PAA[[#This Row],[ITEM]],Contrato!A:A,Contrato!T:T,"",0)</f>
        <v>#NAME?</v>
      </c>
      <c r="AB262" s="487" t="e">
        <f ca="1">+MAX(PAA[[#This Row],[Comprometido Contrato]],)</f>
        <v>#NAME?</v>
      </c>
      <c r="AC262" s="487" t="str">
        <f t="shared" ca="1" si="49"/>
        <v/>
      </c>
      <c r="AD262" s="487" t="e">
        <f ca="1">+MAX(PAA[[#This Row],[Pago por Contrato]],)</f>
        <v>#NAME?</v>
      </c>
      <c r="AE262" s="487" t="str">
        <f t="shared" ca="1" si="46"/>
        <v/>
      </c>
      <c r="AF262" s="476" t="e">
        <f t="shared" ca="1" si="47"/>
        <v>#NAME?</v>
      </c>
      <c r="AG262" s="476">
        <f t="shared" si="48"/>
        <v>52010801</v>
      </c>
      <c r="AH262" s="476" t="e" cm="1">
        <f t="array" aca="1" ref="AH262" ca="1">_xlfn.XLOOKUP(PAA[[#This Row],[RCP-RUBRO]],COMPROMISOS_2025[[#All],[concatenado]],COMPROMISOS_2025[[#All],[Total pagado]],"",0)</f>
        <v>#NAME?</v>
      </c>
      <c r="AI262" s="476" t="e" cm="1">
        <f t="array" aca="1" ref="AI262" ca="1">_xlfn.XLOOKUP(PAA[[#This Row],[RCP-RUBRO]],COMPROMISOS_2025[[#All],[concatenado]],COMPROMISOS_2025[[#All],[Total Comprometido]],"",0)</f>
        <v>#NAME?</v>
      </c>
    </row>
    <row r="263" spans="1:35" s="50" customFormat="1" ht="42" hidden="1" customHeight="1" x14ac:dyDescent="0.25">
      <c r="A263" s="436">
        <v>183</v>
      </c>
      <c r="B263" s="418">
        <v>90141502</v>
      </c>
      <c r="C263" s="436" t="str">
        <f>VLOOKUP(PAA[[#This Row],[PROYECTO (formulado)2]],PROYECTOS!$G$1:$L$32,6,0)</f>
        <v>SUBGERENCIA DE ALTOS LOGROS Y DEPORTE ASOCIADO</v>
      </c>
      <c r="D263" s="436" t="str">
        <f>+IF(PAA[[#This Row],[UNIDAD DE CONTRATACION (formulado)]]="Subgerencia Administrativa y Financiera","FUNCIONAMIENTO","INVERSIÓN")</f>
        <v>INVERSIÓN</v>
      </c>
      <c r="E263" s="446" t="str">
        <f>VLOOKUP(Q263,PROYECTOS!$G$1:$K$32,5,0)</f>
        <v>Apoyo económico a las organizaciones deportivas que representan en competencias al departamento de Antioquia</v>
      </c>
      <c r="F263" s="446">
        <f>VLOOKUP(E263,PROYECTOS!$K$1:$M$32,3,0)</f>
        <v>2024003050102</v>
      </c>
      <c r="G263" s="439" t="s">
        <v>359</v>
      </c>
      <c r="H263" s="439" t="str">
        <f>VLOOKUP(Q263,PROYECTOS!$V$1:$W$32,2,0)</f>
        <v>050076</v>
      </c>
      <c r="I263" s="440">
        <v>66360989</v>
      </c>
      <c r="J263" s="442" t="s">
        <v>382</v>
      </c>
      <c r="K263" s="436" t="str">
        <f ca="1">IF(ISNONTEXT(Y263)=TRUE,"CONTRATADO","NO CONTRATADO")</f>
        <v>CONTRATADO</v>
      </c>
      <c r="L263" s="436" t="s">
        <v>112</v>
      </c>
      <c r="M263" s="436" t="s">
        <v>361</v>
      </c>
      <c r="N263" s="447" t="s">
        <v>362</v>
      </c>
      <c r="O263" s="442">
        <f>VLOOKUP(N263,RUBROS[#All],3,0)</f>
        <v>100</v>
      </c>
      <c r="P263" s="448" t="str">
        <f>VLOOKUP(N263,RUBROS[#All],2,0)</f>
        <v>Apoyo Económico A Las Organizaciones Deportivas Que Representen Competencias Al Departamento De Antioquia -Actividades De Promoción Y   Desarrollo Del Deporte</v>
      </c>
      <c r="Q263" s="436" t="str">
        <f>+MID(N263,11,2)</f>
        <v>02</v>
      </c>
      <c r="R263" s="436" t="str">
        <f>+MID(N263,14,8)</f>
        <v>0-205400</v>
      </c>
      <c r="S263" s="417">
        <v>9</v>
      </c>
      <c r="T263" s="443" t="s">
        <v>46</v>
      </c>
      <c r="U263" s="444" t="e">
        <f ca="1">_xlfn.XLOOKUP(PAA[[#This Row],[ITEM]],Contrato!A:A,Contrato!Q:Q,"",0)</f>
        <v>#NAME?</v>
      </c>
      <c r="V263" s="436" t="s">
        <v>47</v>
      </c>
      <c r="W263" s="436" t="s">
        <v>127</v>
      </c>
      <c r="X263" s="436" t="s">
        <v>127</v>
      </c>
      <c r="Y263" s="445" t="e">
        <f ca="1">_xlfn.XLOOKUP(PAA[[#This Row],[ITEM]],Contrato!A:A,Contrato!B:B,"",0)</f>
        <v>#NAME?</v>
      </c>
      <c r="Z263" s="436" t="e">
        <f ca="1">_xlfn.XLOOKUP(PAA[[#This Row],[ITEM]],Contrato!A:A,Contrato!G:G,"",0)</f>
        <v>#NAME?</v>
      </c>
      <c r="AA263" s="436" t="e">
        <f ca="1">_xlfn.XLOOKUP(PAA[[#This Row],[ITEM]],Contrato!A:A,Contrato!T:T,"",0)</f>
        <v>#NAME?</v>
      </c>
      <c r="AB263" s="445" t="e">
        <f ca="1">+MAX(PAA[[#This Row],[Comprometido Contrato]],)</f>
        <v>#NAME?</v>
      </c>
      <c r="AC263" s="445" t="str">
        <f ca="1">IFERROR(I263-AB263,"")</f>
        <v/>
      </c>
      <c r="AD263" s="445" t="e">
        <f ca="1">+MAX(PAA[[#This Row],[Pago por Contrato]],)</f>
        <v>#NAME?</v>
      </c>
      <c r="AE263" s="445" t="str">
        <f ca="1">+IFERROR(AB263-AD263,"")</f>
        <v/>
      </c>
      <c r="AF263" s="436" t="e">
        <f ca="1">+CONCATENATE(AA263,N263)</f>
        <v>#NAME?</v>
      </c>
      <c r="AG263" s="436">
        <f>IFERROR(_xlfn.NUMBERVALUE(MID(G263,1,8)),"")</f>
        <v>52010801</v>
      </c>
      <c r="AH263" s="436" t="e" cm="1">
        <f t="array" aca="1" ref="AH263" ca="1">_xlfn.XLOOKUP(PAA[[#This Row],[RCP-RUBRO]],COMPROMISOS_2025[[#All],[concatenado]],COMPROMISOS_2025[[#All],[Total pagado]],"",0)</f>
        <v>#NAME?</v>
      </c>
      <c r="AI263" s="436" t="e" cm="1">
        <f t="array" aca="1" ref="AI263" ca="1">_xlfn.XLOOKUP(PAA[[#This Row],[RCP-RUBRO]],COMPROMISOS_2025[[#All],[concatenado]],COMPROMISOS_2025[[#All],[Total Comprometido]],"",0)</f>
        <v>#NAME?</v>
      </c>
    </row>
    <row r="264" spans="1:35" s="50" customFormat="1" ht="42" hidden="1" customHeight="1" x14ac:dyDescent="0.25">
      <c r="A264" s="436">
        <v>183</v>
      </c>
      <c r="B264" s="418">
        <v>90141502</v>
      </c>
      <c r="C264" s="436" t="str">
        <f>VLOOKUP(PAA[[#This Row],[PROYECTO (formulado)2]],PROYECTOS!$G$1:$L$32,6,0)</f>
        <v>SUBGERENCIA DE ALTOS LOGROS Y DEPORTE ASOCIADO</v>
      </c>
      <c r="D264" s="436" t="str">
        <f>+IF(PAA[[#This Row],[UNIDAD DE CONTRATACION (formulado)]]="Subgerencia Administrativa y Financiera","FUNCIONAMIENTO","INVERSIÓN")</f>
        <v>INVERSIÓN</v>
      </c>
      <c r="E264" s="446" t="str">
        <f>VLOOKUP(Q264,PROYECTOS!$G$1:$K$32,5,0)</f>
        <v>Apoyo económico a las organizaciones deportivas que representan en competencias al departamento de Antioquia</v>
      </c>
      <c r="F264" s="446">
        <f>VLOOKUP(E264,PROYECTOS!$K$1:$M$32,3,0)</f>
        <v>2024003050102</v>
      </c>
      <c r="G264" s="439" t="s">
        <v>359</v>
      </c>
      <c r="H264" s="439" t="str">
        <f>VLOOKUP(Q264,PROYECTOS!$V$1:$W$32,2,0)</f>
        <v>050076</v>
      </c>
      <c r="I264" s="440">
        <v>83639011</v>
      </c>
      <c r="J264" s="442" t="s">
        <v>382</v>
      </c>
      <c r="K264" s="436" t="str">
        <f t="shared" ca="1" si="42"/>
        <v>CONTRATADO</v>
      </c>
      <c r="L264" s="436" t="s">
        <v>112</v>
      </c>
      <c r="M264" s="436" t="s">
        <v>361</v>
      </c>
      <c r="N264" s="447" t="s">
        <v>363</v>
      </c>
      <c r="O264" s="442">
        <f>VLOOKUP(N264,RUBROS[#All],3,0)</f>
        <v>57</v>
      </c>
      <c r="P264" s="448" t="str">
        <f>VLOOKUP(N264,RUBROS[#All],2,0)</f>
        <v>Apoyo económico a las organizaciones deportivas que representan en competencias al departamento de Antioquia -Actividades de promoción y desarrollo del Deporte</v>
      </c>
      <c r="Q264" s="436" t="str">
        <f t="shared" si="43"/>
        <v>02</v>
      </c>
      <c r="R264" s="436" t="str">
        <f t="shared" si="44"/>
        <v>0-205128</v>
      </c>
      <c r="S264" s="417">
        <v>9</v>
      </c>
      <c r="T264" s="449" t="s">
        <v>46</v>
      </c>
      <c r="U264" s="444" t="e">
        <f ca="1">_xlfn.XLOOKUP(PAA[[#This Row],[ITEM]],Contrato!A:A,Contrato!Q:Q,"",0)</f>
        <v>#NAME?</v>
      </c>
      <c r="V264" s="436" t="s">
        <v>47</v>
      </c>
      <c r="W264" s="436" t="s">
        <v>127</v>
      </c>
      <c r="X264" s="436" t="s">
        <v>127</v>
      </c>
      <c r="Y264" s="445" t="e">
        <f ca="1">_xlfn.XLOOKUP(PAA[[#This Row],[ITEM]],Contrato!A:A,Contrato!B:B,"",0)</f>
        <v>#NAME?</v>
      </c>
      <c r="Z264" s="436" t="e">
        <f ca="1">_xlfn.XLOOKUP(PAA[[#This Row],[ITEM]],Contrato!A:A,Contrato!G:G,"",0)</f>
        <v>#NAME?</v>
      </c>
      <c r="AA264" s="436" t="e">
        <f ca="1">_xlfn.XLOOKUP(PAA[[#This Row],[ITEM]],Contrato!A:A,Contrato!T:T,"",0)</f>
        <v>#NAME?</v>
      </c>
      <c r="AB264" s="445" t="e">
        <f ca="1">+MAX(PAA[[#This Row],[Comprometido Contrato]],)</f>
        <v>#NAME?</v>
      </c>
      <c r="AC264" s="445" t="str">
        <f t="shared" ca="1" si="49"/>
        <v/>
      </c>
      <c r="AD264" s="445" t="e">
        <f ca="1">+MAX(PAA[[#This Row],[Pago por Contrato]],)</f>
        <v>#NAME?</v>
      </c>
      <c r="AE264" s="445" t="str">
        <f t="shared" ca="1" si="46"/>
        <v/>
      </c>
      <c r="AF264" s="436" t="e">
        <f t="shared" ca="1" si="47"/>
        <v>#NAME?</v>
      </c>
      <c r="AG264" s="436">
        <f t="shared" si="48"/>
        <v>52010801</v>
      </c>
      <c r="AH264" s="436" t="e" cm="1">
        <f t="array" aca="1" ref="AH264" ca="1">_xlfn.XLOOKUP(PAA[[#This Row],[RCP-RUBRO]],COMPROMISOS_2025[[#All],[concatenado]],COMPROMISOS_2025[[#All],[Total pagado]],"",0)</f>
        <v>#NAME?</v>
      </c>
      <c r="AI264" s="436" t="e" cm="1">
        <f t="array" aca="1" ref="AI264" ca="1">_xlfn.XLOOKUP(PAA[[#This Row],[RCP-RUBRO]],COMPROMISOS_2025[[#All],[concatenado]],COMPROMISOS_2025[[#All],[Total Comprometido]],"",0)</f>
        <v>#NAME?</v>
      </c>
    </row>
    <row r="265" spans="1:35" s="50" customFormat="1" ht="42" hidden="1" customHeight="1" x14ac:dyDescent="0.25">
      <c r="A265" s="436">
        <v>184</v>
      </c>
      <c r="B265" s="418">
        <v>90141502</v>
      </c>
      <c r="C265" s="436" t="str">
        <f>VLOOKUP(PAA[[#This Row],[PROYECTO (formulado)2]],PROYECTOS!$G$1:$L$32,6,0)</f>
        <v>SUBGERENCIA DE ALTOS LOGROS Y DEPORTE ASOCIADO</v>
      </c>
      <c r="D265" s="436" t="str">
        <f>+IF(PAA[[#This Row],[UNIDAD DE CONTRATACION (formulado)]]="Subgerencia Administrativa y Financiera","FUNCIONAMIENTO","INVERSIÓN")</f>
        <v>INVERSIÓN</v>
      </c>
      <c r="E265" s="446" t="str">
        <f>VLOOKUP(Q265,PROYECTOS!$G$1:$K$32,5,0)</f>
        <v>Apoyo económico a las organizaciones deportivas que representan en competencias al departamento de Antioquia</v>
      </c>
      <c r="F265" s="446">
        <f>VLOOKUP(E265,PROYECTOS!$K$1:$M$32,3,0)</f>
        <v>2024003050102</v>
      </c>
      <c r="G265" s="439" t="s">
        <v>359</v>
      </c>
      <c r="H265" s="439" t="str">
        <f>VLOOKUP(Q265,PROYECTOS!$V$1:$W$32,2,0)</f>
        <v>050076</v>
      </c>
      <c r="I265" s="440">
        <v>80000000</v>
      </c>
      <c r="J265" s="442" t="s">
        <v>383</v>
      </c>
      <c r="K265" s="436" t="str">
        <f ca="1">IF(ISNONTEXT(Y265)=TRUE,"CONTRATADO","NO CONTRATADO")</f>
        <v>CONTRATADO</v>
      </c>
      <c r="L265" s="436" t="s">
        <v>112</v>
      </c>
      <c r="M265" s="436" t="s">
        <v>361</v>
      </c>
      <c r="N265" s="447" t="s">
        <v>362</v>
      </c>
      <c r="O265" s="442">
        <f>VLOOKUP(N265,RUBROS[#All],3,0)</f>
        <v>100</v>
      </c>
      <c r="P265" s="448" t="str">
        <f>VLOOKUP(N265,RUBROS[#All],2,0)</f>
        <v>Apoyo Económico A Las Organizaciones Deportivas Que Representen Competencias Al Departamento De Antioquia -Actividades De Promoción Y   Desarrollo Del Deporte</v>
      </c>
      <c r="Q265" s="436" t="str">
        <f>+MID(N265,11,2)</f>
        <v>02</v>
      </c>
      <c r="R265" s="436" t="str">
        <f>+MID(N265,14,8)</f>
        <v>0-205400</v>
      </c>
      <c r="S265" s="417">
        <v>9</v>
      </c>
      <c r="T265" s="443" t="s">
        <v>46</v>
      </c>
      <c r="U265" s="444" t="e">
        <f ca="1">_xlfn.XLOOKUP(PAA[[#This Row],[ITEM]],Contrato!A:A,Contrato!Q:Q,"",0)</f>
        <v>#NAME?</v>
      </c>
      <c r="V265" s="436" t="s">
        <v>47</v>
      </c>
      <c r="W265" s="436" t="s">
        <v>127</v>
      </c>
      <c r="X265" s="436" t="s">
        <v>127</v>
      </c>
      <c r="Y265" s="445" t="e">
        <f ca="1">_xlfn.XLOOKUP(PAA[[#This Row],[ITEM]],Contrato!A:A,Contrato!B:B,"",0)</f>
        <v>#NAME?</v>
      </c>
      <c r="Z265" s="436" t="e">
        <f ca="1">_xlfn.XLOOKUP(PAA[[#This Row],[ITEM]],Contrato!A:A,Contrato!G:G,"",0)</f>
        <v>#NAME?</v>
      </c>
      <c r="AA265" s="436" t="e">
        <f ca="1">_xlfn.XLOOKUP(PAA[[#This Row],[ITEM]],Contrato!A:A,Contrato!T:T,"",0)</f>
        <v>#NAME?</v>
      </c>
      <c r="AB265" s="445" t="e">
        <f ca="1">+MAX(PAA[[#This Row],[Comprometido Contrato]],)</f>
        <v>#NAME?</v>
      </c>
      <c r="AC265" s="445" t="str">
        <f ca="1">IFERROR(I265-AB265,"")</f>
        <v/>
      </c>
      <c r="AD265" s="445" t="e">
        <f ca="1">+MAX(PAA[[#This Row],[Pago por Contrato]],)</f>
        <v>#NAME?</v>
      </c>
      <c r="AE265" s="445" t="str">
        <f ca="1">+IFERROR(AB265-AD265,"")</f>
        <v/>
      </c>
      <c r="AF265" s="436" t="e">
        <f ca="1">+CONCATENATE(AA265,N265)</f>
        <v>#NAME?</v>
      </c>
      <c r="AG265" s="436">
        <f>IFERROR(_xlfn.NUMBERVALUE(MID(G265,1,8)),"")</f>
        <v>52010801</v>
      </c>
      <c r="AH265" s="436" t="e" cm="1">
        <f t="array" aca="1" ref="AH265" ca="1">_xlfn.XLOOKUP(PAA[[#This Row],[RCP-RUBRO]],COMPROMISOS_2025[[#All],[concatenado]],COMPROMISOS_2025[[#All],[Total pagado]],"",0)</f>
        <v>#NAME?</v>
      </c>
      <c r="AI265" s="436" t="e" cm="1">
        <f t="array" aca="1" ref="AI265" ca="1">_xlfn.XLOOKUP(PAA[[#This Row],[RCP-RUBRO]],COMPROMISOS_2025[[#All],[concatenado]],COMPROMISOS_2025[[#All],[Total Comprometido]],"",0)</f>
        <v>#NAME?</v>
      </c>
    </row>
    <row r="266" spans="1:35" s="50" customFormat="1" ht="42" hidden="1" customHeight="1" x14ac:dyDescent="0.25">
      <c r="A266" s="436">
        <v>184</v>
      </c>
      <c r="B266" s="418">
        <v>90141502</v>
      </c>
      <c r="C266" s="436" t="str">
        <f>VLOOKUP(PAA[[#This Row],[PROYECTO (formulado)2]],PROYECTOS!$G$1:$L$32,6,0)</f>
        <v>SUBGERENCIA DE ALTOS LOGROS Y DEPORTE ASOCIADO</v>
      </c>
      <c r="D266" s="436" t="str">
        <f>+IF(PAA[[#This Row],[UNIDAD DE CONTRATACION (formulado)]]="Subgerencia Administrativa y Financiera","FUNCIONAMIENTO","INVERSIÓN")</f>
        <v>INVERSIÓN</v>
      </c>
      <c r="E266" s="446" t="str">
        <f>VLOOKUP(Q266,PROYECTOS!$G$1:$K$32,5,0)</f>
        <v>Apoyo económico a las organizaciones deportivas que representan en competencias al departamento de Antioquia</v>
      </c>
      <c r="F266" s="446">
        <f>VLOOKUP(E266,PROYECTOS!$K$1:$M$32,3,0)</f>
        <v>2024003050102</v>
      </c>
      <c r="G266" s="439" t="s">
        <v>359</v>
      </c>
      <c r="H266" s="439" t="str">
        <f>VLOOKUP(Q266,PROYECTOS!$V$1:$W$32,2,0)</f>
        <v>050076</v>
      </c>
      <c r="I266" s="440">
        <v>70000000</v>
      </c>
      <c r="J266" s="442" t="s">
        <v>383</v>
      </c>
      <c r="K266" s="436" t="str">
        <f t="shared" ca="1" si="42"/>
        <v>CONTRATADO</v>
      </c>
      <c r="L266" s="436" t="s">
        <v>112</v>
      </c>
      <c r="M266" s="436" t="s">
        <v>361</v>
      </c>
      <c r="N266" s="447" t="s">
        <v>363</v>
      </c>
      <c r="O266" s="442">
        <f>VLOOKUP(N266,RUBROS[#All],3,0)</f>
        <v>57</v>
      </c>
      <c r="P266" s="448" t="str">
        <f>VLOOKUP(N266,RUBROS[#All],2,0)</f>
        <v>Apoyo económico a las organizaciones deportivas que representan en competencias al departamento de Antioquia -Actividades de promoción y desarrollo del Deporte</v>
      </c>
      <c r="Q266" s="436" t="str">
        <f t="shared" si="43"/>
        <v>02</v>
      </c>
      <c r="R266" s="436" t="str">
        <f t="shared" si="44"/>
        <v>0-205128</v>
      </c>
      <c r="S266" s="417">
        <v>9</v>
      </c>
      <c r="T266" s="449" t="s">
        <v>46</v>
      </c>
      <c r="U266" s="444" t="e">
        <f ca="1">_xlfn.XLOOKUP(PAA[[#This Row],[ITEM]],Contrato!A:A,Contrato!Q:Q,"",0)</f>
        <v>#NAME?</v>
      </c>
      <c r="V266" s="436" t="s">
        <v>47</v>
      </c>
      <c r="W266" s="436" t="s">
        <v>127</v>
      </c>
      <c r="X266" s="436" t="s">
        <v>127</v>
      </c>
      <c r="Y266" s="445" t="e">
        <f ca="1">_xlfn.XLOOKUP(PAA[[#This Row],[ITEM]],Contrato!A:A,Contrato!B:B,"",0)</f>
        <v>#NAME?</v>
      </c>
      <c r="Z266" s="436" t="e">
        <f ca="1">_xlfn.XLOOKUP(PAA[[#This Row],[ITEM]],Contrato!A:A,Contrato!G:G,"",0)</f>
        <v>#NAME?</v>
      </c>
      <c r="AA266" s="436" t="e">
        <f ca="1">_xlfn.XLOOKUP(PAA[[#This Row],[ITEM]],Contrato!A:A,Contrato!T:T,"",0)</f>
        <v>#NAME?</v>
      </c>
      <c r="AB266" s="445" t="e">
        <f ca="1">+MAX(PAA[[#This Row],[Comprometido Contrato]],)</f>
        <v>#NAME?</v>
      </c>
      <c r="AC266" s="445" t="str">
        <f t="shared" ca="1" si="49"/>
        <v/>
      </c>
      <c r="AD266" s="445" t="e">
        <f ca="1">+MAX(PAA[[#This Row],[Pago por Contrato]],)</f>
        <v>#NAME?</v>
      </c>
      <c r="AE266" s="445" t="str">
        <f t="shared" ca="1" si="46"/>
        <v/>
      </c>
      <c r="AF266" s="436" t="e">
        <f t="shared" ca="1" si="47"/>
        <v>#NAME?</v>
      </c>
      <c r="AG266" s="436">
        <f t="shared" si="48"/>
        <v>52010801</v>
      </c>
      <c r="AH266" s="436" t="e" cm="1">
        <f t="array" aca="1" ref="AH266" ca="1">_xlfn.XLOOKUP(PAA[[#This Row],[RCP-RUBRO]],COMPROMISOS_2025[[#All],[concatenado]],COMPROMISOS_2025[[#All],[Total pagado]],"",0)</f>
        <v>#NAME?</v>
      </c>
      <c r="AI266" s="436" t="e" cm="1">
        <f t="array" aca="1" ref="AI266" ca="1">_xlfn.XLOOKUP(PAA[[#This Row],[RCP-RUBRO]],COMPROMISOS_2025[[#All],[concatenado]],COMPROMISOS_2025[[#All],[Total Comprometido]],"",0)</f>
        <v>#NAME?</v>
      </c>
    </row>
    <row r="267" spans="1:35" s="50" customFormat="1" ht="42" hidden="1" customHeight="1" x14ac:dyDescent="0.25">
      <c r="A267" s="436">
        <v>185</v>
      </c>
      <c r="B267" s="418">
        <v>90141502</v>
      </c>
      <c r="C267" s="436" t="str">
        <f>VLOOKUP(PAA[[#This Row],[PROYECTO (formulado)2]],PROYECTOS!$G$1:$L$32,6,0)</f>
        <v>SUBGERENCIA DE ALTOS LOGROS Y DEPORTE ASOCIADO</v>
      </c>
      <c r="D267" s="436" t="str">
        <f>+IF(PAA[[#This Row],[UNIDAD DE CONTRATACION (formulado)]]="Subgerencia Administrativa y Financiera","FUNCIONAMIENTO","INVERSIÓN")</f>
        <v>INVERSIÓN</v>
      </c>
      <c r="E267" s="446" t="str">
        <f>VLOOKUP(Q267,PROYECTOS!$G$1:$K$32,5,0)</f>
        <v>Apoyo económico a las organizaciones deportivas que representan en competencias al departamento de Antioquia</v>
      </c>
      <c r="F267" s="446">
        <f>VLOOKUP(E267,PROYECTOS!$K$1:$M$32,3,0)</f>
        <v>2024003050102</v>
      </c>
      <c r="G267" s="439" t="s">
        <v>359</v>
      </c>
      <c r="H267" s="439" t="str">
        <f>VLOOKUP(Q267,PROYECTOS!$V$1:$W$32,2,0)</f>
        <v>050076</v>
      </c>
      <c r="I267" s="440">
        <v>70000000</v>
      </c>
      <c r="J267" s="442" t="s">
        <v>384</v>
      </c>
      <c r="K267" s="436" t="str">
        <f ca="1">IF(ISNONTEXT(Y267)=TRUE,"CONTRATADO","NO CONTRATADO")</f>
        <v>CONTRATADO</v>
      </c>
      <c r="L267" s="436" t="s">
        <v>112</v>
      </c>
      <c r="M267" s="436" t="s">
        <v>361</v>
      </c>
      <c r="N267" s="447" t="s">
        <v>362</v>
      </c>
      <c r="O267" s="442">
        <f>VLOOKUP(N267,RUBROS[#All],3,0)</f>
        <v>100</v>
      </c>
      <c r="P267" s="448" t="str">
        <f>VLOOKUP(N267,RUBROS[#All],2,0)</f>
        <v>Apoyo Económico A Las Organizaciones Deportivas Que Representen Competencias Al Departamento De Antioquia -Actividades De Promoción Y   Desarrollo Del Deporte</v>
      </c>
      <c r="Q267" s="436" t="str">
        <f>+MID(N267,11,2)</f>
        <v>02</v>
      </c>
      <c r="R267" s="436" t="str">
        <f>+MID(N267,14,8)</f>
        <v>0-205400</v>
      </c>
      <c r="S267" s="417">
        <v>9</v>
      </c>
      <c r="T267" s="443" t="s">
        <v>46</v>
      </c>
      <c r="U267" s="444" t="e">
        <f ca="1">_xlfn.XLOOKUP(PAA[[#This Row],[ITEM]],Contrato!A:A,Contrato!Q:Q,"",0)</f>
        <v>#NAME?</v>
      </c>
      <c r="V267" s="436" t="s">
        <v>47</v>
      </c>
      <c r="W267" s="436" t="s">
        <v>127</v>
      </c>
      <c r="X267" s="436" t="s">
        <v>127</v>
      </c>
      <c r="Y267" s="445" t="e">
        <f ca="1">_xlfn.XLOOKUP(PAA[[#This Row],[ITEM]],Contrato!A:A,Contrato!B:B,"",0)</f>
        <v>#NAME?</v>
      </c>
      <c r="Z267" s="436" t="e">
        <f ca="1">_xlfn.XLOOKUP(PAA[[#This Row],[ITEM]],Contrato!A:A,Contrato!G:G,"",0)</f>
        <v>#NAME?</v>
      </c>
      <c r="AA267" s="436" t="e">
        <f ca="1">_xlfn.XLOOKUP(PAA[[#This Row],[ITEM]],Contrato!A:A,Contrato!T:T,"",0)</f>
        <v>#NAME?</v>
      </c>
      <c r="AB267" s="445" t="e">
        <f ca="1">+MAX(PAA[[#This Row],[Comprometido Contrato]],)</f>
        <v>#NAME?</v>
      </c>
      <c r="AC267" s="445" t="str">
        <f ca="1">IFERROR(I267-AB267,"")</f>
        <v/>
      </c>
      <c r="AD267" s="445" t="e">
        <f ca="1">+MAX(PAA[[#This Row],[Pago por Contrato]],)</f>
        <v>#NAME?</v>
      </c>
      <c r="AE267" s="445" t="str">
        <f ca="1">+IFERROR(AB267-AD267,"")</f>
        <v/>
      </c>
      <c r="AF267" s="436" t="e">
        <f ca="1">+CONCATENATE(AA267,N267)</f>
        <v>#NAME?</v>
      </c>
      <c r="AG267" s="436">
        <f>IFERROR(_xlfn.NUMBERVALUE(MID(G267,1,8)),"")</f>
        <v>52010801</v>
      </c>
      <c r="AH267" s="436" t="e" cm="1">
        <f t="array" aca="1" ref="AH267" ca="1">_xlfn.XLOOKUP(PAA[[#This Row],[RCP-RUBRO]],COMPROMISOS_2025[[#All],[concatenado]],COMPROMISOS_2025[[#All],[Total pagado]],"",0)</f>
        <v>#NAME?</v>
      </c>
      <c r="AI267" s="436" t="e" cm="1">
        <f t="array" aca="1" ref="AI267" ca="1">_xlfn.XLOOKUP(PAA[[#This Row],[RCP-RUBRO]],COMPROMISOS_2025[[#All],[concatenado]],COMPROMISOS_2025[[#All],[Total Comprometido]],"",0)</f>
        <v>#NAME?</v>
      </c>
    </row>
    <row r="268" spans="1:35" s="50" customFormat="1" ht="42" hidden="1" customHeight="1" x14ac:dyDescent="0.25">
      <c r="A268" s="436">
        <v>185</v>
      </c>
      <c r="B268" s="418">
        <v>90141502</v>
      </c>
      <c r="C268" s="436" t="str">
        <f>VLOOKUP(PAA[[#This Row],[PROYECTO (formulado)2]],PROYECTOS!$G$1:$L$32,6,0)</f>
        <v>SUBGERENCIA DE ALTOS LOGROS Y DEPORTE ASOCIADO</v>
      </c>
      <c r="D268" s="436" t="str">
        <f>+IF(PAA[[#This Row],[UNIDAD DE CONTRATACION (formulado)]]="Subgerencia Administrativa y Financiera","FUNCIONAMIENTO","INVERSIÓN")</f>
        <v>INVERSIÓN</v>
      </c>
      <c r="E268" s="446" t="str">
        <f>VLOOKUP(Q268,PROYECTOS!$G$1:$K$32,5,0)</f>
        <v>Apoyo económico a las organizaciones deportivas que representan en competencias al departamento de Antioquia</v>
      </c>
      <c r="F268" s="446">
        <f>VLOOKUP(E268,PROYECTOS!$K$1:$M$32,3,0)</f>
        <v>2024003050102</v>
      </c>
      <c r="G268" s="439" t="s">
        <v>359</v>
      </c>
      <c r="H268" s="439" t="str">
        <f>VLOOKUP(Q268,PROYECTOS!$V$1:$W$32,2,0)</f>
        <v>050076</v>
      </c>
      <c r="I268" s="440">
        <v>30000000</v>
      </c>
      <c r="J268" s="442" t="s">
        <v>384</v>
      </c>
      <c r="K268" s="436" t="str">
        <f t="shared" ca="1" si="42"/>
        <v>CONTRATADO</v>
      </c>
      <c r="L268" s="436" t="s">
        <v>112</v>
      </c>
      <c r="M268" s="436" t="s">
        <v>361</v>
      </c>
      <c r="N268" s="447" t="s">
        <v>363</v>
      </c>
      <c r="O268" s="442">
        <f>VLOOKUP(N268,RUBROS[#All],3,0)</f>
        <v>57</v>
      </c>
      <c r="P268" s="448" t="str">
        <f>VLOOKUP(N268,RUBROS[#All],2,0)</f>
        <v>Apoyo económico a las organizaciones deportivas que representan en competencias al departamento de Antioquia -Actividades de promoción y desarrollo del Deporte</v>
      </c>
      <c r="Q268" s="436" t="str">
        <f t="shared" si="43"/>
        <v>02</v>
      </c>
      <c r="R268" s="436" t="str">
        <f t="shared" si="44"/>
        <v>0-205128</v>
      </c>
      <c r="S268" s="417">
        <v>9</v>
      </c>
      <c r="T268" s="449" t="s">
        <v>46</v>
      </c>
      <c r="U268" s="444" t="e">
        <f ca="1">_xlfn.XLOOKUP(PAA[[#This Row],[ITEM]],Contrato!A:A,Contrato!Q:Q,"",0)</f>
        <v>#NAME?</v>
      </c>
      <c r="V268" s="436" t="s">
        <v>47</v>
      </c>
      <c r="W268" s="436" t="s">
        <v>127</v>
      </c>
      <c r="X268" s="436" t="s">
        <v>127</v>
      </c>
      <c r="Y268" s="445" t="e">
        <f ca="1">_xlfn.XLOOKUP(PAA[[#This Row],[ITEM]],Contrato!A:A,Contrato!B:B,"",0)</f>
        <v>#NAME?</v>
      </c>
      <c r="Z268" s="436" t="e">
        <f ca="1">_xlfn.XLOOKUP(PAA[[#This Row],[ITEM]],Contrato!A:A,Contrato!G:G,"",0)</f>
        <v>#NAME?</v>
      </c>
      <c r="AA268" s="436" t="e">
        <f ca="1">_xlfn.XLOOKUP(PAA[[#This Row],[ITEM]],Contrato!A:A,Contrato!T:T,"",0)</f>
        <v>#NAME?</v>
      </c>
      <c r="AB268" s="445" t="e">
        <f ca="1">+MAX(PAA[[#This Row],[Comprometido Contrato]],)</f>
        <v>#NAME?</v>
      </c>
      <c r="AC268" s="445" t="str">
        <f t="shared" ca="1" si="49"/>
        <v/>
      </c>
      <c r="AD268" s="445" t="e">
        <f ca="1">+MAX(PAA[[#This Row],[Pago por Contrato]],)</f>
        <v>#NAME?</v>
      </c>
      <c r="AE268" s="445" t="str">
        <f t="shared" ca="1" si="46"/>
        <v/>
      </c>
      <c r="AF268" s="436" t="e">
        <f t="shared" ca="1" si="47"/>
        <v>#NAME?</v>
      </c>
      <c r="AG268" s="436">
        <f t="shared" si="48"/>
        <v>52010801</v>
      </c>
      <c r="AH268" s="436" t="e" cm="1">
        <f t="array" aca="1" ref="AH268" ca="1">_xlfn.XLOOKUP(PAA[[#This Row],[RCP-RUBRO]],COMPROMISOS_2025[[#All],[concatenado]],COMPROMISOS_2025[[#All],[Total pagado]],"",0)</f>
        <v>#NAME?</v>
      </c>
      <c r="AI268" s="436" t="e" cm="1">
        <f t="array" aca="1" ref="AI268" ca="1">_xlfn.XLOOKUP(PAA[[#This Row],[RCP-RUBRO]],COMPROMISOS_2025[[#All],[concatenado]],COMPROMISOS_2025[[#All],[Total Comprometido]],"",0)</f>
        <v>#NAME?</v>
      </c>
    </row>
    <row r="269" spans="1:35" s="50" customFormat="1" ht="42" hidden="1" customHeight="1" x14ac:dyDescent="0.25">
      <c r="A269" s="57">
        <v>186</v>
      </c>
      <c r="B269" s="186">
        <v>90141502</v>
      </c>
      <c r="C269" s="57" t="str">
        <f>VLOOKUP(PAA[[#This Row],[PROYECTO (formulado)2]],PROYECTOS!$G$1:$L$32,6,0)</f>
        <v>SUBGERENCIA DE ALTOS LOGROS Y DEPORTE ASOCIADO</v>
      </c>
      <c r="D269" s="57" t="str">
        <f>+IF(PAA[[#This Row],[UNIDAD DE CONTRATACION (formulado)]]="Subgerencia Administrativa y Financiera","FUNCIONAMIENTO","INVERSIÓN")</f>
        <v>INVERSIÓN</v>
      </c>
      <c r="E269" s="153" t="str">
        <f>VLOOKUP(Q269,PROYECTOS!$G$1:$K$32,5,0)</f>
        <v>Apoyo económico a las organizaciones deportivas que representan en competencias al departamento de Antioquia</v>
      </c>
      <c r="F269" s="153">
        <f>VLOOKUP(E269,PROYECTOS!$K$1:$M$32,3,0)</f>
        <v>2024003050102</v>
      </c>
      <c r="G269" s="154" t="s">
        <v>359</v>
      </c>
      <c r="H269" s="154" t="str">
        <f>VLOOKUP(Q269,PROYECTOS!$V$1:$W$32,2,0)</f>
        <v>050076</v>
      </c>
      <c r="I269" s="143">
        <v>50000000</v>
      </c>
      <c r="J269" s="155" t="s">
        <v>385</v>
      </c>
      <c r="K269" s="57" t="str">
        <f t="shared" ca="1" si="42"/>
        <v>CONTRATADO</v>
      </c>
      <c r="L269" s="57" t="s">
        <v>112</v>
      </c>
      <c r="M269" s="57" t="s">
        <v>361</v>
      </c>
      <c r="N269" s="142" t="s">
        <v>363</v>
      </c>
      <c r="O269" s="155">
        <f>VLOOKUP(N269,RUBROS[#All],3,0)</f>
        <v>57</v>
      </c>
      <c r="P269" s="156" t="str">
        <f>VLOOKUP(N269,RUBROS[#All],2,0)</f>
        <v>Apoyo económico a las organizaciones deportivas que representan en competencias al departamento de Antioquia -Actividades de promoción y desarrollo del Deporte</v>
      </c>
      <c r="Q269" s="57" t="str">
        <f t="shared" si="43"/>
        <v>02</v>
      </c>
      <c r="R269" s="57" t="str">
        <f t="shared" si="44"/>
        <v>0-205128</v>
      </c>
      <c r="S269" s="152">
        <v>9</v>
      </c>
      <c r="T269" s="157" t="s">
        <v>46</v>
      </c>
      <c r="U269" s="162" t="e">
        <f ca="1">_xlfn.XLOOKUP(PAA[[#This Row],[ITEM]],Contrato!A:A,Contrato!Q:Q,"",0)</f>
        <v>#NAME?</v>
      </c>
      <c r="V269" s="57" t="s">
        <v>47</v>
      </c>
      <c r="W269" s="57" t="s">
        <v>127</v>
      </c>
      <c r="X269" s="57" t="s">
        <v>127</v>
      </c>
      <c r="Y269" s="58" t="e">
        <f ca="1">_xlfn.XLOOKUP(PAA[[#This Row],[ITEM]],Contrato!A:A,Contrato!B:B,"",0)</f>
        <v>#NAME?</v>
      </c>
      <c r="Z269" s="57" t="e">
        <f ca="1">_xlfn.XLOOKUP(PAA[[#This Row],[ITEM]],Contrato!A:A,Contrato!G:G,"",0)</f>
        <v>#NAME?</v>
      </c>
      <c r="AA269" s="57" t="e">
        <f ca="1">_xlfn.XLOOKUP(PAA[[#This Row],[ITEM]],Contrato!A:A,Contrato!T:T,"",0)</f>
        <v>#NAME?</v>
      </c>
      <c r="AB269" s="58" t="e">
        <f ca="1">+MAX(PAA[[#This Row],[Comprometido Contrato]],)</f>
        <v>#NAME?</v>
      </c>
      <c r="AC269" s="58" t="str">
        <f t="shared" ca="1" si="49"/>
        <v/>
      </c>
      <c r="AD269" s="58" t="e">
        <f ca="1">+MAX(PAA[[#This Row],[Pago por Contrato]],)</f>
        <v>#NAME?</v>
      </c>
      <c r="AE269" s="58" t="str">
        <f t="shared" ca="1" si="46"/>
        <v/>
      </c>
      <c r="AF269" s="57" t="e">
        <f t="shared" ca="1" si="47"/>
        <v>#NAME?</v>
      </c>
      <c r="AG269" s="57">
        <f t="shared" si="48"/>
        <v>52010801</v>
      </c>
      <c r="AH269" s="57" t="e" cm="1">
        <f t="array" aca="1" ref="AH269" ca="1">_xlfn.XLOOKUP(PAA[[#This Row],[RCP-RUBRO]],COMPROMISOS_2025[[#All],[concatenado]],COMPROMISOS_2025[[#All],[Total pagado]],"",0)</f>
        <v>#NAME?</v>
      </c>
      <c r="AI269" s="57" t="e" cm="1">
        <f t="array" aca="1" ref="AI269" ca="1">_xlfn.XLOOKUP(PAA[[#This Row],[RCP-RUBRO]],COMPROMISOS_2025[[#All],[concatenado]],COMPROMISOS_2025[[#All],[Total Comprometido]],"",0)</f>
        <v>#NAME?</v>
      </c>
    </row>
    <row r="270" spans="1:35" s="50" customFormat="1" ht="42" hidden="1" customHeight="1" x14ac:dyDescent="0.25">
      <c r="A270" s="265">
        <v>187</v>
      </c>
      <c r="B270" s="255">
        <v>90141502</v>
      </c>
      <c r="C270" s="265" t="str">
        <f>VLOOKUP(PAA[[#This Row],[PROYECTO (formulado)2]],PROYECTOS!$G$1:$L$32,6,0)</f>
        <v>SUBGERENCIA DE ALTOS LOGROS Y DEPORTE ASOCIADO</v>
      </c>
      <c r="D270" s="265" t="str">
        <f>+IF(PAA[[#This Row],[UNIDAD DE CONTRATACION (formulado)]]="Subgerencia Administrativa y Financiera","FUNCIONAMIENTO","INVERSIÓN")</f>
        <v>INVERSIÓN</v>
      </c>
      <c r="E270" s="274" t="str">
        <f>VLOOKUP(Q270,PROYECTOS!$G$1:$K$32,5,0)</f>
        <v>Apoyo económico a las organizaciones deportivas que representan en competencias al departamento de Antioquia</v>
      </c>
      <c r="F270" s="274">
        <f>VLOOKUP(E270,PROYECTOS!$K$1:$M$32,3,0)</f>
        <v>2024003050102</v>
      </c>
      <c r="G270" s="266" t="s">
        <v>359</v>
      </c>
      <c r="H270" s="266" t="str">
        <f>VLOOKUP(Q270,PROYECTOS!$V$1:$W$32,2,0)</f>
        <v>050076</v>
      </c>
      <c r="I270" s="269">
        <v>200000000</v>
      </c>
      <c r="J270" s="275" t="s">
        <v>386</v>
      </c>
      <c r="K270" s="265" t="str">
        <f t="shared" ca="1" si="42"/>
        <v>CONTRATADO</v>
      </c>
      <c r="L270" s="265" t="s">
        <v>112</v>
      </c>
      <c r="M270" s="265" t="s">
        <v>361</v>
      </c>
      <c r="N270" s="276" t="s">
        <v>363</v>
      </c>
      <c r="O270" s="275">
        <f>VLOOKUP(N270,RUBROS[#All],3,0)</f>
        <v>57</v>
      </c>
      <c r="P270" s="277" t="str">
        <f>VLOOKUP(N270,RUBROS[#All],2,0)</f>
        <v>Apoyo económico a las organizaciones deportivas que representan en competencias al departamento de Antioquia -Actividades de promoción y desarrollo del Deporte</v>
      </c>
      <c r="Q270" s="265" t="str">
        <f t="shared" si="43"/>
        <v>02</v>
      </c>
      <c r="R270" s="265" t="str">
        <f t="shared" si="44"/>
        <v>0-205128</v>
      </c>
      <c r="S270" s="254">
        <v>285</v>
      </c>
      <c r="T270" s="278" t="s">
        <v>220</v>
      </c>
      <c r="U270" s="272" t="e">
        <f ca="1">_xlfn.XLOOKUP(PAA[[#This Row],[ITEM]],Contrato!A:A,Contrato!Q:Q,"",0)</f>
        <v>#NAME?</v>
      </c>
      <c r="V270" s="265" t="s">
        <v>47</v>
      </c>
      <c r="W270" s="265" t="s">
        <v>127</v>
      </c>
      <c r="X270" s="265" t="s">
        <v>127</v>
      </c>
      <c r="Y270" s="273" t="e">
        <f ca="1">_xlfn.XLOOKUP(PAA[[#This Row],[ITEM]],Contrato!A:A,Contrato!B:B,"",0)</f>
        <v>#NAME?</v>
      </c>
      <c r="Z270" s="265" t="e">
        <f ca="1">_xlfn.XLOOKUP(PAA[[#This Row],[ITEM]],Contrato!A:A,Contrato!G:G,"",0)</f>
        <v>#NAME?</v>
      </c>
      <c r="AA270" s="265" t="e">
        <f ca="1">_xlfn.XLOOKUP(PAA[[#This Row],[ITEM]],Contrato!A:A,Contrato!T:T,"",0)</f>
        <v>#NAME?</v>
      </c>
      <c r="AB270" s="273" t="e">
        <f ca="1">+MAX(PAA[[#This Row],[Comprometido Contrato]],)</f>
        <v>#NAME?</v>
      </c>
      <c r="AC270" s="273" t="str">
        <f t="shared" ca="1" si="49"/>
        <v/>
      </c>
      <c r="AD270" s="273" t="e">
        <f ca="1">+MAX(PAA[[#This Row],[Pago por Contrato]],)</f>
        <v>#NAME?</v>
      </c>
      <c r="AE270" s="273" t="str">
        <f t="shared" ca="1" si="46"/>
        <v/>
      </c>
      <c r="AF270" s="265" t="e">
        <f t="shared" ca="1" si="47"/>
        <v>#NAME?</v>
      </c>
      <c r="AG270" s="265">
        <f t="shared" si="48"/>
        <v>52010801</v>
      </c>
      <c r="AH270" s="265" t="e" cm="1">
        <f t="array" aca="1" ref="AH270" ca="1">_xlfn.XLOOKUP(PAA[[#This Row],[RCP-RUBRO]],COMPROMISOS_2025[[#All],[concatenado]],COMPROMISOS_2025[[#All],[Total pagado]],"",0)</f>
        <v>#NAME?</v>
      </c>
      <c r="AI270" s="265" t="e" cm="1">
        <f t="array" aca="1" ref="AI270" ca="1">_xlfn.XLOOKUP(PAA[[#This Row],[RCP-RUBRO]],COMPROMISOS_2025[[#All],[concatenado]],COMPROMISOS_2025[[#All],[Total Comprometido]],"",0)</f>
        <v>#NAME?</v>
      </c>
    </row>
    <row r="271" spans="1:35" s="50" customFormat="1" ht="42" hidden="1" customHeight="1" x14ac:dyDescent="0.25">
      <c r="A271" s="265">
        <v>188</v>
      </c>
      <c r="B271" s="255">
        <v>90141502</v>
      </c>
      <c r="C271" s="265" t="str">
        <f>VLOOKUP(PAA[[#This Row],[PROYECTO (formulado)2]],PROYECTOS!$G$1:$L$32,6,0)</f>
        <v>SUBGERENCIA DE ALTOS LOGROS Y DEPORTE ASOCIADO</v>
      </c>
      <c r="D271" s="265" t="str">
        <f>+IF(PAA[[#This Row],[UNIDAD DE CONTRATACION (formulado)]]="Subgerencia Administrativa y Financiera","FUNCIONAMIENTO","INVERSIÓN")</f>
        <v>INVERSIÓN</v>
      </c>
      <c r="E271" s="274" t="str">
        <f>VLOOKUP(Q271,PROYECTOS!$G$1:$K$32,5,0)</f>
        <v>Apoyo económico a las organizaciones deportivas que representan en competencias al departamento de Antioquia</v>
      </c>
      <c r="F271" s="274">
        <f>VLOOKUP(E271,PROYECTOS!$K$1:$M$32,3,0)</f>
        <v>2024003050102</v>
      </c>
      <c r="G271" s="266" t="s">
        <v>359</v>
      </c>
      <c r="H271" s="266" t="str">
        <f>VLOOKUP(Q271,PROYECTOS!$V$1:$W$32,2,0)</f>
        <v>050076</v>
      </c>
      <c r="I271" s="269">
        <v>120000000</v>
      </c>
      <c r="J271" s="275" t="s">
        <v>387</v>
      </c>
      <c r="K271" s="265" t="str">
        <f t="shared" ca="1" si="42"/>
        <v>CONTRATADO</v>
      </c>
      <c r="L271" s="265" t="s">
        <v>112</v>
      </c>
      <c r="M271" s="265" t="s">
        <v>361</v>
      </c>
      <c r="N271" s="276" t="s">
        <v>363</v>
      </c>
      <c r="O271" s="275">
        <f>VLOOKUP(N271,RUBROS[#All],3,0)</f>
        <v>57</v>
      </c>
      <c r="P271" s="277" t="str">
        <f>VLOOKUP(N271,RUBROS[#All],2,0)</f>
        <v>Apoyo económico a las organizaciones deportivas que representan en competencias al departamento de Antioquia -Actividades de promoción y desarrollo del Deporte</v>
      </c>
      <c r="Q271" s="265" t="str">
        <f t="shared" si="43"/>
        <v>02</v>
      </c>
      <c r="R271" s="265" t="str">
        <f t="shared" si="44"/>
        <v>0-205128</v>
      </c>
      <c r="S271" s="254">
        <v>285</v>
      </c>
      <c r="T271" s="278" t="s">
        <v>220</v>
      </c>
      <c r="U271" s="272" t="e">
        <f ca="1">_xlfn.XLOOKUP(PAA[[#This Row],[ITEM]],Contrato!A:A,Contrato!Q:Q,"",0)</f>
        <v>#NAME?</v>
      </c>
      <c r="V271" s="265" t="s">
        <v>47</v>
      </c>
      <c r="W271" s="265" t="s">
        <v>127</v>
      </c>
      <c r="X271" s="265" t="s">
        <v>127</v>
      </c>
      <c r="Y271" s="273" t="e">
        <f ca="1">_xlfn.XLOOKUP(PAA[[#This Row],[ITEM]],Contrato!A:A,Contrato!B:B,"",0)</f>
        <v>#NAME?</v>
      </c>
      <c r="Z271" s="265" t="e">
        <f ca="1">_xlfn.XLOOKUP(PAA[[#This Row],[ITEM]],Contrato!A:A,Contrato!G:G,"",0)</f>
        <v>#NAME?</v>
      </c>
      <c r="AA271" s="265" t="e">
        <f ca="1">_xlfn.XLOOKUP(PAA[[#This Row],[ITEM]],Contrato!A:A,Contrato!T:T,"",0)</f>
        <v>#NAME?</v>
      </c>
      <c r="AB271" s="273" t="e">
        <f ca="1">+MAX(PAA[[#This Row],[Comprometido Contrato]],)</f>
        <v>#NAME?</v>
      </c>
      <c r="AC271" s="273" t="str">
        <f t="shared" ca="1" si="49"/>
        <v/>
      </c>
      <c r="AD271" s="273" t="e">
        <f ca="1">+MAX(PAA[[#This Row],[Pago por Contrato]],)</f>
        <v>#NAME?</v>
      </c>
      <c r="AE271" s="273" t="str">
        <f t="shared" ca="1" si="46"/>
        <v/>
      </c>
      <c r="AF271" s="265" t="e">
        <f t="shared" ca="1" si="47"/>
        <v>#NAME?</v>
      </c>
      <c r="AG271" s="265">
        <f t="shared" si="48"/>
        <v>52010801</v>
      </c>
      <c r="AH271" s="265" t="e" cm="1">
        <f t="array" aca="1" ref="AH271" ca="1">_xlfn.XLOOKUP(PAA[[#This Row],[RCP-RUBRO]],COMPROMISOS_2025[[#All],[concatenado]],COMPROMISOS_2025[[#All],[Total pagado]],"",0)</f>
        <v>#NAME?</v>
      </c>
      <c r="AI271" s="265" t="e" cm="1">
        <f t="array" aca="1" ref="AI271" ca="1">_xlfn.XLOOKUP(PAA[[#This Row],[RCP-RUBRO]],COMPROMISOS_2025[[#All],[concatenado]],COMPROMISOS_2025[[#All],[Total Comprometido]],"",0)</f>
        <v>#NAME?</v>
      </c>
    </row>
    <row r="272" spans="1:35" s="50" customFormat="1" ht="42" hidden="1" customHeight="1" x14ac:dyDescent="0.25">
      <c r="A272" s="476">
        <v>189</v>
      </c>
      <c r="B272" s="477">
        <v>90141502</v>
      </c>
      <c r="C272" s="476" t="str">
        <f>VLOOKUP(PAA[[#This Row],[PROYECTO (formulado)2]],PROYECTOS!$G$1:$L$32,6,0)</f>
        <v>SUBGERENCIA DE ALTOS LOGROS Y DEPORTE ASOCIADO</v>
      </c>
      <c r="D272" s="476" t="str">
        <f>+IF(PAA[[#This Row],[UNIDAD DE CONTRATACION (formulado)]]="Subgerencia Administrativa y Financiera","FUNCIONAMIENTO","INVERSIÓN")</f>
        <v>INVERSIÓN</v>
      </c>
      <c r="E272" s="478" t="str">
        <f>VLOOKUP(Q272,PROYECTOS!$G$1:$K$32,5,0)</f>
        <v>Apoyo económico a las organizaciones deportivas que representan en competencias al departamento de Antioquia</v>
      </c>
      <c r="F272" s="478">
        <f>VLOOKUP(E272,PROYECTOS!$K$1:$M$32,3,0)</f>
        <v>2024003050102</v>
      </c>
      <c r="G272" s="479" t="s">
        <v>359</v>
      </c>
      <c r="H272" s="479" t="str">
        <f>VLOOKUP(Q272,PROYECTOS!$V$1:$W$32,2,0)</f>
        <v>050076</v>
      </c>
      <c r="I272" s="480">
        <v>10000000</v>
      </c>
      <c r="J272" s="481" t="s">
        <v>388</v>
      </c>
      <c r="K272" s="476" t="str">
        <f t="shared" ca="1" si="42"/>
        <v>CONTRATADO</v>
      </c>
      <c r="L272" s="476" t="s">
        <v>112</v>
      </c>
      <c r="M272" s="476" t="s">
        <v>361</v>
      </c>
      <c r="N272" s="482" t="s">
        <v>363</v>
      </c>
      <c r="O272" s="481">
        <f>VLOOKUP(N272,RUBROS[#All],3,0)</f>
        <v>57</v>
      </c>
      <c r="P272" s="483" t="str">
        <f>VLOOKUP(N272,RUBROS[#All],2,0)</f>
        <v>Apoyo económico a las organizaciones deportivas que representan en competencias al departamento de Antioquia -Actividades de promoción y desarrollo del Deporte</v>
      </c>
      <c r="Q272" s="476" t="str">
        <f t="shared" si="43"/>
        <v>02</v>
      </c>
      <c r="R272" s="476" t="str">
        <f t="shared" si="44"/>
        <v>0-205128</v>
      </c>
      <c r="S272" s="484" t="s">
        <v>41</v>
      </c>
      <c r="T272" s="485" t="s">
        <v>41</v>
      </c>
      <c r="U272" s="486" t="e">
        <f ca="1">_xlfn.XLOOKUP(PAA[[#This Row],[ITEM]],Contrato!A:A,Contrato!Q:Q,"",0)</f>
        <v>#NAME?</v>
      </c>
      <c r="V272" s="476" t="s">
        <v>47</v>
      </c>
      <c r="W272" s="476" t="s">
        <v>41</v>
      </c>
      <c r="X272" s="476" t="s">
        <v>41</v>
      </c>
      <c r="Y272" s="487" t="e">
        <f ca="1">_xlfn.XLOOKUP(PAA[[#This Row],[ITEM]],Contrato!A:A,Contrato!B:B,"",0)</f>
        <v>#NAME?</v>
      </c>
      <c r="Z272" s="476" t="e">
        <f ca="1">_xlfn.XLOOKUP(PAA[[#This Row],[ITEM]],Contrato!A:A,Contrato!G:G,"",0)</f>
        <v>#NAME?</v>
      </c>
      <c r="AA272" s="476" t="e">
        <f ca="1">_xlfn.XLOOKUP(PAA[[#This Row],[ITEM]],Contrato!A:A,Contrato!T:T,"",0)</f>
        <v>#NAME?</v>
      </c>
      <c r="AB272" s="487" t="e">
        <f ca="1">+MAX(PAA[[#This Row],[Comprometido Contrato]],)</f>
        <v>#NAME?</v>
      </c>
      <c r="AC272" s="487" t="str">
        <f t="shared" ca="1" si="49"/>
        <v/>
      </c>
      <c r="AD272" s="487" t="e">
        <f ca="1">+MAX(PAA[[#This Row],[Pago por Contrato]],)</f>
        <v>#NAME?</v>
      </c>
      <c r="AE272" s="487" t="str">
        <f t="shared" ca="1" si="46"/>
        <v/>
      </c>
      <c r="AF272" s="476" t="e">
        <f t="shared" ca="1" si="47"/>
        <v>#NAME?</v>
      </c>
      <c r="AG272" s="476">
        <f t="shared" si="48"/>
        <v>52010801</v>
      </c>
      <c r="AH272" s="476" t="e" cm="1">
        <f t="array" aca="1" ref="AH272" ca="1">_xlfn.XLOOKUP(PAA[[#This Row],[RCP-RUBRO]],COMPROMISOS_2025[[#All],[concatenado]],COMPROMISOS_2025[[#All],[Total pagado]],"",0)</f>
        <v>#NAME?</v>
      </c>
      <c r="AI272" s="476" t="e" cm="1">
        <f t="array" aca="1" ref="AI272" ca="1">_xlfn.XLOOKUP(PAA[[#This Row],[RCP-RUBRO]],COMPROMISOS_2025[[#All],[concatenado]],COMPROMISOS_2025[[#All],[Total Comprometido]],"",0)</f>
        <v>#NAME?</v>
      </c>
    </row>
    <row r="273" spans="1:35" s="50" customFormat="1" ht="42" hidden="1" customHeight="1" x14ac:dyDescent="0.25">
      <c r="A273" s="476">
        <v>190</v>
      </c>
      <c r="B273" s="477">
        <v>90141502</v>
      </c>
      <c r="C273" s="476" t="str">
        <f>VLOOKUP(PAA[[#This Row],[PROYECTO (formulado)2]],PROYECTOS!$G$1:$L$32,6,0)</f>
        <v>SUBGERENCIA DE ALTOS LOGROS Y DEPORTE ASOCIADO</v>
      </c>
      <c r="D273" s="476" t="str">
        <f>+IF(PAA[[#This Row],[UNIDAD DE CONTRATACION (formulado)]]="Subgerencia Administrativa y Financiera","FUNCIONAMIENTO","INVERSIÓN")</f>
        <v>INVERSIÓN</v>
      </c>
      <c r="E273" s="478" t="str">
        <f>VLOOKUP(Q273,PROYECTOS!$G$1:$K$32,5,0)</f>
        <v>Apoyo económico a las organizaciones deportivas que representan en competencias al departamento de Antioquia</v>
      </c>
      <c r="F273" s="478">
        <f>VLOOKUP(E273,PROYECTOS!$K$1:$M$32,3,0)</f>
        <v>2024003050102</v>
      </c>
      <c r="G273" s="479" t="s">
        <v>359</v>
      </c>
      <c r="H273" s="479" t="str">
        <f>VLOOKUP(Q273,PROYECTOS!$V$1:$W$32,2,0)</f>
        <v>050076</v>
      </c>
      <c r="I273" s="480">
        <v>10000000</v>
      </c>
      <c r="J273" s="481" t="s">
        <v>389</v>
      </c>
      <c r="K273" s="476" t="str">
        <f t="shared" ca="1" si="42"/>
        <v>CONTRATADO</v>
      </c>
      <c r="L273" s="476" t="s">
        <v>112</v>
      </c>
      <c r="M273" s="476" t="s">
        <v>361</v>
      </c>
      <c r="N273" s="482" t="s">
        <v>363</v>
      </c>
      <c r="O273" s="481">
        <f>VLOOKUP(N273,RUBROS[#All],3,0)</f>
        <v>57</v>
      </c>
      <c r="P273" s="483" t="str">
        <f>VLOOKUP(N273,RUBROS[#All],2,0)</f>
        <v>Apoyo económico a las organizaciones deportivas que representan en competencias al departamento de Antioquia -Actividades de promoción y desarrollo del Deporte</v>
      </c>
      <c r="Q273" s="476" t="str">
        <f t="shared" si="43"/>
        <v>02</v>
      </c>
      <c r="R273" s="476" t="str">
        <f t="shared" si="44"/>
        <v>0-205128</v>
      </c>
      <c r="S273" s="484" t="s">
        <v>41</v>
      </c>
      <c r="T273" s="485" t="s">
        <v>41</v>
      </c>
      <c r="U273" s="486" t="e">
        <f ca="1">_xlfn.XLOOKUP(PAA[[#This Row],[ITEM]],Contrato!A:A,Contrato!Q:Q,"",0)</f>
        <v>#NAME?</v>
      </c>
      <c r="V273" s="476" t="s">
        <v>47</v>
      </c>
      <c r="W273" s="476" t="s">
        <v>41</v>
      </c>
      <c r="X273" s="476" t="s">
        <v>41</v>
      </c>
      <c r="Y273" s="487" t="e">
        <f ca="1">_xlfn.XLOOKUP(PAA[[#This Row],[ITEM]],Contrato!A:A,Contrato!B:B,"",0)</f>
        <v>#NAME?</v>
      </c>
      <c r="Z273" s="476" t="e">
        <f ca="1">_xlfn.XLOOKUP(PAA[[#This Row],[ITEM]],Contrato!A:A,Contrato!G:G,"",0)</f>
        <v>#NAME?</v>
      </c>
      <c r="AA273" s="476" t="e">
        <f ca="1">_xlfn.XLOOKUP(PAA[[#This Row],[ITEM]],Contrato!A:A,Contrato!T:T,"",0)</f>
        <v>#NAME?</v>
      </c>
      <c r="AB273" s="487" t="e">
        <f ca="1">+MAX(PAA[[#This Row],[Comprometido Contrato]],)</f>
        <v>#NAME?</v>
      </c>
      <c r="AC273" s="487" t="str">
        <f t="shared" ca="1" si="49"/>
        <v/>
      </c>
      <c r="AD273" s="487" t="e">
        <f ca="1">+MAX(PAA[[#This Row],[Pago por Contrato]],)</f>
        <v>#NAME?</v>
      </c>
      <c r="AE273" s="487" t="str">
        <f t="shared" ca="1" si="46"/>
        <v/>
      </c>
      <c r="AF273" s="476" t="e">
        <f t="shared" ca="1" si="47"/>
        <v>#NAME?</v>
      </c>
      <c r="AG273" s="476">
        <f t="shared" si="48"/>
        <v>52010801</v>
      </c>
      <c r="AH273" s="476" t="e" cm="1">
        <f t="array" aca="1" ref="AH273" ca="1">_xlfn.XLOOKUP(PAA[[#This Row],[RCP-RUBRO]],COMPROMISOS_2025[[#All],[concatenado]],COMPROMISOS_2025[[#All],[Total pagado]],"",0)</f>
        <v>#NAME?</v>
      </c>
      <c r="AI273" s="476" t="e" cm="1">
        <f t="array" aca="1" ref="AI273" ca="1">_xlfn.XLOOKUP(PAA[[#This Row],[RCP-RUBRO]],COMPROMISOS_2025[[#All],[concatenado]],COMPROMISOS_2025[[#All],[Total Comprometido]],"",0)</f>
        <v>#NAME?</v>
      </c>
    </row>
    <row r="274" spans="1:35" s="50" customFormat="1" ht="42" hidden="1" customHeight="1" x14ac:dyDescent="0.25">
      <c r="A274" s="476">
        <v>191</v>
      </c>
      <c r="B274" s="477">
        <v>90141502</v>
      </c>
      <c r="C274" s="476" t="str">
        <f>VLOOKUP(PAA[[#This Row],[PROYECTO (formulado)2]],PROYECTOS!$G$1:$L$32,6,0)</f>
        <v>SUBGERENCIA DE ALTOS LOGROS Y DEPORTE ASOCIADO</v>
      </c>
      <c r="D274" s="476" t="str">
        <f>+IF(PAA[[#This Row],[UNIDAD DE CONTRATACION (formulado)]]="Subgerencia Administrativa y Financiera","FUNCIONAMIENTO","INVERSIÓN")</f>
        <v>INVERSIÓN</v>
      </c>
      <c r="E274" s="478" t="str">
        <f>VLOOKUP(Q274,PROYECTOS!$G$1:$K$32,5,0)</f>
        <v>Apoyo económico a las organizaciones deportivas que representan en competencias al departamento de Antioquia</v>
      </c>
      <c r="F274" s="478">
        <f>VLOOKUP(E274,PROYECTOS!$K$1:$M$32,3,0)</f>
        <v>2024003050102</v>
      </c>
      <c r="G274" s="479" t="s">
        <v>359</v>
      </c>
      <c r="H274" s="479" t="str">
        <f>VLOOKUP(Q274,PROYECTOS!$V$1:$W$32,2,0)</f>
        <v>050076</v>
      </c>
      <c r="I274" s="480">
        <v>10000000</v>
      </c>
      <c r="J274" s="481" t="s">
        <v>390</v>
      </c>
      <c r="K274" s="476" t="str">
        <f t="shared" ca="1" si="42"/>
        <v>CONTRATADO</v>
      </c>
      <c r="L274" s="476" t="s">
        <v>112</v>
      </c>
      <c r="M274" s="476" t="s">
        <v>361</v>
      </c>
      <c r="N274" s="482" t="s">
        <v>363</v>
      </c>
      <c r="O274" s="481">
        <f>VLOOKUP(N274,RUBROS[#All],3,0)</f>
        <v>57</v>
      </c>
      <c r="P274" s="483" t="str">
        <f>VLOOKUP(N274,RUBROS[#All],2,0)</f>
        <v>Apoyo económico a las organizaciones deportivas que representan en competencias al departamento de Antioquia -Actividades de promoción y desarrollo del Deporte</v>
      </c>
      <c r="Q274" s="476" t="str">
        <f t="shared" si="43"/>
        <v>02</v>
      </c>
      <c r="R274" s="476" t="str">
        <f t="shared" si="44"/>
        <v>0-205128</v>
      </c>
      <c r="S274" s="484" t="s">
        <v>41</v>
      </c>
      <c r="T274" s="485" t="s">
        <v>41</v>
      </c>
      <c r="U274" s="486" t="e">
        <f ca="1">_xlfn.XLOOKUP(PAA[[#This Row],[ITEM]],Contrato!A:A,Contrato!Q:Q,"",0)</f>
        <v>#NAME?</v>
      </c>
      <c r="V274" s="476" t="s">
        <v>47</v>
      </c>
      <c r="W274" s="476" t="s">
        <v>41</v>
      </c>
      <c r="X274" s="476" t="s">
        <v>41</v>
      </c>
      <c r="Y274" s="487" t="e">
        <f ca="1">_xlfn.XLOOKUP(PAA[[#This Row],[ITEM]],Contrato!A:A,Contrato!B:B,"",0)</f>
        <v>#NAME?</v>
      </c>
      <c r="Z274" s="476" t="e">
        <f ca="1">_xlfn.XLOOKUP(PAA[[#This Row],[ITEM]],Contrato!A:A,Contrato!G:G,"",0)</f>
        <v>#NAME?</v>
      </c>
      <c r="AA274" s="476" t="e">
        <f ca="1">_xlfn.XLOOKUP(PAA[[#This Row],[ITEM]],Contrato!A:A,Contrato!T:T,"",0)</f>
        <v>#NAME?</v>
      </c>
      <c r="AB274" s="487" t="e">
        <f ca="1">+MAX(PAA[[#This Row],[Comprometido Contrato]],)</f>
        <v>#NAME?</v>
      </c>
      <c r="AC274" s="487" t="str">
        <f t="shared" ca="1" si="49"/>
        <v/>
      </c>
      <c r="AD274" s="487" t="e">
        <f ca="1">+MAX(PAA[[#This Row],[Pago por Contrato]],)</f>
        <v>#NAME?</v>
      </c>
      <c r="AE274" s="487" t="str">
        <f t="shared" ca="1" si="46"/>
        <v/>
      </c>
      <c r="AF274" s="476" t="e">
        <f t="shared" ca="1" si="47"/>
        <v>#NAME?</v>
      </c>
      <c r="AG274" s="476">
        <f t="shared" si="48"/>
        <v>52010801</v>
      </c>
      <c r="AH274" s="476" t="e" cm="1">
        <f t="array" aca="1" ref="AH274" ca="1">_xlfn.XLOOKUP(PAA[[#This Row],[RCP-RUBRO]],COMPROMISOS_2025[[#All],[concatenado]],COMPROMISOS_2025[[#All],[Total pagado]],"",0)</f>
        <v>#NAME?</v>
      </c>
      <c r="AI274" s="476" t="e" cm="1">
        <f t="array" aca="1" ref="AI274" ca="1">_xlfn.XLOOKUP(PAA[[#This Row],[RCP-RUBRO]],COMPROMISOS_2025[[#All],[concatenado]],COMPROMISOS_2025[[#All],[Total Comprometido]],"",0)</f>
        <v>#NAME?</v>
      </c>
    </row>
    <row r="275" spans="1:35" s="50" customFormat="1" ht="42" hidden="1" customHeight="1" x14ac:dyDescent="0.25">
      <c r="A275" s="436">
        <v>192</v>
      </c>
      <c r="B275" s="418">
        <v>90141502</v>
      </c>
      <c r="C275" s="436" t="str">
        <f>VLOOKUP(PAA[[#This Row],[PROYECTO (formulado)2]],PROYECTOS!$G$1:$L$32,6,0)</f>
        <v>SUBGERENCIA DE ALTOS LOGROS Y DEPORTE ASOCIADO</v>
      </c>
      <c r="D275" s="436" t="str">
        <f>+IF(PAA[[#This Row],[UNIDAD DE CONTRATACION (formulado)]]="Subgerencia Administrativa y Financiera","FUNCIONAMIENTO","INVERSIÓN")</f>
        <v>INVERSIÓN</v>
      </c>
      <c r="E275" s="446" t="str">
        <f>VLOOKUP(Q275,PROYECTOS!$G$1:$K$32,5,0)</f>
        <v>Apoyo económico a las organizaciones deportivas que representan en competencias al departamento de Antioquia</v>
      </c>
      <c r="F275" s="446">
        <f>VLOOKUP(E275,PROYECTOS!$K$1:$M$32,3,0)</f>
        <v>2024003050102</v>
      </c>
      <c r="G275" s="439" t="s">
        <v>359</v>
      </c>
      <c r="H275" s="439" t="str">
        <f>VLOOKUP(Q275,PROYECTOS!$V$1:$W$32,2,0)</f>
        <v>050076</v>
      </c>
      <c r="I275" s="440">
        <v>70000000</v>
      </c>
      <c r="J275" s="442" t="s">
        <v>391</v>
      </c>
      <c r="K275" s="436" t="str">
        <f ca="1">IF(ISNONTEXT(Y275)=TRUE,"CONTRATADO","NO CONTRATADO")</f>
        <v>CONTRATADO</v>
      </c>
      <c r="L275" s="436" t="s">
        <v>112</v>
      </c>
      <c r="M275" s="436" t="s">
        <v>361</v>
      </c>
      <c r="N275" s="447" t="s">
        <v>362</v>
      </c>
      <c r="O275" s="442">
        <f>VLOOKUP(N275,RUBROS[#All],3,0)</f>
        <v>100</v>
      </c>
      <c r="P275" s="448" t="str">
        <f>VLOOKUP(N275,RUBROS[#All],2,0)</f>
        <v>Apoyo Económico A Las Organizaciones Deportivas Que Representen Competencias Al Departamento De Antioquia -Actividades De Promoción Y   Desarrollo Del Deporte</v>
      </c>
      <c r="Q275" s="436" t="str">
        <f>+MID(N275,11,2)</f>
        <v>02</v>
      </c>
      <c r="R275" s="436" t="str">
        <f>+MID(N275,14,8)</f>
        <v>0-205400</v>
      </c>
      <c r="S275" s="417">
        <v>9</v>
      </c>
      <c r="T275" s="443" t="s">
        <v>46</v>
      </c>
      <c r="U275" s="444" t="e">
        <f ca="1">_xlfn.XLOOKUP(PAA[[#This Row],[ITEM]],Contrato!A:A,Contrato!Q:Q,"",0)</f>
        <v>#NAME?</v>
      </c>
      <c r="V275" s="436" t="s">
        <v>47</v>
      </c>
      <c r="W275" s="436" t="s">
        <v>127</v>
      </c>
      <c r="X275" s="436" t="s">
        <v>127</v>
      </c>
      <c r="Y275" s="445" t="e">
        <f ca="1">_xlfn.XLOOKUP(PAA[[#This Row],[ITEM]],Contrato!A:A,Contrato!B:B,"",0)</f>
        <v>#NAME?</v>
      </c>
      <c r="Z275" s="436" t="e">
        <f ca="1">_xlfn.XLOOKUP(PAA[[#This Row],[ITEM]],Contrato!A:A,Contrato!G:G,"",0)</f>
        <v>#NAME?</v>
      </c>
      <c r="AA275" s="436" t="e">
        <f ca="1">_xlfn.XLOOKUP(PAA[[#This Row],[ITEM]],Contrato!A:A,Contrato!T:T,"",0)</f>
        <v>#NAME?</v>
      </c>
      <c r="AB275" s="445" t="e">
        <f ca="1">+MAX(PAA[[#This Row],[Comprometido Contrato]],)</f>
        <v>#NAME?</v>
      </c>
      <c r="AC275" s="445" t="str">
        <f ca="1">IFERROR(I275-AB275,"")</f>
        <v/>
      </c>
      <c r="AD275" s="445" t="e">
        <f ca="1">+MAX(PAA[[#This Row],[Pago por Contrato]],)</f>
        <v>#NAME?</v>
      </c>
      <c r="AE275" s="445" t="str">
        <f ca="1">+IFERROR(AB275-AD275,"")</f>
        <v/>
      </c>
      <c r="AF275" s="436" t="e">
        <f ca="1">+CONCATENATE(AA275,N275)</f>
        <v>#NAME?</v>
      </c>
      <c r="AG275" s="436">
        <f>IFERROR(_xlfn.NUMBERVALUE(MID(G275,1,8)),"")</f>
        <v>52010801</v>
      </c>
      <c r="AH275" s="436" t="e" cm="1">
        <f t="array" aca="1" ref="AH275" ca="1">_xlfn.XLOOKUP(PAA[[#This Row],[RCP-RUBRO]],COMPROMISOS_2025[[#All],[concatenado]],COMPROMISOS_2025[[#All],[Total pagado]],"",0)</f>
        <v>#NAME?</v>
      </c>
      <c r="AI275" s="436" t="e" cm="1">
        <f t="array" aca="1" ref="AI275" ca="1">_xlfn.XLOOKUP(PAA[[#This Row],[RCP-RUBRO]],COMPROMISOS_2025[[#All],[concatenado]],COMPROMISOS_2025[[#All],[Total Comprometido]],"",0)</f>
        <v>#NAME?</v>
      </c>
    </row>
    <row r="276" spans="1:35" s="50" customFormat="1" ht="42" hidden="1" customHeight="1" x14ac:dyDescent="0.25">
      <c r="A276" s="436">
        <v>192</v>
      </c>
      <c r="B276" s="418">
        <v>90141502</v>
      </c>
      <c r="C276" s="436" t="str">
        <f>VLOOKUP(PAA[[#This Row],[PROYECTO (formulado)2]],PROYECTOS!$G$1:$L$32,6,0)</f>
        <v>SUBGERENCIA DE ALTOS LOGROS Y DEPORTE ASOCIADO</v>
      </c>
      <c r="D276" s="436" t="str">
        <f>+IF(PAA[[#This Row],[UNIDAD DE CONTRATACION (formulado)]]="Subgerencia Administrativa y Financiera","FUNCIONAMIENTO","INVERSIÓN")</f>
        <v>INVERSIÓN</v>
      </c>
      <c r="E276" s="446" t="str">
        <f>VLOOKUP(Q276,PROYECTOS!$G$1:$K$32,5,0)</f>
        <v>Apoyo económico a las organizaciones deportivas que representan en competencias al departamento de Antioquia</v>
      </c>
      <c r="F276" s="446">
        <f>VLOOKUP(E276,PROYECTOS!$K$1:$M$32,3,0)</f>
        <v>2024003050102</v>
      </c>
      <c r="G276" s="439" t="s">
        <v>359</v>
      </c>
      <c r="H276" s="439" t="str">
        <f>VLOOKUP(Q276,PROYECTOS!$V$1:$W$32,2,0)</f>
        <v>050076</v>
      </c>
      <c r="I276" s="440">
        <v>30000000</v>
      </c>
      <c r="J276" s="442" t="s">
        <v>391</v>
      </c>
      <c r="K276" s="436" t="str">
        <f t="shared" ca="1" si="42"/>
        <v>CONTRATADO</v>
      </c>
      <c r="L276" s="436" t="s">
        <v>112</v>
      </c>
      <c r="M276" s="436" t="s">
        <v>361</v>
      </c>
      <c r="N276" s="447" t="s">
        <v>363</v>
      </c>
      <c r="O276" s="442">
        <f>VLOOKUP(N276,RUBROS[#All],3,0)</f>
        <v>57</v>
      </c>
      <c r="P276" s="448" t="str">
        <f>VLOOKUP(N276,RUBROS[#All],2,0)</f>
        <v>Apoyo económico a las organizaciones deportivas que representan en competencias al departamento de Antioquia -Actividades de promoción y desarrollo del Deporte</v>
      </c>
      <c r="Q276" s="436" t="str">
        <f t="shared" si="43"/>
        <v>02</v>
      </c>
      <c r="R276" s="436" t="str">
        <f t="shared" si="44"/>
        <v>0-205128</v>
      </c>
      <c r="S276" s="417">
        <v>9</v>
      </c>
      <c r="T276" s="449" t="s">
        <v>46</v>
      </c>
      <c r="U276" s="444" t="e">
        <f ca="1">_xlfn.XLOOKUP(PAA[[#This Row],[ITEM]],Contrato!A:A,Contrato!Q:Q,"",0)</f>
        <v>#NAME?</v>
      </c>
      <c r="V276" s="436" t="s">
        <v>47</v>
      </c>
      <c r="W276" s="436" t="s">
        <v>127</v>
      </c>
      <c r="X276" s="436" t="s">
        <v>127</v>
      </c>
      <c r="Y276" s="445" t="e">
        <f ca="1">_xlfn.XLOOKUP(PAA[[#This Row],[ITEM]],Contrato!A:A,Contrato!B:B,"",0)</f>
        <v>#NAME?</v>
      </c>
      <c r="Z276" s="436" t="e">
        <f ca="1">_xlfn.XLOOKUP(PAA[[#This Row],[ITEM]],Contrato!A:A,Contrato!G:G,"",0)</f>
        <v>#NAME?</v>
      </c>
      <c r="AA276" s="436" t="e">
        <f ca="1">_xlfn.XLOOKUP(PAA[[#This Row],[ITEM]],Contrato!A:A,Contrato!T:T,"",0)</f>
        <v>#NAME?</v>
      </c>
      <c r="AB276" s="445" t="e">
        <f ca="1">+MAX(PAA[[#This Row],[Comprometido Contrato]],)</f>
        <v>#NAME?</v>
      </c>
      <c r="AC276" s="445" t="str">
        <f t="shared" ca="1" si="49"/>
        <v/>
      </c>
      <c r="AD276" s="445" t="e">
        <f ca="1">+MAX(PAA[[#This Row],[Pago por Contrato]],)</f>
        <v>#NAME?</v>
      </c>
      <c r="AE276" s="445" t="str">
        <f t="shared" ca="1" si="46"/>
        <v/>
      </c>
      <c r="AF276" s="436" t="e">
        <f t="shared" ca="1" si="47"/>
        <v>#NAME?</v>
      </c>
      <c r="AG276" s="436">
        <f t="shared" si="48"/>
        <v>52010801</v>
      </c>
      <c r="AH276" s="436" t="e" cm="1">
        <f t="array" aca="1" ref="AH276" ca="1">_xlfn.XLOOKUP(PAA[[#This Row],[RCP-RUBRO]],COMPROMISOS_2025[[#All],[concatenado]],COMPROMISOS_2025[[#All],[Total pagado]],"",0)</f>
        <v>#NAME?</v>
      </c>
      <c r="AI276" s="436" t="e" cm="1">
        <f t="array" aca="1" ref="AI276" ca="1">_xlfn.XLOOKUP(PAA[[#This Row],[RCP-RUBRO]],COMPROMISOS_2025[[#All],[concatenado]],COMPROMISOS_2025[[#All],[Total Comprometido]],"",0)</f>
        <v>#NAME?</v>
      </c>
    </row>
    <row r="277" spans="1:35" s="50" customFormat="1" ht="42" hidden="1" customHeight="1" x14ac:dyDescent="0.25">
      <c r="A277" s="476">
        <v>193</v>
      </c>
      <c r="B277" s="477">
        <v>90141502</v>
      </c>
      <c r="C277" s="476" t="str">
        <f>VLOOKUP(PAA[[#This Row],[PROYECTO (formulado)2]],PROYECTOS!$G$1:$L$32,6,0)</f>
        <v>SUBGERENCIA DE ALTOS LOGROS Y DEPORTE ASOCIADO</v>
      </c>
      <c r="D277" s="476" t="str">
        <f>+IF(PAA[[#This Row],[UNIDAD DE CONTRATACION (formulado)]]="Subgerencia Administrativa y Financiera","FUNCIONAMIENTO","INVERSIÓN")</f>
        <v>INVERSIÓN</v>
      </c>
      <c r="E277" s="478" t="str">
        <f>VLOOKUP(Q277,PROYECTOS!$G$1:$K$32,5,0)</f>
        <v>Apoyo económico a las organizaciones deportivas que representan en competencias al departamento de Antioquia</v>
      </c>
      <c r="F277" s="478">
        <f>VLOOKUP(E277,PROYECTOS!$K$1:$M$32,3,0)</f>
        <v>2024003050102</v>
      </c>
      <c r="G277" s="479" t="s">
        <v>359</v>
      </c>
      <c r="H277" s="479" t="str">
        <f>VLOOKUP(Q277,PROYECTOS!$V$1:$W$32,2,0)</f>
        <v>050076</v>
      </c>
      <c r="I277" s="480">
        <v>10000000</v>
      </c>
      <c r="J277" s="481" t="s">
        <v>392</v>
      </c>
      <c r="K277" s="476" t="str">
        <f t="shared" ca="1" si="42"/>
        <v>CONTRATADO</v>
      </c>
      <c r="L277" s="476" t="s">
        <v>112</v>
      </c>
      <c r="M277" s="476" t="s">
        <v>361</v>
      </c>
      <c r="N277" s="482" t="s">
        <v>363</v>
      </c>
      <c r="O277" s="481">
        <f>VLOOKUP(N277,RUBROS[#All],3,0)</f>
        <v>57</v>
      </c>
      <c r="P277" s="483" t="str">
        <f>VLOOKUP(N277,RUBROS[#All],2,0)</f>
        <v>Apoyo económico a las organizaciones deportivas que representan en competencias al departamento de Antioquia -Actividades de promoción y desarrollo del Deporte</v>
      </c>
      <c r="Q277" s="476" t="str">
        <f t="shared" si="43"/>
        <v>02</v>
      </c>
      <c r="R277" s="476" t="str">
        <f t="shared" si="44"/>
        <v>0-205128</v>
      </c>
      <c r="S277" s="484" t="s">
        <v>41</v>
      </c>
      <c r="T277" s="485" t="s">
        <v>41</v>
      </c>
      <c r="U277" s="486" t="e">
        <f ca="1">_xlfn.XLOOKUP(PAA[[#This Row],[ITEM]],Contrato!A:A,Contrato!Q:Q,"",0)</f>
        <v>#NAME?</v>
      </c>
      <c r="V277" s="476" t="s">
        <v>47</v>
      </c>
      <c r="W277" s="476" t="s">
        <v>41</v>
      </c>
      <c r="X277" s="476" t="s">
        <v>41</v>
      </c>
      <c r="Y277" s="487" t="e">
        <f ca="1">_xlfn.XLOOKUP(PAA[[#This Row],[ITEM]],Contrato!A:A,Contrato!B:B,"",0)</f>
        <v>#NAME?</v>
      </c>
      <c r="Z277" s="476" t="e">
        <f ca="1">_xlfn.XLOOKUP(PAA[[#This Row],[ITEM]],Contrato!A:A,Contrato!G:G,"",0)</f>
        <v>#NAME?</v>
      </c>
      <c r="AA277" s="476" t="e">
        <f ca="1">_xlfn.XLOOKUP(PAA[[#This Row],[ITEM]],Contrato!A:A,Contrato!T:T,"",0)</f>
        <v>#NAME?</v>
      </c>
      <c r="AB277" s="487" t="e">
        <f ca="1">+MAX(PAA[[#This Row],[Comprometido Contrato]],)</f>
        <v>#NAME?</v>
      </c>
      <c r="AC277" s="487" t="str">
        <f t="shared" ca="1" si="49"/>
        <v/>
      </c>
      <c r="AD277" s="487" t="e">
        <f ca="1">+MAX(PAA[[#This Row],[Pago por Contrato]],)</f>
        <v>#NAME?</v>
      </c>
      <c r="AE277" s="487" t="str">
        <f t="shared" ca="1" si="46"/>
        <v/>
      </c>
      <c r="AF277" s="476" t="e">
        <f t="shared" ca="1" si="47"/>
        <v>#NAME?</v>
      </c>
      <c r="AG277" s="476">
        <f t="shared" si="48"/>
        <v>52010801</v>
      </c>
      <c r="AH277" s="476" t="e" cm="1">
        <f t="array" aca="1" ref="AH277" ca="1">_xlfn.XLOOKUP(PAA[[#This Row],[RCP-RUBRO]],COMPROMISOS_2025[[#All],[concatenado]],COMPROMISOS_2025[[#All],[Total pagado]],"",0)</f>
        <v>#NAME?</v>
      </c>
      <c r="AI277" s="476" t="e" cm="1">
        <f t="array" aca="1" ref="AI277" ca="1">_xlfn.XLOOKUP(PAA[[#This Row],[RCP-RUBRO]],COMPROMISOS_2025[[#All],[concatenado]],COMPROMISOS_2025[[#All],[Total Comprometido]],"",0)</f>
        <v>#NAME?</v>
      </c>
    </row>
    <row r="278" spans="1:35" s="50" customFormat="1" ht="42" hidden="1" customHeight="1" x14ac:dyDescent="0.25">
      <c r="A278" s="436">
        <v>194</v>
      </c>
      <c r="B278" s="418">
        <v>90141502</v>
      </c>
      <c r="C278" s="436" t="str">
        <f>VLOOKUP(PAA[[#This Row],[PROYECTO (formulado)2]],PROYECTOS!$G$1:$L$32,6,0)</f>
        <v>SUBGERENCIA DE ALTOS LOGROS Y DEPORTE ASOCIADO</v>
      </c>
      <c r="D278" s="436" t="str">
        <f>+IF(PAA[[#This Row],[UNIDAD DE CONTRATACION (formulado)]]="Subgerencia Administrativa y Financiera","FUNCIONAMIENTO","INVERSIÓN")</f>
        <v>INVERSIÓN</v>
      </c>
      <c r="E278" s="446" t="str">
        <f>VLOOKUP(Q278,PROYECTOS!$G$1:$K$32,5,0)</f>
        <v>Apoyo económico a las organizaciones deportivas que representan en competencias al departamento de Antioquia</v>
      </c>
      <c r="F278" s="446">
        <f>VLOOKUP(E278,PROYECTOS!$K$1:$M$32,3,0)</f>
        <v>2024003050102</v>
      </c>
      <c r="G278" s="439" t="s">
        <v>359</v>
      </c>
      <c r="H278" s="439" t="str">
        <f>VLOOKUP(Q278,PROYECTOS!$V$1:$W$32,2,0)</f>
        <v>050076</v>
      </c>
      <c r="I278" s="440">
        <v>130000000</v>
      </c>
      <c r="J278" s="442" t="s">
        <v>393</v>
      </c>
      <c r="K278" s="436" t="str">
        <f ca="1">IF(ISNONTEXT(Y278)=TRUE,"CONTRATADO","NO CONTRATADO")</f>
        <v>CONTRATADO</v>
      </c>
      <c r="L278" s="436" t="s">
        <v>112</v>
      </c>
      <c r="M278" s="436" t="s">
        <v>361</v>
      </c>
      <c r="N278" s="447" t="s">
        <v>362</v>
      </c>
      <c r="O278" s="442">
        <f>VLOOKUP(N278,RUBROS[#All],3,0)</f>
        <v>100</v>
      </c>
      <c r="P278" s="448" t="str">
        <f>VLOOKUP(N278,RUBROS[#All],2,0)</f>
        <v>Apoyo Económico A Las Organizaciones Deportivas Que Representen Competencias Al Departamento De Antioquia -Actividades De Promoción Y   Desarrollo Del Deporte</v>
      </c>
      <c r="Q278" s="436" t="str">
        <f>+MID(N278,11,2)</f>
        <v>02</v>
      </c>
      <c r="R278" s="436" t="str">
        <f>+MID(N278,14,8)</f>
        <v>0-205400</v>
      </c>
      <c r="S278" s="417">
        <v>9</v>
      </c>
      <c r="T278" s="443" t="s">
        <v>46</v>
      </c>
      <c r="U278" s="444" t="e">
        <f ca="1">_xlfn.XLOOKUP(PAA[[#This Row],[ITEM]],Contrato!A:A,Contrato!Q:Q,"",0)</f>
        <v>#NAME?</v>
      </c>
      <c r="V278" s="436" t="s">
        <v>47</v>
      </c>
      <c r="W278" s="436"/>
      <c r="X278" s="436"/>
      <c r="Y278" s="445" t="e">
        <f ca="1">_xlfn.XLOOKUP(PAA[[#This Row],[ITEM]],Contrato!A:A,Contrato!B:B,"",0)</f>
        <v>#NAME?</v>
      </c>
      <c r="Z278" s="436" t="e">
        <f ca="1">_xlfn.XLOOKUP(PAA[[#This Row],[ITEM]],Contrato!A:A,Contrato!G:G,"",0)</f>
        <v>#NAME?</v>
      </c>
      <c r="AA278" s="436" t="e">
        <f ca="1">_xlfn.XLOOKUP(PAA[[#This Row],[ITEM]],Contrato!A:A,Contrato!T:T,"",0)</f>
        <v>#NAME?</v>
      </c>
      <c r="AB278" s="445" t="e">
        <f ca="1">+MAX(PAA[[#This Row],[Comprometido Contrato]],)</f>
        <v>#NAME?</v>
      </c>
      <c r="AC278" s="445" t="str">
        <f ca="1">IFERROR(I278-AB278,"")</f>
        <v/>
      </c>
      <c r="AD278" s="445" t="e">
        <f ca="1">+MAX(PAA[[#This Row],[Pago por Contrato]],)</f>
        <v>#NAME?</v>
      </c>
      <c r="AE278" s="445" t="str">
        <f ca="1">+IFERROR(AB278-AD278,"")</f>
        <v/>
      </c>
      <c r="AF278" s="436" t="e">
        <f ca="1">+CONCATENATE(AA278,N278)</f>
        <v>#NAME?</v>
      </c>
      <c r="AG278" s="436">
        <f>IFERROR(_xlfn.NUMBERVALUE(MID(G278,1,8)),"")</f>
        <v>52010801</v>
      </c>
      <c r="AH278" s="436" t="e" cm="1">
        <f t="array" aca="1" ref="AH278" ca="1">_xlfn.XLOOKUP(PAA[[#This Row],[RCP-RUBRO]],COMPROMISOS_2025[[#All],[concatenado]],COMPROMISOS_2025[[#All],[Total pagado]],"",0)</f>
        <v>#NAME?</v>
      </c>
      <c r="AI278" s="436" t="e" cm="1">
        <f t="array" aca="1" ref="AI278" ca="1">_xlfn.XLOOKUP(PAA[[#This Row],[RCP-RUBRO]],COMPROMISOS_2025[[#All],[concatenado]],COMPROMISOS_2025[[#All],[Total Comprometido]],"",0)</f>
        <v>#NAME?</v>
      </c>
    </row>
    <row r="279" spans="1:35" s="50" customFormat="1" ht="42" hidden="1" customHeight="1" x14ac:dyDescent="0.25">
      <c r="A279" s="436">
        <v>194</v>
      </c>
      <c r="B279" s="418">
        <v>90141502</v>
      </c>
      <c r="C279" s="436" t="str">
        <f>VLOOKUP(PAA[[#This Row],[PROYECTO (formulado)2]],PROYECTOS!$G$1:$L$32,6,0)</f>
        <v>SUBGERENCIA DE ALTOS LOGROS Y DEPORTE ASOCIADO</v>
      </c>
      <c r="D279" s="436" t="str">
        <f>+IF(PAA[[#This Row],[UNIDAD DE CONTRATACION (formulado)]]="Subgerencia Administrativa y Financiera","FUNCIONAMIENTO","INVERSIÓN")</f>
        <v>INVERSIÓN</v>
      </c>
      <c r="E279" s="446" t="str">
        <f>VLOOKUP(Q279,PROYECTOS!$G$1:$K$32,5,0)</f>
        <v>Apoyo económico a las organizaciones deportivas que representan en competencias al departamento de Antioquia</v>
      </c>
      <c r="F279" s="446">
        <f>VLOOKUP(E279,PROYECTOS!$K$1:$M$32,3,0)</f>
        <v>2024003050102</v>
      </c>
      <c r="G279" s="439" t="s">
        <v>359</v>
      </c>
      <c r="H279" s="439" t="str">
        <f>VLOOKUP(Q279,PROYECTOS!$V$1:$W$32,2,0)</f>
        <v>050076</v>
      </c>
      <c r="I279" s="440">
        <v>70000000</v>
      </c>
      <c r="J279" s="442" t="s">
        <v>393</v>
      </c>
      <c r="K279" s="436" t="str">
        <f t="shared" ca="1" si="42"/>
        <v>CONTRATADO</v>
      </c>
      <c r="L279" s="436" t="s">
        <v>112</v>
      </c>
      <c r="M279" s="436" t="s">
        <v>361</v>
      </c>
      <c r="N279" s="447" t="s">
        <v>363</v>
      </c>
      <c r="O279" s="442">
        <f>VLOOKUP(N279,RUBROS[#All],3,0)</f>
        <v>57</v>
      </c>
      <c r="P279" s="448" t="str">
        <f>VLOOKUP(N279,RUBROS[#All],2,0)</f>
        <v>Apoyo económico a las organizaciones deportivas que representan en competencias al departamento de Antioquia -Actividades de promoción y desarrollo del Deporte</v>
      </c>
      <c r="Q279" s="436" t="str">
        <f t="shared" si="43"/>
        <v>02</v>
      </c>
      <c r="R279" s="436" t="str">
        <f t="shared" si="44"/>
        <v>0-205128</v>
      </c>
      <c r="S279" s="417">
        <v>9</v>
      </c>
      <c r="T279" s="449" t="s">
        <v>46</v>
      </c>
      <c r="U279" s="444" t="e">
        <f ca="1">_xlfn.XLOOKUP(PAA[[#This Row],[ITEM]],Contrato!A:A,Contrato!Q:Q,"",0)</f>
        <v>#NAME?</v>
      </c>
      <c r="V279" s="436" t="s">
        <v>47</v>
      </c>
      <c r="W279" s="436" t="s">
        <v>127</v>
      </c>
      <c r="X279" s="436" t="s">
        <v>127</v>
      </c>
      <c r="Y279" s="445" t="e">
        <f ca="1">_xlfn.XLOOKUP(PAA[[#This Row],[ITEM]],Contrato!A:A,Contrato!B:B,"",0)</f>
        <v>#NAME?</v>
      </c>
      <c r="Z279" s="436" t="e">
        <f ca="1">_xlfn.XLOOKUP(PAA[[#This Row],[ITEM]],Contrato!A:A,Contrato!G:G,"",0)</f>
        <v>#NAME?</v>
      </c>
      <c r="AA279" s="436" t="e">
        <f ca="1">_xlfn.XLOOKUP(PAA[[#This Row],[ITEM]],Contrato!A:A,Contrato!T:T,"",0)</f>
        <v>#NAME?</v>
      </c>
      <c r="AB279" s="445" t="e">
        <f ca="1">+MAX(PAA[[#This Row],[Comprometido Contrato]],)</f>
        <v>#NAME?</v>
      </c>
      <c r="AC279" s="445" t="str">
        <f t="shared" ca="1" si="49"/>
        <v/>
      </c>
      <c r="AD279" s="445" t="e">
        <f ca="1">+MAX(PAA[[#This Row],[Pago por Contrato]],)</f>
        <v>#NAME?</v>
      </c>
      <c r="AE279" s="445" t="str">
        <f t="shared" ca="1" si="46"/>
        <v/>
      </c>
      <c r="AF279" s="436" t="e">
        <f t="shared" ca="1" si="47"/>
        <v>#NAME?</v>
      </c>
      <c r="AG279" s="436">
        <f t="shared" si="48"/>
        <v>52010801</v>
      </c>
      <c r="AH279" s="436" t="e" cm="1">
        <f t="array" aca="1" ref="AH279" ca="1">_xlfn.XLOOKUP(PAA[[#This Row],[RCP-RUBRO]],COMPROMISOS_2025[[#All],[concatenado]],COMPROMISOS_2025[[#All],[Total pagado]],"",0)</f>
        <v>#NAME?</v>
      </c>
      <c r="AI279" s="436" t="e" cm="1">
        <f t="array" aca="1" ref="AI279" ca="1">_xlfn.XLOOKUP(PAA[[#This Row],[RCP-RUBRO]],COMPROMISOS_2025[[#All],[concatenado]],COMPROMISOS_2025[[#All],[Total Comprometido]],"",0)</f>
        <v>#NAME?</v>
      </c>
    </row>
    <row r="280" spans="1:35" s="50" customFormat="1" ht="42" hidden="1" customHeight="1" x14ac:dyDescent="0.25">
      <c r="A280" s="476">
        <v>195</v>
      </c>
      <c r="B280" s="477">
        <v>90141502</v>
      </c>
      <c r="C280" s="476" t="str">
        <f>VLOOKUP(PAA[[#This Row],[PROYECTO (formulado)2]],PROYECTOS!$G$1:$L$32,6,0)</f>
        <v>SUBGERENCIA DE ALTOS LOGROS Y DEPORTE ASOCIADO</v>
      </c>
      <c r="D280" s="476" t="str">
        <f>+IF(PAA[[#This Row],[UNIDAD DE CONTRATACION (formulado)]]="Subgerencia Administrativa y Financiera","FUNCIONAMIENTO","INVERSIÓN")</f>
        <v>INVERSIÓN</v>
      </c>
      <c r="E280" s="478" t="str">
        <f>VLOOKUP(Q280,PROYECTOS!$G$1:$K$32,5,0)</f>
        <v>Apoyo económico a las organizaciones deportivas que representan en competencias al departamento de Antioquia</v>
      </c>
      <c r="F280" s="478">
        <f>VLOOKUP(E280,PROYECTOS!$K$1:$M$32,3,0)</f>
        <v>2024003050102</v>
      </c>
      <c r="G280" s="479" t="s">
        <v>359</v>
      </c>
      <c r="H280" s="479" t="str">
        <f>VLOOKUP(Q280,PROYECTOS!$V$1:$W$32,2,0)</f>
        <v>050076</v>
      </c>
      <c r="I280" s="480">
        <v>4110474</v>
      </c>
      <c r="J280" s="481" t="s">
        <v>394</v>
      </c>
      <c r="K280" s="476" t="str">
        <f t="shared" ca="1" si="42"/>
        <v>CONTRATADO</v>
      </c>
      <c r="L280" s="476" t="s">
        <v>112</v>
      </c>
      <c r="M280" s="476" t="s">
        <v>361</v>
      </c>
      <c r="N280" s="482" t="s">
        <v>363</v>
      </c>
      <c r="O280" s="481">
        <f>VLOOKUP(N280,RUBROS[#All],3,0)</f>
        <v>57</v>
      </c>
      <c r="P280" s="483" t="str">
        <f>VLOOKUP(N280,RUBROS[#All],2,0)</f>
        <v>Apoyo económico a las organizaciones deportivas que representan en competencias al departamento de Antioquia -Actividades de promoción y desarrollo del Deporte</v>
      </c>
      <c r="Q280" s="476" t="str">
        <f t="shared" si="43"/>
        <v>02</v>
      </c>
      <c r="R280" s="476" t="str">
        <f t="shared" si="44"/>
        <v>0-205128</v>
      </c>
      <c r="S280" s="484" t="s">
        <v>41</v>
      </c>
      <c r="T280" s="485" t="s">
        <v>41</v>
      </c>
      <c r="U280" s="486" t="e">
        <f ca="1">_xlfn.XLOOKUP(PAA[[#This Row],[ITEM]],Contrato!A:A,Contrato!Q:Q,"",0)</f>
        <v>#NAME?</v>
      </c>
      <c r="V280" s="476" t="s">
        <v>47</v>
      </c>
      <c r="W280" s="476" t="s">
        <v>41</v>
      </c>
      <c r="X280" s="476" t="s">
        <v>41</v>
      </c>
      <c r="Y280" s="487" t="e">
        <f ca="1">_xlfn.XLOOKUP(PAA[[#This Row],[ITEM]],Contrato!A:A,Contrato!B:B,"",0)</f>
        <v>#NAME?</v>
      </c>
      <c r="Z280" s="476" t="e">
        <f ca="1">_xlfn.XLOOKUP(PAA[[#This Row],[ITEM]],Contrato!A:A,Contrato!G:G,"",0)</f>
        <v>#NAME?</v>
      </c>
      <c r="AA280" s="476" t="e">
        <f ca="1">_xlfn.XLOOKUP(PAA[[#This Row],[ITEM]],Contrato!A:A,Contrato!T:T,"",0)</f>
        <v>#NAME?</v>
      </c>
      <c r="AB280" s="487" t="e">
        <f ca="1">+MAX(PAA[[#This Row],[Comprometido Contrato]],)</f>
        <v>#NAME?</v>
      </c>
      <c r="AC280" s="487" t="str">
        <f t="shared" ca="1" si="49"/>
        <v/>
      </c>
      <c r="AD280" s="487" t="e">
        <f ca="1">+MAX(PAA[[#This Row],[Pago por Contrato]],)</f>
        <v>#NAME?</v>
      </c>
      <c r="AE280" s="487" t="str">
        <f t="shared" ca="1" si="46"/>
        <v/>
      </c>
      <c r="AF280" s="476" t="e">
        <f t="shared" ca="1" si="47"/>
        <v>#NAME?</v>
      </c>
      <c r="AG280" s="476">
        <f t="shared" si="48"/>
        <v>52010801</v>
      </c>
      <c r="AH280" s="476" t="e" cm="1">
        <f t="array" aca="1" ref="AH280" ca="1">_xlfn.XLOOKUP(PAA[[#This Row],[RCP-RUBRO]],COMPROMISOS_2025[[#All],[concatenado]],COMPROMISOS_2025[[#All],[Total pagado]],"",0)</f>
        <v>#NAME?</v>
      </c>
      <c r="AI280" s="476" t="e" cm="1">
        <f t="array" aca="1" ref="AI280" ca="1">_xlfn.XLOOKUP(PAA[[#This Row],[RCP-RUBRO]],COMPROMISOS_2025[[#All],[concatenado]],COMPROMISOS_2025[[#All],[Total Comprometido]],"",0)</f>
        <v>#NAME?</v>
      </c>
    </row>
    <row r="281" spans="1:35" s="50" customFormat="1" ht="42" hidden="1" customHeight="1" x14ac:dyDescent="0.25">
      <c r="A281" s="265">
        <v>196</v>
      </c>
      <c r="B281" s="255">
        <v>90141502</v>
      </c>
      <c r="C281" s="265" t="str">
        <f>VLOOKUP(PAA[[#This Row],[PROYECTO (formulado)2]],PROYECTOS!$G$1:$L$32,6,0)</f>
        <v>SUBGERENCIA DE ALTOS LOGROS Y DEPORTE ASOCIADO</v>
      </c>
      <c r="D281" s="265" t="str">
        <f>+IF(PAA[[#This Row],[UNIDAD DE CONTRATACION (formulado)]]="Subgerencia Administrativa y Financiera","FUNCIONAMIENTO","INVERSIÓN")</f>
        <v>INVERSIÓN</v>
      </c>
      <c r="E281" s="274" t="str">
        <f>VLOOKUP(Q281,PROYECTOS!$G$1:$K$32,5,0)</f>
        <v>Apoyo económico a las organizaciones deportivas que representan en competencias al departamento de Antioquia</v>
      </c>
      <c r="F281" s="274">
        <f>VLOOKUP(E281,PROYECTOS!$K$1:$M$32,3,0)</f>
        <v>2024003050102</v>
      </c>
      <c r="G281" s="266" t="s">
        <v>359</v>
      </c>
      <c r="H281" s="266" t="str">
        <f>VLOOKUP(Q281,PROYECTOS!$V$1:$W$32,2,0)</f>
        <v>050076</v>
      </c>
      <c r="I281" s="269">
        <v>150000000</v>
      </c>
      <c r="J281" s="275" t="s">
        <v>395</v>
      </c>
      <c r="K281" s="265" t="str">
        <f t="shared" ca="1" si="42"/>
        <v>CONTRATADO</v>
      </c>
      <c r="L281" s="265" t="s">
        <v>112</v>
      </c>
      <c r="M281" s="265" t="s">
        <v>361</v>
      </c>
      <c r="N281" s="276" t="s">
        <v>363</v>
      </c>
      <c r="O281" s="275">
        <f>VLOOKUP(N281,RUBROS[#All],3,0)</f>
        <v>57</v>
      </c>
      <c r="P281" s="277" t="str">
        <f>VLOOKUP(N281,RUBROS[#All],2,0)</f>
        <v>Apoyo económico a las organizaciones deportivas que representan en competencias al departamento de Antioquia -Actividades de promoción y desarrollo del Deporte</v>
      </c>
      <c r="Q281" s="265" t="str">
        <f t="shared" si="43"/>
        <v>02</v>
      </c>
      <c r="R281" s="265" t="str">
        <f t="shared" si="44"/>
        <v>0-205128</v>
      </c>
      <c r="S281" s="254">
        <v>285</v>
      </c>
      <c r="T281" s="278" t="s">
        <v>220</v>
      </c>
      <c r="U281" s="272" t="e">
        <f ca="1">_xlfn.XLOOKUP(PAA[[#This Row],[ITEM]],Contrato!A:A,Contrato!Q:Q,"",0)</f>
        <v>#NAME?</v>
      </c>
      <c r="V281" s="265" t="s">
        <v>47</v>
      </c>
      <c r="W281" s="265" t="s">
        <v>127</v>
      </c>
      <c r="X281" s="265" t="s">
        <v>127</v>
      </c>
      <c r="Y281" s="273" t="e">
        <f ca="1">_xlfn.XLOOKUP(PAA[[#This Row],[ITEM]],Contrato!A:A,Contrato!B:B,"",0)</f>
        <v>#NAME?</v>
      </c>
      <c r="Z281" s="265" t="e">
        <f ca="1">_xlfn.XLOOKUP(PAA[[#This Row],[ITEM]],Contrato!A:A,Contrato!G:G,"",0)</f>
        <v>#NAME?</v>
      </c>
      <c r="AA281" s="265" t="e">
        <f ca="1">_xlfn.XLOOKUP(PAA[[#This Row],[ITEM]],Contrato!A:A,Contrato!T:T,"",0)</f>
        <v>#NAME?</v>
      </c>
      <c r="AB281" s="273" t="e">
        <f ca="1">+MAX(PAA[[#This Row],[Comprometido Contrato]],)</f>
        <v>#NAME?</v>
      </c>
      <c r="AC281" s="273" t="str">
        <f t="shared" ca="1" si="49"/>
        <v/>
      </c>
      <c r="AD281" s="273" t="e">
        <f ca="1">+MAX(PAA[[#This Row],[Pago por Contrato]],)</f>
        <v>#NAME?</v>
      </c>
      <c r="AE281" s="273" t="str">
        <f t="shared" ca="1" si="46"/>
        <v/>
      </c>
      <c r="AF281" s="265" t="e">
        <f t="shared" ca="1" si="47"/>
        <v>#NAME?</v>
      </c>
      <c r="AG281" s="265">
        <f t="shared" si="48"/>
        <v>52010801</v>
      </c>
      <c r="AH281" s="265" t="e" cm="1">
        <f t="array" aca="1" ref="AH281" ca="1">_xlfn.XLOOKUP(PAA[[#This Row],[RCP-RUBRO]],COMPROMISOS_2025[[#All],[concatenado]],COMPROMISOS_2025[[#All],[Total pagado]],"",0)</f>
        <v>#NAME?</v>
      </c>
      <c r="AI281" s="265" t="e" cm="1">
        <f t="array" aca="1" ref="AI281" ca="1">_xlfn.XLOOKUP(PAA[[#This Row],[RCP-RUBRO]],COMPROMISOS_2025[[#All],[concatenado]],COMPROMISOS_2025[[#All],[Total Comprometido]],"",0)</f>
        <v>#NAME?</v>
      </c>
    </row>
    <row r="282" spans="1:35" s="50" customFormat="1" ht="42" hidden="1" customHeight="1" x14ac:dyDescent="0.25">
      <c r="A282" s="265">
        <v>197</v>
      </c>
      <c r="B282" s="255">
        <v>90141502</v>
      </c>
      <c r="C282" s="265" t="str">
        <f>VLOOKUP(PAA[[#This Row],[PROYECTO (formulado)2]],PROYECTOS!$G$1:$L$32,6,0)</f>
        <v>SUBGERENCIA DE ALTOS LOGROS Y DEPORTE ASOCIADO</v>
      </c>
      <c r="D282" s="265" t="str">
        <f>+IF(PAA[[#This Row],[UNIDAD DE CONTRATACION (formulado)]]="Subgerencia Administrativa y Financiera","FUNCIONAMIENTO","INVERSIÓN")</f>
        <v>INVERSIÓN</v>
      </c>
      <c r="E282" s="274" t="str">
        <f>VLOOKUP(Q282,PROYECTOS!$G$1:$K$32,5,0)</f>
        <v>Apoyo económico a las organizaciones deportivas que representan en competencias al departamento de Antioquia</v>
      </c>
      <c r="F282" s="274">
        <f>VLOOKUP(E282,PROYECTOS!$K$1:$M$32,3,0)</f>
        <v>2024003050102</v>
      </c>
      <c r="G282" s="266" t="s">
        <v>359</v>
      </c>
      <c r="H282" s="266" t="str">
        <f>VLOOKUP(Q282,PROYECTOS!$V$1:$W$32,2,0)</f>
        <v>050076</v>
      </c>
      <c r="I282" s="269">
        <v>0</v>
      </c>
      <c r="J282" s="275" t="s">
        <v>41</v>
      </c>
      <c r="K282" s="265" t="str">
        <f t="shared" ca="1" si="42"/>
        <v>CONTRATADO</v>
      </c>
      <c r="L282" s="265" t="s">
        <v>112</v>
      </c>
      <c r="M282" s="265" t="s">
        <v>361</v>
      </c>
      <c r="N282" s="276" t="s">
        <v>363</v>
      </c>
      <c r="O282" s="275">
        <f>VLOOKUP(N282,RUBROS[#All],3,0)</f>
        <v>57</v>
      </c>
      <c r="P282" s="277" t="str">
        <f>VLOOKUP(N282,RUBROS[#All],2,0)</f>
        <v>Apoyo económico a las organizaciones deportivas que representan en competencias al departamento de Antioquia -Actividades de promoción y desarrollo del Deporte</v>
      </c>
      <c r="Q282" s="265" t="str">
        <f t="shared" si="43"/>
        <v>02</v>
      </c>
      <c r="R282" s="265" t="str">
        <f t="shared" si="44"/>
        <v>0-205128</v>
      </c>
      <c r="S282" s="254" t="s">
        <v>41</v>
      </c>
      <c r="T282" s="254" t="s">
        <v>41</v>
      </c>
      <c r="U282" s="272" t="e">
        <f ca="1">_xlfn.XLOOKUP(PAA[[#This Row],[ITEM]],Contrato!A:A,Contrato!Q:Q,"",0)</f>
        <v>#NAME?</v>
      </c>
      <c r="V282" s="265" t="s">
        <v>47</v>
      </c>
      <c r="W282" s="254" t="s">
        <v>41</v>
      </c>
      <c r="X282" s="254" t="s">
        <v>41</v>
      </c>
      <c r="Y282" s="273" t="e">
        <f ca="1">_xlfn.XLOOKUP(PAA[[#This Row],[ITEM]],Contrato!A:A,Contrato!B:B,"",0)</f>
        <v>#NAME?</v>
      </c>
      <c r="Z282" s="265" t="e">
        <f ca="1">_xlfn.XLOOKUP(PAA[[#This Row],[ITEM]],Contrato!A:A,Contrato!G:G,"",0)</f>
        <v>#NAME?</v>
      </c>
      <c r="AA282" s="265" t="e">
        <f ca="1">_xlfn.XLOOKUP(PAA[[#This Row],[ITEM]],Contrato!A:A,Contrato!T:T,"",0)</f>
        <v>#NAME?</v>
      </c>
      <c r="AB282" s="273" t="e">
        <f ca="1">+MAX(PAA[[#This Row],[Comprometido Contrato]],)</f>
        <v>#NAME?</v>
      </c>
      <c r="AC282" s="273" t="str">
        <f t="shared" ca="1" si="49"/>
        <v/>
      </c>
      <c r="AD282" s="273" t="e">
        <f ca="1">+MAX(PAA[[#This Row],[Pago por Contrato]],)</f>
        <v>#NAME?</v>
      </c>
      <c r="AE282" s="273" t="str">
        <f t="shared" ca="1" si="46"/>
        <v/>
      </c>
      <c r="AF282" s="265" t="e">
        <f t="shared" ca="1" si="47"/>
        <v>#NAME?</v>
      </c>
      <c r="AG282" s="265">
        <f t="shared" si="48"/>
        <v>52010801</v>
      </c>
      <c r="AH282" s="265" t="e" cm="1">
        <f t="array" aca="1" ref="AH282" ca="1">_xlfn.XLOOKUP(PAA[[#This Row],[RCP-RUBRO]],COMPROMISOS_2025[[#All],[concatenado]],COMPROMISOS_2025[[#All],[Total pagado]],"",0)</f>
        <v>#NAME?</v>
      </c>
      <c r="AI282" s="265" t="e" cm="1">
        <f t="array" aca="1" ref="AI282" ca="1">_xlfn.XLOOKUP(PAA[[#This Row],[RCP-RUBRO]],COMPROMISOS_2025[[#All],[concatenado]],COMPROMISOS_2025[[#All],[Total Comprometido]],"",0)</f>
        <v>#NAME?</v>
      </c>
    </row>
    <row r="283" spans="1:35" s="50" customFormat="1" ht="42" hidden="1" customHeight="1" x14ac:dyDescent="0.25">
      <c r="A283" s="265">
        <v>198</v>
      </c>
      <c r="B283" s="255">
        <v>90141502</v>
      </c>
      <c r="C283" s="265" t="str">
        <f>VLOOKUP(PAA[[#This Row],[PROYECTO (formulado)2]],PROYECTOS!$G$1:$L$32,6,0)</f>
        <v>SUBGERENCIA DE ALTOS LOGROS Y DEPORTE ASOCIADO</v>
      </c>
      <c r="D283" s="265" t="str">
        <f>+IF(PAA[[#This Row],[UNIDAD DE CONTRATACION (formulado)]]="Subgerencia Administrativa y Financiera","FUNCIONAMIENTO","INVERSIÓN")</f>
        <v>INVERSIÓN</v>
      </c>
      <c r="E283" s="274" t="str">
        <f>VLOOKUP(Q283,PROYECTOS!$G$1:$K$32,5,0)</f>
        <v>Apoyo económico a las organizaciones deportivas que representan en competencias al departamento de Antioquia</v>
      </c>
      <c r="F283" s="274">
        <f>VLOOKUP(E283,PROYECTOS!$K$1:$M$32,3,0)</f>
        <v>2024003050102</v>
      </c>
      <c r="G283" s="266" t="s">
        <v>359</v>
      </c>
      <c r="H283" s="266" t="str">
        <f>VLOOKUP(Q283,PROYECTOS!$V$1:$W$32,2,0)</f>
        <v>050076</v>
      </c>
      <c r="I283" s="269">
        <v>0</v>
      </c>
      <c r="J283" s="275" t="s">
        <v>41</v>
      </c>
      <c r="K283" s="265" t="str">
        <f t="shared" ca="1" si="42"/>
        <v>CONTRATADO</v>
      </c>
      <c r="L283" s="265" t="s">
        <v>112</v>
      </c>
      <c r="M283" s="265" t="s">
        <v>361</v>
      </c>
      <c r="N283" s="276" t="s">
        <v>363</v>
      </c>
      <c r="O283" s="275">
        <f>VLOOKUP(N283,RUBROS[#All],3,0)</f>
        <v>57</v>
      </c>
      <c r="P283" s="277" t="str">
        <f>VLOOKUP(N283,RUBROS[#All],2,0)</f>
        <v>Apoyo económico a las organizaciones deportivas que representan en competencias al departamento de Antioquia -Actividades de promoción y desarrollo del Deporte</v>
      </c>
      <c r="Q283" s="265" t="str">
        <f t="shared" si="43"/>
        <v>02</v>
      </c>
      <c r="R283" s="265" t="str">
        <f t="shared" si="44"/>
        <v>0-205128</v>
      </c>
      <c r="S283" s="254" t="s">
        <v>41</v>
      </c>
      <c r="T283" s="254" t="s">
        <v>41</v>
      </c>
      <c r="U283" s="272" t="e">
        <f ca="1">_xlfn.XLOOKUP(PAA[[#This Row],[ITEM]],Contrato!A:A,Contrato!Q:Q,"",0)</f>
        <v>#NAME?</v>
      </c>
      <c r="V283" s="265" t="s">
        <v>47</v>
      </c>
      <c r="W283" s="254" t="s">
        <v>41</v>
      </c>
      <c r="X283" s="254" t="s">
        <v>41</v>
      </c>
      <c r="Y283" s="273" t="e">
        <f ca="1">_xlfn.XLOOKUP(PAA[[#This Row],[ITEM]],Contrato!A:A,Contrato!B:B,"",0)</f>
        <v>#NAME?</v>
      </c>
      <c r="Z283" s="265" t="e">
        <f ca="1">_xlfn.XLOOKUP(PAA[[#This Row],[ITEM]],Contrato!A:A,Contrato!G:G,"",0)</f>
        <v>#NAME?</v>
      </c>
      <c r="AA283" s="265" t="e">
        <f ca="1">_xlfn.XLOOKUP(PAA[[#This Row],[ITEM]],Contrato!A:A,Contrato!T:T,"",0)</f>
        <v>#NAME?</v>
      </c>
      <c r="AB283" s="273" t="e">
        <f ca="1">+MAX(PAA[[#This Row],[Comprometido Contrato]],)</f>
        <v>#NAME?</v>
      </c>
      <c r="AC283" s="273" t="str">
        <f t="shared" ca="1" si="49"/>
        <v/>
      </c>
      <c r="AD283" s="273" t="e">
        <f ca="1">+MAX(PAA[[#This Row],[Pago por Contrato]],)</f>
        <v>#NAME?</v>
      </c>
      <c r="AE283" s="273" t="str">
        <f t="shared" ca="1" si="46"/>
        <v/>
      </c>
      <c r="AF283" s="265" t="e">
        <f t="shared" ca="1" si="47"/>
        <v>#NAME?</v>
      </c>
      <c r="AG283" s="265">
        <f t="shared" si="48"/>
        <v>52010801</v>
      </c>
      <c r="AH283" s="265" t="e" cm="1">
        <f t="array" aca="1" ref="AH283" ca="1">_xlfn.XLOOKUP(PAA[[#This Row],[RCP-RUBRO]],COMPROMISOS_2025[[#All],[concatenado]],COMPROMISOS_2025[[#All],[Total pagado]],"",0)</f>
        <v>#NAME?</v>
      </c>
      <c r="AI283" s="265" t="e" cm="1">
        <f t="array" aca="1" ref="AI283" ca="1">_xlfn.XLOOKUP(PAA[[#This Row],[RCP-RUBRO]],COMPROMISOS_2025[[#All],[concatenado]],COMPROMISOS_2025[[#All],[Total Comprometido]],"",0)</f>
        <v>#NAME?</v>
      </c>
    </row>
    <row r="284" spans="1:35" s="50" customFormat="1" ht="42" hidden="1" customHeight="1" x14ac:dyDescent="0.25">
      <c r="A284" s="265">
        <v>199</v>
      </c>
      <c r="B284" s="255">
        <v>90141502</v>
      </c>
      <c r="C284" s="265" t="str">
        <f>VLOOKUP(PAA[[#This Row],[PROYECTO (formulado)2]],PROYECTOS!$G$1:$L$32,6,0)</f>
        <v>SUBGERENCIA DE ALTOS LOGROS Y DEPORTE ASOCIADO</v>
      </c>
      <c r="D284" s="265" t="str">
        <f>+IF(PAA[[#This Row],[UNIDAD DE CONTRATACION (formulado)]]="Subgerencia Administrativa y Financiera","FUNCIONAMIENTO","INVERSIÓN")</f>
        <v>INVERSIÓN</v>
      </c>
      <c r="E284" s="274" t="str">
        <f>VLOOKUP(Q284,PROYECTOS!$G$1:$K$32,5,0)</f>
        <v>Apoyo económico a las organizaciones deportivas que representan en competencias al departamento de Antioquia</v>
      </c>
      <c r="F284" s="274">
        <f>VLOOKUP(E284,PROYECTOS!$K$1:$M$32,3,0)</f>
        <v>2024003050102</v>
      </c>
      <c r="G284" s="266" t="s">
        <v>359</v>
      </c>
      <c r="H284" s="266" t="str">
        <f>VLOOKUP(Q284,PROYECTOS!$V$1:$W$32,2,0)</f>
        <v>050076</v>
      </c>
      <c r="I284" s="269">
        <v>0</v>
      </c>
      <c r="J284" s="275" t="s">
        <v>41</v>
      </c>
      <c r="K284" s="265" t="str">
        <f t="shared" ca="1" si="42"/>
        <v>CONTRATADO</v>
      </c>
      <c r="L284" s="265" t="s">
        <v>112</v>
      </c>
      <c r="M284" s="265" t="s">
        <v>361</v>
      </c>
      <c r="N284" s="276" t="s">
        <v>363</v>
      </c>
      <c r="O284" s="275">
        <f>VLOOKUP(N284,RUBROS[#All],3,0)</f>
        <v>57</v>
      </c>
      <c r="P284" s="277" t="str">
        <f>VLOOKUP(N284,RUBROS[#All],2,0)</f>
        <v>Apoyo económico a las organizaciones deportivas que representan en competencias al departamento de Antioquia -Actividades de promoción y desarrollo del Deporte</v>
      </c>
      <c r="Q284" s="265" t="str">
        <f t="shared" si="43"/>
        <v>02</v>
      </c>
      <c r="R284" s="265" t="str">
        <f t="shared" si="44"/>
        <v>0-205128</v>
      </c>
      <c r="S284" s="254" t="s">
        <v>41</v>
      </c>
      <c r="T284" s="254" t="s">
        <v>41</v>
      </c>
      <c r="U284" s="272" t="e">
        <f ca="1">_xlfn.XLOOKUP(PAA[[#This Row],[ITEM]],Contrato!A:A,Contrato!Q:Q,"",0)</f>
        <v>#NAME?</v>
      </c>
      <c r="V284" s="265" t="s">
        <v>47</v>
      </c>
      <c r="W284" s="254" t="s">
        <v>41</v>
      </c>
      <c r="X284" s="254" t="s">
        <v>41</v>
      </c>
      <c r="Y284" s="273" t="e">
        <f ca="1">_xlfn.XLOOKUP(PAA[[#This Row],[ITEM]],Contrato!A:A,Contrato!B:B,"",0)</f>
        <v>#NAME?</v>
      </c>
      <c r="Z284" s="265" t="e">
        <f ca="1">_xlfn.XLOOKUP(PAA[[#This Row],[ITEM]],Contrato!A:A,Contrato!G:G,"",0)</f>
        <v>#NAME?</v>
      </c>
      <c r="AA284" s="265" t="e">
        <f ca="1">_xlfn.XLOOKUP(PAA[[#This Row],[ITEM]],Contrato!A:A,Contrato!T:T,"",0)</f>
        <v>#NAME?</v>
      </c>
      <c r="AB284" s="273" t="e">
        <f ca="1">+MAX(PAA[[#This Row],[Comprometido Contrato]],)</f>
        <v>#NAME?</v>
      </c>
      <c r="AC284" s="273" t="str">
        <f t="shared" ca="1" si="49"/>
        <v/>
      </c>
      <c r="AD284" s="273" t="e">
        <f ca="1">+MAX(PAA[[#This Row],[Pago por Contrato]],)</f>
        <v>#NAME?</v>
      </c>
      <c r="AE284" s="273" t="str">
        <f t="shared" ca="1" si="46"/>
        <v/>
      </c>
      <c r="AF284" s="265" t="e">
        <f t="shared" ca="1" si="47"/>
        <v>#NAME?</v>
      </c>
      <c r="AG284" s="265">
        <f t="shared" si="48"/>
        <v>52010801</v>
      </c>
      <c r="AH284" s="265" t="e" cm="1">
        <f t="array" aca="1" ref="AH284" ca="1">_xlfn.XLOOKUP(PAA[[#This Row],[RCP-RUBRO]],COMPROMISOS_2025[[#All],[concatenado]],COMPROMISOS_2025[[#All],[Total pagado]],"",0)</f>
        <v>#NAME?</v>
      </c>
      <c r="AI284" s="265" t="e" cm="1">
        <f t="array" aca="1" ref="AI284" ca="1">_xlfn.XLOOKUP(PAA[[#This Row],[RCP-RUBRO]],COMPROMISOS_2025[[#All],[concatenado]],COMPROMISOS_2025[[#All],[Total Comprometido]],"",0)</f>
        <v>#NAME?</v>
      </c>
    </row>
    <row r="285" spans="1:35" s="50" customFormat="1" ht="42" hidden="1" customHeight="1" x14ac:dyDescent="0.25">
      <c r="A285" s="265">
        <v>200</v>
      </c>
      <c r="B285" s="255">
        <v>90141502</v>
      </c>
      <c r="C285" s="265" t="str">
        <f>VLOOKUP(PAA[[#This Row],[PROYECTO (formulado)2]],PROYECTOS!$G$1:$L$32,6,0)</f>
        <v>SUBGERENCIA DE ALTOS LOGROS Y DEPORTE ASOCIADO</v>
      </c>
      <c r="D285" s="265" t="str">
        <f>+IF(PAA[[#This Row],[UNIDAD DE CONTRATACION (formulado)]]="Subgerencia Administrativa y Financiera","FUNCIONAMIENTO","INVERSIÓN")</f>
        <v>INVERSIÓN</v>
      </c>
      <c r="E285" s="274" t="str">
        <f>VLOOKUP(Q285,PROYECTOS!$G$1:$K$32,5,0)</f>
        <v>Apoyo económico a las organizaciones deportivas que representan en competencias al departamento de Antioquia</v>
      </c>
      <c r="F285" s="274">
        <f>VLOOKUP(E285,PROYECTOS!$K$1:$M$32,3,0)</f>
        <v>2024003050102</v>
      </c>
      <c r="G285" s="266" t="s">
        <v>359</v>
      </c>
      <c r="H285" s="266" t="str">
        <f>VLOOKUP(Q285,PROYECTOS!$V$1:$W$32,2,0)</f>
        <v>050076</v>
      </c>
      <c r="I285" s="269">
        <v>0</v>
      </c>
      <c r="J285" s="275" t="s">
        <v>41</v>
      </c>
      <c r="K285" s="265" t="str">
        <f t="shared" ca="1" si="42"/>
        <v>CONTRATADO</v>
      </c>
      <c r="L285" s="265" t="s">
        <v>112</v>
      </c>
      <c r="M285" s="265" t="s">
        <v>361</v>
      </c>
      <c r="N285" s="276" t="s">
        <v>363</v>
      </c>
      <c r="O285" s="275">
        <f>VLOOKUP(N285,RUBROS[#All],3,0)</f>
        <v>57</v>
      </c>
      <c r="P285" s="277" t="str">
        <f>VLOOKUP(N285,RUBROS[#All],2,0)</f>
        <v>Apoyo económico a las organizaciones deportivas que representan en competencias al departamento de Antioquia -Actividades de promoción y desarrollo del Deporte</v>
      </c>
      <c r="Q285" s="265" t="str">
        <f t="shared" si="43"/>
        <v>02</v>
      </c>
      <c r="R285" s="265" t="str">
        <f t="shared" si="44"/>
        <v>0-205128</v>
      </c>
      <c r="S285" s="254" t="s">
        <v>41</v>
      </c>
      <c r="T285" s="254" t="s">
        <v>41</v>
      </c>
      <c r="U285" s="272" t="e">
        <f ca="1">_xlfn.XLOOKUP(PAA[[#This Row],[ITEM]],Contrato!A:A,Contrato!Q:Q,"",0)</f>
        <v>#NAME?</v>
      </c>
      <c r="V285" s="265" t="s">
        <v>47</v>
      </c>
      <c r="W285" s="254" t="s">
        <v>41</v>
      </c>
      <c r="X285" s="254" t="s">
        <v>41</v>
      </c>
      <c r="Y285" s="273" t="e">
        <f ca="1">_xlfn.XLOOKUP(PAA[[#This Row],[ITEM]],Contrato!A:A,Contrato!B:B,"",0)</f>
        <v>#NAME?</v>
      </c>
      <c r="Z285" s="265" t="e">
        <f ca="1">_xlfn.XLOOKUP(PAA[[#This Row],[ITEM]],Contrato!A:A,Contrato!G:G,"",0)</f>
        <v>#NAME?</v>
      </c>
      <c r="AA285" s="265" t="e">
        <f ca="1">_xlfn.XLOOKUP(PAA[[#This Row],[ITEM]],Contrato!A:A,Contrato!T:T,"",0)</f>
        <v>#NAME?</v>
      </c>
      <c r="AB285" s="273" t="e">
        <f ca="1">+MAX(PAA[[#This Row],[Comprometido Contrato]],)</f>
        <v>#NAME?</v>
      </c>
      <c r="AC285" s="273" t="str">
        <f t="shared" ca="1" si="49"/>
        <v/>
      </c>
      <c r="AD285" s="273" t="e">
        <f ca="1">+MAX(PAA[[#This Row],[Pago por Contrato]],)</f>
        <v>#NAME?</v>
      </c>
      <c r="AE285" s="273" t="str">
        <f t="shared" ca="1" si="46"/>
        <v/>
      </c>
      <c r="AF285" s="265" t="e">
        <f t="shared" ca="1" si="47"/>
        <v>#NAME?</v>
      </c>
      <c r="AG285" s="265">
        <f t="shared" si="48"/>
        <v>52010801</v>
      </c>
      <c r="AH285" s="265" t="e" cm="1">
        <f t="array" aca="1" ref="AH285" ca="1">_xlfn.XLOOKUP(PAA[[#This Row],[RCP-RUBRO]],COMPROMISOS_2025[[#All],[concatenado]],COMPROMISOS_2025[[#All],[Total pagado]],"",0)</f>
        <v>#NAME?</v>
      </c>
      <c r="AI285" s="265" t="e" cm="1">
        <f t="array" aca="1" ref="AI285" ca="1">_xlfn.XLOOKUP(PAA[[#This Row],[RCP-RUBRO]],COMPROMISOS_2025[[#All],[concatenado]],COMPROMISOS_2025[[#All],[Total Comprometido]],"",0)</f>
        <v>#NAME?</v>
      </c>
    </row>
    <row r="286" spans="1:35" s="50" customFormat="1" ht="42" hidden="1" customHeight="1" x14ac:dyDescent="0.25">
      <c r="A286" s="265">
        <v>201</v>
      </c>
      <c r="B286" s="255">
        <v>90141502</v>
      </c>
      <c r="C286" s="265" t="str">
        <f>VLOOKUP(PAA[[#This Row],[PROYECTO (formulado)2]],PROYECTOS!$G$1:$L$32,6,0)</f>
        <v>SUBGERENCIA DE ALTOS LOGROS Y DEPORTE ASOCIADO</v>
      </c>
      <c r="D286" s="265" t="str">
        <f>+IF(PAA[[#This Row],[UNIDAD DE CONTRATACION (formulado)]]="Subgerencia Administrativa y Financiera","FUNCIONAMIENTO","INVERSIÓN")</f>
        <v>INVERSIÓN</v>
      </c>
      <c r="E286" s="274" t="str">
        <f>VLOOKUP(Q286,PROYECTOS!$G$1:$K$32,5,0)</f>
        <v>Apoyo económico a las organizaciones deportivas que representan en competencias al departamento de Antioquia</v>
      </c>
      <c r="F286" s="274">
        <f>VLOOKUP(E286,PROYECTOS!$K$1:$M$32,3,0)</f>
        <v>2024003050102</v>
      </c>
      <c r="G286" s="266" t="s">
        <v>359</v>
      </c>
      <c r="H286" s="266" t="str">
        <f>VLOOKUP(Q286,PROYECTOS!$V$1:$W$32,2,0)</f>
        <v>050076</v>
      </c>
      <c r="I286" s="269">
        <v>0</v>
      </c>
      <c r="J286" s="275" t="s">
        <v>41</v>
      </c>
      <c r="K286" s="265" t="str">
        <f t="shared" ca="1" si="42"/>
        <v>CONTRATADO</v>
      </c>
      <c r="L286" s="265" t="s">
        <v>112</v>
      </c>
      <c r="M286" s="265" t="s">
        <v>361</v>
      </c>
      <c r="N286" s="276" t="s">
        <v>363</v>
      </c>
      <c r="O286" s="275">
        <f>VLOOKUP(N286,RUBROS[#All],3,0)</f>
        <v>57</v>
      </c>
      <c r="P286" s="277" t="str">
        <f>VLOOKUP(N286,RUBROS[#All],2,0)</f>
        <v>Apoyo económico a las organizaciones deportivas que representan en competencias al departamento de Antioquia -Actividades de promoción y desarrollo del Deporte</v>
      </c>
      <c r="Q286" s="265" t="str">
        <f t="shared" si="43"/>
        <v>02</v>
      </c>
      <c r="R286" s="265" t="str">
        <f t="shared" si="44"/>
        <v>0-205128</v>
      </c>
      <c r="S286" s="254" t="s">
        <v>41</v>
      </c>
      <c r="T286" s="254" t="s">
        <v>41</v>
      </c>
      <c r="U286" s="272" t="e">
        <f ca="1">_xlfn.XLOOKUP(PAA[[#This Row],[ITEM]],Contrato!A:A,Contrato!Q:Q,"",0)</f>
        <v>#NAME?</v>
      </c>
      <c r="V286" s="265" t="s">
        <v>47</v>
      </c>
      <c r="W286" s="254" t="s">
        <v>41</v>
      </c>
      <c r="X286" s="254" t="s">
        <v>41</v>
      </c>
      <c r="Y286" s="273" t="e">
        <f ca="1">_xlfn.XLOOKUP(PAA[[#This Row],[ITEM]],Contrato!A:A,Contrato!B:B,"",0)</f>
        <v>#NAME?</v>
      </c>
      <c r="Z286" s="265" t="e">
        <f ca="1">_xlfn.XLOOKUP(PAA[[#This Row],[ITEM]],Contrato!A:A,Contrato!G:G,"",0)</f>
        <v>#NAME?</v>
      </c>
      <c r="AA286" s="265" t="e">
        <f ca="1">_xlfn.XLOOKUP(PAA[[#This Row],[ITEM]],Contrato!A:A,Contrato!T:T,"",0)</f>
        <v>#NAME?</v>
      </c>
      <c r="AB286" s="273" t="e">
        <f ca="1">+MAX(PAA[[#This Row],[Comprometido Contrato]],)</f>
        <v>#NAME?</v>
      </c>
      <c r="AC286" s="273" t="str">
        <f t="shared" ca="1" si="49"/>
        <v/>
      </c>
      <c r="AD286" s="273" t="e">
        <f ca="1">+MAX(PAA[[#This Row],[Pago por Contrato]],)</f>
        <v>#NAME?</v>
      </c>
      <c r="AE286" s="273" t="str">
        <f t="shared" ca="1" si="46"/>
        <v/>
      </c>
      <c r="AF286" s="265" t="e">
        <f t="shared" ca="1" si="47"/>
        <v>#NAME?</v>
      </c>
      <c r="AG286" s="265">
        <f t="shared" si="48"/>
        <v>52010801</v>
      </c>
      <c r="AH286" s="265" t="e" cm="1">
        <f t="array" aca="1" ref="AH286" ca="1">_xlfn.XLOOKUP(PAA[[#This Row],[RCP-RUBRO]],COMPROMISOS_2025[[#All],[concatenado]],COMPROMISOS_2025[[#All],[Total pagado]],"",0)</f>
        <v>#NAME?</v>
      </c>
      <c r="AI286" s="265" t="e" cm="1">
        <f t="array" aca="1" ref="AI286" ca="1">_xlfn.XLOOKUP(PAA[[#This Row],[RCP-RUBRO]],COMPROMISOS_2025[[#All],[concatenado]],COMPROMISOS_2025[[#All],[Total Comprometido]],"",0)</f>
        <v>#NAME?</v>
      </c>
    </row>
    <row r="287" spans="1:35" s="50" customFormat="1" ht="42" hidden="1" customHeight="1" x14ac:dyDescent="0.25">
      <c r="A287" s="265">
        <v>202</v>
      </c>
      <c r="B287" s="255">
        <v>90141502</v>
      </c>
      <c r="C287" s="265" t="str">
        <f>VLOOKUP(PAA[[#This Row],[PROYECTO (formulado)2]],PROYECTOS!$G$1:$L$32,6,0)</f>
        <v>SUBGERENCIA DE ALTOS LOGROS Y DEPORTE ASOCIADO</v>
      </c>
      <c r="D287" s="265" t="str">
        <f>+IF(PAA[[#This Row],[UNIDAD DE CONTRATACION (formulado)]]="Subgerencia Administrativa y Financiera","FUNCIONAMIENTO","INVERSIÓN")</f>
        <v>INVERSIÓN</v>
      </c>
      <c r="E287" s="274" t="str">
        <f>VLOOKUP(Q287,PROYECTOS!$G$1:$K$32,5,0)</f>
        <v>Apoyo económico a las organizaciones deportivas que representan en competencias al departamento de Antioquia</v>
      </c>
      <c r="F287" s="274">
        <f>VLOOKUP(E287,PROYECTOS!$K$1:$M$32,3,0)</f>
        <v>2024003050102</v>
      </c>
      <c r="G287" s="266" t="s">
        <v>359</v>
      </c>
      <c r="H287" s="266" t="str">
        <f>VLOOKUP(Q287,PROYECTOS!$V$1:$W$32,2,0)</f>
        <v>050076</v>
      </c>
      <c r="I287" s="269">
        <v>0</v>
      </c>
      <c r="J287" s="275" t="s">
        <v>41</v>
      </c>
      <c r="K287" s="265" t="str">
        <f t="shared" ca="1" si="42"/>
        <v>CONTRATADO</v>
      </c>
      <c r="L287" s="265" t="s">
        <v>112</v>
      </c>
      <c r="M287" s="265" t="s">
        <v>361</v>
      </c>
      <c r="N287" s="276" t="s">
        <v>363</v>
      </c>
      <c r="O287" s="275">
        <f>VLOOKUP(N287,RUBROS[#All],3,0)</f>
        <v>57</v>
      </c>
      <c r="P287" s="277" t="str">
        <f>VLOOKUP(N287,RUBROS[#All],2,0)</f>
        <v>Apoyo económico a las organizaciones deportivas que representan en competencias al departamento de Antioquia -Actividades de promoción y desarrollo del Deporte</v>
      </c>
      <c r="Q287" s="265" t="str">
        <f t="shared" si="43"/>
        <v>02</v>
      </c>
      <c r="R287" s="265" t="str">
        <f t="shared" si="44"/>
        <v>0-205128</v>
      </c>
      <c r="S287" s="254" t="s">
        <v>41</v>
      </c>
      <c r="T287" s="254" t="s">
        <v>41</v>
      </c>
      <c r="U287" s="272" t="e">
        <f ca="1">_xlfn.XLOOKUP(PAA[[#This Row],[ITEM]],Contrato!A:A,Contrato!Q:Q,"",0)</f>
        <v>#NAME?</v>
      </c>
      <c r="V287" s="265" t="s">
        <v>47</v>
      </c>
      <c r="W287" s="254" t="s">
        <v>41</v>
      </c>
      <c r="X287" s="254" t="s">
        <v>41</v>
      </c>
      <c r="Y287" s="273" t="e">
        <f ca="1">_xlfn.XLOOKUP(PAA[[#This Row],[ITEM]],Contrato!A:A,Contrato!B:B,"",0)</f>
        <v>#NAME?</v>
      </c>
      <c r="Z287" s="265" t="e">
        <f ca="1">_xlfn.XLOOKUP(PAA[[#This Row],[ITEM]],Contrato!A:A,Contrato!G:G,"",0)</f>
        <v>#NAME?</v>
      </c>
      <c r="AA287" s="265" t="e">
        <f ca="1">_xlfn.XLOOKUP(PAA[[#This Row],[ITEM]],Contrato!A:A,Contrato!T:T,"",0)</f>
        <v>#NAME?</v>
      </c>
      <c r="AB287" s="273" t="e">
        <f ca="1">+MAX(PAA[[#This Row],[Comprometido Contrato]],)</f>
        <v>#NAME?</v>
      </c>
      <c r="AC287" s="273" t="str">
        <f t="shared" ca="1" si="49"/>
        <v/>
      </c>
      <c r="AD287" s="273" t="e">
        <f ca="1">+MAX(PAA[[#This Row],[Pago por Contrato]],)</f>
        <v>#NAME?</v>
      </c>
      <c r="AE287" s="273" t="str">
        <f t="shared" ca="1" si="46"/>
        <v/>
      </c>
      <c r="AF287" s="265" t="e">
        <f t="shared" ca="1" si="47"/>
        <v>#NAME?</v>
      </c>
      <c r="AG287" s="265">
        <f t="shared" si="48"/>
        <v>52010801</v>
      </c>
      <c r="AH287" s="265" t="e" cm="1">
        <f t="array" aca="1" ref="AH287" ca="1">_xlfn.XLOOKUP(PAA[[#This Row],[RCP-RUBRO]],COMPROMISOS_2025[[#All],[concatenado]],COMPROMISOS_2025[[#All],[Total pagado]],"",0)</f>
        <v>#NAME?</v>
      </c>
      <c r="AI287" s="265" t="e" cm="1">
        <f t="array" aca="1" ref="AI287" ca="1">_xlfn.XLOOKUP(PAA[[#This Row],[RCP-RUBRO]],COMPROMISOS_2025[[#All],[concatenado]],COMPROMISOS_2025[[#All],[Total Comprometido]],"",0)</f>
        <v>#NAME?</v>
      </c>
    </row>
    <row r="288" spans="1:35" s="50" customFormat="1" ht="42" hidden="1" customHeight="1" x14ac:dyDescent="0.25">
      <c r="A288" s="265">
        <v>203</v>
      </c>
      <c r="B288" s="255">
        <v>90141502</v>
      </c>
      <c r="C288" s="265" t="str">
        <f>VLOOKUP(PAA[[#This Row],[PROYECTO (formulado)2]],PROYECTOS!$G$1:$L$32,6,0)</f>
        <v>SUBGERENCIA DE ALTOS LOGROS Y DEPORTE ASOCIADO</v>
      </c>
      <c r="D288" s="265" t="str">
        <f>+IF(PAA[[#This Row],[UNIDAD DE CONTRATACION (formulado)]]="Subgerencia Administrativa y Financiera","FUNCIONAMIENTO","INVERSIÓN")</f>
        <v>INVERSIÓN</v>
      </c>
      <c r="E288" s="274" t="str">
        <f>VLOOKUP(Q288,PROYECTOS!$G$1:$K$32,5,0)</f>
        <v>Apoyo económico a las organizaciones deportivas que representan en competencias al departamento de Antioquia</v>
      </c>
      <c r="F288" s="274">
        <f>VLOOKUP(E288,PROYECTOS!$K$1:$M$32,3,0)</f>
        <v>2024003050102</v>
      </c>
      <c r="G288" s="266" t="s">
        <v>359</v>
      </c>
      <c r="H288" s="266" t="str">
        <f>VLOOKUP(Q288,PROYECTOS!$V$1:$W$32,2,0)</f>
        <v>050076</v>
      </c>
      <c r="I288" s="269">
        <v>0</v>
      </c>
      <c r="J288" s="275" t="s">
        <v>41</v>
      </c>
      <c r="K288" s="265" t="str">
        <f t="shared" ca="1" si="42"/>
        <v>CONTRATADO</v>
      </c>
      <c r="L288" s="265" t="s">
        <v>112</v>
      </c>
      <c r="M288" s="265" t="s">
        <v>361</v>
      </c>
      <c r="N288" s="276" t="s">
        <v>363</v>
      </c>
      <c r="O288" s="275">
        <f>VLOOKUP(N288,RUBROS[#All],3,0)</f>
        <v>57</v>
      </c>
      <c r="P288" s="277" t="str">
        <f>VLOOKUP(N288,RUBROS[#All],2,0)</f>
        <v>Apoyo económico a las organizaciones deportivas que representan en competencias al departamento de Antioquia -Actividades de promoción y desarrollo del Deporte</v>
      </c>
      <c r="Q288" s="265" t="str">
        <f t="shared" si="43"/>
        <v>02</v>
      </c>
      <c r="R288" s="265" t="str">
        <f t="shared" si="44"/>
        <v>0-205128</v>
      </c>
      <c r="S288" s="254" t="s">
        <v>41</v>
      </c>
      <c r="T288" s="254" t="s">
        <v>41</v>
      </c>
      <c r="U288" s="272" t="e">
        <f ca="1">_xlfn.XLOOKUP(PAA[[#This Row],[ITEM]],Contrato!A:A,Contrato!Q:Q,"",0)</f>
        <v>#NAME?</v>
      </c>
      <c r="V288" s="265" t="s">
        <v>47</v>
      </c>
      <c r="W288" s="254" t="s">
        <v>41</v>
      </c>
      <c r="X288" s="254" t="s">
        <v>41</v>
      </c>
      <c r="Y288" s="273" t="e">
        <f ca="1">_xlfn.XLOOKUP(PAA[[#This Row],[ITEM]],Contrato!A:A,Contrato!B:B,"",0)</f>
        <v>#NAME?</v>
      </c>
      <c r="Z288" s="265" t="e">
        <f ca="1">_xlfn.XLOOKUP(PAA[[#This Row],[ITEM]],Contrato!A:A,Contrato!G:G,"",0)</f>
        <v>#NAME?</v>
      </c>
      <c r="AA288" s="265" t="e">
        <f ca="1">_xlfn.XLOOKUP(PAA[[#This Row],[ITEM]],Contrato!A:A,Contrato!T:T,"",0)</f>
        <v>#NAME?</v>
      </c>
      <c r="AB288" s="273" t="e">
        <f ca="1">+MAX(PAA[[#This Row],[Comprometido Contrato]],)</f>
        <v>#NAME?</v>
      </c>
      <c r="AC288" s="273" t="str">
        <f t="shared" ca="1" si="49"/>
        <v/>
      </c>
      <c r="AD288" s="273" t="e">
        <f ca="1">+MAX(PAA[[#This Row],[Pago por Contrato]],)</f>
        <v>#NAME?</v>
      </c>
      <c r="AE288" s="273" t="str">
        <f t="shared" ca="1" si="46"/>
        <v/>
      </c>
      <c r="AF288" s="265" t="e">
        <f t="shared" ca="1" si="47"/>
        <v>#NAME?</v>
      </c>
      <c r="AG288" s="265">
        <f t="shared" si="48"/>
        <v>52010801</v>
      </c>
      <c r="AH288" s="265" t="e" cm="1">
        <f t="array" aca="1" ref="AH288" ca="1">_xlfn.XLOOKUP(PAA[[#This Row],[RCP-RUBRO]],COMPROMISOS_2025[[#All],[concatenado]],COMPROMISOS_2025[[#All],[Total pagado]],"",0)</f>
        <v>#NAME?</v>
      </c>
      <c r="AI288" s="265" t="e" cm="1">
        <f t="array" aca="1" ref="AI288" ca="1">_xlfn.XLOOKUP(PAA[[#This Row],[RCP-RUBRO]],COMPROMISOS_2025[[#All],[concatenado]],COMPROMISOS_2025[[#All],[Total Comprometido]],"",0)</f>
        <v>#NAME?</v>
      </c>
    </row>
    <row r="289" spans="1:35" s="50" customFormat="1" ht="42" hidden="1" customHeight="1" x14ac:dyDescent="0.25">
      <c r="A289" s="265">
        <v>204</v>
      </c>
      <c r="B289" s="255">
        <v>90141502</v>
      </c>
      <c r="C289" s="265" t="str">
        <f>VLOOKUP(PAA[[#This Row],[PROYECTO (formulado)2]],PROYECTOS!$G$1:$L$32,6,0)</f>
        <v>SUBGERENCIA DE ALTOS LOGROS Y DEPORTE ASOCIADO</v>
      </c>
      <c r="D289" s="265" t="str">
        <f>+IF(PAA[[#This Row],[UNIDAD DE CONTRATACION (formulado)]]="Subgerencia Administrativa y Financiera","FUNCIONAMIENTO","INVERSIÓN")</f>
        <v>INVERSIÓN</v>
      </c>
      <c r="E289" s="274" t="str">
        <f>VLOOKUP(Q289,PROYECTOS!$G$1:$K$32,5,0)</f>
        <v>Apoyo económico a las organizaciones deportivas que representan en competencias al departamento de Antioquia</v>
      </c>
      <c r="F289" s="274">
        <f>VLOOKUP(E289,PROYECTOS!$K$1:$M$32,3,0)</f>
        <v>2024003050102</v>
      </c>
      <c r="G289" s="266" t="s">
        <v>359</v>
      </c>
      <c r="H289" s="266" t="str">
        <f>VLOOKUP(Q289,PROYECTOS!$V$1:$W$32,2,0)</f>
        <v>050076</v>
      </c>
      <c r="I289" s="269">
        <v>0</v>
      </c>
      <c r="J289" s="275" t="s">
        <v>41</v>
      </c>
      <c r="K289" s="265" t="str">
        <f t="shared" ca="1" si="42"/>
        <v>CONTRATADO</v>
      </c>
      <c r="L289" s="265" t="s">
        <v>112</v>
      </c>
      <c r="M289" s="265" t="s">
        <v>361</v>
      </c>
      <c r="N289" s="276" t="s">
        <v>363</v>
      </c>
      <c r="O289" s="275">
        <f>VLOOKUP(N289,RUBROS[#All],3,0)</f>
        <v>57</v>
      </c>
      <c r="P289" s="277" t="str">
        <f>VLOOKUP(N289,RUBROS[#All],2,0)</f>
        <v>Apoyo económico a las organizaciones deportivas que representan en competencias al departamento de Antioquia -Actividades de promoción y desarrollo del Deporte</v>
      </c>
      <c r="Q289" s="265" t="str">
        <f t="shared" si="43"/>
        <v>02</v>
      </c>
      <c r="R289" s="265" t="str">
        <f t="shared" si="44"/>
        <v>0-205128</v>
      </c>
      <c r="S289" s="254" t="s">
        <v>41</v>
      </c>
      <c r="T289" s="254" t="s">
        <v>41</v>
      </c>
      <c r="U289" s="272" t="e">
        <f ca="1">_xlfn.XLOOKUP(PAA[[#This Row],[ITEM]],Contrato!A:A,Contrato!Q:Q,"",0)</f>
        <v>#NAME?</v>
      </c>
      <c r="V289" s="265" t="s">
        <v>47</v>
      </c>
      <c r="W289" s="254" t="s">
        <v>41</v>
      </c>
      <c r="X289" s="254" t="s">
        <v>41</v>
      </c>
      <c r="Y289" s="273" t="e">
        <f ca="1">_xlfn.XLOOKUP(PAA[[#This Row],[ITEM]],Contrato!A:A,Contrato!B:B,"",0)</f>
        <v>#NAME?</v>
      </c>
      <c r="Z289" s="265" t="e">
        <f ca="1">_xlfn.XLOOKUP(PAA[[#This Row],[ITEM]],Contrato!A:A,Contrato!G:G,"",0)</f>
        <v>#NAME?</v>
      </c>
      <c r="AA289" s="265" t="e">
        <f ca="1">_xlfn.XLOOKUP(PAA[[#This Row],[ITEM]],Contrato!A:A,Contrato!T:T,"",0)</f>
        <v>#NAME?</v>
      </c>
      <c r="AB289" s="273" t="e">
        <f ca="1">+MAX(PAA[[#This Row],[Comprometido Contrato]],)</f>
        <v>#NAME?</v>
      </c>
      <c r="AC289" s="273" t="str">
        <f t="shared" ca="1" si="49"/>
        <v/>
      </c>
      <c r="AD289" s="273" t="e">
        <f ca="1">+MAX(PAA[[#This Row],[Pago por Contrato]],)</f>
        <v>#NAME?</v>
      </c>
      <c r="AE289" s="273" t="str">
        <f t="shared" ca="1" si="46"/>
        <v/>
      </c>
      <c r="AF289" s="265" t="e">
        <f t="shared" ca="1" si="47"/>
        <v>#NAME?</v>
      </c>
      <c r="AG289" s="265">
        <f t="shared" si="48"/>
        <v>52010801</v>
      </c>
      <c r="AH289" s="265" t="e" cm="1">
        <f t="array" aca="1" ref="AH289" ca="1">_xlfn.XLOOKUP(PAA[[#This Row],[RCP-RUBRO]],COMPROMISOS_2025[[#All],[concatenado]],COMPROMISOS_2025[[#All],[Total pagado]],"",0)</f>
        <v>#NAME?</v>
      </c>
      <c r="AI289" s="265" t="e" cm="1">
        <f t="array" aca="1" ref="AI289" ca="1">_xlfn.XLOOKUP(PAA[[#This Row],[RCP-RUBRO]],COMPROMISOS_2025[[#All],[concatenado]],COMPROMISOS_2025[[#All],[Total Comprometido]],"",0)</f>
        <v>#NAME?</v>
      </c>
    </row>
    <row r="290" spans="1:35" s="50" customFormat="1" ht="42" hidden="1" customHeight="1" x14ac:dyDescent="0.25">
      <c r="A290" s="265">
        <v>205</v>
      </c>
      <c r="B290" s="255">
        <v>90141502</v>
      </c>
      <c r="C290" s="265" t="str">
        <f>VLOOKUP(PAA[[#This Row],[PROYECTO (formulado)2]],PROYECTOS!$G$1:$L$32,6,0)</f>
        <v>SUBGERENCIA DE ALTOS LOGROS Y DEPORTE ASOCIADO</v>
      </c>
      <c r="D290" s="265" t="str">
        <f>+IF(PAA[[#This Row],[UNIDAD DE CONTRATACION (formulado)]]="Subgerencia Administrativa y Financiera","FUNCIONAMIENTO","INVERSIÓN")</f>
        <v>INVERSIÓN</v>
      </c>
      <c r="E290" s="274" t="str">
        <f>VLOOKUP(Q290,PROYECTOS!$G$1:$K$32,5,0)</f>
        <v>Apoyo económico a las organizaciones deportivas que representan en competencias al departamento de Antioquia</v>
      </c>
      <c r="F290" s="274">
        <f>VLOOKUP(E290,PROYECTOS!$K$1:$M$32,3,0)</f>
        <v>2024003050102</v>
      </c>
      <c r="G290" s="266" t="s">
        <v>359</v>
      </c>
      <c r="H290" s="266" t="str">
        <f>VLOOKUP(Q290,PROYECTOS!$V$1:$W$32,2,0)</f>
        <v>050076</v>
      </c>
      <c r="I290" s="269">
        <v>0</v>
      </c>
      <c r="J290" s="275" t="s">
        <v>41</v>
      </c>
      <c r="K290" s="265" t="str">
        <f t="shared" ca="1" si="42"/>
        <v>CONTRATADO</v>
      </c>
      <c r="L290" s="265" t="s">
        <v>112</v>
      </c>
      <c r="M290" s="265" t="s">
        <v>361</v>
      </c>
      <c r="N290" s="276" t="s">
        <v>363</v>
      </c>
      <c r="O290" s="275">
        <f>VLOOKUP(N290,RUBROS[#All],3,0)</f>
        <v>57</v>
      </c>
      <c r="P290" s="277" t="str">
        <f>VLOOKUP(N290,RUBROS[#All],2,0)</f>
        <v>Apoyo económico a las organizaciones deportivas que representan en competencias al departamento de Antioquia -Actividades de promoción y desarrollo del Deporte</v>
      </c>
      <c r="Q290" s="265" t="str">
        <f t="shared" si="43"/>
        <v>02</v>
      </c>
      <c r="R290" s="265" t="str">
        <f t="shared" si="44"/>
        <v>0-205128</v>
      </c>
      <c r="S290" s="254" t="s">
        <v>41</v>
      </c>
      <c r="T290" s="254" t="s">
        <v>41</v>
      </c>
      <c r="U290" s="272" t="e">
        <f ca="1">_xlfn.XLOOKUP(PAA[[#This Row],[ITEM]],Contrato!A:A,Contrato!Q:Q,"",0)</f>
        <v>#NAME?</v>
      </c>
      <c r="V290" s="265" t="s">
        <v>47</v>
      </c>
      <c r="W290" s="254" t="s">
        <v>41</v>
      </c>
      <c r="X290" s="254" t="s">
        <v>41</v>
      </c>
      <c r="Y290" s="273" t="e">
        <f ca="1">_xlfn.XLOOKUP(PAA[[#This Row],[ITEM]],Contrato!A:A,Contrato!B:B,"",0)</f>
        <v>#NAME?</v>
      </c>
      <c r="Z290" s="265" t="e">
        <f ca="1">_xlfn.XLOOKUP(PAA[[#This Row],[ITEM]],Contrato!A:A,Contrato!G:G,"",0)</f>
        <v>#NAME?</v>
      </c>
      <c r="AA290" s="265" t="e">
        <f ca="1">_xlfn.XLOOKUP(PAA[[#This Row],[ITEM]],Contrato!A:A,Contrato!T:T,"",0)</f>
        <v>#NAME?</v>
      </c>
      <c r="AB290" s="273" t="e">
        <f ca="1">+MAX(PAA[[#This Row],[Comprometido Contrato]],)</f>
        <v>#NAME?</v>
      </c>
      <c r="AC290" s="273" t="str">
        <f t="shared" ca="1" si="49"/>
        <v/>
      </c>
      <c r="AD290" s="273" t="e">
        <f ca="1">+MAX(PAA[[#This Row],[Pago por Contrato]],)</f>
        <v>#NAME?</v>
      </c>
      <c r="AE290" s="273" t="str">
        <f t="shared" ca="1" si="46"/>
        <v/>
      </c>
      <c r="AF290" s="265" t="e">
        <f t="shared" ca="1" si="47"/>
        <v>#NAME?</v>
      </c>
      <c r="AG290" s="265">
        <f t="shared" si="48"/>
        <v>52010801</v>
      </c>
      <c r="AH290" s="265" t="e" cm="1">
        <f t="array" aca="1" ref="AH290" ca="1">_xlfn.XLOOKUP(PAA[[#This Row],[RCP-RUBRO]],COMPROMISOS_2025[[#All],[concatenado]],COMPROMISOS_2025[[#All],[Total pagado]],"",0)</f>
        <v>#NAME?</v>
      </c>
      <c r="AI290" s="265" t="e" cm="1">
        <f t="array" aca="1" ref="AI290" ca="1">_xlfn.XLOOKUP(PAA[[#This Row],[RCP-RUBRO]],COMPROMISOS_2025[[#All],[concatenado]],COMPROMISOS_2025[[#All],[Total Comprometido]],"",0)</f>
        <v>#NAME?</v>
      </c>
    </row>
    <row r="291" spans="1:35" s="50" customFormat="1" ht="42" hidden="1" customHeight="1" x14ac:dyDescent="0.25">
      <c r="A291" s="265">
        <v>206</v>
      </c>
      <c r="B291" s="255">
        <v>90141502</v>
      </c>
      <c r="C291" s="265" t="str">
        <f>VLOOKUP(PAA[[#This Row],[PROYECTO (formulado)2]],PROYECTOS!$G$1:$L$32,6,0)</f>
        <v>SUBGERENCIA DE ALTOS LOGROS Y DEPORTE ASOCIADO</v>
      </c>
      <c r="D291" s="265" t="str">
        <f>+IF(PAA[[#This Row],[UNIDAD DE CONTRATACION (formulado)]]="Subgerencia Administrativa y Financiera","FUNCIONAMIENTO","INVERSIÓN")</f>
        <v>INVERSIÓN</v>
      </c>
      <c r="E291" s="274" t="str">
        <f>VLOOKUP(Q291,PROYECTOS!$G$1:$K$32,5,0)</f>
        <v>Apoyo económico a las organizaciones deportivas que representan en competencias al departamento de Antioquia</v>
      </c>
      <c r="F291" s="274">
        <f>VLOOKUP(E291,PROYECTOS!$K$1:$M$32,3,0)</f>
        <v>2024003050102</v>
      </c>
      <c r="G291" s="266" t="s">
        <v>359</v>
      </c>
      <c r="H291" s="266" t="str">
        <f>VLOOKUP(Q291,PROYECTOS!$V$1:$W$32,2,0)</f>
        <v>050076</v>
      </c>
      <c r="I291" s="269">
        <v>0</v>
      </c>
      <c r="J291" s="275" t="s">
        <v>41</v>
      </c>
      <c r="K291" s="265" t="str">
        <f t="shared" ca="1" si="42"/>
        <v>CONTRATADO</v>
      </c>
      <c r="L291" s="265" t="s">
        <v>112</v>
      </c>
      <c r="M291" s="265" t="s">
        <v>361</v>
      </c>
      <c r="N291" s="276" t="s">
        <v>363</v>
      </c>
      <c r="O291" s="275">
        <f>VLOOKUP(N291,RUBROS[#All],3,0)</f>
        <v>57</v>
      </c>
      <c r="P291" s="277" t="str">
        <f>VLOOKUP(N291,RUBROS[#All],2,0)</f>
        <v>Apoyo económico a las organizaciones deportivas que representan en competencias al departamento de Antioquia -Actividades de promoción y desarrollo del Deporte</v>
      </c>
      <c r="Q291" s="265" t="str">
        <f t="shared" si="43"/>
        <v>02</v>
      </c>
      <c r="R291" s="265" t="str">
        <f t="shared" si="44"/>
        <v>0-205128</v>
      </c>
      <c r="S291" s="254" t="s">
        <v>41</v>
      </c>
      <c r="T291" s="254" t="s">
        <v>41</v>
      </c>
      <c r="U291" s="272" t="e">
        <f ca="1">_xlfn.XLOOKUP(PAA[[#This Row],[ITEM]],Contrato!A:A,Contrato!Q:Q,"",0)</f>
        <v>#NAME?</v>
      </c>
      <c r="V291" s="265" t="s">
        <v>47</v>
      </c>
      <c r="W291" s="254" t="s">
        <v>41</v>
      </c>
      <c r="X291" s="254" t="s">
        <v>41</v>
      </c>
      <c r="Y291" s="273" t="e">
        <f ca="1">_xlfn.XLOOKUP(PAA[[#This Row],[ITEM]],Contrato!A:A,Contrato!B:B,"",0)</f>
        <v>#NAME?</v>
      </c>
      <c r="Z291" s="265" t="e">
        <f ca="1">_xlfn.XLOOKUP(PAA[[#This Row],[ITEM]],Contrato!A:A,Contrato!G:G,"",0)</f>
        <v>#NAME?</v>
      </c>
      <c r="AA291" s="265" t="e">
        <f ca="1">_xlfn.XLOOKUP(PAA[[#This Row],[ITEM]],Contrato!A:A,Contrato!T:T,"",0)</f>
        <v>#NAME?</v>
      </c>
      <c r="AB291" s="273" t="e">
        <f ca="1">+MAX(PAA[[#This Row],[Comprometido Contrato]],)</f>
        <v>#NAME?</v>
      </c>
      <c r="AC291" s="273" t="str">
        <f t="shared" ca="1" si="49"/>
        <v/>
      </c>
      <c r="AD291" s="273" t="e">
        <f ca="1">+MAX(PAA[[#This Row],[Pago por Contrato]],)</f>
        <v>#NAME?</v>
      </c>
      <c r="AE291" s="273" t="str">
        <f t="shared" ca="1" si="46"/>
        <v/>
      </c>
      <c r="AF291" s="265" t="e">
        <f t="shared" ca="1" si="47"/>
        <v>#NAME?</v>
      </c>
      <c r="AG291" s="265">
        <f t="shared" si="48"/>
        <v>52010801</v>
      </c>
      <c r="AH291" s="265" t="e" cm="1">
        <f t="array" aca="1" ref="AH291" ca="1">_xlfn.XLOOKUP(PAA[[#This Row],[RCP-RUBRO]],COMPROMISOS_2025[[#All],[concatenado]],COMPROMISOS_2025[[#All],[Total pagado]],"",0)</f>
        <v>#NAME?</v>
      </c>
      <c r="AI291" s="265" t="e" cm="1">
        <f t="array" aca="1" ref="AI291" ca="1">_xlfn.XLOOKUP(PAA[[#This Row],[RCP-RUBRO]],COMPROMISOS_2025[[#All],[concatenado]],COMPROMISOS_2025[[#All],[Total Comprometido]],"",0)</f>
        <v>#NAME?</v>
      </c>
    </row>
    <row r="292" spans="1:35" s="50" customFormat="1" ht="42" hidden="1" customHeight="1" x14ac:dyDescent="0.25">
      <c r="A292" s="265">
        <v>207</v>
      </c>
      <c r="B292" s="255">
        <v>90141502</v>
      </c>
      <c r="C292" s="265" t="str">
        <f>VLOOKUP(PAA[[#This Row],[PROYECTO (formulado)2]],PROYECTOS!$G$1:$L$32,6,0)</f>
        <v>SUBGERENCIA DE ALTOS LOGROS Y DEPORTE ASOCIADO</v>
      </c>
      <c r="D292" s="265" t="str">
        <f>+IF(PAA[[#This Row],[UNIDAD DE CONTRATACION (formulado)]]="Subgerencia Administrativa y Financiera","FUNCIONAMIENTO","INVERSIÓN")</f>
        <v>INVERSIÓN</v>
      </c>
      <c r="E292" s="274" t="str">
        <f>VLOOKUP(Q292,PROYECTOS!$G$1:$K$32,5,0)</f>
        <v>Apoyo económico a las organizaciones deportivas que representan en competencias al departamento de Antioquia</v>
      </c>
      <c r="F292" s="274">
        <f>VLOOKUP(E292,PROYECTOS!$K$1:$M$32,3,0)</f>
        <v>2024003050102</v>
      </c>
      <c r="G292" s="266" t="s">
        <v>359</v>
      </c>
      <c r="H292" s="266" t="str">
        <f>VLOOKUP(Q292,PROYECTOS!$V$1:$W$32,2,0)</f>
        <v>050076</v>
      </c>
      <c r="I292" s="269">
        <v>0</v>
      </c>
      <c r="J292" s="275" t="s">
        <v>41</v>
      </c>
      <c r="K292" s="265" t="str">
        <f t="shared" ca="1" si="42"/>
        <v>CONTRATADO</v>
      </c>
      <c r="L292" s="265" t="s">
        <v>112</v>
      </c>
      <c r="M292" s="265" t="s">
        <v>361</v>
      </c>
      <c r="N292" s="276" t="s">
        <v>363</v>
      </c>
      <c r="O292" s="275">
        <f>VLOOKUP(N292,RUBROS[#All],3,0)</f>
        <v>57</v>
      </c>
      <c r="P292" s="277" t="str">
        <f>VLOOKUP(N292,RUBROS[#All],2,0)</f>
        <v>Apoyo económico a las organizaciones deportivas que representan en competencias al departamento de Antioquia -Actividades de promoción y desarrollo del Deporte</v>
      </c>
      <c r="Q292" s="265" t="str">
        <f t="shared" si="43"/>
        <v>02</v>
      </c>
      <c r="R292" s="265" t="str">
        <f t="shared" si="44"/>
        <v>0-205128</v>
      </c>
      <c r="S292" s="254" t="s">
        <v>41</v>
      </c>
      <c r="T292" s="254" t="s">
        <v>41</v>
      </c>
      <c r="U292" s="272" t="e">
        <f ca="1">_xlfn.XLOOKUP(PAA[[#This Row],[ITEM]],Contrato!A:A,Contrato!Q:Q,"",0)</f>
        <v>#NAME?</v>
      </c>
      <c r="V292" s="265" t="s">
        <v>47</v>
      </c>
      <c r="W292" s="254" t="s">
        <v>41</v>
      </c>
      <c r="X292" s="254" t="s">
        <v>41</v>
      </c>
      <c r="Y292" s="273" t="e">
        <f ca="1">_xlfn.XLOOKUP(PAA[[#This Row],[ITEM]],Contrato!A:A,Contrato!B:B,"",0)</f>
        <v>#NAME?</v>
      </c>
      <c r="Z292" s="265" t="e">
        <f ca="1">_xlfn.XLOOKUP(PAA[[#This Row],[ITEM]],Contrato!A:A,Contrato!G:G,"",0)</f>
        <v>#NAME?</v>
      </c>
      <c r="AA292" s="265" t="e">
        <f ca="1">_xlfn.XLOOKUP(PAA[[#This Row],[ITEM]],Contrato!A:A,Contrato!T:T,"",0)</f>
        <v>#NAME?</v>
      </c>
      <c r="AB292" s="273" t="e">
        <f ca="1">+MAX(PAA[[#This Row],[Comprometido Contrato]],)</f>
        <v>#NAME?</v>
      </c>
      <c r="AC292" s="273" t="str">
        <f t="shared" ca="1" si="49"/>
        <v/>
      </c>
      <c r="AD292" s="273" t="e">
        <f ca="1">+MAX(PAA[[#This Row],[Pago por Contrato]],)</f>
        <v>#NAME?</v>
      </c>
      <c r="AE292" s="273" t="str">
        <f t="shared" ca="1" si="46"/>
        <v/>
      </c>
      <c r="AF292" s="265" t="e">
        <f t="shared" ca="1" si="47"/>
        <v>#NAME?</v>
      </c>
      <c r="AG292" s="265">
        <f t="shared" si="48"/>
        <v>52010801</v>
      </c>
      <c r="AH292" s="265" t="e" cm="1">
        <f t="array" aca="1" ref="AH292" ca="1">_xlfn.XLOOKUP(PAA[[#This Row],[RCP-RUBRO]],COMPROMISOS_2025[[#All],[concatenado]],COMPROMISOS_2025[[#All],[Total pagado]],"",0)</f>
        <v>#NAME?</v>
      </c>
      <c r="AI292" s="265" t="e" cm="1">
        <f t="array" aca="1" ref="AI292" ca="1">_xlfn.XLOOKUP(PAA[[#This Row],[RCP-RUBRO]],COMPROMISOS_2025[[#All],[concatenado]],COMPROMISOS_2025[[#All],[Total Comprometido]],"",0)</f>
        <v>#NAME?</v>
      </c>
    </row>
    <row r="293" spans="1:35" s="50" customFormat="1" ht="42" hidden="1" customHeight="1" x14ac:dyDescent="0.25">
      <c r="A293" s="265">
        <v>208</v>
      </c>
      <c r="B293" s="255">
        <v>90141502</v>
      </c>
      <c r="C293" s="265" t="str">
        <f>VLOOKUP(PAA[[#This Row],[PROYECTO (formulado)2]],PROYECTOS!$G$1:$L$32,6,0)</f>
        <v>SUBGERENCIA DE ALTOS LOGROS Y DEPORTE ASOCIADO</v>
      </c>
      <c r="D293" s="265" t="str">
        <f>+IF(PAA[[#This Row],[UNIDAD DE CONTRATACION (formulado)]]="Subgerencia Administrativa y Financiera","FUNCIONAMIENTO","INVERSIÓN")</f>
        <v>INVERSIÓN</v>
      </c>
      <c r="E293" s="274" t="str">
        <f>VLOOKUP(Q293,PROYECTOS!$G$1:$K$32,5,0)</f>
        <v>Apoyo económico a las organizaciones deportivas que representan en competencias al departamento de Antioquia</v>
      </c>
      <c r="F293" s="274">
        <f>VLOOKUP(E293,PROYECTOS!$K$1:$M$32,3,0)</f>
        <v>2024003050102</v>
      </c>
      <c r="G293" s="266" t="s">
        <v>359</v>
      </c>
      <c r="H293" s="266" t="str">
        <f>VLOOKUP(Q293,PROYECTOS!$V$1:$W$32,2,0)</f>
        <v>050076</v>
      </c>
      <c r="I293" s="269">
        <v>0</v>
      </c>
      <c r="J293" s="275" t="s">
        <v>41</v>
      </c>
      <c r="K293" s="265" t="str">
        <f t="shared" ca="1" si="42"/>
        <v>CONTRATADO</v>
      </c>
      <c r="L293" s="265" t="s">
        <v>112</v>
      </c>
      <c r="M293" s="265" t="s">
        <v>361</v>
      </c>
      <c r="N293" s="276" t="s">
        <v>363</v>
      </c>
      <c r="O293" s="275">
        <f>VLOOKUP(N293,RUBROS[#All],3,0)</f>
        <v>57</v>
      </c>
      <c r="P293" s="277" t="str">
        <f>VLOOKUP(N293,RUBROS[#All],2,0)</f>
        <v>Apoyo económico a las organizaciones deportivas que representan en competencias al departamento de Antioquia -Actividades de promoción y desarrollo del Deporte</v>
      </c>
      <c r="Q293" s="265" t="str">
        <f t="shared" si="43"/>
        <v>02</v>
      </c>
      <c r="R293" s="265" t="str">
        <f t="shared" si="44"/>
        <v>0-205128</v>
      </c>
      <c r="S293" s="254" t="s">
        <v>41</v>
      </c>
      <c r="T293" s="254" t="s">
        <v>41</v>
      </c>
      <c r="U293" s="272" t="e">
        <f ca="1">_xlfn.XLOOKUP(PAA[[#This Row],[ITEM]],Contrato!A:A,Contrato!Q:Q,"",0)</f>
        <v>#NAME?</v>
      </c>
      <c r="V293" s="265" t="s">
        <v>47</v>
      </c>
      <c r="W293" s="254" t="s">
        <v>41</v>
      </c>
      <c r="X293" s="254" t="s">
        <v>41</v>
      </c>
      <c r="Y293" s="273" t="e">
        <f ca="1">_xlfn.XLOOKUP(PAA[[#This Row],[ITEM]],Contrato!A:A,Contrato!B:B,"",0)</f>
        <v>#NAME?</v>
      </c>
      <c r="Z293" s="265" t="e">
        <f ca="1">_xlfn.XLOOKUP(PAA[[#This Row],[ITEM]],Contrato!A:A,Contrato!G:G,"",0)</f>
        <v>#NAME?</v>
      </c>
      <c r="AA293" s="265" t="e">
        <f ca="1">_xlfn.XLOOKUP(PAA[[#This Row],[ITEM]],Contrato!A:A,Contrato!T:T,"",0)</f>
        <v>#NAME?</v>
      </c>
      <c r="AB293" s="273" t="e">
        <f ca="1">+MAX(PAA[[#This Row],[Comprometido Contrato]],)</f>
        <v>#NAME?</v>
      </c>
      <c r="AC293" s="273" t="str">
        <f t="shared" ca="1" si="49"/>
        <v/>
      </c>
      <c r="AD293" s="273" t="e">
        <f ca="1">+MAX(PAA[[#This Row],[Pago por Contrato]],)</f>
        <v>#NAME?</v>
      </c>
      <c r="AE293" s="273" t="str">
        <f t="shared" ca="1" si="46"/>
        <v/>
      </c>
      <c r="AF293" s="265" t="e">
        <f t="shared" ca="1" si="47"/>
        <v>#NAME?</v>
      </c>
      <c r="AG293" s="265">
        <f t="shared" si="48"/>
        <v>52010801</v>
      </c>
      <c r="AH293" s="265" t="e" cm="1">
        <f t="array" aca="1" ref="AH293" ca="1">_xlfn.XLOOKUP(PAA[[#This Row],[RCP-RUBRO]],COMPROMISOS_2025[[#All],[concatenado]],COMPROMISOS_2025[[#All],[Total pagado]],"",0)</f>
        <v>#NAME?</v>
      </c>
      <c r="AI293" s="265" t="e" cm="1">
        <f t="array" aca="1" ref="AI293" ca="1">_xlfn.XLOOKUP(PAA[[#This Row],[RCP-RUBRO]],COMPROMISOS_2025[[#All],[concatenado]],COMPROMISOS_2025[[#All],[Total Comprometido]],"",0)</f>
        <v>#NAME?</v>
      </c>
    </row>
    <row r="294" spans="1:35" s="50" customFormat="1" ht="42" hidden="1" customHeight="1" x14ac:dyDescent="0.25">
      <c r="A294" s="265">
        <v>209</v>
      </c>
      <c r="B294" s="255">
        <v>90141502</v>
      </c>
      <c r="C294" s="265" t="str">
        <f>VLOOKUP(PAA[[#This Row],[PROYECTO (formulado)2]],PROYECTOS!$G$1:$L$32,6,0)</f>
        <v>SUBGERENCIA DE ALTOS LOGROS Y DEPORTE ASOCIADO</v>
      </c>
      <c r="D294" s="265" t="str">
        <f>+IF(PAA[[#This Row],[UNIDAD DE CONTRATACION (formulado)]]="Subgerencia Administrativa y Financiera","FUNCIONAMIENTO","INVERSIÓN")</f>
        <v>INVERSIÓN</v>
      </c>
      <c r="E294" s="274" t="str">
        <f>VLOOKUP(Q294,PROYECTOS!$G$1:$K$32,5,0)</f>
        <v>Apoyo económico a las organizaciones deportivas que representan en competencias al departamento de Antioquia</v>
      </c>
      <c r="F294" s="274">
        <f>VLOOKUP(E294,PROYECTOS!$K$1:$M$32,3,0)</f>
        <v>2024003050102</v>
      </c>
      <c r="G294" s="266" t="s">
        <v>359</v>
      </c>
      <c r="H294" s="266" t="str">
        <f>VLOOKUP(Q294,PROYECTOS!$V$1:$W$32,2,0)</f>
        <v>050076</v>
      </c>
      <c r="I294" s="269">
        <v>0</v>
      </c>
      <c r="J294" s="275" t="s">
        <v>41</v>
      </c>
      <c r="K294" s="265" t="str">
        <f t="shared" ca="1" si="42"/>
        <v>CONTRATADO</v>
      </c>
      <c r="L294" s="265" t="s">
        <v>112</v>
      </c>
      <c r="M294" s="265" t="s">
        <v>361</v>
      </c>
      <c r="N294" s="276" t="s">
        <v>363</v>
      </c>
      <c r="O294" s="275">
        <f>VLOOKUP(N294,RUBROS[#All],3,0)</f>
        <v>57</v>
      </c>
      <c r="P294" s="277" t="str">
        <f>VLOOKUP(N294,RUBROS[#All],2,0)</f>
        <v>Apoyo económico a las organizaciones deportivas que representan en competencias al departamento de Antioquia -Actividades de promoción y desarrollo del Deporte</v>
      </c>
      <c r="Q294" s="265" t="str">
        <f t="shared" si="43"/>
        <v>02</v>
      </c>
      <c r="R294" s="265" t="str">
        <f t="shared" si="44"/>
        <v>0-205128</v>
      </c>
      <c r="S294" s="254" t="s">
        <v>41</v>
      </c>
      <c r="T294" s="254" t="s">
        <v>41</v>
      </c>
      <c r="U294" s="272" t="e">
        <f ca="1">_xlfn.XLOOKUP(PAA[[#This Row],[ITEM]],Contrato!A:A,Contrato!Q:Q,"",0)</f>
        <v>#NAME?</v>
      </c>
      <c r="V294" s="265" t="s">
        <v>47</v>
      </c>
      <c r="W294" s="254" t="s">
        <v>41</v>
      </c>
      <c r="X294" s="254" t="s">
        <v>41</v>
      </c>
      <c r="Y294" s="273" t="e">
        <f ca="1">_xlfn.XLOOKUP(PAA[[#This Row],[ITEM]],Contrato!A:A,Contrato!B:B,"",0)</f>
        <v>#NAME?</v>
      </c>
      <c r="Z294" s="265" t="e">
        <f ca="1">_xlfn.XLOOKUP(PAA[[#This Row],[ITEM]],Contrato!A:A,Contrato!G:G,"",0)</f>
        <v>#NAME?</v>
      </c>
      <c r="AA294" s="265" t="e">
        <f ca="1">_xlfn.XLOOKUP(PAA[[#This Row],[ITEM]],Contrato!A:A,Contrato!T:T,"",0)</f>
        <v>#NAME?</v>
      </c>
      <c r="AB294" s="273" t="e">
        <f ca="1">+MAX(PAA[[#This Row],[Comprometido Contrato]],)</f>
        <v>#NAME?</v>
      </c>
      <c r="AC294" s="273" t="str">
        <f t="shared" ca="1" si="49"/>
        <v/>
      </c>
      <c r="AD294" s="273" t="e">
        <f ca="1">+MAX(PAA[[#This Row],[Pago por Contrato]],)</f>
        <v>#NAME?</v>
      </c>
      <c r="AE294" s="273" t="str">
        <f t="shared" ca="1" si="46"/>
        <v/>
      </c>
      <c r="AF294" s="265" t="e">
        <f t="shared" ca="1" si="47"/>
        <v>#NAME?</v>
      </c>
      <c r="AG294" s="265">
        <f t="shared" si="48"/>
        <v>52010801</v>
      </c>
      <c r="AH294" s="265" t="e" cm="1">
        <f t="array" aca="1" ref="AH294" ca="1">_xlfn.XLOOKUP(PAA[[#This Row],[RCP-RUBRO]],COMPROMISOS_2025[[#All],[concatenado]],COMPROMISOS_2025[[#All],[Total pagado]],"",0)</f>
        <v>#NAME?</v>
      </c>
      <c r="AI294" s="265" t="e" cm="1">
        <f t="array" aca="1" ref="AI294" ca="1">_xlfn.XLOOKUP(PAA[[#This Row],[RCP-RUBRO]],COMPROMISOS_2025[[#All],[concatenado]],COMPROMISOS_2025[[#All],[Total Comprometido]],"",0)</f>
        <v>#NAME?</v>
      </c>
    </row>
    <row r="295" spans="1:35" s="50" customFormat="1" ht="42" hidden="1" customHeight="1" x14ac:dyDescent="0.25">
      <c r="A295" s="265">
        <v>210</v>
      </c>
      <c r="B295" s="255">
        <v>90141502</v>
      </c>
      <c r="C295" s="265" t="str">
        <f>VLOOKUP(PAA[[#This Row],[PROYECTO (formulado)2]],PROYECTOS!$G$1:$L$32,6,0)</f>
        <v>SUBGERENCIA DE ALTOS LOGROS Y DEPORTE ASOCIADO</v>
      </c>
      <c r="D295" s="265" t="str">
        <f>+IF(PAA[[#This Row],[UNIDAD DE CONTRATACION (formulado)]]="Subgerencia Administrativa y Financiera","FUNCIONAMIENTO","INVERSIÓN")</f>
        <v>INVERSIÓN</v>
      </c>
      <c r="E295" s="274" t="str">
        <f>VLOOKUP(Q295,PROYECTOS!$G$1:$K$32,5,0)</f>
        <v>Apoyo económico a las organizaciones deportivas que representan en competencias al departamento de Antioquia</v>
      </c>
      <c r="F295" s="274">
        <f>VLOOKUP(E295,PROYECTOS!$K$1:$M$32,3,0)</f>
        <v>2024003050102</v>
      </c>
      <c r="G295" s="266" t="s">
        <v>359</v>
      </c>
      <c r="H295" s="266" t="str">
        <f>VLOOKUP(Q295,PROYECTOS!$V$1:$W$32,2,0)</f>
        <v>050076</v>
      </c>
      <c r="I295" s="269">
        <v>0</v>
      </c>
      <c r="J295" s="275" t="s">
        <v>41</v>
      </c>
      <c r="K295" s="265" t="str">
        <f t="shared" ca="1" si="42"/>
        <v>CONTRATADO</v>
      </c>
      <c r="L295" s="265" t="s">
        <v>112</v>
      </c>
      <c r="M295" s="265" t="s">
        <v>361</v>
      </c>
      <c r="N295" s="276" t="s">
        <v>363</v>
      </c>
      <c r="O295" s="275">
        <f>VLOOKUP(N295,RUBROS[#All],3,0)</f>
        <v>57</v>
      </c>
      <c r="P295" s="277" t="str">
        <f>VLOOKUP(N295,RUBROS[#All],2,0)</f>
        <v>Apoyo económico a las organizaciones deportivas que representan en competencias al departamento de Antioquia -Actividades de promoción y desarrollo del Deporte</v>
      </c>
      <c r="Q295" s="265" t="str">
        <f t="shared" si="43"/>
        <v>02</v>
      </c>
      <c r="R295" s="265" t="str">
        <f t="shared" si="44"/>
        <v>0-205128</v>
      </c>
      <c r="S295" s="254" t="s">
        <v>41</v>
      </c>
      <c r="T295" s="254" t="s">
        <v>41</v>
      </c>
      <c r="U295" s="272" t="e">
        <f ca="1">_xlfn.XLOOKUP(PAA[[#This Row],[ITEM]],Contrato!A:A,Contrato!Q:Q,"",0)</f>
        <v>#NAME?</v>
      </c>
      <c r="V295" s="265" t="s">
        <v>47</v>
      </c>
      <c r="W295" s="254" t="s">
        <v>41</v>
      </c>
      <c r="X295" s="254" t="s">
        <v>41</v>
      </c>
      <c r="Y295" s="273" t="e">
        <f ca="1">_xlfn.XLOOKUP(PAA[[#This Row],[ITEM]],Contrato!A:A,Contrato!B:B,"",0)</f>
        <v>#NAME?</v>
      </c>
      <c r="Z295" s="265" t="e">
        <f ca="1">_xlfn.XLOOKUP(PAA[[#This Row],[ITEM]],Contrato!A:A,Contrato!G:G,"",0)</f>
        <v>#NAME?</v>
      </c>
      <c r="AA295" s="265" t="e">
        <f ca="1">_xlfn.XLOOKUP(PAA[[#This Row],[ITEM]],Contrato!A:A,Contrato!T:T,"",0)</f>
        <v>#NAME?</v>
      </c>
      <c r="AB295" s="273" t="e">
        <f ca="1">+MAX(PAA[[#This Row],[Comprometido Contrato]],)</f>
        <v>#NAME?</v>
      </c>
      <c r="AC295" s="273" t="str">
        <f t="shared" ca="1" si="49"/>
        <v/>
      </c>
      <c r="AD295" s="273" t="e">
        <f ca="1">+MAX(PAA[[#This Row],[Pago por Contrato]],)</f>
        <v>#NAME?</v>
      </c>
      <c r="AE295" s="273" t="str">
        <f t="shared" ca="1" si="46"/>
        <v/>
      </c>
      <c r="AF295" s="265" t="e">
        <f t="shared" ca="1" si="47"/>
        <v>#NAME?</v>
      </c>
      <c r="AG295" s="265">
        <f t="shared" si="48"/>
        <v>52010801</v>
      </c>
      <c r="AH295" s="265" t="e" cm="1">
        <f t="array" aca="1" ref="AH295" ca="1">_xlfn.XLOOKUP(PAA[[#This Row],[RCP-RUBRO]],COMPROMISOS_2025[[#All],[concatenado]],COMPROMISOS_2025[[#All],[Total pagado]],"",0)</f>
        <v>#NAME?</v>
      </c>
      <c r="AI295" s="265" t="e" cm="1">
        <f t="array" aca="1" ref="AI295" ca="1">_xlfn.XLOOKUP(PAA[[#This Row],[RCP-RUBRO]],COMPROMISOS_2025[[#All],[concatenado]],COMPROMISOS_2025[[#All],[Total Comprometido]],"",0)</f>
        <v>#NAME?</v>
      </c>
    </row>
    <row r="296" spans="1:35" s="50" customFormat="1" ht="42" hidden="1" customHeight="1" x14ac:dyDescent="0.25">
      <c r="A296" s="199">
        <v>211</v>
      </c>
      <c r="B296" s="200">
        <v>80111600</v>
      </c>
      <c r="C296" s="199" t="str">
        <f>VLOOKUP(PAA[[#This Row],[PROYECTO (formulado)2]],PROYECTOS!$G$1:$L$32,6,0)</f>
        <v>SUBGERENCIA DE ALTOS LOGROS Y DEPORTE ASOCIADO</v>
      </c>
      <c r="D296" s="199" t="str">
        <f>+IF(PAA[[#This Row],[UNIDAD DE CONTRATACION (formulado)]]="Subgerencia Administrativa y Financiera","FUNCIONAMIENTO","INVERSIÓN")</f>
        <v>INVERSIÓN</v>
      </c>
      <c r="E296" s="201" t="str">
        <f>VLOOKUP(Q296,PROYECTOS!$G$1:$K$32,5,0)</f>
        <v>Fortalecimiento del desarrollo deportivo con miras al alto rendimiento competitivo de los atletas del departamento de Antioquia</v>
      </c>
      <c r="F296" s="201">
        <f>VLOOKUP(E296,PROYECTOS!$K$1:$M$32,3,0)</f>
        <v>2024003050087</v>
      </c>
      <c r="G296" s="202" t="s">
        <v>396</v>
      </c>
      <c r="H296" s="202" t="str">
        <f>VLOOKUP(Q296,PROYECTOS!$V$1:$W$32,2,0)</f>
        <v>050078</v>
      </c>
      <c r="I296" s="203">
        <v>24571213</v>
      </c>
      <c r="J296" s="204" t="s">
        <v>397</v>
      </c>
      <c r="K296" s="199" t="str">
        <f t="shared" ca="1" si="42"/>
        <v>CONTRATADO</v>
      </c>
      <c r="L296" s="199" t="s">
        <v>112</v>
      </c>
      <c r="M296" s="204" t="s">
        <v>113</v>
      </c>
      <c r="N296" s="205" t="s">
        <v>398</v>
      </c>
      <c r="O296" s="204">
        <f>VLOOKUP(N296,RUBROS[#All],3,0)</f>
        <v>66</v>
      </c>
      <c r="P296" s="206" t="str">
        <f>VLOOKUP(N296,RUBROS[#All],2,0)</f>
        <v xml:space="preserve">Fortalecimiento del desarrollo deportivo con miras al alto rendimiento competitivo de los atletas del departamento de Antioquia - Servicios prestados a las empresas y servicios de producción </v>
      </c>
      <c r="Q296" s="199" t="str">
        <f t="shared" si="43"/>
        <v>87</v>
      </c>
      <c r="R296" s="199" t="str">
        <f t="shared" si="44"/>
        <v>0-101024</v>
      </c>
      <c r="S296" s="207">
        <v>154</v>
      </c>
      <c r="T296" s="208" t="s">
        <v>220</v>
      </c>
      <c r="U296" s="209" t="e">
        <f ca="1">_xlfn.XLOOKUP(PAA[[#This Row],[ITEM]],Contrato!A:A,Contrato!Q:Q,"",0)</f>
        <v>#NAME?</v>
      </c>
      <c r="V296" s="199" t="s">
        <v>47</v>
      </c>
      <c r="W296" s="199" t="s">
        <v>48</v>
      </c>
      <c r="X296" s="199" t="s">
        <v>48</v>
      </c>
      <c r="Y296" s="210" t="e">
        <f ca="1">_xlfn.XLOOKUP(PAA[[#This Row],[ITEM]],Contrato!A:A,Contrato!B:B,"",0)</f>
        <v>#NAME?</v>
      </c>
      <c r="Z296" s="199" t="e">
        <f ca="1">_xlfn.XLOOKUP(PAA[[#This Row],[ITEM]],Contrato!A:A,Contrato!G:G,"",0)</f>
        <v>#NAME?</v>
      </c>
      <c r="AA296" s="199" t="e">
        <f ca="1">_xlfn.XLOOKUP(PAA[[#This Row],[ITEM]],Contrato!A:A,Contrato!T:T,"",0)</f>
        <v>#NAME?</v>
      </c>
      <c r="AB296" s="210" t="e">
        <f ca="1">+MAX(PAA[[#This Row],[Comprometido Contrato]],)</f>
        <v>#NAME?</v>
      </c>
      <c r="AC296" s="210" t="str">
        <f t="shared" ca="1" si="49"/>
        <v/>
      </c>
      <c r="AD296" s="210" t="e">
        <f ca="1">+MAX(PAA[[#This Row],[Pago por Contrato]],)</f>
        <v>#NAME?</v>
      </c>
      <c r="AE296" s="210" t="str">
        <f t="shared" ca="1" si="46"/>
        <v/>
      </c>
      <c r="AF296" s="199" t="e">
        <f t="shared" ca="1" si="47"/>
        <v>#NAME?</v>
      </c>
      <c r="AG296" s="199">
        <f t="shared" si="48"/>
        <v>52010805</v>
      </c>
      <c r="AH296" s="199" t="e" cm="1">
        <f t="array" aca="1" ref="AH296" ca="1">_xlfn.XLOOKUP(PAA[[#This Row],[RCP-RUBRO]],COMPROMISOS_2025[[#All],[concatenado]],COMPROMISOS_2025[[#All],[Total pagado]],"",0)</f>
        <v>#NAME?</v>
      </c>
      <c r="AI296" s="199" t="e" cm="1">
        <f t="array" aca="1" ref="AI296" ca="1">_xlfn.XLOOKUP(PAA[[#This Row],[RCP-RUBRO]],COMPROMISOS_2025[[#All],[concatenado]],COMPROMISOS_2025[[#All],[Total Comprometido]],"",0)</f>
        <v>#NAME?</v>
      </c>
    </row>
    <row r="297" spans="1:35" s="50" customFormat="1" ht="42" hidden="1" customHeight="1" x14ac:dyDescent="0.25">
      <c r="A297" s="199">
        <v>211</v>
      </c>
      <c r="B297" s="200">
        <v>80111600</v>
      </c>
      <c r="C297" s="199" t="str">
        <f>VLOOKUP(PAA[[#This Row],[PROYECTO (formulado)2]],PROYECTOS!$G$1:$L$32,6,0)</f>
        <v>SUBGERENCIA DE ALTOS LOGROS Y DEPORTE ASOCIADO</v>
      </c>
      <c r="D297" s="199" t="str">
        <f>+IF(PAA[[#This Row],[UNIDAD DE CONTRATACION (formulado)]]="Subgerencia Administrativa y Financiera","FUNCIONAMIENTO","INVERSIÓN")</f>
        <v>INVERSIÓN</v>
      </c>
      <c r="E297" s="201" t="str">
        <f>VLOOKUP(Q297,PROYECTOS!$G$1:$K$32,5,0)</f>
        <v>Apoyo económico a las organizaciones deportivas que representan en competencias al departamento de Antioquia</v>
      </c>
      <c r="F297" s="201">
        <f>VLOOKUP(E297,PROYECTOS!$K$1:$M$32,3,0)</f>
        <v>2024003050102</v>
      </c>
      <c r="G297" s="202" t="s">
        <v>399</v>
      </c>
      <c r="H297" s="202" t="str">
        <f>VLOOKUP(Q297,PROYECTOS!$V$1:$W$32,2,0)</f>
        <v>050076</v>
      </c>
      <c r="I297" s="203">
        <v>24571214</v>
      </c>
      <c r="J297" s="204" t="s">
        <v>397</v>
      </c>
      <c r="K297" s="199" t="str">
        <f t="shared" ca="1" si="42"/>
        <v>CONTRATADO</v>
      </c>
      <c r="L297" s="199" t="s">
        <v>112</v>
      </c>
      <c r="M297" s="204" t="s">
        <v>113</v>
      </c>
      <c r="N297" s="205" t="s">
        <v>400</v>
      </c>
      <c r="O297" s="204">
        <f>VLOOKUP(N297,RUBROS[#All],3,0)</f>
        <v>56</v>
      </c>
      <c r="P297" s="206" t="str">
        <f>VLOOKUP(N297,RUBROS[#All],2,0)</f>
        <v xml:space="preserve">Apoyo económico a las organizaciones deportivas que representan en competencias al departamento de Antioquia - Servicios prestados a las empresas y servicios de producción </v>
      </c>
      <c r="Q297" s="199" t="str">
        <f t="shared" si="43"/>
        <v>02</v>
      </c>
      <c r="R297" s="199" t="str">
        <f t="shared" si="44"/>
        <v>0-205128</v>
      </c>
      <c r="S297" s="207">
        <v>154</v>
      </c>
      <c r="T297" s="208" t="s">
        <v>220</v>
      </c>
      <c r="U297" s="209" t="e">
        <f ca="1">_xlfn.XLOOKUP(PAA[[#This Row],[ITEM]],Contrato!A:A,Contrato!Q:Q,"",0)</f>
        <v>#NAME?</v>
      </c>
      <c r="V297" s="199" t="s">
        <v>47</v>
      </c>
      <c r="W297" s="199" t="s">
        <v>48</v>
      </c>
      <c r="X297" s="199" t="s">
        <v>48</v>
      </c>
      <c r="Y297" s="210" t="e">
        <f ca="1">_xlfn.XLOOKUP(PAA[[#This Row],[ITEM]],Contrato!A:A,Contrato!B:B,"",0)</f>
        <v>#NAME?</v>
      </c>
      <c r="Z297" s="199" t="e">
        <f ca="1">_xlfn.XLOOKUP(PAA[[#This Row],[ITEM]],Contrato!A:A,Contrato!G:G,"",0)</f>
        <v>#NAME?</v>
      </c>
      <c r="AA297" s="199" t="e">
        <f ca="1">_xlfn.XLOOKUP(PAA[[#This Row],[ITEM]],Contrato!A:A,Contrato!T:T,"",0)</f>
        <v>#NAME?</v>
      </c>
      <c r="AB297" s="210" t="e">
        <f ca="1">+MAX(PAA[[#This Row],[Comprometido Contrato]],)</f>
        <v>#NAME?</v>
      </c>
      <c r="AC297" s="210" t="str">
        <f t="shared" ca="1" si="49"/>
        <v/>
      </c>
      <c r="AD297" s="210" t="e">
        <f ca="1">+MAX(PAA[[#This Row],[Pago por Contrato]],)</f>
        <v>#NAME?</v>
      </c>
      <c r="AE297" s="210" t="str">
        <f t="shared" ca="1" si="46"/>
        <v/>
      </c>
      <c r="AF297" s="199" t="e">
        <f t="shared" ca="1" si="47"/>
        <v>#NAME?</v>
      </c>
      <c r="AG297" s="199">
        <f t="shared" si="48"/>
        <v>52010801</v>
      </c>
      <c r="AH297" s="199" t="e" cm="1">
        <f t="array" aca="1" ref="AH297" ca="1">_xlfn.XLOOKUP(PAA[[#This Row],[RCP-RUBRO]],COMPROMISOS_2025[[#All],[concatenado]],COMPROMISOS_2025[[#All],[Total pagado]],"",0)</f>
        <v>#NAME?</v>
      </c>
      <c r="AI297" s="199" t="e" cm="1">
        <f t="array" aca="1" ref="AI297" ca="1">_xlfn.XLOOKUP(PAA[[#This Row],[RCP-RUBRO]],COMPROMISOS_2025[[#All],[concatenado]],COMPROMISOS_2025[[#All],[Total Comprometido]],"",0)</f>
        <v>#NAME?</v>
      </c>
    </row>
    <row r="298" spans="1:35" s="50" customFormat="1" ht="42" hidden="1" customHeight="1" x14ac:dyDescent="0.25">
      <c r="A298" s="199">
        <v>212</v>
      </c>
      <c r="B298" s="200">
        <v>80111600</v>
      </c>
      <c r="C298" s="199" t="str">
        <f>VLOOKUP(PAA[[#This Row],[PROYECTO (formulado)2]],PROYECTOS!$G$1:$L$32,6,0)</f>
        <v>SUBGERENCIA DE ALTOS LOGROS Y DEPORTE ASOCIADO</v>
      </c>
      <c r="D298" s="199" t="str">
        <f>+IF(PAA[[#This Row],[UNIDAD DE CONTRATACION (formulado)]]="Subgerencia Administrativa y Financiera","FUNCIONAMIENTO","INVERSIÓN")</f>
        <v>INVERSIÓN</v>
      </c>
      <c r="E298" s="201" t="str">
        <f>VLOOKUP(Q298,PROYECTOS!$G$1:$K$32,5,0)</f>
        <v>Fortalecimiento del desarrollo deportivo con miras al alto rendimiento competitivo de los atletas del departamento de Antioquia</v>
      </c>
      <c r="F298" s="201">
        <f>VLOOKUP(E298,PROYECTOS!$K$1:$M$32,3,0)</f>
        <v>2024003050087</v>
      </c>
      <c r="G298" s="202" t="s">
        <v>396</v>
      </c>
      <c r="H298" s="202" t="str">
        <f>VLOOKUP(Q298,PROYECTOS!$V$1:$W$32,2,0)</f>
        <v>050078</v>
      </c>
      <c r="I298" s="203">
        <v>24571213</v>
      </c>
      <c r="J298" s="204" t="s">
        <v>401</v>
      </c>
      <c r="K298" s="199" t="str">
        <f t="shared" ca="1" si="42"/>
        <v>CONTRATADO</v>
      </c>
      <c r="L298" s="199" t="s">
        <v>112</v>
      </c>
      <c r="M298" s="204" t="s">
        <v>113</v>
      </c>
      <c r="N298" s="205" t="s">
        <v>398</v>
      </c>
      <c r="O298" s="204">
        <f>VLOOKUP(N298,RUBROS[#All],3,0)</f>
        <v>66</v>
      </c>
      <c r="P298" s="206" t="str">
        <f>VLOOKUP(N298,RUBROS[#All],2,0)</f>
        <v xml:space="preserve">Fortalecimiento del desarrollo deportivo con miras al alto rendimiento competitivo de los atletas del departamento de Antioquia - Servicios prestados a las empresas y servicios de producción </v>
      </c>
      <c r="Q298" s="199" t="str">
        <f t="shared" si="43"/>
        <v>87</v>
      </c>
      <c r="R298" s="199" t="str">
        <f t="shared" si="44"/>
        <v>0-101024</v>
      </c>
      <c r="S298" s="207">
        <v>154</v>
      </c>
      <c r="T298" s="208" t="s">
        <v>220</v>
      </c>
      <c r="U298" s="209" t="e">
        <f ca="1">_xlfn.XLOOKUP(PAA[[#This Row],[ITEM]],Contrato!A:A,Contrato!Q:Q,"",0)</f>
        <v>#NAME?</v>
      </c>
      <c r="V298" s="199" t="s">
        <v>47</v>
      </c>
      <c r="W298" s="199" t="s">
        <v>48</v>
      </c>
      <c r="X298" s="199" t="s">
        <v>48</v>
      </c>
      <c r="Y298" s="210" t="e">
        <f ca="1">_xlfn.XLOOKUP(PAA[[#This Row],[ITEM]],Contrato!A:A,Contrato!B:B,"",0)</f>
        <v>#NAME?</v>
      </c>
      <c r="Z298" s="199" t="e">
        <f ca="1">_xlfn.XLOOKUP(PAA[[#This Row],[ITEM]],Contrato!A:A,Contrato!G:G,"",0)</f>
        <v>#NAME?</v>
      </c>
      <c r="AA298" s="199" t="e">
        <f ca="1">_xlfn.XLOOKUP(PAA[[#This Row],[ITEM]],Contrato!A:A,Contrato!T:T,"",0)</f>
        <v>#NAME?</v>
      </c>
      <c r="AB298" s="210" t="e">
        <f ca="1">+MAX(PAA[[#This Row],[Comprometido Contrato]],)</f>
        <v>#NAME?</v>
      </c>
      <c r="AC298" s="210" t="str">
        <f t="shared" ca="1" si="49"/>
        <v/>
      </c>
      <c r="AD298" s="210" t="e">
        <f ca="1">+MAX(PAA[[#This Row],[Pago por Contrato]],)</f>
        <v>#NAME?</v>
      </c>
      <c r="AE298" s="210" t="str">
        <f t="shared" ca="1" si="46"/>
        <v/>
      </c>
      <c r="AF298" s="199" t="e">
        <f t="shared" ca="1" si="47"/>
        <v>#NAME?</v>
      </c>
      <c r="AG298" s="199">
        <f t="shared" si="48"/>
        <v>52010805</v>
      </c>
      <c r="AH298" s="199" t="e" cm="1">
        <f t="array" aca="1" ref="AH298" ca="1">_xlfn.XLOOKUP(PAA[[#This Row],[RCP-RUBRO]],COMPROMISOS_2025[[#All],[concatenado]],COMPROMISOS_2025[[#All],[Total pagado]],"",0)</f>
        <v>#NAME?</v>
      </c>
      <c r="AI298" s="199" t="e" cm="1">
        <f t="array" aca="1" ref="AI298" ca="1">_xlfn.XLOOKUP(PAA[[#This Row],[RCP-RUBRO]],COMPROMISOS_2025[[#All],[concatenado]],COMPROMISOS_2025[[#All],[Total Comprometido]],"",0)</f>
        <v>#NAME?</v>
      </c>
    </row>
    <row r="299" spans="1:35" s="50" customFormat="1" ht="42" hidden="1" customHeight="1" x14ac:dyDescent="0.25">
      <c r="A299" s="199">
        <v>212</v>
      </c>
      <c r="B299" s="200">
        <v>80111600</v>
      </c>
      <c r="C299" s="199" t="str">
        <f>VLOOKUP(PAA[[#This Row],[PROYECTO (formulado)2]],PROYECTOS!$G$1:$L$32,6,0)</f>
        <v>SUBGERENCIA DE ALTOS LOGROS Y DEPORTE ASOCIADO</v>
      </c>
      <c r="D299" s="199" t="str">
        <f>+IF(PAA[[#This Row],[UNIDAD DE CONTRATACION (formulado)]]="Subgerencia Administrativa y Financiera","FUNCIONAMIENTO","INVERSIÓN")</f>
        <v>INVERSIÓN</v>
      </c>
      <c r="E299" s="201" t="str">
        <f>VLOOKUP(Q299,PROYECTOS!$G$1:$K$32,5,0)</f>
        <v>Apoyo económico a las organizaciones deportivas que representan en competencias al departamento de Antioquia</v>
      </c>
      <c r="F299" s="201">
        <f>VLOOKUP(E299,PROYECTOS!$K$1:$M$32,3,0)</f>
        <v>2024003050102</v>
      </c>
      <c r="G299" s="202" t="s">
        <v>399</v>
      </c>
      <c r="H299" s="202" t="str">
        <f>VLOOKUP(Q299,PROYECTOS!$V$1:$W$32,2,0)</f>
        <v>050076</v>
      </c>
      <c r="I299" s="203">
        <v>24571214</v>
      </c>
      <c r="J299" s="204" t="s">
        <v>401</v>
      </c>
      <c r="K299" s="199" t="str">
        <f t="shared" ca="1" si="42"/>
        <v>CONTRATADO</v>
      </c>
      <c r="L299" s="199" t="s">
        <v>112</v>
      </c>
      <c r="M299" s="204" t="s">
        <v>113</v>
      </c>
      <c r="N299" s="205" t="s">
        <v>400</v>
      </c>
      <c r="O299" s="204">
        <f>VLOOKUP(N299,RUBROS[#All],3,0)</f>
        <v>56</v>
      </c>
      <c r="P299" s="206" t="str">
        <f>VLOOKUP(N299,RUBROS[#All],2,0)</f>
        <v xml:space="preserve">Apoyo económico a las organizaciones deportivas que representan en competencias al departamento de Antioquia - Servicios prestados a las empresas y servicios de producción </v>
      </c>
      <c r="Q299" s="199" t="str">
        <f t="shared" si="43"/>
        <v>02</v>
      </c>
      <c r="R299" s="199" t="str">
        <f t="shared" si="44"/>
        <v>0-205128</v>
      </c>
      <c r="S299" s="207">
        <v>154</v>
      </c>
      <c r="T299" s="208" t="s">
        <v>220</v>
      </c>
      <c r="U299" s="209" t="e">
        <f ca="1">_xlfn.XLOOKUP(PAA[[#This Row],[ITEM]],Contrato!A:A,Contrato!Q:Q,"",0)</f>
        <v>#NAME?</v>
      </c>
      <c r="V299" s="199" t="s">
        <v>47</v>
      </c>
      <c r="W299" s="199" t="s">
        <v>48</v>
      </c>
      <c r="X299" s="199" t="s">
        <v>48</v>
      </c>
      <c r="Y299" s="210" t="e">
        <f ca="1">_xlfn.XLOOKUP(PAA[[#This Row],[ITEM]],Contrato!A:A,Contrato!B:B,"",0)</f>
        <v>#NAME?</v>
      </c>
      <c r="Z299" s="199" t="e">
        <f ca="1">_xlfn.XLOOKUP(PAA[[#This Row],[ITEM]],Contrato!A:A,Contrato!G:G,"",0)</f>
        <v>#NAME?</v>
      </c>
      <c r="AA299" s="199" t="e">
        <f ca="1">_xlfn.XLOOKUP(PAA[[#This Row],[ITEM]],Contrato!A:A,Contrato!T:T,"",0)</f>
        <v>#NAME?</v>
      </c>
      <c r="AB299" s="210" t="e">
        <f ca="1">+MAX(PAA[[#This Row],[Comprometido Contrato]],)</f>
        <v>#NAME?</v>
      </c>
      <c r="AC299" s="210" t="str">
        <f t="shared" ca="1" si="49"/>
        <v/>
      </c>
      <c r="AD299" s="210" t="e">
        <f ca="1">+MAX(PAA[[#This Row],[Pago por Contrato]],)</f>
        <v>#NAME?</v>
      </c>
      <c r="AE299" s="210" t="str">
        <f t="shared" ca="1" si="46"/>
        <v/>
      </c>
      <c r="AF299" s="199" t="e">
        <f t="shared" ca="1" si="47"/>
        <v>#NAME?</v>
      </c>
      <c r="AG299" s="199">
        <f t="shared" si="48"/>
        <v>52010801</v>
      </c>
      <c r="AH299" s="199" t="e" cm="1">
        <f t="array" aca="1" ref="AH299" ca="1">_xlfn.XLOOKUP(PAA[[#This Row],[RCP-RUBRO]],COMPROMISOS_2025[[#All],[concatenado]],COMPROMISOS_2025[[#All],[Total pagado]],"",0)</f>
        <v>#NAME?</v>
      </c>
      <c r="AI299" s="199" t="e" cm="1">
        <f t="array" aca="1" ref="AI299" ca="1">_xlfn.XLOOKUP(PAA[[#This Row],[RCP-RUBRO]],COMPROMISOS_2025[[#All],[concatenado]],COMPROMISOS_2025[[#All],[Total Comprometido]],"",0)</f>
        <v>#NAME?</v>
      </c>
    </row>
    <row r="300" spans="1:35" s="50" customFormat="1" ht="42" hidden="1" customHeight="1" x14ac:dyDescent="0.25">
      <c r="A300" s="265">
        <v>213</v>
      </c>
      <c r="B300" s="255">
        <v>80111600</v>
      </c>
      <c r="C300" s="265" t="str">
        <f>VLOOKUP(PAA[[#This Row],[PROYECTO (formulado)2]],PROYECTOS!$G$1:$L$32,6,0)</f>
        <v>SUBGERENCIA DE ALTOS LOGROS Y DEPORTE ASOCIADO</v>
      </c>
      <c r="D300" s="265" t="str">
        <f>+IF(PAA[[#This Row],[UNIDAD DE CONTRATACION (formulado)]]="Subgerencia Administrativa y Financiera","FUNCIONAMIENTO","INVERSIÓN")</f>
        <v>INVERSIÓN</v>
      </c>
      <c r="E300" s="274" t="str">
        <f>VLOOKUP(Q300,PROYECTOS!$G$1:$K$32,5,0)</f>
        <v>Fortalecimiento del desarrollo deportivo con miras al alto rendimiento competitivo de los atletas del departamento de Antioquia</v>
      </c>
      <c r="F300" s="274">
        <f>VLOOKUP(E300,PROYECTOS!$K$1:$M$32,3,0)</f>
        <v>2024003050087</v>
      </c>
      <c r="G300" s="266" t="s">
        <v>396</v>
      </c>
      <c r="H300" s="266" t="str">
        <f>VLOOKUP(Q300,PROYECTOS!$V$1:$W$32,2,0)</f>
        <v>050078</v>
      </c>
      <c r="I300" s="269">
        <v>15043600</v>
      </c>
      <c r="J300" s="275" t="s">
        <v>402</v>
      </c>
      <c r="K300" s="265" t="str">
        <f t="shared" ca="1" si="42"/>
        <v>CONTRATADO</v>
      </c>
      <c r="L300" s="265" t="s">
        <v>112</v>
      </c>
      <c r="M300" s="275" t="s">
        <v>113</v>
      </c>
      <c r="N300" s="276" t="s">
        <v>398</v>
      </c>
      <c r="O300" s="275">
        <f>VLOOKUP(N300,RUBROS[#All],3,0)</f>
        <v>66</v>
      </c>
      <c r="P300" s="277" t="str">
        <f>VLOOKUP(N300,RUBROS[#All],2,0)</f>
        <v xml:space="preserve">Fortalecimiento del desarrollo deportivo con miras al alto rendimiento competitivo de los atletas del departamento de Antioquia - Servicios prestados a las empresas y servicios de producción </v>
      </c>
      <c r="Q300" s="265" t="str">
        <f t="shared" si="43"/>
        <v>87</v>
      </c>
      <c r="R300" s="265" t="str">
        <f t="shared" si="44"/>
        <v>0-101024</v>
      </c>
      <c r="S300" s="254">
        <v>4</v>
      </c>
      <c r="T300" s="278" t="s">
        <v>46</v>
      </c>
      <c r="U300" s="272" t="e">
        <f ca="1">_xlfn.XLOOKUP(PAA[[#This Row],[ITEM]],Contrato!A:A,Contrato!Q:Q,"",0)</f>
        <v>#NAME?</v>
      </c>
      <c r="V300" s="265" t="s">
        <v>47</v>
      </c>
      <c r="W300" s="265" t="s">
        <v>154</v>
      </c>
      <c r="X300" s="265" t="s">
        <v>154</v>
      </c>
      <c r="Y300" s="273" t="e">
        <f ca="1">_xlfn.XLOOKUP(PAA[[#This Row],[ITEM]],Contrato!A:A,Contrato!B:B,"",0)</f>
        <v>#NAME?</v>
      </c>
      <c r="Z300" s="265" t="e">
        <f ca="1">_xlfn.XLOOKUP(PAA[[#This Row],[ITEM]],Contrato!A:A,Contrato!G:G,"",0)</f>
        <v>#NAME?</v>
      </c>
      <c r="AA300" s="265" t="e">
        <f ca="1">_xlfn.XLOOKUP(PAA[[#This Row],[ITEM]],Contrato!A:A,Contrato!T:T,"",0)</f>
        <v>#NAME?</v>
      </c>
      <c r="AB300" s="273" t="e">
        <f ca="1">+MAX(PAA[[#This Row],[Comprometido Contrato]],)</f>
        <v>#NAME?</v>
      </c>
      <c r="AC300" s="273" t="str">
        <f t="shared" ca="1" si="49"/>
        <v/>
      </c>
      <c r="AD300" s="273" t="e">
        <f ca="1">+MAX(PAA[[#This Row],[Pago por Contrato]],)</f>
        <v>#NAME?</v>
      </c>
      <c r="AE300" s="273" t="str">
        <f t="shared" ca="1" si="46"/>
        <v/>
      </c>
      <c r="AF300" s="265" t="e">
        <f t="shared" ca="1" si="47"/>
        <v>#NAME?</v>
      </c>
      <c r="AG300" s="265">
        <f t="shared" si="48"/>
        <v>52010805</v>
      </c>
      <c r="AH300" s="265" t="e" cm="1">
        <f t="array" aca="1" ref="AH300" ca="1">_xlfn.XLOOKUP(PAA[[#This Row],[RCP-RUBRO]],COMPROMISOS_2025[[#All],[concatenado]],COMPROMISOS_2025[[#All],[Total pagado]],"",0)</f>
        <v>#NAME?</v>
      </c>
      <c r="AI300" s="265" t="e" cm="1">
        <f t="array" aca="1" ref="AI300" ca="1">_xlfn.XLOOKUP(PAA[[#This Row],[RCP-RUBRO]],COMPROMISOS_2025[[#All],[concatenado]],COMPROMISOS_2025[[#All],[Total Comprometido]],"",0)</f>
        <v>#NAME?</v>
      </c>
    </row>
    <row r="301" spans="1:35" s="50" customFormat="1" ht="42" hidden="1" customHeight="1" x14ac:dyDescent="0.25">
      <c r="A301" s="265">
        <v>213</v>
      </c>
      <c r="B301" s="255">
        <v>80111600</v>
      </c>
      <c r="C301" s="265" t="str">
        <f>VLOOKUP(PAA[[#This Row],[PROYECTO (formulado)2]],PROYECTOS!$G$1:$L$32,6,0)</f>
        <v>SUBGERENCIA DE ALTOS LOGROS Y DEPORTE ASOCIADO</v>
      </c>
      <c r="D301" s="265" t="str">
        <f>+IF(PAA[[#This Row],[UNIDAD DE CONTRATACION (formulado)]]="Subgerencia Administrativa y Financiera","FUNCIONAMIENTO","INVERSIÓN")</f>
        <v>INVERSIÓN</v>
      </c>
      <c r="E301" s="274" t="str">
        <f>VLOOKUP(Q301,PROYECTOS!$G$1:$K$32,5,0)</f>
        <v>Apoyo económico a las organizaciones deportivas que representan en competencias al departamento de Antioquia</v>
      </c>
      <c r="F301" s="274">
        <f>VLOOKUP(E301,PROYECTOS!$K$1:$M$32,3,0)</f>
        <v>2024003050102</v>
      </c>
      <c r="G301" s="266" t="s">
        <v>399</v>
      </c>
      <c r="H301" s="266" t="str">
        <f>VLOOKUP(Q301,PROYECTOS!$V$1:$W$32,2,0)</f>
        <v>050076</v>
      </c>
      <c r="I301" s="269">
        <v>15043600</v>
      </c>
      <c r="J301" s="275" t="s">
        <v>402</v>
      </c>
      <c r="K301" s="265" t="str">
        <f t="shared" ref="K301:K364" ca="1" si="50">IF(ISNONTEXT(Y301)=TRUE,"CONTRATADO","NO CONTRATADO")</f>
        <v>CONTRATADO</v>
      </c>
      <c r="L301" s="265" t="s">
        <v>112</v>
      </c>
      <c r="M301" s="275" t="s">
        <v>113</v>
      </c>
      <c r="N301" s="276" t="s">
        <v>400</v>
      </c>
      <c r="O301" s="275">
        <f>VLOOKUP(N301,RUBROS[#All],3,0)</f>
        <v>56</v>
      </c>
      <c r="P301" s="277" t="str">
        <f>VLOOKUP(N301,RUBROS[#All],2,0)</f>
        <v xml:space="preserve">Apoyo económico a las organizaciones deportivas que representan en competencias al departamento de Antioquia - Servicios prestados a las empresas y servicios de producción </v>
      </c>
      <c r="Q301" s="265" t="str">
        <f t="shared" ref="Q301:Q364" si="51">+MID(N301,11,2)</f>
        <v>02</v>
      </c>
      <c r="R301" s="265" t="str">
        <f t="shared" ref="R301:R364" si="52">+MID(N301,14,8)</f>
        <v>0-205128</v>
      </c>
      <c r="S301" s="254">
        <v>4</v>
      </c>
      <c r="T301" s="278" t="s">
        <v>46</v>
      </c>
      <c r="U301" s="272" t="e">
        <f ca="1">_xlfn.XLOOKUP(PAA[[#This Row],[ITEM]],Contrato!A:A,Contrato!Q:Q,"",0)</f>
        <v>#NAME?</v>
      </c>
      <c r="V301" s="265" t="s">
        <v>47</v>
      </c>
      <c r="W301" s="265" t="s">
        <v>154</v>
      </c>
      <c r="X301" s="265" t="s">
        <v>154</v>
      </c>
      <c r="Y301" s="273" t="e">
        <f ca="1">_xlfn.XLOOKUP(PAA[[#This Row],[ITEM]],Contrato!A:A,Contrato!B:B,"",0)</f>
        <v>#NAME?</v>
      </c>
      <c r="Z301" s="265" t="e">
        <f ca="1">_xlfn.XLOOKUP(PAA[[#This Row],[ITEM]],Contrato!A:A,Contrato!G:G,"",0)</f>
        <v>#NAME?</v>
      </c>
      <c r="AA301" s="265" t="e">
        <f ca="1">_xlfn.XLOOKUP(PAA[[#This Row],[ITEM]],Contrato!A:A,Contrato!T:T,"",0)</f>
        <v>#NAME?</v>
      </c>
      <c r="AB301" s="273" t="e">
        <f ca="1">+MAX(PAA[[#This Row],[Comprometido Contrato]],)</f>
        <v>#NAME?</v>
      </c>
      <c r="AC301" s="273" t="str">
        <f t="shared" ca="1" si="49"/>
        <v/>
      </c>
      <c r="AD301" s="273" t="e">
        <f ca="1">+MAX(PAA[[#This Row],[Pago por Contrato]],)</f>
        <v>#NAME?</v>
      </c>
      <c r="AE301" s="273" t="str">
        <f t="shared" ref="AE301:AE364" ca="1" si="53">+IFERROR(AB301-AD301,"")</f>
        <v/>
      </c>
      <c r="AF301" s="265" t="e">
        <f t="shared" ref="AF301:AF364" ca="1" si="54">+CONCATENATE(AA301,N301)</f>
        <v>#NAME?</v>
      </c>
      <c r="AG301" s="265">
        <f t="shared" ref="AG301:AG364" si="55">IFERROR(_xlfn.NUMBERVALUE(MID(G301,1,8)),"")</f>
        <v>52010801</v>
      </c>
      <c r="AH301" s="265" t="e" cm="1">
        <f t="array" aca="1" ref="AH301" ca="1">_xlfn.XLOOKUP(PAA[[#This Row],[RCP-RUBRO]],COMPROMISOS_2025[[#All],[concatenado]],COMPROMISOS_2025[[#All],[Total pagado]],"",0)</f>
        <v>#NAME?</v>
      </c>
      <c r="AI301" s="265" t="e" cm="1">
        <f t="array" aca="1" ref="AI301" ca="1">_xlfn.XLOOKUP(PAA[[#This Row],[RCP-RUBRO]],COMPROMISOS_2025[[#All],[concatenado]],COMPROMISOS_2025[[#All],[Total Comprometido]],"",0)</f>
        <v>#NAME?</v>
      </c>
    </row>
    <row r="302" spans="1:35" s="50" customFormat="1" ht="42" hidden="1" customHeight="1" x14ac:dyDescent="0.25">
      <c r="A302" s="57">
        <v>214</v>
      </c>
      <c r="B302" s="186">
        <v>80111600</v>
      </c>
      <c r="C302" s="57" t="str">
        <f>VLOOKUP(PAA[[#This Row],[PROYECTO (formulado)2]],PROYECTOS!$G$1:$L$32,6,0)</f>
        <v>SUBGERENCIA DE ALTOS LOGROS Y DEPORTE ASOCIADO</v>
      </c>
      <c r="D302" s="57" t="str">
        <f>+IF(PAA[[#This Row],[UNIDAD DE CONTRATACION (formulado)]]="Subgerencia Administrativa y Financiera","FUNCIONAMIENTO","INVERSIÓN")</f>
        <v>INVERSIÓN</v>
      </c>
      <c r="E302" s="153" t="str">
        <f>VLOOKUP(Q302,PROYECTOS!$G$1:$K$32,5,0)</f>
        <v>Fortalecimiento del desarrollo deportivo con miras al alto rendimiento competitivo de los atletas del departamento de Antioquia</v>
      </c>
      <c r="F302" s="153">
        <f>VLOOKUP(E302,PROYECTOS!$K$1:$M$32,3,0)</f>
        <v>2024003050087</v>
      </c>
      <c r="G302" s="154" t="s">
        <v>396</v>
      </c>
      <c r="H302" s="154" t="str">
        <f>VLOOKUP(Q302,PROYECTOS!$V$1:$W$32,2,0)</f>
        <v>050078</v>
      </c>
      <c r="I302" s="143">
        <v>44401500</v>
      </c>
      <c r="J302" s="155" t="s">
        <v>403</v>
      </c>
      <c r="K302" s="57" t="str">
        <f t="shared" ca="1" si="50"/>
        <v>CONTRATADO</v>
      </c>
      <c r="L302" s="57" t="s">
        <v>112</v>
      </c>
      <c r="M302" s="155" t="s">
        <v>113</v>
      </c>
      <c r="N302" s="142" t="s">
        <v>398</v>
      </c>
      <c r="O302" s="155">
        <f>VLOOKUP(N302,RUBROS[#All],3,0)</f>
        <v>66</v>
      </c>
      <c r="P302" s="156" t="str">
        <f>VLOOKUP(N302,RUBROS[#All],2,0)</f>
        <v xml:space="preserve">Fortalecimiento del desarrollo deportivo con miras al alto rendimiento competitivo de los atletas del departamento de Antioquia - Servicios prestados a las empresas y servicios de producción </v>
      </c>
      <c r="Q302" s="57" t="str">
        <f t="shared" si="51"/>
        <v>87</v>
      </c>
      <c r="R302" s="57" t="str">
        <f t="shared" si="52"/>
        <v>0-101024</v>
      </c>
      <c r="S302" s="152">
        <v>11.5</v>
      </c>
      <c r="T302" s="157" t="s">
        <v>46</v>
      </c>
      <c r="U302" s="162" t="e">
        <f ca="1">_xlfn.XLOOKUP(PAA[[#This Row],[ITEM]],Contrato!A:A,Contrato!Q:Q,"",0)</f>
        <v>#NAME?</v>
      </c>
      <c r="V302" s="57" t="s">
        <v>47</v>
      </c>
      <c r="W302" s="57" t="s">
        <v>48</v>
      </c>
      <c r="X302" s="57" t="s">
        <v>48</v>
      </c>
      <c r="Y302" s="58" t="e">
        <f ca="1">_xlfn.XLOOKUP(PAA[[#This Row],[ITEM]],Contrato!A:A,Contrato!B:B,"",0)</f>
        <v>#NAME?</v>
      </c>
      <c r="Z302" s="57" t="e">
        <f ca="1">_xlfn.XLOOKUP(PAA[[#This Row],[ITEM]],Contrato!A:A,Contrato!G:G,"",0)</f>
        <v>#NAME?</v>
      </c>
      <c r="AA302" s="57" t="e">
        <f ca="1">_xlfn.XLOOKUP(PAA[[#This Row],[ITEM]],Contrato!A:A,Contrato!T:T,"",0)</f>
        <v>#NAME?</v>
      </c>
      <c r="AB302" s="58" t="e">
        <f ca="1">+MAX(PAA[[#This Row],[Comprometido Contrato]],)</f>
        <v>#NAME?</v>
      </c>
      <c r="AC302" s="58" t="str">
        <f t="shared" ca="1" si="49"/>
        <v/>
      </c>
      <c r="AD302" s="58" t="e">
        <f ca="1">+MAX(PAA[[#This Row],[Pago por Contrato]],)</f>
        <v>#NAME?</v>
      </c>
      <c r="AE302" s="58" t="str">
        <f t="shared" ca="1" si="53"/>
        <v/>
      </c>
      <c r="AF302" s="57" t="e">
        <f t="shared" ca="1" si="54"/>
        <v>#NAME?</v>
      </c>
      <c r="AG302" s="57">
        <f t="shared" si="55"/>
        <v>52010805</v>
      </c>
      <c r="AH302" s="57" t="e" cm="1">
        <f t="array" aca="1" ref="AH302" ca="1">_xlfn.XLOOKUP(PAA[[#This Row],[RCP-RUBRO]],COMPROMISOS_2025[[#All],[concatenado]],COMPROMISOS_2025[[#All],[Total pagado]],"",0)</f>
        <v>#NAME?</v>
      </c>
      <c r="AI302" s="57" t="e" cm="1">
        <f t="array" aca="1" ref="AI302" ca="1">_xlfn.XLOOKUP(PAA[[#This Row],[RCP-RUBRO]],COMPROMISOS_2025[[#All],[concatenado]],COMPROMISOS_2025[[#All],[Total Comprometido]],"",0)</f>
        <v>#NAME?</v>
      </c>
    </row>
    <row r="303" spans="1:35" s="50" customFormat="1" ht="42" hidden="1" customHeight="1" x14ac:dyDescent="0.25">
      <c r="A303" s="57">
        <v>214</v>
      </c>
      <c r="B303" s="186">
        <v>80111600</v>
      </c>
      <c r="C303" s="57" t="str">
        <f>VLOOKUP(PAA[[#This Row],[PROYECTO (formulado)2]],PROYECTOS!$G$1:$L$32,6,0)</f>
        <v>SUBGERENCIA DE ALTOS LOGROS Y DEPORTE ASOCIADO</v>
      </c>
      <c r="D303" s="57" t="str">
        <f>+IF(PAA[[#This Row],[UNIDAD DE CONTRATACION (formulado)]]="Subgerencia Administrativa y Financiera","FUNCIONAMIENTO","INVERSIÓN")</f>
        <v>INVERSIÓN</v>
      </c>
      <c r="E303" s="153" t="str">
        <f>VLOOKUP(Q303,PROYECTOS!$G$1:$K$32,5,0)</f>
        <v>Apoyo económico a las organizaciones deportivas que representan en competencias al departamento de Antioquia</v>
      </c>
      <c r="F303" s="153">
        <f>VLOOKUP(E303,PROYECTOS!$K$1:$M$32,3,0)</f>
        <v>2024003050102</v>
      </c>
      <c r="G303" s="154" t="s">
        <v>399</v>
      </c>
      <c r="H303" s="154" t="str">
        <f>VLOOKUP(Q303,PROYECTOS!$V$1:$W$32,2,0)</f>
        <v>050076</v>
      </c>
      <c r="I303" s="143">
        <v>44401500</v>
      </c>
      <c r="J303" s="155" t="s">
        <v>403</v>
      </c>
      <c r="K303" s="57" t="str">
        <f t="shared" ca="1" si="50"/>
        <v>CONTRATADO</v>
      </c>
      <c r="L303" s="57" t="s">
        <v>112</v>
      </c>
      <c r="M303" s="155" t="s">
        <v>113</v>
      </c>
      <c r="N303" s="142" t="s">
        <v>400</v>
      </c>
      <c r="O303" s="155">
        <f>VLOOKUP(N303,RUBROS[#All],3,0)</f>
        <v>56</v>
      </c>
      <c r="P303" s="156" t="str">
        <f>VLOOKUP(N303,RUBROS[#All],2,0)</f>
        <v xml:space="preserve">Apoyo económico a las organizaciones deportivas que representan en competencias al departamento de Antioquia - Servicios prestados a las empresas y servicios de producción </v>
      </c>
      <c r="Q303" s="57" t="str">
        <f t="shared" si="51"/>
        <v>02</v>
      </c>
      <c r="R303" s="57" t="str">
        <f t="shared" si="52"/>
        <v>0-205128</v>
      </c>
      <c r="S303" s="152">
        <v>11.5</v>
      </c>
      <c r="T303" s="157" t="s">
        <v>46</v>
      </c>
      <c r="U303" s="162" t="e">
        <f ca="1">_xlfn.XLOOKUP(PAA[[#This Row],[ITEM]],Contrato!A:A,Contrato!Q:Q,"",0)</f>
        <v>#NAME?</v>
      </c>
      <c r="V303" s="57" t="s">
        <v>47</v>
      </c>
      <c r="W303" s="57" t="s">
        <v>48</v>
      </c>
      <c r="X303" s="57" t="s">
        <v>48</v>
      </c>
      <c r="Y303" s="58" t="e">
        <f ca="1">_xlfn.XLOOKUP(PAA[[#This Row],[ITEM]],Contrato!A:A,Contrato!B:B,"",0)</f>
        <v>#NAME?</v>
      </c>
      <c r="Z303" s="57" t="e">
        <f ca="1">_xlfn.XLOOKUP(PAA[[#This Row],[ITEM]],Contrato!A:A,Contrato!G:G,"",0)</f>
        <v>#NAME?</v>
      </c>
      <c r="AA303" s="57" t="e">
        <f ca="1">_xlfn.XLOOKUP(PAA[[#This Row],[ITEM]],Contrato!A:A,Contrato!T:T,"",0)</f>
        <v>#NAME?</v>
      </c>
      <c r="AB303" s="58" t="e">
        <f ca="1">+MAX(PAA[[#This Row],[Comprometido Contrato]],)</f>
        <v>#NAME?</v>
      </c>
      <c r="AC303" s="58" t="str">
        <f t="shared" ca="1" si="49"/>
        <v/>
      </c>
      <c r="AD303" s="58" t="e">
        <f ca="1">+MAX(PAA[[#This Row],[Pago por Contrato]],)</f>
        <v>#NAME?</v>
      </c>
      <c r="AE303" s="58" t="str">
        <f t="shared" ca="1" si="53"/>
        <v/>
      </c>
      <c r="AF303" s="57" t="e">
        <f t="shared" ca="1" si="54"/>
        <v>#NAME?</v>
      </c>
      <c r="AG303" s="57">
        <f t="shared" si="55"/>
        <v>52010801</v>
      </c>
      <c r="AH303" s="57" t="e" cm="1">
        <f t="array" aca="1" ref="AH303" ca="1">_xlfn.XLOOKUP(PAA[[#This Row],[RCP-RUBRO]],COMPROMISOS_2025[[#All],[concatenado]],COMPROMISOS_2025[[#All],[Total pagado]],"",0)</f>
        <v>#NAME?</v>
      </c>
      <c r="AI303" s="57" t="e" cm="1">
        <f t="array" aca="1" ref="AI303" ca="1">_xlfn.XLOOKUP(PAA[[#This Row],[RCP-RUBRO]],COMPROMISOS_2025[[#All],[concatenado]],COMPROMISOS_2025[[#All],[Total Comprometido]],"",0)</f>
        <v>#NAME?</v>
      </c>
    </row>
    <row r="304" spans="1:35" s="50" customFormat="1" ht="42" hidden="1" customHeight="1" x14ac:dyDescent="0.25">
      <c r="A304" s="199">
        <v>215</v>
      </c>
      <c r="B304" s="200">
        <v>80111600</v>
      </c>
      <c r="C304" s="199" t="str">
        <f>VLOOKUP(PAA[[#This Row],[PROYECTO (formulado)2]],PROYECTOS!$G$1:$L$32,6,0)</f>
        <v>SUBGERENCIA DE ALTOS LOGROS Y DEPORTE ASOCIADO</v>
      </c>
      <c r="D304" s="199" t="str">
        <f>+IF(PAA[[#This Row],[UNIDAD DE CONTRATACION (formulado)]]="Subgerencia Administrativa y Financiera","FUNCIONAMIENTO","INVERSIÓN")</f>
        <v>INVERSIÓN</v>
      </c>
      <c r="E304" s="201" t="str">
        <f>VLOOKUP(Q304,PROYECTOS!$G$1:$K$32,5,0)</f>
        <v>Fortalecimiento del desarrollo deportivo con miras al alto rendimiento competitivo de los atletas del departamento de Antioquia</v>
      </c>
      <c r="F304" s="201">
        <f>VLOOKUP(E304,PROYECTOS!$K$1:$M$32,3,0)</f>
        <v>2024003050087</v>
      </c>
      <c r="G304" s="202" t="s">
        <v>396</v>
      </c>
      <c r="H304" s="202" t="str">
        <f>VLOOKUP(Q304,PROYECTOS!$V$1:$W$32,2,0)</f>
        <v>050078</v>
      </c>
      <c r="I304" s="203">
        <v>37609000</v>
      </c>
      <c r="J304" s="204" t="s">
        <v>404</v>
      </c>
      <c r="K304" s="199" t="str">
        <f t="shared" ca="1" si="50"/>
        <v>CONTRATADO</v>
      </c>
      <c r="L304" s="199" t="s">
        <v>112</v>
      </c>
      <c r="M304" s="204" t="s">
        <v>113</v>
      </c>
      <c r="N304" s="205" t="s">
        <v>398</v>
      </c>
      <c r="O304" s="204">
        <f>VLOOKUP(N304,RUBROS[#All],3,0)</f>
        <v>66</v>
      </c>
      <c r="P304" s="206" t="str">
        <f>VLOOKUP(N304,RUBROS[#All],2,0)</f>
        <v xml:space="preserve">Fortalecimiento del desarrollo deportivo con miras al alto rendimiento competitivo de los atletas del departamento de Antioquia - Servicios prestados a las empresas y servicios de producción </v>
      </c>
      <c r="Q304" s="199" t="str">
        <f t="shared" si="51"/>
        <v>87</v>
      </c>
      <c r="R304" s="199" t="str">
        <f t="shared" si="52"/>
        <v>0-101024</v>
      </c>
      <c r="S304" s="207">
        <v>10</v>
      </c>
      <c r="T304" s="208" t="s">
        <v>46</v>
      </c>
      <c r="U304" s="209" t="e">
        <f ca="1">_xlfn.XLOOKUP(PAA[[#This Row],[ITEM]],Contrato!A:A,Contrato!Q:Q,"",0)</f>
        <v>#NAME?</v>
      </c>
      <c r="V304" s="199" t="s">
        <v>47</v>
      </c>
      <c r="W304" s="199" t="s">
        <v>154</v>
      </c>
      <c r="X304" s="199" t="s">
        <v>154</v>
      </c>
      <c r="Y304" s="210" t="e">
        <f ca="1">_xlfn.XLOOKUP(PAA[[#This Row],[ITEM]],Contrato!A:A,Contrato!B:B,"",0)</f>
        <v>#NAME?</v>
      </c>
      <c r="Z304" s="199" t="e">
        <f ca="1">_xlfn.XLOOKUP(PAA[[#This Row],[ITEM]],Contrato!A:A,Contrato!G:G,"",0)</f>
        <v>#NAME?</v>
      </c>
      <c r="AA304" s="199" t="e">
        <f ca="1">_xlfn.XLOOKUP(PAA[[#This Row],[ITEM]],Contrato!A:A,Contrato!T:T,"",0)</f>
        <v>#NAME?</v>
      </c>
      <c r="AB304" s="210" t="e">
        <f ca="1">+MAX(PAA[[#This Row],[Comprometido Contrato]],)</f>
        <v>#NAME?</v>
      </c>
      <c r="AC304" s="210" t="str">
        <f t="shared" ca="1" si="49"/>
        <v/>
      </c>
      <c r="AD304" s="210" t="e">
        <f ca="1">+MAX(PAA[[#This Row],[Pago por Contrato]],)</f>
        <v>#NAME?</v>
      </c>
      <c r="AE304" s="210" t="str">
        <f t="shared" ca="1" si="53"/>
        <v/>
      </c>
      <c r="AF304" s="199" t="e">
        <f t="shared" ca="1" si="54"/>
        <v>#NAME?</v>
      </c>
      <c r="AG304" s="199">
        <f t="shared" si="55"/>
        <v>52010805</v>
      </c>
      <c r="AH304" s="199" t="e" cm="1">
        <f t="array" aca="1" ref="AH304" ca="1">_xlfn.XLOOKUP(PAA[[#This Row],[RCP-RUBRO]],COMPROMISOS_2025[[#All],[concatenado]],COMPROMISOS_2025[[#All],[Total pagado]],"",0)</f>
        <v>#NAME?</v>
      </c>
      <c r="AI304" s="199" t="e" cm="1">
        <f t="array" aca="1" ref="AI304" ca="1">_xlfn.XLOOKUP(PAA[[#This Row],[RCP-RUBRO]],COMPROMISOS_2025[[#All],[concatenado]],COMPROMISOS_2025[[#All],[Total Comprometido]],"",0)</f>
        <v>#NAME?</v>
      </c>
    </row>
    <row r="305" spans="1:35" s="50" customFormat="1" ht="42" hidden="1" customHeight="1" x14ac:dyDescent="0.25">
      <c r="A305" s="199">
        <v>215</v>
      </c>
      <c r="B305" s="200">
        <v>80111600</v>
      </c>
      <c r="C305" s="199" t="str">
        <f>VLOOKUP(PAA[[#This Row],[PROYECTO (formulado)2]],PROYECTOS!$G$1:$L$32,6,0)</f>
        <v>SUBGERENCIA DE ALTOS LOGROS Y DEPORTE ASOCIADO</v>
      </c>
      <c r="D305" s="199" t="str">
        <f>+IF(PAA[[#This Row],[UNIDAD DE CONTRATACION (formulado)]]="Subgerencia Administrativa y Financiera","FUNCIONAMIENTO","INVERSIÓN")</f>
        <v>INVERSIÓN</v>
      </c>
      <c r="E305" s="201" t="str">
        <f>VLOOKUP(Q305,PROYECTOS!$G$1:$K$32,5,0)</f>
        <v>Apoyo económico a las organizaciones deportivas que representan en competencias al departamento de Antioquia</v>
      </c>
      <c r="F305" s="201">
        <f>VLOOKUP(E305,PROYECTOS!$K$1:$M$32,3,0)</f>
        <v>2024003050102</v>
      </c>
      <c r="G305" s="202" t="s">
        <v>399</v>
      </c>
      <c r="H305" s="202" t="str">
        <f>VLOOKUP(Q305,PROYECTOS!$V$1:$W$32,2,0)</f>
        <v>050076</v>
      </c>
      <c r="I305" s="203">
        <v>37609000</v>
      </c>
      <c r="J305" s="204" t="s">
        <v>404</v>
      </c>
      <c r="K305" s="199" t="str">
        <f t="shared" ca="1" si="50"/>
        <v>CONTRATADO</v>
      </c>
      <c r="L305" s="199" t="s">
        <v>112</v>
      </c>
      <c r="M305" s="204" t="s">
        <v>113</v>
      </c>
      <c r="N305" s="205" t="s">
        <v>400</v>
      </c>
      <c r="O305" s="204">
        <f>VLOOKUP(N305,RUBROS[#All],3,0)</f>
        <v>56</v>
      </c>
      <c r="P305" s="206" t="str">
        <f>VLOOKUP(N305,RUBROS[#All],2,0)</f>
        <v xml:space="preserve">Apoyo económico a las organizaciones deportivas que representan en competencias al departamento de Antioquia - Servicios prestados a las empresas y servicios de producción </v>
      </c>
      <c r="Q305" s="199" t="str">
        <f t="shared" si="51"/>
        <v>02</v>
      </c>
      <c r="R305" s="199" t="str">
        <f t="shared" si="52"/>
        <v>0-205128</v>
      </c>
      <c r="S305" s="207">
        <v>10</v>
      </c>
      <c r="T305" s="208" t="s">
        <v>46</v>
      </c>
      <c r="U305" s="209" t="e">
        <f ca="1">_xlfn.XLOOKUP(PAA[[#This Row],[ITEM]],Contrato!A:A,Contrato!Q:Q,"",0)</f>
        <v>#NAME?</v>
      </c>
      <c r="V305" s="199" t="s">
        <v>47</v>
      </c>
      <c r="W305" s="199" t="s">
        <v>154</v>
      </c>
      <c r="X305" s="199" t="s">
        <v>154</v>
      </c>
      <c r="Y305" s="210" t="e">
        <f ca="1">_xlfn.XLOOKUP(PAA[[#This Row],[ITEM]],Contrato!A:A,Contrato!B:B,"",0)</f>
        <v>#NAME?</v>
      </c>
      <c r="Z305" s="199" t="e">
        <f ca="1">_xlfn.XLOOKUP(PAA[[#This Row],[ITEM]],Contrato!A:A,Contrato!G:G,"",0)</f>
        <v>#NAME?</v>
      </c>
      <c r="AA305" s="199" t="e">
        <f ca="1">_xlfn.XLOOKUP(PAA[[#This Row],[ITEM]],Contrato!A:A,Contrato!T:T,"",0)</f>
        <v>#NAME?</v>
      </c>
      <c r="AB305" s="210" t="e">
        <f ca="1">+MAX(PAA[[#This Row],[Comprometido Contrato]],)</f>
        <v>#NAME?</v>
      </c>
      <c r="AC305" s="210" t="str">
        <f t="shared" ca="1" si="49"/>
        <v/>
      </c>
      <c r="AD305" s="210" t="e">
        <f ca="1">+MAX(PAA[[#This Row],[Pago por Contrato]],)</f>
        <v>#NAME?</v>
      </c>
      <c r="AE305" s="210" t="str">
        <f t="shared" ca="1" si="53"/>
        <v/>
      </c>
      <c r="AF305" s="199" t="e">
        <f t="shared" ca="1" si="54"/>
        <v>#NAME?</v>
      </c>
      <c r="AG305" s="199">
        <f t="shared" si="55"/>
        <v>52010801</v>
      </c>
      <c r="AH305" s="199" t="e" cm="1">
        <f t="array" aca="1" ref="AH305" ca="1">_xlfn.XLOOKUP(PAA[[#This Row],[RCP-RUBRO]],COMPROMISOS_2025[[#All],[concatenado]],COMPROMISOS_2025[[#All],[Total pagado]],"",0)</f>
        <v>#NAME?</v>
      </c>
      <c r="AI305" s="199" t="e" cm="1">
        <f t="array" aca="1" ref="AI305" ca="1">_xlfn.XLOOKUP(PAA[[#This Row],[RCP-RUBRO]],COMPROMISOS_2025[[#All],[concatenado]],COMPROMISOS_2025[[#All],[Total Comprometido]],"",0)</f>
        <v>#NAME?</v>
      </c>
    </row>
    <row r="306" spans="1:35" s="50" customFormat="1" ht="42" hidden="1" customHeight="1" x14ac:dyDescent="0.25">
      <c r="A306" s="57">
        <v>216</v>
      </c>
      <c r="B306" s="186">
        <v>80111600</v>
      </c>
      <c r="C306" s="57" t="str">
        <f>VLOOKUP(PAA[[#This Row],[PROYECTO (formulado)2]],PROYECTOS!$G$1:$L$32,6,0)</f>
        <v>SUBGERENCIA DE ALTOS LOGROS Y DEPORTE ASOCIADO</v>
      </c>
      <c r="D306" s="57" t="str">
        <f>+IF(PAA[[#This Row],[UNIDAD DE CONTRATACION (formulado)]]="Subgerencia Administrativa y Financiera","FUNCIONAMIENTO","INVERSIÓN")</f>
        <v>INVERSIÓN</v>
      </c>
      <c r="E306" s="153" t="str">
        <f>VLOOKUP(Q306,PROYECTOS!$G$1:$K$32,5,0)</f>
        <v>Fortalecimiento del desarrollo deportivo con miras al alto rendimiento competitivo de los atletas del departamento de Antioquia</v>
      </c>
      <c r="F306" s="153">
        <f>VLOOKUP(E306,PROYECTOS!$K$1:$M$32,3,0)</f>
        <v>2024003050087</v>
      </c>
      <c r="G306" s="154" t="s">
        <v>396</v>
      </c>
      <c r="H306" s="154" t="str">
        <f>VLOOKUP(Q306,PROYECTOS!$V$1:$W$32,2,0)</f>
        <v>050078</v>
      </c>
      <c r="I306" s="143">
        <v>55268968</v>
      </c>
      <c r="J306" s="155" t="s">
        <v>405</v>
      </c>
      <c r="K306" s="57" t="str">
        <f t="shared" ca="1" si="50"/>
        <v>CONTRATADO</v>
      </c>
      <c r="L306" s="57" t="s">
        <v>112</v>
      </c>
      <c r="M306" s="155" t="s">
        <v>113</v>
      </c>
      <c r="N306" s="142" t="s">
        <v>398</v>
      </c>
      <c r="O306" s="155">
        <f>VLOOKUP(N306,RUBROS[#All],3,0)</f>
        <v>66</v>
      </c>
      <c r="P306" s="156" t="str">
        <f>VLOOKUP(N306,RUBROS[#All],2,0)</f>
        <v xml:space="preserve">Fortalecimiento del desarrollo deportivo con miras al alto rendimiento competitivo de los atletas del departamento de Antioquia - Servicios prestados a las empresas y servicios de producción </v>
      </c>
      <c r="Q306" s="57" t="str">
        <f t="shared" si="51"/>
        <v>87</v>
      </c>
      <c r="R306" s="57" t="str">
        <f t="shared" si="52"/>
        <v>0-101024</v>
      </c>
      <c r="S306" s="152">
        <v>11.5</v>
      </c>
      <c r="T306" s="157" t="s">
        <v>46</v>
      </c>
      <c r="U306" s="162" t="e">
        <f ca="1">_xlfn.XLOOKUP(PAA[[#This Row],[ITEM]],Contrato!A:A,Contrato!Q:Q,"",0)</f>
        <v>#NAME?</v>
      </c>
      <c r="V306" s="57" t="s">
        <v>47</v>
      </c>
      <c r="W306" s="57" t="s">
        <v>48</v>
      </c>
      <c r="X306" s="57" t="s">
        <v>48</v>
      </c>
      <c r="Y306" s="58" t="e">
        <f ca="1">_xlfn.XLOOKUP(PAA[[#This Row],[ITEM]],Contrato!A:A,Contrato!B:B,"",0)</f>
        <v>#NAME?</v>
      </c>
      <c r="Z306" s="57" t="e">
        <f ca="1">_xlfn.XLOOKUP(PAA[[#This Row],[ITEM]],Contrato!A:A,Contrato!G:G,"",0)</f>
        <v>#NAME?</v>
      </c>
      <c r="AA306" s="57" t="e">
        <f ca="1">_xlfn.XLOOKUP(PAA[[#This Row],[ITEM]],Contrato!A:A,Contrato!T:T,"",0)</f>
        <v>#NAME?</v>
      </c>
      <c r="AB306" s="58" t="e">
        <f ca="1">+MAX(PAA[[#This Row],[Comprometido Contrato]],)</f>
        <v>#NAME?</v>
      </c>
      <c r="AC306" s="58" t="str">
        <f t="shared" ca="1" si="49"/>
        <v/>
      </c>
      <c r="AD306" s="58" t="e">
        <f ca="1">+MAX(PAA[[#This Row],[Pago por Contrato]],)</f>
        <v>#NAME?</v>
      </c>
      <c r="AE306" s="58" t="str">
        <f t="shared" ca="1" si="53"/>
        <v/>
      </c>
      <c r="AF306" s="57" t="e">
        <f t="shared" ca="1" si="54"/>
        <v>#NAME?</v>
      </c>
      <c r="AG306" s="57">
        <f t="shared" si="55"/>
        <v>52010805</v>
      </c>
      <c r="AH306" s="57" t="e" cm="1">
        <f t="array" aca="1" ref="AH306" ca="1">_xlfn.XLOOKUP(PAA[[#This Row],[RCP-RUBRO]],COMPROMISOS_2025[[#All],[concatenado]],COMPROMISOS_2025[[#All],[Total pagado]],"",0)</f>
        <v>#NAME?</v>
      </c>
      <c r="AI306" s="57" t="e" cm="1">
        <f t="array" aca="1" ref="AI306" ca="1">_xlfn.XLOOKUP(PAA[[#This Row],[RCP-RUBRO]],COMPROMISOS_2025[[#All],[concatenado]],COMPROMISOS_2025[[#All],[Total Comprometido]],"",0)</f>
        <v>#NAME?</v>
      </c>
    </row>
    <row r="307" spans="1:35" s="50" customFormat="1" ht="42" hidden="1" customHeight="1" x14ac:dyDescent="0.25">
      <c r="A307" s="57">
        <v>216</v>
      </c>
      <c r="B307" s="186">
        <v>80111600</v>
      </c>
      <c r="C307" s="57" t="str">
        <f>VLOOKUP(PAA[[#This Row],[PROYECTO (formulado)2]],PROYECTOS!$G$1:$L$32,6,0)</f>
        <v>SUBGERENCIA DE ALTOS LOGROS Y DEPORTE ASOCIADO</v>
      </c>
      <c r="D307" s="57" t="str">
        <f>+IF(PAA[[#This Row],[UNIDAD DE CONTRATACION (formulado)]]="Subgerencia Administrativa y Financiera","FUNCIONAMIENTO","INVERSIÓN")</f>
        <v>INVERSIÓN</v>
      </c>
      <c r="E307" s="153" t="str">
        <f>VLOOKUP(Q307,PROYECTOS!$G$1:$K$32,5,0)</f>
        <v>Fortalecimiento del desarrollo deportivo con miras al alto rendimiento competitivo de los atletas del departamento de Antioquia</v>
      </c>
      <c r="F307" s="153">
        <f>VLOOKUP(E307,PROYECTOS!$K$1:$M$32,3,0)</f>
        <v>2024003050087</v>
      </c>
      <c r="G307" s="154" t="s">
        <v>396</v>
      </c>
      <c r="H307" s="154" t="str">
        <f>VLOOKUP(Q307,PROYECTOS!$V$1:$W$32,2,0)</f>
        <v>050078</v>
      </c>
      <c r="I307" s="143">
        <v>2295032</v>
      </c>
      <c r="J307" s="155" t="s">
        <v>405</v>
      </c>
      <c r="K307" s="57" t="str">
        <f t="shared" ca="1" si="50"/>
        <v>CONTRATADO</v>
      </c>
      <c r="L307" s="57" t="s">
        <v>112</v>
      </c>
      <c r="M307" s="155" t="s">
        <v>113</v>
      </c>
      <c r="N307" s="142" t="s">
        <v>406</v>
      </c>
      <c r="O307" s="155">
        <f>VLOOKUP(N307,RUBROS[#All],3,0)</f>
        <v>68</v>
      </c>
      <c r="P307" s="156" t="str">
        <f>VLOOKUP(N307,RUBROS[#All],2,0)</f>
        <v xml:space="preserve">Fortalecimiento del desarrollo deportivo con miras al alto rendimiento competitivo de los atletas del departamento de Antioquia - Servicios prestados a las empresas y servicios de producción </v>
      </c>
      <c r="Q307" s="57" t="str">
        <f t="shared" si="51"/>
        <v>87</v>
      </c>
      <c r="R307" s="57" t="str">
        <f t="shared" si="52"/>
        <v>0-205128</v>
      </c>
      <c r="S307" s="152">
        <v>11.5</v>
      </c>
      <c r="T307" s="157" t="s">
        <v>46</v>
      </c>
      <c r="U307" s="162" t="e">
        <f ca="1">_xlfn.XLOOKUP(PAA[[#This Row],[ITEM]],Contrato!A:A,Contrato!Q:Q,"",0)</f>
        <v>#NAME?</v>
      </c>
      <c r="V307" s="57" t="s">
        <v>47</v>
      </c>
      <c r="W307" s="57" t="s">
        <v>48</v>
      </c>
      <c r="X307" s="57" t="s">
        <v>48</v>
      </c>
      <c r="Y307" s="58" t="e">
        <f ca="1">_xlfn.XLOOKUP(PAA[[#This Row],[ITEM]],Contrato!A:A,Contrato!B:B,"",0)</f>
        <v>#NAME?</v>
      </c>
      <c r="Z307" s="57" t="e">
        <f ca="1">_xlfn.XLOOKUP(PAA[[#This Row],[ITEM]],Contrato!A:A,Contrato!G:G,"",0)</f>
        <v>#NAME?</v>
      </c>
      <c r="AA307" s="57" t="e">
        <f ca="1">_xlfn.XLOOKUP(PAA[[#This Row],[ITEM]],Contrato!A:A,Contrato!T:T,"",0)</f>
        <v>#NAME?</v>
      </c>
      <c r="AB307" s="58" t="e">
        <f ca="1">+MAX(PAA[[#This Row],[Comprometido Contrato]],)</f>
        <v>#NAME?</v>
      </c>
      <c r="AC307" s="58" t="str">
        <f t="shared" ca="1" si="49"/>
        <v/>
      </c>
      <c r="AD307" s="58" t="e">
        <f ca="1">+MAX(PAA[[#This Row],[Pago por Contrato]],)</f>
        <v>#NAME?</v>
      </c>
      <c r="AE307" s="58" t="str">
        <f t="shared" ca="1" si="53"/>
        <v/>
      </c>
      <c r="AF307" s="57" t="e">
        <f t="shared" ca="1" si="54"/>
        <v>#NAME?</v>
      </c>
      <c r="AG307" s="57">
        <f t="shared" si="55"/>
        <v>52010805</v>
      </c>
      <c r="AH307" s="57" t="e" cm="1">
        <f t="array" aca="1" ref="AH307" ca="1">_xlfn.XLOOKUP(PAA[[#This Row],[RCP-RUBRO]],COMPROMISOS_2025[[#All],[concatenado]],COMPROMISOS_2025[[#All],[Total pagado]],"",0)</f>
        <v>#NAME?</v>
      </c>
      <c r="AI307" s="57" t="e" cm="1">
        <f t="array" aca="1" ref="AI307" ca="1">_xlfn.XLOOKUP(PAA[[#This Row],[RCP-RUBRO]],COMPROMISOS_2025[[#All],[concatenado]],COMPROMISOS_2025[[#All],[Total Comprometido]],"",0)</f>
        <v>#NAME?</v>
      </c>
    </row>
    <row r="308" spans="1:35" s="50" customFormat="1" ht="42" hidden="1" customHeight="1" x14ac:dyDescent="0.25">
      <c r="A308" s="57">
        <v>216</v>
      </c>
      <c r="B308" s="186">
        <v>80111600</v>
      </c>
      <c r="C308" s="57" t="str">
        <f>VLOOKUP(PAA[[#This Row],[PROYECTO (formulado)2]],PROYECTOS!$G$1:$L$32,6,0)</f>
        <v>SUBGERENCIA DE ALTOS LOGROS Y DEPORTE ASOCIADO</v>
      </c>
      <c r="D308" s="57" t="str">
        <f>+IF(PAA[[#This Row],[UNIDAD DE CONTRATACION (formulado)]]="Subgerencia Administrativa y Financiera","FUNCIONAMIENTO","INVERSIÓN")</f>
        <v>INVERSIÓN</v>
      </c>
      <c r="E308" s="153" t="str">
        <f>VLOOKUP(Q308,PROYECTOS!$G$1:$K$32,5,0)</f>
        <v>Apoyo económico a las organizaciones deportivas que representan en competencias al departamento de Antioquia</v>
      </c>
      <c r="F308" s="153">
        <f>VLOOKUP(E308,PROYECTOS!$K$1:$M$32,3,0)</f>
        <v>2024003050102</v>
      </c>
      <c r="G308" s="154" t="s">
        <v>399</v>
      </c>
      <c r="H308" s="154" t="str">
        <f>VLOOKUP(Q308,PROYECTOS!$V$1:$W$32,2,0)</f>
        <v>050076</v>
      </c>
      <c r="I308" s="143">
        <v>57564000</v>
      </c>
      <c r="J308" s="155" t="s">
        <v>405</v>
      </c>
      <c r="K308" s="57" t="str">
        <f t="shared" ca="1" si="50"/>
        <v>CONTRATADO</v>
      </c>
      <c r="L308" s="57" t="s">
        <v>112</v>
      </c>
      <c r="M308" s="155" t="s">
        <v>113</v>
      </c>
      <c r="N308" s="142" t="s">
        <v>400</v>
      </c>
      <c r="O308" s="155">
        <f>VLOOKUP(N308,RUBROS[#All],3,0)</f>
        <v>56</v>
      </c>
      <c r="P308" s="156" t="str">
        <f>VLOOKUP(N308,RUBROS[#All],2,0)</f>
        <v xml:space="preserve">Apoyo económico a las organizaciones deportivas que representan en competencias al departamento de Antioquia - Servicios prestados a las empresas y servicios de producción </v>
      </c>
      <c r="Q308" s="57" t="str">
        <f t="shared" si="51"/>
        <v>02</v>
      </c>
      <c r="R308" s="57" t="str">
        <f t="shared" si="52"/>
        <v>0-205128</v>
      </c>
      <c r="S308" s="152">
        <v>11.5</v>
      </c>
      <c r="T308" s="157" t="s">
        <v>46</v>
      </c>
      <c r="U308" s="162" t="e">
        <f ca="1">_xlfn.XLOOKUP(PAA[[#This Row],[ITEM]],Contrato!A:A,Contrato!Q:Q,"",0)</f>
        <v>#NAME?</v>
      </c>
      <c r="V308" s="57" t="s">
        <v>47</v>
      </c>
      <c r="W308" s="57" t="s">
        <v>48</v>
      </c>
      <c r="X308" s="57" t="s">
        <v>48</v>
      </c>
      <c r="Y308" s="58" t="e">
        <f ca="1">_xlfn.XLOOKUP(PAA[[#This Row],[ITEM]],Contrato!A:A,Contrato!B:B,"",0)</f>
        <v>#NAME?</v>
      </c>
      <c r="Z308" s="57" t="e">
        <f ca="1">_xlfn.XLOOKUP(PAA[[#This Row],[ITEM]],Contrato!A:A,Contrato!G:G,"",0)</f>
        <v>#NAME?</v>
      </c>
      <c r="AA308" s="57" t="e">
        <f ca="1">_xlfn.XLOOKUP(PAA[[#This Row],[ITEM]],Contrato!A:A,Contrato!T:T,"",0)</f>
        <v>#NAME?</v>
      </c>
      <c r="AB308" s="58" t="e">
        <f ca="1">+MAX(PAA[[#This Row],[Comprometido Contrato]],)</f>
        <v>#NAME?</v>
      </c>
      <c r="AC308" s="58" t="str">
        <f t="shared" ca="1" si="49"/>
        <v/>
      </c>
      <c r="AD308" s="58" t="e">
        <f ca="1">+MAX(PAA[[#This Row],[Pago por Contrato]],)</f>
        <v>#NAME?</v>
      </c>
      <c r="AE308" s="58" t="str">
        <f t="shared" ca="1" si="53"/>
        <v/>
      </c>
      <c r="AF308" s="57" t="e">
        <f t="shared" ca="1" si="54"/>
        <v>#NAME?</v>
      </c>
      <c r="AG308" s="57">
        <f t="shared" si="55"/>
        <v>52010801</v>
      </c>
      <c r="AH308" s="57" t="e" cm="1">
        <f t="array" aca="1" ref="AH308" ca="1">_xlfn.XLOOKUP(PAA[[#This Row],[RCP-RUBRO]],COMPROMISOS_2025[[#All],[concatenado]],COMPROMISOS_2025[[#All],[Total pagado]],"",0)</f>
        <v>#NAME?</v>
      </c>
      <c r="AI308" s="57" t="e" cm="1">
        <f t="array" aca="1" ref="AI308" ca="1">_xlfn.XLOOKUP(PAA[[#This Row],[RCP-RUBRO]],COMPROMISOS_2025[[#All],[concatenado]],COMPROMISOS_2025[[#All],[Total Comprometido]],"",0)</f>
        <v>#NAME?</v>
      </c>
    </row>
    <row r="309" spans="1:35" s="50" customFormat="1" ht="42" hidden="1" customHeight="1" x14ac:dyDescent="0.25">
      <c r="A309" s="199">
        <v>217</v>
      </c>
      <c r="B309" s="200">
        <v>80111600</v>
      </c>
      <c r="C309" s="199" t="str">
        <f>VLOOKUP(PAA[[#This Row],[PROYECTO (formulado)2]],PROYECTOS!$G$1:$L$32,6,0)</f>
        <v>SUBGERENCIA DE ALTOS LOGROS Y DEPORTE ASOCIADO</v>
      </c>
      <c r="D309" s="199" t="str">
        <f>+IF(PAA[[#This Row],[UNIDAD DE CONTRATACION (formulado)]]="Subgerencia Administrativa y Financiera","FUNCIONAMIENTO","INVERSIÓN")</f>
        <v>INVERSIÓN</v>
      </c>
      <c r="E309" s="201" t="str">
        <f>VLOOKUP(Q309,PROYECTOS!$G$1:$K$32,5,0)</f>
        <v>Fortalecimiento del desarrollo deportivo con miras al alto rendimiento competitivo de los atletas del departamento de Antioquia</v>
      </c>
      <c r="F309" s="201">
        <f>VLOOKUP(E309,PROYECTOS!$K$1:$M$32,3,0)</f>
        <v>2024003050087</v>
      </c>
      <c r="G309" s="202" t="s">
        <v>396</v>
      </c>
      <c r="H309" s="202" t="str">
        <f>VLOOKUP(Q309,PROYECTOS!$V$1:$W$32,2,0)</f>
        <v>050078</v>
      </c>
      <c r="I309" s="203">
        <v>37609000</v>
      </c>
      <c r="J309" s="204" t="s">
        <v>407</v>
      </c>
      <c r="K309" s="199" t="str">
        <f t="shared" ca="1" si="50"/>
        <v>CONTRATADO</v>
      </c>
      <c r="L309" s="199" t="s">
        <v>112</v>
      </c>
      <c r="M309" s="204" t="s">
        <v>113</v>
      </c>
      <c r="N309" s="205" t="s">
        <v>406</v>
      </c>
      <c r="O309" s="204">
        <f>VLOOKUP(N309,RUBROS[#All],3,0)</f>
        <v>68</v>
      </c>
      <c r="P309" s="206" t="str">
        <f>VLOOKUP(N309,RUBROS[#All],2,0)</f>
        <v xml:space="preserve">Fortalecimiento del desarrollo deportivo con miras al alto rendimiento competitivo de los atletas del departamento de Antioquia - Servicios prestados a las empresas y servicios de producción </v>
      </c>
      <c r="Q309" s="199" t="str">
        <f t="shared" si="51"/>
        <v>87</v>
      </c>
      <c r="R309" s="199" t="str">
        <f t="shared" si="52"/>
        <v>0-205128</v>
      </c>
      <c r="S309" s="207">
        <v>10</v>
      </c>
      <c r="T309" s="208" t="s">
        <v>46</v>
      </c>
      <c r="U309" s="209" t="e">
        <f ca="1">_xlfn.XLOOKUP(PAA[[#This Row],[ITEM]],Contrato!A:A,Contrato!Q:Q,"",0)</f>
        <v>#NAME?</v>
      </c>
      <c r="V309" s="199" t="s">
        <v>47</v>
      </c>
      <c r="W309" s="199" t="s">
        <v>154</v>
      </c>
      <c r="X309" s="199" t="s">
        <v>154</v>
      </c>
      <c r="Y309" s="210" t="e">
        <f ca="1">_xlfn.XLOOKUP(PAA[[#This Row],[ITEM]],Contrato!A:A,Contrato!B:B,"",0)</f>
        <v>#NAME?</v>
      </c>
      <c r="Z309" s="199" t="e">
        <f ca="1">_xlfn.XLOOKUP(PAA[[#This Row],[ITEM]],Contrato!A:A,Contrato!G:G,"",0)</f>
        <v>#NAME?</v>
      </c>
      <c r="AA309" s="199" t="e">
        <f ca="1">_xlfn.XLOOKUP(PAA[[#This Row],[ITEM]],Contrato!A:A,Contrato!T:T,"",0)</f>
        <v>#NAME?</v>
      </c>
      <c r="AB309" s="210" t="e">
        <f ca="1">+MAX(PAA[[#This Row],[Comprometido Contrato]],)</f>
        <v>#NAME?</v>
      </c>
      <c r="AC309" s="210" t="str">
        <f t="shared" ca="1" si="49"/>
        <v/>
      </c>
      <c r="AD309" s="210" t="e">
        <f ca="1">+MAX(PAA[[#This Row],[Pago por Contrato]],)</f>
        <v>#NAME?</v>
      </c>
      <c r="AE309" s="210" t="str">
        <f t="shared" ca="1" si="53"/>
        <v/>
      </c>
      <c r="AF309" s="199" t="e">
        <f t="shared" ca="1" si="54"/>
        <v>#NAME?</v>
      </c>
      <c r="AG309" s="199">
        <f t="shared" si="55"/>
        <v>52010805</v>
      </c>
      <c r="AH309" s="199" t="e" cm="1">
        <f t="array" aca="1" ref="AH309" ca="1">_xlfn.XLOOKUP(PAA[[#This Row],[RCP-RUBRO]],COMPROMISOS_2025[[#All],[concatenado]],COMPROMISOS_2025[[#All],[Total pagado]],"",0)</f>
        <v>#NAME?</v>
      </c>
      <c r="AI309" s="199" t="e" cm="1">
        <f t="array" aca="1" ref="AI309" ca="1">_xlfn.XLOOKUP(PAA[[#This Row],[RCP-RUBRO]],COMPROMISOS_2025[[#All],[concatenado]],COMPROMISOS_2025[[#All],[Total Comprometido]],"",0)</f>
        <v>#NAME?</v>
      </c>
    </row>
    <row r="310" spans="1:35" s="50" customFormat="1" ht="42" hidden="1" customHeight="1" x14ac:dyDescent="0.25">
      <c r="A310" s="199">
        <v>217</v>
      </c>
      <c r="B310" s="200">
        <v>80111600</v>
      </c>
      <c r="C310" s="199" t="str">
        <f>VLOOKUP(PAA[[#This Row],[PROYECTO (formulado)2]],PROYECTOS!$G$1:$L$32,6,0)</f>
        <v>SUBGERENCIA DE ALTOS LOGROS Y DEPORTE ASOCIADO</v>
      </c>
      <c r="D310" s="199" t="str">
        <f>+IF(PAA[[#This Row],[UNIDAD DE CONTRATACION (formulado)]]="Subgerencia Administrativa y Financiera","FUNCIONAMIENTO","INVERSIÓN")</f>
        <v>INVERSIÓN</v>
      </c>
      <c r="E310" s="201" t="str">
        <f>VLOOKUP(Q310,PROYECTOS!$G$1:$K$32,5,0)</f>
        <v>Apoyo económico a las organizaciones deportivas que representan en competencias al departamento de Antioquia</v>
      </c>
      <c r="F310" s="201">
        <f>VLOOKUP(E310,PROYECTOS!$K$1:$M$32,3,0)</f>
        <v>2024003050102</v>
      </c>
      <c r="G310" s="202" t="s">
        <v>399</v>
      </c>
      <c r="H310" s="202" t="str">
        <f>VLOOKUP(Q310,PROYECTOS!$V$1:$W$32,2,0)</f>
        <v>050076</v>
      </c>
      <c r="I310" s="203">
        <v>37609000</v>
      </c>
      <c r="J310" s="204" t="s">
        <v>407</v>
      </c>
      <c r="K310" s="199" t="str">
        <f t="shared" ca="1" si="50"/>
        <v>CONTRATADO</v>
      </c>
      <c r="L310" s="199" t="s">
        <v>112</v>
      </c>
      <c r="M310" s="204" t="s">
        <v>113</v>
      </c>
      <c r="N310" s="205" t="s">
        <v>400</v>
      </c>
      <c r="O310" s="204">
        <f>VLOOKUP(N310,RUBROS[#All],3,0)</f>
        <v>56</v>
      </c>
      <c r="P310" s="206" t="str">
        <f>VLOOKUP(N310,RUBROS[#All],2,0)</f>
        <v xml:space="preserve">Apoyo económico a las organizaciones deportivas que representan en competencias al departamento de Antioquia - Servicios prestados a las empresas y servicios de producción </v>
      </c>
      <c r="Q310" s="199" t="str">
        <f t="shared" si="51"/>
        <v>02</v>
      </c>
      <c r="R310" s="199" t="str">
        <f t="shared" si="52"/>
        <v>0-205128</v>
      </c>
      <c r="S310" s="207">
        <v>10</v>
      </c>
      <c r="T310" s="208" t="s">
        <v>46</v>
      </c>
      <c r="U310" s="209" t="e">
        <f ca="1">_xlfn.XLOOKUP(PAA[[#This Row],[ITEM]],Contrato!A:A,Contrato!Q:Q,"",0)</f>
        <v>#NAME?</v>
      </c>
      <c r="V310" s="199" t="s">
        <v>47</v>
      </c>
      <c r="W310" s="199" t="s">
        <v>154</v>
      </c>
      <c r="X310" s="199" t="s">
        <v>48</v>
      </c>
      <c r="Y310" s="210" t="e">
        <f ca="1">_xlfn.XLOOKUP(PAA[[#This Row],[ITEM]],Contrato!A:A,Contrato!B:B,"",0)</f>
        <v>#NAME?</v>
      </c>
      <c r="Z310" s="199" t="e">
        <f ca="1">_xlfn.XLOOKUP(PAA[[#This Row],[ITEM]],Contrato!A:A,Contrato!G:G,"",0)</f>
        <v>#NAME?</v>
      </c>
      <c r="AA310" s="199" t="e">
        <f ca="1">_xlfn.XLOOKUP(PAA[[#This Row],[ITEM]],Contrato!A:A,Contrato!T:T,"",0)</f>
        <v>#NAME?</v>
      </c>
      <c r="AB310" s="210" t="e">
        <f ca="1">+MAX(PAA[[#This Row],[Comprometido Contrato]],)</f>
        <v>#NAME?</v>
      </c>
      <c r="AC310" s="210" t="str">
        <f t="shared" ca="1" si="49"/>
        <v/>
      </c>
      <c r="AD310" s="210" t="e">
        <f ca="1">+MAX(PAA[[#This Row],[Pago por Contrato]],)</f>
        <v>#NAME?</v>
      </c>
      <c r="AE310" s="210" t="str">
        <f t="shared" ca="1" si="53"/>
        <v/>
      </c>
      <c r="AF310" s="199" t="e">
        <f t="shared" ca="1" si="54"/>
        <v>#NAME?</v>
      </c>
      <c r="AG310" s="199">
        <f t="shared" si="55"/>
        <v>52010801</v>
      </c>
      <c r="AH310" s="199" t="e" cm="1">
        <f t="array" aca="1" ref="AH310" ca="1">_xlfn.XLOOKUP(PAA[[#This Row],[RCP-RUBRO]],COMPROMISOS_2025[[#All],[concatenado]],COMPROMISOS_2025[[#All],[Total pagado]],"",0)</f>
        <v>#NAME?</v>
      </c>
      <c r="AI310" s="199" t="e" cm="1">
        <f t="array" aca="1" ref="AI310" ca="1">_xlfn.XLOOKUP(PAA[[#This Row],[RCP-RUBRO]],COMPROMISOS_2025[[#All],[concatenado]],COMPROMISOS_2025[[#All],[Total Comprometido]],"",0)</f>
        <v>#NAME?</v>
      </c>
    </row>
    <row r="311" spans="1:35" s="50" customFormat="1" ht="42" hidden="1" customHeight="1" x14ac:dyDescent="0.25">
      <c r="A311" s="199">
        <v>218</v>
      </c>
      <c r="B311" s="200">
        <v>80111600</v>
      </c>
      <c r="C311" s="199" t="str">
        <f>VLOOKUP(PAA[[#This Row],[PROYECTO (formulado)2]],PROYECTOS!$G$1:$L$32,6,0)</f>
        <v>SUBGERENCIA DE ALTOS LOGROS Y DEPORTE ASOCIADO</v>
      </c>
      <c r="D311" s="199" t="str">
        <f>+IF(PAA[[#This Row],[UNIDAD DE CONTRATACION (formulado)]]="Subgerencia Administrativa y Financiera","FUNCIONAMIENTO","INVERSIÓN")</f>
        <v>INVERSIÓN</v>
      </c>
      <c r="E311" s="201" t="str">
        <f>VLOOKUP(Q311,PROYECTOS!$G$1:$K$32,5,0)</f>
        <v>Fortalecimiento del desarrollo deportivo con miras al alto rendimiento competitivo de los atletas del departamento de Antioquia</v>
      </c>
      <c r="F311" s="201">
        <f>VLOOKUP(E311,PROYECTOS!$K$1:$M$32,3,0)</f>
        <v>2024003050087</v>
      </c>
      <c r="G311" s="202" t="s">
        <v>396</v>
      </c>
      <c r="H311" s="202" t="str">
        <f>VLOOKUP(Q311,PROYECTOS!$V$1:$W$32,2,0)</f>
        <v>050078</v>
      </c>
      <c r="I311" s="203">
        <v>37609000</v>
      </c>
      <c r="J311" s="204" t="s">
        <v>408</v>
      </c>
      <c r="K311" s="199" t="str">
        <f t="shared" ca="1" si="50"/>
        <v>CONTRATADO</v>
      </c>
      <c r="L311" s="199" t="s">
        <v>112</v>
      </c>
      <c r="M311" s="204" t="s">
        <v>113</v>
      </c>
      <c r="N311" s="205" t="s">
        <v>406</v>
      </c>
      <c r="O311" s="204">
        <f>VLOOKUP(N311,RUBROS[#All],3,0)</f>
        <v>68</v>
      </c>
      <c r="P311" s="206" t="str">
        <f>VLOOKUP(N311,RUBROS[#All],2,0)</f>
        <v xml:space="preserve">Fortalecimiento del desarrollo deportivo con miras al alto rendimiento competitivo de los atletas del departamento de Antioquia - Servicios prestados a las empresas y servicios de producción </v>
      </c>
      <c r="Q311" s="199" t="str">
        <f t="shared" si="51"/>
        <v>87</v>
      </c>
      <c r="R311" s="199" t="str">
        <f t="shared" si="52"/>
        <v>0-205128</v>
      </c>
      <c r="S311" s="207">
        <v>10</v>
      </c>
      <c r="T311" s="208" t="s">
        <v>46</v>
      </c>
      <c r="U311" s="209" t="e">
        <f ca="1">_xlfn.XLOOKUP(PAA[[#This Row],[ITEM]],Contrato!A:A,Contrato!Q:Q,"",0)</f>
        <v>#NAME?</v>
      </c>
      <c r="V311" s="199" t="s">
        <v>47</v>
      </c>
      <c r="W311" s="199" t="s">
        <v>48</v>
      </c>
      <c r="X311" s="199" t="s">
        <v>48</v>
      </c>
      <c r="Y311" s="210" t="e">
        <f ca="1">_xlfn.XLOOKUP(PAA[[#This Row],[ITEM]],Contrato!A:A,Contrato!B:B,"",0)</f>
        <v>#NAME?</v>
      </c>
      <c r="Z311" s="199" t="e">
        <f ca="1">_xlfn.XLOOKUP(PAA[[#This Row],[ITEM]],Contrato!A:A,Contrato!G:G,"",0)</f>
        <v>#NAME?</v>
      </c>
      <c r="AA311" s="199" t="e">
        <f ca="1">_xlfn.XLOOKUP(PAA[[#This Row],[ITEM]],Contrato!A:A,Contrato!T:T,"",0)</f>
        <v>#NAME?</v>
      </c>
      <c r="AB311" s="210" t="e">
        <f ca="1">+MAX(PAA[[#This Row],[Comprometido Contrato]],)</f>
        <v>#NAME?</v>
      </c>
      <c r="AC311" s="210" t="str">
        <f t="shared" ca="1" si="49"/>
        <v/>
      </c>
      <c r="AD311" s="210" t="e">
        <f ca="1">+MAX(PAA[[#This Row],[Pago por Contrato]],)</f>
        <v>#NAME?</v>
      </c>
      <c r="AE311" s="210" t="str">
        <f t="shared" ca="1" si="53"/>
        <v/>
      </c>
      <c r="AF311" s="199" t="e">
        <f t="shared" ca="1" si="54"/>
        <v>#NAME?</v>
      </c>
      <c r="AG311" s="199">
        <f t="shared" si="55"/>
        <v>52010805</v>
      </c>
      <c r="AH311" s="199" t="e" cm="1">
        <f t="array" aca="1" ref="AH311" ca="1">_xlfn.XLOOKUP(PAA[[#This Row],[RCP-RUBRO]],COMPROMISOS_2025[[#All],[concatenado]],COMPROMISOS_2025[[#All],[Total pagado]],"",0)</f>
        <v>#NAME?</v>
      </c>
      <c r="AI311" s="199" t="e" cm="1">
        <f t="array" aca="1" ref="AI311" ca="1">_xlfn.XLOOKUP(PAA[[#This Row],[RCP-RUBRO]],COMPROMISOS_2025[[#All],[concatenado]],COMPROMISOS_2025[[#All],[Total Comprometido]],"",0)</f>
        <v>#NAME?</v>
      </c>
    </row>
    <row r="312" spans="1:35" s="50" customFormat="1" ht="42" hidden="1" customHeight="1" x14ac:dyDescent="0.25">
      <c r="A312" s="199">
        <v>218</v>
      </c>
      <c r="B312" s="200">
        <v>80111600</v>
      </c>
      <c r="C312" s="199" t="str">
        <f>VLOOKUP(PAA[[#This Row],[PROYECTO (formulado)2]],PROYECTOS!$G$1:$L$32,6,0)</f>
        <v>SUBGERENCIA DE ALTOS LOGROS Y DEPORTE ASOCIADO</v>
      </c>
      <c r="D312" s="199" t="str">
        <f>+IF(PAA[[#This Row],[UNIDAD DE CONTRATACION (formulado)]]="Subgerencia Administrativa y Financiera","FUNCIONAMIENTO","INVERSIÓN")</f>
        <v>INVERSIÓN</v>
      </c>
      <c r="E312" s="201" t="str">
        <f>VLOOKUP(Q312,PROYECTOS!$G$1:$K$32,5,0)</f>
        <v>Apoyo económico a las organizaciones deportivas que representan en competencias al departamento de Antioquia</v>
      </c>
      <c r="F312" s="201">
        <f>VLOOKUP(E312,PROYECTOS!$K$1:$M$32,3,0)</f>
        <v>2024003050102</v>
      </c>
      <c r="G312" s="202" t="s">
        <v>399</v>
      </c>
      <c r="H312" s="202" t="str">
        <f>VLOOKUP(Q312,PROYECTOS!$V$1:$W$32,2,0)</f>
        <v>050076</v>
      </c>
      <c r="I312" s="203">
        <v>37609000</v>
      </c>
      <c r="J312" s="204" t="s">
        <v>408</v>
      </c>
      <c r="K312" s="199" t="str">
        <f t="shared" ca="1" si="50"/>
        <v>CONTRATADO</v>
      </c>
      <c r="L312" s="199" t="s">
        <v>112</v>
      </c>
      <c r="M312" s="204" t="s">
        <v>113</v>
      </c>
      <c r="N312" s="205" t="s">
        <v>400</v>
      </c>
      <c r="O312" s="204">
        <f>VLOOKUP(N312,RUBROS[#All],3,0)</f>
        <v>56</v>
      </c>
      <c r="P312" s="206" t="str">
        <f>VLOOKUP(N312,RUBROS[#All],2,0)</f>
        <v xml:space="preserve">Apoyo económico a las organizaciones deportivas que representan en competencias al departamento de Antioquia - Servicios prestados a las empresas y servicios de producción </v>
      </c>
      <c r="Q312" s="199" t="str">
        <f t="shared" si="51"/>
        <v>02</v>
      </c>
      <c r="R312" s="199" t="str">
        <f t="shared" si="52"/>
        <v>0-205128</v>
      </c>
      <c r="S312" s="207">
        <v>10</v>
      </c>
      <c r="T312" s="208" t="s">
        <v>46</v>
      </c>
      <c r="U312" s="209" t="e">
        <f ca="1">_xlfn.XLOOKUP(PAA[[#This Row],[ITEM]],Contrato!A:A,Contrato!Q:Q,"",0)</f>
        <v>#NAME?</v>
      </c>
      <c r="V312" s="199" t="s">
        <v>47</v>
      </c>
      <c r="W312" s="199" t="s">
        <v>48</v>
      </c>
      <c r="X312" s="199" t="s">
        <v>48</v>
      </c>
      <c r="Y312" s="210" t="e">
        <f ca="1">_xlfn.XLOOKUP(PAA[[#This Row],[ITEM]],Contrato!A:A,Contrato!B:B,"",0)</f>
        <v>#NAME?</v>
      </c>
      <c r="Z312" s="199" t="e">
        <f ca="1">_xlfn.XLOOKUP(PAA[[#This Row],[ITEM]],Contrato!A:A,Contrato!G:G,"",0)</f>
        <v>#NAME?</v>
      </c>
      <c r="AA312" s="199" t="e">
        <f ca="1">_xlfn.XLOOKUP(PAA[[#This Row],[ITEM]],Contrato!A:A,Contrato!T:T,"",0)</f>
        <v>#NAME?</v>
      </c>
      <c r="AB312" s="210" t="e">
        <f ca="1">+MAX(PAA[[#This Row],[Comprometido Contrato]],)</f>
        <v>#NAME?</v>
      </c>
      <c r="AC312" s="210" t="str">
        <f t="shared" ca="1" si="49"/>
        <v/>
      </c>
      <c r="AD312" s="210" t="e">
        <f ca="1">+MAX(PAA[[#This Row],[Pago por Contrato]],)</f>
        <v>#NAME?</v>
      </c>
      <c r="AE312" s="210" t="str">
        <f t="shared" ca="1" si="53"/>
        <v/>
      </c>
      <c r="AF312" s="199" t="e">
        <f t="shared" ca="1" si="54"/>
        <v>#NAME?</v>
      </c>
      <c r="AG312" s="199">
        <f t="shared" si="55"/>
        <v>52010801</v>
      </c>
      <c r="AH312" s="199" t="e" cm="1">
        <f t="array" aca="1" ref="AH312" ca="1">_xlfn.XLOOKUP(PAA[[#This Row],[RCP-RUBRO]],COMPROMISOS_2025[[#All],[concatenado]],COMPROMISOS_2025[[#All],[Total pagado]],"",0)</f>
        <v>#NAME?</v>
      </c>
      <c r="AI312" s="199" t="e" cm="1">
        <f t="array" aca="1" ref="AI312" ca="1">_xlfn.XLOOKUP(PAA[[#This Row],[RCP-RUBRO]],COMPROMISOS_2025[[#All],[concatenado]],COMPROMISOS_2025[[#All],[Total Comprometido]],"",0)</f>
        <v>#NAME?</v>
      </c>
    </row>
    <row r="313" spans="1:35" s="50" customFormat="1" ht="42" hidden="1" customHeight="1" x14ac:dyDescent="0.25">
      <c r="A313" s="199">
        <v>219</v>
      </c>
      <c r="B313" s="200">
        <v>80111600</v>
      </c>
      <c r="C313" s="199" t="str">
        <f>VLOOKUP(PAA[[#This Row],[PROYECTO (formulado)2]],PROYECTOS!$G$1:$L$32,6,0)</f>
        <v>SUBGERENCIA DE ALTOS LOGROS Y DEPORTE ASOCIADO</v>
      </c>
      <c r="D313" s="199" t="str">
        <f>+IF(PAA[[#This Row],[UNIDAD DE CONTRATACION (formulado)]]="Subgerencia Administrativa y Financiera","FUNCIONAMIENTO","INVERSIÓN")</f>
        <v>INVERSIÓN</v>
      </c>
      <c r="E313" s="201" t="str">
        <f>VLOOKUP(Q313,PROYECTOS!$G$1:$K$32,5,0)</f>
        <v>Fortalecimiento del desarrollo deportivo con miras al alto rendimiento competitivo de los atletas del departamento de Antioquia</v>
      </c>
      <c r="F313" s="201">
        <f>VLOOKUP(E313,PROYECTOS!$K$1:$M$32,3,0)</f>
        <v>2024003050087</v>
      </c>
      <c r="G313" s="202" t="s">
        <v>396</v>
      </c>
      <c r="H313" s="202" t="str">
        <f>VLOOKUP(Q313,PROYECTOS!$V$1:$W$32,2,0)</f>
        <v>050078</v>
      </c>
      <c r="I313" s="294">
        <v>12285607</v>
      </c>
      <c r="J313" s="214" t="s">
        <v>409</v>
      </c>
      <c r="K313" s="199" t="str">
        <f t="shared" ca="1" si="50"/>
        <v>CONTRATADO</v>
      </c>
      <c r="L313" s="199" t="s">
        <v>112</v>
      </c>
      <c r="M313" s="204" t="s">
        <v>113</v>
      </c>
      <c r="N313" s="205" t="s">
        <v>398</v>
      </c>
      <c r="O313" s="204">
        <f>VLOOKUP(N313,RUBROS[#All],3,0)</f>
        <v>66</v>
      </c>
      <c r="P313" s="206" t="str">
        <f>VLOOKUP(N313,RUBROS[#All],2,0)</f>
        <v xml:space="preserve">Fortalecimiento del desarrollo deportivo con miras al alto rendimiento competitivo de los atletas del departamento de Antioquia - Servicios prestados a las empresas y servicios de producción </v>
      </c>
      <c r="Q313" s="199" t="str">
        <f t="shared" si="51"/>
        <v>87</v>
      </c>
      <c r="R313" s="199" t="str">
        <f t="shared" si="52"/>
        <v>0-101024</v>
      </c>
      <c r="S313" s="207">
        <v>154</v>
      </c>
      <c r="T313" s="208" t="s">
        <v>220</v>
      </c>
      <c r="U313" s="209" t="e">
        <f ca="1">_xlfn.XLOOKUP(PAA[[#This Row],[ITEM]],Contrato!A:A,Contrato!Q:Q,"",0)</f>
        <v>#NAME?</v>
      </c>
      <c r="V313" s="199" t="s">
        <v>47</v>
      </c>
      <c r="W313" s="199" t="s">
        <v>48</v>
      </c>
      <c r="X313" s="199" t="s">
        <v>48</v>
      </c>
      <c r="Y313" s="210" t="e">
        <f ca="1">_xlfn.XLOOKUP(PAA[[#This Row],[ITEM]],Contrato!A:A,Contrato!B:B,"",0)</f>
        <v>#NAME?</v>
      </c>
      <c r="Z313" s="199" t="e">
        <f ca="1">_xlfn.XLOOKUP(PAA[[#This Row],[ITEM]],Contrato!A:A,Contrato!G:G,"",0)</f>
        <v>#NAME?</v>
      </c>
      <c r="AA313" s="199" t="e">
        <f ca="1">_xlfn.XLOOKUP(PAA[[#This Row],[ITEM]],Contrato!A:A,Contrato!T:T,"",0)</f>
        <v>#NAME?</v>
      </c>
      <c r="AB313" s="210" t="e">
        <f ca="1">+MAX(PAA[[#This Row],[Comprometido Contrato]],)</f>
        <v>#NAME?</v>
      </c>
      <c r="AC313" s="210" t="str">
        <f t="shared" ca="1" si="49"/>
        <v/>
      </c>
      <c r="AD313" s="210" t="e">
        <f ca="1">+MAX(PAA[[#This Row],[Pago por Contrato]],)</f>
        <v>#NAME?</v>
      </c>
      <c r="AE313" s="210" t="str">
        <f t="shared" ca="1" si="53"/>
        <v/>
      </c>
      <c r="AF313" s="199" t="e">
        <f t="shared" ca="1" si="54"/>
        <v>#NAME?</v>
      </c>
      <c r="AG313" s="199">
        <f t="shared" si="55"/>
        <v>52010805</v>
      </c>
      <c r="AH313" s="199" t="e" cm="1">
        <f t="array" aca="1" ref="AH313" ca="1">_xlfn.XLOOKUP(PAA[[#This Row],[RCP-RUBRO]],COMPROMISOS_2025[[#All],[concatenado]],COMPROMISOS_2025[[#All],[Total pagado]],"",0)</f>
        <v>#NAME?</v>
      </c>
      <c r="AI313" s="199" t="e" cm="1">
        <f t="array" aca="1" ref="AI313" ca="1">_xlfn.XLOOKUP(PAA[[#This Row],[RCP-RUBRO]],COMPROMISOS_2025[[#All],[concatenado]],COMPROMISOS_2025[[#All],[Total Comprometido]],"",0)</f>
        <v>#NAME?</v>
      </c>
    </row>
    <row r="314" spans="1:35" s="50" customFormat="1" ht="42" hidden="1" customHeight="1" x14ac:dyDescent="0.25">
      <c r="A314" s="199">
        <v>219</v>
      </c>
      <c r="B314" s="200">
        <v>80111600</v>
      </c>
      <c r="C314" s="199" t="str">
        <f>VLOOKUP(PAA[[#This Row],[PROYECTO (formulado)2]],PROYECTOS!$G$1:$L$32,6,0)</f>
        <v>SUBGERENCIA DE ALTOS LOGROS Y DEPORTE ASOCIADO</v>
      </c>
      <c r="D314" s="199" t="str">
        <f>+IF(PAA[[#This Row],[UNIDAD DE CONTRATACION (formulado)]]="Subgerencia Administrativa y Financiera","FUNCIONAMIENTO","INVERSIÓN")</f>
        <v>INVERSIÓN</v>
      </c>
      <c r="E314" s="201" t="str">
        <f>VLOOKUP(Q314,PROYECTOS!$G$1:$K$32,5,0)</f>
        <v>Apoyo económico a las organizaciones deportivas que representan en competencias al departamento de Antioquia</v>
      </c>
      <c r="F314" s="201">
        <f>VLOOKUP(E314,PROYECTOS!$K$1:$M$32,3,0)</f>
        <v>2024003050102</v>
      </c>
      <c r="G314" s="202" t="s">
        <v>399</v>
      </c>
      <c r="H314" s="202" t="str">
        <f>VLOOKUP(Q314,PROYECTOS!$V$1:$W$32,2,0)</f>
        <v>050076</v>
      </c>
      <c r="I314" s="294">
        <v>12285606</v>
      </c>
      <c r="J314" s="214" t="s">
        <v>409</v>
      </c>
      <c r="K314" s="199" t="str">
        <f t="shared" ca="1" si="50"/>
        <v>CONTRATADO</v>
      </c>
      <c r="L314" s="199" t="s">
        <v>112</v>
      </c>
      <c r="M314" s="204" t="s">
        <v>113</v>
      </c>
      <c r="N314" s="205" t="s">
        <v>400</v>
      </c>
      <c r="O314" s="204">
        <f>VLOOKUP(N314,RUBROS[#All],3,0)</f>
        <v>56</v>
      </c>
      <c r="P314" s="206" t="str">
        <f>VLOOKUP(N314,RUBROS[#All],2,0)</f>
        <v xml:space="preserve">Apoyo económico a las organizaciones deportivas que representan en competencias al departamento de Antioquia - Servicios prestados a las empresas y servicios de producción </v>
      </c>
      <c r="Q314" s="199" t="str">
        <f t="shared" si="51"/>
        <v>02</v>
      </c>
      <c r="R314" s="199" t="str">
        <f t="shared" si="52"/>
        <v>0-205128</v>
      </c>
      <c r="S314" s="207">
        <v>154</v>
      </c>
      <c r="T314" s="208" t="s">
        <v>220</v>
      </c>
      <c r="U314" s="209" t="e">
        <f ca="1">_xlfn.XLOOKUP(PAA[[#This Row],[ITEM]],Contrato!A:A,Contrato!Q:Q,"",0)</f>
        <v>#NAME?</v>
      </c>
      <c r="V314" s="199" t="s">
        <v>47</v>
      </c>
      <c r="W314" s="199" t="s">
        <v>48</v>
      </c>
      <c r="X314" s="199" t="s">
        <v>48</v>
      </c>
      <c r="Y314" s="210" t="e">
        <f ca="1">_xlfn.XLOOKUP(PAA[[#This Row],[ITEM]],Contrato!A:A,Contrato!B:B,"",0)</f>
        <v>#NAME?</v>
      </c>
      <c r="Z314" s="199" t="e">
        <f ca="1">_xlfn.XLOOKUP(PAA[[#This Row],[ITEM]],Contrato!A:A,Contrato!G:G,"",0)</f>
        <v>#NAME?</v>
      </c>
      <c r="AA314" s="199" t="e">
        <f ca="1">_xlfn.XLOOKUP(PAA[[#This Row],[ITEM]],Contrato!A:A,Contrato!T:T,"",0)</f>
        <v>#NAME?</v>
      </c>
      <c r="AB314" s="210" t="e">
        <f ca="1">+MAX(PAA[[#This Row],[Comprometido Contrato]],)</f>
        <v>#NAME?</v>
      </c>
      <c r="AC314" s="210" t="str">
        <f t="shared" ca="1" si="49"/>
        <v/>
      </c>
      <c r="AD314" s="210" t="e">
        <f ca="1">+MAX(PAA[[#This Row],[Pago por Contrato]],)</f>
        <v>#NAME?</v>
      </c>
      <c r="AE314" s="210" t="str">
        <f t="shared" ca="1" si="53"/>
        <v/>
      </c>
      <c r="AF314" s="199" t="e">
        <f t="shared" ca="1" si="54"/>
        <v>#NAME?</v>
      </c>
      <c r="AG314" s="199">
        <f t="shared" si="55"/>
        <v>52010801</v>
      </c>
      <c r="AH314" s="199" t="e" cm="1">
        <f t="array" aca="1" ref="AH314" ca="1">_xlfn.XLOOKUP(PAA[[#This Row],[RCP-RUBRO]],COMPROMISOS_2025[[#All],[concatenado]],COMPROMISOS_2025[[#All],[Total pagado]],"",0)</f>
        <v>#NAME?</v>
      </c>
      <c r="AI314" s="199" t="e" cm="1">
        <f t="array" aca="1" ref="AI314" ca="1">_xlfn.XLOOKUP(PAA[[#This Row],[RCP-RUBRO]],COMPROMISOS_2025[[#All],[concatenado]],COMPROMISOS_2025[[#All],[Total Comprometido]],"",0)</f>
        <v>#NAME?</v>
      </c>
    </row>
    <row r="315" spans="1:35" s="50" customFormat="1" ht="42" hidden="1" customHeight="1" x14ac:dyDescent="0.25">
      <c r="A315" s="265">
        <v>220</v>
      </c>
      <c r="B315" s="255">
        <v>80111600</v>
      </c>
      <c r="C315" s="265" t="str">
        <f>VLOOKUP(PAA[[#This Row],[PROYECTO (formulado)2]],PROYECTOS!$G$1:$L$32,6,0)</f>
        <v>SUBGERENCIA DE ALTOS LOGROS Y DEPORTE ASOCIADO</v>
      </c>
      <c r="D315" s="265" t="str">
        <f>+IF(PAA[[#This Row],[UNIDAD DE CONTRATACION (formulado)]]="Subgerencia Administrativa y Financiera","FUNCIONAMIENTO","INVERSIÓN")</f>
        <v>INVERSIÓN</v>
      </c>
      <c r="E315" s="274" t="str">
        <f>VLOOKUP(Q315,PROYECTOS!$G$1:$K$32,5,0)</f>
        <v>Fortalecimiento del desarrollo deportivo con miras al alto rendimiento competitivo de los atletas del departamento de Antioquia</v>
      </c>
      <c r="F315" s="274">
        <f>VLOOKUP(E315,PROYECTOS!$K$1:$M$32,3,0)</f>
        <v>2024003050087</v>
      </c>
      <c r="G315" s="266" t="s">
        <v>396</v>
      </c>
      <c r="H315" s="266" t="str">
        <f>VLOOKUP(Q315,PROYECTOS!$V$1:$W$32,2,0)</f>
        <v>050078</v>
      </c>
      <c r="I315" s="269">
        <v>37609000</v>
      </c>
      <c r="J315" s="275" t="s">
        <v>410</v>
      </c>
      <c r="K315" s="265" t="str">
        <f t="shared" ca="1" si="50"/>
        <v>CONTRATADO</v>
      </c>
      <c r="L315" s="265" t="s">
        <v>112</v>
      </c>
      <c r="M315" s="275" t="s">
        <v>113</v>
      </c>
      <c r="N315" s="276" t="s">
        <v>406</v>
      </c>
      <c r="O315" s="275">
        <f>VLOOKUP(N315,RUBROS[#All],3,0)</f>
        <v>68</v>
      </c>
      <c r="P315" s="277" t="str">
        <f>VLOOKUP(N315,RUBROS[#All],2,0)</f>
        <v xml:space="preserve">Fortalecimiento del desarrollo deportivo con miras al alto rendimiento competitivo de los atletas del departamento de Antioquia - Servicios prestados a las empresas y servicios de producción </v>
      </c>
      <c r="Q315" s="265" t="str">
        <f t="shared" si="51"/>
        <v>87</v>
      </c>
      <c r="R315" s="265" t="str">
        <f t="shared" si="52"/>
        <v>0-205128</v>
      </c>
      <c r="S315" s="254">
        <v>10</v>
      </c>
      <c r="T315" s="278" t="s">
        <v>46</v>
      </c>
      <c r="U315" s="272" t="e">
        <f ca="1">_xlfn.XLOOKUP(PAA[[#This Row],[ITEM]],Contrato!A:A,Contrato!Q:Q,"",0)</f>
        <v>#NAME?</v>
      </c>
      <c r="V315" s="265" t="s">
        <v>47</v>
      </c>
      <c r="W315" s="265" t="s">
        <v>154</v>
      </c>
      <c r="X315" s="265" t="s">
        <v>154</v>
      </c>
      <c r="Y315" s="273" t="e">
        <f ca="1">_xlfn.XLOOKUP(PAA[[#This Row],[ITEM]],Contrato!A:A,Contrato!B:B,"",0)</f>
        <v>#NAME?</v>
      </c>
      <c r="Z315" s="265" t="e">
        <f ca="1">_xlfn.XLOOKUP(PAA[[#This Row],[ITEM]],Contrato!A:A,Contrato!G:G,"",0)</f>
        <v>#NAME?</v>
      </c>
      <c r="AA315" s="265" t="e">
        <f ca="1">_xlfn.XLOOKUP(PAA[[#This Row],[ITEM]],Contrato!A:A,Contrato!T:T,"",0)</f>
        <v>#NAME?</v>
      </c>
      <c r="AB315" s="273" t="e">
        <f ca="1">+MAX(PAA[[#This Row],[Comprometido Contrato]],)</f>
        <v>#NAME?</v>
      </c>
      <c r="AC315" s="273" t="str">
        <f t="shared" ca="1" si="49"/>
        <v/>
      </c>
      <c r="AD315" s="273" t="e">
        <f ca="1">+MAX(PAA[[#This Row],[Pago por Contrato]],)</f>
        <v>#NAME?</v>
      </c>
      <c r="AE315" s="273" t="str">
        <f t="shared" ca="1" si="53"/>
        <v/>
      </c>
      <c r="AF315" s="265" t="e">
        <f t="shared" ca="1" si="54"/>
        <v>#NAME?</v>
      </c>
      <c r="AG315" s="265">
        <f t="shared" si="55"/>
        <v>52010805</v>
      </c>
      <c r="AH315" s="265" t="e" cm="1">
        <f t="array" aca="1" ref="AH315" ca="1">_xlfn.XLOOKUP(PAA[[#This Row],[RCP-RUBRO]],COMPROMISOS_2025[[#All],[concatenado]],COMPROMISOS_2025[[#All],[Total pagado]],"",0)</f>
        <v>#NAME?</v>
      </c>
      <c r="AI315" s="265" t="e" cm="1">
        <f t="array" aca="1" ref="AI315" ca="1">_xlfn.XLOOKUP(PAA[[#This Row],[RCP-RUBRO]],COMPROMISOS_2025[[#All],[concatenado]],COMPROMISOS_2025[[#All],[Total Comprometido]],"",0)</f>
        <v>#NAME?</v>
      </c>
    </row>
    <row r="316" spans="1:35" s="50" customFormat="1" ht="42" hidden="1" customHeight="1" x14ac:dyDescent="0.25">
      <c r="A316" s="265">
        <v>220</v>
      </c>
      <c r="B316" s="255">
        <v>80111600</v>
      </c>
      <c r="C316" s="265" t="str">
        <f>VLOOKUP(PAA[[#This Row],[PROYECTO (formulado)2]],PROYECTOS!$G$1:$L$32,6,0)</f>
        <v>SUBGERENCIA DE ALTOS LOGROS Y DEPORTE ASOCIADO</v>
      </c>
      <c r="D316" s="265" t="str">
        <f>+IF(PAA[[#This Row],[UNIDAD DE CONTRATACION (formulado)]]="Subgerencia Administrativa y Financiera","FUNCIONAMIENTO","INVERSIÓN")</f>
        <v>INVERSIÓN</v>
      </c>
      <c r="E316" s="274" t="str">
        <f>VLOOKUP(Q316,PROYECTOS!$G$1:$K$32,5,0)</f>
        <v>Apoyo económico a las organizaciones deportivas que representan en competencias al departamento de Antioquia</v>
      </c>
      <c r="F316" s="274">
        <f>VLOOKUP(E316,PROYECTOS!$K$1:$M$32,3,0)</f>
        <v>2024003050102</v>
      </c>
      <c r="G316" s="266" t="s">
        <v>399</v>
      </c>
      <c r="H316" s="266" t="str">
        <f>VLOOKUP(Q316,PROYECTOS!$V$1:$W$32,2,0)</f>
        <v>050076</v>
      </c>
      <c r="I316" s="269">
        <v>37609000</v>
      </c>
      <c r="J316" s="275" t="s">
        <v>410</v>
      </c>
      <c r="K316" s="265" t="str">
        <f t="shared" ca="1" si="50"/>
        <v>CONTRATADO</v>
      </c>
      <c r="L316" s="265" t="s">
        <v>112</v>
      </c>
      <c r="M316" s="275" t="s">
        <v>113</v>
      </c>
      <c r="N316" s="276" t="s">
        <v>400</v>
      </c>
      <c r="O316" s="275">
        <f>VLOOKUP(N316,RUBROS[#All],3,0)</f>
        <v>56</v>
      </c>
      <c r="P316" s="277" t="str">
        <f>VLOOKUP(N316,RUBROS[#All],2,0)</f>
        <v xml:space="preserve">Apoyo económico a las organizaciones deportivas que representan en competencias al departamento de Antioquia - Servicios prestados a las empresas y servicios de producción </v>
      </c>
      <c r="Q316" s="265" t="str">
        <f t="shared" si="51"/>
        <v>02</v>
      </c>
      <c r="R316" s="265" t="str">
        <f t="shared" si="52"/>
        <v>0-205128</v>
      </c>
      <c r="S316" s="254">
        <v>10</v>
      </c>
      <c r="T316" s="278" t="s">
        <v>46</v>
      </c>
      <c r="U316" s="272" t="e">
        <f ca="1">_xlfn.XLOOKUP(PAA[[#This Row],[ITEM]],Contrato!A:A,Contrato!Q:Q,"",0)</f>
        <v>#NAME?</v>
      </c>
      <c r="V316" s="265" t="s">
        <v>47</v>
      </c>
      <c r="W316" s="265" t="s">
        <v>154</v>
      </c>
      <c r="X316" s="265" t="s">
        <v>154</v>
      </c>
      <c r="Y316" s="273" t="e">
        <f ca="1">_xlfn.XLOOKUP(PAA[[#This Row],[ITEM]],Contrato!A:A,Contrato!B:B,"",0)</f>
        <v>#NAME?</v>
      </c>
      <c r="Z316" s="265" t="e">
        <f ca="1">_xlfn.XLOOKUP(PAA[[#This Row],[ITEM]],Contrato!A:A,Contrato!G:G,"",0)</f>
        <v>#NAME?</v>
      </c>
      <c r="AA316" s="265" t="e">
        <f ca="1">_xlfn.XLOOKUP(PAA[[#This Row],[ITEM]],Contrato!A:A,Contrato!T:T,"",0)</f>
        <v>#NAME?</v>
      </c>
      <c r="AB316" s="273" t="e">
        <f ca="1">+MAX(PAA[[#This Row],[Comprometido Contrato]],)</f>
        <v>#NAME?</v>
      </c>
      <c r="AC316" s="273" t="str">
        <f t="shared" ca="1" si="49"/>
        <v/>
      </c>
      <c r="AD316" s="273" t="e">
        <f ca="1">+MAX(PAA[[#This Row],[Pago por Contrato]],)</f>
        <v>#NAME?</v>
      </c>
      <c r="AE316" s="273" t="str">
        <f t="shared" ca="1" si="53"/>
        <v/>
      </c>
      <c r="AF316" s="265" t="e">
        <f t="shared" ca="1" si="54"/>
        <v>#NAME?</v>
      </c>
      <c r="AG316" s="265">
        <f t="shared" si="55"/>
        <v>52010801</v>
      </c>
      <c r="AH316" s="265" t="e" cm="1">
        <f t="array" aca="1" ref="AH316" ca="1">_xlfn.XLOOKUP(PAA[[#This Row],[RCP-RUBRO]],COMPROMISOS_2025[[#All],[concatenado]],COMPROMISOS_2025[[#All],[Total pagado]],"",0)</f>
        <v>#NAME?</v>
      </c>
      <c r="AI316" s="265" t="e" cm="1">
        <f t="array" aca="1" ref="AI316" ca="1">_xlfn.XLOOKUP(PAA[[#This Row],[RCP-RUBRO]],COMPROMISOS_2025[[#All],[concatenado]],COMPROMISOS_2025[[#All],[Total Comprometido]],"",0)</f>
        <v>#NAME?</v>
      </c>
    </row>
    <row r="317" spans="1:35" s="50" customFormat="1" ht="42" hidden="1" customHeight="1" x14ac:dyDescent="0.25">
      <c r="A317" s="57">
        <v>221</v>
      </c>
      <c r="B317" s="186">
        <v>80111600</v>
      </c>
      <c r="C317" s="57" t="str">
        <f>VLOOKUP(PAA[[#This Row],[PROYECTO (formulado)2]],PROYECTOS!$G$1:$L$32,6,0)</f>
        <v>SUBGERENCIA DE ALTOS LOGROS Y DEPORTE ASOCIADO</v>
      </c>
      <c r="D317" s="57" t="str">
        <f>+IF(PAA[[#This Row],[UNIDAD DE CONTRATACION (formulado)]]="Subgerencia Administrativa y Financiera","FUNCIONAMIENTO","INVERSIÓN")</f>
        <v>INVERSIÓN</v>
      </c>
      <c r="E317" s="153" t="str">
        <f>VLOOKUP(Q317,PROYECTOS!$G$1:$K$32,5,0)</f>
        <v>Fortalecimiento del desarrollo deportivo con miras al alto rendimiento competitivo de los atletas del departamento de Antioquia</v>
      </c>
      <c r="F317" s="153">
        <f>VLOOKUP(E317,PROYECTOS!$K$1:$M$32,3,0)</f>
        <v>2024003050087</v>
      </c>
      <c r="G317" s="154" t="s">
        <v>396</v>
      </c>
      <c r="H317" s="154" t="str">
        <f>VLOOKUP(Q317,PROYECTOS!$V$1:$W$32,2,0)</f>
        <v>050078</v>
      </c>
      <c r="I317" s="143">
        <v>26863200</v>
      </c>
      <c r="J317" s="155" t="s">
        <v>411</v>
      </c>
      <c r="K317" s="57" t="str">
        <f t="shared" ca="1" si="50"/>
        <v>CONTRATADO</v>
      </c>
      <c r="L317" s="57" t="s">
        <v>112</v>
      </c>
      <c r="M317" s="155" t="s">
        <v>113</v>
      </c>
      <c r="N317" s="142" t="s">
        <v>398</v>
      </c>
      <c r="O317" s="155">
        <f>VLOOKUP(N317,RUBROS[#All],3,0)</f>
        <v>66</v>
      </c>
      <c r="P317" s="156" t="str">
        <f>VLOOKUP(N317,RUBROS[#All],2,0)</f>
        <v xml:space="preserve">Fortalecimiento del desarrollo deportivo con miras al alto rendimiento competitivo de los atletas del departamento de Antioquia - Servicios prestados a las empresas y servicios de producción </v>
      </c>
      <c r="Q317" s="57" t="str">
        <f t="shared" si="51"/>
        <v>87</v>
      </c>
      <c r="R317" s="57" t="str">
        <f t="shared" si="52"/>
        <v>0-101024</v>
      </c>
      <c r="S317" s="152">
        <v>11.5</v>
      </c>
      <c r="T317" s="157" t="s">
        <v>46</v>
      </c>
      <c r="U317" s="162" t="e">
        <f ca="1">_xlfn.XLOOKUP(PAA[[#This Row],[ITEM]],Contrato!A:A,Contrato!Q:Q,"",0)</f>
        <v>#NAME?</v>
      </c>
      <c r="V317" s="57" t="s">
        <v>47</v>
      </c>
      <c r="W317" s="57" t="s">
        <v>48</v>
      </c>
      <c r="X317" s="57" t="s">
        <v>48</v>
      </c>
      <c r="Y317" s="58" t="e">
        <f ca="1">_xlfn.XLOOKUP(PAA[[#This Row],[ITEM]],Contrato!A:A,Contrato!B:B,"",0)</f>
        <v>#NAME?</v>
      </c>
      <c r="Z317" s="57" t="e">
        <f ca="1">_xlfn.XLOOKUP(PAA[[#This Row],[ITEM]],Contrato!A:A,Contrato!G:G,"",0)</f>
        <v>#NAME?</v>
      </c>
      <c r="AA317" s="57" t="e">
        <f ca="1">_xlfn.XLOOKUP(PAA[[#This Row],[ITEM]],Contrato!A:A,Contrato!T:T,"",0)</f>
        <v>#NAME?</v>
      </c>
      <c r="AB317" s="58" t="e">
        <f ca="1">+MAX(PAA[[#This Row],[Comprometido Contrato]],)</f>
        <v>#NAME?</v>
      </c>
      <c r="AC317" s="58" t="str">
        <f t="shared" ca="1" si="49"/>
        <v/>
      </c>
      <c r="AD317" s="58" t="e">
        <f ca="1">+MAX(PAA[[#This Row],[Pago por Contrato]],)</f>
        <v>#NAME?</v>
      </c>
      <c r="AE317" s="58" t="str">
        <f t="shared" ca="1" si="53"/>
        <v/>
      </c>
      <c r="AF317" s="57" t="e">
        <f t="shared" ca="1" si="54"/>
        <v>#NAME?</v>
      </c>
      <c r="AG317" s="57">
        <f t="shared" si="55"/>
        <v>52010805</v>
      </c>
      <c r="AH317" s="57" t="e" cm="1">
        <f t="array" aca="1" ref="AH317" ca="1">_xlfn.XLOOKUP(PAA[[#This Row],[RCP-RUBRO]],COMPROMISOS_2025[[#All],[concatenado]],COMPROMISOS_2025[[#All],[Total pagado]],"",0)</f>
        <v>#NAME?</v>
      </c>
      <c r="AI317" s="57" t="e" cm="1">
        <f t="array" aca="1" ref="AI317" ca="1">_xlfn.XLOOKUP(PAA[[#This Row],[RCP-RUBRO]],COMPROMISOS_2025[[#All],[concatenado]],COMPROMISOS_2025[[#All],[Total Comprometido]],"",0)</f>
        <v>#NAME?</v>
      </c>
    </row>
    <row r="318" spans="1:35" s="50" customFormat="1" ht="42" hidden="1" customHeight="1" x14ac:dyDescent="0.25">
      <c r="A318" s="57">
        <v>221</v>
      </c>
      <c r="B318" s="186">
        <v>80111600</v>
      </c>
      <c r="C318" s="57" t="str">
        <f>VLOOKUP(PAA[[#This Row],[PROYECTO (formulado)2]],PROYECTOS!$G$1:$L$32,6,0)</f>
        <v>SUBGERENCIA DE ALTOS LOGROS Y DEPORTE ASOCIADO</v>
      </c>
      <c r="D318" s="57" t="str">
        <f>+IF(PAA[[#This Row],[UNIDAD DE CONTRATACION (formulado)]]="Subgerencia Administrativa y Financiera","FUNCIONAMIENTO","INVERSIÓN")</f>
        <v>INVERSIÓN</v>
      </c>
      <c r="E318" s="153" t="str">
        <f>VLOOKUP(Q318,PROYECTOS!$G$1:$K$32,5,0)</f>
        <v>Apoyo económico a las organizaciones deportivas que representan en competencias al departamento de Antioquia</v>
      </c>
      <c r="F318" s="153">
        <f>VLOOKUP(E318,PROYECTOS!$K$1:$M$32,3,0)</f>
        <v>2024003050102</v>
      </c>
      <c r="G318" s="154" t="s">
        <v>399</v>
      </c>
      <c r="H318" s="154" t="str">
        <f>VLOOKUP(Q318,PROYECTOS!$V$1:$W$32,2,0)</f>
        <v>050076</v>
      </c>
      <c r="I318" s="143">
        <v>26863200</v>
      </c>
      <c r="J318" s="155" t="s">
        <v>411</v>
      </c>
      <c r="K318" s="57" t="str">
        <f t="shared" ca="1" si="50"/>
        <v>CONTRATADO</v>
      </c>
      <c r="L318" s="57" t="s">
        <v>112</v>
      </c>
      <c r="M318" s="155" t="s">
        <v>113</v>
      </c>
      <c r="N318" s="142" t="s">
        <v>400</v>
      </c>
      <c r="O318" s="155">
        <f>VLOOKUP(N318,RUBROS[#All],3,0)</f>
        <v>56</v>
      </c>
      <c r="P318" s="156" t="str">
        <f>VLOOKUP(N318,RUBROS[#All],2,0)</f>
        <v xml:space="preserve">Apoyo económico a las organizaciones deportivas que representan en competencias al departamento de Antioquia - Servicios prestados a las empresas y servicios de producción </v>
      </c>
      <c r="Q318" s="57" t="str">
        <f t="shared" si="51"/>
        <v>02</v>
      </c>
      <c r="R318" s="57" t="str">
        <f t="shared" si="52"/>
        <v>0-205128</v>
      </c>
      <c r="S318" s="152">
        <v>11.5</v>
      </c>
      <c r="T318" s="157" t="s">
        <v>46</v>
      </c>
      <c r="U318" s="162" t="e">
        <f ca="1">_xlfn.XLOOKUP(PAA[[#This Row],[ITEM]],Contrato!A:A,Contrato!Q:Q,"",0)</f>
        <v>#NAME?</v>
      </c>
      <c r="V318" s="57" t="s">
        <v>47</v>
      </c>
      <c r="W318" s="57" t="s">
        <v>48</v>
      </c>
      <c r="X318" s="57" t="s">
        <v>48</v>
      </c>
      <c r="Y318" s="58" t="e">
        <f ca="1">_xlfn.XLOOKUP(PAA[[#This Row],[ITEM]],Contrato!A:A,Contrato!B:B,"",0)</f>
        <v>#NAME?</v>
      </c>
      <c r="Z318" s="57" t="e">
        <f ca="1">_xlfn.XLOOKUP(PAA[[#This Row],[ITEM]],Contrato!A:A,Contrato!G:G,"",0)</f>
        <v>#NAME?</v>
      </c>
      <c r="AA318" s="57" t="e">
        <f ca="1">_xlfn.XLOOKUP(PAA[[#This Row],[ITEM]],Contrato!A:A,Contrato!T:T,"",0)</f>
        <v>#NAME?</v>
      </c>
      <c r="AB318" s="58" t="e">
        <f ca="1">+MAX(PAA[[#This Row],[Comprometido Contrato]],)</f>
        <v>#NAME?</v>
      </c>
      <c r="AC318" s="58" t="str">
        <f t="shared" ca="1" si="49"/>
        <v/>
      </c>
      <c r="AD318" s="58" t="e">
        <f ca="1">+MAX(PAA[[#This Row],[Pago por Contrato]],)</f>
        <v>#NAME?</v>
      </c>
      <c r="AE318" s="58" t="str">
        <f t="shared" ca="1" si="53"/>
        <v/>
      </c>
      <c r="AF318" s="57" t="e">
        <f t="shared" ca="1" si="54"/>
        <v>#NAME?</v>
      </c>
      <c r="AG318" s="57">
        <f t="shared" si="55"/>
        <v>52010801</v>
      </c>
      <c r="AH318" s="57" t="e" cm="1">
        <f t="array" aca="1" ref="AH318" ca="1">_xlfn.XLOOKUP(PAA[[#This Row],[RCP-RUBRO]],COMPROMISOS_2025[[#All],[concatenado]],COMPROMISOS_2025[[#All],[Total pagado]],"",0)</f>
        <v>#NAME?</v>
      </c>
      <c r="AI318" s="57" t="e" cm="1">
        <f t="array" aca="1" ref="AI318" ca="1">_xlfn.XLOOKUP(PAA[[#This Row],[RCP-RUBRO]],COMPROMISOS_2025[[#All],[concatenado]],COMPROMISOS_2025[[#All],[Total Comprometido]],"",0)</f>
        <v>#NAME?</v>
      </c>
    </row>
    <row r="319" spans="1:35" s="50" customFormat="1" ht="42" hidden="1" customHeight="1" x14ac:dyDescent="0.25">
      <c r="A319" s="199">
        <v>222</v>
      </c>
      <c r="B319" s="200">
        <v>80111600</v>
      </c>
      <c r="C319" s="199" t="str">
        <f>VLOOKUP(PAA[[#This Row],[PROYECTO (formulado)2]],PROYECTOS!$G$1:$L$32,6,0)</f>
        <v>SUBGERENCIA DE ALTOS LOGROS Y DEPORTE ASOCIADO</v>
      </c>
      <c r="D319" s="199" t="str">
        <f>+IF(PAA[[#This Row],[UNIDAD DE CONTRATACION (formulado)]]="Subgerencia Administrativa y Financiera","FUNCIONAMIENTO","INVERSIÓN")</f>
        <v>INVERSIÓN</v>
      </c>
      <c r="E319" s="201" t="str">
        <f>VLOOKUP(Q319,PROYECTOS!$G$1:$K$32,5,0)</f>
        <v>Fortalecimiento del desarrollo deportivo con miras al alto rendimiento competitivo de los atletas del departamento de Antioquia</v>
      </c>
      <c r="F319" s="201">
        <f>VLOOKUP(E319,PROYECTOS!$K$1:$M$32,3,0)</f>
        <v>2024003050087</v>
      </c>
      <c r="G319" s="202" t="s">
        <v>396</v>
      </c>
      <c r="H319" s="202" t="str">
        <f>VLOOKUP(Q319,PROYECTOS!$V$1:$W$32,2,0)</f>
        <v>050078</v>
      </c>
      <c r="I319" s="203">
        <v>19305953</v>
      </c>
      <c r="J319" s="204" t="s">
        <v>412</v>
      </c>
      <c r="K319" s="199" t="str">
        <f t="shared" ca="1" si="50"/>
        <v>CONTRATADO</v>
      </c>
      <c r="L319" s="199" t="s">
        <v>112</v>
      </c>
      <c r="M319" s="204" t="s">
        <v>113</v>
      </c>
      <c r="N319" s="205" t="s">
        <v>406</v>
      </c>
      <c r="O319" s="204">
        <f>VLOOKUP(N319,RUBROS[#All],3,0)</f>
        <v>68</v>
      </c>
      <c r="P319" s="206" t="str">
        <f>VLOOKUP(N319,RUBROS[#All],2,0)</f>
        <v xml:space="preserve">Fortalecimiento del desarrollo deportivo con miras al alto rendimiento competitivo de los atletas del departamento de Antioquia - Servicios prestados a las empresas y servicios de producción </v>
      </c>
      <c r="Q319" s="199" t="str">
        <f t="shared" si="51"/>
        <v>87</v>
      </c>
      <c r="R319" s="199" t="str">
        <f t="shared" si="52"/>
        <v>0-205128</v>
      </c>
      <c r="S319" s="207">
        <v>154</v>
      </c>
      <c r="T319" s="208" t="s">
        <v>220</v>
      </c>
      <c r="U319" s="209" t="e">
        <f ca="1">_xlfn.XLOOKUP(PAA[[#This Row],[ITEM]],Contrato!A:A,Contrato!Q:Q,"",0)</f>
        <v>#NAME?</v>
      </c>
      <c r="V319" s="199" t="s">
        <v>47</v>
      </c>
      <c r="W319" s="199" t="s">
        <v>48</v>
      </c>
      <c r="X319" s="199" t="s">
        <v>48</v>
      </c>
      <c r="Y319" s="210" t="e">
        <f ca="1">_xlfn.XLOOKUP(PAA[[#This Row],[ITEM]],Contrato!A:A,Contrato!B:B,"",0)</f>
        <v>#NAME?</v>
      </c>
      <c r="Z319" s="199" t="e">
        <f ca="1">_xlfn.XLOOKUP(PAA[[#This Row],[ITEM]],Contrato!A:A,Contrato!G:G,"",0)</f>
        <v>#NAME?</v>
      </c>
      <c r="AA319" s="199" t="e">
        <f ca="1">_xlfn.XLOOKUP(PAA[[#This Row],[ITEM]],Contrato!A:A,Contrato!T:T,"",0)</f>
        <v>#NAME?</v>
      </c>
      <c r="AB319" s="210" t="e">
        <f ca="1">+MAX(PAA[[#This Row],[Comprometido Contrato]],)</f>
        <v>#NAME?</v>
      </c>
      <c r="AC319" s="210" t="str">
        <f t="shared" ca="1" si="49"/>
        <v/>
      </c>
      <c r="AD319" s="210" t="e">
        <f ca="1">+MAX(PAA[[#This Row],[Pago por Contrato]],)</f>
        <v>#NAME?</v>
      </c>
      <c r="AE319" s="210" t="str">
        <f t="shared" ca="1" si="53"/>
        <v/>
      </c>
      <c r="AF319" s="199" t="e">
        <f t="shared" ca="1" si="54"/>
        <v>#NAME?</v>
      </c>
      <c r="AG319" s="199">
        <f t="shared" si="55"/>
        <v>52010805</v>
      </c>
      <c r="AH319" s="199" t="e" cm="1">
        <f t="array" aca="1" ref="AH319" ca="1">_xlfn.XLOOKUP(PAA[[#This Row],[RCP-RUBRO]],COMPROMISOS_2025[[#All],[concatenado]],COMPROMISOS_2025[[#All],[Total pagado]],"",0)</f>
        <v>#NAME?</v>
      </c>
      <c r="AI319" s="199" t="e" cm="1">
        <f t="array" aca="1" ref="AI319" ca="1">_xlfn.XLOOKUP(PAA[[#This Row],[RCP-RUBRO]],COMPROMISOS_2025[[#All],[concatenado]],COMPROMISOS_2025[[#All],[Total Comprometido]],"",0)</f>
        <v>#NAME?</v>
      </c>
    </row>
    <row r="320" spans="1:35" s="50" customFormat="1" ht="42" hidden="1" customHeight="1" x14ac:dyDescent="0.25">
      <c r="A320" s="199">
        <v>222</v>
      </c>
      <c r="B320" s="200">
        <v>80111600</v>
      </c>
      <c r="C320" s="199" t="str">
        <f>VLOOKUP(PAA[[#This Row],[PROYECTO (formulado)2]],PROYECTOS!$G$1:$L$32,6,0)</f>
        <v>SUBGERENCIA DE ALTOS LOGROS Y DEPORTE ASOCIADO</v>
      </c>
      <c r="D320" s="199" t="str">
        <f>+IF(PAA[[#This Row],[UNIDAD DE CONTRATACION (formulado)]]="Subgerencia Administrativa y Financiera","FUNCIONAMIENTO","INVERSIÓN")</f>
        <v>INVERSIÓN</v>
      </c>
      <c r="E320" s="201" t="str">
        <f>VLOOKUP(Q320,PROYECTOS!$G$1:$K$32,5,0)</f>
        <v>Apoyo económico a las organizaciones deportivas que representan en competencias al departamento de Antioquia</v>
      </c>
      <c r="F320" s="201">
        <f>VLOOKUP(E320,PROYECTOS!$K$1:$M$32,3,0)</f>
        <v>2024003050102</v>
      </c>
      <c r="G320" s="202" t="s">
        <v>399</v>
      </c>
      <c r="H320" s="202" t="str">
        <f>VLOOKUP(Q320,PROYECTOS!$V$1:$W$32,2,0)</f>
        <v>050076</v>
      </c>
      <c r="I320" s="203">
        <v>19305954</v>
      </c>
      <c r="J320" s="204" t="s">
        <v>412</v>
      </c>
      <c r="K320" s="199" t="str">
        <f t="shared" ca="1" si="50"/>
        <v>CONTRATADO</v>
      </c>
      <c r="L320" s="199" t="s">
        <v>112</v>
      </c>
      <c r="M320" s="204" t="s">
        <v>113</v>
      </c>
      <c r="N320" s="205" t="s">
        <v>400</v>
      </c>
      <c r="O320" s="204">
        <f>VLOOKUP(N320,RUBROS[#All],3,0)</f>
        <v>56</v>
      </c>
      <c r="P320" s="206" t="str">
        <f>VLOOKUP(N320,RUBROS[#All],2,0)</f>
        <v xml:space="preserve">Apoyo económico a las organizaciones deportivas que representan en competencias al departamento de Antioquia - Servicios prestados a las empresas y servicios de producción </v>
      </c>
      <c r="Q320" s="199" t="str">
        <f t="shared" si="51"/>
        <v>02</v>
      </c>
      <c r="R320" s="199" t="str">
        <f t="shared" si="52"/>
        <v>0-205128</v>
      </c>
      <c r="S320" s="207">
        <v>154</v>
      </c>
      <c r="T320" s="208" t="s">
        <v>220</v>
      </c>
      <c r="U320" s="209" t="e">
        <f ca="1">_xlfn.XLOOKUP(PAA[[#This Row],[ITEM]],Contrato!A:A,Contrato!Q:Q,"",0)</f>
        <v>#NAME?</v>
      </c>
      <c r="V320" s="199" t="s">
        <v>47</v>
      </c>
      <c r="W320" s="199" t="s">
        <v>48</v>
      </c>
      <c r="X320" s="199" t="s">
        <v>48</v>
      </c>
      <c r="Y320" s="210" t="e">
        <f ca="1">_xlfn.XLOOKUP(PAA[[#This Row],[ITEM]],Contrato!A:A,Contrato!B:B,"",0)</f>
        <v>#NAME?</v>
      </c>
      <c r="Z320" s="199" t="e">
        <f ca="1">_xlfn.XLOOKUP(PAA[[#This Row],[ITEM]],Contrato!A:A,Contrato!G:G,"",0)</f>
        <v>#NAME?</v>
      </c>
      <c r="AA320" s="199" t="e">
        <f ca="1">_xlfn.XLOOKUP(PAA[[#This Row],[ITEM]],Contrato!A:A,Contrato!T:T,"",0)</f>
        <v>#NAME?</v>
      </c>
      <c r="AB320" s="210" t="e">
        <f ca="1">+MAX(PAA[[#This Row],[Comprometido Contrato]],)</f>
        <v>#NAME?</v>
      </c>
      <c r="AC320" s="210" t="str">
        <f t="shared" ca="1" si="49"/>
        <v/>
      </c>
      <c r="AD320" s="210" t="e">
        <f ca="1">+MAX(PAA[[#This Row],[Pago por Contrato]],)</f>
        <v>#NAME?</v>
      </c>
      <c r="AE320" s="210" t="str">
        <f t="shared" ca="1" si="53"/>
        <v/>
      </c>
      <c r="AF320" s="199" t="e">
        <f t="shared" ca="1" si="54"/>
        <v>#NAME?</v>
      </c>
      <c r="AG320" s="199">
        <f t="shared" si="55"/>
        <v>52010801</v>
      </c>
      <c r="AH320" s="199" t="e" cm="1">
        <f t="array" aca="1" ref="AH320" ca="1">_xlfn.XLOOKUP(PAA[[#This Row],[RCP-RUBRO]],COMPROMISOS_2025[[#All],[concatenado]],COMPROMISOS_2025[[#All],[Total pagado]],"",0)</f>
        <v>#NAME?</v>
      </c>
      <c r="AI320" s="199" t="e" cm="1">
        <f t="array" aca="1" ref="AI320" ca="1">_xlfn.XLOOKUP(PAA[[#This Row],[RCP-RUBRO]],COMPROMISOS_2025[[#All],[concatenado]],COMPROMISOS_2025[[#All],[Total Comprometido]],"",0)</f>
        <v>#NAME?</v>
      </c>
    </row>
    <row r="321" spans="1:35" s="50" customFormat="1" ht="42" hidden="1" customHeight="1" x14ac:dyDescent="0.25">
      <c r="A321" s="57">
        <v>223</v>
      </c>
      <c r="B321" s="186">
        <v>80111600</v>
      </c>
      <c r="C321" s="57" t="str">
        <f>VLOOKUP(PAA[[#This Row],[PROYECTO (formulado)2]],PROYECTOS!$G$1:$L$32,6,0)</f>
        <v>SUBGERENCIA DE ALTOS LOGROS Y DEPORTE ASOCIADO</v>
      </c>
      <c r="D321" s="57" t="str">
        <f>+IF(PAA[[#This Row],[UNIDAD DE CONTRATACION (formulado)]]="Subgerencia Administrativa y Financiera","FUNCIONAMIENTO","INVERSIÓN")</f>
        <v>INVERSIÓN</v>
      </c>
      <c r="E321" s="153" t="str">
        <f>VLOOKUP(Q321,PROYECTOS!$G$1:$K$32,5,0)</f>
        <v>Fortalecimiento del desarrollo deportivo con miras al alto rendimiento competitivo de los atletas del departamento de Antioquia</v>
      </c>
      <c r="F321" s="153">
        <f>VLOOKUP(E321,PROYECTOS!$K$1:$M$32,3,0)</f>
        <v>2024003050087</v>
      </c>
      <c r="G321" s="154" t="s">
        <v>396</v>
      </c>
      <c r="H321" s="154" t="str">
        <f>VLOOKUP(Q321,PROYECTOS!$V$1:$W$32,2,0)</f>
        <v>050078</v>
      </c>
      <c r="I321" s="143">
        <v>42213600</v>
      </c>
      <c r="J321" s="155" t="s">
        <v>413</v>
      </c>
      <c r="K321" s="57" t="str">
        <f t="shared" ca="1" si="50"/>
        <v>CONTRATADO</v>
      </c>
      <c r="L321" s="57" t="s">
        <v>112</v>
      </c>
      <c r="M321" s="155" t="s">
        <v>113</v>
      </c>
      <c r="N321" s="142" t="s">
        <v>406</v>
      </c>
      <c r="O321" s="155">
        <f>VLOOKUP(N321,RUBROS[#All],3,0)</f>
        <v>68</v>
      </c>
      <c r="P321" s="156" t="str">
        <f>VLOOKUP(N321,RUBROS[#All],2,0)</f>
        <v xml:space="preserve">Fortalecimiento del desarrollo deportivo con miras al alto rendimiento competitivo de los atletas del departamento de Antioquia - Servicios prestados a las empresas y servicios de producción </v>
      </c>
      <c r="Q321" s="57" t="str">
        <f t="shared" si="51"/>
        <v>87</v>
      </c>
      <c r="R321" s="57" t="str">
        <f t="shared" si="52"/>
        <v>0-205128</v>
      </c>
      <c r="S321" s="152">
        <v>11.5</v>
      </c>
      <c r="T321" s="157" t="s">
        <v>46</v>
      </c>
      <c r="U321" s="162" t="e">
        <f ca="1">_xlfn.XLOOKUP(PAA[[#This Row],[ITEM]],Contrato!A:A,Contrato!Q:Q,"",0)</f>
        <v>#NAME?</v>
      </c>
      <c r="V321" s="57" t="s">
        <v>47</v>
      </c>
      <c r="W321" s="57" t="s">
        <v>48</v>
      </c>
      <c r="X321" s="57" t="s">
        <v>48</v>
      </c>
      <c r="Y321" s="58" t="e">
        <f ca="1">_xlfn.XLOOKUP(PAA[[#This Row],[ITEM]],Contrato!A:A,Contrato!B:B,"",0)</f>
        <v>#NAME?</v>
      </c>
      <c r="Z321" s="57" t="e">
        <f ca="1">_xlfn.XLOOKUP(PAA[[#This Row],[ITEM]],Contrato!A:A,Contrato!G:G,"",0)</f>
        <v>#NAME?</v>
      </c>
      <c r="AA321" s="57" t="e">
        <f ca="1">_xlfn.XLOOKUP(PAA[[#This Row],[ITEM]],Contrato!A:A,Contrato!T:T,"",0)</f>
        <v>#NAME?</v>
      </c>
      <c r="AB321" s="58" t="e">
        <f ca="1">+MAX(PAA[[#This Row],[Comprometido Contrato]],)</f>
        <v>#NAME?</v>
      </c>
      <c r="AC321" s="58" t="str">
        <f t="shared" ca="1" si="49"/>
        <v/>
      </c>
      <c r="AD321" s="58" t="e">
        <f ca="1">+MAX(PAA[[#This Row],[Pago por Contrato]],)</f>
        <v>#NAME?</v>
      </c>
      <c r="AE321" s="58" t="str">
        <f t="shared" ca="1" si="53"/>
        <v/>
      </c>
      <c r="AF321" s="57" t="e">
        <f t="shared" ca="1" si="54"/>
        <v>#NAME?</v>
      </c>
      <c r="AG321" s="57">
        <f t="shared" si="55"/>
        <v>52010805</v>
      </c>
      <c r="AH321" s="57" t="e" cm="1">
        <f t="array" aca="1" ref="AH321" ca="1">_xlfn.XLOOKUP(PAA[[#This Row],[RCP-RUBRO]],COMPROMISOS_2025[[#All],[concatenado]],COMPROMISOS_2025[[#All],[Total pagado]],"",0)</f>
        <v>#NAME?</v>
      </c>
      <c r="AI321" s="57" t="e" cm="1">
        <f t="array" aca="1" ref="AI321" ca="1">_xlfn.XLOOKUP(PAA[[#This Row],[RCP-RUBRO]],COMPROMISOS_2025[[#All],[concatenado]],COMPROMISOS_2025[[#All],[Total Comprometido]],"",0)</f>
        <v>#NAME?</v>
      </c>
    </row>
    <row r="322" spans="1:35" s="50" customFormat="1" ht="42" hidden="1" customHeight="1" x14ac:dyDescent="0.25">
      <c r="A322" s="57">
        <v>223</v>
      </c>
      <c r="B322" s="186">
        <v>80111600</v>
      </c>
      <c r="C322" s="57" t="str">
        <f>VLOOKUP(PAA[[#This Row],[PROYECTO (formulado)2]],PROYECTOS!$G$1:$L$32,6,0)</f>
        <v>SUBGERENCIA DE ALTOS LOGROS Y DEPORTE ASOCIADO</v>
      </c>
      <c r="D322" s="57" t="str">
        <f>+IF(PAA[[#This Row],[UNIDAD DE CONTRATACION (formulado)]]="Subgerencia Administrativa y Financiera","FUNCIONAMIENTO","INVERSIÓN")</f>
        <v>INVERSIÓN</v>
      </c>
      <c r="E322" s="153" t="str">
        <f>VLOOKUP(Q322,PROYECTOS!$G$1:$K$32,5,0)</f>
        <v>Apoyo económico a las organizaciones deportivas que representan en competencias al departamento de Antioquia</v>
      </c>
      <c r="F322" s="153">
        <f>VLOOKUP(E322,PROYECTOS!$K$1:$M$32,3,0)</f>
        <v>2024003050102</v>
      </c>
      <c r="G322" s="154" t="s">
        <v>399</v>
      </c>
      <c r="H322" s="154" t="str">
        <f>VLOOKUP(Q322,PROYECTOS!$V$1:$W$32,2,0)</f>
        <v>050076</v>
      </c>
      <c r="I322" s="143">
        <v>42213600</v>
      </c>
      <c r="J322" s="155" t="s">
        <v>413</v>
      </c>
      <c r="K322" s="57" t="str">
        <f t="shared" ca="1" si="50"/>
        <v>CONTRATADO</v>
      </c>
      <c r="L322" s="57" t="s">
        <v>112</v>
      </c>
      <c r="M322" s="155" t="s">
        <v>113</v>
      </c>
      <c r="N322" s="142" t="s">
        <v>400</v>
      </c>
      <c r="O322" s="155">
        <f>VLOOKUP(N322,RUBROS[#All],3,0)</f>
        <v>56</v>
      </c>
      <c r="P322" s="156" t="str">
        <f>VLOOKUP(N322,RUBROS[#All],2,0)</f>
        <v xml:space="preserve">Apoyo económico a las organizaciones deportivas que representan en competencias al departamento de Antioquia - Servicios prestados a las empresas y servicios de producción </v>
      </c>
      <c r="Q322" s="57" t="str">
        <f t="shared" si="51"/>
        <v>02</v>
      </c>
      <c r="R322" s="57" t="str">
        <f t="shared" si="52"/>
        <v>0-205128</v>
      </c>
      <c r="S322" s="152">
        <v>11.5</v>
      </c>
      <c r="T322" s="157" t="s">
        <v>46</v>
      </c>
      <c r="U322" s="162" t="e">
        <f ca="1">_xlfn.XLOOKUP(PAA[[#This Row],[ITEM]],Contrato!A:A,Contrato!Q:Q,"",0)</f>
        <v>#NAME?</v>
      </c>
      <c r="V322" s="57" t="s">
        <v>47</v>
      </c>
      <c r="W322" s="57" t="s">
        <v>48</v>
      </c>
      <c r="X322" s="57" t="s">
        <v>48</v>
      </c>
      <c r="Y322" s="58" t="e">
        <f ca="1">_xlfn.XLOOKUP(PAA[[#This Row],[ITEM]],Contrato!A:A,Contrato!B:B,"",0)</f>
        <v>#NAME?</v>
      </c>
      <c r="Z322" s="57" t="e">
        <f ca="1">_xlfn.XLOOKUP(PAA[[#This Row],[ITEM]],Contrato!A:A,Contrato!G:G,"",0)</f>
        <v>#NAME?</v>
      </c>
      <c r="AA322" s="57" t="e">
        <f ca="1">_xlfn.XLOOKUP(PAA[[#This Row],[ITEM]],Contrato!A:A,Contrato!T:T,"",0)</f>
        <v>#NAME?</v>
      </c>
      <c r="AB322" s="58" t="e">
        <f ca="1">+MAX(PAA[[#This Row],[Comprometido Contrato]],)</f>
        <v>#NAME?</v>
      </c>
      <c r="AC322" s="58" t="str">
        <f t="shared" ca="1" si="49"/>
        <v/>
      </c>
      <c r="AD322" s="58" t="e">
        <f ca="1">+MAX(PAA[[#This Row],[Pago por Contrato]],)</f>
        <v>#NAME?</v>
      </c>
      <c r="AE322" s="58" t="str">
        <f t="shared" ca="1" si="53"/>
        <v/>
      </c>
      <c r="AF322" s="57" t="e">
        <f t="shared" ca="1" si="54"/>
        <v>#NAME?</v>
      </c>
      <c r="AG322" s="57">
        <f t="shared" si="55"/>
        <v>52010801</v>
      </c>
      <c r="AH322" s="57" t="e" cm="1">
        <f t="array" aca="1" ref="AH322" ca="1">_xlfn.XLOOKUP(PAA[[#This Row],[RCP-RUBRO]],COMPROMISOS_2025[[#All],[concatenado]],COMPROMISOS_2025[[#All],[Total pagado]],"",0)</f>
        <v>#NAME?</v>
      </c>
      <c r="AI322" s="57" t="e" cm="1">
        <f t="array" aca="1" ref="AI322" ca="1">_xlfn.XLOOKUP(PAA[[#This Row],[RCP-RUBRO]],COMPROMISOS_2025[[#All],[concatenado]],COMPROMISOS_2025[[#All],[Total Comprometido]],"",0)</f>
        <v>#NAME?</v>
      </c>
    </row>
    <row r="323" spans="1:35" s="50" customFormat="1" ht="42" hidden="1" customHeight="1" x14ac:dyDescent="0.25">
      <c r="A323" s="57">
        <v>224</v>
      </c>
      <c r="B323" s="186">
        <v>80111600</v>
      </c>
      <c r="C323" s="57" t="str">
        <f>VLOOKUP(PAA[[#This Row],[PROYECTO (formulado)2]],PROYECTOS!$G$1:$L$32,6,0)</f>
        <v>SUBGERENCIA DE ALTOS LOGROS Y DEPORTE ASOCIADO</v>
      </c>
      <c r="D323" s="57" t="str">
        <f>+IF(PAA[[#This Row],[UNIDAD DE CONTRATACION (formulado)]]="Subgerencia Administrativa y Financiera","FUNCIONAMIENTO","INVERSIÓN")</f>
        <v>INVERSIÓN</v>
      </c>
      <c r="E323" s="153" t="str">
        <f>VLOOKUP(Q323,PROYECTOS!$G$1:$K$32,5,0)</f>
        <v>Fortalecimiento del desarrollo deportivo con miras al alto rendimiento competitivo de los atletas del departamento de Antioquia</v>
      </c>
      <c r="F323" s="153">
        <f>VLOOKUP(E323,PROYECTOS!$K$1:$M$32,3,0)</f>
        <v>2024003050087</v>
      </c>
      <c r="G323" s="154" t="s">
        <v>396</v>
      </c>
      <c r="H323" s="154" t="str">
        <f>VLOOKUP(Q323,PROYECTOS!$V$1:$W$32,2,0)</f>
        <v>050078</v>
      </c>
      <c r="I323" s="143">
        <v>42213600</v>
      </c>
      <c r="J323" s="155" t="s">
        <v>414</v>
      </c>
      <c r="K323" s="57" t="str">
        <f t="shared" ca="1" si="50"/>
        <v>CONTRATADO</v>
      </c>
      <c r="L323" s="57" t="s">
        <v>112</v>
      </c>
      <c r="M323" s="155" t="s">
        <v>113</v>
      </c>
      <c r="N323" s="142" t="s">
        <v>406</v>
      </c>
      <c r="O323" s="155">
        <f>VLOOKUP(N323,RUBROS[#All],3,0)</f>
        <v>68</v>
      </c>
      <c r="P323" s="156" t="str">
        <f>VLOOKUP(N323,RUBROS[#All],2,0)</f>
        <v xml:space="preserve">Fortalecimiento del desarrollo deportivo con miras al alto rendimiento competitivo de los atletas del departamento de Antioquia - Servicios prestados a las empresas y servicios de producción </v>
      </c>
      <c r="Q323" s="57" t="str">
        <f t="shared" si="51"/>
        <v>87</v>
      </c>
      <c r="R323" s="57" t="str">
        <f t="shared" si="52"/>
        <v>0-205128</v>
      </c>
      <c r="S323" s="152">
        <v>11.5</v>
      </c>
      <c r="T323" s="157" t="s">
        <v>46</v>
      </c>
      <c r="U323" s="162" t="e">
        <f ca="1">_xlfn.XLOOKUP(PAA[[#This Row],[ITEM]],Contrato!A:A,Contrato!Q:Q,"",0)</f>
        <v>#NAME?</v>
      </c>
      <c r="V323" s="57" t="s">
        <v>47</v>
      </c>
      <c r="W323" s="57" t="s">
        <v>48</v>
      </c>
      <c r="X323" s="57" t="s">
        <v>48</v>
      </c>
      <c r="Y323" s="58" t="e">
        <f ca="1">_xlfn.XLOOKUP(PAA[[#This Row],[ITEM]],Contrato!A:A,Contrato!B:B,"",0)</f>
        <v>#NAME?</v>
      </c>
      <c r="Z323" s="57" t="e">
        <f ca="1">_xlfn.XLOOKUP(PAA[[#This Row],[ITEM]],Contrato!A:A,Contrato!G:G,"",0)</f>
        <v>#NAME?</v>
      </c>
      <c r="AA323" s="57" t="e">
        <f ca="1">_xlfn.XLOOKUP(PAA[[#This Row],[ITEM]],Contrato!A:A,Contrato!T:T,"",0)</f>
        <v>#NAME?</v>
      </c>
      <c r="AB323" s="58" t="e">
        <f ca="1">+MAX(PAA[[#This Row],[Comprometido Contrato]],)</f>
        <v>#NAME?</v>
      </c>
      <c r="AC323" s="58" t="str">
        <f t="shared" ca="1" si="49"/>
        <v/>
      </c>
      <c r="AD323" s="58" t="e">
        <f ca="1">+MAX(PAA[[#This Row],[Pago por Contrato]],)</f>
        <v>#NAME?</v>
      </c>
      <c r="AE323" s="58" t="str">
        <f t="shared" ca="1" si="53"/>
        <v/>
      </c>
      <c r="AF323" s="57" t="e">
        <f t="shared" ca="1" si="54"/>
        <v>#NAME?</v>
      </c>
      <c r="AG323" s="57">
        <f t="shared" si="55"/>
        <v>52010805</v>
      </c>
      <c r="AH323" s="57" t="e" cm="1">
        <f t="array" aca="1" ref="AH323" ca="1">_xlfn.XLOOKUP(PAA[[#This Row],[RCP-RUBRO]],COMPROMISOS_2025[[#All],[concatenado]],COMPROMISOS_2025[[#All],[Total pagado]],"",0)</f>
        <v>#NAME?</v>
      </c>
      <c r="AI323" s="57" t="e" cm="1">
        <f t="array" aca="1" ref="AI323" ca="1">_xlfn.XLOOKUP(PAA[[#This Row],[RCP-RUBRO]],COMPROMISOS_2025[[#All],[concatenado]],COMPROMISOS_2025[[#All],[Total Comprometido]],"",0)</f>
        <v>#NAME?</v>
      </c>
    </row>
    <row r="324" spans="1:35" s="50" customFormat="1" ht="42" hidden="1" customHeight="1" x14ac:dyDescent="0.25">
      <c r="A324" s="57">
        <v>224</v>
      </c>
      <c r="B324" s="186">
        <v>80111600</v>
      </c>
      <c r="C324" s="57" t="str">
        <f>VLOOKUP(PAA[[#This Row],[PROYECTO (formulado)2]],PROYECTOS!$G$1:$L$32,6,0)</f>
        <v>SUBGERENCIA DE ALTOS LOGROS Y DEPORTE ASOCIADO</v>
      </c>
      <c r="D324" s="57" t="str">
        <f>+IF(PAA[[#This Row],[UNIDAD DE CONTRATACION (formulado)]]="Subgerencia Administrativa y Financiera","FUNCIONAMIENTO","INVERSIÓN")</f>
        <v>INVERSIÓN</v>
      </c>
      <c r="E324" s="153" t="str">
        <f>VLOOKUP(Q324,PROYECTOS!$G$1:$K$32,5,0)</f>
        <v>Apoyo económico a las organizaciones deportivas que representan en competencias al departamento de Antioquia</v>
      </c>
      <c r="F324" s="153">
        <f>VLOOKUP(E324,PROYECTOS!$K$1:$M$32,3,0)</f>
        <v>2024003050102</v>
      </c>
      <c r="G324" s="154" t="s">
        <v>399</v>
      </c>
      <c r="H324" s="154" t="str">
        <f>VLOOKUP(Q324,PROYECTOS!$V$1:$W$32,2,0)</f>
        <v>050076</v>
      </c>
      <c r="I324" s="143">
        <v>42213600</v>
      </c>
      <c r="J324" s="155" t="s">
        <v>414</v>
      </c>
      <c r="K324" s="57" t="str">
        <f t="shared" ca="1" si="50"/>
        <v>CONTRATADO</v>
      </c>
      <c r="L324" s="57" t="s">
        <v>112</v>
      </c>
      <c r="M324" s="155" t="s">
        <v>113</v>
      </c>
      <c r="N324" s="142" t="s">
        <v>400</v>
      </c>
      <c r="O324" s="155">
        <f>VLOOKUP(N324,RUBROS[#All],3,0)</f>
        <v>56</v>
      </c>
      <c r="P324" s="156" t="str">
        <f>VLOOKUP(N324,RUBROS[#All],2,0)</f>
        <v xml:space="preserve">Apoyo económico a las organizaciones deportivas que representan en competencias al departamento de Antioquia - Servicios prestados a las empresas y servicios de producción </v>
      </c>
      <c r="Q324" s="57" t="str">
        <f t="shared" si="51"/>
        <v>02</v>
      </c>
      <c r="R324" s="57" t="str">
        <f t="shared" si="52"/>
        <v>0-205128</v>
      </c>
      <c r="S324" s="152">
        <v>11.5</v>
      </c>
      <c r="T324" s="157" t="s">
        <v>46</v>
      </c>
      <c r="U324" s="162" t="e">
        <f ca="1">_xlfn.XLOOKUP(PAA[[#This Row],[ITEM]],Contrato!A:A,Contrato!Q:Q,"",0)</f>
        <v>#NAME?</v>
      </c>
      <c r="V324" s="57" t="s">
        <v>47</v>
      </c>
      <c r="W324" s="57" t="s">
        <v>48</v>
      </c>
      <c r="X324" s="57" t="s">
        <v>48</v>
      </c>
      <c r="Y324" s="58" t="e">
        <f ca="1">_xlfn.XLOOKUP(PAA[[#This Row],[ITEM]],Contrato!A:A,Contrato!B:B,"",0)</f>
        <v>#NAME?</v>
      </c>
      <c r="Z324" s="57" t="e">
        <f ca="1">_xlfn.XLOOKUP(PAA[[#This Row],[ITEM]],Contrato!A:A,Contrato!G:G,"",0)</f>
        <v>#NAME?</v>
      </c>
      <c r="AA324" s="57" t="e">
        <f ca="1">_xlfn.XLOOKUP(PAA[[#This Row],[ITEM]],Contrato!A:A,Contrato!T:T,"",0)</f>
        <v>#NAME?</v>
      </c>
      <c r="AB324" s="58" t="e">
        <f ca="1">+MAX(PAA[[#This Row],[Comprometido Contrato]],)</f>
        <v>#NAME?</v>
      </c>
      <c r="AC324" s="58" t="str">
        <f t="shared" ca="1" si="49"/>
        <v/>
      </c>
      <c r="AD324" s="58" t="e">
        <f ca="1">+MAX(PAA[[#This Row],[Pago por Contrato]],)</f>
        <v>#NAME?</v>
      </c>
      <c r="AE324" s="58" t="str">
        <f t="shared" ca="1" si="53"/>
        <v/>
      </c>
      <c r="AF324" s="57" t="e">
        <f t="shared" ca="1" si="54"/>
        <v>#NAME?</v>
      </c>
      <c r="AG324" s="57">
        <f t="shared" si="55"/>
        <v>52010801</v>
      </c>
      <c r="AH324" s="57" t="e" cm="1">
        <f t="array" aca="1" ref="AH324" ca="1">_xlfn.XLOOKUP(PAA[[#This Row],[RCP-RUBRO]],COMPROMISOS_2025[[#All],[concatenado]],COMPROMISOS_2025[[#All],[Total pagado]],"",0)</f>
        <v>#NAME?</v>
      </c>
      <c r="AI324" s="57" t="e" cm="1">
        <f t="array" aca="1" ref="AI324" ca="1">_xlfn.XLOOKUP(PAA[[#This Row],[RCP-RUBRO]],COMPROMISOS_2025[[#All],[concatenado]],COMPROMISOS_2025[[#All],[Total Comprometido]],"",0)</f>
        <v>#NAME?</v>
      </c>
    </row>
    <row r="325" spans="1:35" s="50" customFormat="1" ht="42" hidden="1" customHeight="1" x14ac:dyDescent="0.25">
      <c r="A325" s="57">
        <v>225</v>
      </c>
      <c r="B325" s="186">
        <v>42151900</v>
      </c>
      <c r="C325" s="57" t="str">
        <f>VLOOKUP(PAA[[#This Row],[PROYECTO (formulado)2]],PROYECTOS!$G$1:$L$32,6,0)</f>
        <v>SUBGERENCIA DE ALTOS LOGROS Y DEPORTE ASOCIADO</v>
      </c>
      <c r="D325" s="57" t="str">
        <f>+IF(PAA[[#This Row],[UNIDAD DE CONTRATACION (formulado)]]="Subgerencia Administrativa y Financiera","FUNCIONAMIENTO","INVERSIÓN")</f>
        <v>INVERSIÓN</v>
      </c>
      <c r="E325" s="153" t="str">
        <f>VLOOKUP(Q325,PROYECTOS!$G$1:$K$32,5,0)</f>
        <v>Asesoria médica y de ciencias aplicadas al desarrollo del rendimiento deportivo de atletas y para-atletas de Antioquia</v>
      </c>
      <c r="F325" s="153">
        <f>VLOOKUP(E325,PROYECTOS!$K$1:$M$32,3,0)</f>
        <v>2024003050103</v>
      </c>
      <c r="G325" s="154" t="s">
        <v>415</v>
      </c>
      <c r="H325" s="154" t="str">
        <f>VLOOKUP(Q325,PROYECTOS!$V$1:$W$32,2,0)</f>
        <v>050080</v>
      </c>
      <c r="I325" s="143">
        <v>12293455</v>
      </c>
      <c r="J325" s="155" t="s">
        <v>416</v>
      </c>
      <c r="K325" s="57" t="str">
        <f t="shared" ca="1" si="50"/>
        <v>CONTRATADO</v>
      </c>
      <c r="L325" s="57" t="s">
        <v>153</v>
      </c>
      <c r="M325" s="57" t="s">
        <v>132</v>
      </c>
      <c r="N325" s="142" t="s">
        <v>417</v>
      </c>
      <c r="O325" s="155">
        <f>VLOOKUP(N325,RUBROS[#All],3,0)</f>
        <v>58</v>
      </c>
      <c r="P325" s="156" t="str">
        <f>VLOOKUP(N325,RUBROS[#All],2,0)</f>
        <v>Asesoria médica y de ciencias aplicadas al desarrollo del rendimiento deportivo de atletas y para-atletas de Antioquia -Otros bienes transportables (excepto productos metálicos, maquinaria y equipo)</v>
      </c>
      <c r="Q325" s="57" t="str">
        <f t="shared" si="51"/>
        <v>03</v>
      </c>
      <c r="R325" s="57" t="str">
        <f t="shared" si="52"/>
        <v>0-205128</v>
      </c>
      <c r="S325" s="152">
        <v>9</v>
      </c>
      <c r="T325" s="157" t="s">
        <v>46</v>
      </c>
      <c r="U325" s="162" t="e">
        <f ca="1">_xlfn.XLOOKUP(PAA[[#This Row],[ITEM]],Contrato!A:A,Contrato!Q:Q,"",0)</f>
        <v>#NAME?</v>
      </c>
      <c r="V325" s="57" t="s">
        <v>47</v>
      </c>
      <c r="W325" s="57" t="s">
        <v>127</v>
      </c>
      <c r="X325" s="57" t="s">
        <v>127</v>
      </c>
      <c r="Y325" s="58" t="e">
        <f ca="1">_xlfn.XLOOKUP(PAA[[#This Row],[ITEM]],Contrato!A:A,Contrato!B:B,"",0)</f>
        <v>#NAME?</v>
      </c>
      <c r="Z325" s="57" t="e">
        <f ca="1">_xlfn.XLOOKUP(PAA[[#This Row],[ITEM]],Contrato!A:A,Contrato!G:G,"",0)</f>
        <v>#NAME?</v>
      </c>
      <c r="AA325" s="57" t="e">
        <f ca="1">_xlfn.XLOOKUP(PAA[[#This Row],[ITEM]],Contrato!A:A,Contrato!T:T,"",0)</f>
        <v>#NAME?</v>
      </c>
      <c r="AB325" s="58" t="e">
        <f ca="1">+MAX(PAA[[#This Row],[Comprometido Contrato]],)</f>
        <v>#NAME?</v>
      </c>
      <c r="AC325" s="58" t="str">
        <f t="shared" ref="AC325:AC388" ca="1" si="56">IFERROR(I325-AB325,"")</f>
        <v/>
      </c>
      <c r="AD325" s="58" t="e">
        <f ca="1">+MAX(PAA[[#This Row],[Pago por Contrato]],)</f>
        <v>#NAME?</v>
      </c>
      <c r="AE325" s="58" t="str">
        <f t="shared" ca="1" si="53"/>
        <v/>
      </c>
      <c r="AF325" s="57" t="e">
        <f t="shared" ca="1" si="54"/>
        <v>#NAME?</v>
      </c>
      <c r="AG325" s="57">
        <f t="shared" si="55"/>
        <v>52010804</v>
      </c>
      <c r="AH325" s="57" t="e" cm="1">
        <f t="array" aca="1" ref="AH325" ca="1">_xlfn.XLOOKUP(PAA[[#This Row],[RCP-RUBRO]],COMPROMISOS_2025[[#All],[concatenado]],COMPROMISOS_2025[[#All],[Total pagado]],"",0)</f>
        <v>#NAME?</v>
      </c>
      <c r="AI325" s="57" t="e" cm="1">
        <f t="array" aca="1" ref="AI325" ca="1">_xlfn.XLOOKUP(PAA[[#This Row],[RCP-RUBRO]],COMPROMISOS_2025[[#All],[concatenado]],COMPROMISOS_2025[[#All],[Total Comprometido]],"",0)</f>
        <v>#NAME?</v>
      </c>
    </row>
    <row r="326" spans="1:35" s="50" customFormat="1" ht="42" hidden="1" customHeight="1" x14ac:dyDescent="0.25">
      <c r="A326" s="57">
        <v>226</v>
      </c>
      <c r="B326" s="186">
        <v>85161500</v>
      </c>
      <c r="C326" s="57" t="str">
        <f>VLOOKUP(PAA[[#This Row],[PROYECTO (formulado)2]],PROYECTOS!$G$1:$L$32,6,0)</f>
        <v>SUBGERENCIA DE ALTOS LOGROS Y DEPORTE ASOCIADO</v>
      </c>
      <c r="D326" s="57" t="str">
        <f>+IF(PAA[[#This Row],[UNIDAD DE CONTRATACION (formulado)]]="Subgerencia Administrativa y Financiera","FUNCIONAMIENTO","INVERSIÓN")</f>
        <v>INVERSIÓN</v>
      </c>
      <c r="E326" s="153" t="str">
        <f>VLOOKUP(Q326,PROYECTOS!$G$1:$K$32,5,0)</f>
        <v>Asesoria médica y de ciencias aplicadas al desarrollo del rendimiento deportivo de atletas y para-atletas de Antioquia</v>
      </c>
      <c r="F326" s="153">
        <f>VLOOKUP(E326,PROYECTOS!$K$1:$M$32,3,0)</f>
        <v>2024003050103</v>
      </c>
      <c r="G326" s="154" t="s">
        <v>418</v>
      </c>
      <c r="H326" s="154" t="str">
        <f>VLOOKUP(Q326,PROYECTOS!$V$1:$W$32,2,0)</f>
        <v>050080</v>
      </c>
      <c r="I326" s="143">
        <v>30000000</v>
      </c>
      <c r="J326" s="155" t="s">
        <v>419</v>
      </c>
      <c r="K326" s="57" t="str">
        <f t="shared" ca="1" si="50"/>
        <v>CONTRATADO</v>
      </c>
      <c r="L326" s="57" t="s">
        <v>153</v>
      </c>
      <c r="M326" s="57" t="s">
        <v>142</v>
      </c>
      <c r="N326" s="142" t="s">
        <v>420</v>
      </c>
      <c r="O326" s="155">
        <f>VLOOKUP(N326,RUBROS[#All],3,0)</f>
        <v>59</v>
      </c>
      <c r="P326" s="156" t="str">
        <f>VLOOKUP(N326,RUBROS[#All],2,0)</f>
        <v xml:space="preserve">Asesoria médica y de ciencias aplicadas al desarrollo del rendimiento deportivo de atletas y para-atletas de Antioquia -Servicios prestados a las empresas y servicios de producción </v>
      </c>
      <c r="Q326" s="57" t="str">
        <f t="shared" si="51"/>
        <v>03</v>
      </c>
      <c r="R326" s="57" t="str">
        <f t="shared" si="52"/>
        <v>0-205128</v>
      </c>
      <c r="S326" s="152">
        <v>9</v>
      </c>
      <c r="T326" s="157" t="s">
        <v>46</v>
      </c>
      <c r="U326" s="162" t="e">
        <f ca="1">_xlfn.XLOOKUP(PAA[[#This Row],[ITEM]],Contrato!A:A,Contrato!Q:Q,"",0)</f>
        <v>#NAME?</v>
      </c>
      <c r="V326" s="57" t="s">
        <v>47</v>
      </c>
      <c r="W326" s="57" t="s">
        <v>127</v>
      </c>
      <c r="X326" s="57" t="s">
        <v>127</v>
      </c>
      <c r="Y326" s="58" t="e">
        <f ca="1">_xlfn.XLOOKUP(PAA[[#This Row],[ITEM]],Contrato!A:A,Contrato!B:B,"",0)</f>
        <v>#NAME?</v>
      </c>
      <c r="Z326" s="57" t="e">
        <f ca="1">_xlfn.XLOOKUP(PAA[[#This Row],[ITEM]],Contrato!A:A,Contrato!G:G,"",0)</f>
        <v>#NAME?</v>
      </c>
      <c r="AA326" s="57" t="e">
        <f ca="1">_xlfn.XLOOKUP(PAA[[#This Row],[ITEM]],Contrato!A:A,Contrato!T:T,"",0)</f>
        <v>#NAME?</v>
      </c>
      <c r="AB326" s="58" t="e">
        <f ca="1">+MAX(PAA[[#This Row],[Comprometido Contrato]],)</f>
        <v>#NAME?</v>
      </c>
      <c r="AC326" s="58" t="str">
        <f t="shared" ca="1" si="56"/>
        <v/>
      </c>
      <c r="AD326" s="58" t="e">
        <f ca="1">+MAX(PAA[[#This Row],[Pago por Contrato]],)</f>
        <v>#NAME?</v>
      </c>
      <c r="AE326" s="58" t="str">
        <f t="shared" ca="1" si="53"/>
        <v/>
      </c>
      <c r="AF326" s="57" t="e">
        <f t="shared" ca="1" si="54"/>
        <v>#NAME?</v>
      </c>
      <c r="AG326" s="57">
        <f t="shared" si="55"/>
        <v>52010804</v>
      </c>
      <c r="AH326" s="57" t="e" cm="1">
        <f t="array" aca="1" ref="AH326" ca="1">_xlfn.XLOOKUP(PAA[[#This Row],[RCP-RUBRO]],COMPROMISOS_2025[[#All],[concatenado]],COMPROMISOS_2025[[#All],[Total pagado]],"",0)</f>
        <v>#NAME?</v>
      </c>
      <c r="AI326" s="57" t="e" cm="1">
        <f t="array" aca="1" ref="AI326" ca="1">_xlfn.XLOOKUP(PAA[[#This Row],[RCP-RUBRO]],COMPROMISOS_2025[[#All],[concatenado]],COMPROMISOS_2025[[#All],[Total Comprometido]],"",0)</f>
        <v>#NAME?</v>
      </c>
    </row>
    <row r="327" spans="1:35" s="50" customFormat="1" ht="42" hidden="1" customHeight="1" x14ac:dyDescent="0.25">
      <c r="A327" s="57">
        <v>227</v>
      </c>
      <c r="B327" s="186">
        <v>85161500</v>
      </c>
      <c r="C327" s="57" t="str">
        <f>VLOOKUP(PAA[[#This Row],[PROYECTO (formulado)2]],PROYECTOS!$G$1:$L$32,6,0)</f>
        <v>SUBGERENCIA DE ALTOS LOGROS Y DEPORTE ASOCIADO</v>
      </c>
      <c r="D327" s="57" t="str">
        <f>+IF(PAA[[#This Row],[UNIDAD DE CONTRATACION (formulado)]]="Subgerencia Administrativa y Financiera","FUNCIONAMIENTO","INVERSIÓN")</f>
        <v>INVERSIÓN</v>
      </c>
      <c r="E327" s="153" t="str">
        <f>VLOOKUP(Q327,PROYECTOS!$G$1:$K$32,5,0)</f>
        <v>Asesoria médica y de ciencias aplicadas al desarrollo del rendimiento deportivo de atletas y para-atletas de Antioquia</v>
      </c>
      <c r="F327" s="153">
        <f>VLOOKUP(E327,PROYECTOS!$K$1:$M$32,3,0)</f>
        <v>2024003050103</v>
      </c>
      <c r="G327" s="154" t="s">
        <v>418</v>
      </c>
      <c r="H327" s="154" t="str">
        <f>VLOOKUP(Q327,PROYECTOS!$V$1:$W$32,2,0)</f>
        <v>050080</v>
      </c>
      <c r="I327" s="143">
        <v>11000000</v>
      </c>
      <c r="J327" s="155" t="s">
        <v>421</v>
      </c>
      <c r="K327" s="57" t="str">
        <f t="shared" ca="1" si="50"/>
        <v>CONTRATADO</v>
      </c>
      <c r="L327" s="57" t="s">
        <v>153</v>
      </c>
      <c r="M327" s="57" t="s">
        <v>142</v>
      </c>
      <c r="N327" s="142" t="s">
        <v>420</v>
      </c>
      <c r="O327" s="155">
        <f>VLOOKUP(N327,RUBROS[#All],3,0)</f>
        <v>59</v>
      </c>
      <c r="P327" s="156" t="str">
        <f>VLOOKUP(N327,RUBROS[#All],2,0)</f>
        <v xml:space="preserve">Asesoria médica y de ciencias aplicadas al desarrollo del rendimiento deportivo de atletas y para-atletas de Antioquia -Servicios prestados a las empresas y servicios de producción </v>
      </c>
      <c r="Q327" s="57" t="str">
        <f t="shared" si="51"/>
        <v>03</v>
      </c>
      <c r="R327" s="57" t="str">
        <f t="shared" si="52"/>
        <v>0-205128</v>
      </c>
      <c r="S327" s="152">
        <v>9</v>
      </c>
      <c r="T327" s="157" t="s">
        <v>46</v>
      </c>
      <c r="U327" s="162" t="e">
        <f ca="1">_xlfn.XLOOKUP(PAA[[#This Row],[ITEM]],Contrato!A:A,Contrato!Q:Q,"",0)</f>
        <v>#NAME?</v>
      </c>
      <c r="V327" s="57" t="s">
        <v>47</v>
      </c>
      <c r="W327" s="57" t="s">
        <v>127</v>
      </c>
      <c r="X327" s="57" t="s">
        <v>127</v>
      </c>
      <c r="Y327" s="58" t="e">
        <f ca="1">_xlfn.XLOOKUP(PAA[[#This Row],[ITEM]],Contrato!A:A,Contrato!B:B,"",0)</f>
        <v>#NAME?</v>
      </c>
      <c r="Z327" s="57" t="e">
        <f ca="1">_xlfn.XLOOKUP(PAA[[#This Row],[ITEM]],Contrato!A:A,Contrato!G:G,"",0)</f>
        <v>#NAME?</v>
      </c>
      <c r="AA327" s="57" t="e">
        <f ca="1">_xlfn.XLOOKUP(PAA[[#This Row],[ITEM]],Contrato!A:A,Contrato!T:T,"",0)</f>
        <v>#NAME?</v>
      </c>
      <c r="AB327" s="58" t="e">
        <f ca="1">+MAX(PAA[[#This Row],[Comprometido Contrato]],)</f>
        <v>#NAME?</v>
      </c>
      <c r="AC327" s="58" t="str">
        <f t="shared" ca="1" si="56"/>
        <v/>
      </c>
      <c r="AD327" s="58" t="e">
        <f ca="1">+MAX(PAA[[#This Row],[Pago por Contrato]],)</f>
        <v>#NAME?</v>
      </c>
      <c r="AE327" s="58" t="str">
        <f t="shared" ca="1" si="53"/>
        <v/>
      </c>
      <c r="AF327" s="57" t="e">
        <f t="shared" ca="1" si="54"/>
        <v>#NAME?</v>
      </c>
      <c r="AG327" s="57">
        <f t="shared" si="55"/>
        <v>52010804</v>
      </c>
      <c r="AH327" s="57" t="e" cm="1">
        <f t="array" aca="1" ref="AH327" ca="1">_xlfn.XLOOKUP(PAA[[#This Row],[RCP-RUBRO]],COMPROMISOS_2025[[#All],[concatenado]],COMPROMISOS_2025[[#All],[Total pagado]],"",0)</f>
        <v>#NAME?</v>
      </c>
      <c r="AI327" s="57" t="e" cm="1">
        <f t="array" aca="1" ref="AI327" ca="1">_xlfn.XLOOKUP(PAA[[#This Row],[RCP-RUBRO]],COMPROMISOS_2025[[#All],[concatenado]],COMPROMISOS_2025[[#All],[Total Comprometido]],"",0)</f>
        <v>#NAME?</v>
      </c>
    </row>
    <row r="328" spans="1:35" s="50" customFormat="1" ht="42" hidden="1" customHeight="1" x14ac:dyDescent="0.25">
      <c r="A328" s="57">
        <v>228</v>
      </c>
      <c r="B328" s="186">
        <v>85161500</v>
      </c>
      <c r="C328" s="57" t="str">
        <f>VLOOKUP(PAA[[#This Row],[PROYECTO (formulado)2]],PROYECTOS!$G$1:$L$32,6,0)</f>
        <v>SUBGERENCIA DE ALTOS LOGROS Y DEPORTE ASOCIADO</v>
      </c>
      <c r="D328" s="57" t="str">
        <f>+IF(PAA[[#This Row],[UNIDAD DE CONTRATACION (formulado)]]="Subgerencia Administrativa y Financiera","FUNCIONAMIENTO","INVERSIÓN")</f>
        <v>INVERSIÓN</v>
      </c>
      <c r="E328" s="153" t="str">
        <f>VLOOKUP(Q328,PROYECTOS!$G$1:$K$32,5,0)</f>
        <v>Asesoria médica y de ciencias aplicadas al desarrollo del rendimiento deportivo de atletas y para-atletas de Antioquia</v>
      </c>
      <c r="F328" s="153">
        <f>VLOOKUP(E328,PROYECTOS!$K$1:$M$32,3,0)</f>
        <v>2024003050103</v>
      </c>
      <c r="G328" s="154" t="s">
        <v>418</v>
      </c>
      <c r="H328" s="154" t="str">
        <f>VLOOKUP(Q328,PROYECTOS!$V$1:$W$32,2,0)</f>
        <v>050080</v>
      </c>
      <c r="I328" s="143">
        <v>18500000</v>
      </c>
      <c r="J328" s="155" t="s">
        <v>422</v>
      </c>
      <c r="K328" s="57" t="str">
        <f t="shared" ca="1" si="50"/>
        <v>CONTRATADO</v>
      </c>
      <c r="L328" s="57" t="s">
        <v>153</v>
      </c>
      <c r="M328" s="57" t="s">
        <v>142</v>
      </c>
      <c r="N328" s="142" t="s">
        <v>420</v>
      </c>
      <c r="O328" s="155">
        <f>VLOOKUP(N328,RUBROS[#All],3,0)</f>
        <v>59</v>
      </c>
      <c r="P328" s="156" t="str">
        <f>VLOOKUP(N328,RUBROS[#All],2,0)</f>
        <v xml:space="preserve">Asesoria médica y de ciencias aplicadas al desarrollo del rendimiento deportivo de atletas y para-atletas de Antioquia -Servicios prestados a las empresas y servicios de producción </v>
      </c>
      <c r="Q328" s="57" t="str">
        <f t="shared" si="51"/>
        <v>03</v>
      </c>
      <c r="R328" s="57" t="str">
        <f t="shared" si="52"/>
        <v>0-205128</v>
      </c>
      <c r="S328" s="152">
        <v>9</v>
      </c>
      <c r="T328" s="157" t="s">
        <v>46</v>
      </c>
      <c r="U328" s="162" t="e">
        <f ca="1">_xlfn.XLOOKUP(PAA[[#This Row],[ITEM]],Contrato!A:A,Contrato!Q:Q,"",0)</f>
        <v>#NAME?</v>
      </c>
      <c r="V328" s="57" t="s">
        <v>47</v>
      </c>
      <c r="W328" s="57" t="s">
        <v>127</v>
      </c>
      <c r="X328" s="57" t="s">
        <v>127</v>
      </c>
      <c r="Y328" s="58" t="e">
        <f ca="1">_xlfn.XLOOKUP(PAA[[#This Row],[ITEM]],Contrato!A:A,Contrato!B:B,"",0)</f>
        <v>#NAME?</v>
      </c>
      <c r="Z328" s="57" t="e">
        <f ca="1">_xlfn.XLOOKUP(PAA[[#This Row],[ITEM]],Contrato!A:A,Contrato!G:G,"",0)</f>
        <v>#NAME?</v>
      </c>
      <c r="AA328" s="57" t="e">
        <f ca="1">_xlfn.XLOOKUP(PAA[[#This Row],[ITEM]],Contrato!A:A,Contrato!T:T,"",0)</f>
        <v>#NAME?</v>
      </c>
      <c r="AB328" s="58" t="e">
        <f ca="1">+MAX(PAA[[#This Row],[Comprometido Contrato]],)</f>
        <v>#NAME?</v>
      </c>
      <c r="AC328" s="58" t="str">
        <f t="shared" ca="1" si="56"/>
        <v/>
      </c>
      <c r="AD328" s="58" t="e">
        <f ca="1">+MAX(PAA[[#This Row],[Pago por Contrato]],)</f>
        <v>#NAME?</v>
      </c>
      <c r="AE328" s="58" t="str">
        <f t="shared" ca="1" si="53"/>
        <v/>
      </c>
      <c r="AF328" s="57" t="e">
        <f t="shared" ca="1" si="54"/>
        <v>#NAME?</v>
      </c>
      <c r="AG328" s="57">
        <f t="shared" si="55"/>
        <v>52010804</v>
      </c>
      <c r="AH328" s="57" t="e" cm="1">
        <f t="array" aca="1" ref="AH328" ca="1">_xlfn.XLOOKUP(PAA[[#This Row],[RCP-RUBRO]],COMPROMISOS_2025[[#All],[concatenado]],COMPROMISOS_2025[[#All],[Total pagado]],"",0)</f>
        <v>#NAME?</v>
      </c>
      <c r="AI328" s="57" t="e" cm="1">
        <f t="array" aca="1" ref="AI328" ca="1">_xlfn.XLOOKUP(PAA[[#This Row],[RCP-RUBRO]],COMPROMISOS_2025[[#All],[concatenado]],COMPROMISOS_2025[[#All],[Total Comprometido]],"",0)</f>
        <v>#NAME?</v>
      </c>
    </row>
    <row r="329" spans="1:35" s="50" customFormat="1" ht="42" hidden="1" customHeight="1" x14ac:dyDescent="0.25">
      <c r="A329" s="57">
        <v>229</v>
      </c>
      <c r="B329" s="186">
        <v>85161500</v>
      </c>
      <c r="C329" s="57" t="str">
        <f>VLOOKUP(PAA[[#This Row],[PROYECTO (formulado)2]],PROYECTOS!$G$1:$L$32,6,0)</f>
        <v>SUBGERENCIA DE ALTOS LOGROS Y DEPORTE ASOCIADO</v>
      </c>
      <c r="D329" s="57" t="str">
        <f>+IF(PAA[[#This Row],[UNIDAD DE CONTRATACION (formulado)]]="Subgerencia Administrativa y Financiera","FUNCIONAMIENTO","INVERSIÓN")</f>
        <v>INVERSIÓN</v>
      </c>
      <c r="E329" s="153" t="str">
        <f>VLOOKUP(Q329,PROYECTOS!$G$1:$K$32,5,0)</f>
        <v>Asesoria médica y de ciencias aplicadas al desarrollo del rendimiento deportivo de atletas y para-atletas de Antioquia</v>
      </c>
      <c r="F329" s="153">
        <f>VLOOKUP(E329,PROYECTOS!$K$1:$M$32,3,0)</f>
        <v>2024003050103</v>
      </c>
      <c r="G329" s="154" t="s">
        <v>418</v>
      </c>
      <c r="H329" s="154" t="str">
        <f>VLOOKUP(Q329,PROYECTOS!$V$1:$W$32,2,0)</f>
        <v>050080</v>
      </c>
      <c r="I329" s="143">
        <v>38000000</v>
      </c>
      <c r="J329" s="155" t="s">
        <v>423</v>
      </c>
      <c r="K329" s="57" t="str">
        <f t="shared" ca="1" si="50"/>
        <v>CONTRATADO</v>
      </c>
      <c r="L329" s="57" t="s">
        <v>153</v>
      </c>
      <c r="M329" s="57" t="s">
        <v>142</v>
      </c>
      <c r="N329" s="142" t="s">
        <v>420</v>
      </c>
      <c r="O329" s="155">
        <f>VLOOKUP(N329,RUBROS[#All],3,0)</f>
        <v>59</v>
      </c>
      <c r="P329" s="156" t="str">
        <f>VLOOKUP(N329,RUBROS[#All],2,0)</f>
        <v xml:space="preserve">Asesoria médica y de ciencias aplicadas al desarrollo del rendimiento deportivo de atletas y para-atletas de Antioquia -Servicios prestados a las empresas y servicios de producción </v>
      </c>
      <c r="Q329" s="57" t="str">
        <f t="shared" si="51"/>
        <v>03</v>
      </c>
      <c r="R329" s="57" t="str">
        <f t="shared" si="52"/>
        <v>0-205128</v>
      </c>
      <c r="S329" s="152">
        <v>9</v>
      </c>
      <c r="T329" s="157" t="s">
        <v>46</v>
      </c>
      <c r="U329" s="162" t="e">
        <f ca="1">_xlfn.XLOOKUP(PAA[[#This Row],[ITEM]],Contrato!A:A,Contrato!Q:Q,"",0)</f>
        <v>#NAME?</v>
      </c>
      <c r="V329" s="57" t="s">
        <v>47</v>
      </c>
      <c r="W329" s="57" t="s">
        <v>127</v>
      </c>
      <c r="X329" s="57" t="s">
        <v>127</v>
      </c>
      <c r="Y329" s="58" t="e">
        <f ca="1">_xlfn.XLOOKUP(PAA[[#This Row],[ITEM]],Contrato!A:A,Contrato!B:B,"",0)</f>
        <v>#NAME?</v>
      </c>
      <c r="Z329" s="57" t="e">
        <f ca="1">_xlfn.XLOOKUP(PAA[[#This Row],[ITEM]],Contrato!A:A,Contrato!G:G,"",0)</f>
        <v>#NAME?</v>
      </c>
      <c r="AA329" s="57" t="e">
        <f ca="1">_xlfn.XLOOKUP(PAA[[#This Row],[ITEM]],Contrato!A:A,Contrato!T:T,"",0)</f>
        <v>#NAME?</v>
      </c>
      <c r="AB329" s="58" t="e">
        <f ca="1">+MAX(PAA[[#This Row],[Comprometido Contrato]],)</f>
        <v>#NAME?</v>
      </c>
      <c r="AC329" s="58" t="str">
        <f t="shared" ca="1" si="56"/>
        <v/>
      </c>
      <c r="AD329" s="58" t="e">
        <f ca="1">+MAX(PAA[[#This Row],[Pago por Contrato]],)</f>
        <v>#NAME?</v>
      </c>
      <c r="AE329" s="58" t="str">
        <f t="shared" ca="1" si="53"/>
        <v/>
      </c>
      <c r="AF329" s="57" t="e">
        <f t="shared" ca="1" si="54"/>
        <v>#NAME?</v>
      </c>
      <c r="AG329" s="57">
        <f t="shared" si="55"/>
        <v>52010804</v>
      </c>
      <c r="AH329" s="57" t="e" cm="1">
        <f t="array" aca="1" ref="AH329" ca="1">_xlfn.XLOOKUP(PAA[[#This Row],[RCP-RUBRO]],COMPROMISOS_2025[[#All],[concatenado]],COMPROMISOS_2025[[#All],[Total pagado]],"",0)</f>
        <v>#NAME?</v>
      </c>
      <c r="AI329" s="57" t="e" cm="1">
        <f t="array" aca="1" ref="AI329" ca="1">_xlfn.XLOOKUP(PAA[[#This Row],[RCP-RUBRO]],COMPROMISOS_2025[[#All],[concatenado]],COMPROMISOS_2025[[#All],[Total Comprometido]],"",0)</f>
        <v>#NAME?</v>
      </c>
    </row>
    <row r="330" spans="1:35" s="50" customFormat="1" ht="42" hidden="1" customHeight="1" x14ac:dyDescent="0.25">
      <c r="A330" s="57">
        <v>230</v>
      </c>
      <c r="B330" s="186">
        <v>85161500</v>
      </c>
      <c r="C330" s="57" t="str">
        <f>VLOOKUP(PAA[[#This Row],[PROYECTO (formulado)2]],PROYECTOS!$G$1:$L$32,6,0)</f>
        <v>SUBGERENCIA DE ALTOS LOGROS Y DEPORTE ASOCIADO</v>
      </c>
      <c r="D330" s="57" t="str">
        <f>+IF(PAA[[#This Row],[UNIDAD DE CONTRATACION (formulado)]]="Subgerencia Administrativa y Financiera","FUNCIONAMIENTO","INVERSIÓN")</f>
        <v>INVERSIÓN</v>
      </c>
      <c r="E330" s="153" t="str">
        <f>VLOOKUP(Q330,PROYECTOS!$G$1:$K$32,5,0)</f>
        <v>Asesoria médica y de ciencias aplicadas al desarrollo del rendimiento deportivo de atletas y para-atletas de Antioquia</v>
      </c>
      <c r="F330" s="153">
        <f>VLOOKUP(E330,PROYECTOS!$K$1:$M$32,3,0)</f>
        <v>2024003050103</v>
      </c>
      <c r="G330" s="154" t="s">
        <v>418</v>
      </c>
      <c r="H330" s="154" t="str">
        <f>VLOOKUP(Q330,PROYECTOS!$V$1:$W$32,2,0)</f>
        <v>050080</v>
      </c>
      <c r="I330" s="143">
        <v>18500000</v>
      </c>
      <c r="J330" s="155" t="s">
        <v>424</v>
      </c>
      <c r="K330" s="57" t="str">
        <f t="shared" ca="1" si="50"/>
        <v>CONTRATADO</v>
      </c>
      <c r="L330" s="57" t="s">
        <v>153</v>
      </c>
      <c r="M330" s="57" t="s">
        <v>142</v>
      </c>
      <c r="N330" s="142" t="s">
        <v>420</v>
      </c>
      <c r="O330" s="155">
        <f>VLOOKUP(N330,RUBROS[#All],3,0)</f>
        <v>59</v>
      </c>
      <c r="P330" s="156" t="str">
        <f>VLOOKUP(N330,RUBROS[#All],2,0)</f>
        <v xml:space="preserve">Asesoria médica y de ciencias aplicadas al desarrollo del rendimiento deportivo de atletas y para-atletas de Antioquia -Servicios prestados a las empresas y servicios de producción </v>
      </c>
      <c r="Q330" s="57" t="str">
        <f t="shared" si="51"/>
        <v>03</v>
      </c>
      <c r="R330" s="57" t="str">
        <f t="shared" si="52"/>
        <v>0-205128</v>
      </c>
      <c r="S330" s="152">
        <v>9</v>
      </c>
      <c r="T330" s="157" t="s">
        <v>46</v>
      </c>
      <c r="U330" s="162" t="e">
        <f ca="1">_xlfn.XLOOKUP(PAA[[#This Row],[ITEM]],Contrato!A:A,Contrato!Q:Q,"",0)</f>
        <v>#NAME?</v>
      </c>
      <c r="V330" s="57" t="s">
        <v>47</v>
      </c>
      <c r="W330" s="57" t="s">
        <v>127</v>
      </c>
      <c r="X330" s="57" t="s">
        <v>127</v>
      </c>
      <c r="Y330" s="58" t="e">
        <f ca="1">_xlfn.XLOOKUP(PAA[[#This Row],[ITEM]],Contrato!A:A,Contrato!B:B,"",0)</f>
        <v>#NAME?</v>
      </c>
      <c r="Z330" s="57" t="e">
        <f ca="1">_xlfn.XLOOKUP(PAA[[#This Row],[ITEM]],Contrato!A:A,Contrato!G:G,"",0)</f>
        <v>#NAME?</v>
      </c>
      <c r="AA330" s="57" t="e">
        <f ca="1">_xlfn.XLOOKUP(PAA[[#This Row],[ITEM]],Contrato!A:A,Contrato!T:T,"",0)</f>
        <v>#NAME?</v>
      </c>
      <c r="AB330" s="58" t="e">
        <f ca="1">+MAX(PAA[[#This Row],[Comprometido Contrato]],)</f>
        <v>#NAME?</v>
      </c>
      <c r="AC330" s="58" t="str">
        <f t="shared" ca="1" si="56"/>
        <v/>
      </c>
      <c r="AD330" s="58" t="e">
        <f ca="1">+MAX(PAA[[#This Row],[Pago por Contrato]],)</f>
        <v>#NAME?</v>
      </c>
      <c r="AE330" s="58" t="str">
        <f t="shared" ca="1" si="53"/>
        <v/>
      </c>
      <c r="AF330" s="57" t="e">
        <f t="shared" ca="1" si="54"/>
        <v>#NAME?</v>
      </c>
      <c r="AG330" s="57">
        <f t="shared" si="55"/>
        <v>52010804</v>
      </c>
      <c r="AH330" s="57" t="e" cm="1">
        <f t="array" aca="1" ref="AH330" ca="1">_xlfn.XLOOKUP(PAA[[#This Row],[RCP-RUBRO]],COMPROMISOS_2025[[#All],[concatenado]],COMPROMISOS_2025[[#All],[Total pagado]],"",0)</f>
        <v>#NAME?</v>
      </c>
      <c r="AI330" s="57" t="e" cm="1">
        <f t="array" aca="1" ref="AI330" ca="1">_xlfn.XLOOKUP(PAA[[#This Row],[RCP-RUBRO]],COMPROMISOS_2025[[#All],[concatenado]],COMPROMISOS_2025[[#All],[Total Comprometido]],"",0)</f>
        <v>#NAME?</v>
      </c>
    </row>
    <row r="331" spans="1:35" s="50" customFormat="1" ht="42" hidden="1" customHeight="1" x14ac:dyDescent="0.25">
      <c r="A331" s="57">
        <v>231</v>
      </c>
      <c r="B331" s="186">
        <v>85161500</v>
      </c>
      <c r="C331" s="57" t="str">
        <f>VLOOKUP(PAA[[#This Row],[PROYECTO (formulado)2]],PROYECTOS!$G$1:$L$32,6,0)</f>
        <v>SUBGERENCIA DE ALTOS LOGROS Y DEPORTE ASOCIADO</v>
      </c>
      <c r="D331" s="57" t="str">
        <f>+IF(PAA[[#This Row],[UNIDAD DE CONTRATACION (formulado)]]="Subgerencia Administrativa y Financiera","FUNCIONAMIENTO","INVERSIÓN")</f>
        <v>INVERSIÓN</v>
      </c>
      <c r="E331" s="153" t="str">
        <f>VLOOKUP(Q331,PROYECTOS!$G$1:$K$32,5,0)</f>
        <v>Asesoria médica y de ciencias aplicadas al desarrollo del rendimiento deportivo de atletas y para-atletas de Antioquia</v>
      </c>
      <c r="F331" s="153">
        <f>VLOOKUP(E331,PROYECTOS!$K$1:$M$32,3,0)</f>
        <v>2024003050103</v>
      </c>
      <c r="G331" s="154" t="s">
        <v>418</v>
      </c>
      <c r="H331" s="154" t="str">
        <f>VLOOKUP(Q331,PROYECTOS!$V$1:$W$32,2,0)</f>
        <v>050080</v>
      </c>
      <c r="I331" s="143">
        <v>5000000</v>
      </c>
      <c r="J331" s="155" t="s">
        <v>425</v>
      </c>
      <c r="K331" s="57" t="str">
        <f t="shared" ca="1" si="50"/>
        <v>CONTRATADO</v>
      </c>
      <c r="L331" s="57" t="s">
        <v>153</v>
      </c>
      <c r="M331" s="57" t="s">
        <v>142</v>
      </c>
      <c r="N331" s="142" t="s">
        <v>420</v>
      </c>
      <c r="O331" s="155">
        <f>VLOOKUP(N331,RUBROS[#All],3,0)</f>
        <v>59</v>
      </c>
      <c r="P331" s="156" t="str">
        <f>VLOOKUP(N331,RUBROS[#All],2,0)</f>
        <v xml:space="preserve">Asesoria médica y de ciencias aplicadas al desarrollo del rendimiento deportivo de atletas y para-atletas de Antioquia -Servicios prestados a las empresas y servicios de producción </v>
      </c>
      <c r="Q331" s="57" t="str">
        <f t="shared" si="51"/>
        <v>03</v>
      </c>
      <c r="R331" s="57" t="str">
        <f t="shared" si="52"/>
        <v>0-205128</v>
      </c>
      <c r="S331" s="152">
        <v>9</v>
      </c>
      <c r="T331" s="157" t="s">
        <v>46</v>
      </c>
      <c r="U331" s="162" t="e">
        <f ca="1">_xlfn.XLOOKUP(PAA[[#This Row],[ITEM]],Contrato!A:A,Contrato!Q:Q,"",0)</f>
        <v>#NAME?</v>
      </c>
      <c r="V331" s="57" t="s">
        <v>47</v>
      </c>
      <c r="W331" s="57" t="s">
        <v>127</v>
      </c>
      <c r="X331" s="57" t="s">
        <v>127</v>
      </c>
      <c r="Y331" s="58" t="e">
        <f ca="1">_xlfn.XLOOKUP(PAA[[#This Row],[ITEM]],Contrato!A:A,Contrato!B:B,"",0)</f>
        <v>#NAME?</v>
      </c>
      <c r="Z331" s="57" t="e">
        <f ca="1">_xlfn.XLOOKUP(PAA[[#This Row],[ITEM]],Contrato!A:A,Contrato!G:G,"",0)</f>
        <v>#NAME?</v>
      </c>
      <c r="AA331" s="57" t="e">
        <f ca="1">_xlfn.XLOOKUP(PAA[[#This Row],[ITEM]],Contrato!A:A,Contrato!T:T,"",0)</f>
        <v>#NAME?</v>
      </c>
      <c r="AB331" s="58" t="e">
        <f ca="1">+MAX(PAA[[#This Row],[Comprometido Contrato]],)</f>
        <v>#NAME?</v>
      </c>
      <c r="AC331" s="58" t="str">
        <f t="shared" ca="1" si="56"/>
        <v/>
      </c>
      <c r="AD331" s="58" t="e">
        <f ca="1">+MAX(PAA[[#This Row],[Pago por Contrato]],)</f>
        <v>#NAME?</v>
      </c>
      <c r="AE331" s="58" t="str">
        <f t="shared" ca="1" si="53"/>
        <v/>
      </c>
      <c r="AF331" s="57" t="e">
        <f t="shared" ca="1" si="54"/>
        <v>#NAME?</v>
      </c>
      <c r="AG331" s="57">
        <f t="shared" si="55"/>
        <v>52010804</v>
      </c>
      <c r="AH331" s="57" t="e" cm="1">
        <f t="array" aca="1" ref="AH331" ca="1">_xlfn.XLOOKUP(PAA[[#This Row],[RCP-RUBRO]],COMPROMISOS_2025[[#All],[concatenado]],COMPROMISOS_2025[[#All],[Total pagado]],"",0)</f>
        <v>#NAME?</v>
      </c>
      <c r="AI331" s="57" t="e" cm="1">
        <f t="array" aca="1" ref="AI331" ca="1">_xlfn.XLOOKUP(PAA[[#This Row],[RCP-RUBRO]],COMPROMISOS_2025[[#All],[concatenado]],COMPROMISOS_2025[[#All],[Total Comprometido]],"",0)</f>
        <v>#NAME?</v>
      </c>
    </row>
    <row r="332" spans="1:35" s="50" customFormat="1" ht="42" hidden="1" customHeight="1" x14ac:dyDescent="0.25">
      <c r="A332" s="57">
        <v>232</v>
      </c>
      <c r="B332" s="186">
        <v>85161500</v>
      </c>
      <c r="C332" s="57" t="str">
        <f>VLOOKUP(PAA[[#This Row],[PROYECTO (formulado)2]],PROYECTOS!$G$1:$L$32,6,0)</f>
        <v>SUBGERENCIA DE ALTOS LOGROS Y DEPORTE ASOCIADO</v>
      </c>
      <c r="D332" s="57" t="str">
        <f>+IF(PAA[[#This Row],[UNIDAD DE CONTRATACION (formulado)]]="Subgerencia Administrativa y Financiera","FUNCIONAMIENTO","INVERSIÓN")</f>
        <v>INVERSIÓN</v>
      </c>
      <c r="E332" s="153" t="str">
        <f>VLOOKUP(Q332,PROYECTOS!$G$1:$K$32,5,0)</f>
        <v>Asesoria médica y de ciencias aplicadas al desarrollo del rendimiento deportivo de atletas y para-atletas de Antioquia</v>
      </c>
      <c r="F332" s="153">
        <f>VLOOKUP(E332,PROYECTOS!$K$1:$M$32,3,0)</f>
        <v>2024003050103</v>
      </c>
      <c r="G332" s="154" t="s">
        <v>418</v>
      </c>
      <c r="H332" s="154" t="str">
        <f>VLOOKUP(Q332,PROYECTOS!$V$1:$W$32,2,0)</f>
        <v>050080</v>
      </c>
      <c r="I332" s="143">
        <v>45000000</v>
      </c>
      <c r="J332" s="155" t="s">
        <v>426</v>
      </c>
      <c r="K332" s="57" t="str">
        <f t="shared" ca="1" si="50"/>
        <v>CONTRATADO</v>
      </c>
      <c r="L332" s="57" t="s">
        <v>153</v>
      </c>
      <c r="M332" s="57" t="s">
        <v>142</v>
      </c>
      <c r="N332" s="142" t="s">
        <v>420</v>
      </c>
      <c r="O332" s="155">
        <f>VLOOKUP(N332,RUBROS[#All],3,0)</f>
        <v>59</v>
      </c>
      <c r="P332" s="156" t="str">
        <f>VLOOKUP(N332,RUBROS[#All],2,0)</f>
        <v xml:space="preserve">Asesoria médica y de ciencias aplicadas al desarrollo del rendimiento deportivo de atletas y para-atletas de Antioquia -Servicios prestados a las empresas y servicios de producción </v>
      </c>
      <c r="Q332" s="57" t="str">
        <f t="shared" si="51"/>
        <v>03</v>
      </c>
      <c r="R332" s="57" t="str">
        <f t="shared" si="52"/>
        <v>0-205128</v>
      </c>
      <c r="S332" s="152">
        <v>9</v>
      </c>
      <c r="T332" s="157" t="s">
        <v>46</v>
      </c>
      <c r="U332" s="162" t="e">
        <f ca="1">_xlfn.XLOOKUP(PAA[[#This Row],[ITEM]],Contrato!A:A,Contrato!Q:Q,"",0)</f>
        <v>#NAME?</v>
      </c>
      <c r="V332" s="57" t="s">
        <v>47</v>
      </c>
      <c r="W332" s="57" t="s">
        <v>127</v>
      </c>
      <c r="X332" s="57" t="s">
        <v>127</v>
      </c>
      <c r="Y332" s="58" t="e">
        <f ca="1">_xlfn.XLOOKUP(PAA[[#This Row],[ITEM]],Contrato!A:A,Contrato!B:B,"",0)</f>
        <v>#NAME?</v>
      </c>
      <c r="Z332" s="57" t="e">
        <f ca="1">_xlfn.XLOOKUP(PAA[[#This Row],[ITEM]],Contrato!A:A,Contrato!G:G,"",0)</f>
        <v>#NAME?</v>
      </c>
      <c r="AA332" s="57" t="e">
        <f ca="1">_xlfn.XLOOKUP(PAA[[#This Row],[ITEM]],Contrato!A:A,Contrato!T:T,"",0)</f>
        <v>#NAME?</v>
      </c>
      <c r="AB332" s="58" t="e">
        <f ca="1">+MAX(PAA[[#This Row],[Comprometido Contrato]],)</f>
        <v>#NAME?</v>
      </c>
      <c r="AC332" s="58" t="str">
        <f t="shared" ca="1" si="56"/>
        <v/>
      </c>
      <c r="AD332" s="58" t="e">
        <f ca="1">+MAX(PAA[[#This Row],[Pago por Contrato]],)</f>
        <v>#NAME?</v>
      </c>
      <c r="AE332" s="58" t="str">
        <f t="shared" ca="1" si="53"/>
        <v/>
      </c>
      <c r="AF332" s="57" t="e">
        <f t="shared" ca="1" si="54"/>
        <v>#NAME?</v>
      </c>
      <c r="AG332" s="57">
        <f t="shared" si="55"/>
        <v>52010804</v>
      </c>
      <c r="AH332" s="57" t="e" cm="1">
        <f t="array" aca="1" ref="AH332" ca="1">_xlfn.XLOOKUP(PAA[[#This Row],[RCP-RUBRO]],COMPROMISOS_2025[[#All],[concatenado]],COMPROMISOS_2025[[#All],[Total pagado]],"",0)</f>
        <v>#NAME?</v>
      </c>
      <c r="AI332" s="57" t="e" cm="1">
        <f t="array" aca="1" ref="AI332" ca="1">_xlfn.XLOOKUP(PAA[[#This Row],[RCP-RUBRO]],COMPROMISOS_2025[[#All],[concatenado]],COMPROMISOS_2025[[#All],[Total Comprometido]],"",0)</f>
        <v>#NAME?</v>
      </c>
    </row>
    <row r="333" spans="1:35" s="50" customFormat="1" ht="42" hidden="1" customHeight="1" x14ac:dyDescent="0.25">
      <c r="A333" s="57">
        <v>233</v>
      </c>
      <c r="B333" s="186">
        <v>85161500</v>
      </c>
      <c r="C333" s="57" t="str">
        <f>VLOOKUP(PAA[[#This Row],[PROYECTO (formulado)2]],PROYECTOS!$G$1:$L$32,6,0)</f>
        <v>SUBGERENCIA DE ALTOS LOGROS Y DEPORTE ASOCIADO</v>
      </c>
      <c r="D333" s="57" t="str">
        <f>+IF(PAA[[#This Row],[UNIDAD DE CONTRATACION (formulado)]]="Subgerencia Administrativa y Financiera","FUNCIONAMIENTO","INVERSIÓN")</f>
        <v>INVERSIÓN</v>
      </c>
      <c r="E333" s="153" t="str">
        <f>VLOOKUP(Q333,PROYECTOS!$G$1:$K$32,5,0)</f>
        <v>Asesoria médica y de ciencias aplicadas al desarrollo del rendimiento deportivo de atletas y para-atletas de Antioquia</v>
      </c>
      <c r="F333" s="153">
        <f>VLOOKUP(E333,PROYECTOS!$K$1:$M$32,3,0)</f>
        <v>2024003050103</v>
      </c>
      <c r="G333" s="154" t="s">
        <v>418</v>
      </c>
      <c r="H333" s="154" t="str">
        <f>VLOOKUP(Q333,PROYECTOS!$V$1:$W$32,2,0)</f>
        <v>050080</v>
      </c>
      <c r="I333" s="143">
        <v>6000000</v>
      </c>
      <c r="J333" s="155" t="s">
        <v>427</v>
      </c>
      <c r="K333" s="57" t="str">
        <f t="shared" ca="1" si="50"/>
        <v>CONTRATADO</v>
      </c>
      <c r="L333" s="57" t="s">
        <v>153</v>
      </c>
      <c r="M333" s="57" t="s">
        <v>142</v>
      </c>
      <c r="N333" s="142" t="s">
        <v>420</v>
      </c>
      <c r="O333" s="155">
        <f>VLOOKUP(N333,RUBROS[#All],3,0)</f>
        <v>59</v>
      </c>
      <c r="P333" s="156" t="str">
        <f>VLOOKUP(N333,RUBROS[#All],2,0)</f>
        <v xml:space="preserve">Asesoria médica y de ciencias aplicadas al desarrollo del rendimiento deportivo de atletas y para-atletas de Antioquia -Servicios prestados a las empresas y servicios de producción </v>
      </c>
      <c r="Q333" s="57" t="str">
        <f t="shared" si="51"/>
        <v>03</v>
      </c>
      <c r="R333" s="57" t="str">
        <f t="shared" si="52"/>
        <v>0-205128</v>
      </c>
      <c r="S333" s="152">
        <v>9</v>
      </c>
      <c r="T333" s="157" t="s">
        <v>46</v>
      </c>
      <c r="U333" s="162" t="e">
        <f ca="1">_xlfn.XLOOKUP(PAA[[#This Row],[ITEM]],Contrato!A:A,Contrato!Q:Q,"",0)</f>
        <v>#NAME?</v>
      </c>
      <c r="V333" s="57" t="s">
        <v>47</v>
      </c>
      <c r="W333" s="57" t="s">
        <v>127</v>
      </c>
      <c r="X333" s="57" t="s">
        <v>127</v>
      </c>
      <c r="Y333" s="58" t="e">
        <f ca="1">_xlfn.XLOOKUP(PAA[[#This Row],[ITEM]],Contrato!A:A,Contrato!B:B,"",0)</f>
        <v>#NAME?</v>
      </c>
      <c r="Z333" s="57" t="e">
        <f ca="1">_xlfn.XLOOKUP(PAA[[#This Row],[ITEM]],Contrato!A:A,Contrato!G:G,"",0)</f>
        <v>#NAME?</v>
      </c>
      <c r="AA333" s="57" t="e">
        <f ca="1">_xlfn.XLOOKUP(PAA[[#This Row],[ITEM]],Contrato!A:A,Contrato!T:T,"",0)</f>
        <v>#NAME?</v>
      </c>
      <c r="AB333" s="58" t="e">
        <f ca="1">+MAX(PAA[[#This Row],[Comprometido Contrato]],)</f>
        <v>#NAME?</v>
      </c>
      <c r="AC333" s="58" t="str">
        <f t="shared" ca="1" si="56"/>
        <v/>
      </c>
      <c r="AD333" s="58" t="e">
        <f ca="1">+MAX(PAA[[#This Row],[Pago por Contrato]],)</f>
        <v>#NAME?</v>
      </c>
      <c r="AE333" s="58" t="str">
        <f t="shared" ca="1" si="53"/>
        <v/>
      </c>
      <c r="AF333" s="57" t="e">
        <f t="shared" ca="1" si="54"/>
        <v>#NAME?</v>
      </c>
      <c r="AG333" s="57">
        <f t="shared" si="55"/>
        <v>52010804</v>
      </c>
      <c r="AH333" s="57" t="e" cm="1">
        <f t="array" aca="1" ref="AH333" ca="1">_xlfn.XLOOKUP(PAA[[#This Row],[RCP-RUBRO]],COMPROMISOS_2025[[#All],[concatenado]],COMPROMISOS_2025[[#All],[Total pagado]],"",0)</f>
        <v>#NAME?</v>
      </c>
      <c r="AI333" s="57" t="e" cm="1">
        <f t="array" aca="1" ref="AI333" ca="1">_xlfn.XLOOKUP(PAA[[#This Row],[RCP-RUBRO]],COMPROMISOS_2025[[#All],[concatenado]],COMPROMISOS_2025[[#All],[Total Comprometido]],"",0)</f>
        <v>#NAME?</v>
      </c>
    </row>
    <row r="334" spans="1:35" s="50" customFormat="1" ht="42" hidden="1" customHeight="1" x14ac:dyDescent="0.25">
      <c r="A334" s="57">
        <v>234</v>
      </c>
      <c r="B334" s="186">
        <v>85161500</v>
      </c>
      <c r="C334" s="57" t="str">
        <f>VLOOKUP(PAA[[#This Row],[PROYECTO (formulado)2]],PROYECTOS!$G$1:$L$32,6,0)</f>
        <v>SUBGERENCIA DE ALTOS LOGROS Y DEPORTE ASOCIADO</v>
      </c>
      <c r="D334" s="57" t="str">
        <f>+IF(PAA[[#This Row],[UNIDAD DE CONTRATACION (formulado)]]="Subgerencia Administrativa y Financiera","FUNCIONAMIENTO","INVERSIÓN")</f>
        <v>INVERSIÓN</v>
      </c>
      <c r="E334" s="153" t="str">
        <f>VLOOKUP(Q334,PROYECTOS!$G$1:$K$32,5,0)</f>
        <v>Asesoria médica y de ciencias aplicadas al desarrollo del rendimiento deportivo de atletas y para-atletas de Antioquia</v>
      </c>
      <c r="F334" s="153">
        <f>VLOOKUP(E334,PROYECTOS!$K$1:$M$32,3,0)</f>
        <v>2024003050103</v>
      </c>
      <c r="G334" s="154" t="s">
        <v>418</v>
      </c>
      <c r="H334" s="154" t="str">
        <f>VLOOKUP(Q334,PROYECTOS!$V$1:$W$32,2,0)</f>
        <v>050080</v>
      </c>
      <c r="I334" s="143">
        <v>13000000</v>
      </c>
      <c r="J334" s="155" t="s">
        <v>428</v>
      </c>
      <c r="K334" s="57" t="str">
        <f t="shared" ca="1" si="50"/>
        <v>CONTRATADO</v>
      </c>
      <c r="L334" s="57" t="s">
        <v>153</v>
      </c>
      <c r="M334" s="57" t="s">
        <v>142</v>
      </c>
      <c r="N334" s="142" t="s">
        <v>420</v>
      </c>
      <c r="O334" s="155">
        <f>VLOOKUP(N334,RUBROS[#All],3,0)</f>
        <v>59</v>
      </c>
      <c r="P334" s="156" t="str">
        <f>VLOOKUP(N334,RUBROS[#All],2,0)</f>
        <v xml:space="preserve">Asesoria médica y de ciencias aplicadas al desarrollo del rendimiento deportivo de atletas y para-atletas de Antioquia -Servicios prestados a las empresas y servicios de producción </v>
      </c>
      <c r="Q334" s="57" t="str">
        <f t="shared" si="51"/>
        <v>03</v>
      </c>
      <c r="R334" s="57" t="str">
        <f t="shared" si="52"/>
        <v>0-205128</v>
      </c>
      <c r="S334" s="152">
        <v>9</v>
      </c>
      <c r="T334" s="157" t="s">
        <v>46</v>
      </c>
      <c r="U334" s="162" t="e">
        <f ca="1">_xlfn.XLOOKUP(PAA[[#This Row],[ITEM]],Contrato!A:A,Contrato!Q:Q,"",0)</f>
        <v>#NAME?</v>
      </c>
      <c r="V334" s="57" t="s">
        <v>47</v>
      </c>
      <c r="W334" s="57" t="s">
        <v>127</v>
      </c>
      <c r="X334" s="57" t="s">
        <v>127</v>
      </c>
      <c r="Y334" s="58" t="e">
        <f ca="1">_xlfn.XLOOKUP(PAA[[#This Row],[ITEM]],Contrato!A:A,Contrato!B:B,"",0)</f>
        <v>#NAME?</v>
      </c>
      <c r="Z334" s="57" t="e">
        <f ca="1">_xlfn.XLOOKUP(PAA[[#This Row],[ITEM]],Contrato!A:A,Contrato!G:G,"",0)</f>
        <v>#NAME?</v>
      </c>
      <c r="AA334" s="57" t="e">
        <f ca="1">_xlfn.XLOOKUP(PAA[[#This Row],[ITEM]],Contrato!A:A,Contrato!T:T,"",0)</f>
        <v>#NAME?</v>
      </c>
      <c r="AB334" s="58" t="e">
        <f ca="1">+MAX(PAA[[#This Row],[Comprometido Contrato]],)</f>
        <v>#NAME?</v>
      </c>
      <c r="AC334" s="58" t="str">
        <f t="shared" ca="1" si="56"/>
        <v/>
      </c>
      <c r="AD334" s="58" t="e">
        <f ca="1">+MAX(PAA[[#This Row],[Pago por Contrato]],)</f>
        <v>#NAME?</v>
      </c>
      <c r="AE334" s="58" t="str">
        <f t="shared" ca="1" si="53"/>
        <v/>
      </c>
      <c r="AF334" s="57" t="e">
        <f t="shared" ca="1" si="54"/>
        <v>#NAME?</v>
      </c>
      <c r="AG334" s="57">
        <f t="shared" si="55"/>
        <v>52010804</v>
      </c>
      <c r="AH334" s="57" t="e" cm="1">
        <f t="array" aca="1" ref="AH334" ca="1">_xlfn.XLOOKUP(PAA[[#This Row],[RCP-RUBRO]],COMPROMISOS_2025[[#All],[concatenado]],COMPROMISOS_2025[[#All],[Total pagado]],"",0)</f>
        <v>#NAME?</v>
      </c>
      <c r="AI334" s="57" t="e" cm="1">
        <f t="array" aca="1" ref="AI334" ca="1">_xlfn.XLOOKUP(PAA[[#This Row],[RCP-RUBRO]],COMPROMISOS_2025[[#All],[concatenado]],COMPROMISOS_2025[[#All],[Total Comprometido]],"",0)</f>
        <v>#NAME?</v>
      </c>
    </row>
    <row r="335" spans="1:35" s="50" customFormat="1" ht="42" hidden="1" customHeight="1" x14ac:dyDescent="0.25">
      <c r="A335" s="57">
        <v>235</v>
      </c>
      <c r="B335" s="186">
        <v>85161500</v>
      </c>
      <c r="C335" s="57" t="str">
        <f>VLOOKUP(PAA[[#This Row],[PROYECTO (formulado)2]],PROYECTOS!$G$1:$L$32,6,0)</f>
        <v>SUBGERENCIA DE ALTOS LOGROS Y DEPORTE ASOCIADO</v>
      </c>
      <c r="D335" s="57" t="str">
        <f>+IF(PAA[[#This Row],[UNIDAD DE CONTRATACION (formulado)]]="Subgerencia Administrativa y Financiera","FUNCIONAMIENTO","INVERSIÓN")</f>
        <v>INVERSIÓN</v>
      </c>
      <c r="E335" s="153" t="str">
        <f>VLOOKUP(Q335,PROYECTOS!$G$1:$K$32,5,0)</f>
        <v>Asesoria médica y de ciencias aplicadas al desarrollo del rendimiento deportivo de atletas y para-atletas de Antioquia</v>
      </c>
      <c r="F335" s="153">
        <f>VLOOKUP(E335,PROYECTOS!$K$1:$M$32,3,0)</f>
        <v>2024003050103</v>
      </c>
      <c r="G335" s="154" t="s">
        <v>418</v>
      </c>
      <c r="H335" s="154" t="str">
        <f>VLOOKUP(Q335,PROYECTOS!$V$1:$W$32,2,0)</f>
        <v>050080</v>
      </c>
      <c r="I335" s="143">
        <v>15000000</v>
      </c>
      <c r="J335" s="155" t="s">
        <v>429</v>
      </c>
      <c r="K335" s="57" t="str">
        <f t="shared" ca="1" si="50"/>
        <v>CONTRATADO</v>
      </c>
      <c r="L335" s="57" t="s">
        <v>153</v>
      </c>
      <c r="M335" s="57" t="s">
        <v>142</v>
      </c>
      <c r="N335" s="142" t="s">
        <v>420</v>
      </c>
      <c r="O335" s="155">
        <f>VLOOKUP(N335,RUBROS[#All],3,0)</f>
        <v>59</v>
      </c>
      <c r="P335" s="156" t="str">
        <f>VLOOKUP(N335,RUBROS[#All],2,0)</f>
        <v xml:space="preserve">Asesoria médica y de ciencias aplicadas al desarrollo del rendimiento deportivo de atletas y para-atletas de Antioquia -Servicios prestados a las empresas y servicios de producción </v>
      </c>
      <c r="Q335" s="57" t="str">
        <f t="shared" si="51"/>
        <v>03</v>
      </c>
      <c r="R335" s="57" t="str">
        <f t="shared" si="52"/>
        <v>0-205128</v>
      </c>
      <c r="S335" s="152">
        <v>9</v>
      </c>
      <c r="T335" s="157" t="s">
        <v>46</v>
      </c>
      <c r="U335" s="162" t="e">
        <f ca="1">_xlfn.XLOOKUP(PAA[[#This Row],[ITEM]],Contrato!A:A,Contrato!Q:Q,"",0)</f>
        <v>#NAME?</v>
      </c>
      <c r="V335" s="57" t="s">
        <v>47</v>
      </c>
      <c r="W335" s="57" t="s">
        <v>127</v>
      </c>
      <c r="X335" s="57" t="s">
        <v>127</v>
      </c>
      <c r="Y335" s="58" t="e">
        <f ca="1">_xlfn.XLOOKUP(PAA[[#This Row],[ITEM]],Contrato!A:A,Contrato!B:B,"",0)</f>
        <v>#NAME?</v>
      </c>
      <c r="Z335" s="57" t="e">
        <f ca="1">_xlfn.XLOOKUP(PAA[[#This Row],[ITEM]],Contrato!A:A,Contrato!G:G,"",0)</f>
        <v>#NAME?</v>
      </c>
      <c r="AA335" s="57" t="e">
        <f ca="1">_xlfn.XLOOKUP(PAA[[#This Row],[ITEM]],Contrato!A:A,Contrato!T:T,"",0)</f>
        <v>#NAME?</v>
      </c>
      <c r="AB335" s="58" t="e">
        <f ca="1">+MAX(PAA[[#This Row],[Comprometido Contrato]],)</f>
        <v>#NAME?</v>
      </c>
      <c r="AC335" s="58" t="str">
        <f t="shared" ca="1" si="56"/>
        <v/>
      </c>
      <c r="AD335" s="58" t="e">
        <f ca="1">+MAX(PAA[[#This Row],[Pago por Contrato]],)</f>
        <v>#NAME?</v>
      </c>
      <c r="AE335" s="58" t="str">
        <f t="shared" ca="1" si="53"/>
        <v/>
      </c>
      <c r="AF335" s="57" t="e">
        <f t="shared" ca="1" si="54"/>
        <v>#NAME?</v>
      </c>
      <c r="AG335" s="57">
        <f t="shared" si="55"/>
        <v>52010804</v>
      </c>
      <c r="AH335" s="57" t="e" cm="1">
        <f t="array" aca="1" ref="AH335" ca="1">_xlfn.XLOOKUP(PAA[[#This Row],[RCP-RUBRO]],COMPROMISOS_2025[[#All],[concatenado]],COMPROMISOS_2025[[#All],[Total pagado]],"",0)</f>
        <v>#NAME?</v>
      </c>
      <c r="AI335" s="57" t="e" cm="1">
        <f t="array" aca="1" ref="AI335" ca="1">_xlfn.XLOOKUP(PAA[[#This Row],[RCP-RUBRO]],COMPROMISOS_2025[[#All],[concatenado]],COMPROMISOS_2025[[#All],[Total Comprometido]],"",0)</f>
        <v>#NAME?</v>
      </c>
    </row>
    <row r="336" spans="1:35" s="50" customFormat="1" ht="42" hidden="1" customHeight="1" x14ac:dyDescent="0.25">
      <c r="A336" s="199">
        <v>236</v>
      </c>
      <c r="B336" s="200">
        <v>80111600</v>
      </c>
      <c r="C336" s="199" t="str">
        <f>VLOOKUP(PAA[[#This Row],[PROYECTO (formulado)2]],PROYECTOS!$G$1:$L$32,6,0)</f>
        <v>SUBGERENCIA DE ALTOS LOGROS Y DEPORTE ASOCIADO</v>
      </c>
      <c r="D336" s="199" t="str">
        <f>+IF(PAA[[#This Row],[UNIDAD DE CONTRATACION (formulado)]]="Subgerencia Administrativa y Financiera","FUNCIONAMIENTO","INVERSIÓN")</f>
        <v>INVERSIÓN</v>
      </c>
      <c r="E336" s="201" t="str">
        <f>VLOOKUP(Q336,PROYECTOS!$G$1:$K$32,5,0)</f>
        <v>Asesoria médica y de ciencias aplicadas al desarrollo del rendimiento deportivo de atletas y para-atletas de Antioquia</v>
      </c>
      <c r="F336" s="201">
        <f>VLOOKUP(E336,PROYECTOS!$K$1:$M$32,3,0)</f>
        <v>2024003050103</v>
      </c>
      <c r="G336" s="202" t="s">
        <v>430</v>
      </c>
      <c r="H336" s="202" t="str">
        <f>VLOOKUP(Q336,PROYECTOS!$V$1:$W$32,2,0)</f>
        <v>050080</v>
      </c>
      <c r="I336" s="203">
        <v>60174400</v>
      </c>
      <c r="J336" s="204" t="s">
        <v>431</v>
      </c>
      <c r="K336" s="199" t="str">
        <f t="shared" ca="1" si="50"/>
        <v>CONTRATADO</v>
      </c>
      <c r="L336" s="199" t="s">
        <v>112</v>
      </c>
      <c r="M336" s="204" t="s">
        <v>113</v>
      </c>
      <c r="N336" s="205" t="s">
        <v>420</v>
      </c>
      <c r="O336" s="204">
        <f>VLOOKUP(N336,RUBROS[#All],3,0)</f>
        <v>59</v>
      </c>
      <c r="P336" s="206" t="str">
        <f>VLOOKUP(N336,RUBROS[#All],2,0)</f>
        <v xml:space="preserve">Asesoria médica y de ciencias aplicadas al desarrollo del rendimiento deportivo de atletas y para-atletas de Antioquia -Servicios prestados a las empresas y servicios de producción </v>
      </c>
      <c r="Q336" s="199" t="str">
        <f t="shared" si="51"/>
        <v>03</v>
      </c>
      <c r="R336" s="199" t="str">
        <f t="shared" si="52"/>
        <v>0-205128</v>
      </c>
      <c r="S336" s="207">
        <v>8</v>
      </c>
      <c r="T336" s="208" t="s">
        <v>46</v>
      </c>
      <c r="U336" s="209" t="e">
        <f ca="1">_xlfn.XLOOKUP(PAA[[#This Row],[ITEM]],Contrato!A:A,Contrato!Q:Q,"",0)</f>
        <v>#NAME?</v>
      </c>
      <c r="V336" s="199" t="s">
        <v>47</v>
      </c>
      <c r="W336" s="199" t="s">
        <v>154</v>
      </c>
      <c r="X336" s="199" t="s">
        <v>154</v>
      </c>
      <c r="Y336" s="210" t="e">
        <f ca="1">_xlfn.XLOOKUP(PAA[[#This Row],[ITEM]],Contrato!A:A,Contrato!B:B,"",0)</f>
        <v>#NAME?</v>
      </c>
      <c r="Z336" s="199" t="e">
        <f ca="1">_xlfn.XLOOKUP(PAA[[#This Row],[ITEM]],Contrato!A:A,Contrato!G:G,"",0)</f>
        <v>#NAME?</v>
      </c>
      <c r="AA336" s="199" t="e">
        <f ca="1">_xlfn.XLOOKUP(PAA[[#This Row],[ITEM]],Contrato!A:A,Contrato!T:T,"",0)</f>
        <v>#NAME?</v>
      </c>
      <c r="AB336" s="210" t="e">
        <f ca="1">+MAX(PAA[[#This Row],[Comprometido Contrato]],)</f>
        <v>#NAME?</v>
      </c>
      <c r="AC336" s="210" t="str">
        <f t="shared" ca="1" si="56"/>
        <v/>
      </c>
      <c r="AD336" s="210" t="e">
        <f ca="1">+MAX(PAA[[#This Row],[Pago por Contrato]],)</f>
        <v>#NAME?</v>
      </c>
      <c r="AE336" s="210" t="str">
        <f t="shared" ca="1" si="53"/>
        <v/>
      </c>
      <c r="AF336" s="199" t="e">
        <f t="shared" ca="1" si="54"/>
        <v>#NAME?</v>
      </c>
      <c r="AG336" s="199">
        <f t="shared" si="55"/>
        <v>52010804</v>
      </c>
      <c r="AH336" s="199" t="e" cm="1">
        <f t="array" aca="1" ref="AH336" ca="1">_xlfn.XLOOKUP(PAA[[#This Row],[RCP-RUBRO]],COMPROMISOS_2025[[#All],[concatenado]],COMPROMISOS_2025[[#All],[Total pagado]],"",0)</f>
        <v>#NAME?</v>
      </c>
      <c r="AI336" s="199" t="e" cm="1">
        <f t="array" aca="1" ref="AI336" ca="1">_xlfn.XLOOKUP(PAA[[#This Row],[RCP-RUBRO]],COMPROMISOS_2025[[#All],[concatenado]],COMPROMISOS_2025[[#All],[Total Comprometido]],"",0)</f>
        <v>#NAME?</v>
      </c>
    </row>
    <row r="337" spans="1:35" s="50" customFormat="1" ht="42" hidden="1" customHeight="1" x14ac:dyDescent="0.25">
      <c r="A337" s="57">
        <v>237</v>
      </c>
      <c r="B337" s="186">
        <v>80111600</v>
      </c>
      <c r="C337" s="57" t="str">
        <f>VLOOKUP(PAA[[#This Row],[PROYECTO (formulado)2]],PROYECTOS!$G$1:$L$32,6,0)</f>
        <v>SUBGERENCIA DE ALTOS LOGROS Y DEPORTE ASOCIADO</v>
      </c>
      <c r="D337" s="57" t="str">
        <f>+IF(PAA[[#This Row],[UNIDAD DE CONTRATACION (formulado)]]="Subgerencia Administrativa y Financiera","FUNCIONAMIENTO","INVERSIÓN")</f>
        <v>INVERSIÓN</v>
      </c>
      <c r="E337" s="153" t="str">
        <f>VLOOKUP(Q337,PROYECTOS!$G$1:$K$32,5,0)</f>
        <v>Asesoria médica y de ciencias aplicadas al desarrollo del rendimiento deportivo de atletas y para-atletas de Antioquia</v>
      </c>
      <c r="F337" s="153">
        <f>VLOOKUP(E337,PROYECTOS!$K$1:$M$32,3,0)</f>
        <v>2024003050103</v>
      </c>
      <c r="G337" s="154" t="s">
        <v>418</v>
      </c>
      <c r="H337" s="154" t="str">
        <f>VLOOKUP(Q337,PROYECTOS!$V$1:$W$32,2,0)</f>
        <v>050080</v>
      </c>
      <c r="I337" s="143">
        <v>15000000</v>
      </c>
      <c r="J337" s="155" t="s">
        <v>432</v>
      </c>
      <c r="K337" s="57" t="str">
        <f t="shared" ca="1" si="50"/>
        <v>CONTRATADO</v>
      </c>
      <c r="L337" s="57" t="s">
        <v>153</v>
      </c>
      <c r="M337" s="57" t="s">
        <v>142</v>
      </c>
      <c r="N337" s="142" t="s">
        <v>433</v>
      </c>
      <c r="O337" s="155">
        <f>VLOOKUP(N337,RUBROS[#All],3,0)</f>
        <v>60</v>
      </c>
      <c r="P337" s="156" t="str">
        <f>VLOOKUP(N337,RUBROS[#All],2,0)</f>
        <v>Asesoria médica y de ciencias aplicadas al desarrollo del rendimiento deportivo de atletas y para-atletas de Antioquia -Servicios para la comunidad, sociales y personales</v>
      </c>
      <c r="Q337" s="57" t="str">
        <f t="shared" si="51"/>
        <v>03</v>
      </c>
      <c r="R337" s="57" t="str">
        <f t="shared" si="52"/>
        <v>0-205128</v>
      </c>
      <c r="S337" s="152">
        <v>9</v>
      </c>
      <c r="T337" s="157" t="s">
        <v>46</v>
      </c>
      <c r="U337" s="162" t="e">
        <f ca="1">_xlfn.XLOOKUP(PAA[[#This Row],[ITEM]],Contrato!A:A,Contrato!Q:Q,"",0)</f>
        <v>#NAME?</v>
      </c>
      <c r="V337" s="57" t="s">
        <v>47</v>
      </c>
      <c r="W337" s="57" t="s">
        <v>127</v>
      </c>
      <c r="X337" s="57" t="s">
        <v>127</v>
      </c>
      <c r="Y337" s="58" t="e">
        <f ca="1">_xlfn.XLOOKUP(PAA[[#This Row],[ITEM]],Contrato!A:A,Contrato!B:B,"",0)</f>
        <v>#NAME?</v>
      </c>
      <c r="Z337" s="57" t="e">
        <f ca="1">_xlfn.XLOOKUP(PAA[[#This Row],[ITEM]],Contrato!A:A,Contrato!G:G,"",0)</f>
        <v>#NAME?</v>
      </c>
      <c r="AA337" s="57" t="e">
        <f ca="1">_xlfn.XLOOKUP(PAA[[#This Row],[ITEM]],Contrato!A:A,Contrato!T:T,"",0)</f>
        <v>#NAME?</v>
      </c>
      <c r="AB337" s="58" t="e">
        <f ca="1">+MAX(PAA[[#This Row],[Comprometido Contrato]],)</f>
        <v>#NAME?</v>
      </c>
      <c r="AC337" s="58" t="str">
        <f t="shared" ca="1" si="56"/>
        <v/>
      </c>
      <c r="AD337" s="58" t="e">
        <f ca="1">+MAX(PAA[[#This Row],[Pago por Contrato]],)</f>
        <v>#NAME?</v>
      </c>
      <c r="AE337" s="58" t="str">
        <f t="shared" ca="1" si="53"/>
        <v/>
      </c>
      <c r="AF337" s="57" t="e">
        <f t="shared" ca="1" si="54"/>
        <v>#NAME?</v>
      </c>
      <c r="AG337" s="57">
        <f t="shared" si="55"/>
        <v>52010804</v>
      </c>
      <c r="AH337" s="57" t="e" cm="1">
        <f t="array" aca="1" ref="AH337" ca="1">_xlfn.XLOOKUP(PAA[[#This Row],[RCP-RUBRO]],COMPROMISOS_2025[[#All],[concatenado]],COMPROMISOS_2025[[#All],[Total pagado]],"",0)</f>
        <v>#NAME?</v>
      </c>
      <c r="AI337" s="57" t="e" cm="1">
        <f t="array" aca="1" ref="AI337" ca="1">_xlfn.XLOOKUP(PAA[[#This Row],[RCP-RUBRO]],COMPROMISOS_2025[[#All],[concatenado]],COMPROMISOS_2025[[#All],[Total Comprometido]],"",0)</f>
        <v>#NAME?</v>
      </c>
    </row>
    <row r="338" spans="1:35" s="50" customFormat="1" ht="42" hidden="1" customHeight="1" x14ac:dyDescent="0.25">
      <c r="A338" s="265">
        <v>238</v>
      </c>
      <c r="B338" s="255">
        <v>80111600</v>
      </c>
      <c r="C338" s="265" t="str">
        <f>VLOOKUP(PAA[[#This Row],[PROYECTO (formulado)2]],PROYECTOS!$G$1:$L$32,6,0)</f>
        <v>SUBGERENCIA DE ALTOS LOGROS Y DEPORTE ASOCIADO</v>
      </c>
      <c r="D338" s="265" t="str">
        <f>+IF(PAA[[#This Row],[UNIDAD DE CONTRATACION (formulado)]]="Subgerencia Administrativa y Financiera","FUNCIONAMIENTO","INVERSIÓN")</f>
        <v>INVERSIÓN</v>
      </c>
      <c r="E338" s="274" t="str">
        <f>VLOOKUP(Q338,PROYECTOS!$G$1:$K$32,5,0)</f>
        <v>Asesoria médica y de ciencias aplicadas al desarrollo del rendimiento deportivo de atletas y para-atletas de Antioquia</v>
      </c>
      <c r="F338" s="274">
        <f>VLOOKUP(E338,PROYECTOS!$K$1:$M$32,3,0)</f>
        <v>2024003050103</v>
      </c>
      <c r="G338" s="266" t="s">
        <v>430</v>
      </c>
      <c r="H338" s="266" t="str">
        <f>VLOOKUP(Q338,PROYECTOS!$V$1:$W$32,2,0)</f>
        <v>050080</v>
      </c>
      <c r="I338" s="269">
        <v>60174400</v>
      </c>
      <c r="J338" s="275" t="s">
        <v>434</v>
      </c>
      <c r="K338" s="265" t="str">
        <f t="shared" ca="1" si="50"/>
        <v>CONTRATADO</v>
      </c>
      <c r="L338" s="265" t="s">
        <v>112</v>
      </c>
      <c r="M338" s="265" t="s">
        <v>113</v>
      </c>
      <c r="N338" s="276" t="s">
        <v>433</v>
      </c>
      <c r="O338" s="275">
        <f>VLOOKUP(N338,RUBROS[#All],3,0)</f>
        <v>60</v>
      </c>
      <c r="P338" s="277" t="str">
        <f>VLOOKUP(N338,RUBROS[#All],2,0)</f>
        <v>Asesoria médica y de ciencias aplicadas al desarrollo del rendimiento deportivo de atletas y para-atletas de Antioquia -Servicios para la comunidad, sociales y personales</v>
      </c>
      <c r="Q338" s="265" t="str">
        <f t="shared" si="51"/>
        <v>03</v>
      </c>
      <c r="R338" s="265" t="str">
        <f t="shared" si="52"/>
        <v>0-205128</v>
      </c>
      <c r="S338" s="254">
        <v>8</v>
      </c>
      <c r="T338" s="278" t="s">
        <v>46</v>
      </c>
      <c r="U338" s="272" t="e">
        <f ca="1">_xlfn.XLOOKUP(PAA[[#This Row],[ITEM]],Contrato!A:A,Contrato!Q:Q,"",0)</f>
        <v>#NAME?</v>
      </c>
      <c r="V338" s="265" t="s">
        <v>47</v>
      </c>
      <c r="W338" s="265" t="s">
        <v>154</v>
      </c>
      <c r="X338" s="265" t="s">
        <v>154</v>
      </c>
      <c r="Y338" s="273" t="e">
        <f ca="1">_xlfn.XLOOKUP(PAA[[#This Row],[ITEM]],Contrato!A:A,Contrato!B:B,"",0)</f>
        <v>#NAME?</v>
      </c>
      <c r="Z338" s="265" t="e">
        <f ca="1">_xlfn.XLOOKUP(PAA[[#This Row],[ITEM]],Contrato!A:A,Contrato!G:G,"",0)</f>
        <v>#NAME?</v>
      </c>
      <c r="AA338" s="265" t="e">
        <f ca="1">_xlfn.XLOOKUP(PAA[[#This Row],[ITEM]],Contrato!A:A,Contrato!T:T,"",0)</f>
        <v>#NAME?</v>
      </c>
      <c r="AB338" s="273" t="e">
        <f ca="1">+MAX(PAA[[#This Row],[Comprometido Contrato]],)</f>
        <v>#NAME?</v>
      </c>
      <c r="AC338" s="273" t="str">
        <f t="shared" ca="1" si="56"/>
        <v/>
      </c>
      <c r="AD338" s="273" t="e">
        <f ca="1">+MAX(PAA[[#This Row],[Pago por Contrato]],)</f>
        <v>#NAME?</v>
      </c>
      <c r="AE338" s="273" t="str">
        <f t="shared" ca="1" si="53"/>
        <v/>
      </c>
      <c r="AF338" s="265" t="e">
        <f t="shared" ca="1" si="54"/>
        <v>#NAME?</v>
      </c>
      <c r="AG338" s="265">
        <f t="shared" si="55"/>
        <v>52010804</v>
      </c>
      <c r="AH338" s="265" t="e" cm="1">
        <f t="array" aca="1" ref="AH338" ca="1">_xlfn.XLOOKUP(PAA[[#This Row],[RCP-RUBRO]],COMPROMISOS_2025[[#All],[concatenado]],COMPROMISOS_2025[[#All],[Total pagado]],"",0)</f>
        <v>#NAME?</v>
      </c>
      <c r="AI338" s="265" t="e" cm="1">
        <f t="array" aca="1" ref="AI338" ca="1">_xlfn.XLOOKUP(PAA[[#This Row],[RCP-RUBRO]],COMPROMISOS_2025[[#All],[concatenado]],COMPROMISOS_2025[[#All],[Total Comprometido]],"",0)</f>
        <v>#NAME?</v>
      </c>
    </row>
    <row r="339" spans="1:35" s="50" customFormat="1" ht="42" hidden="1" customHeight="1" x14ac:dyDescent="0.25">
      <c r="A339" s="199">
        <v>239</v>
      </c>
      <c r="B339" s="200">
        <v>80111600</v>
      </c>
      <c r="C339" s="199" t="str">
        <f>VLOOKUP(PAA[[#This Row],[PROYECTO (formulado)2]],PROYECTOS!$G$1:$L$32,6,0)</f>
        <v>SUBGERENCIA DE ALTOS LOGROS Y DEPORTE ASOCIADO</v>
      </c>
      <c r="D339" s="199" t="str">
        <f>+IF(PAA[[#This Row],[UNIDAD DE CONTRATACION (formulado)]]="Subgerencia Administrativa y Financiera","FUNCIONAMIENTO","INVERSIÓN")</f>
        <v>INVERSIÓN</v>
      </c>
      <c r="E339" s="201" t="str">
        <f>VLOOKUP(Q339,PROYECTOS!$G$1:$K$32,5,0)</f>
        <v>Asesoria médica y de ciencias aplicadas al desarrollo del rendimiento deportivo de atletas y para-atletas de Antioquia</v>
      </c>
      <c r="F339" s="201">
        <f>VLOOKUP(E339,PROYECTOS!$K$1:$M$32,3,0)</f>
        <v>2024003050103</v>
      </c>
      <c r="G339" s="202" t="s">
        <v>430</v>
      </c>
      <c r="H339" s="202" t="str">
        <f>VLOOKUP(Q339,PROYECTOS!$V$1:$W$32,2,0)</f>
        <v>050080</v>
      </c>
      <c r="I339" s="203">
        <v>60174400</v>
      </c>
      <c r="J339" s="204" t="s">
        <v>435</v>
      </c>
      <c r="K339" s="199" t="str">
        <f t="shared" ca="1" si="50"/>
        <v>CONTRATADO</v>
      </c>
      <c r="L339" s="199" t="s">
        <v>112</v>
      </c>
      <c r="M339" s="204" t="s">
        <v>113</v>
      </c>
      <c r="N339" s="205" t="s">
        <v>433</v>
      </c>
      <c r="O339" s="204">
        <f>VLOOKUP(N339,RUBROS[#All],3,0)</f>
        <v>60</v>
      </c>
      <c r="P339" s="206" t="str">
        <f>VLOOKUP(N339,RUBROS[#All],2,0)</f>
        <v>Asesoria médica y de ciencias aplicadas al desarrollo del rendimiento deportivo de atletas y para-atletas de Antioquia -Servicios para la comunidad, sociales y personales</v>
      </c>
      <c r="Q339" s="199" t="str">
        <f t="shared" si="51"/>
        <v>03</v>
      </c>
      <c r="R339" s="199" t="str">
        <f t="shared" si="52"/>
        <v>0-205128</v>
      </c>
      <c r="S339" s="207">
        <v>8</v>
      </c>
      <c r="T339" s="208" t="s">
        <v>46</v>
      </c>
      <c r="U339" s="209" t="e">
        <f ca="1">_xlfn.XLOOKUP(PAA[[#This Row],[ITEM]],Contrato!A:A,Contrato!Q:Q,"",0)</f>
        <v>#NAME?</v>
      </c>
      <c r="V339" s="199" t="s">
        <v>47</v>
      </c>
      <c r="W339" s="199" t="s">
        <v>154</v>
      </c>
      <c r="X339" s="199" t="s">
        <v>154</v>
      </c>
      <c r="Y339" s="210" t="e">
        <f ca="1">_xlfn.XLOOKUP(PAA[[#This Row],[ITEM]],Contrato!A:A,Contrato!B:B,"",0)</f>
        <v>#NAME?</v>
      </c>
      <c r="Z339" s="199" t="e">
        <f ca="1">_xlfn.XLOOKUP(PAA[[#This Row],[ITEM]],Contrato!A:A,Contrato!G:G,"",0)</f>
        <v>#NAME?</v>
      </c>
      <c r="AA339" s="199" t="e">
        <f ca="1">_xlfn.XLOOKUP(PAA[[#This Row],[ITEM]],Contrato!A:A,Contrato!T:T,"",0)</f>
        <v>#NAME?</v>
      </c>
      <c r="AB339" s="210" t="e">
        <f ca="1">+MAX(PAA[[#This Row],[Comprometido Contrato]],)</f>
        <v>#NAME?</v>
      </c>
      <c r="AC339" s="210" t="str">
        <f t="shared" ca="1" si="56"/>
        <v/>
      </c>
      <c r="AD339" s="210" t="e">
        <f ca="1">+MAX(PAA[[#This Row],[Pago por Contrato]],)</f>
        <v>#NAME?</v>
      </c>
      <c r="AE339" s="210" t="str">
        <f t="shared" ca="1" si="53"/>
        <v/>
      </c>
      <c r="AF339" s="199" t="e">
        <f t="shared" ca="1" si="54"/>
        <v>#NAME?</v>
      </c>
      <c r="AG339" s="199">
        <f t="shared" si="55"/>
        <v>52010804</v>
      </c>
      <c r="AH339" s="199" t="e" cm="1">
        <f t="array" aca="1" ref="AH339" ca="1">_xlfn.XLOOKUP(PAA[[#This Row],[RCP-RUBRO]],COMPROMISOS_2025[[#All],[concatenado]],COMPROMISOS_2025[[#All],[Total pagado]],"",0)</f>
        <v>#NAME?</v>
      </c>
      <c r="AI339" s="199" t="e" cm="1">
        <f t="array" aca="1" ref="AI339" ca="1">_xlfn.XLOOKUP(PAA[[#This Row],[RCP-RUBRO]],COMPROMISOS_2025[[#All],[concatenado]],COMPROMISOS_2025[[#All],[Total Comprometido]],"",0)</f>
        <v>#NAME?</v>
      </c>
    </row>
    <row r="340" spans="1:35" s="50" customFormat="1" ht="42" hidden="1" customHeight="1" x14ac:dyDescent="0.25">
      <c r="A340" s="265">
        <v>240</v>
      </c>
      <c r="B340" s="255">
        <v>80111600</v>
      </c>
      <c r="C340" s="265" t="str">
        <f>VLOOKUP(PAA[[#This Row],[PROYECTO (formulado)2]],PROYECTOS!$G$1:$L$32,6,0)</f>
        <v>SUBGERENCIA DE ALTOS LOGROS Y DEPORTE ASOCIADO</v>
      </c>
      <c r="D340" s="265" t="str">
        <f>+IF(PAA[[#This Row],[UNIDAD DE CONTRATACION (formulado)]]="Subgerencia Administrativa y Financiera","FUNCIONAMIENTO","INVERSIÓN")</f>
        <v>INVERSIÓN</v>
      </c>
      <c r="E340" s="274" t="str">
        <f>VLOOKUP(Q340,PROYECTOS!$G$1:$K$32,5,0)</f>
        <v>Asesoria médica y de ciencias aplicadas al desarrollo del rendimiento deportivo de atletas y para-atletas de Antioquia</v>
      </c>
      <c r="F340" s="274">
        <f>VLOOKUP(E340,PROYECTOS!$K$1:$M$32,3,0)</f>
        <v>2024003050103</v>
      </c>
      <c r="G340" s="266" t="s">
        <v>430</v>
      </c>
      <c r="H340" s="266" t="str">
        <f>VLOOKUP(Q340,PROYECTOS!$V$1:$W$32,2,0)</f>
        <v>050080</v>
      </c>
      <c r="I340" s="269">
        <v>60174400</v>
      </c>
      <c r="J340" s="275" t="s">
        <v>436</v>
      </c>
      <c r="K340" s="265" t="str">
        <f t="shared" ca="1" si="50"/>
        <v>CONTRATADO</v>
      </c>
      <c r="L340" s="265" t="s">
        <v>112</v>
      </c>
      <c r="M340" s="265" t="s">
        <v>113</v>
      </c>
      <c r="N340" s="276" t="s">
        <v>433</v>
      </c>
      <c r="O340" s="275">
        <f>VLOOKUP(N340,RUBROS[#All],3,0)</f>
        <v>60</v>
      </c>
      <c r="P340" s="277" t="str">
        <f>VLOOKUP(N340,RUBROS[#All],2,0)</f>
        <v>Asesoria médica y de ciencias aplicadas al desarrollo del rendimiento deportivo de atletas y para-atletas de Antioquia -Servicios para la comunidad, sociales y personales</v>
      </c>
      <c r="Q340" s="265" t="str">
        <f t="shared" si="51"/>
        <v>03</v>
      </c>
      <c r="R340" s="265" t="str">
        <f t="shared" si="52"/>
        <v>0-205128</v>
      </c>
      <c r="S340" s="254">
        <v>8</v>
      </c>
      <c r="T340" s="278" t="s">
        <v>46</v>
      </c>
      <c r="U340" s="272" t="e">
        <f ca="1">_xlfn.XLOOKUP(PAA[[#This Row],[ITEM]],Contrato!A:A,Contrato!Q:Q,"",0)</f>
        <v>#NAME?</v>
      </c>
      <c r="V340" s="265" t="s">
        <v>47</v>
      </c>
      <c r="W340" s="265" t="s">
        <v>154</v>
      </c>
      <c r="X340" s="265" t="s">
        <v>154</v>
      </c>
      <c r="Y340" s="273" t="e">
        <f ca="1">_xlfn.XLOOKUP(PAA[[#This Row],[ITEM]],Contrato!A:A,Contrato!B:B,"",0)</f>
        <v>#NAME?</v>
      </c>
      <c r="Z340" s="265" t="e">
        <f ca="1">_xlfn.XLOOKUP(PAA[[#This Row],[ITEM]],Contrato!A:A,Contrato!G:G,"",0)</f>
        <v>#NAME?</v>
      </c>
      <c r="AA340" s="265" t="e">
        <f ca="1">_xlfn.XLOOKUP(PAA[[#This Row],[ITEM]],Contrato!A:A,Contrato!T:T,"",0)</f>
        <v>#NAME?</v>
      </c>
      <c r="AB340" s="273" t="e">
        <f ca="1">+MAX(PAA[[#This Row],[Comprometido Contrato]],)</f>
        <v>#NAME?</v>
      </c>
      <c r="AC340" s="273" t="str">
        <f t="shared" ca="1" si="56"/>
        <v/>
      </c>
      <c r="AD340" s="273" t="e">
        <f ca="1">+MAX(PAA[[#This Row],[Pago por Contrato]],)</f>
        <v>#NAME?</v>
      </c>
      <c r="AE340" s="273" t="str">
        <f t="shared" ca="1" si="53"/>
        <v/>
      </c>
      <c r="AF340" s="265" t="e">
        <f t="shared" ca="1" si="54"/>
        <v>#NAME?</v>
      </c>
      <c r="AG340" s="265">
        <f t="shared" si="55"/>
        <v>52010804</v>
      </c>
      <c r="AH340" s="265" t="e" cm="1">
        <f t="array" aca="1" ref="AH340" ca="1">_xlfn.XLOOKUP(PAA[[#This Row],[RCP-RUBRO]],COMPROMISOS_2025[[#All],[concatenado]],COMPROMISOS_2025[[#All],[Total pagado]],"",0)</f>
        <v>#NAME?</v>
      </c>
      <c r="AI340" s="265" t="e" cm="1">
        <f t="array" aca="1" ref="AI340" ca="1">_xlfn.XLOOKUP(PAA[[#This Row],[RCP-RUBRO]],COMPROMISOS_2025[[#All],[concatenado]],COMPROMISOS_2025[[#All],[Total Comprometido]],"",0)</f>
        <v>#NAME?</v>
      </c>
    </row>
    <row r="341" spans="1:35" s="50" customFormat="1" ht="42" hidden="1" customHeight="1" x14ac:dyDescent="0.25">
      <c r="A341" s="265">
        <v>241</v>
      </c>
      <c r="B341" s="255">
        <v>80111600</v>
      </c>
      <c r="C341" s="265" t="str">
        <f>VLOOKUP(PAA[[#This Row],[PROYECTO (formulado)2]],PROYECTOS!$G$1:$L$32,6,0)</f>
        <v>SUBGERENCIA DE ALTOS LOGROS Y DEPORTE ASOCIADO</v>
      </c>
      <c r="D341" s="265" t="str">
        <f>+IF(PAA[[#This Row],[UNIDAD DE CONTRATACION (formulado)]]="Subgerencia Administrativa y Financiera","FUNCIONAMIENTO","INVERSIÓN")</f>
        <v>INVERSIÓN</v>
      </c>
      <c r="E341" s="274" t="str">
        <f>VLOOKUP(Q341,PROYECTOS!$G$1:$K$32,5,0)</f>
        <v>Asesoria médica y de ciencias aplicadas al desarrollo del rendimiento deportivo de atletas y para-atletas de Antioquia</v>
      </c>
      <c r="F341" s="274">
        <f>VLOOKUP(E341,PROYECTOS!$K$1:$M$32,3,0)</f>
        <v>2024003050103</v>
      </c>
      <c r="G341" s="266" t="s">
        <v>430</v>
      </c>
      <c r="H341" s="266" t="str">
        <f>VLOOKUP(Q341,PROYECTOS!$V$1:$W$32,2,0)</f>
        <v>050080</v>
      </c>
      <c r="I341" s="269">
        <v>32822400</v>
      </c>
      <c r="J341" s="275" t="s">
        <v>437</v>
      </c>
      <c r="K341" s="265" t="str">
        <f t="shared" ca="1" si="50"/>
        <v>CONTRATADO</v>
      </c>
      <c r="L341" s="265" t="s">
        <v>112</v>
      </c>
      <c r="M341" s="265" t="s">
        <v>113</v>
      </c>
      <c r="N341" s="276" t="s">
        <v>433</v>
      </c>
      <c r="O341" s="275">
        <f>VLOOKUP(N341,RUBROS[#All],3,0)</f>
        <v>60</v>
      </c>
      <c r="P341" s="277" t="str">
        <f>VLOOKUP(N341,RUBROS[#All],2,0)</f>
        <v>Asesoria médica y de ciencias aplicadas al desarrollo del rendimiento deportivo de atletas y para-atletas de Antioquia -Servicios para la comunidad, sociales y personales</v>
      </c>
      <c r="Q341" s="265" t="str">
        <f t="shared" si="51"/>
        <v>03</v>
      </c>
      <c r="R341" s="265" t="str">
        <f t="shared" si="52"/>
        <v>0-205128</v>
      </c>
      <c r="S341" s="254">
        <v>8</v>
      </c>
      <c r="T341" s="278" t="s">
        <v>46</v>
      </c>
      <c r="U341" s="272" t="e">
        <f ca="1">_xlfn.XLOOKUP(PAA[[#This Row],[ITEM]],Contrato!A:A,Contrato!Q:Q,"",0)</f>
        <v>#NAME?</v>
      </c>
      <c r="V341" s="265" t="s">
        <v>47</v>
      </c>
      <c r="W341" s="265" t="s">
        <v>154</v>
      </c>
      <c r="X341" s="265" t="s">
        <v>154</v>
      </c>
      <c r="Y341" s="273" t="e">
        <f ca="1">_xlfn.XLOOKUP(PAA[[#This Row],[ITEM]],Contrato!A:A,Contrato!B:B,"",0)</f>
        <v>#NAME?</v>
      </c>
      <c r="Z341" s="265" t="e">
        <f ca="1">_xlfn.XLOOKUP(PAA[[#This Row],[ITEM]],Contrato!A:A,Contrato!G:G,"",0)</f>
        <v>#NAME?</v>
      </c>
      <c r="AA341" s="265" t="e">
        <f ca="1">_xlfn.XLOOKUP(PAA[[#This Row],[ITEM]],Contrato!A:A,Contrato!T:T,"",0)</f>
        <v>#NAME?</v>
      </c>
      <c r="AB341" s="273" t="e">
        <f ca="1">+MAX(PAA[[#This Row],[Comprometido Contrato]],)</f>
        <v>#NAME?</v>
      </c>
      <c r="AC341" s="273" t="str">
        <f t="shared" ca="1" si="56"/>
        <v/>
      </c>
      <c r="AD341" s="273" t="e">
        <f ca="1">+MAX(PAA[[#This Row],[Pago por Contrato]],)</f>
        <v>#NAME?</v>
      </c>
      <c r="AE341" s="273" t="str">
        <f t="shared" ca="1" si="53"/>
        <v/>
      </c>
      <c r="AF341" s="265" t="e">
        <f t="shared" ca="1" si="54"/>
        <v>#NAME?</v>
      </c>
      <c r="AG341" s="265">
        <f t="shared" si="55"/>
        <v>52010804</v>
      </c>
      <c r="AH341" s="265" t="e" cm="1">
        <f t="array" aca="1" ref="AH341" ca="1">_xlfn.XLOOKUP(PAA[[#This Row],[RCP-RUBRO]],COMPROMISOS_2025[[#All],[concatenado]],COMPROMISOS_2025[[#All],[Total pagado]],"",0)</f>
        <v>#NAME?</v>
      </c>
      <c r="AI341" s="265" t="e" cm="1">
        <f t="array" aca="1" ref="AI341" ca="1">_xlfn.XLOOKUP(PAA[[#This Row],[RCP-RUBRO]],COMPROMISOS_2025[[#All],[concatenado]],COMPROMISOS_2025[[#All],[Total Comprometido]],"",0)</f>
        <v>#NAME?</v>
      </c>
    </row>
    <row r="342" spans="1:35" s="50" customFormat="1" ht="42" hidden="1" customHeight="1" x14ac:dyDescent="0.25">
      <c r="A342" s="326">
        <v>242</v>
      </c>
      <c r="B342" s="325">
        <v>80111600</v>
      </c>
      <c r="C342" s="326" t="str">
        <f>VLOOKUP(PAA[[#This Row],[PROYECTO (formulado)2]],PROYECTOS!$G$1:$L$32,6,0)</f>
        <v>SUBGERENCIA DE ALTOS LOGROS Y DEPORTE ASOCIADO</v>
      </c>
      <c r="D342" s="326" t="str">
        <f>+IF(PAA[[#This Row],[UNIDAD DE CONTRATACION (formulado)]]="Subgerencia Administrativa y Financiera","FUNCIONAMIENTO","INVERSIÓN")</f>
        <v>INVERSIÓN</v>
      </c>
      <c r="E342" s="327" t="str">
        <f>VLOOKUP(Q342,PROYECTOS!$G$1:$K$32,5,0)</f>
        <v>Asesoria médica y de ciencias aplicadas al desarrollo del rendimiento deportivo de atletas y para-atletas de Antioquia</v>
      </c>
      <c r="F342" s="327">
        <f>VLOOKUP(E342,PROYECTOS!$K$1:$M$32,3,0)</f>
        <v>2024003050103</v>
      </c>
      <c r="G342" s="328" t="s">
        <v>430</v>
      </c>
      <c r="H342" s="328" t="str">
        <f>VLOOKUP(Q342,PROYECTOS!$V$1:$W$32,2,0)</f>
        <v>050080</v>
      </c>
      <c r="I342" s="329">
        <v>60174400</v>
      </c>
      <c r="J342" s="330" t="s">
        <v>438</v>
      </c>
      <c r="K342" s="326" t="str">
        <f t="shared" ca="1" si="50"/>
        <v>CONTRATADO</v>
      </c>
      <c r="L342" s="326" t="s">
        <v>112</v>
      </c>
      <c r="M342" s="326" t="s">
        <v>113</v>
      </c>
      <c r="N342" s="331" t="s">
        <v>433</v>
      </c>
      <c r="O342" s="330">
        <f>VLOOKUP(N342,RUBROS[#All],3,0)</f>
        <v>60</v>
      </c>
      <c r="P342" s="332" t="str">
        <f>VLOOKUP(N342,RUBROS[#All],2,0)</f>
        <v>Asesoria médica y de ciencias aplicadas al desarrollo del rendimiento deportivo de atletas y para-atletas de Antioquia -Servicios para la comunidad, sociales y personales</v>
      </c>
      <c r="Q342" s="326" t="str">
        <f t="shared" si="51"/>
        <v>03</v>
      </c>
      <c r="R342" s="326" t="str">
        <f t="shared" si="52"/>
        <v>0-205128</v>
      </c>
      <c r="S342" s="333">
        <v>8</v>
      </c>
      <c r="T342" s="337" t="s">
        <v>46</v>
      </c>
      <c r="U342" s="335" t="e">
        <f ca="1">_xlfn.XLOOKUP(PAA[[#This Row],[ITEM]],Contrato!A:A,Contrato!Q:Q,"",0)</f>
        <v>#NAME?</v>
      </c>
      <c r="V342" s="326" t="s">
        <v>47</v>
      </c>
      <c r="W342" s="326" t="s">
        <v>154</v>
      </c>
      <c r="X342" s="326" t="s">
        <v>127</v>
      </c>
      <c r="Y342" s="336" t="e">
        <f ca="1">_xlfn.XLOOKUP(PAA[[#This Row],[ITEM]],Contrato!A:A,Contrato!B:B,"",0)</f>
        <v>#NAME?</v>
      </c>
      <c r="Z342" s="326" t="e">
        <f ca="1">_xlfn.XLOOKUP(PAA[[#This Row],[ITEM]],Contrato!A:A,Contrato!G:G,"",0)</f>
        <v>#NAME?</v>
      </c>
      <c r="AA342" s="326" t="e">
        <f ca="1">_xlfn.XLOOKUP(PAA[[#This Row],[ITEM]],Contrato!A:A,Contrato!T:T,"",0)</f>
        <v>#NAME?</v>
      </c>
      <c r="AB342" s="336" t="e">
        <f ca="1">+MAX(PAA[[#This Row],[Comprometido Contrato]],)</f>
        <v>#NAME?</v>
      </c>
      <c r="AC342" s="336" t="str">
        <f t="shared" ca="1" si="56"/>
        <v/>
      </c>
      <c r="AD342" s="336" t="e">
        <f ca="1">+MAX(PAA[[#This Row],[Pago por Contrato]],)</f>
        <v>#NAME?</v>
      </c>
      <c r="AE342" s="336" t="str">
        <f t="shared" ca="1" si="53"/>
        <v/>
      </c>
      <c r="AF342" s="326" t="e">
        <f t="shared" ca="1" si="54"/>
        <v>#NAME?</v>
      </c>
      <c r="AG342" s="326">
        <f t="shared" si="55"/>
        <v>52010804</v>
      </c>
      <c r="AH342" s="326" t="e" cm="1">
        <f t="array" aca="1" ref="AH342" ca="1">_xlfn.XLOOKUP(PAA[[#This Row],[RCP-RUBRO]],COMPROMISOS_2025[[#All],[concatenado]],COMPROMISOS_2025[[#All],[Total pagado]],"",0)</f>
        <v>#NAME?</v>
      </c>
      <c r="AI342" s="326" t="e" cm="1">
        <f t="array" aca="1" ref="AI342" ca="1">_xlfn.XLOOKUP(PAA[[#This Row],[RCP-RUBRO]],COMPROMISOS_2025[[#All],[concatenado]],COMPROMISOS_2025[[#All],[Total Comprometido]],"",0)</f>
        <v>#NAME?</v>
      </c>
    </row>
    <row r="343" spans="1:35" s="50" customFormat="1" ht="42" hidden="1" customHeight="1" x14ac:dyDescent="0.25">
      <c r="A343" s="265">
        <v>243</v>
      </c>
      <c r="B343" s="255">
        <v>80111600</v>
      </c>
      <c r="C343" s="265" t="str">
        <f>VLOOKUP(PAA[[#This Row],[PROYECTO (formulado)2]],PROYECTOS!$G$1:$L$32,6,0)</f>
        <v>SUBGERENCIA DE ALTOS LOGROS Y DEPORTE ASOCIADO</v>
      </c>
      <c r="D343" s="265" t="str">
        <f>+IF(PAA[[#This Row],[UNIDAD DE CONTRATACION (formulado)]]="Subgerencia Administrativa y Financiera","FUNCIONAMIENTO","INVERSIÓN")</f>
        <v>INVERSIÓN</v>
      </c>
      <c r="E343" s="274" t="str">
        <f>VLOOKUP(Q343,PROYECTOS!$G$1:$K$32,5,0)</f>
        <v>Asesoria médica y de ciencias aplicadas al desarrollo del rendimiento deportivo de atletas y para-atletas de Antioquia</v>
      </c>
      <c r="F343" s="274">
        <f>VLOOKUP(E343,PROYECTOS!$K$1:$M$32,3,0)</f>
        <v>2024003050103</v>
      </c>
      <c r="G343" s="266" t="s">
        <v>430</v>
      </c>
      <c r="H343" s="266" t="str">
        <f>VLOOKUP(Q343,PROYECTOS!$V$1:$W$32,2,0)</f>
        <v>050080</v>
      </c>
      <c r="I343" s="269">
        <v>60174400</v>
      </c>
      <c r="J343" s="275" t="s">
        <v>439</v>
      </c>
      <c r="K343" s="265" t="str">
        <f t="shared" ca="1" si="50"/>
        <v>CONTRATADO</v>
      </c>
      <c r="L343" s="265" t="s">
        <v>112</v>
      </c>
      <c r="M343" s="265" t="s">
        <v>113</v>
      </c>
      <c r="N343" s="276" t="s">
        <v>433</v>
      </c>
      <c r="O343" s="275">
        <f>VLOOKUP(N343,RUBROS[#All],3,0)</f>
        <v>60</v>
      </c>
      <c r="P343" s="277" t="str">
        <f>VLOOKUP(N343,RUBROS[#All],2,0)</f>
        <v>Asesoria médica y de ciencias aplicadas al desarrollo del rendimiento deportivo de atletas y para-atletas de Antioquia -Servicios para la comunidad, sociales y personales</v>
      </c>
      <c r="Q343" s="265" t="str">
        <f t="shared" si="51"/>
        <v>03</v>
      </c>
      <c r="R343" s="265" t="str">
        <f t="shared" si="52"/>
        <v>0-205128</v>
      </c>
      <c r="S343" s="254">
        <v>8</v>
      </c>
      <c r="T343" s="278" t="s">
        <v>46</v>
      </c>
      <c r="U343" s="272" t="e">
        <f ca="1">_xlfn.XLOOKUP(PAA[[#This Row],[ITEM]],Contrato!A:A,Contrato!Q:Q,"",0)</f>
        <v>#NAME?</v>
      </c>
      <c r="V343" s="265" t="s">
        <v>47</v>
      </c>
      <c r="W343" s="265" t="s">
        <v>154</v>
      </c>
      <c r="X343" s="265" t="s">
        <v>154</v>
      </c>
      <c r="Y343" s="273" t="e">
        <f ca="1">_xlfn.XLOOKUP(PAA[[#This Row],[ITEM]],Contrato!A:A,Contrato!B:B,"",0)</f>
        <v>#NAME?</v>
      </c>
      <c r="Z343" s="265" t="e">
        <f ca="1">_xlfn.XLOOKUP(PAA[[#This Row],[ITEM]],Contrato!A:A,Contrato!G:G,"",0)</f>
        <v>#NAME?</v>
      </c>
      <c r="AA343" s="265" t="e">
        <f ca="1">_xlfn.XLOOKUP(PAA[[#This Row],[ITEM]],Contrato!A:A,Contrato!T:T,"",0)</f>
        <v>#NAME?</v>
      </c>
      <c r="AB343" s="273" t="e">
        <f ca="1">+MAX(PAA[[#This Row],[Comprometido Contrato]],)</f>
        <v>#NAME?</v>
      </c>
      <c r="AC343" s="273" t="str">
        <f t="shared" ca="1" si="56"/>
        <v/>
      </c>
      <c r="AD343" s="273" t="e">
        <f ca="1">+MAX(PAA[[#This Row],[Pago por Contrato]],)</f>
        <v>#NAME?</v>
      </c>
      <c r="AE343" s="273" t="str">
        <f t="shared" ca="1" si="53"/>
        <v/>
      </c>
      <c r="AF343" s="265" t="e">
        <f t="shared" ca="1" si="54"/>
        <v>#NAME?</v>
      </c>
      <c r="AG343" s="265">
        <f t="shared" si="55"/>
        <v>52010804</v>
      </c>
      <c r="AH343" s="265" t="e" cm="1">
        <f t="array" aca="1" ref="AH343" ca="1">_xlfn.XLOOKUP(PAA[[#This Row],[RCP-RUBRO]],COMPROMISOS_2025[[#All],[concatenado]],COMPROMISOS_2025[[#All],[Total pagado]],"",0)</f>
        <v>#NAME?</v>
      </c>
      <c r="AI343" s="265" t="e" cm="1">
        <f t="array" aca="1" ref="AI343" ca="1">_xlfn.XLOOKUP(PAA[[#This Row],[RCP-RUBRO]],COMPROMISOS_2025[[#All],[concatenado]],COMPROMISOS_2025[[#All],[Total Comprometido]],"",0)</f>
        <v>#NAME?</v>
      </c>
    </row>
    <row r="344" spans="1:35" s="50" customFormat="1" ht="42" hidden="1" customHeight="1" x14ac:dyDescent="0.25">
      <c r="A344" s="265">
        <v>244</v>
      </c>
      <c r="B344" s="255">
        <v>80111600</v>
      </c>
      <c r="C344" s="265" t="str">
        <f>VLOOKUP(PAA[[#This Row],[PROYECTO (formulado)2]],PROYECTOS!$G$1:$L$32,6,0)</f>
        <v>SUBGERENCIA DE ALTOS LOGROS Y DEPORTE ASOCIADO</v>
      </c>
      <c r="D344" s="265" t="str">
        <f>+IF(PAA[[#This Row],[UNIDAD DE CONTRATACION (formulado)]]="Subgerencia Administrativa y Financiera","FUNCIONAMIENTO","INVERSIÓN")</f>
        <v>INVERSIÓN</v>
      </c>
      <c r="E344" s="274" t="str">
        <f>VLOOKUP(Q344,PROYECTOS!$G$1:$K$32,5,0)</f>
        <v>Asesoria médica y de ciencias aplicadas al desarrollo del rendimiento deportivo de atletas y para-atletas de Antioquia</v>
      </c>
      <c r="F344" s="274">
        <f>VLOOKUP(E344,PROYECTOS!$K$1:$M$32,3,0)</f>
        <v>2024003050103</v>
      </c>
      <c r="G344" s="266" t="s">
        <v>430</v>
      </c>
      <c r="H344" s="266" t="str">
        <f>VLOOKUP(Q344,PROYECTOS!$V$1:$W$32,2,0)</f>
        <v>050080</v>
      </c>
      <c r="I344" s="269">
        <v>60174400</v>
      </c>
      <c r="J344" s="275" t="s">
        <v>440</v>
      </c>
      <c r="K344" s="265" t="str">
        <f t="shared" ca="1" si="50"/>
        <v>CONTRATADO</v>
      </c>
      <c r="L344" s="265" t="s">
        <v>112</v>
      </c>
      <c r="M344" s="265" t="s">
        <v>113</v>
      </c>
      <c r="N344" s="276" t="s">
        <v>433</v>
      </c>
      <c r="O344" s="275">
        <f>VLOOKUP(N344,RUBROS[#All],3,0)</f>
        <v>60</v>
      </c>
      <c r="P344" s="277" t="str">
        <f>VLOOKUP(N344,RUBROS[#All],2,0)</f>
        <v>Asesoria médica y de ciencias aplicadas al desarrollo del rendimiento deportivo de atletas y para-atletas de Antioquia -Servicios para la comunidad, sociales y personales</v>
      </c>
      <c r="Q344" s="265" t="str">
        <f t="shared" si="51"/>
        <v>03</v>
      </c>
      <c r="R344" s="265" t="str">
        <f t="shared" si="52"/>
        <v>0-205128</v>
      </c>
      <c r="S344" s="254">
        <v>8</v>
      </c>
      <c r="T344" s="278" t="s">
        <v>46</v>
      </c>
      <c r="U344" s="272" t="e">
        <f ca="1">_xlfn.XLOOKUP(PAA[[#This Row],[ITEM]],Contrato!A:A,Contrato!Q:Q,"",0)</f>
        <v>#NAME?</v>
      </c>
      <c r="V344" s="265" t="s">
        <v>47</v>
      </c>
      <c r="W344" s="265" t="s">
        <v>154</v>
      </c>
      <c r="X344" s="265" t="s">
        <v>154</v>
      </c>
      <c r="Y344" s="273" t="e">
        <f ca="1">_xlfn.XLOOKUP(PAA[[#This Row],[ITEM]],Contrato!A:A,Contrato!B:B,"",0)</f>
        <v>#NAME?</v>
      </c>
      <c r="Z344" s="265" t="e">
        <f ca="1">_xlfn.XLOOKUP(PAA[[#This Row],[ITEM]],Contrato!A:A,Contrato!G:G,"",0)</f>
        <v>#NAME?</v>
      </c>
      <c r="AA344" s="265" t="e">
        <f ca="1">_xlfn.XLOOKUP(PAA[[#This Row],[ITEM]],Contrato!A:A,Contrato!T:T,"",0)</f>
        <v>#NAME?</v>
      </c>
      <c r="AB344" s="273" t="e">
        <f ca="1">+MAX(PAA[[#This Row],[Comprometido Contrato]],)</f>
        <v>#NAME?</v>
      </c>
      <c r="AC344" s="273" t="str">
        <f t="shared" ca="1" si="56"/>
        <v/>
      </c>
      <c r="AD344" s="273" t="e">
        <f ca="1">+MAX(PAA[[#This Row],[Pago por Contrato]],)</f>
        <v>#NAME?</v>
      </c>
      <c r="AE344" s="273" t="str">
        <f t="shared" ca="1" si="53"/>
        <v/>
      </c>
      <c r="AF344" s="265" t="e">
        <f t="shared" ca="1" si="54"/>
        <v>#NAME?</v>
      </c>
      <c r="AG344" s="265">
        <f t="shared" si="55"/>
        <v>52010804</v>
      </c>
      <c r="AH344" s="265" t="e" cm="1">
        <f t="array" aca="1" ref="AH344" ca="1">_xlfn.XLOOKUP(PAA[[#This Row],[RCP-RUBRO]],COMPROMISOS_2025[[#All],[concatenado]],COMPROMISOS_2025[[#All],[Total pagado]],"",0)</f>
        <v>#NAME?</v>
      </c>
      <c r="AI344" s="265" t="e" cm="1">
        <f t="array" aca="1" ref="AI344" ca="1">_xlfn.XLOOKUP(PAA[[#This Row],[RCP-RUBRO]],COMPROMISOS_2025[[#All],[concatenado]],COMPROMISOS_2025[[#All],[Total Comprometido]],"",0)</f>
        <v>#NAME?</v>
      </c>
    </row>
    <row r="345" spans="1:35" s="50" customFormat="1" ht="42" hidden="1" customHeight="1" x14ac:dyDescent="0.25">
      <c r="A345" s="265">
        <v>245</v>
      </c>
      <c r="B345" s="255">
        <v>80111600</v>
      </c>
      <c r="C345" s="265" t="str">
        <f>VLOOKUP(PAA[[#This Row],[PROYECTO (formulado)2]],PROYECTOS!$G$1:$L$32,6,0)</f>
        <v>SUBGERENCIA DE ALTOS LOGROS Y DEPORTE ASOCIADO</v>
      </c>
      <c r="D345" s="265" t="str">
        <f>+IF(PAA[[#This Row],[UNIDAD DE CONTRATACION (formulado)]]="Subgerencia Administrativa y Financiera","FUNCIONAMIENTO","INVERSIÓN")</f>
        <v>INVERSIÓN</v>
      </c>
      <c r="E345" s="274" t="str">
        <f>VLOOKUP(Q345,PROYECTOS!$G$1:$K$32,5,0)</f>
        <v>Asesoria médica y de ciencias aplicadas al desarrollo del rendimiento deportivo de atletas y para-atletas de Antioquia</v>
      </c>
      <c r="F345" s="274">
        <f>VLOOKUP(E345,PROYECTOS!$K$1:$M$32,3,0)</f>
        <v>2024003050103</v>
      </c>
      <c r="G345" s="266" t="s">
        <v>430</v>
      </c>
      <c r="H345" s="266" t="str">
        <f>VLOOKUP(Q345,PROYECTOS!$V$1:$W$32,2,0)</f>
        <v>050080</v>
      </c>
      <c r="I345" s="269">
        <v>32822400</v>
      </c>
      <c r="J345" s="275" t="s">
        <v>441</v>
      </c>
      <c r="K345" s="265" t="str">
        <f t="shared" ca="1" si="50"/>
        <v>CONTRATADO</v>
      </c>
      <c r="L345" s="265" t="s">
        <v>112</v>
      </c>
      <c r="M345" s="265" t="s">
        <v>113</v>
      </c>
      <c r="N345" s="276" t="s">
        <v>433</v>
      </c>
      <c r="O345" s="275">
        <f>VLOOKUP(N345,RUBROS[#All],3,0)</f>
        <v>60</v>
      </c>
      <c r="P345" s="277" t="str">
        <f>VLOOKUP(N345,RUBROS[#All],2,0)</f>
        <v>Asesoria médica y de ciencias aplicadas al desarrollo del rendimiento deportivo de atletas y para-atletas de Antioquia -Servicios para la comunidad, sociales y personales</v>
      </c>
      <c r="Q345" s="265" t="str">
        <f t="shared" si="51"/>
        <v>03</v>
      </c>
      <c r="R345" s="265" t="str">
        <f t="shared" si="52"/>
        <v>0-205128</v>
      </c>
      <c r="S345" s="254">
        <v>8</v>
      </c>
      <c r="T345" s="278" t="s">
        <v>46</v>
      </c>
      <c r="U345" s="272" t="e">
        <f ca="1">_xlfn.XLOOKUP(PAA[[#This Row],[ITEM]],Contrato!A:A,Contrato!Q:Q,"",0)</f>
        <v>#NAME?</v>
      </c>
      <c r="V345" s="265" t="s">
        <v>47</v>
      </c>
      <c r="W345" s="265" t="s">
        <v>154</v>
      </c>
      <c r="X345" s="265" t="s">
        <v>154</v>
      </c>
      <c r="Y345" s="273" t="e">
        <f ca="1">_xlfn.XLOOKUP(PAA[[#This Row],[ITEM]],Contrato!A:A,Contrato!B:B,"",0)</f>
        <v>#NAME?</v>
      </c>
      <c r="Z345" s="265" t="e">
        <f ca="1">_xlfn.XLOOKUP(PAA[[#This Row],[ITEM]],Contrato!A:A,Contrato!G:G,"",0)</f>
        <v>#NAME?</v>
      </c>
      <c r="AA345" s="265" t="e">
        <f ca="1">_xlfn.XLOOKUP(PAA[[#This Row],[ITEM]],Contrato!A:A,Contrato!T:T,"",0)</f>
        <v>#NAME?</v>
      </c>
      <c r="AB345" s="273" t="e">
        <f ca="1">+MAX(PAA[[#This Row],[Comprometido Contrato]],)</f>
        <v>#NAME?</v>
      </c>
      <c r="AC345" s="273" t="str">
        <f t="shared" ca="1" si="56"/>
        <v/>
      </c>
      <c r="AD345" s="273" t="e">
        <f ca="1">+MAX(PAA[[#This Row],[Pago por Contrato]],)</f>
        <v>#NAME?</v>
      </c>
      <c r="AE345" s="273" t="str">
        <f t="shared" ca="1" si="53"/>
        <v/>
      </c>
      <c r="AF345" s="265" t="e">
        <f t="shared" ca="1" si="54"/>
        <v>#NAME?</v>
      </c>
      <c r="AG345" s="265">
        <f t="shared" si="55"/>
        <v>52010804</v>
      </c>
      <c r="AH345" s="265" t="e" cm="1">
        <f t="array" aca="1" ref="AH345" ca="1">_xlfn.XLOOKUP(PAA[[#This Row],[RCP-RUBRO]],COMPROMISOS_2025[[#All],[concatenado]],COMPROMISOS_2025[[#All],[Total pagado]],"",0)</f>
        <v>#NAME?</v>
      </c>
      <c r="AI345" s="265" t="e" cm="1">
        <f t="array" aca="1" ref="AI345" ca="1">_xlfn.XLOOKUP(PAA[[#This Row],[RCP-RUBRO]],COMPROMISOS_2025[[#All],[concatenado]],COMPROMISOS_2025[[#All],[Total Comprometido]],"",0)</f>
        <v>#NAME?</v>
      </c>
    </row>
    <row r="346" spans="1:35" s="50" customFormat="1" ht="42" hidden="1" customHeight="1" x14ac:dyDescent="0.25">
      <c r="A346" s="326">
        <v>246</v>
      </c>
      <c r="B346" s="325">
        <v>80111600</v>
      </c>
      <c r="C346" s="326" t="str">
        <f>VLOOKUP(PAA[[#This Row],[PROYECTO (formulado)2]],PROYECTOS!$G$1:$L$32,6,0)</f>
        <v>SUBGERENCIA DE ALTOS LOGROS Y DEPORTE ASOCIADO</v>
      </c>
      <c r="D346" s="326" t="str">
        <f>+IF(PAA[[#This Row],[UNIDAD DE CONTRATACION (formulado)]]="Subgerencia Administrativa y Financiera","FUNCIONAMIENTO","INVERSIÓN")</f>
        <v>INVERSIÓN</v>
      </c>
      <c r="E346" s="327" t="str">
        <f>VLOOKUP(Q346,PROYECTOS!$G$1:$K$32,5,0)</f>
        <v>Asesoria médica y de ciencias aplicadas al desarrollo del rendimiento deportivo de atletas y para-atletas de Antioquia</v>
      </c>
      <c r="F346" s="327">
        <f>VLOOKUP(E346,PROYECTOS!$K$1:$M$32,3,0)</f>
        <v>2024003050103</v>
      </c>
      <c r="G346" s="328" t="s">
        <v>430</v>
      </c>
      <c r="H346" s="328" t="str">
        <f>VLOOKUP(Q346,PROYECTOS!$V$1:$W$32,2,0)</f>
        <v>050080</v>
      </c>
      <c r="I346" s="329">
        <v>60174400</v>
      </c>
      <c r="J346" s="330" t="s">
        <v>442</v>
      </c>
      <c r="K346" s="326" t="str">
        <f t="shared" ca="1" si="50"/>
        <v>CONTRATADO</v>
      </c>
      <c r="L346" s="326" t="s">
        <v>112</v>
      </c>
      <c r="M346" s="326" t="s">
        <v>113</v>
      </c>
      <c r="N346" s="331" t="s">
        <v>433</v>
      </c>
      <c r="O346" s="330">
        <f>VLOOKUP(N346,RUBROS[#All],3,0)</f>
        <v>60</v>
      </c>
      <c r="P346" s="332" t="str">
        <f>VLOOKUP(N346,RUBROS[#All],2,0)</f>
        <v>Asesoria médica y de ciencias aplicadas al desarrollo del rendimiento deportivo de atletas y para-atletas de Antioquia -Servicios para la comunidad, sociales y personales</v>
      </c>
      <c r="Q346" s="326" t="str">
        <f t="shared" si="51"/>
        <v>03</v>
      </c>
      <c r="R346" s="326" t="str">
        <f t="shared" si="52"/>
        <v>0-205128</v>
      </c>
      <c r="S346" s="333">
        <v>8</v>
      </c>
      <c r="T346" s="337" t="s">
        <v>46</v>
      </c>
      <c r="U346" s="335" t="e">
        <f ca="1">_xlfn.XLOOKUP(PAA[[#This Row],[ITEM]],Contrato!A:A,Contrato!Q:Q,"",0)</f>
        <v>#NAME?</v>
      </c>
      <c r="V346" s="326" t="s">
        <v>47</v>
      </c>
      <c r="W346" s="326" t="s">
        <v>154</v>
      </c>
      <c r="X346" s="326" t="s">
        <v>127</v>
      </c>
      <c r="Y346" s="336" t="e">
        <f ca="1">_xlfn.XLOOKUP(PAA[[#This Row],[ITEM]],Contrato!A:A,Contrato!B:B,"",0)</f>
        <v>#NAME?</v>
      </c>
      <c r="Z346" s="326" t="e">
        <f ca="1">_xlfn.XLOOKUP(PAA[[#This Row],[ITEM]],Contrato!A:A,Contrato!G:G,"",0)</f>
        <v>#NAME?</v>
      </c>
      <c r="AA346" s="326" t="e">
        <f ca="1">_xlfn.XLOOKUP(PAA[[#This Row],[ITEM]],Contrato!A:A,Contrato!T:T,"",0)</f>
        <v>#NAME?</v>
      </c>
      <c r="AB346" s="336" t="e">
        <f ca="1">+MAX(PAA[[#This Row],[Comprometido Contrato]],)</f>
        <v>#NAME?</v>
      </c>
      <c r="AC346" s="336" t="str">
        <f t="shared" ca="1" si="56"/>
        <v/>
      </c>
      <c r="AD346" s="336" t="e">
        <f ca="1">+MAX(PAA[[#This Row],[Pago por Contrato]],)</f>
        <v>#NAME?</v>
      </c>
      <c r="AE346" s="336" t="str">
        <f t="shared" ca="1" si="53"/>
        <v/>
      </c>
      <c r="AF346" s="326" t="e">
        <f t="shared" ca="1" si="54"/>
        <v>#NAME?</v>
      </c>
      <c r="AG346" s="326">
        <f t="shared" si="55"/>
        <v>52010804</v>
      </c>
      <c r="AH346" s="326" t="e" cm="1">
        <f t="array" aca="1" ref="AH346" ca="1">_xlfn.XLOOKUP(PAA[[#This Row],[RCP-RUBRO]],COMPROMISOS_2025[[#All],[concatenado]],COMPROMISOS_2025[[#All],[Total pagado]],"",0)</f>
        <v>#NAME?</v>
      </c>
      <c r="AI346" s="326" t="e" cm="1">
        <f t="array" aca="1" ref="AI346" ca="1">_xlfn.XLOOKUP(PAA[[#This Row],[RCP-RUBRO]],COMPROMISOS_2025[[#All],[concatenado]],COMPROMISOS_2025[[#All],[Total Comprometido]],"",0)</f>
        <v>#NAME?</v>
      </c>
    </row>
    <row r="347" spans="1:35" s="50" customFormat="1" ht="42" hidden="1" customHeight="1" x14ac:dyDescent="0.25">
      <c r="A347" s="333">
        <v>247</v>
      </c>
      <c r="B347" s="325">
        <v>80111600</v>
      </c>
      <c r="C347" s="333" t="str">
        <f>VLOOKUP(PAA[[#This Row],[PROYECTO (formulado)2]],PROYECTOS!$G$1:$L$32,6,0)</f>
        <v>SUBGERENCIA DE ALTOS LOGROS Y DEPORTE ASOCIADO</v>
      </c>
      <c r="D347" s="333" t="str">
        <f>+IF(PAA[[#This Row],[UNIDAD DE CONTRATACION (formulado)]]="Subgerencia Administrativa y Financiera","FUNCIONAMIENTO","INVERSIÓN")</f>
        <v>INVERSIÓN</v>
      </c>
      <c r="E347" s="381" t="str">
        <f>VLOOKUP(Q347,PROYECTOS!$G$1:$K$32,5,0)</f>
        <v>Asesoria médica y de ciencias aplicadas al desarrollo del rendimiento deportivo de atletas y para-atletas de Antioquia</v>
      </c>
      <c r="F347" s="381">
        <f>VLOOKUP(E347,PROYECTOS!$K$1:$M$32,3,0)</f>
        <v>2024003050103</v>
      </c>
      <c r="G347" s="382" t="s">
        <v>430</v>
      </c>
      <c r="H347" s="382" t="str">
        <f>VLOOKUP(Q347,PROYECTOS!$V$1:$W$32,2,0)</f>
        <v>050080</v>
      </c>
      <c r="I347" s="383">
        <v>32822400</v>
      </c>
      <c r="J347" s="384" t="s">
        <v>443</v>
      </c>
      <c r="K347" s="333" t="str">
        <f t="shared" ca="1" si="50"/>
        <v>CONTRATADO</v>
      </c>
      <c r="L347" s="333" t="s">
        <v>112</v>
      </c>
      <c r="M347" s="333" t="s">
        <v>113</v>
      </c>
      <c r="N347" s="385" t="s">
        <v>433</v>
      </c>
      <c r="O347" s="384">
        <f>VLOOKUP(N347,RUBROS[#All],3,0)</f>
        <v>60</v>
      </c>
      <c r="P347" s="384" t="str">
        <f>VLOOKUP(N347,RUBROS[#All],2,0)</f>
        <v>Asesoria médica y de ciencias aplicadas al desarrollo del rendimiento deportivo de atletas y para-atletas de Antioquia -Servicios para la comunidad, sociales y personales</v>
      </c>
      <c r="Q347" s="333" t="str">
        <f t="shared" si="51"/>
        <v>03</v>
      </c>
      <c r="R347" s="333" t="str">
        <f t="shared" si="52"/>
        <v>0-205128</v>
      </c>
      <c r="S347" s="333">
        <v>8</v>
      </c>
      <c r="T347" s="337" t="s">
        <v>46</v>
      </c>
      <c r="U347" s="386" t="e">
        <f ca="1">_xlfn.XLOOKUP(PAA[[#This Row],[ITEM]],Contrato!A:A,Contrato!Q:Q,"",0)</f>
        <v>#NAME?</v>
      </c>
      <c r="V347" s="333" t="s">
        <v>47</v>
      </c>
      <c r="W347" s="333" t="s">
        <v>127</v>
      </c>
      <c r="X347" s="333" t="s">
        <v>127</v>
      </c>
      <c r="Y347" s="387" t="e">
        <f ca="1">_xlfn.XLOOKUP(PAA[[#This Row],[ITEM]],Contrato!A:A,Contrato!B:B,"",0)</f>
        <v>#NAME?</v>
      </c>
      <c r="Z347" s="333" t="e">
        <f ca="1">_xlfn.XLOOKUP(PAA[[#This Row],[ITEM]],Contrato!A:A,Contrato!G:G,"",0)</f>
        <v>#NAME?</v>
      </c>
      <c r="AA347" s="333" t="e">
        <f ca="1">_xlfn.XLOOKUP(PAA[[#This Row],[ITEM]],Contrato!A:A,Contrato!T:T,"",0)</f>
        <v>#NAME?</v>
      </c>
      <c r="AB347" s="387" t="e">
        <f ca="1">+MAX(PAA[[#This Row],[Comprometido Contrato]],)</f>
        <v>#NAME?</v>
      </c>
      <c r="AC347" s="387" t="str">
        <f t="shared" ca="1" si="56"/>
        <v/>
      </c>
      <c r="AD347" s="387" t="e">
        <f ca="1">+MAX(PAA[[#This Row],[Pago por Contrato]],)</f>
        <v>#NAME?</v>
      </c>
      <c r="AE347" s="387" t="str">
        <f t="shared" ca="1" si="53"/>
        <v/>
      </c>
      <c r="AF347" s="333" t="e">
        <f t="shared" ca="1" si="54"/>
        <v>#NAME?</v>
      </c>
      <c r="AG347" s="333">
        <f t="shared" si="55"/>
        <v>52010804</v>
      </c>
      <c r="AH347" s="333" t="e" cm="1">
        <f t="array" aca="1" ref="AH347" ca="1">_xlfn.XLOOKUP(PAA[[#This Row],[RCP-RUBRO]],COMPROMISOS_2025[[#All],[concatenado]],COMPROMISOS_2025[[#All],[Total pagado]],"",0)</f>
        <v>#NAME?</v>
      </c>
      <c r="AI347" s="333" t="e" cm="1">
        <f t="array" aca="1" ref="AI347" ca="1">_xlfn.XLOOKUP(PAA[[#This Row],[RCP-RUBRO]],COMPROMISOS_2025[[#All],[concatenado]],COMPROMISOS_2025[[#All],[Total Comprometido]],"",0)</f>
        <v>#NAME?</v>
      </c>
    </row>
    <row r="348" spans="1:35" s="50" customFormat="1" ht="42" hidden="1" customHeight="1" x14ac:dyDescent="0.25">
      <c r="A348" s="152">
        <v>248</v>
      </c>
      <c r="B348" s="186">
        <v>80111600</v>
      </c>
      <c r="C348" s="152" t="str">
        <f>VLOOKUP(PAA[[#This Row],[PROYECTO (formulado)2]],PROYECTOS!$G$1:$L$32,6,0)</f>
        <v>SUBGERENCIA DE ALTOS LOGROS Y DEPORTE ASOCIADO</v>
      </c>
      <c r="D348" s="152" t="str">
        <f>+IF(PAA[[#This Row],[UNIDAD DE CONTRATACION (formulado)]]="Subgerencia Administrativa y Financiera","FUNCIONAMIENTO","INVERSIÓN")</f>
        <v>INVERSIÓN</v>
      </c>
      <c r="E348" s="236" t="str">
        <f>VLOOKUP(Q348,PROYECTOS!$G$1:$K$32,5,0)</f>
        <v>Asesoria médica y de ciencias aplicadas al desarrollo del rendimiento deportivo de atletas y para-atletas de Antioquia</v>
      </c>
      <c r="F348" s="236">
        <f>VLOOKUP(E348,PROYECTOS!$K$1:$M$32,3,0)</f>
        <v>2024003050103</v>
      </c>
      <c r="G348" s="237" t="s">
        <v>430</v>
      </c>
      <c r="H348" s="237" t="str">
        <f>VLOOKUP(Q348,PROYECTOS!$V$1:$W$32,2,0)</f>
        <v>050080</v>
      </c>
      <c r="I348" s="238">
        <v>60174400</v>
      </c>
      <c r="J348" s="187" t="s">
        <v>444</v>
      </c>
      <c r="K348" s="152" t="str">
        <f t="shared" ca="1" si="50"/>
        <v>CONTRATADO</v>
      </c>
      <c r="L348" s="152" t="s">
        <v>112</v>
      </c>
      <c r="M348" s="152" t="s">
        <v>113</v>
      </c>
      <c r="N348" s="239" t="s">
        <v>433</v>
      </c>
      <c r="O348" s="187">
        <f>VLOOKUP(N348,RUBROS[#All],3,0)</f>
        <v>60</v>
      </c>
      <c r="P348" s="187" t="str">
        <f>VLOOKUP(N348,RUBROS[#All],2,0)</f>
        <v>Asesoria médica y de ciencias aplicadas al desarrollo del rendimiento deportivo de atletas y para-atletas de Antioquia -Servicios para la comunidad, sociales y personales</v>
      </c>
      <c r="Q348" s="152" t="str">
        <f t="shared" si="51"/>
        <v>03</v>
      </c>
      <c r="R348" s="152" t="str">
        <f t="shared" si="52"/>
        <v>0-205128</v>
      </c>
      <c r="S348" s="152">
        <v>8</v>
      </c>
      <c r="T348" s="157" t="s">
        <v>46</v>
      </c>
      <c r="U348" s="241" t="e">
        <f ca="1">_xlfn.XLOOKUP(PAA[[#This Row],[ITEM]],Contrato!A:A,Contrato!Q:Q,"",0)</f>
        <v>#NAME?</v>
      </c>
      <c r="V348" s="152" t="s">
        <v>47</v>
      </c>
      <c r="W348" s="152" t="s">
        <v>154</v>
      </c>
      <c r="X348" s="152" t="s">
        <v>127</v>
      </c>
      <c r="Y348" s="242" t="e">
        <f ca="1">_xlfn.XLOOKUP(PAA[[#This Row],[ITEM]],Contrato!A:A,Contrato!B:B,"",0)</f>
        <v>#NAME?</v>
      </c>
      <c r="Z348" s="152" t="e">
        <f ca="1">_xlfn.XLOOKUP(PAA[[#This Row],[ITEM]],Contrato!A:A,Contrato!G:G,"",0)</f>
        <v>#NAME?</v>
      </c>
      <c r="AA348" s="152" t="e">
        <f ca="1">_xlfn.XLOOKUP(PAA[[#This Row],[ITEM]],Contrato!A:A,Contrato!T:T,"",0)</f>
        <v>#NAME?</v>
      </c>
      <c r="AB348" s="242" t="e">
        <f ca="1">+MAX(PAA[[#This Row],[Comprometido Contrato]],)</f>
        <v>#NAME?</v>
      </c>
      <c r="AC348" s="242" t="str">
        <f t="shared" ca="1" si="56"/>
        <v/>
      </c>
      <c r="AD348" s="242" t="e">
        <f ca="1">+MAX(PAA[[#This Row],[Pago por Contrato]],)</f>
        <v>#NAME?</v>
      </c>
      <c r="AE348" s="242" t="str">
        <f t="shared" ca="1" si="53"/>
        <v/>
      </c>
      <c r="AF348" s="152" t="e">
        <f t="shared" ca="1" si="54"/>
        <v>#NAME?</v>
      </c>
      <c r="AG348" s="152">
        <f t="shared" si="55"/>
        <v>52010804</v>
      </c>
      <c r="AH348" s="152" t="e" cm="1">
        <f t="array" aca="1" ref="AH348" ca="1">_xlfn.XLOOKUP(PAA[[#This Row],[RCP-RUBRO]],COMPROMISOS_2025[[#All],[concatenado]],COMPROMISOS_2025[[#All],[Total pagado]],"",0)</f>
        <v>#NAME?</v>
      </c>
      <c r="AI348" s="152" t="e" cm="1">
        <f t="array" aca="1" ref="AI348" ca="1">_xlfn.XLOOKUP(PAA[[#This Row],[RCP-RUBRO]],COMPROMISOS_2025[[#All],[concatenado]],COMPROMISOS_2025[[#All],[Total Comprometido]],"",0)</f>
        <v>#NAME?</v>
      </c>
    </row>
    <row r="349" spans="1:35" s="50" customFormat="1" ht="42" hidden="1" customHeight="1" x14ac:dyDescent="0.25">
      <c r="A349" s="326">
        <v>249</v>
      </c>
      <c r="B349" s="325">
        <v>80111600</v>
      </c>
      <c r="C349" s="326" t="str">
        <f>VLOOKUP(PAA[[#This Row],[PROYECTO (formulado)2]],PROYECTOS!$G$1:$L$32,6,0)</f>
        <v>SUBGERENCIA DE ALTOS LOGROS Y DEPORTE ASOCIADO</v>
      </c>
      <c r="D349" s="326" t="str">
        <f>+IF(PAA[[#This Row],[UNIDAD DE CONTRATACION (formulado)]]="Subgerencia Administrativa y Financiera","FUNCIONAMIENTO","INVERSIÓN")</f>
        <v>INVERSIÓN</v>
      </c>
      <c r="E349" s="327" t="str">
        <f>VLOOKUP(Q349,PROYECTOS!$G$1:$K$32,5,0)</f>
        <v>Asesoria médica y de ciencias aplicadas al desarrollo del rendimiento deportivo de atletas y para-atletas de Antioquia</v>
      </c>
      <c r="F349" s="327">
        <f>VLOOKUP(E349,PROYECTOS!$K$1:$M$32,3,0)</f>
        <v>2024003050103</v>
      </c>
      <c r="G349" s="328" t="s">
        <v>430</v>
      </c>
      <c r="H349" s="328" t="str">
        <f>VLOOKUP(Q349,PROYECTOS!$V$1:$W$32,2,0)</f>
        <v>050080</v>
      </c>
      <c r="I349" s="329">
        <v>98626293</v>
      </c>
      <c r="J349" s="330" t="s">
        <v>445</v>
      </c>
      <c r="K349" s="326" t="str">
        <f t="shared" ca="1" si="50"/>
        <v>CONTRATADO</v>
      </c>
      <c r="L349" s="326" t="s">
        <v>112</v>
      </c>
      <c r="M349" s="326" t="s">
        <v>113</v>
      </c>
      <c r="N349" s="331" t="s">
        <v>433</v>
      </c>
      <c r="O349" s="330">
        <f>VLOOKUP(N349,RUBROS[#All],3,0)</f>
        <v>60</v>
      </c>
      <c r="P349" s="332" t="str">
        <f>VLOOKUP(N349,RUBROS[#All],2,0)</f>
        <v>Asesoria médica y de ciencias aplicadas al desarrollo del rendimiento deportivo de atletas y para-atletas de Antioquia -Servicios para la comunidad, sociales y personales</v>
      </c>
      <c r="Q349" s="326" t="str">
        <f t="shared" si="51"/>
        <v>03</v>
      </c>
      <c r="R349" s="326" t="str">
        <f t="shared" si="52"/>
        <v>0-205128</v>
      </c>
      <c r="S349" s="333">
        <v>284</v>
      </c>
      <c r="T349" s="337" t="s">
        <v>220</v>
      </c>
      <c r="U349" s="335" t="e">
        <f ca="1">_xlfn.XLOOKUP(PAA[[#This Row],[ITEM]],Contrato!A:A,Contrato!Q:Q,"",0)</f>
        <v>#NAME?</v>
      </c>
      <c r="V349" s="326" t="s">
        <v>47</v>
      </c>
      <c r="W349" s="326" t="s">
        <v>127</v>
      </c>
      <c r="X349" s="326" t="s">
        <v>127</v>
      </c>
      <c r="Y349" s="336" t="e">
        <f ca="1">_xlfn.XLOOKUP(PAA[[#This Row],[ITEM]],Contrato!A:A,Contrato!B:B,"",0)</f>
        <v>#NAME?</v>
      </c>
      <c r="Z349" s="326" t="e">
        <f ca="1">_xlfn.XLOOKUP(PAA[[#This Row],[ITEM]],Contrato!A:A,Contrato!G:G,"",0)</f>
        <v>#NAME?</v>
      </c>
      <c r="AA349" s="326" t="e">
        <f ca="1">_xlfn.XLOOKUP(PAA[[#This Row],[ITEM]],Contrato!A:A,Contrato!T:T,"",0)</f>
        <v>#NAME?</v>
      </c>
      <c r="AB349" s="336" t="e">
        <f ca="1">+MAX(PAA[[#This Row],[Comprometido Contrato]],)</f>
        <v>#NAME?</v>
      </c>
      <c r="AC349" s="336" t="str">
        <f t="shared" ca="1" si="56"/>
        <v/>
      </c>
      <c r="AD349" s="336" t="e">
        <f ca="1">+MAX(PAA[[#This Row],[Pago por Contrato]],)</f>
        <v>#NAME?</v>
      </c>
      <c r="AE349" s="336" t="str">
        <f t="shared" ca="1" si="53"/>
        <v/>
      </c>
      <c r="AF349" s="326" t="e">
        <f t="shared" ca="1" si="54"/>
        <v>#NAME?</v>
      </c>
      <c r="AG349" s="326">
        <f t="shared" si="55"/>
        <v>52010804</v>
      </c>
      <c r="AH349" s="326" t="e" cm="1">
        <f t="array" aca="1" ref="AH349" ca="1">_xlfn.XLOOKUP(PAA[[#This Row],[RCP-RUBRO]],COMPROMISOS_2025[[#All],[concatenado]],COMPROMISOS_2025[[#All],[Total pagado]],"",0)</f>
        <v>#NAME?</v>
      </c>
      <c r="AI349" s="326" t="e" cm="1">
        <f t="array" aca="1" ref="AI349" ca="1">_xlfn.XLOOKUP(PAA[[#This Row],[RCP-RUBRO]],COMPROMISOS_2025[[#All],[concatenado]],COMPROMISOS_2025[[#All],[Total Comprometido]],"",0)</f>
        <v>#NAME?</v>
      </c>
    </row>
    <row r="350" spans="1:35" s="50" customFormat="1" ht="42" hidden="1" customHeight="1" x14ac:dyDescent="0.25">
      <c r="A350" s="326">
        <v>250</v>
      </c>
      <c r="B350" s="325">
        <v>80111600</v>
      </c>
      <c r="C350" s="326" t="str">
        <f>VLOOKUP(PAA[[#This Row],[PROYECTO (formulado)2]],PROYECTOS!$G$1:$L$32,6,0)</f>
        <v>SUBGERENCIA DE ALTOS LOGROS Y DEPORTE ASOCIADO</v>
      </c>
      <c r="D350" s="326" t="str">
        <f>+IF(PAA[[#This Row],[UNIDAD DE CONTRATACION (formulado)]]="Subgerencia Administrativa y Financiera","FUNCIONAMIENTO","INVERSIÓN")</f>
        <v>INVERSIÓN</v>
      </c>
      <c r="E350" s="327" t="str">
        <f>VLOOKUP(Q350,PROYECTOS!$G$1:$K$32,5,0)</f>
        <v>Asesoria médica y de ciencias aplicadas al desarrollo del rendimiento deportivo de atletas y para-atletas de Antioquia</v>
      </c>
      <c r="F350" s="327">
        <f>VLOOKUP(E350,PROYECTOS!$K$1:$M$32,3,0)</f>
        <v>2024003050103</v>
      </c>
      <c r="G350" s="328" t="s">
        <v>430</v>
      </c>
      <c r="H350" s="328" t="str">
        <f>VLOOKUP(Q350,PROYECTOS!$V$1:$W$32,2,0)</f>
        <v>050080</v>
      </c>
      <c r="I350" s="388">
        <v>71206373</v>
      </c>
      <c r="J350" s="330" t="s">
        <v>446</v>
      </c>
      <c r="K350" s="326" t="str">
        <f t="shared" ca="1" si="50"/>
        <v>CONTRATADO</v>
      </c>
      <c r="L350" s="326" t="s">
        <v>112</v>
      </c>
      <c r="M350" s="326" t="s">
        <v>113</v>
      </c>
      <c r="N350" s="331" t="s">
        <v>433</v>
      </c>
      <c r="O350" s="330">
        <f>VLOOKUP(N350,RUBROS[#All],3,0)</f>
        <v>60</v>
      </c>
      <c r="P350" s="332" t="str">
        <f>VLOOKUP(N350,RUBROS[#All],2,0)</f>
        <v>Asesoria médica y de ciencias aplicadas al desarrollo del rendimiento deportivo de atletas y para-atletas de Antioquia -Servicios para la comunidad, sociales y personales</v>
      </c>
      <c r="Q350" s="326" t="str">
        <f t="shared" si="51"/>
        <v>03</v>
      </c>
      <c r="R350" s="326" t="str">
        <f t="shared" si="52"/>
        <v>0-205128</v>
      </c>
      <c r="S350" s="333">
        <v>284</v>
      </c>
      <c r="T350" s="337" t="s">
        <v>220</v>
      </c>
      <c r="U350" s="335" t="e">
        <f ca="1">_xlfn.XLOOKUP(PAA[[#This Row],[ITEM]],Contrato!A:A,Contrato!Q:Q,"",0)</f>
        <v>#NAME?</v>
      </c>
      <c r="V350" s="326" t="s">
        <v>47</v>
      </c>
      <c r="W350" s="326" t="s">
        <v>127</v>
      </c>
      <c r="X350" s="326" t="s">
        <v>127</v>
      </c>
      <c r="Y350" s="336" t="e">
        <f ca="1">_xlfn.XLOOKUP(PAA[[#This Row],[ITEM]],Contrato!A:A,Contrato!B:B,"",0)</f>
        <v>#NAME?</v>
      </c>
      <c r="Z350" s="326" t="e">
        <f ca="1">_xlfn.XLOOKUP(PAA[[#This Row],[ITEM]],Contrato!A:A,Contrato!G:G,"",0)</f>
        <v>#NAME?</v>
      </c>
      <c r="AA350" s="326" t="e">
        <f ca="1">_xlfn.XLOOKUP(PAA[[#This Row],[ITEM]],Contrato!A:A,Contrato!T:T,"",0)</f>
        <v>#NAME?</v>
      </c>
      <c r="AB350" s="336" t="e">
        <f ca="1">+MAX(PAA[[#This Row],[Comprometido Contrato]],)</f>
        <v>#NAME?</v>
      </c>
      <c r="AC350" s="336" t="str">
        <f t="shared" ca="1" si="56"/>
        <v/>
      </c>
      <c r="AD350" s="336" t="e">
        <f ca="1">+MAX(PAA[[#This Row],[Pago por Contrato]],)</f>
        <v>#NAME?</v>
      </c>
      <c r="AE350" s="336" t="str">
        <f t="shared" ca="1" si="53"/>
        <v/>
      </c>
      <c r="AF350" s="326" t="e">
        <f t="shared" ca="1" si="54"/>
        <v>#NAME?</v>
      </c>
      <c r="AG350" s="326">
        <f t="shared" si="55"/>
        <v>52010804</v>
      </c>
      <c r="AH350" s="326" t="e" cm="1">
        <f t="array" aca="1" ref="AH350" ca="1">_xlfn.XLOOKUP(PAA[[#This Row],[RCP-RUBRO]],COMPROMISOS_2025[[#All],[concatenado]],COMPROMISOS_2025[[#All],[Total pagado]],"",0)</f>
        <v>#NAME?</v>
      </c>
      <c r="AI350" s="326" t="e" cm="1">
        <f t="array" aca="1" ref="AI350" ca="1">_xlfn.XLOOKUP(PAA[[#This Row],[RCP-RUBRO]],COMPROMISOS_2025[[#All],[concatenado]],COMPROMISOS_2025[[#All],[Total Comprometido]],"",0)</f>
        <v>#NAME?</v>
      </c>
    </row>
    <row r="351" spans="1:35" s="50" customFormat="1" ht="42" hidden="1" customHeight="1" x14ac:dyDescent="0.25">
      <c r="A351" s="326">
        <v>251</v>
      </c>
      <c r="B351" s="325">
        <v>80111600</v>
      </c>
      <c r="C351" s="326" t="str">
        <f>VLOOKUP(PAA[[#This Row],[PROYECTO (formulado)2]],PROYECTOS!$G$1:$L$32,6,0)</f>
        <v>SUBGERENCIA DE ALTOS LOGROS Y DEPORTE ASOCIADO</v>
      </c>
      <c r="D351" s="326" t="str">
        <f>+IF(PAA[[#This Row],[UNIDAD DE CONTRATACION (formulado)]]="Subgerencia Administrativa y Financiera","FUNCIONAMIENTO","INVERSIÓN")</f>
        <v>INVERSIÓN</v>
      </c>
      <c r="E351" s="327" t="str">
        <f>VLOOKUP(Q351,PROYECTOS!$G$1:$K$32,5,0)</f>
        <v>Asesoria médica y de ciencias aplicadas al desarrollo del rendimiento deportivo de atletas y para-atletas de Antioquia</v>
      </c>
      <c r="F351" s="327">
        <f>VLOOKUP(E351,PROYECTOS!$K$1:$M$32,3,0)</f>
        <v>2024003050103</v>
      </c>
      <c r="G351" s="328" t="s">
        <v>430</v>
      </c>
      <c r="H351" s="328" t="str">
        <f>VLOOKUP(Q351,PROYECTOS!$V$1:$W$32,2,0)</f>
        <v>050080</v>
      </c>
      <c r="I351" s="329">
        <v>39413544</v>
      </c>
      <c r="J351" s="330" t="s">
        <v>447</v>
      </c>
      <c r="K351" s="326" t="str">
        <f t="shared" ca="1" si="50"/>
        <v>CONTRATADO</v>
      </c>
      <c r="L351" s="326" t="s">
        <v>112</v>
      </c>
      <c r="M351" s="326" t="s">
        <v>113</v>
      </c>
      <c r="N351" s="331" t="s">
        <v>433</v>
      </c>
      <c r="O351" s="330">
        <f>VLOOKUP(N351,RUBROS[#All],3,0)</f>
        <v>60</v>
      </c>
      <c r="P351" s="332" t="str">
        <f>VLOOKUP(N351,RUBROS[#All],2,0)</f>
        <v>Asesoria médica y de ciencias aplicadas al desarrollo del rendimiento deportivo de atletas y para-atletas de Antioquia -Servicios para la comunidad, sociales y personales</v>
      </c>
      <c r="Q351" s="326" t="str">
        <f t="shared" si="51"/>
        <v>03</v>
      </c>
      <c r="R351" s="326" t="str">
        <f t="shared" si="52"/>
        <v>0-205128</v>
      </c>
      <c r="S351" s="333">
        <v>8</v>
      </c>
      <c r="T351" s="337" t="s">
        <v>46</v>
      </c>
      <c r="U351" s="335" t="e">
        <f ca="1">_xlfn.XLOOKUP(PAA[[#This Row],[ITEM]],Contrato!A:A,Contrato!Q:Q,"",0)</f>
        <v>#NAME?</v>
      </c>
      <c r="V351" s="326" t="s">
        <v>47</v>
      </c>
      <c r="W351" s="326" t="s">
        <v>154</v>
      </c>
      <c r="X351" s="326" t="s">
        <v>127</v>
      </c>
      <c r="Y351" s="336" t="e">
        <f ca="1">_xlfn.XLOOKUP(PAA[[#This Row],[ITEM]],Contrato!A:A,Contrato!B:B,"",0)</f>
        <v>#NAME?</v>
      </c>
      <c r="Z351" s="326" t="e">
        <f ca="1">_xlfn.XLOOKUP(PAA[[#This Row],[ITEM]],Contrato!A:A,Contrato!G:G,"",0)</f>
        <v>#NAME?</v>
      </c>
      <c r="AA351" s="326" t="e">
        <f ca="1">_xlfn.XLOOKUP(PAA[[#This Row],[ITEM]],Contrato!A:A,Contrato!T:T,"",0)</f>
        <v>#NAME?</v>
      </c>
      <c r="AB351" s="336" t="e">
        <f ca="1">+MAX(PAA[[#This Row],[Comprometido Contrato]],)</f>
        <v>#NAME?</v>
      </c>
      <c r="AC351" s="336" t="str">
        <f t="shared" ca="1" si="56"/>
        <v/>
      </c>
      <c r="AD351" s="336" t="e">
        <f ca="1">+MAX(PAA[[#This Row],[Pago por Contrato]],)</f>
        <v>#NAME?</v>
      </c>
      <c r="AE351" s="336" t="str">
        <f t="shared" ca="1" si="53"/>
        <v/>
      </c>
      <c r="AF351" s="326" t="e">
        <f t="shared" ca="1" si="54"/>
        <v>#NAME?</v>
      </c>
      <c r="AG351" s="326">
        <f t="shared" si="55"/>
        <v>52010804</v>
      </c>
      <c r="AH351" s="326" t="e" cm="1">
        <f t="array" aca="1" ref="AH351" ca="1">_xlfn.XLOOKUP(PAA[[#This Row],[RCP-RUBRO]],COMPROMISOS_2025[[#All],[concatenado]],COMPROMISOS_2025[[#All],[Total pagado]],"",0)</f>
        <v>#NAME?</v>
      </c>
      <c r="AI351" s="326" t="e" cm="1">
        <f t="array" aca="1" ref="AI351" ca="1">_xlfn.XLOOKUP(PAA[[#This Row],[RCP-RUBRO]],COMPROMISOS_2025[[#All],[concatenado]],COMPROMISOS_2025[[#All],[Total Comprometido]],"",0)</f>
        <v>#NAME?</v>
      </c>
    </row>
    <row r="352" spans="1:35" s="50" customFormat="1" ht="42" hidden="1" customHeight="1" x14ac:dyDescent="0.25">
      <c r="A352" s="326">
        <v>252</v>
      </c>
      <c r="B352" s="325">
        <v>80111600</v>
      </c>
      <c r="C352" s="326" t="str">
        <f>VLOOKUP(PAA[[#This Row],[PROYECTO (formulado)2]],PROYECTOS!$G$1:$L$32,6,0)</f>
        <v>SUBGERENCIA DE ALTOS LOGROS Y DEPORTE ASOCIADO</v>
      </c>
      <c r="D352" s="326" t="str">
        <f>+IF(PAA[[#This Row],[UNIDAD DE CONTRATACION (formulado)]]="Subgerencia Administrativa y Financiera","FUNCIONAMIENTO","INVERSIÓN")</f>
        <v>INVERSIÓN</v>
      </c>
      <c r="E352" s="327" t="str">
        <f>VLOOKUP(Q352,PROYECTOS!$G$1:$K$32,5,0)</f>
        <v>Asesoria médica y de ciencias aplicadas al desarrollo del rendimiento deportivo de atletas y para-atletas de Antioquia</v>
      </c>
      <c r="F352" s="327">
        <f>VLOOKUP(E352,PROYECTOS!$K$1:$M$32,3,0)</f>
        <v>2024003050103</v>
      </c>
      <c r="G352" s="328" t="s">
        <v>430</v>
      </c>
      <c r="H352" s="328" t="str">
        <f>VLOOKUP(Q352,PROYECTOS!$V$1:$W$32,2,0)</f>
        <v>050080</v>
      </c>
      <c r="I352" s="329">
        <v>36138024</v>
      </c>
      <c r="J352" s="330" t="s">
        <v>448</v>
      </c>
      <c r="K352" s="326" t="str">
        <f t="shared" ca="1" si="50"/>
        <v>CONTRATADO</v>
      </c>
      <c r="L352" s="326" t="s">
        <v>112</v>
      </c>
      <c r="M352" s="326" t="s">
        <v>113</v>
      </c>
      <c r="N352" s="331" t="s">
        <v>433</v>
      </c>
      <c r="O352" s="330">
        <f>VLOOKUP(N352,RUBROS[#All],3,0)</f>
        <v>60</v>
      </c>
      <c r="P352" s="332" t="str">
        <f>VLOOKUP(N352,RUBROS[#All],2,0)</f>
        <v>Asesoria médica y de ciencias aplicadas al desarrollo del rendimiento deportivo de atletas y para-atletas de Antioquia -Servicios para la comunidad, sociales y personales</v>
      </c>
      <c r="Q352" s="326" t="str">
        <f t="shared" si="51"/>
        <v>03</v>
      </c>
      <c r="R352" s="326" t="str">
        <f t="shared" si="52"/>
        <v>0-205128</v>
      </c>
      <c r="S352" s="333">
        <v>8</v>
      </c>
      <c r="T352" s="337" t="s">
        <v>46</v>
      </c>
      <c r="U352" s="335" t="e">
        <f ca="1">_xlfn.XLOOKUP(PAA[[#This Row],[ITEM]],Contrato!A:A,Contrato!Q:Q,"",0)</f>
        <v>#NAME?</v>
      </c>
      <c r="V352" s="326" t="s">
        <v>47</v>
      </c>
      <c r="W352" s="326" t="s">
        <v>154</v>
      </c>
      <c r="X352" s="326" t="s">
        <v>127</v>
      </c>
      <c r="Y352" s="336" t="e">
        <f ca="1">_xlfn.XLOOKUP(PAA[[#This Row],[ITEM]],Contrato!A:A,Contrato!B:B,"",0)</f>
        <v>#NAME?</v>
      </c>
      <c r="Z352" s="326" t="e">
        <f ca="1">_xlfn.XLOOKUP(PAA[[#This Row],[ITEM]],Contrato!A:A,Contrato!G:G,"",0)</f>
        <v>#NAME?</v>
      </c>
      <c r="AA352" s="326" t="e">
        <f ca="1">_xlfn.XLOOKUP(PAA[[#This Row],[ITEM]],Contrato!A:A,Contrato!T:T,"",0)</f>
        <v>#NAME?</v>
      </c>
      <c r="AB352" s="336" t="e">
        <f ca="1">+MAX(PAA[[#This Row],[Comprometido Contrato]],)</f>
        <v>#NAME?</v>
      </c>
      <c r="AC352" s="336" t="str">
        <f t="shared" ca="1" si="56"/>
        <v/>
      </c>
      <c r="AD352" s="336" t="e">
        <f ca="1">+MAX(PAA[[#This Row],[Pago por Contrato]],)</f>
        <v>#NAME?</v>
      </c>
      <c r="AE352" s="336" t="str">
        <f t="shared" ca="1" si="53"/>
        <v/>
      </c>
      <c r="AF352" s="326" t="e">
        <f t="shared" ca="1" si="54"/>
        <v>#NAME?</v>
      </c>
      <c r="AG352" s="326">
        <f t="shared" si="55"/>
        <v>52010804</v>
      </c>
      <c r="AH352" s="326" t="e" cm="1">
        <f t="array" aca="1" ref="AH352" ca="1">_xlfn.XLOOKUP(PAA[[#This Row],[RCP-RUBRO]],COMPROMISOS_2025[[#All],[concatenado]],COMPROMISOS_2025[[#All],[Total pagado]],"",0)</f>
        <v>#NAME?</v>
      </c>
      <c r="AI352" s="326" t="e" cm="1">
        <f t="array" aca="1" ref="AI352" ca="1">_xlfn.XLOOKUP(PAA[[#This Row],[RCP-RUBRO]],COMPROMISOS_2025[[#All],[concatenado]],COMPROMISOS_2025[[#All],[Total Comprometido]],"",0)</f>
        <v>#NAME?</v>
      </c>
    </row>
    <row r="353" spans="1:35" s="50" customFormat="1" ht="42" hidden="1" customHeight="1" x14ac:dyDescent="0.25">
      <c r="A353" s="326">
        <v>253</v>
      </c>
      <c r="B353" s="325">
        <v>80111600</v>
      </c>
      <c r="C353" s="326" t="str">
        <f>VLOOKUP(PAA[[#This Row],[PROYECTO (formulado)2]],PROYECTOS!$G$1:$L$32,6,0)</f>
        <v>SUBGERENCIA DE ALTOS LOGROS Y DEPORTE ASOCIADO</v>
      </c>
      <c r="D353" s="326" t="str">
        <f>+IF(PAA[[#This Row],[UNIDAD DE CONTRATACION (formulado)]]="Subgerencia Administrativa y Financiera","FUNCIONAMIENTO","INVERSIÓN")</f>
        <v>INVERSIÓN</v>
      </c>
      <c r="E353" s="327" t="str">
        <f>VLOOKUP(Q353,PROYECTOS!$G$1:$K$32,5,0)</f>
        <v>Asesoria médica y de ciencias aplicadas al desarrollo del rendimiento deportivo de atletas y para-atletas de Antioquia</v>
      </c>
      <c r="F353" s="327">
        <f>VLOOKUP(E353,PROYECTOS!$K$1:$M$32,3,0)</f>
        <v>2024003050103</v>
      </c>
      <c r="G353" s="328" t="s">
        <v>430</v>
      </c>
      <c r="H353" s="328" t="str">
        <f>VLOOKUP(Q353,PROYECTOS!$V$1:$W$32,2,0)</f>
        <v>050080</v>
      </c>
      <c r="I353" s="329">
        <v>71206373</v>
      </c>
      <c r="J353" s="330" t="s">
        <v>449</v>
      </c>
      <c r="K353" s="326" t="str">
        <f t="shared" ca="1" si="50"/>
        <v>CONTRATADO</v>
      </c>
      <c r="L353" s="326" t="s">
        <v>112</v>
      </c>
      <c r="M353" s="326" t="s">
        <v>113</v>
      </c>
      <c r="N353" s="331" t="s">
        <v>433</v>
      </c>
      <c r="O353" s="330">
        <f>VLOOKUP(N353,RUBROS[#All],3,0)</f>
        <v>60</v>
      </c>
      <c r="P353" s="332" t="str">
        <f>VLOOKUP(N353,RUBROS[#All],2,0)</f>
        <v>Asesoria médica y de ciencias aplicadas al desarrollo del rendimiento deportivo de atletas y para-atletas de Antioquia -Servicios para la comunidad, sociales y personales</v>
      </c>
      <c r="Q353" s="326" t="str">
        <f t="shared" si="51"/>
        <v>03</v>
      </c>
      <c r="R353" s="326" t="str">
        <f t="shared" si="52"/>
        <v>0-205128</v>
      </c>
      <c r="S353" s="333">
        <v>284</v>
      </c>
      <c r="T353" s="337" t="s">
        <v>220</v>
      </c>
      <c r="U353" s="335" t="e">
        <f ca="1">_xlfn.XLOOKUP(PAA[[#This Row],[ITEM]],Contrato!A:A,Contrato!Q:Q,"",0)</f>
        <v>#NAME?</v>
      </c>
      <c r="V353" s="326" t="s">
        <v>47</v>
      </c>
      <c r="W353" s="326" t="s">
        <v>127</v>
      </c>
      <c r="X353" s="326" t="s">
        <v>127</v>
      </c>
      <c r="Y353" s="336" t="e">
        <f ca="1">_xlfn.XLOOKUP(PAA[[#This Row],[ITEM]],Contrato!A:A,Contrato!B:B,"",0)</f>
        <v>#NAME?</v>
      </c>
      <c r="Z353" s="326" t="e">
        <f ca="1">_xlfn.XLOOKUP(PAA[[#This Row],[ITEM]],Contrato!A:A,Contrato!G:G,"",0)</f>
        <v>#NAME?</v>
      </c>
      <c r="AA353" s="326" t="e">
        <f ca="1">_xlfn.XLOOKUP(PAA[[#This Row],[ITEM]],Contrato!A:A,Contrato!T:T,"",0)</f>
        <v>#NAME?</v>
      </c>
      <c r="AB353" s="336" t="e">
        <f ca="1">+MAX(PAA[[#This Row],[Comprometido Contrato]],)</f>
        <v>#NAME?</v>
      </c>
      <c r="AC353" s="336" t="str">
        <f t="shared" ca="1" si="56"/>
        <v/>
      </c>
      <c r="AD353" s="336" t="e">
        <f ca="1">+MAX(PAA[[#This Row],[Pago por Contrato]],)</f>
        <v>#NAME?</v>
      </c>
      <c r="AE353" s="336" t="str">
        <f t="shared" ca="1" si="53"/>
        <v/>
      </c>
      <c r="AF353" s="326" t="e">
        <f t="shared" ca="1" si="54"/>
        <v>#NAME?</v>
      </c>
      <c r="AG353" s="326">
        <f t="shared" si="55"/>
        <v>52010804</v>
      </c>
      <c r="AH353" s="326" t="e" cm="1">
        <f t="array" aca="1" ref="AH353" ca="1">_xlfn.XLOOKUP(PAA[[#This Row],[RCP-RUBRO]],COMPROMISOS_2025[[#All],[concatenado]],COMPROMISOS_2025[[#All],[Total pagado]],"",0)</f>
        <v>#NAME?</v>
      </c>
      <c r="AI353" s="326" t="e" cm="1">
        <f t="array" aca="1" ref="AI353" ca="1">_xlfn.XLOOKUP(PAA[[#This Row],[RCP-RUBRO]],COMPROMISOS_2025[[#All],[concatenado]],COMPROMISOS_2025[[#All],[Total Comprometido]],"",0)</f>
        <v>#NAME?</v>
      </c>
    </row>
    <row r="354" spans="1:35" s="50" customFormat="1" ht="42" hidden="1" customHeight="1" x14ac:dyDescent="0.25">
      <c r="A354" s="199">
        <v>254</v>
      </c>
      <c r="B354" s="200">
        <v>80111600</v>
      </c>
      <c r="C354" s="199" t="str">
        <f>VLOOKUP(PAA[[#This Row],[PROYECTO (formulado)2]],PROYECTOS!$G$1:$L$32,6,0)</f>
        <v>SUBGERENCIA DE ALTOS LOGROS Y DEPORTE ASOCIADO</v>
      </c>
      <c r="D354" s="199" t="str">
        <f>+IF(PAA[[#This Row],[UNIDAD DE CONTRATACION (formulado)]]="Subgerencia Administrativa y Financiera","FUNCIONAMIENTO","INVERSIÓN")</f>
        <v>INVERSIÓN</v>
      </c>
      <c r="E354" s="201" t="str">
        <f>VLOOKUP(Q354,PROYECTOS!$G$1:$K$32,5,0)</f>
        <v>Apoyo técnico a atletas y para-atletas que representan en alto rendimiento deportivo al departamento de Antioquia</v>
      </c>
      <c r="F354" s="201">
        <f>VLOOKUP(E354,PROYECTOS!$K$1:$M$32,3,0)</f>
        <v>2024003050084</v>
      </c>
      <c r="G354" s="202" t="s">
        <v>450</v>
      </c>
      <c r="H354" s="202" t="str">
        <f>VLOOKUP(Q354,PROYECTOS!$V$1:$W$32,2,0)</f>
        <v>050079</v>
      </c>
      <c r="I354" s="203">
        <v>61147776</v>
      </c>
      <c r="J354" s="204" t="s">
        <v>451</v>
      </c>
      <c r="K354" s="199" t="str">
        <f t="shared" ca="1" si="50"/>
        <v>CONTRATADO</v>
      </c>
      <c r="L354" s="199" t="s">
        <v>112</v>
      </c>
      <c r="M354" s="199" t="s">
        <v>113</v>
      </c>
      <c r="N354" s="205" t="s">
        <v>452</v>
      </c>
      <c r="O354" s="204">
        <f>VLOOKUP(N354,RUBROS[#All],3,0)</f>
        <v>62</v>
      </c>
      <c r="P354" s="206" t="str">
        <f>VLOOKUP(N354,RUBROS[#All],2,0)</f>
        <v>Apoyo técnico a atletas y para-atletas que representan en alto rendimiento deportivo al departamento de Antioquia. - Servicios para la comunidad, sociales y personales</v>
      </c>
      <c r="Q354" s="199" t="str">
        <f t="shared" si="51"/>
        <v>84</v>
      </c>
      <c r="R354" s="199" t="str">
        <f t="shared" si="52"/>
        <v>0-205400</v>
      </c>
      <c r="S354" s="207">
        <v>294</v>
      </c>
      <c r="T354" s="208" t="s">
        <v>220</v>
      </c>
      <c r="U354" s="209" t="e">
        <f ca="1">_xlfn.XLOOKUP(PAA[[#This Row],[ITEM]],Contrato!A:A,Contrato!Q:Q,"",0)</f>
        <v>#NAME?</v>
      </c>
      <c r="V354" s="199" t="s">
        <v>47</v>
      </c>
      <c r="W354" s="199" t="s">
        <v>154</v>
      </c>
      <c r="X354" s="199" t="s">
        <v>154</v>
      </c>
      <c r="Y354" s="210" t="e">
        <f ca="1">_xlfn.XLOOKUP(PAA[[#This Row],[ITEM]],Contrato!A:A,Contrato!B:B,"",0)</f>
        <v>#NAME?</v>
      </c>
      <c r="Z354" s="199" t="e">
        <f ca="1">_xlfn.XLOOKUP(PAA[[#This Row],[ITEM]],Contrato!A:A,Contrato!G:G,"",0)</f>
        <v>#NAME?</v>
      </c>
      <c r="AA354" s="199" t="e">
        <f ca="1">_xlfn.XLOOKUP(PAA[[#This Row],[ITEM]],Contrato!A:A,Contrato!T:T,"",0)</f>
        <v>#NAME?</v>
      </c>
      <c r="AB354" s="210" t="e">
        <f ca="1">+MAX(PAA[[#This Row],[Comprometido Contrato]],)</f>
        <v>#NAME?</v>
      </c>
      <c r="AC354" s="210" t="str">
        <f t="shared" ca="1" si="56"/>
        <v/>
      </c>
      <c r="AD354" s="210" t="e">
        <f ca="1">+MAX(PAA[[#This Row],[Pago por Contrato]],)</f>
        <v>#NAME?</v>
      </c>
      <c r="AE354" s="210" t="str">
        <f t="shared" ca="1" si="53"/>
        <v/>
      </c>
      <c r="AF354" s="199" t="e">
        <f t="shared" ca="1" si="54"/>
        <v>#NAME?</v>
      </c>
      <c r="AG354" s="199">
        <f t="shared" si="55"/>
        <v>52010802</v>
      </c>
      <c r="AH354" s="199" t="e" cm="1">
        <f t="array" aca="1" ref="AH354" ca="1">_xlfn.XLOOKUP(PAA[[#This Row],[RCP-RUBRO]],COMPROMISOS_2025[[#All],[concatenado]],COMPROMISOS_2025[[#All],[Total pagado]],"",0)</f>
        <v>#NAME?</v>
      </c>
      <c r="AI354" s="199" t="e" cm="1">
        <f t="array" aca="1" ref="AI354" ca="1">_xlfn.XLOOKUP(PAA[[#This Row],[RCP-RUBRO]],COMPROMISOS_2025[[#All],[concatenado]],COMPROMISOS_2025[[#All],[Total Comprometido]],"",0)</f>
        <v>#NAME?</v>
      </c>
    </row>
    <row r="355" spans="1:35" s="50" customFormat="1" ht="42" hidden="1" customHeight="1" x14ac:dyDescent="0.25">
      <c r="A355" s="199">
        <v>255</v>
      </c>
      <c r="B355" s="200">
        <v>80111600</v>
      </c>
      <c r="C355" s="199" t="str">
        <f>VLOOKUP(PAA[[#This Row],[PROYECTO (formulado)2]],PROYECTOS!$G$1:$L$32,6,0)</f>
        <v>SUBGERENCIA DE ALTOS LOGROS Y DEPORTE ASOCIADO</v>
      </c>
      <c r="D355" s="199" t="str">
        <f>+IF(PAA[[#This Row],[UNIDAD DE CONTRATACION (formulado)]]="Subgerencia Administrativa y Financiera","FUNCIONAMIENTO","INVERSIÓN")</f>
        <v>INVERSIÓN</v>
      </c>
      <c r="E355" s="201" t="str">
        <f>VLOOKUP(Q355,PROYECTOS!$G$1:$K$32,5,0)</f>
        <v>Apoyo técnico a atletas y para-atletas que representan en alto rendimiento deportivo al departamento de Antioquia</v>
      </c>
      <c r="F355" s="201">
        <f>VLOOKUP(E355,PROYECTOS!$K$1:$M$32,3,0)</f>
        <v>2024003050084</v>
      </c>
      <c r="G355" s="202" t="s">
        <v>450</v>
      </c>
      <c r="H355" s="202" t="str">
        <f>VLOOKUP(Q355,PROYECTOS!$V$1:$W$32,2,0)</f>
        <v>050079</v>
      </c>
      <c r="I355" s="203">
        <v>50609170</v>
      </c>
      <c r="J355" s="204" t="s">
        <v>453</v>
      </c>
      <c r="K355" s="199" t="str">
        <f t="shared" ca="1" si="50"/>
        <v>CONTRATADO</v>
      </c>
      <c r="L355" s="199" t="s">
        <v>112</v>
      </c>
      <c r="M355" s="199" t="s">
        <v>113</v>
      </c>
      <c r="N355" s="205" t="s">
        <v>452</v>
      </c>
      <c r="O355" s="204">
        <f>VLOOKUP(N355,RUBROS[#All],3,0)</f>
        <v>62</v>
      </c>
      <c r="P355" s="206" t="str">
        <f>VLOOKUP(N355,RUBROS[#All],2,0)</f>
        <v>Apoyo técnico a atletas y para-atletas que representan en alto rendimiento deportivo al departamento de Antioquia. - Servicios para la comunidad, sociales y personales</v>
      </c>
      <c r="Q355" s="199" t="str">
        <f t="shared" si="51"/>
        <v>84</v>
      </c>
      <c r="R355" s="199" t="str">
        <f t="shared" si="52"/>
        <v>0-205400</v>
      </c>
      <c r="S355" s="207">
        <v>294</v>
      </c>
      <c r="T355" s="208" t="s">
        <v>220</v>
      </c>
      <c r="U355" s="209" t="e">
        <f ca="1">_xlfn.XLOOKUP(PAA[[#This Row],[ITEM]],Contrato!A:A,Contrato!Q:Q,"",0)</f>
        <v>#NAME?</v>
      </c>
      <c r="V355" s="199" t="s">
        <v>47</v>
      </c>
      <c r="W355" s="199" t="s">
        <v>154</v>
      </c>
      <c r="X355" s="199" t="s">
        <v>154</v>
      </c>
      <c r="Y355" s="210" t="e">
        <f ca="1">_xlfn.XLOOKUP(PAA[[#This Row],[ITEM]],Contrato!A:A,Contrato!B:B,"",0)</f>
        <v>#NAME?</v>
      </c>
      <c r="Z355" s="199" t="e">
        <f ca="1">_xlfn.XLOOKUP(PAA[[#This Row],[ITEM]],Contrato!A:A,Contrato!G:G,"",0)</f>
        <v>#NAME?</v>
      </c>
      <c r="AA355" s="199" t="e">
        <f ca="1">_xlfn.XLOOKUP(PAA[[#This Row],[ITEM]],Contrato!A:A,Contrato!T:T,"",0)</f>
        <v>#NAME?</v>
      </c>
      <c r="AB355" s="210" t="e">
        <f ca="1">+MAX(PAA[[#This Row],[Comprometido Contrato]],)</f>
        <v>#NAME?</v>
      </c>
      <c r="AC355" s="210" t="str">
        <f t="shared" ca="1" si="56"/>
        <v/>
      </c>
      <c r="AD355" s="210" t="e">
        <f ca="1">+MAX(PAA[[#This Row],[Pago por Contrato]],)</f>
        <v>#NAME?</v>
      </c>
      <c r="AE355" s="210" t="str">
        <f t="shared" ca="1" si="53"/>
        <v/>
      </c>
      <c r="AF355" s="199" t="e">
        <f t="shared" ca="1" si="54"/>
        <v>#NAME?</v>
      </c>
      <c r="AG355" s="199">
        <f t="shared" si="55"/>
        <v>52010802</v>
      </c>
      <c r="AH355" s="199" t="e" cm="1">
        <f t="array" aca="1" ref="AH355" ca="1">_xlfn.XLOOKUP(PAA[[#This Row],[RCP-RUBRO]],COMPROMISOS_2025[[#All],[concatenado]],COMPROMISOS_2025[[#All],[Total pagado]],"",0)</f>
        <v>#NAME?</v>
      </c>
      <c r="AI355" s="199" t="e" cm="1">
        <f t="array" aca="1" ref="AI355" ca="1">_xlfn.XLOOKUP(PAA[[#This Row],[RCP-RUBRO]],COMPROMISOS_2025[[#All],[concatenado]],COMPROMISOS_2025[[#All],[Total Comprometido]],"",0)</f>
        <v>#NAME?</v>
      </c>
    </row>
    <row r="356" spans="1:35" s="50" customFormat="1" ht="42" hidden="1" customHeight="1" x14ac:dyDescent="0.25">
      <c r="A356" s="199">
        <v>256</v>
      </c>
      <c r="B356" s="200">
        <v>80111600</v>
      </c>
      <c r="C356" s="199" t="str">
        <f>VLOOKUP(PAA[[#This Row],[PROYECTO (formulado)2]],PROYECTOS!$G$1:$L$32,6,0)</f>
        <v>SUBGERENCIA DE ALTOS LOGROS Y DEPORTE ASOCIADO</v>
      </c>
      <c r="D356" s="199" t="str">
        <f>+IF(PAA[[#This Row],[UNIDAD DE CONTRATACION (formulado)]]="Subgerencia Administrativa y Financiera","FUNCIONAMIENTO","INVERSIÓN")</f>
        <v>INVERSIÓN</v>
      </c>
      <c r="E356" s="201" t="str">
        <f>VLOOKUP(Q356,PROYECTOS!$G$1:$K$32,5,0)</f>
        <v>Apoyo técnico a atletas y para-atletas que representan en alto rendimiento deportivo al departamento de Antioquia</v>
      </c>
      <c r="F356" s="201">
        <f>VLOOKUP(E356,PROYECTOS!$K$1:$M$32,3,0)</f>
        <v>2024003050084</v>
      </c>
      <c r="G356" s="202" t="s">
        <v>450</v>
      </c>
      <c r="H356" s="202" t="str">
        <f>VLOOKUP(Q356,PROYECTOS!$V$1:$W$32,2,0)</f>
        <v>050079</v>
      </c>
      <c r="I356" s="203">
        <v>40747479</v>
      </c>
      <c r="J356" s="204" t="s">
        <v>454</v>
      </c>
      <c r="K356" s="199" t="str">
        <f t="shared" ca="1" si="50"/>
        <v>CONTRATADO</v>
      </c>
      <c r="L356" s="199" t="s">
        <v>112</v>
      </c>
      <c r="M356" s="199" t="s">
        <v>113</v>
      </c>
      <c r="N356" s="205" t="s">
        <v>452</v>
      </c>
      <c r="O356" s="204">
        <f>VLOOKUP(N356,RUBROS[#All],3,0)</f>
        <v>62</v>
      </c>
      <c r="P356" s="206" t="str">
        <f>VLOOKUP(N356,RUBROS[#All],2,0)</f>
        <v>Apoyo técnico a atletas y para-atletas que representan en alto rendimiento deportivo al departamento de Antioquia. - Servicios para la comunidad, sociales y personales</v>
      </c>
      <c r="Q356" s="199" t="str">
        <f t="shared" si="51"/>
        <v>84</v>
      </c>
      <c r="R356" s="199" t="str">
        <f t="shared" si="52"/>
        <v>0-205400</v>
      </c>
      <c r="S356" s="207">
        <v>294</v>
      </c>
      <c r="T356" s="208" t="s">
        <v>220</v>
      </c>
      <c r="U356" s="209" t="e">
        <f ca="1">_xlfn.XLOOKUP(PAA[[#This Row],[ITEM]],Contrato!A:A,Contrato!Q:Q,"",0)</f>
        <v>#NAME?</v>
      </c>
      <c r="V356" s="199" t="s">
        <v>47</v>
      </c>
      <c r="W356" s="199" t="s">
        <v>154</v>
      </c>
      <c r="X356" s="199" t="s">
        <v>154</v>
      </c>
      <c r="Y356" s="210" t="e">
        <f ca="1">_xlfn.XLOOKUP(PAA[[#This Row],[ITEM]],Contrato!A:A,Contrato!B:B,"",0)</f>
        <v>#NAME?</v>
      </c>
      <c r="Z356" s="199" t="e">
        <f ca="1">_xlfn.XLOOKUP(PAA[[#This Row],[ITEM]],Contrato!A:A,Contrato!G:G,"",0)</f>
        <v>#NAME?</v>
      </c>
      <c r="AA356" s="199" t="e">
        <f ca="1">_xlfn.XLOOKUP(PAA[[#This Row],[ITEM]],Contrato!A:A,Contrato!T:T,"",0)</f>
        <v>#NAME?</v>
      </c>
      <c r="AB356" s="210" t="e">
        <f ca="1">+MAX(PAA[[#This Row],[Comprometido Contrato]],)</f>
        <v>#NAME?</v>
      </c>
      <c r="AC356" s="210" t="str">
        <f t="shared" ca="1" si="56"/>
        <v/>
      </c>
      <c r="AD356" s="210" t="e">
        <f ca="1">+MAX(PAA[[#This Row],[Pago por Contrato]],)</f>
        <v>#NAME?</v>
      </c>
      <c r="AE356" s="210" t="str">
        <f t="shared" ca="1" si="53"/>
        <v/>
      </c>
      <c r="AF356" s="199" t="e">
        <f t="shared" ca="1" si="54"/>
        <v>#NAME?</v>
      </c>
      <c r="AG356" s="199">
        <f t="shared" si="55"/>
        <v>52010802</v>
      </c>
      <c r="AH356" s="199" t="e" cm="1">
        <f t="array" aca="1" ref="AH356" ca="1">_xlfn.XLOOKUP(PAA[[#This Row],[RCP-RUBRO]],COMPROMISOS_2025[[#All],[concatenado]],COMPROMISOS_2025[[#All],[Total pagado]],"",0)</f>
        <v>#NAME?</v>
      </c>
      <c r="AI356" s="199" t="e" cm="1">
        <f t="array" aca="1" ref="AI356" ca="1">_xlfn.XLOOKUP(PAA[[#This Row],[RCP-RUBRO]],COMPROMISOS_2025[[#All],[concatenado]],COMPROMISOS_2025[[#All],[Total Comprometido]],"",0)</f>
        <v>#NAME?</v>
      </c>
    </row>
    <row r="357" spans="1:35" s="50" customFormat="1" ht="42" hidden="1" customHeight="1" x14ac:dyDescent="0.25">
      <c r="A357" s="199">
        <v>257</v>
      </c>
      <c r="B357" s="200">
        <v>80111600</v>
      </c>
      <c r="C357" s="199" t="str">
        <f>VLOOKUP(PAA[[#This Row],[PROYECTO (formulado)2]],PROYECTOS!$G$1:$L$32,6,0)</f>
        <v>SUBGERENCIA DE ALTOS LOGROS Y DEPORTE ASOCIADO</v>
      </c>
      <c r="D357" s="199" t="str">
        <f>+IF(PAA[[#This Row],[UNIDAD DE CONTRATACION (formulado)]]="Subgerencia Administrativa y Financiera","FUNCIONAMIENTO","INVERSIÓN")</f>
        <v>INVERSIÓN</v>
      </c>
      <c r="E357" s="201" t="str">
        <f>VLOOKUP(Q357,PROYECTOS!$G$1:$K$32,5,0)</f>
        <v>Apoyo técnico a atletas y para-atletas que representan en alto rendimiento deportivo al departamento de Antioquia</v>
      </c>
      <c r="F357" s="201">
        <f>VLOOKUP(E357,PROYECTOS!$K$1:$M$32,3,0)</f>
        <v>2024003050084</v>
      </c>
      <c r="G357" s="202" t="s">
        <v>450</v>
      </c>
      <c r="H357" s="202" t="str">
        <f>VLOOKUP(Q357,PROYECTOS!$V$1:$W$32,2,0)</f>
        <v>050079</v>
      </c>
      <c r="I357" s="203">
        <v>40747479</v>
      </c>
      <c r="J357" s="204" t="s">
        <v>455</v>
      </c>
      <c r="K357" s="199" t="str">
        <f t="shared" ca="1" si="50"/>
        <v>CONTRATADO</v>
      </c>
      <c r="L357" s="199" t="s">
        <v>112</v>
      </c>
      <c r="M357" s="199" t="s">
        <v>113</v>
      </c>
      <c r="N357" s="205" t="s">
        <v>452</v>
      </c>
      <c r="O357" s="204">
        <f>VLOOKUP(N357,RUBROS[#All],3,0)</f>
        <v>62</v>
      </c>
      <c r="P357" s="206" t="str">
        <f>VLOOKUP(N357,RUBROS[#All],2,0)</f>
        <v>Apoyo técnico a atletas y para-atletas que representan en alto rendimiento deportivo al departamento de Antioquia. - Servicios para la comunidad, sociales y personales</v>
      </c>
      <c r="Q357" s="199" t="str">
        <f t="shared" si="51"/>
        <v>84</v>
      </c>
      <c r="R357" s="199" t="str">
        <f t="shared" si="52"/>
        <v>0-205400</v>
      </c>
      <c r="S357" s="207">
        <v>294</v>
      </c>
      <c r="T357" s="208" t="s">
        <v>220</v>
      </c>
      <c r="U357" s="209" t="e">
        <f ca="1">_xlfn.XLOOKUP(PAA[[#This Row],[ITEM]],Contrato!A:A,Contrato!Q:Q,"",0)</f>
        <v>#NAME?</v>
      </c>
      <c r="V357" s="199" t="s">
        <v>47</v>
      </c>
      <c r="W357" s="199" t="s">
        <v>154</v>
      </c>
      <c r="X357" s="199" t="s">
        <v>154</v>
      </c>
      <c r="Y357" s="210" t="e">
        <f ca="1">_xlfn.XLOOKUP(PAA[[#This Row],[ITEM]],Contrato!A:A,Contrato!B:B,"",0)</f>
        <v>#NAME?</v>
      </c>
      <c r="Z357" s="199" t="e">
        <f ca="1">_xlfn.XLOOKUP(PAA[[#This Row],[ITEM]],Contrato!A:A,Contrato!G:G,"",0)</f>
        <v>#NAME?</v>
      </c>
      <c r="AA357" s="199" t="e">
        <f ca="1">_xlfn.XLOOKUP(PAA[[#This Row],[ITEM]],Contrato!A:A,Contrato!T:T,"",0)</f>
        <v>#NAME?</v>
      </c>
      <c r="AB357" s="210" t="e">
        <f ca="1">+MAX(PAA[[#This Row],[Comprometido Contrato]],)</f>
        <v>#NAME?</v>
      </c>
      <c r="AC357" s="210" t="str">
        <f t="shared" ca="1" si="56"/>
        <v/>
      </c>
      <c r="AD357" s="210" t="e">
        <f ca="1">+MAX(PAA[[#This Row],[Pago por Contrato]],)</f>
        <v>#NAME?</v>
      </c>
      <c r="AE357" s="210" t="str">
        <f t="shared" ca="1" si="53"/>
        <v/>
      </c>
      <c r="AF357" s="199" t="e">
        <f t="shared" ca="1" si="54"/>
        <v>#NAME?</v>
      </c>
      <c r="AG357" s="199">
        <f t="shared" si="55"/>
        <v>52010802</v>
      </c>
      <c r="AH357" s="199" t="e" cm="1">
        <f t="array" aca="1" ref="AH357" ca="1">_xlfn.XLOOKUP(PAA[[#This Row],[RCP-RUBRO]],COMPROMISOS_2025[[#All],[concatenado]],COMPROMISOS_2025[[#All],[Total pagado]],"",0)</f>
        <v>#NAME?</v>
      </c>
      <c r="AI357" s="199" t="e" cm="1">
        <f t="array" aca="1" ref="AI357" ca="1">_xlfn.XLOOKUP(PAA[[#This Row],[RCP-RUBRO]],COMPROMISOS_2025[[#All],[concatenado]],COMPROMISOS_2025[[#All],[Total Comprometido]],"",0)</f>
        <v>#NAME?</v>
      </c>
    </row>
    <row r="358" spans="1:35" s="50" customFormat="1" ht="42" hidden="1" customHeight="1" x14ac:dyDescent="0.25">
      <c r="A358" s="199">
        <v>258</v>
      </c>
      <c r="B358" s="200">
        <v>80111600</v>
      </c>
      <c r="C358" s="199" t="str">
        <f>VLOOKUP(PAA[[#This Row],[PROYECTO (formulado)2]],PROYECTOS!$G$1:$L$32,6,0)</f>
        <v>SUBGERENCIA DE ALTOS LOGROS Y DEPORTE ASOCIADO</v>
      </c>
      <c r="D358" s="199" t="str">
        <f>+IF(PAA[[#This Row],[UNIDAD DE CONTRATACION (formulado)]]="Subgerencia Administrativa y Financiera","FUNCIONAMIENTO","INVERSIÓN")</f>
        <v>INVERSIÓN</v>
      </c>
      <c r="E358" s="201" t="str">
        <f>VLOOKUP(Q358,PROYECTOS!$G$1:$K$32,5,0)</f>
        <v>Apoyo técnico a atletas y para-atletas que representan en alto rendimiento deportivo al departamento de Antioquia</v>
      </c>
      <c r="F358" s="201">
        <f>VLOOKUP(E358,PROYECTOS!$K$1:$M$32,3,0)</f>
        <v>2024003050084</v>
      </c>
      <c r="G358" s="202" t="s">
        <v>450</v>
      </c>
      <c r="H358" s="202" t="str">
        <f>VLOOKUP(Q358,PROYECTOS!$V$1:$W$32,2,0)</f>
        <v>050079</v>
      </c>
      <c r="I358" s="203">
        <v>40747479</v>
      </c>
      <c r="J358" s="204" t="s">
        <v>456</v>
      </c>
      <c r="K358" s="199" t="str">
        <f t="shared" ca="1" si="50"/>
        <v>CONTRATADO</v>
      </c>
      <c r="L358" s="199" t="s">
        <v>112</v>
      </c>
      <c r="M358" s="199" t="s">
        <v>113</v>
      </c>
      <c r="N358" s="205" t="s">
        <v>452</v>
      </c>
      <c r="O358" s="204">
        <f>VLOOKUP(N358,RUBROS[#All],3,0)</f>
        <v>62</v>
      </c>
      <c r="P358" s="206" t="str">
        <f>VLOOKUP(N358,RUBROS[#All],2,0)</f>
        <v>Apoyo técnico a atletas y para-atletas que representan en alto rendimiento deportivo al departamento de Antioquia. - Servicios para la comunidad, sociales y personales</v>
      </c>
      <c r="Q358" s="199" t="str">
        <f t="shared" si="51"/>
        <v>84</v>
      </c>
      <c r="R358" s="199" t="str">
        <f t="shared" si="52"/>
        <v>0-205400</v>
      </c>
      <c r="S358" s="207">
        <v>294</v>
      </c>
      <c r="T358" s="208" t="s">
        <v>220</v>
      </c>
      <c r="U358" s="209" t="e">
        <f ca="1">_xlfn.XLOOKUP(PAA[[#This Row],[ITEM]],Contrato!A:A,Contrato!Q:Q,"",0)</f>
        <v>#NAME?</v>
      </c>
      <c r="V358" s="199" t="s">
        <v>47</v>
      </c>
      <c r="W358" s="199" t="s">
        <v>154</v>
      </c>
      <c r="X358" s="199" t="s">
        <v>154</v>
      </c>
      <c r="Y358" s="210" t="e">
        <f ca="1">_xlfn.XLOOKUP(PAA[[#This Row],[ITEM]],Contrato!A:A,Contrato!B:B,"",0)</f>
        <v>#NAME?</v>
      </c>
      <c r="Z358" s="199" t="e">
        <f ca="1">_xlfn.XLOOKUP(PAA[[#This Row],[ITEM]],Contrato!A:A,Contrato!G:G,"",0)</f>
        <v>#NAME?</v>
      </c>
      <c r="AA358" s="199" t="e">
        <f ca="1">_xlfn.XLOOKUP(PAA[[#This Row],[ITEM]],Contrato!A:A,Contrato!T:T,"",0)</f>
        <v>#NAME?</v>
      </c>
      <c r="AB358" s="210" t="e">
        <f ca="1">+MAX(PAA[[#This Row],[Comprometido Contrato]],)</f>
        <v>#NAME?</v>
      </c>
      <c r="AC358" s="210" t="str">
        <f t="shared" ca="1" si="56"/>
        <v/>
      </c>
      <c r="AD358" s="210" t="e">
        <f ca="1">+MAX(PAA[[#This Row],[Pago por Contrato]],)</f>
        <v>#NAME?</v>
      </c>
      <c r="AE358" s="210" t="str">
        <f t="shared" ca="1" si="53"/>
        <v/>
      </c>
      <c r="AF358" s="199" t="e">
        <f t="shared" ca="1" si="54"/>
        <v>#NAME?</v>
      </c>
      <c r="AG358" s="199">
        <f t="shared" si="55"/>
        <v>52010802</v>
      </c>
      <c r="AH358" s="199" t="e" cm="1">
        <f t="array" aca="1" ref="AH358" ca="1">_xlfn.XLOOKUP(PAA[[#This Row],[RCP-RUBRO]],COMPROMISOS_2025[[#All],[concatenado]],COMPROMISOS_2025[[#All],[Total pagado]],"",0)</f>
        <v>#NAME?</v>
      </c>
      <c r="AI358" s="199" t="e" cm="1">
        <f t="array" aca="1" ref="AI358" ca="1">_xlfn.XLOOKUP(PAA[[#This Row],[RCP-RUBRO]],COMPROMISOS_2025[[#All],[concatenado]],COMPROMISOS_2025[[#All],[Total Comprometido]],"",0)</f>
        <v>#NAME?</v>
      </c>
    </row>
    <row r="359" spans="1:35" s="50" customFormat="1" ht="42" hidden="1" customHeight="1" x14ac:dyDescent="0.25">
      <c r="A359" s="199">
        <v>259</v>
      </c>
      <c r="B359" s="200">
        <v>80111600</v>
      </c>
      <c r="C359" s="199" t="str">
        <f>VLOOKUP(PAA[[#This Row],[PROYECTO (formulado)2]],PROYECTOS!$G$1:$L$32,6,0)</f>
        <v>SUBGERENCIA DE ALTOS LOGROS Y DEPORTE ASOCIADO</v>
      </c>
      <c r="D359" s="199" t="str">
        <f>+IF(PAA[[#This Row],[UNIDAD DE CONTRATACION (formulado)]]="Subgerencia Administrativa y Financiera","FUNCIONAMIENTO","INVERSIÓN")</f>
        <v>INVERSIÓN</v>
      </c>
      <c r="E359" s="201" t="str">
        <f>VLOOKUP(Q359,PROYECTOS!$G$1:$K$32,5,0)</f>
        <v>Apoyo técnico a atletas y para-atletas que representan en alto rendimiento deportivo al departamento de Antioquia</v>
      </c>
      <c r="F359" s="201">
        <f>VLOOKUP(E359,PROYECTOS!$K$1:$M$32,3,0)</f>
        <v>2024003050084</v>
      </c>
      <c r="G359" s="202" t="s">
        <v>450</v>
      </c>
      <c r="H359" s="202" t="str">
        <f>VLOOKUP(Q359,PROYECTOS!$V$1:$W$32,2,0)</f>
        <v>050079</v>
      </c>
      <c r="I359" s="203">
        <v>50609170</v>
      </c>
      <c r="J359" s="204" t="s">
        <v>457</v>
      </c>
      <c r="K359" s="199" t="str">
        <f t="shared" ca="1" si="50"/>
        <v>CONTRATADO</v>
      </c>
      <c r="L359" s="199" t="s">
        <v>112</v>
      </c>
      <c r="M359" s="199" t="s">
        <v>113</v>
      </c>
      <c r="N359" s="205" t="s">
        <v>452</v>
      </c>
      <c r="O359" s="204">
        <f>VLOOKUP(N359,RUBROS[#All],3,0)</f>
        <v>62</v>
      </c>
      <c r="P359" s="206" t="str">
        <f>VLOOKUP(N359,RUBROS[#All],2,0)</f>
        <v>Apoyo técnico a atletas y para-atletas que representan en alto rendimiento deportivo al departamento de Antioquia. - Servicios para la comunidad, sociales y personales</v>
      </c>
      <c r="Q359" s="199" t="str">
        <f t="shared" si="51"/>
        <v>84</v>
      </c>
      <c r="R359" s="199" t="str">
        <f t="shared" si="52"/>
        <v>0-205400</v>
      </c>
      <c r="S359" s="207">
        <v>294</v>
      </c>
      <c r="T359" s="208" t="s">
        <v>220</v>
      </c>
      <c r="U359" s="209" t="e">
        <f ca="1">_xlfn.XLOOKUP(PAA[[#This Row],[ITEM]],Contrato!A:A,Contrato!Q:Q,"",0)</f>
        <v>#NAME?</v>
      </c>
      <c r="V359" s="199" t="s">
        <v>47</v>
      </c>
      <c r="W359" s="199" t="s">
        <v>154</v>
      </c>
      <c r="X359" s="199" t="s">
        <v>154</v>
      </c>
      <c r="Y359" s="210" t="e">
        <f ca="1">_xlfn.XLOOKUP(PAA[[#This Row],[ITEM]],Contrato!A:A,Contrato!B:B,"",0)</f>
        <v>#NAME?</v>
      </c>
      <c r="Z359" s="199" t="e">
        <f ca="1">_xlfn.XLOOKUP(PAA[[#This Row],[ITEM]],Contrato!A:A,Contrato!G:G,"",0)</f>
        <v>#NAME?</v>
      </c>
      <c r="AA359" s="199" t="e">
        <f ca="1">_xlfn.XLOOKUP(PAA[[#This Row],[ITEM]],Contrato!A:A,Contrato!T:T,"",0)</f>
        <v>#NAME?</v>
      </c>
      <c r="AB359" s="210" t="e">
        <f ca="1">+MAX(PAA[[#This Row],[Comprometido Contrato]],)</f>
        <v>#NAME?</v>
      </c>
      <c r="AC359" s="210" t="str">
        <f t="shared" ca="1" si="56"/>
        <v/>
      </c>
      <c r="AD359" s="210" t="e">
        <f ca="1">+MAX(PAA[[#This Row],[Pago por Contrato]],)</f>
        <v>#NAME?</v>
      </c>
      <c r="AE359" s="210" t="str">
        <f t="shared" ca="1" si="53"/>
        <v/>
      </c>
      <c r="AF359" s="199" t="e">
        <f t="shared" ca="1" si="54"/>
        <v>#NAME?</v>
      </c>
      <c r="AG359" s="199">
        <f t="shared" si="55"/>
        <v>52010802</v>
      </c>
      <c r="AH359" s="199" t="e" cm="1">
        <f t="array" aca="1" ref="AH359" ca="1">_xlfn.XLOOKUP(PAA[[#This Row],[RCP-RUBRO]],COMPROMISOS_2025[[#All],[concatenado]],COMPROMISOS_2025[[#All],[Total pagado]],"",0)</f>
        <v>#NAME?</v>
      </c>
      <c r="AI359" s="199" t="e" cm="1">
        <f t="array" aca="1" ref="AI359" ca="1">_xlfn.XLOOKUP(PAA[[#This Row],[RCP-RUBRO]],COMPROMISOS_2025[[#All],[concatenado]],COMPROMISOS_2025[[#All],[Total Comprometido]],"",0)</f>
        <v>#NAME?</v>
      </c>
    </row>
    <row r="360" spans="1:35" s="50" customFormat="1" ht="42" hidden="1" customHeight="1" x14ac:dyDescent="0.25">
      <c r="A360" s="199">
        <v>260</v>
      </c>
      <c r="B360" s="200">
        <v>80111600</v>
      </c>
      <c r="C360" s="199" t="str">
        <f>VLOOKUP(PAA[[#This Row],[PROYECTO (formulado)2]],PROYECTOS!$G$1:$L$32,6,0)</f>
        <v>SUBGERENCIA DE ALTOS LOGROS Y DEPORTE ASOCIADO</v>
      </c>
      <c r="D360" s="199" t="str">
        <f>+IF(PAA[[#This Row],[UNIDAD DE CONTRATACION (formulado)]]="Subgerencia Administrativa y Financiera","FUNCIONAMIENTO","INVERSIÓN")</f>
        <v>INVERSIÓN</v>
      </c>
      <c r="E360" s="201" t="str">
        <f>VLOOKUP(Q360,PROYECTOS!$G$1:$K$32,5,0)</f>
        <v>Apoyo técnico a atletas y para-atletas que representan en alto rendimiento deportivo al departamento de Antioquia</v>
      </c>
      <c r="F360" s="201">
        <f>VLOOKUP(E360,PROYECTOS!$K$1:$M$32,3,0)</f>
        <v>2024003050084</v>
      </c>
      <c r="G360" s="202" t="s">
        <v>450</v>
      </c>
      <c r="H360" s="202" t="str">
        <f>VLOOKUP(Q360,PROYECTOS!$V$1:$W$32,2,0)</f>
        <v>050079</v>
      </c>
      <c r="I360" s="203">
        <v>40747479</v>
      </c>
      <c r="J360" s="204" t="s">
        <v>458</v>
      </c>
      <c r="K360" s="199" t="str">
        <f t="shared" ca="1" si="50"/>
        <v>CONTRATADO</v>
      </c>
      <c r="L360" s="199" t="s">
        <v>112</v>
      </c>
      <c r="M360" s="199" t="s">
        <v>113</v>
      </c>
      <c r="N360" s="205" t="s">
        <v>452</v>
      </c>
      <c r="O360" s="204">
        <f>VLOOKUP(N360,RUBROS[#All],3,0)</f>
        <v>62</v>
      </c>
      <c r="P360" s="206" t="str">
        <f>VLOOKUP(N360,RUBROS[#All],2,0)</f>
        <v>Apoyo técnico a atletas y para-atletas que representan en alto rendimiento deportivo al departamento de Antioquia. - Servicios para la comunidad, sociales y personales</v>
      </c>
      <c r="Q360" s="199" t="str">
        <f t="shared" si="51"/>
        <v>84</v>
      </c>
      <c r="R360" s="199" t="str">
        <f t="shared" si="52"/>
        <v>0-205400</v>
      </c>
      <c r="S360" s="207">
        <v>294</v>
      </c>
      <c r="T360" s="208" t="s">
        <v>220</v>
      </c>
      <c r="U360" s="209" t="e">
        <f ca="1">_xlfn.XLOOKUP(PAA[[#This Row],[ITEM]],Contrato!A:A,Contrato!Q:Q,"",0)</f>
        <v>#NAME?</v>
      </c>
      <c r="V360" s="199" t="s">
        <v>47</v>
      </c>
      <c r="W360" s="199" t="s">
        <v>154</v>
      </c>
      <c r="X360" s="199" t="s">
        <v>154</v>
      </c>
      <c r="Y360" s="210" t="e">
        <f ca="1">_xlfn.XLOOKUP(PAA[[#This Row],[ITEM]],Contrato!A:A,Contrato!B:B,"",0)</f>
        <v>#NAME?</v>
      </c>
      <c r="Z360" s="199" t="e">
        <f ca="1">_xlfn.XLOOKUP(PAA[[#This Row],[ITEM]],Contrato!A:A,Contrato!G:G,"",0)</f>
        <v>#NAME?</v>
      </c>
      <c r="AA360" s="199" t="e">
        <f ca="1">_xlfn.XLOOKUP(PAA[[#This Row],[ITEM]],Contrato!A:A,Contrato!T:T,"",0)</f>
        <v>#NAME?</v>
      </c>
      <c r="AB360" s="210" t="e">
        <f ca="1">+MAX(PAA[[#This Row],[Comprometido Contrato]],)</f>
        <v>#NAME?</v>
      </c>
      <c r="AC360" s="210" t="str">
        <f t="shared" ca="1" si="56"/>
        <v/>
      </c>
      <c r="AD360" s="210" t="e">
        <f ca="1">+MAX(PAA[[#This Row],[Pago por Contrato]],)</f>
        <v>#NAME?</v>
      </c>
      <c r="AE360" s="210" t="str">
        <f t="shared" ca="1" si="53"/>
        <v/>
      </c>
      <c r="AF360" s="199" t="e">
        <f t="shared" ca="1" si="54"/>
        <v>#NAME?</v>
      </c>
      <c r="AG360" s="199">
        <f t="shared" si="55"/>
        <v>52010802</v>
      </c>
      <c r="AH360" s="199" t="e" cm="1">
        <f t="array" aca="1" ref="AH360" ca="1">_xlfn.XLOOKUP(PAA[[#This Row],[RCP-RUBRO]],COMPROMISOS_2025[[#All],[concatenado]],COMPROMISOS_2025[[#All],[Total pagado]],"",0)</f>
        <v>#NAME?</v>
      </c>
      <c r="AI360" s="199" t="e" cm="1">
        <f t="array" aca="1" ref="AI360" ca="1">_xlfn.XLOOKUP(PAA[[#This Row],[RCP-RUBRO]],COMPROMISOS_2025[[#All],[concatenado]],COMPROMISOS_2025[[#All],[Total Comprometido]],"",0)</f>
        <v>#NAME?</v>
      </c>
    </row>
    <row r="361" spans="1:35" s="50" customFormat="1" ht="42" hidden="1" customHeight="1" x14ac:dyDescent="0.25">
      <c r="A361" s="199">
        <v>261</v>
      </c>
      <c r="B361" s="200">
        <v>80111600</v>
      </c>
      <c r="C361" s="199" t="str">
        <f>VLOOKUP(PAA[[#This Row],[PROYECTO (formulado)2]],PROYECTOS!$G$1:$L$32,6,0)</f>
        <v>SUBGERENCIA DE ALTOS LOGROS Y DEPORTE ASOCIADO</v>
      </c>
      <c r="D361" s="199" t="str">
        <f>+IF(PAA[[#This Row],[UNIDAD DE CONTRATACION (formulado)]]="Subgerencia Administrativa y Financiera","FUNCIONAMIENTO","INVERSIÓN")</f>
        <v>INVERSIÓN</v>
      </c>
      <c r="E361" s="201" t="str">
        <f>VLOOKUP(Q361,PROYECTOS!$G$1:$K$32,5,0)</f>
        <v>Apoyo técnico a atletas y para-atletas que representan en alto rendimiento deportivo al departamento de Antioquia</v>
      </c>
      <c r="F361" s="201">
        <f>VLOOKUP(E361,PROYECTOS!$K$1:$M$32,3,0)</f>
        <v>2024003050084</v>
      </c>
      <c r="G361" s="202" t="s">
        <v>450</v>
      </c>
      <c r="H361" s="202" t="str">
        <f>VLOOKUP(Q361,PROYECTOS!$V$1:$W$32,2,0)</f>
        <v>050079</v>
      </c>
      <c r="I361" s="203">
        <v>50609170</v>
      </c>
      <c r="J361" s="204" t="s">
        <v>459</v>
      </c>
      <c r="K361" s="199" t="str">
        <f t="shared" ca="1" si="50"/>
        <v>CONTRATADO</v>
      </c>
      <c r="L361" s="199" t="s">
        <v>112</v>
      </c>
      <c r="M361" s="199" t="s">
        <v>113</v>
      </c>
      <c r="N361" s="205" t="s">
        <v>452</v>
      </c>
      <c r="O361" s="204">
        <f>VLOOKUP(N361,RUBROS[#All],3,0)</f>
        <v>62</v>
      </c>
      <c r="P361" s="206" t="str">
        <f>VLOOKUP(N361,RUBROS[#All],2,0)</f>
        <v>Apoyo técnico a atletas y para-atletas que representan en alto rendimiento deportivo al departamento de Antioquia. - Servicios para la comunidad, sociales y personales</v>
      </c>
      <c r="Q361" s="199" t="str">
        <f t="shared" si="51"/>
        <v>84</v>
      </c>
      <c r="R361" s="199" t="str">
        <f t="shared" si="52"/>
        <v>0-205400</v>
      </c>
      <c r="S361" s="207">
        <v>294</v>
      </c>
      <c r="T361" s="208" t="s">
        <v>220</v>
      </c>
      <c r="U361" s="209" t="e">
        <f ca="1">_xlfn.XLOOKUP(PAA[[#This Row],[ITEM]],Contrato!A:A,Contrato!Q:Q,"",0)</f>
        <v>#NAME?</v>
      </c>
      <c r="V361" s="199" t="s">
        <v>47</v>
      </c>
      <c r="W361" s="199" t="s">
        <v>154</v>
      </c>
      <c r="X361" s="199" t="s">
        <v>154</v>
      </c>
      <c r="Y361" s="210" t="e">
        <f ca="1">_xlfn.XLOOKUP(PAA[[#This Row],[ITEM]],Contrato!A:A,Contrato!B:B,"",0)</f>
        <v>#NAME?</v>
      </c>
      <c r="Z361" s="199" t="e">
        <f ca="1">_xlfn.XLOOKUP(PAA[[#This Row],[ITEM]],Contrato!A:A,Contrato!G:G,"",0)</f>
        <v>#NAME?</v>
      </c>
      <c r="AA361" s="199" t="e">
        <f ca="1">_xlfn.XLOOKUP(PAA[[#This Row],[ITEM]],Contrato!A:A,Contrato!T:T,"",0)</f>
        <v>#NAME?</v>
      </c>
      <c r="AB361" s="210" t="e">
        <f ca="1">+MAX(PAA[[#This Row],[Comprometido Contrato]],)</f>
        <v>#NAME?</v>
      </c>
      <c r="AC361" s="210" t="str">
        <f t="shared" ca="1" si="56"/>
        <v/>
      </c>
      <c r="AD361" s="210" t="e">
        <f ca="1">+MAX(PAA[[#This Row],[Pago por Contrato]],)</f>
        <v>#NAME?</v>
      </c>
      <c r="AE361" s="210" t="str">
        <f t="shared" ca="1" si="53"/>
        <v/>
      </c>
      <c r="AF361" s="199" t="e">
        <f t="shared" ca="1" si="54"/>
        <v>#NAME?</v>
      </c>
      <c r="AG361" s="199">
        <f t="shared" si="55"/>
        <v>52010802</v>
      </c>
      <c r="AH361" s="199" t="e" cm="1">
        <f t="array" aca="1" ref="AH361" ca="1">_xlfn.XLOOKUP(PAA[[#This Row],[RCP-RUBRO]],COMPROMISOS_2025[[#All],[concatenado]],COMPROMISOS_2025[[#All],[Total pagado]],"",0)</f>
        <v>#NAME?</v>
      </c>
      <c r="AI361" s="199" t="e" cm="1">
        <f t="array" aca="1" ref="AI361" ca="1">_xlfn.XLOOKUP(PAA[[#This Row],[RCP-RUBRO]],COMPROMISOS_2025[[#All],[concatenado]],COMPROMISOS_2025[[#All],[Total Comprometido]],"",0)</f>
        <v>#NAME?</v>
      </c>
    </row>
    <row r="362" spans="1:35" s="50" customFormat="1" ht="42" hidden="1" customHeight="1" x14ac:dyDescent="0.25">
      <c r="A362" s="199">
        <v>262</v>
      </c>
      <c r="B362" s="200">
        <v>80111600</v>
      </c>
      <c r="C362" s="199" t="str">
        <f>VLOOKUP(PAA[[#This Row],[PROYECTO (formulado)2]],PROYECTOS!$G$1:$L$32,6,0)</f>
        <v>SUBGERENCIA DE ALTOS LOGROS Y DEPORTE ASOCIADO</v>
      </c>
      <c r="D362" s="199" t="str">
        <f>+IF(PAA[[#This Row],[UNIDAD DE CONTRATACION (formulado)]]="Subgerencia Administrativa y Financiera","FUNCIONAMIENTO","INVERSIÓN")</f>
        <v>INVERSIÓN</v>
      </c>
      <c r="E362" s="201" t="str">
        <f>VLOOKUP(Q362,PROYECTOS!$G$1:$K$32,5,0)</f>
        <v>Apoyo técnico a atletas y para-atletas que representan en alto rendimiento deportivo al departamento de Antioquia</v>
      </c>
      <c r="F362" s="201">
        <f>VLOOKUP(E362,PROYECTOS!$K$1:$M$32,3,0)</f>
        <v>2024003050084</v>
      </c>
      <c r="G362" s="202" t="s">
        <v>450</v>
      </c>
      <c r="H362" s="202" t="str">
        <f>VLOOKUP(Q362,PROYECTOS!$V$1:$W$32,2,0)</f>
        <v>050079</v>
      </c>
      <c r="I362" s="203">
        <v>71344176</v>
      </c>
      <c r="J362" s="204" t="s">
        <v>460</v>
      </c>
      <c r="K362" s="199" t="str">
        <f t="shared" ca="1" si="50"/>
        <v>CONTRATADO</v>
      </c>
      <c r="L362" s="199" t="s">
        <v>112</v>
      </c>
      <c r="M362" s="199" t="s">
        <v>113</v>
      </c>
      <c r="N362" s="205" t="s">
        <v>452</v>
      </c>
      <c r="O362" s="204">
        <f>VLOOKUP(N362,RUBROS[#All],3,0)</f>
        <v>62</v>
      </c>
      <c r="P362" s="206" t="str">
        <f>VLOOKUP(N362,RUBROS[#All],2,0)</f>
        <v>Apoyo técnico a atletas y para-atletas que representan en alto rendimiento deportivo al departamento de Antioquia. - Servicios para la comunidad, sociales y personales</v>
      </c>
      <c r="Q362" s="199" t="str">
        <f t="shared" si="51"/>
        <v>84</v>
      </c>
      <c r="R362" s="199" t="str">
        <f t="shared" si="52"/>
        <v>0-205400</v>
      </c>
      <c r="S362" s="207">
        <v>294</v>
      </c>
      <c r="T362" s="208" t="s">
        <v>220</v>
      </c>
      <c r="U362" s="209" t="e">
        <f ca="1">_xlfn.XLOOKUP(PAA[[#This Row],[ITEM]],Contrato!A:A,Contrato!Q:Q,"",0)</f>
        <v>#NAME?</v>
      </c>
      <c r="V362" s="199" t="s">
        <v>47</v>
      </c>
      <c r="W362" s="199" t="s">
        <v>154</v>
      </c>
      <c r="X362" s="199" t="s">
        <v>154</v>
      </c>
      <c r="Y362" s="210" t="e">
        <f ca="1">_xlfn.XLOOKUP(PAA[[#This Row],[ITEM]],Contrato!A:A,Contrato!B:B,"",0)</f>
        <v>#NAME?</v>
      </c>
      <c r="Z362" s="199" t="e">
        <f ca="1">_xlfn.XLOOKUP(PAA[[#This Row],[ITEM]],Contrato!A:A,Contrato!G:G,"",0)</f>
        <v>#NAME?</v>
      </c>
      <c r="AA362" s="199" t="e">
        <f ca="1">_xlfn.XLOOKUP(PAA[[#This Row],[ITEM]],Contrato!A:A,Contrato!T:T,"",0)</f>
        <v>#NAME?</v>
      </c>
      <c r="AB362" s="210" t="e">
        <f ca="1">+MAX(PAA[[#This Row],[Comprometido Contrato]],)</f>
        <v>#NAME?</v>
      </c>
      <c r="AC362" s="210" t="str">
        <f t="shared" ca="1" si="56"/>
        <v/>
      </c>
      <c r="AD362" s="210" t="e">
        <f ca="1">+MAX(PAA[[#This Row],[Pago por Contrato]],)</f>
        <v>#NAME?</v>
      </c>
      <c r="AE362" s="210" t="str">
        <f t="shared" ca="1" si="53"/>
        <v/>
      </c>
      <c r="AF362" s="199" t="e">
        <f t="shared" ca="1" si="54"/>
        <v>#NAME?</v>
      </c>
      <c r="AG362" s="199">
        <f t="shared" si="55"/>
        <v>52010802</v>
      </c>
      <c r="AH362" s="199" t="e" cm="1">
        <f t="array" aca="1" ref="AH362" ca="1">_xlfn.XLOOKUP(PAA[[#This Row],[RCP-RUBRO]],COMPROMISOS_2025[[#All],[concatenado]],COMPROMISOS_2025[[#All],[Total pagado]],"",0)</f>
        <v>#NAME?</v>
      </c>
      <c r="AI362" s="199" t="e" cm="1">
        <f t="array" aca="1" ref="AI362" ca="1">_xlfn.XLOOKUP(PAA[[#This Row],[RCP-RUBRO]],COMPROMISOS_2025[[#All],[concatenado]],COMPROMISOS_2025[[#All],[Total Comprometido]],"",0)</f>
        <v>#NAME?</v>
      </c>
    </row>
    <row r="363" spans="1:35" s="50" customFormat="1" ht="42" hidden="1" customHeight="1" x14ac:dyDescent="0.25">
      <c r="A363" s="199">
        <v>263</v>
      </c>
      <c r="B363" s="200">
        <v>80111600</v>
      </c>
      <c r="C363" s="199" t="str">
        <f>VLOOKUP(PAA[[#This Row],[PROYECTO (formulado)2]],PROYECTOS!$G$1:$L$32,6,0)</f>
        <v>SUBGERENCIA DE ALTOS LOGROS Y DEPORTE ASOCIADO</v>
      </c>
      <c r="D363" s="199" t="str">
        <f>+IF(PAA[[#This Row],[UNIDAD DE CONTRATACION (formulado)]]="Subgerencia Administrativa y Financiera","FUNCIONAMIENTO","INVERSIÓN")</f>
        <v>INVERSIÓN</v>
      </c>
      <c r="E363" s="201" t="str">
        <f>VLOOKUP(Q363,PROYECTOS!$G$1:$K$32,5,0)</f>
        <v>Apoyo técnico a atletas y para-atletas que representan en alto rendimiento deportivo al departamento de Antioquia</v>
      </c>
      <c r="F363" s="201">
        <f>VLOOKUP(E363,PROYECTOS!$K$1:$M$32,3,0)</f>
        <v>2024003050084</v>
      </c>
      <c r="G363" s="202" t="s">
        <v>450</v>
      </c>
      <c r="H363" s="202" t="str">
        <f>VLOOKUP(Q363,PROYECTOS!$V$1:$W$32,2,0)</f>
        <v>050079</v>
      </c>
      <c r="I363" s="203">
        <v>61147776</v>
      </c>
      <c r="J363" s="204" t="s">
        <v>461</v>
      </c>
      <c r="K363" s="199" t="str">
        <f t="shared" ca="1" si="50"/>
        <v>CONTRATADO</v>
      </c>
      <c r="L363" s="199" t="s">
        <v>112</v>
      </c>
      <c r="M363" s="199" t="s">
        <v>113</v>
      </c>
      <c r="N363" s="205" t="s">
        <v>452</v>
      </c>
      <c r="O363" s="204">
        <f>VLOOKUP(N363,RUBROS[#All],3,0)</f>
        <v>62</v>
      </c>
      <c r="P363" s="206" t="str">
        <f>VLOOKUP(N363,RUBROS[#All],2,0)</f>
        <v>Apoyo técnico a atletas y para-atletas que representan en alto rendimiento deportivo al departamento de Antioquia. - Servicios para la comunidad, sociales y personales</v>
      </c>
      <c r="Q363" s="199" t="str">
        <f t="shared" si="51"/>
        <v>84</v>
      </c>
      <c r="R363" s="199" t="str">
        <f t="shared" si="52"/>
        <v>0-205400</v>
      </c>
      <c r="S363" s="207">
        <v>294</v>
      </c>
      <c r="T363" s="208" t="s">
        <v>220</v>
      </c>
      <c r="U363" s="209" t="e">
        <f ca="1">_xlfn.XLOOKUP(PAA[[#This Row],[ITEM]],Contrato!A:A,Contrato!Q:Q,"",0)</f>
        <v>#NAME?</v>
      </c>
      <c r="V363" s="199" t="s">
        <v>47</v>
      </c>
      <c r="W363" s="199" t="s">
        <v>154</v>
      </c>
      <c r="X363" s="199" t="s">
        <v>154</v>
      </c>
      <c r="Y363" s="210" t="e">
        <f ca="1">_xlfn.XLOOKUP(PAA[[#This Row],[ITEM]],Contrato!A:A,Contrato!B:B,"",0)</f>
        <v>#NAME?</v>
      </c>
      <c r="Z363" s="199" t="e">
        <f ca="1">_xlfn.XLOOKUP(PAA[[#This Row],[ITEM]],Contrato!A:A,Contrato!G:G,"",0)</f>
        <v>#NAME?</v>
      </c>
      <c r="AA363" s="199" t="e">
        <f ca="1">_xlfn.XLOOKUP(PAA[[#This Row],[ITEM]],Contrato!A:A,Contrato!T:T,"",0)</f>
        <v>#NAME?</v>
      </c>
      <c r="AB363" s="210" t="e">
        <f ca="1">+MAX(PAA[[#This Row],[Comprometido Contrato]],)</f>
        <v>#NAME?</v>
      </c>
      <c r="AC363" s="210" t="str">
        <f t="shared" ca="1" si="56"/>
        <v/>
      </c>
      <c r="AD363" s="210" t="e">
        <f ca="1">+MAX(PAA[[#This Row],[Pago por Contrato]],)</f>
        <v>#NAME?</v>
      </c>
      <c r="AE363" s="210" t="str">
        <f t="shared" ca="1" si="53"/>
        <v/>
      </c>
      <c r="AF363" s="199" t="e">
        <f t="shared" ca="1" si="54"/>
        <v>#NAME?</v>
      </c>
      <c r="AG363" s="199">
        <f t="shared" si="55"/>
        <v>52010802</v>
      </c>
      <c r="AH363" s="199" t="e" cm="1">
        <f t="array" aca="1" ref="AH363" ca="1">_xlfn.XLOOKUP(PAA[[#This Row],[RCP-RUBRO]],COMPROMISOS_2025[[#All],[concatenado]],COMPROMISOS_2025[[#All],[Total pagado]],"",0)</f>
        <v>#NAME?</v>
      </c>
      <c r="AI363" s="199" t="e" cm="1">
        <f t="array" aca="1" ref="AI363" ca="1">_xlfn.XLOOKUP(PAA[[#This Row],[RCP-RUBRO]],COMPROMISOS_2025[[#All],[concatenado]],COMPROMISOS_2025[[#All],[Total Comprometido]],"",0)</f>
        <v>#NAME?</v>
      </c>
    </row>
    <row r="364" spans="1:35" s="50" customFormat="1" ht="42" hidden="1" customHeight="1" x14ac:dyDescent="0.25">
      <c r="A364" s="199">
        <v>264</v>
      </c>
      <c r="B364" s="200">
        <v>80111600</v>
      </c>
      <c r="C364" s="199" t="str">
        <f>VLOOKUP(PAA[[#This Row],[PROYECTO (formulado)2]],PROYECTOS!$G$1:$L$32,6,0)</f>
        <v>SUBGERENCIA DE ALTOS LOGROS Y DEPORTE ASOCIADO</v>
      </c>
      <c r="D364" s="199" t="str">
        <f>+IF(PAA[[#This Row],[UNIDAD DE CONTRATACION (formulado)]]="Subgerencia Administrativa y Financiera","FUNCIONAMIENTO","INVERSIÓN")</f>
        <v>INVERSIÓN</v>
      </c>
      <c r="E364" s="201" t="str">
        <f>VLOOKUP(Q364,PROYECTOS!$G$1:$K$32,5,0)</f>
        <v>Apoyo técnico a atletas y para-atletas que representan en alto rendimiento deportivo al departamento de Antioquia</v>
      </c>
      <c r="F364" s="201">
        <f>VLOOKUP(E364,PROYECTOS!$K$1:$M$32,3,0)</f>
        <v>2024003050084</v>
      </c>
      <c r="G364" s="202" t="s">
        <v>450</v>
      </c>
      <c r="H364" s="202" t="str">
        <f>VLOOKUP(Q364,PROYECTOS!$V$1:$W$32,2,0)</f>
        <v>050079</v>
      </c>
      <c r="I364" s="203">
        <v>61147776</v>
      </c>
      <c r="J364" s="204" t="s">
        <v>462</v>
      </c>
      <c r="K364" s="199" t="str">
        <f t="shared" ca="1" si="50"/>
        <v>CONTRATADO</v>
      </c>
      <c r="L364" s="199" t="s">
        <v>112</v>
      </c>
      <c r="M364" s="199" t="s">
        <v>113</v>
      </c>
      <c r="N364" s="205" t="s">
        <v>452</v>
      </c>
      <c r="O364" s="204">
        <f>VLOOKUP(N364,RUBROS[#All],3,0)</f>
        <v>62</v>
      </c>
      <c r="P364" s="206" t="str">
        <f>VLOOKUP(N364,RUBROS[#All],2,0)</f>
        <v>Apoyo técnico a atletas y para-atletas que representan en alto rendimiento deportivo al departamento de Antioquia. - Servicios para la comunidad, sociales y personales</v>
      </c>
      <c r="Q364" s="199" t="str">
        <f t="shared" si="51"/>
        <v>84</v>
      </c>
      <c r="R364" s="199" t="str">
        <f t="shared" si="52"/>
        <v>0-205400</v>
      </c>
      <c r="S364" s="207">
        <v>294</v>
      </c>
      <c r="T364" s="208" t="s">
        <v>220</v>
      </c>
      <c r="U364" s="209" t="e">
        <f ca="1">_xlfn.XLOOKUP(PAA[[#This Row],[ITEM]],Contrato!A:A,Contrato!Q:Q,"",0)</f>
        <v>#NAME?</v>
      </c>
      <c r="V364" s="199" t="s">
        <v>47</v>
      </c>
      <c r="W364" s="199" t="s">
        <v>154</v>
      </c>
      <c r="X364" s="199" t="s">
        <v>154</v>
      </c>
      <c r="Y364" s="210" t="e">
        <f ca="1">_xlfn.XLOOKUP(PAA[[#This Row],[ITEM]],Contrato!A:A,Contrato!B:B,"",0)</f>
        <v>#NAME?</v>
      </c>
      <c r="Z364" s="199" t="e">
        <f ca="1">_xlfn.XLOOKUP(PAA[[#This Row],[ITEM]],Contrato!A:A,Contrato!G:G,"",0)</f>
        <v>#NAME?</v>
      </c>
      <c r="AA364" s="199" t="e">
        <f ca="1">_xlfn.XLOOKUP(PAA[[#This Row],[ITEM]],Contrato!A:A,Contrato!T:T,"",0)</f>
        <v>#NAME?</v>
      </c>
      <c r="AB364" s="210" t="e">
        <f ca="1">+MAX(PAA[[#This Row],[Comprometido Contrato]],)</f>
        <v>#NAME?</v>
      </c>
      <c r="AC364" s="210" t="str">
        <f t="shared" ca="1" si="56"/>
        <v/>
      </c>
      <c r="AD364" s="210" t="e">
        <f ca="1">+MAX(PAA[[#This Row],[Pago por Contrato]],)</f>
        <v>#NAME?</v>
      </c>
      <c r="AE364" s="210" t="str">
        <f t="shared" ca="1" si="53"/>
        <v/>
      </c>
      <c r="AF364" s="199" t="e">
        <f t="shared" ca="1" si="54"/>
        <v>#NAME?</v>
      </c>
      <c r="AG364" s="199">
        <f t="shared" si="55"/>
        <v>52010802</v>
      </c>
      <c r="AH364" s="199" t="e" cm="1">
        <f t="array" aca="1" ref="AH364" ca="1">_xlfn.XLOOKUP(PAA[[#This Row],[RCP-RUBRO]],COMPROMISOS_2025[[#All],[concatenado]],COMPROMISOS_2025[[#All],[Total pagado]],"",0)</f>
        <v>#NAME?</v>
      </c>
      <c r="AI364" s="199" t="e" cm="1">
        <f t="array" aca="1" ref="AI364" ca="1">_xlfn.XLOOKUP(PAA[[#This Row],[RCP-RUBRO]],COMPROMISOS_2025[[#All],[concatenado]],COMPROMISOS_2025[[#All],[Total Comprometido]],"",0)</f>
        <v>#NAME?</v>
      </c>
    </row>
    <row r="365" spans="1:35" s="50" customFormat="1" ht="42" hidden="1" customHeight="1" x14ac:dyDescent="0.25">
      <c r="A365" s="199">
        <v>265</v>
      </c>
      <c r="B365" s="200">
        <v>80111600</v>
      </c>
      <c r="C365" s="199" t="str">
        <f>VLOOKUP(PAA[[#This Row],[PROYECTO (formulado)2]],PROYECTOS!$G$1:$L$32,6,0)</f>
        <v>SUBGERENCIA DE ALTOS LOGROS Y DEPORTE ASOCIADO</v>
      </c>
      <c r="D365" s="199" t="str">
        <f>+IF(PAA[[#This Row],[UNIDAD DE CONTRATACION (formulado)]]="Subgerencia Administrativa y Financiera","FUNCIONAMIENTO","INVERSIÓN")</f>
        <v>INVERSIÓN</v>
      </c>
      <c r="E365" s="201" t="str">
        <f>VLOOKUP(Q365,PROYECTOS!$G$1:$K$32,5,0)</f>
        <v>Apoyo técnico a atletas y para-atletas que representan en alto rendimiento deportivo al departamento de Antioquia</v>
      </c>
      <c r="F365" s="201">
        <f>VLOOKUP(E365,PROYECTOS!$K$1:$M$32,3,0)</f>
        <v>2024003050084</v>
      </c>
      <c r="G365" s="202" t="s">
        <v>450</v>
      </c>
      <c r="H365" s="202" t="str">
        <f>VLOOKUP(Q365,PROYECTOS!$V$1:$W$32,2,0)</f>
        <v>050079</v>
      </c>
      <c r="I365" s="203">
        <v>40747479</v>
      </c>
      <c r="J365" s="204" t="s">
        <v>463</v>
      </c>
      <c r="K365" s="199" t="str">
        <f t="shared" ref="K365:K428" ca="1" si="57">IF(ISNONTEXT(Y365)=TRUE,"CONTRATADO","NO CONTRATADO")</f>
        <v>CONTRATADO</v>
      </c>
      <c r="L365" s="199" t="s">
        <v>112</v>
      </c>
      <c r="M365" s="199" t="s">
        <v>113</v>
      </c>
      <c r="N365" s="205" t="s">
        <v>452</v>
      </c>
      <c r="O365" s="204">
        <f>VLOOKUP(N365,RUBROS[#All],3,0)</f>
        <v>62</v>
      </c>
      <c r="P365" s="206" t="str">
        <f>VLOOKUP(N365,RUBROS[#All],2,0)</f>
        <v>Apoyo técnico a atletas y para-atletas que representan en alto rendimiento deportivo al departamento de Antioquia. - Servicios para la comunidad, sociales y personales</v>
      </c>
      <c r="Q365" s="199" t="str">
        <f t="shared" ref="Q365:Q428" si="58">+MID(N365,11,2)</f>
        <v>84</v>
      </c>
      <c r="R365" s="199" t="str">
        <f t="shared" ref="R365:R428" si="59">+MID(N365,14,8)</f>
        <v>0-205400</v>
      </c>
      <c r="S365" s="207">
        <v>294</v>
      </c>
      <c r="T365" s="208" t="s">
        <v>220</v>
      </c>
      <c r="U365" s="209" t="e">
        <f ca="1">_xlfn.XLOOKUP(PAA[[#This Row],[ITEM]],Contrato!A:A,Contrato!Q:Q,"",0)</f>
        <v>#NAME?</v>
      </c>
      <c r="V365" s="199" t="s">
        <v>47</v>
      </c>
      <c r="W365" s="199" t="s">
        <v>154</v>
      </c>
      <c r="X365" s="199" t="s">
        <v>154</v>
      </c>
      <c r="Y365" s="210" t="e">
        <f ca="1">_xlfn.XLOOKUP(PAA[[#This Row],[ITEM]],Contrato!A:A,Contrato!B:B,"",0)</f>
        <v>#NAME?</v>
      </c>
      <c r="Z365" s="199" t="e">
        <f ca="1">_xlfn.XLOOKUP(PAA[[#This Row],[ITEM]],Contrato!A:A,Contrato!G:G,"",0)</f>
        <v>#NAME?</v>
      </c>
      <c r="AA365" s="199" t="e">
        <f ca="1">_xlfn.XLOOKUP(PAA[[#This Row],[ITEM]],Contrato!A:A,Contrato!T:T,"",0)</f>
        <v>#NAME?</v>
      </c>
      <c r="AB365" s="210" t="e">
        <f ca="1">+MAX(PAA[[#This Row],[Comprometido Contrato]],)</f>
        <v>#NAME?</v>
      </c>
      <c r="AC365" s="210" t="str">
        <f t="shared" ca="1" si="56"/>
        <v/>
      </c>
      <c r="AD365" s="210" t="e">
        <f ca="1">+MAX(PAA[[#This Row],[Pago por Contrato]],)</f>
        <v>#NAME?</v>
      </c>
      <c r="AE365" s="210" t="str">
        <f t="shared" ref="AE365:AE428" ca="1" si="60">+IFERROR(AB365-AD365,"")</f>
        <v/>
      </c>
      <c r="AF365" s="199" t="e">
        <f t="shared" ref="AF365:AF428" ca="1" si="61">+CONCATENATE(AA365,N365)</f>
        <v>#NAME?</v>
      </c>
      <c r="AG365" s="199">
        <f t="shared" ref="AG365:AG428" si="62">IFERROR(_xlfn.NUMBERVALUE(MID(G365,1,8)),"")</f>
        <v>52010802</v>
      </c>
      <c r="AH365" s="199" t="e" cm="1">
        <f t="array" aca="1" ref="AH365" ca="1">_xlfn.XLOOKUP(PAA[[#This Row],[RCP-RUBRO]],COMPROMISOS_2025[[#All],[concatenado]],COMPROMISOS_2025[[#All],[Total pagado]],"",0)</f>
        <v>#NAME?</v>
      </c>
      <c r="AI365" s="199" t="e" cm="1">
        <f t="array" aca="1" ref="AI365" ca="1">_xlfn.XLOOKUP(PAA[[#This Row],[RCP-RUBRO]],COMPROMISOS_2025[[#All],[concatenado]],COMPROMISOS_2025[[#All],[Total Comprometido]],"",0)</f>
        <v>#NAME?</v>
      </c>
    </row>
    <row r="366" spans="1:35" s="50" customFormat="1" ht="42" hidden="1" customHeight="1" x14ac:dyDescent="0.25">
      <c r="A366" s="199">
        <v>266</v>
      </c>
      <c r="B366" s="200">
        <v>80111600</v>
      </c>
      <c r="C366" s="199" t="str">
        <f>VLOOKUP(PAA[[#This Row],[PROYECTO (formulado)2]],PROYECTOS!$G$1:$L$32,6,0)</f>
        <v>SUBGERENCIA DE ALTOS LOGROS Y DEPORTE ASOCIADO</v>
      </c>
      <c r="D366" s="199" t="str">
        <f>+IF(PAA[[#This Row],[UNIDAD DE CONTRATACION (formulado)]]="Subgerencia Administrativa y Financiera","FUNCIONAMIENTO","INVERSIÓN")</f>
        <v>INVERSIÓN</v>
      </c>
      <c r="E366" s="201" t="str">
        <f>VLOOKUP(Q366,PROYECTOS!$G$1:$K$32,5,0)</f>
        <v>Apoyo técnico a atletas y para-atletas que representan en alto rendimiento deportivo al departamento de Antioquia</v>
      </c>
      <c r="F366" s="201">
        <f>VLOOKUP(E366,PROYECTOS!$K$1:$M$32,3,0)</f>
        <v>2024003050084</v>
      </c>
      <c r="G366" s="202" t="s">
        <v>450</v>
      </c>
      <c r="H366" s="202" t="str">
        <f>VLOOKUP(Q366,PROYECTOS!$V$1:$W$32,2,0)</f>
        <v>050079</v>
      </c>
      <c r="I366" s="203">
        <v>40747479</v>
      </c>
      <c r="J366" s="204" t="s">
        <v>464</v>
      </c>
      <c r="K366" s="199" t="str">
        <f t="shared" ca="1" si="57"/>
        <v>CONTRATADO</v>
      </c>
      <c r="L366" s="199" t="s">
        <v>112</v>
      </c>
      <c r="M366" s="199" t="s">
        <v>113</v>
      </c>
      <c r="N366" s="205" t="s">
        <v>452</v>
      </c>
      <c r="O366" s="204">
        <f>VLOOKUP(N366,RUBROS[#All],3,0)</f>
        <v>62</v>
      </c>
      <c r="P366" s="206" t="str">
        <f>VLOOKUP(N366,RUBROS[#All],2,0)</f>
        <v>Apoyo técnico a atletas y para-atletas que representan en alto rendimiento deportivo al departamento de Antioquia. - Servicios para la comunidad, sociales y personales</v>
      </c>
      <c r="Q366" s="199" t="str">
        <f t="shared" si="58"/>
        <v>84</v>
      </c>
      <c r="R366" s="199" t="str">
        <f t="shared" si="59"/>
        <v>0-205400</v>
      </c>
      <c r="S366" s="207">
        <v>294</v>
      </c>
      <c r="T366" s="208" t="s">
        <v>220</v>
      </c>
      <c r="U366" s="209" t="e">
        <f ca="1">_xlfn.XLOOKUP(PAA[[#This Row],[ITEM]],Contrato!A:A,Contrato!Q:Q,"",0)</f>
        <v>#NAME?</v>
      </c>
      <c r="V366" s="199" t="s">
        <v>47</v>
      </c>
      <c r="W366" s="199" t="s">
        <v>154</v>
      </c>
      <c r="X366" s="199" t="s">
        <v>154</v>
      </c>
      <c r="Y366" s="210" t="e">
        <f ca="1">_xlfn.XLOOKUP(PAA[[#This Row],[ITEM]],Contrato!A:A,Contrato!B:B,"",0)</f>
        <v>#NAME?</v>
      </c>
      <c r="Z366" s="199" t="e">
        <f ca="1">_xlfn.XLOOKUP(PAA[[#This Row],[ITEM]],Contrato!A:A,Contrato!G:G,"",0)</f>
        <v>#NAME?</v>
      </c>
      <c r="AA366" s="199" t="e">
        <f ca="1">_xlfn.XLOOKUP(PAA[[#This Row],[ITEM]],Contrato!A:A,Contrato!T:T,"",0)</f>
        <v>#NAME?</v>
      </c>
      <c r="AB366" s="210" t="e">
        <f ca="1">+MAX(PAA[[#This Row],[Comprometido Contrato]],)</f>
        <v>#NAME?</v>
      </c>
      <c r="AC366" s="210" t="str">
        <f t="shared" ca="1" si="56"/>
        <v/>
      </c>
      <c r="AD366" s="210" t="e">
        <f ca="1">+MAX(PAA[[#This Row],[Pago por Contrato]],)</f>
        <v>#NAME?</v>
      </c>
      <c r="AE366" s="210" t="str">
        <f t="shared" ca="1" si="60"/>
        <v/>
      </c>
      <c r="AF366" s="199" t="e">
        <f t="shared" ca="1" si="61"/>
        <v>#NAME?</v>
      </c>
      <c r="AG366" s="199">
        <f t="shared" si="62"/>
        <v>52010802</v>
      </c>
      <c r="AH366" s="199" t="e" cm="1">
        <f t="array" aca="1" ref="AH366" ca="1">_xlfn.XLOOKUP(PAA[[#This Row],[RCP-RUBRO]],COMPROMISOS_2025[[#All],[concatenado]],COMPROMISOS_2025[[#All],[Total pagado]],"",0)</f>
        <v>#NAME?</v>
      </c>
      <c r="AI366" s="199" t="e" cm="1">
        <f t="array" aca="1" ref="AI366" ca="1">_xlfn.XLOOKUP(PAA[[#This Row],[RCP-RUBRO]],COMPROMISOS_2025[[#All],[concatenado]],COMPROMISOS_2025[[#All],[Total Comprometido]],"",0)</f>
        <v>#NAME?</v>
      </c>
    </row>
    <row r="367" spans="1:35" s="50" customFormat="1" ht="42" hidden="1" customHeight="1" x14ac:dyDescent="0.25">
      <c r="A367" s="199">
        <v>267</v>
      </c>
      <c r="B367" s="200">
        <v>80111600</v>
      </c>
      <c r="C367" s="199" t="str">
        <f>VLOOKUP(PAA[[#This Row],[PROYECTO (formulado)2]],PROYECTOS!$G$1:$L$32,6,0)</f>
        <v>SUBGERENCIA DE ALTOS LOGROS Y DEPORTE ASOCIADO</v>
      </c>
      <c r="D367" s="199" t="str">
        <f>+IF(PAA[[#This Row],[UNIDAD DE CONTRATACION (formulado)]]="Subgerencia Administrativa y Financiera","FUNCIONAMIENTO","INVERSIÓN")</f>
        <v>INVERSIÓN</v>
      </c>
      <c r="E367" s="201" t="str">
        <f>VLOOKUP(Q367,PROYECTOS!$G$1:$K$32,5,0)</f>
        <v>Apoyo técnico a atletas y para-atletas que representan en alto rendimiento deportivo al departamento de Antioquia</v>
      </c>
      <c r="F367" s="201">
        <f>VLOOKUP(E367,PROYECTOS!$K$1:$M$32,3,0)</f>
        <v>2024003050084</v>
      </c>
      <c r="G367" s="202" t="s">
        <v>450</v>
      </c>
      <c r="H367" s="202" t="str">
        <f>VLOOKUP(Q367,PROYECTOS!$V$1:$W$32,2,0)</f>
        <v>050079</v>
      </c>
      <c r="I367" s="203">
        <v>61147776</v>
      </c>
      <c r="J367" s="204" t="s">
        <v>465</v>
      </c>
      <c r="K367" s="199" t="str">
        <f t="shared" ca="1" si="57"/>
        <v>CONTRATADO</v>
      </c>
      <c r="L367" s="199" t="s">
        <v>112</v>
      </c>
      <c r="M367" s="199" t="s">
        <v>113</v>
      </c>
      <c r="N367" s="205" t="s">
        <v>452</v>
      </c>
      <c r="O367" s="204">
        <f>VLOOKUP(N367,RUBROS[#All],3,0)</f>
        <v>62</v>
      </c>
      <c r="P367" s="206" t="str">
        <f>VLOOKUP(N367,RUBROS[#All],2,0)</f>
        <v>Apoyo técnico a atletas y para-atletas que representan en alto rendimiento deportivo al departamento de Antioquia. - Servicios para la comunidad, sociales y personales</v>
      </c>
      <c r="Q367" s="199" t="str">
        <f t="shared" si="58"/>
        <v>84</v>
      </c>
      <c r="R367" s="199" t="str">
        <f t="shared" si="59"/>
        <v>0-205400</v>
      </c>
      <c r="S367" s="207">
        <v>294</v>
      </c>
      <c r="T367" s="208" t="s">
        <v>220</v>
      </c>
      <c r="U367" s="209" t="e">
        <f ca="1">_xlfn.XLOOKUP(PAA[[#This Row],[ITEM]],Contrato!A:A,Contrato!Q:Q,"",0)</f>
        <v>#NAME?</v>
      </c>
      <c r="V367" s="199" t="s">
        <v>47</v>
      </c>
      <c r="W367" s="199" t="s">
        <v>154</v>
      </c>
      <c r="X367" s="199" t="s">
        <v>154</v>
      </c>
      <c r="Y367" s="210" t="e">
        <f ca="1">_xlfn.XLOOKUP(PAA[[#This Row],[ITEM]],Contrato!A:A,Contrato!B:B,"",0)</f>
        <v>#NAME?</v>
      </c>
      <c r="Z367" s="199" t="e">
        <f ca="1">_xlfn.XLOOKUP(PAA[[#This Row],[ITEM]],Contrato!A:A,Contrato!G:G,"",0)</f>
        <v>#NAME?</v>
      </c>
      <c r="AA367" s="199" t="e">
        <f ca="1">_xlfn.XLOOKUP(PAA[[#This Row],[ITEM]],Contrato!A:A,Contrato!T:T,"",0)</f>
        <v>#NAME?</v>
      </c>
      <c r="AB367" s="210" t="e">
        <f ca="1">+MAX(PAA[[#This Row],[Comprometido Contrato]],)</f>
        <v>#NAME?</v>
      </c>
      <c r="AC367" s="210" t="str">
        <f t="shared" ca="1" si="56"/>
        <v/>
      </c>
      <c r="AD367" s="210" t="e">
        <f ca="1">+MAX(PAA[[#This Row],[Pago por Contrato]],)</f>
        <v>#NAME?</v>
      </c>
      <c r="AE367" s="210" t="str">
        <f t="shared" ca="1" si="60"/>
        <v/>
      </c>
      <c r="AF367" s="199" t="e">
        <f t="shared" ca="1" si="61"/>
        <v>#NAME?</v>
      </c>
      <c r="AG367" s="199">
        <f t="shared" si="62"/>
        <v>52010802</v>
      </c>
      <c r="AH367" s="199" t="e" cm="1">
        <f t="array" aca="1" ref="AH367" ca="1">_xlfn.XLOOKUP(PAA[[#This Row],[RCP-RUBRO]],COMPROMISOS_2025[[#All],[concatenado]],COMPROMISOS_2025[[#All],[Total pagado]],"",0)</f>
        <v>#NAME?</v>
      </c>
      <c r="AI367" s="199" t="e" cm="1">
        <f t="array" aca="1" ref="AI367" ca="1">_xlfn.XLOOKUP(PAA[[#This Row],[RCP-RUBRO]],COMPROMISOS_2025[[#All],[concatenado]],COMPROMISOS_2025[[#All],[Total Comprometido]],"",0)</f>
        <v>#NAME?</v>
      </c>
    </row>
    <row r="368" spans="1:35" s="50" customFormat="1" ht="42" hidden="1" customHeight="1" x14ac:dyDescent="0.25">
      <c r="A368" s="199">
        <v>268</v>
      </c>
      <c r="B368" s="200">
        <v>80111600</v>
      </c>
      <c r="C368" s="199" t="str">
        <f>VLOOKUP(PAA[[#This Row],[PROYECTO (formulado)2]],PROYECTOS!$G$1:$L$32,6,0)</f>
        <v>SUBGERENCIA DE ALTOS LOGROS Y DEPORTE ASOCIADO</v>
      </c>
      <c r="D368" s="199" t="str">
        <f>+IF(PAA[[#This Row],[UNIDAD DE CONTRATACION (formulado)]]="Subgerencia Administrativa y Financiera","FUNCIONAMIENTO","INVERSIÓN")</f>
        <v>INVERSIÓN</v>
      </c>
      <c r="E368" s="201" t="str">
        <f>VLOOKUP(Q368,PROYECTOS!$G$1:$K$32,5,0)</f>
        <v>Apoyo técnico a atletas y para-atletas que representan en alto rendimiento deportivo al departamento de Antioquia</v>
      </c>
      <c r="F368" s="201">
        <f>VLOOKUP(E368,PROYECTOS!$K$1:$M$32,3,0)</f>
        <v>2024003050084</v>
      </c>
      <c r="G368" s="202" t="s">
        <v>450</v>
      </c>
      <c r="H368" s="202" t="str">
        <f>VLOOKUP(Q368,PROYECTOS!$V$1:$W$32,2,0)</f>
        <v>050079</v>
      </c>
      <c r="I368" s="203">
        <v>50609170</v>
      </c>
      <c r="J368" s="204" t="s">
        <v>466</v>
      </c>
      <c r="K368" s="199" t="str">
        <f t="shared" ca="1" si="57"/>
        <v>CONTRATADO</v>
      </c>
      <c r="L368" s="199" t="s">
        <v>112</v>
      </c>
      <c r="M368" s="199" t="s">
        <v>113</v>
      </c>
      <c r="N368" s="205" t="s">
        <v>452</v>
      </c>
      <c r="O368" s="204">
        <f>VLOOKUP(N368,RUBROS[#All],3,0)</f>
        <v>62</v>
      </c>
      <c r="P368" s="206" t="str">
        <f>VLOOKUP(N368,RUBROS[#All],2,0)</f>
        <v>Apoyo técnico a atletas y para-atletas que representan en alto rendimiento deportivo al departamento de Antioquia. - Servicios para la comunidad, sociales y personales</v>
      </c>
      <c r="Q368" s="199" t="str">
        <f t="shared" si="58"/>
        <v>84</v>
      </c>
      <c r="R368" s="199" t="str">
        <f t="shared" si="59"/>
        <v>0-205400</v>
      </c>
      <c r="S368" s="207">
        <v>294</v>
      </c>
      <c r="T368" s="208" t="s">
        <v>220</v>
      </c>
      <c r="U368" s="209" t="e">
        <f ca="1">_xlfn.XLOOKUP(PAA[[#This Row],[ITEM]],Contrato!A:A,Contrato!Q:Q,"",0)</f>
        <v>#NAME?</v>
      </c>
      <c r="V368" s="199" t="s">
        <v>47</v>
      </c>
      <c r="W368" s="199" t="s">
        <v>154</v>
      </c>
      <c r="X368" s="199" t="s">
        <v>154</v>
      </c>
      <c r="Y368" s="210" t="e">
        <f ca="1">_xlfn.XLOOKUP(PAA[[#This Row],[ITEM]],Contrato!A:A,Contrato!B:B,"",0)</f>
        <v>#NAME?</v>
      </c>
      <c r="Z368" s="199" t="e">
        <f ca="1">_xlfn.XLOOKUP(PAA[[#This Row],[ITEM]],Contrato!A:A,Contrato!G:G,"",0)</f>
        <v>#NAME?</v>
      </c>
      <c r="AA368" s="199" t="e">
        <f ca="1">_xlfn.XLOOKUP(PAA[[#This Row],[ITEM]],Contrato!A:A,Contrato!T:T,"",0)</f>
        <v>#NAME?</v>
      </c>
      <c r="AB368" s="210" t="e">
        <f ca="1">+MAX(PAA[[#This Row],[Comprometido Contrato]],)</f>
        <v>#NAME?</v>
      </c>
      <c r="AC368" s="210" t="str">
        <f t="shared" ca="1" si="56"/>
        <v/>
      </c>
      <c r="AD368" s="210" t="e">
        <f ca="1">+MAX(PAA[[#This Row],[Pago por Contrato]],)</f>
        <v>#NAME?</v>
      </c>
      <c r="AE368" s="210" t="str">
        <f t="shared" ca="1" si="60"/>
        <v/>
      </c>
      <c r="AF368" s="199" t="e">
        <f t="shared" ca="1" si="61"/>
        <v>#NAME?</v>
      </c>
      <c r="AG368" s="199">
        <f t="shared" si="62"/>
        <v>52010802</v>
      </c>
      <c r="AH368" s="199" t="e" cm="1">
        <f t="array" aca="1" ref="AH368" ca="1">_xlfn.XLOOKUP(PAA[[#This Row],[RCP-RUBRO]],COMPROMISOS_2025[[#All],[concatenado]],COMPROMISOS_2025[[#All],[Total pagado]],"",0)</f>
        <v>#NAME?</v>
      </c>
      <c r="AI368" s="199" t="e" cm="1">
        <f t="array" aca="1" ref="AI368" ca="1">_xlfn.XLOOKUP(PAA[[#This Row],[RCP-RUBRO]],COMPROMISOS_2025[[#All],[concatenado]],COMPROMISOS_2025[[#All],[Total Comprometido]],"",0)</f>
        <v>#NAME?</v>
      </c>
    </row>
    <row r="369" spans="1:35" s="50" customFormat="1" ht="42" hidden="1" customHeight="1" x14ac:dyDescent="0.25">
      <c r="A369" s="199">
        <v>269</v>
      </c>
      <c r="B369" s="200">
        <v>80111600</v>
      </c>
      <c r="C369" s="199" t="str">
        <f>VLOOKUP(PAA[[#This Row],[PROYECTO (formulado)2]],PROYECTOS!$G$1:$L$32,6,0)</f>
        <v>SUBGERENCIA DE ALTOS LOGROS Y DEPORTE ASOCIADO</v>
      </c>
      <c r="D369" s="199" t="str">
        <f>+IF(PAA[[#This Row],[UNIDAD DE CONTRATACION (formulado)]]="Subgerencia Administrativa y Financiera","FUNCIONAMIENTO","INVERSIÓN")</f>
        <v>INVERSIÓN</v>
      </c>
      <c r="E369" s="201" t="str">
        <f>VLOOKUP(Q369,PROYECTOS!$G$1:$K$32,5,0)</f>
        <v>Apoyo técnico a atletas y para-atletas que representan en alto rendimiento deportivo al departamento de Antioquia</v>
      </c>
      <c r="F369" s="201">
        <f>VLOOKUP(E369,PROYECTOS!$K$1:$M$32,3,0)</f>
        <v>2024003050084</v>
      </c>
      <c r="G369" s="202" t="s">
        <v>450</v>
      </c>
      <c r="H369" s="202" t="str">
        <f>VLOOKUP(Q369,PROYECTOS!$V$1:$W$32,2,0)</f>
        <v>050079</v>
      </c>
      <c r="I369" s="203">
        <v>50609170</v>
      </c>
      <c r="J369" s="204" t="s">
        <v>467</v>
      </c>
      <c r="K369" s="199" t="str">
        <f t="shared" ca="1" si="57"/>
        <v>CONTRATADO</v>
      </c>
      <c r="L369" s="199" t="s">
        <v>112</v>
      </c>
      <c r="M369" s="199" t="s">
        <v>113</v>
      </c>
      <c r="N369" s="205" t="s">
        <v>452</v>
      </c>
      <c r="O369" s="204">
        <f>VLOOKUP(N369,RUBROS[#All],3,0)</f>
        <v>62</v>
      </c>
      <c r="P369" s="206" t="str">
        <f>VLOOKUP(N369,RUBROS[#All],2,0)</f>
        <v>Apoyo técnico a atletas y para-atletas que representan en alto rendimiento deportivo al departamento de Antioquia. - Servicios para la comunidad, sociales y personales</v>
      </c>
      <c r="Q369" s="199" t="str">
        <f t="shared" si="58"/>
        <v>84</v>
      </c>
      <c r="R369" s="199" t="str">
        <f t="shared" si="59"/>
        <v>0-205400</v>
      </c>
      <c r="S369" s="207">
        <v>294</v>
      </c>
      <c r="T369" s="208" t="s">
        <v>220</v>
      </c>
      <c r="U369" s="209" t="e">
        <f ca="1">_xlfn.XLOOKUP(PAA[[#This Row],[ITEM]],Contrato!A:A,Contrato!Q:Q,"",0)</f>
        <v>#NAME?</v>
      </c>
      <c r="V369" s="199" t="s">
        <v>47</v>
      </c>
      <c r="W369" s="199" t="s">
        <v>154</v>
      </c>
      <c r="X369" s="199" t="s">
        <v>154</v>
      </c>
      <c r="Y369" s="210" t="e">
        <f ca="1">_xlfn.XLOOKUP(PAA[[#This Row],[ITEM]],Contrato!A:A,Contrato!B:B,"",0)</f>
        <v>#NAME?</v>
      </c>
      <c r="Z369" s="199" t="e">
        <f ca="1">_xlfn.XLOOKUP(PAA[[#This Row],[ITEM]],Contrato!A:A,Contrato!G:G,"",0)</f>
        <v>#NAME?</v>
      </c>
      <c r="AA369" s="199" t="e">
        <f ca="1">_xlfn.XLOOKUP(PAA[[#This Row],[ITEM]],Contrato!A:A,Contrato!T:T,"",0)</f>
        <v>#NAME?</v>
      </c>
      <c r="AB369" s="210" t="e">
        <f ca="1">+MAX(PAA[[#This Row],[Comprometido Contrato]],)</f>
        <v>#NAME?</v>
      </c>
      <c r="AC369" s="210" t="str">
        <f t="shared" ca="1" si="56"/>
        <v/>
      </c>
      <c r="AD369" s="210" t="e">
        <f ca="1">+MAX(PAA[[#This Row],[Pago por Contrato]],)</f>
        <v>#NAME?</v>
      </c>
      <c r="AE369" s="210" t="str">
        <f t="shared" ca="1" si="60"/>
        <v/>
      </c>
      <c r="AF369" s="199" t="e">
        <f t="shared" ca="1" si="61"/>
        <v>#NAME?</v>
      </c>
      <c r="AG369" s="199">
        <f t="shared" si="62"/>
        <v>52010802</v>
      </c>
      <c r="AH369" s="199" t="e" cm="1">
        <f t="array" aca="1" ref="AH369" ca="1">_xlfn.XLOOKUP(PAA[[#This Row],[RCP-RUBRO]],COMPROMISOS_2025[[#All],[concatenado]],COMPROMISOS_2025[[#All],[Total pagado]],"",0)</f>
        <v>#NAME?</v>
      </c>
      <c r="AI369" s="199" t="e" cm="1">
        <f t="array" aca="1" ref="AI369" ca="1">_xlfn.XLOOKUP(PAA[[#This Row],[RCP-RUBRO]],COMPROMISOS_2025[[#All],[concatenado]],COMPROMISOS_2025[[#All],[Total Comprometido]],"",0)</f>
        <v>#NAME?</v>
      </c>
    </row>
    <row r="370" spans="1:35" s="50" customFormat="1" ht="42" hidden="1" customHeight="1" x14ac:dyDescent="0.25">
      <c r="A370" s="199">
        <v>270</v>
      </c>
      <c r="B370" s="200">
        <v>80111600</v>
      </c>
      <c r="C370" s="199" t="str">
        <f>VLOOKUP(PAA[[#This Row],[PROYECTO (formulado)2]],PROYECTOS!$G$1:$L$32,6,0)</f>
        <v>SUBGERENCIA DE ALTOS LOGROS Y DEPORTE ASOCIADO</v>
      </c>
      <c r="D370" s="199" t="str">
        <f>+IF(PAA[[#This Row],[UNIDAD DE CONTRATACION (formulado)]]="Subgerencia Administrativa y Financiera","FUNCIONAMIENTO","INVERSIÓN")</f>
        <v>INVERSIÓN</v>
      </c>
      <c r="E370" s="201" t="str">
        <f>VLOOKUP(Q370,PROYECTOS!$G$1:$K$32,5,0)</f>
        <v>Apoyo técnico a atletas y para-atletas que representan en alto rendimiento deportivo al departamento de Antioquia</v>
      </c>
      <c r="F370" s="201">
        <f>VLOOKUP(E370,PROYECTOS!$K$1:$M$32,3,0)</f>
        <v>2024003050084</v>
      </c>
      <c r="G370" s="202" t="s">
        <v>450</v>
      </c>
      <c r="H370" s="202" t="str">
        <f>VLOOKUP(Q370,PROYECTOS!$V$1:$W$32,2,0)</f>
        <v>050079</v>
      </c>
      <c r="I370" s="203">
        <v>50609170</v>
      </c>
      <c r="J370" s="204" t="s">
        <v>468</v>
      </c>
      <c r="K370" s="199" t="str">
        <f t="shared" ca="1" si="57"/>
        <v>CONTRATADO</v>
      </c>
      <c r="L370" s="199" t="s">
        <v>112</v>
      </c>
      <c r="M370" s="199" t="s">
        <v>113</v>
      </c>
      <c r="N370" s="205" t="s">
        <v>452</v>
      </c>
      <c r="O370" s="204">
        <f>VLOOKUP(N370,RUBROS[#All],3,0)</f>
        <v>62</v>
      </c>
      <c r="P370" s="206" t="str">
        <f>VLOOKUP(N370,RUBROS[#All],2,0)</f>
        <v>Apoyo técnico a atletas y para-atletas que representan en alto rendimiento deportivo al departamento de Antioquia. - Servicios para la comunidad, sociales y personales</v>
      </c>
      <c r="Q370" s="199" t="str">
        <f t="shared" si="58"/>
        <v>84</v>
      </c>
      <c r="R370" s="199" t="str">
        <f t="shared" si="59"/>
        <v>0-205400</v>
      </c>
      <c r="S370" s="207">
        <v>294</v>
      </c>
      <c r="T370" s="208" t="s">
        <v>220</v>
      </c>
      <c r="U370" s="209" t="e">
        <f ca="1">_xlfn.XLOOKUP(PAA[[#This Row],[ITEM]],Contrato!A:A,Contrato!Q:Q,"",0)</f>
        <v>#NAME?</v>
      </c>
      <c r="V370" s="199" t="s">
        <v>47</v>
      </c>
      <c r="W370" s="199" t="s">
        <v>154</v>
      </c>
      <c r="X370" s="199" t="s">
        <v>154</v>
      </c>
      <c r="Y370" s="210" t="e">
        <f ca="1">_xlfn.XLOOKUP(PAA[[#This Row],[ITEM]],Contrato!A:A,Contrato!B:B,"",0)</f>
        <v>#NAME?</v>
      </c>
      <c r="Z370" s="199" t="e">
        <f ca="1">_xlfn.XLOOKUP(PAA[[#This Row],[ITEM]],Contrato!A:A,Contrato!G:G,"",0)</f>
        <v>#NAME?</v>
      </c>
      <c r="AA370" s="199" t="e">
        <f ca="1">_xlfn.XLOOKUP(PAA[[#This Row],[ITEM]],Contrato!A:A,Contrato!T:T,"",0)</f>
        <v>#NAME?</v>
      </c>
      <c r="AB370" s="210" t="e">
        <f ca="1">+MAX(PAA[[#This Row],[Comprometido Contrato]],)</f>
        <v>#NAME?</v>
      </c>
      <c r="AC370" s="210" t="str">
        <f t="shared" ca="1" si="56"/>
        <v/>
      </c>
      <c r="AD370" s="210" t="e">
        <f ca="1">+MAX(PAA[[#This Row],[Pago por Contrato]],)</f>
        <v>#NAME?</v>
      </c>
      <c r="AE370" s="210" t="str">
        <f t="shared" ca="1" si="60"/>
        <v/>
      </c>
      <c r="AF370" s="199" t="e">
        <f t="shared" ca="1" si="61"/>
        <v>#NAME?</v>
      </c>
      <c r="AG370" s="199">
        <f t="shared" si="62"/>
        <v>52010802</v>
      </c>
      <c r="AH370" s="199" t="e" cm="1">
        <f t="array" aca="1" ref="AH370" ca="1">_xlfn.XLOOKUP(PAA[[#This Row],[RCP-RUBRO]],COMPROMISOS_2025[[#All],[concatenado]],COMPROMISOS_2025[[#All],[Total pagado]],"",0)</f>
        <v>#NAME?</v>
      </c>
      <c r="AI370" s="199" t="e" cm="1">
        <f t="array" aca="1" ref="AI370" ca="1">_xlfn.XLOOKUP(PAA[[#This Row],[RCP-RUBRO]],COMPROMISOS_2025[[#All],[concatenado]],COMPROMISOS_2025[[#All],[Total Comprometido]],"",0)</f>
        <v>#NAME?</v>
      </c>
    </row>
    <row r="371" spans="1:35" s="50" customFormat="1" ht="42" hidden="1" customHeight="1" x14ac:dyDescent="0.25">
      <c r="A371" s="199">
        <v>271</v>
      </c>
      <c r="B371" s="200">
        <v>80111600</v>
      </c>
      <c r="C371" s="199" t="str">
        <f>VLOOKUP(PAA[[#This Row],[PROYECTO (formulado)2]],PROYECTOS!$G$1:$L$32,6,0)</f>
        <v>SUBGERENCIA DE ALTOS LOGROS Y DEPORTE ASOCIADO</v>
      </c>
      <c r="D371" s="199" t="str">
        <f>+IF(PAA[[#This Row],[UNIDAD DE CONTRATACION (formulado)]]="Subgerencia Administrativa y Financiera","FUNCIONAMIENTO","INVERSIÓN")</f>
        <v>INVERSIÓN</v>
      </c>
      <c r="E371" s="201" t="str">
        <f>VLOOKUP(Q371,PROYECTOS!$G$1:$K$32,5,0)</f>
        <v>Apoyo técnico a atletas y para-atletas que representan en alto rendimiento deportivo al departamento de Antioquia</v>
      </c>
      <c r="F371" s="201">
        <f>VLOOKUP(E371,PROYECTOS!$K$1:$M$32,3,0)</f>
        <v>2024003050084</v>
      </c>
      <c r="G371" s="202" t="s">
        <v>450</v>
      </c>
      <c r="H371" s="202" t="str">
        <f>VLOOKUP(Q371,PROYECTOS!$V$1:$W$32,2,0)</f>
        <v>050079</v>
      </c>
      <c r="I371" s="203">
        <v>50609170</v>
      </c>
      <c r="J371" s="204" t="s">
        <v>469</v>
      </c>
      <c r="K371" s="199" t="str">
        <f t="shared" ca="1" si="57"/>
        <v>CONTRATADO</v>
      </c>
      <c r="L371" s="199" t="s">
        <v>112</v>
      </c>
      <c r="M371" s="199" t="s">
        <v>113</v>
      </c>
      <c r="N371" s="205" t="s">
        <v>452</v>
      </c>
      <c r="O371" s="204">
        <f>VLOOKUP(N371,RUBROS[#All],3,0)</f>
        <v>62</v>
      </c>
      <c r="P371" s="206" t="str">
        <f>VLOOKUP(N371,RUBROS[#All],2,0)</f>
        <v>Apoyo técnico a atletas y para-atletas que representan en alto rendimiento deportivo al departamento de Antioquia. - Servicios para la comunidad, sociales y personales</v>
      </c>
      <c r="Q371" s="199" t="str">
        <f t="shared" si="58"/>
        <v>84</v>
      </c>
      <c r="R371" s="199" t="str">
        <f t="shared" si="59"/>
        <v>0-205400</v>
      </c>
      <c r="S371" s="207">
        <v>294</v>
      </c>
      <c r="T371" s="208" t="s">
        <v>220</v>
      </c>
      <c r="U371" s="209" t="e">
        <f ca="1">_xlfn.XLOOKUP(PAA[[#This Row],[ITEM]],Contrato!A:A,Contrato!Q:Q,"",0)</f>
        <v>#NAME?</v>
      </c>
      <c r="V371" s="199" t="s">
        <v>47</v>
      </c>
      <c r="W371" s="199" t="s">
        <v>154</v>
      </c>
      <c r="X371" s="199" t="s">
        <v>154</v>
      </c>
      <c r="Y371" s="210" t="e">
        <f ca="1">_xlfn.XLOOKUP(PAA[[#This Row],[ITEM]],Contrato!A:A,Contrato!B:B,"",0)</f>
        <v>#NAME?</v>
      </c>
      <c r="Z371" s="199" t="e">
        <f ca="1">_xlfn.XLOOKUP(PAA[[#This Row],[ITEM]],Contrato!A:A,Contrato!G:G,"",0)</f>
        <v>#NAME?</v>
      </c>
      <c r="AA371" s="199" t="e">
        <f ca="1">_xlfn.XLOOKUP(PAA[[#This Row],[ITEM]],Contrato!A:A,Contrato!T:T,"",0)</f>
        <v>#NAME?</v>
      </c>
      <c r="AB371" s="210" t="e">
        <f ca="1">+MAX(PAA[[#This Row],[Comprometido Contrato]],)</f>
        <v>#NAME?</v>
      </c>
      <c r="AC371" s="210" t="str">
        <f t="shared" ca="1" si="56"/>
        <v/>
      </c>
      <c r="AD371" s="210" t="e">
        <f ca="1">+MAX(PAA[[#This Row],[Pago por Contrato]],)</f>
        <v>#NAME?</v>
      </c>
      <c r="AE371" s="210" t="str">
        <f t="shared" ca="1" si="60"/>
        <v/>
      </c>
      <c r="AF371" s="199" t="e">
        <f t="shared" ca="1" si="61"/>
        <v>#NAME?</v>
      </c>
      <c r="AG371" s="199">
        <f t="shared" si="62"/>
        <v>52010802</v>
      </c>
      <c r="AH371" s="199" t="e" cm="1">
        <f t="array" aca="1" ref="AH371" ca="1">_xlfn.XLOOKUP(PAA[[#This Row],[RCP-RUBRO]],COMPROMISOS_2025[[#All],[concatenado]],COMPROMISOS_2025[[#All],[Total pagado]],"",0)</f>
        <v>#NAME?</v>
      </c>
      <c r="AI371" s="199" t="e" cm="1">
        <f t="array" aca="1" ref="AI371" ca="1">_xlfn.XLOOKUP(PAA[[#This Row],[RCP-RUBRO]],COMPROMISOS_2025[[#All],[concatenado]],COMPROMISOS_2025[[#All],[Total Comprometido]],"",0)</f>
        <v>#NAME?</v>
      </c>
    </row>
    <row r="372" spans="1:35" s="59" customFormat="1" ht="42" hidden="1" customHeight="1" x14ac:dyDescent="0.25">
      <c r="A372" s="199">
        <v>272</v>
      </c>
      <c r="B372" s="200">
        <v>80111600</v>
      </c>
      <c r="C372" s="199" t="str">
        <f>VLOOKUP(PAA[[#This Row],[PROYECTO (formulado)2]],PROYECTOS!$G$1:$L$32,6,0)</f>
        <v>SUBGERENCIA DE ALTOS LOGROS Y DEPORTE ASOCIADO</v>
      </c>
      <c r="D372" s="199" t="str">
        <f>+IF(PAA[[#This Row],[UNIDAD DE CONTRATACION (formulado)]]="Subgerencia Administrativa y Financiera","FUNCIONAMIENTO","INVERSIÓN")</f>
        <v>INVERSIÓN</v>
      </c>
      <c r="E372" s="201" t="str">
        <f>VLOOKUP(Q372,PROYECTOS!$G$1:$K$32,5,0)</f>
        <v>Apoyo técnico a atletas y para-atletas que representan en alto rendimiento deportivo al departamento de Antioquia</v>
      </c>
      <c r="F372" s="201">
        <f>VLOOKUP(E372,PROYECTOS!$K$1:$M$32,3,0)</f>
        <v>2024003050084</v>
      </c>
      <c r="G372" s="202" t="s">
        <v>450</v>
      </c>
      <c r="H372" s="202" t="str">
        <f>VLOOKUP(Q372,PROYECTOS!$V$1:$W$32,2,0)</f>
        <v>050079</v>
      </c>
      <c r="I372" s="203">
        <v>81536206</v>
      </c>
      <c r="J372" s="204" t="s">
        <v>470</v>
      </c>
      <c r="K372" s="199" t="str">
        <f t="shared" ca="1" si="57"/>
        <v>CONTRATADO</v>
      </c>
      <c r="L372" s="199" t="s">
        <v>112</v>
      </c>
      <c r="M372" s="199" t="s">
        <v>113</v>
      </c>
      <c r="N372" s="205" t="s">
        <v>452</v>
      </c>
      <c r="O372" s="204">
        <f>VLOOKUP(N372,RUBROS[#All],3,0)</f>
        <v>62</v>
      </c>
      <c r="P372" s="206" t="str">
        <f>VLOOKUP(N372,RUBROS[#All],2,0)</f>
        <v>Apoyo técnico a atletas y para-atletas que representan en alto rendimiento deportivo al departamento de Antioquia. - Servicios para la comunidad, sociales y personales</v>
      </c>
      <c r="Q372" s="199" t="str">
        <f t="shared" si="58"/>
        <v>84</v>
      </c>
      <c r="R372" s="199" t="str">
        <f t="shared" si="59"/>
        <v>0-205400</v>
      </c>
      <c r="S372" s="207">
        <v>294</v>
      </c>
      <c r="T372" s="208" t="s">
        <v>220</v>
      </c>
      <c r="U372" s="209" t="e">
        <f ca="1">_xlfn.XLOOKUP(PAA[[#This Row],[ITEM]],Contrato!A:A,Contrato!Q:Q,"",0)</f>
        <v>#NAME?</v>
      </c>
      <c r="V372" s="199" t="s">
        <v>47</v>
      </c>
      <c r="W372" s="199" t="s">
        <v>154</v>
      </c>
      <c r="X372" s="199" t="s">
        <v>154</v>
      </c>
      <c r="Y372" s="210" t="e">
        <f ca="1">_xlfn.XLOOKUP(PAA[[#This Row],[ITEM]],Contrato!A:A,Contrato!B:B,"",0)</f>
        <v>#NAME?</v>
      </c>
      <c r="Z372" s="199" t="e">
        <f ca="1">_xlfn.XLOOKUP(PAA[[#This Row],[ITEM]],Contrato!A:A,Contrato!G:G,"",0)</f>
        <v>#NAME?</v>
      </c>
      <c r="AA372" s="199" t="e">
        <f ca="1">_xlfn.XLOOKUP(PAA[[#This Row],[ITEM]],Contrato!A:A,Contrato!T:T,"",0)</f>
        <v>#NAME?</v>
      </c>
      <c r="AB372" s="210" t="e">
        <f ca="1">+MAX(PAA[[#This Row],[Comprometido Contrato]],)</f>
        <v>#NAME?</v>
      </c>
      <c r="AC372" s="210" t="str">
        <f t="shared" ca="1" si="56"/>
        <v/>
      </c>
      <c r="AD372" s="210" t="e">
        <f ca="1">+MAX(PAA[[#This Row],[Pago por Contrato]],)</f>
        <v>#NAME?</v>
      </c>
      <c r="AE372" s="210" t="str">
        <f t="shared" ca="1" si="60"/>
        <v/>
      </c>
      <c r="AF372" s="199" t="e">
        <f t="shared" ca="1" si="61"/>
        <v>#NAME?</v>
      </c>
      <c r="AG372" s="199">
        <f t="shared" si="62"/>
        <v>52010802</v>
      </c>
      <c r="AH372" s="199" t="e" cm="1">
        <f t="array" aca="1" ref="AH372" ca="1">_xlfn.XLOOKUP(PAA[[#This Row],[RCP-RUBRO]],COMPROMISOS_2025[[#All],[concatenado]],COMPROMISOS_2025[[#All],[Total pagado]],"",0)</f>
        <v>#NAME?</v>
      </c>
      <c r="AI372" s="199" t="e" cm="1">
        <f t="array" aca="1" ref="AI372" ca="1">_xlfn.XLOOKUP(PAA[[#This Row],[RCP-RUBRO]],COMPROMISOS_2025[[#All],[concatenado]],COMPROMISOS_2025[[#All],[Total Comprometido]],"",0)</f>
        <v>#NAME?</v>
      </c>
    </row>
    <row r="373" spans="1:35" s="59" customFormat="1" ht="42" hidden="1" customHeight="1" x14ac:dyDescent="0.25">
      <c r="A373" s="199">
        <v>273</v>
      </c>
      <c r="B373" s="200">
        <v>80111600</v>
      </c>
      <c r="C373" s="199" t="str">
        <f>VLOOKUP(PAA[[#This Row],[PROYECTO (formulado)2]],PROYECTOS!$G$1:$L$32,6,0)</f>
        <v>SUBGERENCIA DE ALTOS LOGROS Y DEPORTE ASOCIADO</v>
      </c>
      <c r="D373" s="199" t="str">
        <f>+IF(PAA[[#This Row],[UNIDAD DE CONTRATACION (formulado)]]="Subgerencia Administrativa y Financiera","FUNCIONAMIENTO","INVERSIÓN")</f>
        <v>INVERSIÓN</v>
      </c>
      <c r="E373" s="201" t="str">
        <f>VLOOKUP(Q373,PROYECTOS!$G$1:$K$32,5,0)</f>
        <v>Apoyo técnico a atletas y para-atletas que representan en alto rendimiento deportivo al departamento de Antioquia</v>
      </c>
      <c r="F373" s="201">
        <f>VLOOKUP(E373,PROYECTOS!$K$1:$M$32,3,0)</f>
        <v>2024003050084</v>
      </c>
      <c r="G373" s="202" t="s">
        <v>450</v>
      </c>
      <c r="H373" s="202" t="str">
        <f>VLOOKUP(Q373,PROYECTOS!$V$1:$W$32,2,0)</f>
        <v>050079</v>
      </c>
      <c r="I373" s="203">
        <v>50609170</v>
      </c>
      <c r="J373" s="204" t="s">
        <v>471</v>
      </c>
      <c r="K373" s="199" t="str">
        <f t="shared" ca="1" si="57"/>
        <v>CONTRATADO</v>
      </c>
      <c r="L373" s="199" t="s">
        <v>112</v>
      </c>
      <c r="M373" s="199" t="s">
        <v>113</v>
      </c>
      <c r="N373" s="205" t="s">
        <v>452</v>
      </c>
      <c r="O373" s="204">
        <f>VLOOKUP(N373,RUBROS[#All],3,0)</f>
        <v>62</v>
      </c>
      <c r="P373" s="206" t="str">
        <f>VLOOKUP(N373,RUBROS[#All],2,0)</f>
        <v>Apoyo técnico a atletas y para-atletas que representan en alto rendimiento deportivo al departamento de Antioquia. - Servicios para la comunidad, sociales y personales</v>
      </c>
      <c r="Q373" s="199" t="str">
        <f t="shared" si="58"/>
        <v>84</v>
      </c>
      <c r="R373" s="199" t="str">
        <f t="shared" si="59"/>
        <v>0-205400</v>
      </c>
      <c r="S373" s="207">
        <v>294</v>
      </c>
      <c r="T373" s="208" t="s">
        <v>220</v>
      </c>
      <c r="U373" s="209" t="e">
        <f ca="1">_xlfn.XLOOKUP(PAA[[#This Row],[ITEM]],Contrato!A:A,Contrato!Q:Q,"",0)</f>
        <v>#NAME?</v>
      </c>
      <c r="V373" s="199" t="s">
        <v>47</v>
      </c>
      <c r="W373" s="199" t="s">
        <v>154</v>
      </c>
      <c r="X373" s="199" t="s">
        <v>154</v>
      </c>
      <c r="Y373" s="210" t="e">
        <f ca="1">_xlfn.XLOOKUP(PAA[[#This Row],[ITEM]],Contrato!A:A,Contrato!B:B,"",0)</f>
        <v>#NAME?</v>
      </c>
      <c r="Z373" s="199" t="e">
        <f ca="1">_xlfn.XLOOKUP(PAA[[#This Row],[ITEM]],Contrato!A:A,Contrato!G:G,"",0)</f>
        <v>#NAME?</v>
      </c>
      <c r="AA373" s="199" t="e">
        <f ca="1">_xlfn.XLOOKUP(PAA[[#This Row],[ITEM]],Contrato!A:A,Contrato!T:T,"",0)</f>
        <v>#NAME?</v>
      </c>
      <c r="AB373" s="210" t="e">
        <f ca="1">+MAX(PAA[[#This Row],[Comprometido Contrato]],)</f>
        <v>#NAME?</v>
      </c>
      <c r="AC373" s="210" t="str">
        <f t="shared" ca="1" si="56"/>
        <v/>
      </c>
      <c r="AD373" s="210" t="e">
        <f ca="1">+MAX(PAA[[#This Row],[Pago por Contrato]],)</f>
        <v>#NAME?</v>
      </c>
      <c r="AE373" s="210" t="str">
        <f t="shared" ca="1" si="60"/>
        <v/>
      </c>
      <c r="AF373" s="199" t="e">
        <f t="shared" ca="1" si="61"/>
        <v>#NAME?</v>
      </c>
      <c r="AG373" s="199">
        <f t="shared" si="62"/>
        <v>52010802</v>
      </c>
      <c r="AH373" s="199" t="e" cm="1">
        <f t="array" aca="1" ref="AH373" ca="1">_xlfn.XLOOKUP(PAA[[#This Row],[RCP-RUBRO]],COMPROMISOS_2025[[#All],[concatenado]],COMPROMISOS_2025[[#All],[Total pagado]],"",0)</f>
        <v>#NAME?</v>
      </c>
      <c r="AI373" s="199" t="e" cm="1">
        <f t="array" aca="1" ref="AI373" ca="1">_xlfn.XLOOKUP(PAA[[#This Row],[RCP-RUBRO]],COMPROMISOS_2025[[#All],[concatenado]],COMPROMISOS_2025[[#All],[Total Comprometido]],"",0)</f>
        <v>#NAME?</v>
      </c>
    </row>
    <row r="374" spans="1:35" s="50" customFormat="1" ht="42" hidden="1" customHeight="1" x14ac:dyDescent="0.25">
      <c r="A374" s="199">
        <v>274</v>
      </c>
      <c r="B374" s="200">
        <v>80111600</v>
      </c>
      <c r="C374" s="199" t="str">
        <f>VLOOKUP(PAA[[#This Row],[PROYECTO (formulado)2]],PROYECTOS!$G$1:$L$32,6,0)</f>
        <v>SUBGERENCIA DE ALTOS LOGROS Y DEPORTE ASOCIADO</v>
      </c>
      <c r="D374" s="199" t="str">
        <f>+IF(PAA[[#This Row],[UNIDAD DE CONTRATACION (formulado)]]="Subgerencia Administrativa y Financiera","FUNCIONAMIENTO","INVERSIÓN")</f>
        <v>INVERSIÓN</v>
      </c>
      <c r="E374" s="201" t="str">
        <f>VLOOKUP(Q374,PROYECTOS!$G$1:$K$32,5,0)</f>
        <v>Apoyo técnico a atletas y para-atletas que representan en alto rendimiento deportivo al departamento de Antioquia</v>
      </c>
      <c r="F374" s="201">
        <f>VLOOKUP(E374,PROYECTOS!$K$1:$M$32,3,0)</f>
        <v>2024003050084</v>
      </c>
      <c r="G374" s="202" t="s">
        <v>450</v>
      </c>
      <c r="H374" s="202" t="str">
        <f>VLOOKUP(Q374,PROYECTOS!$V$1:$W$32,2,0)</f>
        <v>050079</v>
      </c>
      <c r="I374" s="203">
        <v>40747479</v>
      </c>
      <c r="J374" s="204" t="s">
        <v>472</v>
      </c>
      <c r="K374" s="199" t="str">
        <f t="shared" ca="1" si="57"/>
        <v>CONTRATADO</v>
      </c>
      <c r="L374" s="199" t="s">
        <v>112</v>
      </c>
      <c r="M374" s="199" t="s">
        <v>113</v>
      </c>
      <c r="N374" s="205" t="s">
        <v>452</v>
      </c>
      <c r="O374" s="204">
        <f>VLOOKUP(N374,RUBROS[#All],3,0)</f>
        <v>62</v>
      </c>
      <c r="P374" s="206" t="str">
        <f>VLOOKUP(N374,RUBROS[#All],2,0)</f>
        <v>Apoyo técnico a atletas y para-atletas que representan en alto rendimiento deportivo al departamento de Antioquia. - Servicios para la comunidad, sociales y personales</v>
      </c>
      <c r="Q374" s="199" t="str">
        <f t="shared" si="58"/>
        <v>84</v>
      </c>
      <c r="R374" s="199" t="str">
        <f t="shared" si="59"/>
        <v>0-205400</v>
      </c>
      <c r="S374" s="207">
        <v>294</v>
      </c>
      <c r="T374" s="208" t="s">
        <v>220</v>
      </c>
      <c r="U374" s="209" t="e">
        <f ca="1">_xlfn.XLOOKUP(PAA[[#This Row],[ITEM]],Contrato!A:A,Contrato!Q:Q,"",0)</f>
        <v>#NAME?</v>
      </c>
      <c r="V374" s="199" t="s">
        <v>47</v>
      </c>
      <c r="W374" s="199" t="s">
        <v>154</v>
      </c>
      <c r="X374" s="199" t="s">
        <v>154</v>
      </c>
      <c r="Y374" s="210" t="e">
        <f ca="1">_xlfn.XLOOKUP(PAA[[#This Row],[ITEM]],Contrato!A:A,Contrato!B:B,"",0)</f>
        <v>#NAME?</v>
      </c>
      <c r="Z374" s="199" t="e">
        <f ca="1">_xlfn.XLOOKUP(PAA[[#This Row],[ITEM]],Contrato!A:A,Contrato!G:G,"",0)</f>
        <v>#NAME?</v>
      </c>
      <c r="AA374" s="199" t="e">
        <f ca="1">_xlfn.XLOOKUP(PAA[[#This Row],[ITEM]],Contrato!A:A,Contrato!T:T,"",0)</f>
        <v>#NAME?</v>
      </c>
      <c r="AB374" s="210" t="e">
        <f ca="1">+MAX(PAA[[#This Row],[Comprometido Contrato]],)</f>
        <v>#NAME?</v>
      </c>
      <c r="AC374" s="210" t="str">
        <f t="shared" ca="1" si="56"/>
        <v/>
      </c>
      <c r="AD374" s="210" t="e">
        <f ca="1">+MAX(PAA[[#This Row],[Pago por Contrato]],)</f>
        <v>#NAME?</v>
      </c>
      <c r="AE374" s="210" t="str">
        <f t="shared" ca="1" si="60"/>
        <v/>
      </c>
      <c r="AF374" s="199" t="e">
        <f t="shared" ca="1" si="61"/>
        <v>#NAME?</v>
      </c>
      <c r="AG374" s="199">
        <f t="shared" si="62"/>
        <v>52010802</v>
      </c>
      <c r="AH374" s="199" t="e" cm="1">
        <f t="array" aca="1" ref="AH374" ca="1">_xlfn.XLOOKUP(PAA[[#This Row],[RCP-RUBRO]],COMPROMISOS_2025[[#All],[concatenado]],COMPROMISOS_2025[[#All],[Total pagado]],"",0)</f>
        <v>#NAME?</v>
      </c>
      <c r="AI374" s="199" t="e" cm="1">
        <f t="array" aca="1" ref="AI374" ca="1">_xlfn.XLOOKUP(PAA[[#This Row],[RCP-RUBRO]],COMPROMISOS_2025[[#All],[concatenado]],COMPROMISOS_2025[[#All],[Total Comprometido]],"",0)</f>
        <v>#NAME?</v>
      </c>
    </row>
    <row r="375" spans="1:35" s="50" customFormat="1" ht="42" hidden="1" customHeight="1" x14ac:dyDescent="0.25">
      <c r="A375" s="199">
        <v>275</v>
      </c>
      <c r="B375" s="200">
        <v>80111600</v>
      </c>
      <c r="C375" s="199" t="str">
        <f>VLOOKUP(PAA[[#This Row],[PROYECTO (formulado)2]],PROYECTOS!$G$1:$L$32,6,0)</f>
        <v>SUBGERENCIA DE ALTOS LOGROS Y DEPORTE ASOCIADO</v>
      </c>
      <c r="D375" s="199" t="str">
        <f>+IF(PAA[[#This Row],[UNIDAD DE CONTRATACION (formulado)]]="Subgerencia Administrativa y Financiera","FUNCIONAMIENTO","INVERSIÓN")</f>
        <v>INVERSIÓN</v>
      </c>
      <c r="E375" s="201" t="str">
        <f>VLOOKUP(Q375,PROYECTOS!$G$1:$K$32,5,0)</f>
        <v>Apoyo técnico a atletas y para-atletas que representan en alto rendimiento deportivo al departamento de Antioquia</v>
      </c>
      <c r="F375" s="201">
        <f>VLOOKUP(E375,PROYECTOS!$K$1:$M$32,3,0)</f>
        <v>2024003050084</v>
      </c>
      <c r="G375" s="202" t="s">
        <v>450</v>
      </c>
      <c r="H375" s="202" t="str">
        <f>VLOOKUP(Q375,PROYECTOS!$V$1:$W$32,2,0)</f>
        <v>050079</v>
      </c>
      <c r="I375" s="203">
        <v>61147776</v>
      </c>
      <c r="J375" s="204" t="s">
        <v>473</v>
      </c>
      <c r="K375" s="199" t="str">
        <f t="shared" ca="1" si="57"/>
        <v>CONTRATADO</v>
      </c>
      <c r="L375" s="199" t="s">
        <v>112</v>
      </c>
      <c r="M375" s="199" t="s">
        <v>113</v>
      </c>
      <c r="N375" s="205" t="s">
        <v>452</v>
      </c>
      <c r="O375" s="204">
        <f>VLOOKUP(N375,RUBROS[#All],3,0)</f>
        <v>62</v>
      </c>
      <c r="P375" s="206" t="str">
        <f>VLOOKUP(N375,RUBROS[#All],2,0)</f>
        <v>Apoyo técnico a atletas y para-atletas que representan en alto rendimiento deportivo al departamento de Antioquia. - Servicios para la comunidad, sociales y personales</v>
      </c>
      <c r="Q375" s="199" t="str">
        <f t="shared" si="58"/>
        <v>84</v>
      </c>
      <c r="R375" s="199" t="str">
        <f t="shared" si="59"/>
        <v>0-205400</v>
      </c>
      <c r="S375" s="207">
        <v>294</v>
      </c>
      <c r="T375" s="208" t="s">
        <v>220</v>
      </c>
      <c r="U375" s="209" t="e">
        <f ca="1">_xlfn.XLOOKUP(PAA[[#This Row],[ITEM]],Contrato!A:A,Contrato!Q:Q,"",0)</f>
        <v>#NAME?</v>
      </c>
      <c r="V375" s="199" t="s">
        <v>47</v>
      </c>
      <c r="W375" s="199" t="s">
        <v>154</v>
      </c>
      <c r="X375" s="199" t="s">
        <v>154</v>
      </c>
      <c r="Y375" s="210" t="e">
        <f ca="1">_xlfn.XLOOKUP(PAA[[#This Row],[ITEM]],Contrato!A:A,Contrato!B:B,"",0)</f>
        <v>#NAME?</v>
      </c>
      <c r="Z375" s="199" t="e">
        <f ca="1">_xlfn.XLOOKUP(PAA[[#This Row],[ITEM]],Contrato!A:A,Contrato!G:G,"",0)</f>
        <v>#NAME?</v>
      </c>
      <c r="AA375" s="199" t="e">
        <f ca="1">_xlfn.XLOOKUP(PAA[[#This Row],[ITEM]],Contrato!A:A,Contrato!T:T,"",0)</f>
        <v>#NAME?</v>
      </c>
      <c r="AB375" s="210" t="e">
        <f ca="1">+MAX(PAA[[#This Row],[Comprometido Contrato]],)</f>
        <v>#NAME?</v>
      </c>
      <c r="AC375" s="210" t="str">
        <f t="shared" ca="1" si="56"/>
        <v/>
      </c>
      <c r="AD375" s="210" t="e">
        <f ca="1">+MAX(PAA[[#This Row],[Pago por Contrato]],)</f>
        <v>#NAME?</v>
      </c>
      <c r="AE375" s="210" t="str">
        <f t="shared" ca="1" si="60"/>
        <v/>
      </c>
      <c r="AF375" s="199" t="e">
        <f t="shared" ca="1" si="61"/>
        <v>#NAME?</v>
      </c>
      <c r="AG375" s="199">
        <f t="shared" si="62"/>
        <v>52010802</v>
      </c>
      <c r="AH375" s="199" t="e" cm="1">
        <f t="array" aca="1" ref="AH375" ca="1">_xlfn.XLOOKUP(PAA[[#This Row],[RCP-RUBRO]],COMPROMISOS_2025[[#All],[concatenado]],COMPROMISOS_2025[[#All],[Total pagado]],"",0)</f>
        <v>#NAME?</v>
      </c>
      <c r="AI375" s="199" t="e" cm="1">
        <f t="array" aca="1" ref="AI375" ca="1">_xlfn.XLOOKUP(PAA[[#This Row],[RCP-RUBRO]],COMPROMISOS_2025[[#All],[concatenado]],COMPROMISOS_2025[[#All],[Total Comprometido]],"",0)</f>
        <v>#NAME?</v>
      </c>
    </row>
    <row r="376" spans="1:35" s="50" customFormat="1" ht="42" hidden="1" customHeight="1" x14ac:dyDescent="0.25">
      <c r="A376" s="199">
        <v>276</v>
      </c>
      <c r="B376" s="200">
        <v>80111600</v>
      </c>
      <c r="C376" s="199" t="str">
        <f>VLOOKUP(PAA[[#This Row],[PROYECTO (formulado)2]],PROYECTOS!$G$1:$L$32,6,0)</f>
        <v>SUBGERENCIA DE ALTOS LOGROS Y DEPORTE ASOCIADO</v>
      </c>
      <c r="D376" s="199" t="str">
        <f>+IF(PAA[[#This Row],[UNIDAD DE CONTRATACION (formulado)]]="Subgerencia Administrativa y Financiera","FUNCIONAMIENTO","INVERSIÓN")</f>
        <v>INVERSIÓN</v>
      </c>
      <c r="E376" s="201" t="str">
        <f>VLOOKUP(Q376,PROYECTOS!$G$1:$K$32,5,0)</f>
        <v>Apoyo técnico a atletas y para-atletas que representan en alto rendimiento deportivo al departamento de Antioquia</v>
      </c>
      <c r="F376" s="201">
        <f>VLOOKUP(E376,PROYECTOS!$K$1:$M$32,3,0)</f>
        <v>2024003050084</v>
      </c>
      <c r="G376" s="202" t="s">
        <v>450</v>
      </c>
      <c r="H376" s="202" t="str">
        <f>VLOOKUP(Q376,PROYECTOS!$V$1:$W$32,2,0)</f>
        <v>050079</v>
      </c>
      <c r="I376" s="203">
        <v>61147776</v>
      </c>
      <c r="J376" s="204" t="s">
        <v>474</v>
      </c>
      <c r="K376" s="199" t="str">
        <f t="shared" ca="1" si="57"/>
        <v>CONTRATADO</v>
      </c>
      <c r="L376" s="199" t="s">
        <v>112</v>
      </c>
      <c r="M376" s="199" t="s">
        <v>113</v>
      </c>
      <c r="N376" s="205" t="s">
        <v>452</v>
      </c>
      <c r="O376" s="204">
        <f>VLOOKUP(N376,RUBROS[#All],3,0)</f>
        <v>62</v>
      </c>
      <c r="P376" s="206" t="str">
        <f>VLOOKUP(N376,RUBROS[#All],2,0)</f>
        <v>Apoyo técnico a atletas y para-atletas que representan en alto rendimiento deportivo al departamento de Antioquia. - Servicios para la comunidad, sociales y personales</v>
      </c>
      <c r="Q376" s="199" t="str">
        <f t="shared" si="58"/>
        <v>84</v>
      </c>
      <c r="R376" s="199" t="str">
        <f t="shared" si="59"/>
        <v>0-205400</v>
      </c>
      <c r="S376" s="207">
        <v>294</v>
      </c>
      <c r="T376" s="208" t="s">
        <v>220</v>
      </c>
      <c r="U376" s="209" t="e">
        <f ca="1">_xlfn.XLOOKUP(PAA[[#This Row],[ITEM]],Contrato!A:A,Contrato!Q:Q,"",0)</f>
        <v>#NAME?</v>
      </c>
      <c r="V376" s="199" t="s">
        <v>47</v>
      </c>
      <c r="W376" s="199" t="s">
        <v>154</v>
      </c>
      <c r="X376" s="199" t="s">
        <v>154</v>
      </c>
      <c r="Y376" s="210" t="e">
        <f ca="1">_xlfn.XLOOKUP(PAA[[#This Row],[ITEM]],Contrato!A:A,Contrato!B:B,"",0)</f>
        <v>#NAME?</v>
      </c>
      <c r="Z376" s="199" t="e">
        <f ca="1">_xlfn.XLOOKUP(PAA[[#This Row],[ITEM]],Contrato!A:A,Contrato!G:G,"",0)</f>
        <v>#NAME?</v>
      </c>
      <c r="AA376" s="199" t="e">
        <f ca="1">_xlfn.XLOOKUP(PAA[[#This Row],[ITEM]],Contrato!A:A,Contrato!T:T,"",0)</f>
        <v>#NAME?</v>
      </c>
      <c r="AB376" s="210" t="e">
        <f ca="1">+MAX(PAA[[#This Row],[Comprometido Contrato]],)</f>
        <v>#NAME?</v>
      </c>
      <c r="AC376" s="210" t="str">
        <f t="shared" ca="1" si="56"/>
        <v/>
      </c>
      <c r="AD376" s="210" t="e">
        <f ca="1">+MAX(PAA[[#This Row],[Pago por Contrato]],)</f>
        <v>#NAME?</v>
      </c>
      <c r="AE376" s="210" t="str">
        <f t="shared" ca="1" si="60"/>
        <v/>
      </c>
      <c r="AF376" s="199" t="e">
        <f t="shared" ca="1" si="61"/>
        <v>#NAME?</v>
      </c>
      <c r="AG376" s="199">
        <f t="shared" si="62"/>
        <v>52010802</v>
      </c>
      <c r="AH376" s="199" t="e" cm="1">
        <f t="array" aca="1" ref="AH376" ca="1">_xlfn.XLOOKUP(PAA[[#This Row],[RCP-RUBRO]],COMPROMISOS_2025[[#All],[concatenado]],COMPROMISOS_2025[[#All],[Total pagado]],"",0)</f>
        <v>#NAME?</v>
      </c>
      <c r="AI376" s="199" t="e" cm="1">
        <f t="array" aca="1" ref="AI376" ca="1">_xlfn.XLOOKUP(PAA[[#This Row],[RCP-RUBRO]],COMPROMISOS_2025[[#All],[concatenado]],COMPROMISOS_2025[[#All],[Total Comprometido]],"",0)</f>
        <v>#NAME?</v>
      </c>
    </row>
    <row r="377" spans="1:35" s="50" customFormat="1" ht="42" hidden="1" customHeight="1" x14ac:dyDescent="0.25">
      <c r="A377" s="199">
        <v>277</v>
      </c>
      <c r="B377" s="200">
        <v>80111600</v>
      </c>
      <c r="C377" s="199" t="str">
        <f>VLOOKUP(PAA[[#This Row],[PROYECTO (formulado)2]],PROYECTOS!$G$1:$L$32,6,0)</f>
        <v>SUBGERENCIA DE ALTOS LOGROS Y DEPORTE ASOCIADO</v>
      </c>
      <c r="D377" s="199" t="str">
        <f>+IF(PAA[[#This Row],[UNIDAD DE CONTRATACION (formulado)]]="Subgerencia Administrativa y Financiera","FUNCIONAMIENTO","INVERSIÓN")</f>
        <v>INVERSIÓN</v>
      </c>
      <c r="E377" s="201" t="str">
        <f>VLOOKUP(Q377,PROYECTOS!$G$1:$K$32,5,0)</f>
        <v>Apoyo técnico a atletas y para-atletas que representan en alto rendimiento deportivo al departamento de Antioquia</v>
      </c>
      <c r="F377" s="201">
        <f>VLOOKUP(E377,PROYECTOS!$K$1:$M$32,3,0)</f>
        <v>2024003050084</v>
      </c>
      <c r="G377" s="202" t="s">
        <v>450</v>
      </c>
      <c r="H377" s="202" t="str">
        <f>VLOOKUP(Q377,PROYECTOS!$V$1:$W$32,2,0)</f>
        <v>050079</v>
      </c>
      <c r="I377" s="203">
        <v>71344176</v>
      </c>
      <c r="J377" s="204" t="s">
        <v>475</v>
      </c>
      <c r="K377" s="199" t="str">
        <f t="shared" ca="1" si="57"/>
        <v>CONTRATADO</v>
      </c>
      <c r="L377" s="199" t="s">
        <v>112</v>
      </c>
      <c r="M377" s="199" t="s">
        <v>113</v>
      </c>
      <c r="N377" s="205" t="s">
        <v>452</v>
      </c>
      <c r="O377" s="204">
        <f>VLOOKUP(N377,RUBROS[#All],3,0)</f>
        <v>62</v>
      </c>
      <c r="P377" s="206" t="str">
        <f>VLOOKUP(N377,RUBROS[#All],2,0)</f>
        <v>Apoyo técnico a atletas y para-atletas que representan en alto rendimiento deportivo al departamento de Antioquia. - Servicios para la comunidad, sociales y personales</v>
      </c>
      <c r="Q377" s="199" t="str">
        <f t="shared" si="58"/>
        <v>84</v>
      </c>
      <c r="R377" s="199" t="str">
        <f t="shared" si="59"/>
        <v>0-205400</v>
      </c>
      <c r="S377" s="207">
        <v>294</v>
      </c>
      <c r="T377" s="208" t="s">
        <v>220</v>
      </c>
      <c r="U377" s="209" t="e">
        <f ca="1">_xlfn.XLOOKUP(PAA[[#This Row],[ITEM]],Contrato!A:A,Contrato!Q:Q,"",0)</f>
        <v>#NAME?</v>
      </c>
      <c r="V377" s="199" t="s">
        <v>47</v>
      </c>
      <c r="W377" s="199" t="s">
        <v>154</v>
      </c>
      <c r="X377" s="199" t="s">
        <v>154</v>
      </c>
      <c r="Y377" s="210" t="e">
        <f ca="1">_xlfn.XLOOKUP(PAA[[#This Row],[ITEM]],Contrato!A:A,Contrato!B:B,"",0)</f>
        <v>#NAME?</v>
      </c>
      <c r="Z377" s="199" t="e">
        <f ca="1">_xlfn.XLOOKUP(PAA[[#This Row],[ITEM]],Contrato!A:A,Contrato!G:G,"",0)</f>
        <v>#NAME?</v>
      </c>
      <c r="AA377" s="199" t="e">
        <f ca="1">_xlfn.XLOOKUP(PAA[[#This Row],[ITEM]],Contrato!A:A,Contrato!T:T,"",0)</f>
        <v>#NAME?</v>
      </c>
      <c r="AB377" s="210" t="e">
        <f ca="1">+MAX(PAA[[#This Row],[Comprometido Contrato]],)</f>
        <v>#NAME?</v>
      </c>
      <c r="AC377" s="210" t="str">
        <f t="shared" ca="1" si="56"/>
        <v/>
      </c>
      <c r="AD377" s="210" t="e">
        <f ca="1">+MAX(PAA[[#This Row],[Pago por Contrato]],)</f>
        <v>#NAME?</v>
      </c>
      <c r="AE377" s="210" t="str">
        <f t="shared" ca="1" si="60"/>
        <v/>
      </c>
      <c r="AF377" s="199" t="e">
        <f t="shared" ca="1" si="61"/>
        <v>#NAME?</v>
      </c>
      <c r="AG377" s="199">
        <f t="shared" si="62"/>
        <v>52010802</v>
      </c>
      <c r="AH377" s="199" t="e" cm="1">
        <f t="array" aca="1" ref="AH377" ca="1">_xlfn.XLOOKUP(PAA[[#This Row],[RCP-RUBRO]],COMPROMISOS_2025[[#All],[concatenado]],COMPROMISOS_2025[[#All],[Total pagado]],"",0)</f>
        <v>#NAME?</v>
      </c>
      <c r="AI377" s="199" t="e" cm="1">
        <f t="array" aca="1" ref="AI377" ca="1">_xlfn.XLOOKUP(PAA[[#This Row],[RCP-RUBRO]],COMPROMISOS_2025[[#All],[concatenado]],COMPROMISOS_2025[[#All],[Total Comprometido]],"",0)</f>
        <v>#NAME?</v>
      </c>
    </row>
    <row r="378" spans="1:35" s="50" customFormat="1" ht="42" hidden="1" customHeight="1" x14ac:dyDescent="0.25">
      <c r="A378" s="199">
        <v>278</v>
      </c>
      <c r="B378" s="200">
        <v>80111600</v>
      </c>
      <c r="C378" s="199" t="str">
        <f>VLOOKUP(PAA[[#This Row],[PROYECTO (formulado)2]],PROYECTOS!$G$1:$L$32,6,0)</f>
        <v>SUBGERENCIA DE ALTOS LOGROS Y DEPORTE ASOCIADO</v>
      </c>
      <c r="D378" s="199" t="str">
        <f>+IF(PAA[[#This Row],[UNIDAD DE CONTRATACION (formulado)]]="Subgerencia Administrativa y Financiera","FUNCIONAMIENTO","INVERSIÓN")</f>
        <v>INVERSIÓN</v>
      </c>
      <c r="E378" s="201" t="str">
        <f>VLOOKUP(Q378,PROYECTOS!$G$1:$K$32,5,0)</f>
        <v>Apoyo técnico a atletas y para-atletas que representan en alto rendimiento deportivo al departamento de Antioquia</v>
      </c>
      <c r="F378" s="201">
        <f>VLOOKUP(E378,PROYECTOS!$K$1:$M$32,3,0)</f>
        <v>2024003050084</v>
      </c>
      <c r="G378" s="202" t="s">
        <v>450</v>
      </c>
      <c r="H378" s="202" t="str">
        <f>VLOOKUP(Q378,PROYECTOS!$V$1:$W$32,2,0)</f>
        <v>050079</v>
      </c>
      <c r="I378" s="203">
        <v>50609170</v>
      </c>
      <c r="J378" s="204" t="s">
        <v>476</v>
      </c>
      <c r="K378" s="199" t="str">
        <f t="shared" ca="1" si="57"/>
        <v>CONTRATADO</v>
      </c>
      <c r="L378" s="199" t="s">
        <v>112</v>
      </c>
      <c r="M378" s="199" t="s">
        <v>113</v>
      </c>
      <c r="N378" s="205" t="s">
        <v>452</v>
      </c>
      <c r="O378" s="204">
        <f>VLOOKUP(N378,RUBROS[#All],3,0)</f>
        <v>62</v>
      </c>
      <c r="P378" s="206" t="str">
        <f>VLOOKUP(N378,RUBROS[#All],2,0)</f>
        <v>Apoyo técnico a atletas y para-atletas que representan en alto rendimiento deportivo al departamento de Antioquia. - Servicios para la comunidad, sociales y personales</v>
      </c>
      <c r="Q378" s="199" t="str">
        <f t="shared" si="58"/>
        <v>84</v>
      </c>
      <c r="R378" s="199" t="str">
        <f t="shared" si="59"/>
        <v>0-205400</v>
      </c>
      <c r="S378" s="207">
        <v>294</v>
      </c>
      <c r="T378" s="208" t="s">
        <v>220</v>
      </c>
      <c r="U378" s="209" t="e">
        <f ca="1">_xlfn.XLOOKUP(PAA[[#This Row],[ITEM]],Contrato!A:A,Contrato!Q:Q,"",0)</f>
        <v>#NAME?</v>
      </c>
      <c r="V378" s="199" t="s">
        <v>47</v>
      </c>
      <c r="W378" s="199" t="s">
        <v>154</v>
      </c>
      <c r="X378" s="199" t="s">
        <v>154</v>
      </c>
      <c r="Y378" s="210" t="e">
        <f ca="1">_xlfn.XLOOKUP(PAA[[#This Row],[ITEM]],Contrato!A:A,Contrato!B:B,"",0)</f>
        <v>#NAME?</v>
      </c>
      <c r="Z378" s="199" t="e">
        <f ca="1">_xlfn.XLOOKUP(PAA[[#This Row],[ITEM]],Contrato!A:A,Contrato!G:G,"",0)</f>
        <v>#NAME?</v>
      </c>
      <c r="AA378" s="199" t="e">
        <f ca="1">_xlfn.XLOOKUP(PAA[[#This Row],[ITEM]],Contrato!A:A,Contrato!T:T,"",0)</f>
        <v>#NAME?</v>
      </c>
      <c r="AB378" s="210" t="e">
        <f ca="1">+MAX(PAA[[#This Row],[Comprometido Contrato]],)</f>
        <v>#NAME?</v>
      </c>
      <c r="AC378" s="210" t="str">
        <f t="shared" ca="1" si="56"/>
        <v/>
      </c>
      <c r="AD378" s="210" t="e">
        <f ca="1">+MAX(PAA[[#This Row],[Pago por Contrato]],)</f>
        <v>#NAME?</v>
      </c>
      <c r="AE378" s="210" t="str">
        <f t="shared" ca="1" si="60"/>
        <v/>
      </c>
      <c r="AF378" s="199" t="e">
        <f t="shared" ca="1" si="61"/>
        <v>#NAME?</v>
      </c>
      <c r="AG378" s="199">
        <f t="shared" si="62"/>
        <v>52010802</v>
      </c>
      <c r="AH378" s="199" t="e" cm="1">
        <f t="array" aca="1" ref="AH378" ca="1">_xlfn.XLOOKUP(PAA[[#This Row],[RCP-RUBRO]],COMPROMISOS_2025[[#All],[concatenado]],COMPROMISOS_2025[[#All],[Total pagado]],"",0)</f>
        <v>#NAME?</v>
      </c>
      <c r="AI378" s="199" t="e" cm="1">
        <f t="array" aca="1" ref="AI378" ca="1">_xlfn.XLOOKUP(PAA[[#This Row],[RCP-RUBRO]],COMPROMISOS_2025[[#All],[concatenado]],COMPROMISOS_2025[[#All],[Total Comprometido]],"",0)</f>
        <v>#NAME?</v>
      </c>
    </row>
    <row r="379" spans="1:35" s="50" customFormat="1" ht="42" hidden="1" customHeight="1" x14ac:dyDescent="0.25">
      <c r="A379" s="199">
        <v>279</v>
      </c>
      <c r="B379" s="200">
        <v>80111600</v>
      </c>
      <c r="C379" s="199" t="str">
        <f>VLOOKUP(PAA[[#This Row],[PROYECTO (formulado)2]],PROYECTOS!$G$1:$L$32,6,0)</f>
        <v>SUBGERENCIA DE ALTOS LOGROS Y DEPORTE ASOCIADO</v>
      </c>
      <c r="D379" s="199" t="str">
        <f>+IF(PAA[[#This Row],[UNIDAD DE CONTRATACION (formulado)]]="Subgerencia Administrativa y Financiera","FUNCIONAMIENTO","INVERSIÓN")</f>
        <v>INVERSIÓN</v>
      </c>
      <c r="E379" s="201" t="str">
        <f>VLOOKUP(Q379,PROYECTOS!$G$1:$K$32,5,0)</f>
        <v>Apoyo técnico a atletas y para-atletas que representan en alto rendimiento deportivo al departamento de Antioquia</v>
      </c>
      <c r="F379" s="201">
        <f>VLOOKUP(E379,PROYECTOS!$K$1:$M$32,3,0)</f>
        <v>2024003050084</v>
      </c>
      <c r="G379" s="202" t="s">
        <v>450</v>
      </c>
      <c r="H379" s="202" t="str">
        <f>VLOOKUP(Q379,PROYECTOS!$V$1:$W$32,2,0)</f>
        <v>050079</v>
      </c>
      <c r="I379" s="203">
        <v>50609170</v>
      </c>
      <c r="J379" s="204" t="s">
        <v>477</v>
      </c>
      <c r="K379" s="199" t="str">
        <f t="shared" ca="1" si="57"/>
        <v>CONTRATADO</v>
      </c>
      <c r="L379" s="199" t="s">
        <v>112</v>
      </c>
      <c r="M379" s="199" t="s">
        <v>113</v>
      </c>
      <c r="N379" s="205" t="s">
        <v>452</v>
      </c>
      <c r="O379" s="204">
        <f>VLOOKUP(N379,RUBROS[#All],3,0)</f>
        <v>62</v>
      </c>
      <c r="P379" s="206" t="str">
        <f>VLOOKUP(N379,RUBROS[#All],2,0)</f>
        <v>Apoyo técnico a atletas y para-atletas que representan en alto rendimiento deportivo al departamento de Antioquia. - Servicios para la comunidad, sociales y personales</v>
      </c>
      <c r="Q379" s="199" t="str">
        <f t="shared" si="58"/>
        <v>84</v>
      </c>
      <c r="R379" s="199" t="str">
        <f t="shared" si="59"/>
        <v>0-205400</v>
      </c>
      <c r="S379" s="207">
        <v>294</v>
      </c>
      <c r="T379" s="208" t="s">
        <v>220</v>
      </c>
      <c r="U379" s="209" t="e">
        <f ca="1">_xlfn.XLOOKUP(PAA[[#This Row],[ITEM]],Contrato!A:A,Contrato!Q:Q,"",0)</f>
        <v>#NAME?</v>
      </c>
      <c r="V379" s="199" t="s">
        <v>47</v>
      </c>
      <c r="W379" s="199" t="s">
        <v>154</v>
      </c>
      <c r="X379" s="199" t="s">
        <v>154</v>
      </c>
      <c r="Y379" s="210" t="e">
        <f ca="1">_xlfn.XLOOKUP(PAA[[#This Row],[ITEM]],Contrato!A:A,Contrato!B:B,"",0)</f>
        <v>#NAME?</v>
      </c>
      <c r="Z379" s="199" t="e">
        <f ca="1">_xlfn.XLOOKUP(PAA[[#This Row],[ITEM]],Contrato!A:A,Contrato!G:G,"",0)</f>
        <v>#NAME?</v>
      </c>
      <c r="AA379" s="199" t="e">
        <f ca="1">_xlfn.XLOOKUP(PAA[[#This Row],[ITEM]],Contrato!A:A,Contrato!T:T,"",0)</f>
        <v>#NAME?</v>
      </c>
      <c r="AB379" s="210" t="e">
        <f ca="1">+MAX(PAA[[#This Row],[Comprometido Contrato]],)</f>
        <v>#NAME?</v>
      </c>
      <c r="AC379" s="210" t="str">
        <f t="shared" ca="1" si="56"/>
        <v/>
      </c>
      <c r="AD379" s="210" t="e">
        <f ca="1">+MAX(PAA[[#This Row],[Pago por Contrato]],)</f>
        <v>#NAME?</v>
      </c>
      <c r="AE379" s="210" t="str">
        <f t="shared" ca="1" si="60"/>
        <v/>
      </c>
      <c r="AF379" s="199" t="e">
        <f t="shared" ca="1" si="61"/>
        <v>#NAME?</v>
      </c>
      <c r="AG379" s="199">
        <f t="shared" si="62"/>
        <v>52010802</v>
      </c>
      <c r="AH379" s="199" t="e" cm="1">
        <f t="array" aca="1" ref="AH379" ca="1">_xlfn.XLOOKUP(PAA[[#This Row],[RCP-RUBRO]],COMPROMISOS_2025[[#All],[concatenado]],COMPROMISOS_2025[[#All],[Total pagado]],"",0)</f>
        <v>#NAME?</v>
      </c>
      <c r="AI379" s="199" t="e" cm="1">
        <f t="array" aca="1" ref="AI379" ca="1">_xlfn.XLOOKUP(PAA[[#This Row],[RCP-RUBRO]],COMPROMISOS_2025[[#All],[concatenado]],COMPROMISOS_2025[[#All],[Total Comprometido]],"",0)</f>
        <v>#NAME?</v>
      </c>
    </row>
    <row r="380" spans="1:35" s="50" customFormat="1" ht="42" hidden="1" customHeight="1" x14ac:dyDescent="0.25">
      <c r="A380" s="199">
        <v>280</v>
      </c>
      <c r="B380" s="200">
        <v>80111600</v>
      </c>
      <c r="C380" s="199" t="str">
        <f>VLOOKUP(PAA[[#This Row],[PROYECTO (formulado)2]],PROYECTOS!$G$1:$L$32,6,0)</f>
        <v>SUBGERENCIA DE ALTOS LOGROS Y DEPORTE ASOCIADO</v>
      </c>
      <c r="D380" s="199" t="str">
        <f>+IF(PAA[[#This Row],[UNIDAD DE CONTRATACION (formulado)]]="Subgerencia Administrativa y Financiera","FUNCIONAMIENTO","INVERSIÓN")</f>
        <v>INVERSIÓN</v>
      </c>
      <c r="E380" s="201" t="str">
        <f>VLOOKUP(Q380,PROYECTOS!$G$1:$K$32,5,0)</f>
        <v>Apoyo técnico a atletas y para-atletas que representan en alto rendimiento deportivo al departamento de Antioquia</v>
      </c>
      <c r="F380" s="201">
        <f>VLOOKUP(E380,PROYECTOS!$K$1:$M$32,3,0)</f>
        <v>2024003050084</v>
      </c>
      <c r="G380" s="202" t="s">
        <v>450</v>
      </c>
      <c r="H380" s="202" t="str">
        <f>VLOOKUP(Q380,PROYECTOS!$V$1:$W$32,2,0)</f>
        <v>050079</v>
      </c>
      <c r="I380" s="203">
        <v>40747479</v>
      </c>
      <c r="J380" s="204" t="s">
        <v>478</v>
      </c>
      <c r="K380" s="199" t="str">
        <f t="shared" ca="1" si="57"/>
        <v>CONTRATADO</v>
      </c>
      <c r="L380" s="199" t="s">
        <v>112</v>
      </c>
      <c r="M380" s="199" t="s">
        <v>113</v>
      </c>
      <c r="N380" s="205" t="s">
        <v>452</v>
      </c>
      <c r="O380" s="204">
        <f>VLOOKUP(N380,RUBROS[#All],3,0)</f>
        <v>62</v>
      </c>
      <c r="P380" s="206" t="str">
        <f>VLOOKUP(N380,RUBROS[#All],2,0)</f>
        <v>Apoyo técnico a atletas y para-atletas que representan en alto rendimiento deportivo al departamento de Antioquia. - Servicios para la comunidad, sociales y personales</v>
      </c>
      <c r="Q380" s="199" t="str">
        <f t="shared" si="58"/>
        <v>84</v>
      </c>
      <c r="R380" s="199" t="str">
        <f t="shared" si="59"/>
        <v>0-205400</v>
      </c>
      <c r="S380" s="207">
        <v>294</v>
      </c>
      <c r="T380" s="208" t="s">
        <v>220</v>
      </c>
      <c r="U380" s="209" t="e">
        <f ca="1">_xlfn.XLOOKUP(PAA[[#This Row],[ITEM]],Contrato!A:A,Contrato!Q:Q,"",0)</f>
        <v>#NAME?</v>
      </c>
      <c r="V380" s="199" t="s">
        <v>47</v>
      </c>
      <c r="W380" s="199" t="s">
        <v>154</v>
      </c>
      <c r="X380" s="199" t="s">
        <v>154</v>
      </c>
      <c r="Y380" s="210" t="e">
        <f ca="1">_xlfn.XLOOKUP(PAA[[#This Row],[ITEM]],Contrato!A:A,Contrato!B:B,"",0)</f>
        <v>#NAME?</v>
      </c>
      <c r="Z380" s="199" t="e">
        <f ca="1">_xlfn.XLOOKUP(PAA[[#This Row],[ITEM]],Contrato!A:A,Contrato!G:G,"",0)</f>
        <v>#NAME?</v>
      </c>
      <c r="AA380" s="199" t="e">
        <f ca="1">_xlfn.XLOOKUP(PAA[[#This Row],[ITEM]],Contrato!A:A,Contrato!T:T,"",0)</f>
        <v>#NAME?</v>
      </c>
      <c r="AB380" s="210" t="e">
        <f ca="1">+MAX(PAA[[#This Row],[Comprometido Contrato]],)</f>
        <v>#NAME?</v>
      </c>
      <c r="AC380" s="210" t="str">
        <f t="shared" ca="1" si="56"/>
        <v/>
      </c>
      <c r="AD380" s="210" t="e">
        <f ca="1">+MAX(PAA[[#This Row],[Pago por Contrato]],)</f>
        <v>#NAME?</v>
      </c>
      <c r="AE380" s="210" t="str">
        <f t="shared" ca="1" si="60"/>
        <v/>
      </c>
      <c r="AF380" s="199" t="e">
        <f t="shared" ca="1" si="61"/>
        <v>#NAME?</v>
      </c>
      <c r="AG380" s="199">
        <f t="shared" si="62"/>
        <v>52010802</v>
      </c>
      <c r="AH380" s="199" t="e" cm="1">
        <f t="array" aca="1" ref="AH380" ca="1">_xlfn.XLOOKUP(PAA[[#This Row],[RCP-RUBRO]],COMPROMISOS_2025[[#All],[concatenado]],COMPROMISOS_2025[[#All],[Total pagado]],"",0)</f>
        <v>#NAME?</v>
      </c>
      <c r="AI380" s="199" t="e" cm="1">
        <f t="array" aca="1" ref="AI380" ca="1">_xlfn.XLOOKUP(PAA[[#This Row],[RCP-RUBRO]],COMPROMISOS_2025[[#All],[concatenado]],COMPROMISOS_2025[[#All],[Total Comprometido]],"",0)</f>
        <v>#NAME?</v>
      </c>
    </row>
    <row r="381" spans="1:35" s="50" customFormat="1" ht="42" hidden="1" customHeight="1" x14ac:dyDescent="0.25">
      <c r="A381" s="199">
        <v>281</v>
      </c>
      <c r="B381" s="200">
        <v>80111600</v>
      </c>
      <c r="C381" s="199" t="str">
        <f>VLOOKUP(PAA[[#This Row],[PROYECTO (formulado)2]],PROYECTOS!$G$1:$L$32,6,0)</f>
        <v>SUBGERENCIA DE ALTOS LOGROS Y DEPORTE ASOCIADO</v>
      </c>
      <c r="D381" s="199" t="str">
        <f>+IF(PAA[[#This Row],[UNIDAD DE CONTRATACION (formulado)]]="Subgerencia Administrativa y Financiera","FUNCIONAMIENTO","INVERSIÓN")</f>
        <v>INVERSIÓN</v>
      </c>
      <c r="E381" s="201" t="str">
        <f>VLOOKUP(Q381,PROYECTOS!$G$1:$K$32,5,0)</f>
        <v>Apoyo técnico a atletas y para-atletas que representan en alto rendimiento deportivo al departamento de Antioquia</v>
      </c>
      <c r="F381" s="201">
        <f>VLOOKUP(E381,PROYECTOS!$K$1:$M$32,3,0)</f>
        <v>2024003050084</v>
      </c>
      <c r="G381" s="202" t="s">
        <v>450</v>
      </c>
      <c r="H381" s="202" t="str">
        <f>VLOOKUP(Q381,PROYECTOS!$V$1:$W$32,2,0)</f>
        <v>050079</v>
      </c>
      <c r="I381" s="203">
        <v>32653744</v>
      </c>
      <c r="J381" s="204" t="s">
        <v>479</v>
      </c>
      <c r="K381" s="199" t="str">
        <f t="shared" ca="1" si="57"/>
        <v>CONTRATADO</v>
      </c>
      <c r="L381" s="199" t="s">
        <v>112</v>
      </c>
      <c r="M381" s="199" t="s">
        <v>113</v>
      </c>
      <c r="N381" s="205" t="s">
        <v>452</v>
      </c>
      <c r="O381" s="204">
        <f>VLOOKUP(N381,RUBROS[#All],3,0)</f>
        <v>62</v>
      </c>
      <c r="P381" s="206" t="str">
        <f>VLOOKUP(N381,RUBROS[#All],2,0)</f>
        <v>Apoyo técnico a atletas y para-atletas que representan en alto rendimiento deportivo al departamento de Antioquia. - Servicios para la comunidad, sociales y personales</v>
      </c>
      <c r="Q381" s="199" t="str">
        <f t="shared" si="58"/>
        <v>84</v>
      </c>
      <c r="R381" s="199" t="str">
        <f t="shared" si="59"/>
        <v>0-205400</v>
      </c>
      <c r="S381" s="207">
        <v>157</v>
      </c>
      <c r="T381" s="208" t="s">
        <v>220</v>
      </c>
      <c r="U381" s="209" t="e">
        <f ca="1">_xlfn.XLOOKUP(PAA[[#This Row],[ITEM]],Contrato!A:A,Contrato!Q:Q,"",0)</f>
        <v>#NAME?</v>
      </c>
      <c r="V381" s="199" t="s">
        <v>47</v>
      </c>
      <c r="W381" s="199" t="s">
        <v>154</v>
      </c>
      <c r="X381" s="199" t="s">
        <v>154</v>
      </c>
      <c r="Y381" s="210" t="e">
        <f ca="1">_xlfn.XLOOKUP(PAA[[#This Row],[ITEM]],Contrato!A:A,Contrato!B:B,"",0)</f>
        <v>#NAME?</v>
      </c>
      <c r="Z381" s="199" t="e">
        <f ca="1">_xlfn.XLOOKUP(PAA[[#This Row],[ITEM]],Contrato!A:A,Contrato!G:G,"",0)</f>
        <v>#NAME?</v>
      </c>
      <c r="AA381" s="199" t="e">
        <f ca="1">_xlfn.XLOOKUP(PAA[[#This Row],[ITEM]],Contrato!A:A,Contrato!T:T,"",0)</f>
        <v>#NAME?</v>
      </c>
      <c r="AB381" s="210" t="e">
        <f ca="1">+MAX(PAA[[#This Row],[Comprometido Contrato]],)</f>
        <v>#NAME?</v>
      </c>
      <c r="AC381" s="210" t="str">
        <f t="shared" ca="1" si="56"/>
        <v/>
      </c>
      <c r="AD381" s="210" t="e">
        <f ca="1">+MAX(PAA[[#This Row],[Pago por Contrato]],)</f>
        <v>#NAME?</v>
      </c>
      <c r="AE381" s="210" t="str">
        <f t="shared" ca="1" si="60"/>
        <v/>
      </c>
      <c r="AF381" s="199" t="e">
        <f t="shared" ca="1" si="61"/>
        <v>#NAME?</v>
      </c>
      <c r="AG381" s="199">
        <f t="shared" si="62"/>
        <v>52010802</v>
      </c>
      <c r="AH381" s="199" t="e" cm="1">
        <f t="array" aca="1" ref="AH381" ca="1">_xlfn.XLOOKUP(PAA[[#This Row],[RCP-RUBRO]],COMPROMISOS_2025[[#All],[concatenado]],COMPROMISOS_2025[[#All],[Total pagado]],"",0)</f>
        <v>#NAME?</v>
      </c>
      <c r="AI381" s="199" t="e" cm="1">
        <f t="array" aca="1" ref="AI381" ca="1">_xlfn.XLOOKUP(PAA[[#This Row],[RCP-RUBRO]],COMPROMISOS_2025[[#All],[concatenado]],COMPROMISOS_2025[[#All],[Total Comprometido]],"",0)</f>
        <v>#NAME?</v>
      </c>
    </row>
    <row r="382" spans="1:35" s="50" customFormat="1" ht="42" hidden="1" customHeight="1" x14ac:dyDescent="0.25">
      <c r="A382" s="199">
        <v>282</v>
      </c>
      <c r="B382" s="200">
        <v>80111600</v>
      </c>
      <c r="C382" s="199" t="str">
        <f>VLOOKUP(PAA[[#This Row],[PROYECTO (formulado)2]],PROYECTOS!$G$1:$L$32,6,0)</f>
        <v>SUBGERENCIA DE ALTOS LOGROS Y DEPORTE ASOCIADO</v>
      </c>
      <c r="D382" s="199" t="str">
        <f>+IF(PAA[[#This Row],[UNIDAD DE CONTRATACION (formulado)]]="Subgerencia Administrativa y Financiera","FUNCIONAMIENTO","INVERSIÓN")</f>
        <v>INVERSIÓN</v>
      </c>
      <c r="E382" s="201" t="str">
        <f>VLOOKUP(Q382,PROYECTOS!$G$1:$K$32,5,0)</f>
        <v>Apoyo técnico a atletas y para-atletas que representan en alto rendimiento deportivo al departamento de Antioquia</v>
      </c>
      <c r="F382" s="201">
        <f>VLOOKUP(E382,PROYECTOS!$K$1:$M$32,3,0)</f>
        <v>2024003050084</v>
      </c>
      <c r="G382" s="202" t="s">
        <v>450</v>
      </c>
      <c r="H382" s="202" t="str">
        <f>VLOOKUP(Q382,PROYECTOS!$V$1:$W$32,2,0)</f>
        <v>050079</v>
      </c>
      <c r="I382" s="203">
        <v>61147776</v>
      </c>
      <c r="J382" s="204" t="s">
        <v>480</v>
      </c>
      <c r="K382" s="199" t="str">
        <f t="shared" ca="1" si="57"/>
        <v>CONTRATADO</v>
      </c>
      <c r="L382" s="199" t="s">
        <v>112</v>
      </c>
      <c r="M382" s="199" t="s">
        <v>113</v>
      </c>
      <c r="N382" s="205" t="s">
        <v>452</v>
      </c>
      <c r="O382" s="204">
        <f>VLOOKUP(N382,RUBROS[#All],3,0)</f>
        <v>62</v>
      </c>
      <c r="P382" s="206" t="str">
        <f>VLOOKUP(N382,RUBROS[#All],2,0)</f>
        <v>Apoyo técnico a atletas y para-atletas que representan en alto rendimiento deportivo al departamento de Antioquia. - Servicios para la comunidad, sociales y personales</v>
      </c>
      <c r="Q382" s="199" t="str">
        <f t="shared" si="58"/>
        <v>84</v>
      </c>
      <c r="R382" s="199" t="str">
        <f t="shared" si="59"/>
        <v>0-205400</v>
      </c>
      <c r="S382" s="207">
        <v>294</v>
      </c>
      <c r="T382" s="208" t="s">
        <v>220</v>
      </c>
      <c r="U382" s="209" t="e">
        <f ca="1">_xlfn.XLOOKUP(PAA[[#This Row],[ITEM]],Contrato!A:A,Contrato!Q:Q,"",0)</f>
        <v>#NAME?</v>
      </c>
      <c r="V382" s="199" t="s">
        <v>47</v>
      </c>
      <c r="W382" s="199" t="s">
        <v>154</v>
      </c>
      <c r="X382" s="199" t="s">
        <v>154</v>
      </c>
      <c r="Y382" s="210" t="e">
        <f ca="1">_xlfn.XLOOKUP(PAA[[#This Row],[ITEM]],Contrato!A:A,Contrato!B:B,"",0)</f>
        <v>#NAME?</v>
      </c>
      <c r="Z382" s="199" t="e">
        <f ca="1">_xlfn.XLOOKUP(PAA[[#This Row],[ITEM]],Contrato!A:A,Contrato!G:G,"",0)</f>
        <v>#NAME?</v>
      </c>
      <c r="AA382" s="199" t="e">
        <f ca="1">_xlfn.XLOOKUP(PAA[[#This Row],[ITEM]],Contrato!A:A,Contrato!T:T,"",0)</f>
        <v>#NAME?</v>
      </c>
      <c r="AB382" s="210" t="e">
        <f ca="1">+MAX(PAA[[#This Row],[Comprometido Contrato]],)</f>
        <v>#NAME?</v>
      </c>
      <c r="AC382" s="210" t="str">
        <f t="shared" ca="1" si="56"/>
        <v/>
      </c>
      <c r="AD382" s="210" t="e">
        <f ca="1">+MAX(PAA[[#This Row],[Pago por Contrato]],)</f>
        <v>#NAME?</v>
      </c>
      <c r="AE382" s="210" t="str">
        <f t="shared" ca="1" si="60"/>
        <v/>
      </c>
      <c r="AF382" s="199" t="e">
        <f t="shared" ca="1" si="61"/>
        <v>#NAME?</v>
      </c>
      <c r="AG382" s="199">
        <f t="shared" si="62"/>
        <v>52010802</v>
      </c>
      <c r="AH382" s="199" t="e" cm="1">
        <f t="array" aca="1" ref="AH382" ca="1">_xlfn.XLOOKUP(PAA[[#This Row],[RCP-RUBRO]],COMPROMISOS_2025[[#All],[concatenado]],COMPROMISOS_2025[[#All],[Total pagado]],"",0)</f>
        <v>#NAME?</v>
      </c>
      <c r="AI382" s="199" t="e" cm="1">
        <f t="array" aca="1" ref="AI382" ca="1">_xlfn.XLOOKUP(PAA[[#This Row],[RCP-RUBRO]],COMPROMISOS_2025[[#All],[concatenado]],COMPROMISOS_2025[[#All],[Total Comprometido]],"",0)</f>
        <v>#NAME?</v>
      </c>
    </row>
    <row r="383" spans="1:35" s="50" customFormat="1" ht="42" hidden="1" customHeight="1" x14ac:dyDescent="0.25">
      <c r="A383" s="199">
        <v>283</v>
      </c>
      <c r="B383" s="200">
        <v>80111600</v>
      </c>
      <c r="C383" s="199" t="str">
        <f>VLOOKUP(PAA[[#This Row],[PROYECTO (formulado)2]],PROYECTOS!$G$1:$L$32,6,0)</f>
        <v>SUBGERENCIA DE ALTOS LOGROS Y DEPORTE ASOCIADO</v>
      </c>
      <c r="D383" s="199" t="str">
        <f>+IF(PAA[[#This Row],[UNIDAD DE CONTRATACION (formulado)]]="Subgerencia Administrativa y Financiera","FUNCIONAMIENTO","INVERSIÓN")</f>
        <v>INVERSIÓN</v>
      </c>
      <c r="E383" s="201" t="str">
        <f>VLOOKUP(Q383,PROYECTOS!$G$1:$K$32,5,0)</f>
        <v>Apoyo técnico a atletas y para-atletas que representan en alto rendimiento deportivo al departamento de Antioquia</v>
      </c>
      <c r="F383" s="201">
        <f>VLOOKUP(E383,PROYECTOS!$K$1:$M$32,3,0)</f>
        <v>2024003050084</v>
      </c>
      <c r="G383" s="202" t="s">
        <v>450</v>
      </c>
      <c r="H383" s="202" t="str">
        <f>VLOOKUP(Q383,PROYECTOS!$V$1:$W$32,2,0)</f>
        <v>050079</v>
      </c>
      <c r="I383" s="203">
        <v>40747479</v>
      </c>
      <c r="J383" s="204" t="s">
        <v>481</v>
      </c>
      <c r="K383" s="199" t="str">
        <f t="shared" ca="1" si="57"/>
        <v>CONTRATADO</v>
      </c>
      <c r="L383" s="199" t="s">
        <v>112</v>
      </c>
      <c r="M383" s="199" t="s">
        <v>113</v>
      </c>
      <c r="N383" s="205" t="s">
        <v>452</v>
      </c>
      <c r="O383" s="204">
        <f>VLOOKUP(N383,RUBROS[#All],3,0)</f>
        <v>62</v>
      </c>
      <c r="P383" s="206" t="str">
        <f>VLOOKUP(N383,RUBROS[#All],2,0)</f>
        <v>Apoyo técnico a atletas y para-atletas que representan en alto rendimiento deportivo al departamento de Antioquia. - Servicios para la comunidad, sociales y personales</v>
      </c>
      <c r="Q383" s="199" t="str">
        <f t="shared" si="58"/>
        <v>84</v>
      </c>
      <c r="R383" s="199" t="str">
        <f t="shared" si="59"/>
        <v>0-205400</v>
      </c>
      <c r="S383" s="207">
        <v>294</v>
      </c>
      <c r="T383" s="208" t="s">
        <v>220</v>
      </c>
      <c r="U383" s="209" t="e">
        <f ca="1">_xlfn.XLOOKUP(PAA[[#This Row],[ITEM]],Contrato!A:A,Contrato!Q:Q,"",0)</f>
        <v>#NAME?</v>
      </c>
      <c r="V383" s="199" t="s">
        <v>47</v>
      </c>
      <c r="W383" s="199" t="s">
        <v>154</v>
      </c>
      <c r="X383" s="199" t="s">
        <v>154</v>
      </c>
      <c r="Y383" s="210" t="e">
        <f ca="1">_xlfn.XLOOKUP(PAA[[#This Row],[ITEM]],Contrato!A:A,Contrato!B:B,"",0)</f>
        <v>#NAME?</v>
      </c>
      <c r="Z383" s="199" t="e">
        <f ca="1">_xlfn.XLOOKUP(PAA[[#This Row],[ITEM]],Contrato!A:A,Contrato!G:G,"",0)</f>
        <v>#NAME?</v>
      </c>
      <c r="AA383" s="199" t="e">
        <f ca="1">_xlfn.XLOOKUP(PAA[[#This Row],[ITEM]],Contrato!A:A,Contrato!T:T,"",0)</f>
        <v>#NAME?</v>
      </c>
      <c r="AB383" s="210" t="e">
        <f ca="1">+MAX(PAA[[#This Row],[Comprometido Contrato]],)</f>
        <v>#NAME?</v>
      </c>
      <c r="AC383" s="210" t="str">
        <f t="shared" ca="1" si="56"/>
        <v/>
      </c>
      <c r="AD383" s="210" t="e">
        <f ca="1">+MAX(PAA[[#This Row],[Pago por Contrato]],)</f>
        <v>#NAME?</v>
      </c>
      <c r="AE383" s="210" t="str">
        <f t="shared" ca="1" si="60"/>
        <v/>
      </c>
      <c r="AF383" s="199" t="e">
        <f t="shared" ca="1" si="61"/>
        <v>#NAME?</v>
      </c>
      <c r="AG383" s="199">
        <f t="shared" si="62"/>
        <v>52010802</v>
      </c>
      <c r="AH383" s="199" t="e" cm="1">
        <f t="array" aca="1" ref="AH383" ca="1">_xlfn.XLOOKUP(PAA[[#This Row],[RCP-RUBRO]],COMPROMISOS_2025[[#All],[concatenado]],COMPROMISOS_2025[[#All],[Total pagado]],"",0)</f>
        <v>#NAME?</v>
      </c>
      <c r="AI383" s="199" t="e" cm="1">
        <f t="array" aca="1" ref="AI383" ca="1">_xlfn.XLOOKUP(PAA[[#This Row],[RCP-RUBRO]],COMPROMISOS_2025[[#All],[concatenado]],COMPROMISOS_2025[[#All],[Total Comprometido]],"",0)</f>
        <v>#NAME?</v>
      </c>
    </row>
    <row r="384" spans="1:35" s="50" customFormat="1" ht="42" hidden="1" customHeight="1" x14ac:dyDescent="0.25">
      <c r="A384" s="199">
        <v>284</v>
      </c>
      <c r="B384" s="200">
        <v>80111600</v>
      </c>
      <c r="C384" s="199" t="str">
        <f>VLOOKUP(PAA[[#This Row],[PROYECTO (formulado)2]],PROYECTOS!$G$1:$L$32,6,0)</f>
        <v>SUBGERENCIA DE ALTOS LOGROS Y DEPORTE ASOCIADO</v>
      </c>
      <c r="D384" s="199" t="str">
        <f>+IF(PAA[[#This Row],[UNIDAD DE CONTRATACION (formulado)]]="Subgerencia Administrativa y Financiera","FUNCIONAMIENTO","INVERSIÓN")</f>
        <v>INVERSIÓN</v>
      </c>
      <c r="E384" s="201" t="str">
        <f>VLOOKUP(Q384,PROYECTOS!$G$1:$K$32,5,0)</f>
        <v>Apoyo técnico a atletas y para-atletas que representan en alto rendimiento deportivo al departamento de Antioquia</v>
      </c>
      <c r="F384" s="201">
        <f>VLOOKUP(E384,PROYECTOS!$K$1:$M$32,3,0)</f>
        <v>2024003050084</v>
      </c>
      <c r="G384" s="202" t="s">
        <v>450</v>
      </c>
      <c r="H384" s="202" t="str">
        <f>VLOOKUP(Q384,PROYECTOS!$V$1:$W$32,2,0)</f>
        <v>050079</v>
      </c>
      <c r="I384" s="203">
        <v>81536206</v>
      </c>
      <c r="J384" s="204" t="s">
        <v>482</v>
      </c>
      <c r="K384" s="199" t="str">
        <f t="shared" ca="1" si="57"/>
        <v>CONTRATADO</v>
      </c>
      <c r="L384" s="199" t="s">
        <v>112</v>
      </c>
      <c r="M384" s="199" t="s">
        <v>113</v>
      </c>
      <c r="N384" s="205" t="s">
        <v>452</v>
      </c>
      <c r="O384" s="204">
        <f>VLOOKUP(N384,RUBROS[#All],3,0)</f>
        <v>62</v>
      </c>
      <c r="P384" s="206" t="str">
        <f>VLOOKUP(N384,RUBROS[#All],2,0)</f>
        <v>Apoyo técnico a atletas y para-atletas que representan en alto rendimiento deportivo al departamento de Antioquia. - Servicios para la comunidad, sociales y personales</v>
      </c>
      <c r="Q384" s="199" t="str">
        <f t="shared" si="58"/>
        <v>84</v>
      </c>
      <c r="R384" s="199" t="str">
        <f t="shared" si="59"/>
        <v>0-205400</v>
      </c>
      <c r="S384" s="207">
        <v>294</v>
      </c>
      <c r="T384" s="208" t="s">
        <v>220</v>
      </c>
      <c r="U384" s="209" t="e">
        <f ca="1">_xlfn.XLOOKUP(PAA[[#This Row],[ITEM]],Contrato!A:A,Contrato!Q:Q,"",0)</f>
        <v>#NAME?</v>
      </c>
      <c r="V384" s="199" t="s">
        <v>47</v>
      </c>
      <c r="W384" s="199" t="s">
        <v>154</v>
      </c>
      <c r="X384" s="199" t="s">
        <v>154</v>
      </c>
      <c r="Y384" s="210" t="e">
        <f ca="1">_xlfn.XLOOKUP(PAA[[#This Row],[ITEM]],Contrato!A:A,Contrato!B:B,"",0)</f>
        <v>#NAME?</v>
      </c>
      <c r="Z384" s="199" t="e">
        <f ca="1">_xlfn.XLOOKUP(PAA[[#This Row],[ITEM]],Contrato!A:A,Contrato!G:G,"",0)</f>
        <v>#NAME?</v>
      </c>
      <c r="AA384" s="199" t="e">
        <f ca="1">_xlfn.XLOOKUP(PAA[[#This Row],[ITEM]],Contrato!A:A,Contrato!T:T,"",0)</f>
        <v>#NAME?</v>
      </c>
      <c r="AB384" s="210" t="e">
        <f ca="1">+MAX(PAA[[#This Row],[Comprometido Contrato]],)</f>
        <v>#NAME?</v>
      </c>
      <c r="AC384" s="210" t="str">
        <f t="shared" ca="1" si="56"/>
        <v/>
      </c>
      <c r="AD384" s="210" t="e">
        <f ca="1">+MAX(PAA[[#This Row],[Pago por Contrato]],)</f>
        <v>#NAME?</v>
      </c>
      <c r="AE384" s="210" t="str">
        <f t="shared" ca="1" si="60"/>
        <v/>
      </c>
      <c r="AF384" s="199" t="e">
        <f t="shared" ca="1" si="61"/>
        <v>#NAME?</v>
      </c>
      <c r="AG384" s="199">
        <f t="shared" si="62"/>
        <v>52010802</v>
      </c>
      <c r="AH384" s="199" t="e" cm="1">
        <f t="array" aca="1" ref="AH384" ca="1">_xlfn.XLOOKUP(PAA[[#This Row],[RCP-RUBRO]],COMPROMISOS_2025[[#All],[concatenado]],COMPROMISOS_2025[[#All],[Total pagado]],"",0)</f>
        <v>#NAME?</v>
      </c>
      <c r="AI384" s="199" t="e" cm="1">
        <f t="array" aca="1" ref="AI384" ca="1">_xlfn.XLOOKUP(PAA[[#This Row],[RCP-RUBRO]],COMPROMISOS_2025[[#All],[concatenado]],COMPROMISOS_2025[[#All],[Total Comprometido]],"",0)</f>
        <v>#NAME?</v>
      </c>
    </row>
    <row r="385" spans="1:35" s="50" customFormat="1" ht="42" hidden="1" customHeight="1" x14ac:dyDescent="0.25">
      <c r="A385" s="199">
        <v>285</v>
      </c>
      <c r="B385" s="200">
        <v>80111600</v>
      </c>
      <c r="C385" s="199" t="str">
        <f>VLOOKUP(PAA[[#This Row],[PROYECTO (formulado)2]],PROYECTOS!$G$1:$L$32,6,0)</f>
        <v>SUBGERENCIA DE ALTOS LOGROS Y DEPORTE ASOCIADO</v>
      </c>
      <c r="D385" s="199" t="str">
        <f>+IF(PAA[[#This Row],[UNIDAD DE CONTRATACION (formulado)]]="Subgerencia Administrativa y Financiera","FUNCIONAMIENTO","INVERSIÓN")</f>
        <v>INVERSIÓN</v>
      </c>
      <c r="E385" s="201" t="str">
        <f>VLOOKUP(Q385,PROYECTOS!$G$1:$K$32,5,0)</f>
        <v>Apoyo técnico a atletas y para-atletas que representan en alto rendimiento deportivo al departamento de Antioquia</v>
      </c>
      <c r="F385" s="201">
        <f>VLOOKUP(E385,PROYECTOS!$K$1:$M$32,3,0)</f>
        <v>2024003050084</v>
      </c>
      <c r="G385" s="202" t="s">
        <v>450</v>
      </c>
      <c r="H385" s="202" t="str">
        <f>VLOOKUP(Q385,PROYECTOS!$V$1:$W$32,2,0)</f>
        <v>050079</v>
      </c>
      <c r="I385" s="203">
        <v>61147776</v>
      </c>
      <c r="J385" s="204" t="s">
        <v>483</v>
      </c>
      <c r="K385" s="199" t="str">
        <f t="shared" ca="1" si="57"/>
        <v>CONTRATADO</v>
      </c>
      <c r="L385" s="199" t="s">
        <v>112</v>
      </c>
      <c r="M385" s="199" t="s">
        <v>113</v>
      </c>
      <c r="N385" s="205" t="s">
        <v>452</v>
      </c>
      <c r="O385" s="204">
        <f>VLOOKUP(N385,RUBROS[#All],3,0)</f>
        <v>62</v>
      </c>
      <c r="P385" s="206" t="str">
        <f>VLOOKUP(N385,RUBROS[#All],2,0)</f>
        <v>Apoyo técnico a atletas y para-atletas que representan en alto rendimiento deportivo al departamento de Antioquia. - Servicios para la comunidad, sociales y personales</v>
      </c>
      <c r="Q385" s="199" t="str">
        <f t="shared" si="58"/>
        <v>84</v>
      </c>
      <c r="R385" s="199" t="str">
        <f t="shared" si="59"/>
        <v>0-205400</v>
      </c>
      <c r="S385" s="207">
        <v>294</v>
      </c>
      <c r="T385" s="208" t="s">
        <v>220</v>
      </c>
      <c r="U385" s="209" t="e">
        <f ca="1">_xlfn.XLOOKUP(PAA[[#This Row],[ITEM]],Contrato!A:A,Contrato!Q:Q,"",0)</f>
        <v>#NAME?</v>
      </c>
      <c r="V385" s="199" t="s">
        <v>47</v>
      </c>
      <c r="W385" s="199" t="s">
        <v>154</v>
      </c>
      <c r="X385" s="199" t="s">
        <v>154</v>
      </c>
      <c r="Y385" s="210" t="e">
        <f ca="1">_xlfn.XLOOKUP(PAA[[#This Row],[ITEM]],Contrato!A:A,Contrato!B:B,"",0)</f>
        <v>#NAME?</v>
      </c>
      <c r="Z385" s="199" t="e">
        <f ca="1">_xlfn.XLOOKUP(PAA[[#This Row],[ITEM]],Contrato!A:A,Contrato!G:G,"",0)</f>
        <v>#NAME?</v>
      </c>
      <c r="AA385" s="199" t="e">
        <f ca="1">_xlfn.XLOOKUP(PAA[[#This Row],[ITEM]],Contrato!A:A,Contrato!T:T,"",0)</f>
        <v>#NAME?</v>
      </c>
      <c r="AB385" s="210" t="e">
        <f ca="1">+MAX(PAA[[#This Row],[Comprometido Contrato]],)</f>
        <v>#NAME?</v>
      </c>
      <c r="AC385" s="210" t="str">
        <f t="shared" ca="1" si="56"/>
        <v/>
      </c>
      <c r="AD385" s="210" t="e">
        <f ca="1">+MAX(PAA[[#This Row],[Pago por Contrato]],)</f>
        <v>#NAME?</v>
      </c>
      <c r="AE385" s="210" t="str">
        <f t="shared" ca="1" si="60"/>
        <v/>
      </c>
      <c r="AF385" s="199" t="e">
        <f t="shared" ca="1" si="61"/>
        <v>#NAME?</v>
      </c>
      <c r="AG385" s="199">
        <f t="shared" si="62"/>
        <v>52010802</v>
      </c>
      <c r="AH385" s="199" t="e" cm="1">
        <f t="array" aca="1" ref="AH385" ca="1">_xlfn.XLOOKUP(PAA[[#This Row],[RCP-RUBRO]],COMPROMISOS_2025[[#All],[concatenado]],COMPROMISOS_2025[[#All],[Total pagado]],"",0)</f>
        <v>#NAME?</v>
      </c>
      <c r="AI385" s="199" t="e" cm="1">
        <f t="array" aca="1" ref="AI385" ca="1">_xlfn.XLOOKUP(PAA[[#This Row],[RCP-RUBRO]],COMPROMISOS_2025[[#All],[concatenado]],COMPROMISOS_2025[[#All],[Total Comprometido]],"",0)</f>
        <v>#NAME?</v>
      </c>
    </row>
    <row r="386" spans="1:35" s="50" customFormat="1" ht="42" hidden="1" customHeight="1" x14ac:dyDescent="0.25">
      <c r="A386" s="199">
        <v>286</v>
      </c>
      <c r="B386" s="200">
        <v>80111600</v>
      </c>
      <c r="C386" s="199" t="str">
        <f>VLOOKUP(PAA[[#This Row],[PROYECTO (formulado)2]],PROYECTOS!$G$1:$L$32,6,0)</f>
        <v>SUBGERENCIA DE ALTOS LOGROS Y DEPORTE ASOCIADO</v>
      </c>
      <c r="D386" s="199" t="str">
        <f>+IF(PAA[[#This Row],[UNIDAD DE CONTRATACION (formulado)]]="Subgerencia Administrativa y Financiera","FUNCIONAMIENTO","INVERSIÓN")</f>
        <v>INVERSIÓN</v>
      </c>
      <c r="E386" s="201" t="str">
        <f>VLOOKUP(Q386,PROYECTOS!$G$1:$K$32,5,0)</f>
        <v>Apoyo técnico a atletas y para-atletas que representan en alto rendimiento deportivo al departamento de Antioquia</v>
      </c>
      <c r="F386" s="201">
        <f>VLOOKUP(E386,PROYECTOS!$K$1:$M$32,3,0)</f>
        <v>2024003050084</v>
      </c>
      <c r="G386" s="202" t="s">
        <v>450</v>
      </c>
      <c r="H386" s="202" t="str">
        <f>VLOOKUP(Q386,PROYECTOS!$V$1:$W$32,2,0)</f>
        <v>050079</v>
      </c>
      <c r="I386" s="203">
        <v>50609170</v>
      </c>
      <c r="J386" s="204" t="s">
        <v>484</v>
      </c>
      <c r="K386" s="199" t="str">
        <f t="shared" ca="1" si="57"/>
        <v>CONTRATADO</v>
      </c>
      <c r="L386" s="199" t="s">
        <v>112</v>
      </c>
      <c r="M386" s="199" t="s">
        <v>113</v>
      </c>
      <c r="N386" s="205" t="s">
        <v>452</v>
      </c>
      <c r="O386" s="204">
        <f>VLOOKUP(N386,RUBROS[#All],3,0)</f>
        <v>62</v>
      </c>
      <c r="P386" s="206" t="str">
        <f>VLOOKUP(N386,RUBROS[#All],2,0)</f>
        <v>Apoyo técnico a atletas y para-atletas que representan en alto rendimiento deportivo al departamento de Antioquia. - Servicios para la comunidad, sociales y personales</v>
      </c>
      <c r="Q386" s="199" t="str">
        <f t="shared" si="58"/>
        <v>84</v>
      </c>
      <c r="R386" s="199" t="str">
        <f t="shared" si="59"/>
        <v>0-205400</v>
      </c>
      <c r="S386" s="207">
        <v>294</v>
      </c>
      <c r="T386" s="208" t="s">
        <v>220</v>
      </c>
      <c r="U386" s="209" t="e">
        <f ca="1">_xlfn.XLOOKUP(PAA[[#This Row],[ITEM]],Contrato!A:A,Contrato!Q:Q,"",0)</f>
        <v>#NAME?</v>
      </c>
      <c r="V386" s="199" t="s">
        <v>47</v>
      </c>
      <c r="W386" s="199" t="s">
        <v>154</v>
      </c>
      <c r="X386" s="199" t="s">
        <v>154</v>
      </c>
      <c r="Y386" s="210" t="e">
        <f ca="1">_xlfn.XLOOKUP(PAA[[#This Row],[ITEM]],Contrato!A:A,Contrato!B:B,"",0)</f>
        <v>#NAME?</v>
      </c>
      <c r="Z386" s="199" t="e">
        <f ca="1">_xlfn.XLOOKUP(PAA[[#This Row],[ITEM]],Contrato!A:A,Contrato!G:G,"",0)</f>
        <v>#NAME?</v>
      </c>
      <c r="AA386" s="199" t="e">
        <f ca="1">_xlfn.XLOOKUP(PAA[[#This Row],[ITEM]],Contrato!A:A,Contrato!T:T,"",0)</f>
        <v>#NAME?</v>
      </c>
      <c r="AB386" s="210" t="e">
        <f ca="1">+MAX(PAA[[#This Row],[Comprometido Contrato]],)</f>
        <v>#NAME?</v>
      </c>
      <c r="AC386" s="210" t="str">
        <f t="shared" ca="1" si="56"/>
        <v/>
      </c>
      <c r="AD386" s="210" t="e">
        <f ca="1">+MAX(PAA[[#This Row],[Pago por Contrato]],)</f>
        <v>#NAME?</v>
      </c>
      <c r="AE386" s="210" t="str">
        <f t="shared" ca="1" si="60"/>
        <v/>
      </c>
      <c r="AF386" s="199" t="e">
        <f t="shared" ca="1" si="61"/>
        <v>#NAME?</v>
      </c>
      <c r="AG386" s="199">
        <f t="shared" si="62"/>
        <v>52010802</v>
      </c>
      <c r="AH386" s="199" t="e" cm="1">
        <f t="array" aca="1" ref="AH386" ca="1">_xlfn.XLOOKUP(PAA[[#This Row],[RCP-RUBRO]],COMPROMISOS_2025[[#All],[concatenado]],COMPROMISOS_2025[[#All],[Total pagado]],"",0)</f>
        <v>#NAME?</v>
      </c>
      <c r="AI386" s="199" t="e" cm="1">
        <f t="array" aca="1" ref="AI386" ca="1">_xlfn.XLOOKUP(PAA[[#This Row],[RCP-RUBRO]],COMPROMISOS_2025[[#All],[concatenado]],COMPROMISOS_2025[[#All],[Total Comprometido]],"",0)</f>
        <v>#NAME?</v>
      </c>
    </row>
    <row r="387" spans="1:35" s="50" customFormat="1" ht="42" hidden="1" customHeight="1" x14ac:dyDescent="0.25">
      <c r="A387" s="199">
        <v>287</v>
      </c>
      <c r="B387" s="200">
        <v>80111600</v>
      </c>
      <c r="C387" s="199" t="str">
        <f>VLOOKUP(PAA[[#This Row],[PROYECTO (formulado)2]],PROYECTOS!$G$1:$L$32,6,0)</f>
        <v>SUBGERENCIA DE ALTOS LOGROS Y DEPORTE ASOCIADO</v>
      </c>
      <c r="D387" s="199" t="str">
        <f>+IF(PAA[[#This Row],[UNIDAD DE CONTRATACION (formulado)]]="Subgerencia Administrativa y Financiera","FUNCIONAMIENTO","INVERSIÓN")</f>
        <v>INVERSIÓN</v>
      </c>
      <c r="E387" s="201" t="str">
        <f>VLOOKUP(Q387,PROYECTOS!$G$1:$K$32,5,0)</f>
        <v>Apoyo técnico a atletas y para-atletas que representan en alto rendimiento deportivo al departamento de Antioquia</v>
      </c>
      <c r="F387" s="201">
        <f>VLOOKUP(E387,PROYECTOS!$K$1:$M$32,3,0)</f>
        <v>2024003050084</v>
      </c>
      <c r="G387" s="202" t="s">
        <v>450</v>
      </c>
      <c r="H387" s="202" t="str">
        <f>VLOOKUP(Q387,PROYECTOS!$V$1:$W$32,2,0)</f>
        <v>050079</v>
      </c>
      <c r="I387" s="203">
        <v>61147776</v>
      </c>
      <c r="J387" s="204" t="s">
        <v>485</v>
      </c>
      <c r="K387" s="199" t="str">
        <f t="shared" ca="1" si="57"/>
        <v>CONTRATADO</v>
      </c>
      <c r="L387" s="199" t="s">
        <v>112</v>
      </c>
      <c r="M387" s="199" t="s">
        <v>113</v>
      </c>
      <c r="N387" s="205" t="s">
        <v>452</v>
      </c>
      <c r="O387" s="204">
        <f>VLOOKUP(N387,RUBROS[#All],3,0)</f>
        <v>62</v>
      </c>
      <c r="P387" s="206" t="str">
        <f>VLOOKUP(N387,RUBROS[#All],2,0)</f>
        <v>Apoyo técnico a atletas y para-atletas que representan en alto rendimiento deportivo al departamento de Antioquia. - Servicios para la comunidad, sociales y personales</v>
      </c>
      <c r="Q387" s="199" t="str">
        <f t="shared" si="58"/>
        <v>84</v>
      </c>
      <c r="R387" s="199" t="str">
        <f t="shared" si="59"/>
        <v>0-205400</v>
      </c>
      <c r="S387" s="207">
        <v>294</v>
      </c>
      <c r="T387" s="208" t="s">
        <v>220</v>
      </c>
      <c r="U387" s="209" t="e">
        <f ca="1">_xlfn.XLOOKUP(PAA[[#This Row],[ITEM]],Contrato!A:A,Contrato!Q:Q,"",0)</f>
        <v>#NAME?</v>
      </c>
      <c r="V387" s="199" t="s">
        <v>47</v>
      </c>
      <c r="W387" s="199" t="s">
        <v>154</v>
      </c>
      <c r="X387" s="199" t="s">
        <v>154</v>
      </c>
      <c r="Y387" s="210" t="e">
        <f ca="1">_xlfn.XLOOKUP(PAA[[#This Row],[ITEM]],Contrato!A:A,Contrato!B:B,"",0)</f>
        <v>#NAME?</v>
      </c>
      <c r="Z387" s="199" t="e">
        <f ca="1">_xlfn.XLOOKUP(PAA[[#This Row],[ITEM]],Contrato!A:A,Contrato!G:G,"",0)</f>
        <v>#NAME?</v>
      </c>
      <c r="AA387" s="199" t="e">
        <f ca="1">_xlfn.XLOOKUP(PAA[[#This Row],[ITEM]],Contrato!A:A,Contrato!T:T,"",0)</f>
        <v>#NAME?</v>
      </c>
      <c r="AB387" s="210" t="e">
        <f ca="1">+MAX(PAA[[#This Row],[Comprometido Contrato]],)</f>
        <v>#NAME?</v>
      </c>
      <c r="AC387" s="210" t="str">
        <f t="shared" ca="1" si="56"/>
        <v/>
      </c>
      <c r="AD387" s="210" t="e">
        <f ca="1">+MAX(PAA[[#This Row],[Pago por Contrato]],)</f>
        <v>#NAME?</v>
      </c>
      <c r="AE387" s="210" t="str">
        <f t="shared" ca="1" si="60"/>
        <v/>
      </c>
      <c r="AF387" s="199" t="e">
        <f t="shared" ca="1" si="61"/>
        <v>#NAME?</v>
      </c>
      <c r="AG387" s="199">
        <f t="shared" si="62"/>
        <v>52010802</v>
      </c>
      <c r="AH387" s="199" t="e" cm="1">
        <f t="array" aca="1" ref="AH387" ca="1">_xlfn.XLOOKUP(PAA[[#This Row],[RCP-RUBRO]],COMPROMISOS_2025[[#All],[concatenado]],COMPROMISOS_2025[[#All],[Total pagado]],"",0)</f>
        <v>#NAME?</v>
      </c>
      <c r="AI387" s="199" t="e" cm="1">
        <f t="array" aca="1" ref="AI387" ca="1">_xlfn.XLOOKUP(PAA[[#This Row],[RCP-RUBRO]],COMPROMISOS_2025[[#All],[concatenado]],COMPROMISOS_2025[[#All],[Total Comprometido]],"",0)</f>
        <v>#NAME?</v>
      </c>
    </row>
    <row r="388" spans="1:35" s="50" customFormat="1" ht="42" hidden="1" customHeight="1" x14ac:dyDescent="0.25">
      <c r="A388" s="199">
        <v>288</v>
      </c>
      <c r="B388" s="200">
        <v>80111600</v>
      </c>
      <c r="C388" s="199" t="str">
        <f>VLOOKUP(PAA[[#This Row],[PROYECTO (formulado)2]],PROYECTOS!$G$1:$L$32,6,0)</f>
        <v>SUBGERENCIA DE ALTOS LOGROS Y DEPORTE ASOCIADO</v>
      </c>
      <c r="D388" s="199" t="str">
        <f>+IF(PAA[[#This Row],[UNIDAD DE CONTRATACION (formulado)]]="Subgerencia Administrativa y Financiera","FUNCIONAMIENTO","INVERSIÓN")</f>
        <v>INVERSIÓN</v>
      </c>
      <c r="E388" s="201" t="str">
        <f>VLOOKUP(Q388,PROYECTOS!$G$1:$K$32,5,0)</f>
        <v>Apoyo técnico a atletas y para-atletas que representan en alto rendimiento deportivo al departamento de Antioquia</v>
      </c>
      <c r="F388" s="201">
        <f>VLOOKUP(E388,PROYECTOS!$K$1:$M$32,3,0)</f>
        <v>2024003050084</v>
      </c>
      <c r="G388" s="202" t="s">
        <v>450</v>
      </c>
      <c r="H388" s="202" t="str">
        <f>VLOOKUP(Q388,PROYECTOS!$V$1:$W$32,2,0)</f>
        <v>050079</v>
      </c>
      <c r="I388" s="203">
        <v>50609170</v>
      </c>
      <c r="J388" s="204" t="s">
        <v>486</v>
      </c>
      <c r="K388" s="199" t="str">
        <f t="shared" ca="1" si="57"/>
        <v>CONTRATADO</v>
      </c>
      <c r="L388" s="199" t="s">
        <v>112</v>
      </c>
      <c r="M388" s="199" t="s">
        <v>113</v>
      </c>
      <c r="N388" s="205" t="s">
        <v>452</v>
      </c>
      <c r="O388" s="204">
        <f>VLOOKUP(N388,RUBROS[#All],3,0)</f>
        <v>62</v>
      </c>
      <c r="P388" s="206" t="str">
        <f>VLOOKUP(N388,RUBROS[#All],2,0)</f>
        <v>Apoyo técnico a atletas y para-atletas que representan en alto rendimiento deportivo al departamento de Antioquia. - Servicios para la comunidad, sociales y personales</v>
      </c>
      <c r="Q388" s="199" t="str">
        <f t="shared" si="58"/>
        <v>84</v>
      </c>
      <c r="R388" s="199" t="str">
        <f t="shared" si="59"/>
        <v>0-205400</v>
      </c>
      <c r="S388" s="207">
        <v>294</v>
      </c>
      <c r="T388" s="208" t="s">
        <v>220</v>
      </c>
      <c r="U388" s="209" t="e">
        <f ca="1">_xlfn.XLOOKUP(PAA[[#This Row],[ITEM]],Contrato!A:A,Contrato!Q:Q,"",0)</f>
        <v>#NAME?</v>
      </c>
      <c r="V388" s="199" t="s">
        <v>47</v>
      </c>
      <c r="W388" s="199" t="s">
        <v>154</v>
      </c>
      <c r="X388" s="199" t="s">
        <v>154</v>
      </c>
      <c r="Y388" s="210" t="e">
        <f ca="1">_xlfn.XLOOKUP(PAA[[#This Row],[ITEM]],Contrato!A:A,Contrato!B:B,"",0)</f>
        <v>#NAME?</v>
      </c>
      <c r="Z388" s="199" t="e">
        <f ca="1">_xlfn.XLOOKUP(PAA[[#This Row],[ITEM]],Contrato!A:A,Contrato!G:G,"",0)</f>
        <v>#NAME?</v>
      </c>
      <c r="AA388" s="199" t="e">
        <f ca="1">_xlfn.XLOOKUP(PAA[[#This Row],[ITEM]],Contrato!A:A,Contrato!T:T,"",0)</f>
        <v>#NAME?</v>
      </c>
      <c r="AB388" s="210" t="e">
        <f ca="1">+MAX(PAA[[#This Row],[Comprometido Contrato]],)</f>
        <v>#NAME?</v>
      </c>
      <c r="AC388" s="210" t="str">
        <f t="shared" ca="1" si="56"/>
        <v/>
      </c>
      <c r="AD388" s="210" t="e">
        <f ca="1">+MAX(PAA[[#This Row],[Pago por Contrato]],)</f>
        <v>#NAME?</v>
      </c>
      <c r="AE388" s="210" t="str">
        <f t="shared" ca="1" si="60"/>
        <v/>
      </c>
      <c r="AF388" s="199" t="e">
        <f t="shared" ca="1" si="61"/>
        <v>#NAME?</v>
      </c>
      <c r="AG388" s="199">
        <f t="shared" si="62"/>
        <v>52010802</v>
      </c>
      <c r="AH388" s="199" t="e" cm="1">
        <f t="array" aca="1" ref="AH388" ca="1">_xlfn.XLOOKUP(PAA[[#This Row],[RCP-RUBRO]],COMPROMISOS_2025[[#All],[concatenado]],COMPROMISOS_2025[[#All],[Total pagado]],"",0)</f>
        <v>#NAME?</v>
      </c>
      <c r="AI388" s="199" t="e" cm="1">
        <f t="array" aca="1" ref="AI388" ca="1">_xlfn.XLOOKUP(PAA[[#This Row],[RCP-RUBRO]],COMPROMISOS_2025[[#All],[concatenado]],COMPROMISOS_2025[[#All],[Total Comprometido]],"",0)</f>
        <v>#NAME?</v>
      </c>
    </row>
    <row r="389" spans="1:35" s="50" customFormat="1" ht="42" hidden="1" customHeight="1" x14ac:dyDescent="0.25">
      <c r="A389" s="199">
        <v>289</v>
      </c>
      <c r="B389" s="200">
        <v>80111600</v>
      </c>
      <c r="C389" s="199" t="str">
        <f>VLOOKUP(PAA[[#This Row],[PROYECTO (formulado)2]],PROYECTOS!$G$1:$L$32,6,0)</f>
        <v>SUBGERENCIA DE ALTOS LOGROS Y DEPORTE ASOCIADO</v>
      </c>
      <c r="D389" s="199" t="str">
        <f>+IF(PAA[[#This Row],[UNIDAD DE CONTRATACION (formulado)]]="Subgerencia Administrativa y Financiera","FUNCIONAMIENTO","INVERSIÓN")</f>
        <v>INVERSIÓN</v>
      </c>
      <c r="E389" s="201" t="str">
        <f>VLOOKUP(Q389,PROYECTOS!$G$1:$K$32,5,0)</f>
        <v>Apoyo técnico a atletas y para-atletas que representan en alto rendimiento deportivo al departamento de Antioquia</v>
      </c>
      <c r="F389" s="201">
        <f>VLOOKUP(E389,PROYECTOS!$K$1:$M$32,3,0)</f>
        <v>2024003050084</v>
      </c>
      <c r="G389" s="202" t="s">
        <v>450</v>
      </c>
      <c r="H389" s="202" t="str">
        <f>VLOOKUP(Q389,PROYECTOS!$V$1:$W$32,2,0)</f>
        <v>050079</v>
      </c>
      <c r="I389" s="203">
        <v>94982227</v>
      </c>
      <c r="J389" s="204" t="s">
        <v>487</v>
      </c>
      <c r="K389" s="199" t="str">
        <f t="shared" ca="1" si="57"/>
        <v>CONTRATADO</v>
      </c>
      <c r="L389" s="199" t="s">
        <v>112</v>
      </c>
      <c r="M389" s="199" t="s">
        <v>113</v>
      </c>
      <c r="N389" s="205" t="s">
        <v>452</v>
      </c>
      <c r="O389" s="204">
        <f>VLOOKUP(N389,RUBROS[#All],3,0)</f>
        <v>62</v>
      </c>
      <c r="P389" s="206" t="str">
        <f>VLOOKUP(N389,RUBROS[#All],2,0)</f>
        <v>Apoyo técnico a atletas y para-atletas que representan en alto rendimiento deportivo al departamento de Antioquia. - Servicios para la comunidad, sociales y personales</v>
      </c>
      <c r="Q389" s="199" t="str">
        <f t="shared" si="58"/>
        <v>84</v>
      </c>
      <c r="R389" s="199" t="str">
        <f t="shared" si="59"/>
        <v>0-205400</v>
      </c>
      <c r="S389" s="207">
        <v>294</v>
      </c>
      <c r="T389" s="208" t="s">
        <v>220</v>
      </c>
      <c r="U389" s="209" t="e">
        <f ca="1">_xlfn.XLOOKUP(PAA[[#This Row],[ITEM]],Contrato!A:A,Contrato!Q:Q,"",0)</f>
        <v>#NAME?</v>
      </c>
      <c r="V389" s="199" t="s">
        <v>47</v>
      </c>
      <c r="W389" s="199" t="s">
        <v>154</v>
      </c>
      <c r="X389" s="199" t="s">
        <v>154</v>
      </c>
      <c r="Y389" s="210" t="e">
        <f ca="1">_xlfn.XLOOKUP(PAA[[#This Row],[ITEM]],Contrato!A:A,Contrato!B:B,"",0)</f>
        <v>#NAME?</v>
      </c>
      <c r="Z389" s="199" t="e">
        <f ca="1">_xlfn.XLOOKUP(PAA[[#This Row],[ITEM]],Contrato!A:A,Contrato!G:G,"",0)</f>
        <v>#NAME?</v>
      </c>
      <c r="AA389" s="199" t="e">
        <f ca="1">_xlfn.XLOOKUP(PAA[[#This Row],[ITEM]],Contrato!A:A,Contrato!T:T,"",0)</f>
        <v>#NAME?</v>
      </c>
      <c r="AB389" s="210" t="e">
        <f ca="1">+MAX(PAA[[#This Row],[Comprometido Contrato]],)</f>
        <v>#NAME?</v>
      </c>
      <c r="AC389" s="210" t="str">
        <f t="shared" ref="AC389:AC452" ca="1" si="63">IFERROR(I389-AB389,"")</f>
        <v/>
      </c>
      <c r="AD389" s="210" t="e">
        <f ca="1">+MAX(PAA[[#This Row],[Pago por Contrato]],)</f>
        <v>#NAME?</v>
      </c>
      <c r="AE389" s="210" t="str">
        <f t="shared" ca="1" si="60"/>
        <v/>
      </c>
      <c r="AF389" s="199" t="e">
        <f t="shared" ca="1" si="61"/>
        <v>#NAME?</v>
      </c>
      <c r="AG389" s="199">
        <f t="shared" si="62"/>
        <v>52010802</v>
      </c>
      <c r="AH389" s="199" t="e" cm="1">
        <f t="array" aca="1" ref="AH389" ca="1">_xlfn.XLOOKUP(PAA[[#This Row],[RCP-RUBRO]],COMPROMISOS_2025[[#All],[concatenado]],COMPROMISOS_2025[[#All],[Total pagado]],"",0)</f>
        <v>#NAME?</v>
      </c>
      <c r="AI389" s="199" t="e" cm="1">
        <f t="array" aca="1" ref="AI389" ca="1">_xlfn.XLOOKUP(PAA[[#This Row],[RCP-RUBRO]],COMPROMISOS_2025[[#All],[concatenado]],COMPROMISOS_2025[[#All],[Total Comprometido]],"",0)</f>
        <v>#NAME?</v>
      </c>
    </row>
    <row r="390" spans="1:35" s="50" customFormat="1" ht="42" hidden="1" customHeight="1" x14ac:dyDescent="0.25">
      <c r="A390" s="199">
        <v>290</v>
      </c>
      <c r="B390" s="200">
        <v>80111600</v>
      </c>
      <c r="C390" s="199" t="str">
        <f>VLOOKUP(PAA[[#This Row],[PROYECTO (formulado)2]],PROYECTOS!$G$1:$L$32,6,0)</f>
        <v>SUBGERENCIA DE ALTOS LOGROS Y DEPORTE ASOCIADO</v>
      </c>
      <c r="D390" s="199" t="str">
        <f>+IF(PAA[[#This Row],[UNIDAD DE CONTRATACION (formulado)]]="Subgerencia Administrativa y Financiera","FUNCIONAMIENTO","INVERSIÓN")</f>
        <v>INVERSIÓN</v>
      </c>
      <c r="E390" s="201" t="str">
        <f>VLOOKUP(Q390,PROYECTOS!$G$1:$K$32,5,0)</f>
        <v>Apoyo técnico a atletas y para-atletas que representan en alto rendimiento deportivo al departamento de Antioquia</v>
      </c>
      <c r="F390" s="201">
        <f>VLOOKUP(E390,PROYECTOS!$K$1:$M$32,3,0)</f>
        <v>2024003050084</v>
      </c>
      <c r="G390" s="202" t="s">
        <v>450</v>
      </c>
      <c r="H390" s="202" t="str">
        <f>VLOOKUP(Q390,PROYECTOS!$V$1:$W$32,2,0)</f>
        <v>050079</v>
      </c>
      <c r="I390" s="203">
        <v>17601802</v>
      </c>
      <c r="J390" s="204" t="s">
        <v>488</v>
      </c>
      <c r="K390" s="199" t="str">
        <f t="shared" ca="1" si="57"/>
        <v>CONTRATADO</v>
      </c>
      <c r="L390" s="199" t="s">
        <v>112</v>
      </c>
      <c r="M390" s="199" t="s">
        <v>113</v>
      </c>
      <c r="N390" s="205" t="s">
        <v>452</v>
      </c>
      <c r="O390" s="204">
        <f>VLOOKUP(N390,RUBROS[#All],3,0)</f>
        <v>62</v>
      </c>
      <c r="P390" s="206" t="str">
        <f>VLOOKUP(N390,RUBROS[#All],2,0)</f>
        <v>Apoyo técnico a atletas y para-atletas que representan en alto rendimiento deportivo al departamento de Antioquia. - Servicios para la comunidad, sociales y personales</v>
      </c>
      <c r="Q390" s="199" t="str">
        <f t="shared" si="58"/>
        <v>84</v>
      </c>
      <c r="R390" s="199" t="str">
        <f t="shared" si="59"/>
        <v>0-205400</v>
      </c>
      <c r="S390" s="207">
        <v>127</v>
      </c>
      <c r="T390" s="208" t="s">
        <v>220</v>
      </c>
      <c r="U390" s="209" t="e">
        <f ca="1">_xlfn.XLOOKUP(PAA[[#This Row],[ITEM]],Contrato!A:A,Contrato!Q:Q,"",0)</f>
        <v>#NAME?</v>
      </c>
      <c r="V390" s="199" t="s">
        <v>47</v>
      </c>
      <c r="W390" s="199" t="s">
        <v>154</v>
      </c>
      <c r="X390" s="199" t="s">
        <v>154</v>
      </c>
      <c r="Y390" s="210" t="e">
        <f ca="1">_xlfn.XLOOKUP(PAA[[#This Row],[ITEM]],Contrato!A:A,Contrato!B:B,"",0)</f>
        <v>#NAME?</v>
      </c>
      <c r="Z390" s="199" t="e">
        <f ca="1">_xlfn.XLOOKUP(PAA[[#This Row],[ITEM]],Contrato!A:A,Contrato!G:G,"",0)</f>
        <v>#NAME?</v>
      </c>
      <c r="AA390" s="199" t="e">
        <f ca="1">_xlfn.XLOOKUP(PAA[[#This Row],[ITEM]],Contrato!A:A,Contrato!T:T,"",0)</f>
        <v>#NAME?</v>
      </c>
      <c r="AB390" s="210" t="e">
        <f ca="1">+MAX(PAA[[#This Row],[Comprometido Contrato]],)</f>
        <v>#NAME?</v>
      </c>
      <c r="AC390" s="210" t="str">
        <f t="shared" ca="1" si="63"/>
        <v/>
      </c>
      <c r="AD390" s="210" t="e">
        <f ca="1">+MAX(PAA[[#This Row],[Pago por Contrato]],)</f>
        <v>#NAME?</v>
      </c>
      <c r="AE390" s="210" t="str">
        <f t="shared" ca="1" si="60"/>
        <v/>
      </c>
      <c r="AF390" s="199" t="e">
        <f t="shared" ca="1" si="61"/>
        <v>#NAME?</v>
      </c>
      <c r="AG390" s="199">
        <f t="shared" si="62"/>
        <v>52010802</v>
      </c>
      <c r="AH390" s="199" t="e" cm="1">
        <f t="array" aca="1" ref="AH390" ca="1">_xlfn.XLOOKUP(PAA[[#This Row],[RCP-RUBRO]],COMPROMISOS_2025[[#All],[concatenado]],COMPROMISOS_2025[[#All],[Total pagado]],"",0)</f>
        <v>#NAME?</v>
      </c>
      <c r="AI390" s="199" t="e" cm="1">
        <f t="array" aca="1" ref="AI390" ca="1">_xlfn.XLOOKUP(PAA[[#This Row],[RCP-RUBRO]],COMPROMISOS_2025[[#All],[concatenado]],COMPROMISOS_2025[[#All],[Total Comprometido]],"",0)</f>
        <v>#NAME?</v>
      </c>
    </row>
    <row r="391" spans="1:35" s="50" customFormat="1" ht="42" hidden="1" customHeight="1" x14ac:dyDescent="0.25">
      <c r="A391" s="199">
        <v>291</v>
      </c>
      <c r="B391" s="200">
        <v>80111600</v>
      </c>
      <c r="C391" s="199" t="str">
        <f>VLOOKUP(PAA[[#This Row],[PROYECTO (formulado)2]],PROYECTOS!$G$1:$L$32,6,0)</f>
        <v>SUBGERENCIA DE ALTOS LOGROS Y DEPORTE ASOCIADO</v>
      </c>
      <c r="D391" s="199" t="str">
        <f>+IF(PAA[[#This Row],[UNIDAD DE CONTRATACION (formulado)]]="Subgerencia Administrativa y Financiera","FUNCIONAMIENTO","INVERSIÓN")</f>
        <v>INVERSIÓN</v>
      </c>
      <c r="E391" s="201" t="str">
        <f>VLOOKUP(Q391,PROYECTOS!$G$1:$K$32,5,0)</f>
        <v>Apoyo técnico a atletas y para-atletas que representan en alto rendimiento deportivo al departamento de Antioquia</v>
      </c>
      <c r="F391" s="201">
        <f>VLOOKUP(E391,PROYECTOS!$K$1:$M$32,3,0)</f>
        <v>2024003050084</v>
      </c>
      <c r="G391" s="202" t="s">
        <v>450</v>
      </c>
      <c r="H391" s="202" t="str">
        <f>VLOOKUP(Q391,PROYECTOS!$V$1:$W$32,2,0)</f>
        <v>050079</v>
      </c>
      <c r="I391" s="203">
        <v>61147776</v>
      </c>
      <c r="J391" s="204" t="s">
        <v>489</v>
      </c>
      <c r="K391" s="199" t="str">
        <f t="shared" ca="1" si="57"/>
        <v>CONTRATADO</v>
      </c>
      <c r="L391" s="199" t="s">
        <v>112</v>
      </c>
      <c r="M391" s="199" t="s">
        <v>113</v>
      </c>
      <c r="N391" s="205" t="s">
        <v>452</v>
      </c>
      <c r="O391" s="204">
        <f>VLOOKUP(N391,RUBROS[#All],3,0)</f>
        <v>62</v>
      </c>
      <c r="P391" s="206" t="str">
        <f>VLOOKUP(N391,RUBROS[#All],2,0)</f>
        <v>Apoyo técnico a atletas y para-atletas que representan en alto rendimiento deportivo al departamento de Antioquia. - Servicios para la comunidad, sociales y personales</v>
      </c>
      <c r="Q391" s="199" t="str">
        <f t="shared" si="58"/>
        <v>84</v>
      </c>
      <c r="R391" s="199" t="str">
        <f t="shared" si="59"/>
        <v>0-205400</v>
      </c>
      <c r="S391" s="207">
        <v>294</v>
      </c>
      <c r="T391" s="208" t="s">
        <v>220</v>
      </c>
      <c r="U391" s="209" t="e">
        <f ca="1">_xlfn.XLOOKUP(PAA[[#This Row],[ITEM]],Contrato!A:A,Contrato!Q:Q,"",0)</f>
        <v>#NAME?</v>
      </c>
      <c r="V391" s="199" t="s">
        <v>47</v>
      </c>
      <c r="W391" s="199" t="s">
        <v>154</v>
      </c>
      <c r="X391" s="199" t="s">
        <v>154</v>
      </c>
      <c r="Y391" s="210" t="e">
        <f ca="1">_xlfn.XLOOKUP(PAA[[#This Row],[ITEM]],Contrato!A:A,Contrato!B:B,"",0)</f>
        <v>#NAME?</v>
      </c>
      <c r="Z391" s="199" t="e">
        <f ca="1">_xlfn.XLOOKUP(PAA[[#This Row],[ITEM]],Contrato!A:A,Contrato!G:G,"",0)</f>
        <v>#NAME?</v>
      </c>
      <c r="AA391" s="199" t="e">
        <f ca="1">_xlfn.XLOOKUP(PAA[[#This Row],[ITEM]],Contrato!A:A,Contrato!T:T,"",0)</f>
        <v>#NAME?</v>
      </c>
      <c r="AB391" s="210" t="e">
        <f ca="1">+MAX(PAA[[#This Row],[Comprometido Contrato]],)</f>
        <v>#NAME?</v>
      </c>
      <c r="AC391" s="210" t="str">
        <f t="shared" ca="1" si="63"/>
        <v/>
      </c>
      <c r="AD391" s="210" t="e">
        <f ca="1">+MAX(PAA[[#This Row],[Pago por Contrato]],)</f>
        <v>#NAME?</v>
      </c>
      <c r="AE391" s="210" t="str">
        <f t="shared" ca="1" si="60"/>
        <v/>
      </c>
      <c r="AF391" s="199" t="e">
        <f t="shared" ca="1" si="61"/>
        <v>#NAME?</v>
      </c>
      <c r="AG391" s="199">
        <f t="shared" si="62"/>
        <v>52010802</v>
      </c>
      <c r="AH391" s="199" t="e" cm="1">
        <f t="array" aca="1" ref="AH391" ca="1">_xlfn.XLOOKUP(PAA[[#This Row],[RCP-RUBRO]],COMPROMISOS_2025[[#All],[concatenado]],COMPROMISOS_2025[[#All],[Total pagado]],"",0)</f>
        <v>#NAME?</v>
      </c>
      <c r="AI391" s="199" t="e" cm="1">
        <f t="array" aca="1" ref="AI391" ca="1">_xlfn.XLOOKUP(PAA[[#This Row],[RCP-RUBRO]],COMPROMISOS_2025[[#All],[concatenado]],COMPROMISOS_2025[[#All],[Total Comprometido]],"",0)</f>
        <v>#NAME?</v>
      </c>
    </row>
    <row r="392" spans="1:35" s="50" customFormat="1" ht="42" hidden="1" customHeight="1" x14ac:dyDescent="0.25">
      <c r="A392" s="199">
        <v>292</v>
      </c>
      <c r="B392" s="200">
        <v>80111600</v>
      </c>
      <c r="C392" s="199" t="str">
        <f>VLOOKUP(PAA[[#This Row],[PROYECTO (formulado)2]],PROYECTOS!$G$1:$L$32,6,0)</f>
        <v>SUBGERENCIA DE ALTOS LOGROS Y DEPORTE ASOCIADO</v>
      </c>
      <c r="D392" s="199" t="str">
        <f>+IF(PAA[[#This Row],[UNIDAD DE CONTRATACION (formulado)]]="Subgerencia Administrativa y Financiera","FUNCIONAMIENTO","INVERSIÓN")</f>
        <v>INVERSIÓN</v>
      </c>
      <c r="E392" s="201" t="str">
        <f>VLOOKUP(Q392,PROYECTOS!$G$1:$K$32,5,0)</f>
        <v>Apoyo técnico a atletas y para-atletas que representan en alto rendimiento deportivo al departamento de Antioquia</v>
      </c>
      <c r="F392" s="201">
        <f>VLOOKUP(E392,PROYECTOS!$K$1:$M$32,3,0)</f>
        <v>2024003050084</v>
      </c>
      <c r="G392" s="202" t="s">
        <v>450</v>
      </c>
      <c r="H392" s="202" t="str">
        <f>VLOOKUP(Q392,PROYECTOS!$V$1:$W$32,2,0)</f>
        <v>050079</v>
      </c>
      <c r="I392" s="203">
        <v>50609170</v>
      </c>
      <c r="J392" s="204" t="s">
        <v>490</v>
      </c>
      <c r="K392" s="199" t="str">
        <f t="shared" ca="1" si="57"/>
        <v>CONTRATADO</v>
      </c>
      <c r="L392" s="199" t="s">
        <v>112</v>
      </c>
      <c r="M392" s="199" t="s">
        <v>113</v>
      </c>
      <c r="N392" s="205" t="s">
        <v>452</v>
      </c>
      <c r="O392" s="204">
        <f>VLOOKUP(N392,RUBROS[#All],3,0)</f>
        <v>62</v>
      </c>
      <c r="P392" s="206" t="str">
        <f>VLOOKUP(N392,RUBROS[#All],2,0)</f>
        <v>Apoyo técnico a atletas y para-atletas que representan en alto rendimiento deportivo al departamento de Antioquia. - Servicios para la comunidad, sociales y personales</v>
      </c>
      <c r="Q392" s="199" t="str">
        <f t="shared" si="58"/>
        <v>84</v>
      </c>
      <c r="R392" s="199" t="str">
        <f t="shared" si="59"/>
        <v>0-205400</v>
      </c>
      <c r="S392" s="207">
        <v>294</v>
      </c>
      <c r="T392" s="208" t="s">
        <v>220</v>
      </c>
      <c r="U392" s="209" t="e">
        <f ca="1">_xlfn.XLOOKUP(PAA[[#This Row],[ITEM]],Contrato!A:A,Contrato!Q:Q,"",0)</f>
        <v>#NAME?</v>
      </c>
      <c r="V392" s="199" t="s">
        <v>47</v>
      </c>
      <c r="W392" s="199" t="s">
        <v>154</v>
      </c>
      <c r="X392" s="199" t="s">
        <v>154</v>
      </c>
      <c r="Y392" s="210" t="e">
        <f ca="1">_xlfn.XLOOKUP(PAA[[#This Row],[ITEM]],Contrato!A:A,Contrato!B:B,"",0)</f>
        <v>#NAME?</v>
      </c>
      <c r="Z392" s="199" t="e">
        <f ca="1">_xlfn.XLOOKUP(PAA[[#This Row],[ITEM]],Contrato!A:A,Contrato!G:G,"",0)</f>
        <v>#NAME?</v>
      </c>
      <c r="AA392" s="199" t="e">
        <f ca="1">_xlfn.XLOOKUP(PAA[[#This Row],[ITEM]],Contrato!A:A,Contrato!T:T,"",0)</f>
        <v>#NAME?</v>
      </c>
      <c r="AB392" s="210" t="e">
        <f ca="1">+MAX(PAA[[#This Row],[Comprometido Contrato]],)</f>
        <v>#NAME?</v>
      </c>
      <c r="AC392" s="210" t="str">
        <f t="shared" ca="1" si="63"/>
        <v/>
      </c>
      <c r="AD392" s="210" t="e">
        <f ca="1">+MAX(PAA[[#This Row],[Pago por Contrato]],)</f>
        <v>#NAME?</v>
      </c>
      <c r="AE392" s="210" t="str">
        <f t="shared" ca="1" si="60"/>
        <v/>
      </c>
      <c r="AF392" s="199" t="e">
        <f t="shared" ca="1" si="61"/>
        <v>#NAME?</v>
      </c>
      <c r="AG392" s="199">
        <f t="shared" si="62"/>
        <v>52010802</v>
      </c>
      <c r="AH392" s="199" t="e" cm="1">
        <f t="array" aca="1" ref="AH392" ca="1">_xlfn.XLOOKUP(PAA[[#This Row],[RCP-RUBRO]],COMPROMISOS_2025[[#All],[concatenado]],COMPROMISOS_2025[[#All],[Total pagado]],"",0)</f>
        <v>#NAME?</v>
      </c>
      <c r="AI392" s="199" t="e" cm="1">
        <f t="array" aca="1" ref="AI392" ca="1">_xlfn.XLOOKUP(PAA[[#This Row],[RCP-RUBRO]],COMPROMISOS_2025[[#All],[concatenado]],COMPROMISOS_2025[[#All],[Total Comprometido]],"",0)</f>
        <v>#NAME?</v>
      </c>
    </row>
    <row r="393" spans="1:35" s="50" customFormat="1" ht="42" hidden="1" customHeight="1" x14ac:dyDescent="0.25">
      <c r="A393" s="199">
        <v>293</v>
      </c>
      <c r="B393" s="200">
        <v>80111600</v>
      </c>
      <c r="C393" s="199" t="str">
        <f>VLOOKUP(PAA[[#This Row],[PROYECTO (formulado)2]],PROYECTOS!$G$1:$L$32,6,0)</f>
        <v>SUBGERENCIA DE ALTOS LOGROS Y DEPORTE ASOCIADO</v>
      </c>
      <c r="D393" s="199" t="str">
        <f>+IF(PAA[[#This Row],[UNIDAD DE CONTRATACION (formulado)]]="Subgerencia Administrativa y Financiera","FUNCIONAMIENTO","INVERSIÓN")</f>
        <v>INVERSIÓN</v>
      </c>
      <c r="E393" s="201" t="str">
        <f>VLOOKUP(Q393,PROYECTOS!$G$1:$K$32,5,0)</f>
        <v>Apoyo técnico a atletas y para-atletas que representan en alto rendimiento deportivo al departamento de Antioquia</v>
      </c>
      <c r="F393" s="201">
        <f>VLOOKUP(E393,PROYECTOS!$K$1:$M$32,3,0)</f>
        <v>2024003050084</v>
      </c>
      <c r="G393" s="202" t="s">
        <v>450</v>
      </c>
      <c r="H393" s="202" t="str">
        <f>VLOOKUP(Q393,PROYECTOS!$V$1:$W$32,2,0)</f>
        <v>050079</v>
      </c>
      <c r="I393" s="203">
        <v>40747479</v>
      </c>
      <c r="J393" s="204" t="s">
        <v>491</v>
      </c>
      <c r="K393" s="199" t="str">
        <f t="shared" ca="1" si="57"/>
        <v>CONTRATADO</v>
      </c>
      <c r="L393" s="199" t="s">
        <v>112</v>
      </c>
      <c r="M393" s="199" t="s">
        <v>113</v>
      </c>
      <c r="N393" s="205" t="s">
        <v>452</v>
      </c>
      <c r="O393" s="204">
        <f>VLOOKUP(N393,RUBROS[#All],3,0)</f>
        <v>62</v>
      </c>
      <c r="P393" s="206" t="str">
        <f>VLOOKUP(N393,RUBROS[#All],2,0)</f>
        <v>Apoyo técnico a atletas y para-atletas que representan en alto rendimiento deportivo al departamento de Antioquia. - Servicios para la comunidad, sociales y personales</v>
      </c>
      <c r="Q393" s="199" t="str">
        <f t="shared" si="58"/>
        <v>84</v>
      </c>
      <c r="R393" s="199" t="str">
        <f t="shared" si="59"/>
        <v>0-205400</v>
      </c>
      <c r="S393" s="207">
        <v>294</v>
      </c>
      <c r="T393" s="208" t="s">
        <v>220</v>
      </c>
      <c r="U393" s="209" t="e">
        <f ca="1">_xlfn.XLOOKUP(PAA[[#This Row],[ITEM]],Contrato!A:A,Contrato!Q:Q,"",0)</f>
        <v>#NAME?</v>
      </c>
      <c r="V393" s="199" t="s">
        <v>47</v>
      </c>
      <c r="W393" s="199" t="s">
        <v>154</v>
      </c>
      <c r="X393" s="199" t="s">
        <v>154</v>
      </c>
      <c r="Y393" s="210" t="e">
        <f ca="1">_xlfn.XLOOKUP(PAA[[#This Row],[ITEM]],Contrato!A:A,Contrato!B:B,"",0)</f>
        <v>#NAME?</v>
      </c>
      <c r="Z393" s="199" t="e">
        <f ca="1">_xlfn.XLOOKUP(PAA[[#This Row],[ITEM]],Contrato!A:A,Contrato!G:G,"",0)</f>
        <v>#NAME?</v>
      </c>
      <c r="AA393" s="199" t="e">
        <f ca="1">_xlfn.XLOOKUP(PAA[[#This Row],[ITEM]],Contrato!A:A,Contrato!T:T,"",0)</f>
        <v>#NAME?</v>
      </c>
      <c r="AB393" s="210" t="e">
        <f ca="1">+MAX(PAA[[#This Row],[Comprometido Contrato]],)</f>
        <v>#NAME?</v>
      </c>
      <c r="AC393" s="210" t="str">
        <f t="shared" ca="1" si="63"/>
        <v/>
      </c>
      <c r="AD393" s="210" t="e">
        <f ca="1">+MAX(PAA[[#This Row],[Pago por Contrato]],)</f>
        <v>#NAME?</v>
      </c>
      <c r="AE393" s="210" t="str">
        <f t="shared" ca="1" si="60"/>
        <v/>
      </c>
      <c r="AF393" s="199" t="e">
        <f t="shared" ca="1" si="61"/>
        <v>#NAME?</v>
      </c>
      <c r="AG393" s="199">
        <f t="shared" si="62"/>
        <v>52010802</v>
      </c>
      <c r="AH393" s="199" t="e" cm="1">
        <f t="array" aca="1" ref="AH393" ca="1">_xlfn.XLOOKUP(PAA[[#This Row],[RCP-RUBRO]],COMPROMISOS_2025[[#All],[concatenado]],COMPROMISOS_2025[[#All],[Total pagado]],"",0)</f>
        <v>#NAME?</v>
      </c>
      <c r="AI393" s="199" t="e" cm="1">
        <f t="array" aca="1" ref="AI393" ca="1">_xlfn.XLOOKUP(PAA[[#This Row],[RCP-RUBRO]],COMPROMISOS_2025[[#All],[concatenado]],COMPROMISOS_2025[[#All],[Total Comprometido]],"",0)</f>
        <v>#NAME?</v>
      </c>
    </row>
    <row r="394" spans="1:35" s="50" customFormat="1" ht="42" hidden="1" customHeight="1" x14ac:dyDescent="0.25">
      <c r="A394" s="199">
        <v>294</v>
      </c>
      <c r="B394" s="200">
        <v>80111600</v>
      </c>
      <c r="C394" s="199" t="str">
        <f>VLOOKUP(PAA[[#This Row],[PROYECTO (formulado)2]],PROYECTOS!$G$1:$L$32,6,0)</f>
        <v>SUBGERENCIA DE ALTOS LOGROS Y DEPORTE ASOCIADO</v>
      </c>
      <c r="D394" s="199" t="str">
        <f>+IF(PAA[[#This Row],[UNIDAD DE CONTRATACION (formulado)]]="Subgerencia Administrativa y Financiera","FUNCIONAMIENTO","INVERSIÓN")</f>
        <v>INVERSIÓN</v>
      </c>
      <c r="E394" s="201" t="str">
        <f>VLOOKUP(Q394,PROYECTOS!$G$1:$K$32,5,0)</f>
        <v>Apoyo técnico a atletas y para-atletas que representan en alto rendimiento deportivo al departamento de Antioquia</v>
      </c>
      <c r="F394" s="201">
        <f>VLOOKUP(E394,PROYECTOS!$K$1:$M$32,3,0)</f>
        <v>2024003050084</v>
      </c>
      <c r="G394" s="202" t="s">
        <v>450</v>
      </c>
      <c r="H394" s="202" t="str">
        <f>VLOOKUP(Q394,PROYECTOS!$V$1:$W$32,2,0)</f>
        <v>050079</v>
      </c>
      <c r="I394" s="203">
        <v>26545593</v>
      </c>
      <c r="J394" s="204" t="s">
        <v>492</v>
      </c>
      <c r="K394" s="199" t="str">
        <f t="shared" ca="1" si="57"/>
        <v>CONTRATADO</v>
      </c>
      <c r="L394" s="199" t="s">
        <v>112</v>
      </c>
      <c r="M394" s="199" t="s">
        <v>113</v>
      </c>
      <c r="N394" s="205" t="s">
        <v>452</v>
      </c>
      <c r="O394" s="204">
        <f>VLOOKUP(N394,RUBROS[#All],3,0)</f>
        <v>62</v>
      </c>
      <c r="P394" s="206" t="str">
        <f>VLOOKUP(N394,RUBROS[#All],2,0)</f>
        <v>Apoyo técnico a atletas y para-atletas que representan en alto rendimiento deportivo al departamento de Antioquia. - Servicios para la comunidad, sociales y personales</v>
      </c>
      <c r="Q394" s="199" t="str">
        <f t="shared" si="58"/>
        <v>84</v>
      </c>
      <c r="R394" s="199" t="str">
        <f t="shared" si="59"/>
        <v>0-205400</v>
      </c>
      <c r="S394" s="207">
        <v>294</v>
      </c>
      <c r="T394" s="208" t="s">
        <v>220</v>
      </c>
      <c r="U394" s="209" t="e">
        <f ca="1">_xlfn.XLOOKUP(PAA[[#This Row],[ITEM]],Contrato!A:A,Contrato!Q:Q,"",0)</f>
        <v>#NAME?</v>
      </c>
      <c r="V394" s="199" t="s">
        <v>47</v>
      </c>
      <c r="W394" s="199" t="s">
        <v>154</v>
      </c>
      <c r="X394" s="199" t="s">
        <v>154</v>
      </c>
      <c r="Y394" s="210" t="e">
        <f ca="1">_xlfn.XLOOKUP(PAA[[#This Row],[ITEM]],Contrato!A:A,Contrato!B:B,"",0)</f>
        <v>#NAME?</v>
      </c>
      <c r="Z394" s="199" t="e">
        <f ca="1">_xlfn.XLOOKUP(PAA[[#This Row],[ITEM]],Contrato!A:A,Contrato!G:G,"",0)</f>
        <v>#NAME?</v>
      </c>
      <c r="AA394" s="199" t="e">
        <f ca="1">_xlfn.XLOOKUP(PAA[[#This Row],[ITEM]],Contrato!A:A,Contrato!T:T,"",0)</f>
        <v>#NAME?</v>
      </c>
      <c r="AB394" s="210" t="e">
        <f ca="1">+MAX(PAA[[#This Row],[Comprometido Contrato]],)</f>
        <v>#NAME?</v>
      </c>
      <c r="AC394" s="210" t="str">
        <f t="shared" ca="1" si="63"/>
        <v/>
      </c>
      <c r="AD394" s="210" t="e">
        <f ca="1">+MAX(PAA[[#This Row],[Pago por Contrato]],)</f>
        <v>#NAME?</v>
      </c>
      <c r="AE394" s="210" t="str">
        <f t="shared" ca="1" si="60"/>
        <v/>
      </c>
      <c r="AF394" s="199" t="e">
        <f t="shared" ca="1" si="61"/>
        <v>#NAME?</v>
      </c>
      <c r="AG394" s="199">
        <f t="shared" si="62"/>
        <v>52010802</v>
      </c>
      <c r="AH394" s="199" t="e" cm="1">
        <f t="array" aca="1" ref="AH394" ca="1">_xlfn.XLOOKUP(PAA[[#This Row],[RCP-RUBRO]],COMPROMISOS_2025[[#All],[concatenado]],COMPROMISOS_2025[[#All],[Total pagado]],"",0)</f>
        <v>#NAME?</v>
      </c>
      <c r="AI394" s="199" t="e" cm="1">
        <f t="array" aca="1" ref="AI394" ca="1">_xlfn.XLOOKUP(PAA[[#This Row],[RCP-RUBRO]],COMPROMISOS_2025[[#All],[concatenado]],COMPROMISOS_2025[[#All],[Total Comprometido]],"",0)</f>
        <v>#NAME?</v>
      </c>
    </row>
    <row r="395" spans="1:35" s="50" customFormat="1" ht="42" hidden="1" customHeight="1" x14ac:dyDescent="0.25">
      <c r="A395" s="199">
        <v>295</v>
      </c>
      <c r="B395" s="200">
        <v>80111600</v>
      </c>
      <c r="C395" s="199" t="str">
        <f>VLOOKUP(PAA[[#This Row],[PROYECTO (formulado)2]],PROYECTOS!$G$1:$L$32,6,0)</f>
        <v>SUBGERENCIA DE ALTOS LOGROS Y DEPORTE ASOCIADO</v>
      </c>
      <c r="D395" s="199" t="str">
        <f>+IF(PAA[[#This Row],[UNIDAD DE CONTRATACION (formulado)]]="Subgerencia Administrativa y Financiera","FUNCIONAMIENTO","INVERSIÓN")</f>
        <v>INVERSIÓN</v>
      </c>
      <c r="E395" s="201" t="str">
        <f>VLOOKUP(Q395,PROYECTOS!$G$1:$K$32,5,0)</f>
        <v>Apoyo técnico a atletas y para-atletas que representan en alto rendimiento deportivo al departamento de Antioquia</v>
      </c>
      <c r="F395" s="201">
        <f>VLOOKUP(E395,PROYECTOS!$K$1:$M$32,3,0)</f>
        <v>2024003050084</v>
      </c>
      <c r="G395" s="202" t="s">
        <v>450</v>
      </c>
      <c r="H395" s="202" t="str">
        <f>VLOOKUP(Q395,PROYECTOS!$V$1:$W$32,2,0)</f>
        <v>050079</v>
      </c>
      <c r="I395" s="203">
        <v>50609170</v>
      </c>
      <c r="J395" s="204" t="s">
        <v>493</v>
      </c>
      <c r="K395" s="199" t="str">
        <f t="shared" ca="1" si="57"/>
        <v>CONTRATADO</v>
      </c>
      <c r="L395" s="199" t="s">
        <v>112</v>
      </c>
      <c r="M395" s="199" t="s">
        <v>113</v>
      </c>
      <c r="N395" s="205" t="s">
        <v>452</v>
      </c>
      <c r="O395" s="204">
        <f>VLOOKUP(N395,RUBROS[#All],3,0)</f>
        <v>62</v>
      </c>
      <c r="P395" s="206" t="str">
        <f>VLOOKUP(N395,RUBROS[#All],2,0)</f>
        <v>Apoyo técnico a atletas y para-atletas que representan en alto rendimiento deportivo al departamento de Antioquia. - Servicios para la comunidad, sociales y personales</v>
      </c>
      <c r="Q395" s="199" t="str">
        <f t="shared" si="58"/>
        <v>84</v>
      </c>
      <c r="R395" s="199" t="str">
        <f t="shared" si="59"/>
        <v>0-205400</v>
      </c>
      <c r="S395" s="207">
        <v>294</v>
      </c>
      <c r="T395" s="208" t="s">
        <v>220</v>
      </c>
      <c r="U395" s="209" t="e">
        <f ca="1">_xlfn.XLOOKUP(PAA[[#This Row],[ITEM]],Contrato!A:A,Contrato!Q:Q,"",0)</f>
        <v>#NAME?</v>
      </c>
      <c r="V395" s="199" t="s">
        <v>47</v>
      </c>
      <c r="W395" s="199" t="s">
        <v>154</v>
      </c>
      <c r="X395" s="199" t="s">
        <v>154</v>
      </c>
      <c r="Y395" s="210" t="e">
        <f ca="1">_xlfn.XLOOKUP(PAA[[#This Row],[ITEM]],Contrato!A:A,Contrato!B:B,"",0)</f>
        <v>#NAME?</v>
      </c>
      <c r="Z395" s="199" t="e">
        <f ca="1">_xlfn.XLOOKUP(PAA[[#This Row],[ITEM]],Contrato!A:A,Contrato!G:G,"",0)</f>
        <v>#NAME?</v>
      </c>
      <c r="AA395" s="199" t="e">
        <f ca="1">_xlfn.XLOOKUP(PAA[[#This Row],[ITEM]],Contrato!A:A,Contrato!T:T,"",0)</f>
        <v>#NAME?</v>
      </c>
      <c r="AB395" s="210" t="e">
        <f ca="1">+MAX(PAA[[#This Row],[Comprometido Contrato]],)</f>
        <v>#NAME?</v>
      </c>
      <c r="AC395" s="210" t="str">
        <f t="shared" ca="1" si="63"/>
        <v/>
      </c>
      <c r="AD395" s="210" t="e">
        <f ca="1">+MAX(PAA[[#This Row],[Pago por Contrato]],)</f>
        <v>#NAME?</v>
      </c>
      <c r="AE395" s="210" t="str">
        <f t="shared" ca="1" si="60"/>
        <v/>
      </c>
      <c r="AF395" s="199" t="e">
        <f t="shared" ca="1" si="61"/>
        <v>#NAME?</v>
      </c>
      <c r="AG395" s="199">
        <f t="shared" si="62"/>
        <v>52010802</v>
      </c>
      <c r="AH395" s="199" t="e" cm="1">
        <f t="array" aca="1" ref="AH395" ca="1">_xlfn.XLOOKUP(PAA[[#This Row],[RCP-RUBRO]],COMPROMISOS_2025[[#All],[concatenado]],COMPROMISOS_2025[[#All],[Total pagado]],"",0)</f>
        <v>#NAME?</v>
      </c>
      <c r="AI395" s="199" t="e" cm="1">
        <f t="array" aca="1" ref="AI395" ca="1">_xlfn.XLOOKUP(PAA[[#This Row],[RCP-RUBRO]],COMPROMISOS_2025[[#All],[concatenado]],COMPROMISOS_2025[[#All],[Total Comprometido]],"",0)</f>
        <v>#NAME?</v>
      </c>
    </row>
    <row r="396" spans="1:35" s="50" customFormat="1" ht="42" hidden="1" customHeight="1" x14ac:dyDescent="0.25">
      <c r="A396" s="199">
        <v>296</v>
      </c>
      <c r="B396" s="200">
        <v>80111600</v>
      </c>
      <c r="C396" s="199" t="str">
        <f>VLOOKUP(PAA[[#This Row],[PROYECTO (formulado)2]],PROYECTOS!$G$1:$L$32,6,0)</f>
        <v>SUBGERENCIA DE ALTOS LOGROS Y DEPORTE ASOCIADO</v>
      </c>
      <c r="D396" s="199" t="str">
        <f>+IF(PAA[[#This Row],[UNIDAD DE CONTRATACION (formulado)]]="Subgerencia Administrativa y Financiera","FUNCIONAMIENTO","INVERSIÓN")</f>
        <v>INVERSIÓN</v>
      </c>
      <c r="E396" s="201" t="str">
        <f>VLOOKUP(Q396,PROYECTOS!$G$1:$K$32,5,0)</f>
        <v>Apoyo técnico a atletas y para-atletas que representan en alto rendimiento deportivo al departamento de Antioquia</v>
      </c>
      <c r="F396" s="201">
        <f>VLOOKUP(E396,PROYECTOS!$K$1:$M$32,3,0)</f>
        <v>2024003050084</v>
      </c>
      <c r="G396" s="202" t="s">
        <v>450</v>
      </c>
      <c r="H396" s="202" t="str">
        <f>VLOOKUP(Q396,PROYECTOS!$V$1:$W$32,2,0)</f>
        <v>050079</v>
      </c>
      <c r="I396" s="203">
        <v>50609170</v>
      </c>
      <c r="J396" s="204" t="s">
        <v>494</v>
      </c>
      <c r="K396" s="199" t="str">
        <f t="shared" ca="1" si="57"/>
        <v>CONTRATADO</v>
      </c>
      <c r="L396" s="199" t="s">
        <v>112</v>
      </c>
      <c r="M396" s="199" t="s">
        <v>113</v>
      </c>
      <c r="N396" s="205" t="s">
        <v>452</v>
      </c>
      <c r="O396" s="204">
        <f>VLOOKUP(N396,RUBROS[#All],3,0)</f>
        <v>62</v>
      </c>
      <c r="P396" s="206" t="str">
        <f>VLOOKUP(N396,RUBROS[#All],2,0)</f>
        <v>Apoyo técnico a atletas y para-atletas que representan en alto rendimiento deportivo al departamento de Antioquia. - Servicios para la comunidad, sociales y personales</v>
      </c>
      <c r="Q396" s="199" t="str">
        <f t="shared" si="58"/>
        <v>84</v>
      </c>
      <c r="R396" s="199" t="str">
        <f t="shared" si="59"/>
        <v>0-205400</v>
      </c>
      <c r="S396" s="207">
        <v>294</v>
      </c>
      <c r="T396" s="208" t="s">
        <v>220</v>
      </c>
      <c r="U396" s="209" t="e">
        <f ca="1">_xlfn.XLOOKUP(PAA[[#This Row],[ITEM]],Contrato!A:A,Contrato!Q:Q,"",0)</f>
        <v>#NAME?</v>
      </c>
      <c r="V396" s="199" t="s">
        <v>47</v>
      </c>
      <c r="W396" s="199" t="s">
        <v>154</v>
      </c>
      <c r="X396" s="199" t="s">
        <v>154</v>
      </c>
      <c r="Y396" s="210" t="e">
        <f ca="1">_xlfn.XLOOKUP(PAA[[#This Row],[ITEM]],Contrato!A:A,Contrato!B:B,"",0)</f>
        <v>#NAME?</v>
      </c>
      <c r="Z396" s="199" t="e">
        <f ca="1">_xlfn.XLOOKUP(PAA[[#This Row],[ITEM]],Contrato!A:A,Contrato!G:G,"",0)</f>
        <v>#NAME?</v>
      </c>
      <c r="AA396" s="199" t="e">
        <f ca="1">_xlfn.XLOOKUP(PAA[[#This Row],[ITEM]],Contrato!A:A,Contrato!T:T,"",0)</f>
        <v>#NAME?</v>
      </c>
      <c r="AB396" s="210" t="e">
        <f ca="1">+MAX(PAA[[#This Row],[Comprometido Contrato]],)</f>
        <v>#NAME?</v>
      </c>
      <c r="AC396" s="210" t="str">
        <f t="shared" ca="1" si="63"/>
        <v/>
      </c>
      <c r="AD396" s="210" t="e">
        <f ca="1">+MAX(PAA[[#This Row],[Pago por Contrato]],)</f>
        <v>#NAME?</v>
      </c>
      <c r="AE396" s="210" t="str">
        <f t="shared" ca="1" si="60"/>
        <v/>
      </c>
      <c r="AF396" s="199" t="e">
        <f t="shared" ca="1" si="61"/>
        <v>#NAME?</v>
      </c>
      <c r="AG396" s="199">
        <f t="shared" si="62"/>
        <v>52010802</v>
      </c>
      <c r="AH396" s="199" t="e" cm="1">
        <f t="array" aca="1" ref="AH396" ca="1">_xlfn.XLOOKUP(PAA[[#This Row],[RCP-RUBRO]],COMPROMISOS_2025[[#All],[concatenado]],COMPROMISOS_2025[[#All],[Total pagado]],"",0)</f>
        <v>#NAME?</v>
      </c>
      <c r="AI396" s="199" t="e" cm="1">
        <f t="array" aca="1" ref="AI396" ca="1">_xlfn.XLOOKUP(PAA[[#This Row],[RCP-RUBRO]],COMPROMISOS_2025[[#All],[concatenado]],COMPROMISOS_2025[[#All],[Total Comprometido]],"",0)</f>
        <v>#NAME?</v>
      </c>
    </row>
    <row r="397" spans="1:35" s="50" customFormat="1" ht="42" hidden="1" customHeight="1" x14ac:dyDescent="0.25">
      <c r="A397" s="199">
        <v>297</v>
      </c>
      <c r="B397" s="200">
        <v>80111600</v>
      </c>
      <c r="C397" s="199" t="str">
        <f>VLOOKUP(PAA[[#This Row],[PROYECTO (formulado)2]],PROYECTOS!$G$1:$L$32,6,0)</f>
        <v>SUBGERENCIA DE ALTOS LOGROS Y DEPORTE ASOCIADO</v>
      </c>
      <c r="D397" s="199" t="str">
        <f>+IF(PAA[[#This Row],[UNIDAD DE CONTRATACION (formulado)]]="Subgerencia Administrativa y Financiera","FUNCIONAMIENTO","INVERSIÓN")</f>
        <v>INVERSIÓN</v>
      </c>
      <c r="E397" s="201" t="str">
        <f>VLOOKUP(Q397,PROYECTOS!$G$1:$K$32,5,0)</f>
        <v>Apoyo técnico a atletas y para-atletas que representan en alto rendimiento deportivo al departamento de Antioquia</v>
      </c>
      <c r="F397" s="201">
        <f>VLOOKUP(E397,PROYECTOS!$K$1:$M$32,3,0)</f>
        <v>2024003050084</v>
      </c>
      <c r="G397" s="202" t="s">
        <v>450</v>
      </c>
      <c r="H397" s="202" t="str">
        <f>VLOOKUP(Q397,PROYECTOS!$V$1:$W$32,2,0)</f>
        <v>050079</v>
      </c>
      <c r="I397" s="203">
        <v>50609170</v>
      </c>
      <c r="J397" s="204" t="s">
        <v>495</v>
      </c>
      <c r="K397" s="199" t="str">
        <f t="shared" ca="1" si="57"/>
        <v>CONTRATADO</v>
      </c>
      <c r="L397" s="199" t="s">
        <v>112</v>
      </c>
      <c r="M397" s="199" t="s">
        <v>113</v>
      </c>
      <c r="N397" s="205" t="s">
        <v>452</v>
      </c>
      <c r="O397" s="204">
        <f>VLOOKUP(N397,RUBROS[#All],3,0)</f>
        <v>62</v>
      </c>
      <c r="P397" s="206" t="str">
        <f>VLOOKUP(N397,RUBROS[#All],2,0)</f>
        <v>Apoyo técnico a atletas y para-atletas que representan en alto rendimiento deportivo al departamento de Antioquia. - Servicios para la comunidad, sociales y personales</v>
      </c>
      <c r="Q397" s="199" t="str">
        <f t="shared" si="58"/>
        <v>84</v>
      </c>
      <c r="R397" s="199" t="str">
        <f t="shared" si="59"/>
        <v>0-205400</v>
      </c>
      <c r="S397" s="207">
        <v>294</v>
      </c>
      <c r="T397" s="208" t="s">
        <v>220</v>
      </c>
      <c r="U397" s="209" t="e">
        <f ca="1">_xlfn.XLOOKUP(PAA[[#This Row],[ITEM]],Contrato!A:A,Contrato!Q:Q,"",0)</f>
        <v>#NAME?</v>
      </c>
      <c r="V397" s="199" t="s">
        <v>47</v>
      </c>
      <c r="W397" s="199" t="s">
        <v>154</v>
      </c>
      <c r="X397" s="199" t="s">
        <v>154</v>
      </c>
      <c r="Y397" s="210" t="e">
        <f ca="1">_xlfn.XLOOKUP(PAA[[#This Row],[ITEM]],Contrato!A:A,Contrato!B:B,"",0)</f>
        <v>#NAME?</v>
      </c>
      <c r="Z397" s="199" t="e">
        <f ca="1">_xlfn.XLOOKUP(PAA[[#This Row],[ITEM]],Contrato!A:A,Contrato!G:G,"",0)</f>
        <v>#NAME?</v>
      </c>
      <c r="AA397" s="199" t="e">
        <f ca="1">_xlfn.XLOOKUP(PAA[[#This Row],[ITEM]],Contrato!A:A,Contrato!T:T,"",0)</f>
        <v>#NAME?</v>
      </c>
      <c r="AB397" s="210" t="e">
        <f ca="1">+MAX(PAA[[#This Row],[Comprometido Contrato]],)</f>
        <v>#NAME?</v>
      </c>
      <c r="AC397" s="210" t="str">
        <f t="shared" ca="1" si="63"/>
        <v/>
      </c>
      <c r="AD397" s="210" t="e">
        <f ca="1">+MAX(PAA[[#This Row],[Pago por Contrato]],)</f>
        <v>#NAME?</v>
      </c>
      <c r="AE397" s="210" t="str">
        <f t="shared" ca="1" si="60"/>
        <v/>
      </c>
      <c r="AF397" s="199" t="e">
        <f t="shared" ca="1" si="61"/>
        <v>#NAME?</v>
      </c>
      <c r="AG397" s="199">
        <f t="shared" si="62"/>
        <v>52010802</v>
      </c>
      <c r="AH397" s="199" t="e" cm="1">
        <f t="array" aca="1" ref="AH397" ca="1">_xlfn.XLOOKUP(PAA[[#This Row],[RCP-RUBRO]],COMPROMISOS_2025[[#All],[concatenado]],COMPROMISOS_2025[[#All],[Total pagado]],"",0)</f>
        <v>#NAME?</v>
      </c>
      <c r="AI397" s="199" t="e" cm="1">
        <f t="array" aca="1" ref="AI397" ca="1">_xlfn.XLOOKUP(PAA[[#This Row],[RCP-RUBRO]],COMPROMISOS_2025[[#All],[concatenado]],COMPROMISOS_2025[[#All],[Total Comprometido]],"",0)</f>
        <v>#NAME?</v>
      </c>
    </row>
    <row r="398" spans="1:35" s="50" customFormat="1" ht="42" hidden="1" customHeight="1" x14ac:dyDescent="0.25">
      <c r="A398" s="199">
        <v>298</v>
      </c>
      <c r="B398" s="200">
        <v>80111600</v>
      </c>
      <c r="C398" s="199" t="str">
        <f>VLOOKUP(PAA[[#This Row],[PROYECTO (formulado)2]],PROYECTOS!$G$1:$L$32,6,0)</f>
        <v>SUBGERENCIA DE ALTOS LOGROS Y DEPORTE ASOCIADO</v>
      </c>
      <c r="D398" s="199" t="str">
        <f>+IF(PAA[[#This Row],[UNIDAD DE CONTRATACION (formulado)]]="Subgerencia Administrativa y Financiera","FUNCIONAMIENTO","INVERSIÓN")</f>
        <v>INVERSIÓN</v>
      </c>
      <c r="E398" s="201" t="str">
        <f>VLOOKUP(Q398,PROYECTOS!$G$1:$K$32,5,0)</f>
        <v>Apoyo técnico a atletas y para-atletas que representan en alto rendimiento deportivo al departamento de Antioquia</v>
      </c>
      <c r="F398" s="201">
        <f>VLOOKUP(E398,PROYECTOS!$K$1:$M$32,3,0)</f>
        <v>2024003050084</v>
      </c>
      <c r="G398" s="202" t="s">
        <v>450</v>
      </c>
      <c r="H398" s="202" t="str">
        <f>VLOOKUP(Q398,PROYECTOS!$V$1:$W$32,2,0)</f>
        <v>050079</v>
      </c>
      <c r="I398" s="203">
        <v>50609170</v>
      </c>
      <c r="J398" s="204" t="s">
        <v>496</v>
      </c>
      <c r="K398" s="199" t="str">
        <f t="shared" ca="1" si="57"/>
        <v>CONTRATADO</v>
      </c>
      <c r="L398" s="199" t="s">
        <v>112</v>
      </c>
      <c r="M398" s="199" t="s">
        <v>113</v>
      </c>
      <c r="N398" s="205" t="s">
        <v>452</v>
      </c>
      <c r="O398" s="204">
        <f>VLOOKUP(N398,RUBROS[#All],3,0)</f>
        <v>62</v>
      </c>
      <c r="P398" s="206" t="str">
        <f>VLOOKUP(N398,RUBROS[#All],2,0)</f>
        <v>Apoyo técnico a atletas y para-atletas que representan en alto rendimiento deportivo al departamento de Antioquia. - Servicios para la comunidad, sociales y personales</v>
      </c>
      <c r="Q398" s="199" t="str">
        <f t="shared" si="58"/>
        <v>84</v>
      </c>
      <c r="R398" s="199" t="str">
        <f t="shared" si="59"/>
        <v>0-205400</v>
      </c>
      <c r="S398" s="207">
        <v>294</v>
      </c>
      <c r="T398" s="208" t="s">
        <v>220</v>
      </c>
      <c r="U398" s="209" t="e">
        <f ca="1">_xlfn.XLOOKUP(PAA[[#This Row],[ITEM]],Contrato!A:A,Contrato!Q:Q,"",0)</f>
        <v>#NAME?</v>
      </c>
      <c r="V398" s="199" t="s">
        <v>47</v>
      </c>
      <c r="W398" s="199" t="s">
        <v>154</v>
      </c>
      <c r="X398" s="199" t="s">
        <v>154</v>
      </c>
      <c r="Y398" s="210" t="e">
        <f ca="1">_xlfn.XLOOKUP(PAA[[#This Row],[ITEM]],Contrato!A:A,Contrato!B:B,"",0)</f>
        <v>#NAME?</v>
      </c>
      <c r="Z398" s="199" t="e">
        <f ca="1">_xlfn.XLOOKUP(PAA[[#This Row],[ITEM]],Contrato!A:A,Contrato!G:G,"",0)</f>
        <v>#NAME?</v>
      </c>
      <c r="AA398" s="199" t="e">
        <f ca="1">_xlfn.XLOOKUP(PAA[[#This Row],[ITEM]],Contrato!A:A,Contrato!T:T,"",0)</f>
        <v>#NAME?</v>
      </c>
      <c r="AB398" s="210" t="e">
        <f ca="1">+MAX(PAA[[#This Row],[Comprometido Contrato]],)</f>
        <v>#NAME?</v>
      </c>
      <c r="AC398" s="210" t="str">
        <f t="shared" ca="1" si="63"/>
        <v/>
      </c>
      <c r="AD398" s="210" t="e">
        <f ca="1">+MAX(PAA[[#This Row],[Pago por Contrato]],)</f>
        <v>#NAME?</v>
      </c>
      <c r="AE398" s="210" t="str">
        <f t="shared" ca="1" si="60"/>
        <v/>
      </c>
      <c r="AF398" s="199" t="e">
        <f t="shared" ca="1" si="61"/>
        <v>#NAME?</v>
      </c>
      <c r="AG398" s="199">
        <f t="shared" si="62"/>
        <v>52010802</v>
      </c>
      <c r="AH398" s="199" t="e" cm="1">
        <f t="array" aca="1" ref="AH398" ca="1">_xlfn.XLOOKUP(PAA[[#This Row],[RCP-RUBRO]],COMPROMISOS_2025[[#All],[concatenado]],COMPROMISOS_2025[[#All],[Total pagado]],"",0)</f>
        <v>#NAME?</v>
      </c>
      <c r="AI398" s="199" t="e" cm="1">
        <f t="array" aca="1" ref="AI398" ca="1">_xlfn.XLOOKUP(PAA[[#This Row],[RCP-RUBRO]],COMPROMISOS_2025[[#All],[concatenado]],COMPROMISOS_2025[[#All],[Total Comprometido]],"",0)</f>
        <v>#NAME?</v>
      </c>
    </row>
    <row r="399" spans="1:35" s="50" customFormat="1" ht="42" hidden="1" customHeight="1" x14ac:dyDescent="0.25">
      <c r="A399" s="199">
        <v>299</v>
      </c>
      <c r="B399" s="200">
        <v>80111600</v>
      </c>
      <c r="C399" s="199" t="str">
        <f>VLOOKUP(PAA[[#This Row],[PROYECTO (formulado)2]],PROYECTOS!$G$1:$L$32,6,0)</f>
        <v>SUBGERENCIA DE ALTOS LOGROS Y DEPORTE ASOCIADO</v>
      </c>
      <c r="D399" s="199" t="str">
        <f>+IF(PAA[[#This Row],[UNIDAD DE CONTRATACION (formulado)]]="Subgerencia Administrativa y Financiera","FUNCIONAMIENTO","INVERSIÓN")</f>
        <v>INVERSIÓN</v>
      </c>
      <c r="E399" s="201" t="str">
        <f>VLOOKUP(Q399,PROYECTOS!$G$1:$K$32,5,0)</f>
        <v>Apoyo técnico a atletas y para-atletas que representan en alto rendimiento deportivo al departamento de Antioquia</v>
      </c>
      <c r="F399" s="201">
        <f>VLOOKUP(E399,PROYECTOS!$K$1:$M$32,3,0)</f>
        <v>2024003050084</v>
      </c>
      <c r="G399" s="202" t="s">
        <v>450</v>
      </c>
      <c r="H399" s="202" t="str">
        <f>VLOOKUP(Q399,PROYECTOS!$V$1:$W$32,2,0)</f>
        <v>050079</v>
      </c>
      <c r="I399" s="203">
        <v>61147776</v>
      </c>
      <c r="J399" s="204" t="s">
        <v>497</v>
      </c>
      <c r="K399" s="199" t="str">
        <f t="shared" ca="1" si="57"/>
        <v>CONTRATADO</v>
      </c>
      <c r="L399" s="199" t="s">
        <v>112</v>
      </c>
      <c r="M399" s="199" t="s">
        <v>113</v>
      </c>
      <c r="N399" s="205" t="s">
        <v>452</v>
      </c>
      <c r="O399" s="204">
        <f>VLOOKUP(N399,RUBROS[#All],3,0)</f>
        <v>62</v>
      </c>
      <c r="P399" s="206" t="str">
        <f>VLOOKUP(N399,RUBROS[#All],2,0)</f>
        <v>Apoyo técnico a atletas y para-atletas que representan en alto rendimiento deportivo al departamento de Antioquia. - Servicios para la comunidad, sociales y personales</v>
      </c>
      <c r="Q399" s="199" t="str">
        <f t="shared" si="58"/>
        <v>84</v>
      </c>
      <c r="R399" s="199" t="str">
        <f t="shared" si="59"/>
        <v>0-205400</v>
      </c>
      <c r="S399" s="207">
        <v>294</v>
      </c>
      <c r="T399" s="208" t="s">
        <v>220</v>
      </c>
      <c r="U399" s="209" t="e">
        <f ca="1">_xlfn.XLOOKUP(PAA[[#This Row],[ITEM]],Contrato!A:A,Contrato!Q:Q,"",0)</f>
        <v>#NAME?</v>
      </c>
      <c r="V399" s="199" t="s">
        <v>47</v>
      </c>
      <c r="W399" s="199" t="s">
        <v>154</v>
      </c>
      <c r="X399" s="199" t="s">
        <v>154</v>
      </c>
      <c r="Y399" s="210" t="e">
        <f ca="1">_xlfn.XLOOKUP(PAA[[#This Row],[ITEM]],Contrato!A:A,Contrato!B:B,"",0)</f>
        <v>#NAME?</v>
      </c>
      <c r="Z399" s="199" t="e">
        <f ca="1">_xlfn.XLOOKUP(PAA[[#This Row],[ITEM]],Contrato!A:A,Contrato!G:G,"",0)</f>
        <v>#NAME?</v>
      </c>
      <c r="AA399" s="199" t="e">
        <f ca="1">_xlfn.XLOOKUP(PAA[[#This Row],[ITEM]],Contrato!A:A,Contrato!T:T,"",0)</f>
        <v>#NAME?</v>
      </c>
      <c r="AB399" s="210" t="e">
        <f ca="1">+MAX(PAA[[#This Row],[Comprometido Contrato]],)</f>
        <v>#NAME?</v>
      </c>
      <c r="AC399" s="210" t="str">
        <f t="shared" ca="1" si="63"/>
        <v/>
      </c>
      <c r="AD399" s="210" t="e">
        <f ca="1">+MAX(PAA[[#This Row],[Pago por Contrato]],)</f>
        <v>#NAME?</v>
      </c>
      <c r="AE399" s="210" t="str">
        <f t="shared" ca="1" si="60"/>
        <v/>
      </c>
      <c r="AF399" s="199" t="e">
        <f t="shared" ca="1" si="61"/>
        <v>#NAME?</v>
      </c>
      <c r="AG399" s="199">
        <f t="shared" si="62"/>
        <v>52010802</v>
      </c>
      <c r="AH399" s="199" t="e" cm="1">
        <f t="array" aca="1" ref="AH399" ca="1">_xlfn.XLOOKUP(PAA[[#This Row],[RCP-RUBRO]],COMPROMISOS_2025[[#All],[concatenado]],COMPROMISOS_2025[[#All],[Total pagado]],"",0)</f>
        <v>#NAME?</v>
      </c>
      <c r="AI399" s="199" t="e" cm="1">
        <f t="array" aca="1" ref="AI399" ca="1">_xlfn.XLOOKUP(PAA[[#This Row],[RCP-RUBRO]],COMPROMISOS_2025[[#All],[concatenado]],COMPROMISOS_2025[[#All],[Total Comprometido]],"",0)</f>
        <v>#NAME?</v>
      </c>
    </row>
    <row r="400" spans="1:35" s="50" customFormat="1" ht="42" hidden="1" customHeight="1" x14ac:dyDescent="0.25">
      <c r="A400" s="199">
        <v>300</v>
      </c>
      <c r="B400" s="200">
        <v>80111600</v>
      </c>
      <c r="C400" s="199" t="str">
        <f>VLOOKUP(PAA[[#This Row],[PROYECTO (formulado)2]],PROYECTOS!$G$1:$L$32,6,0)</f>
        <v>SUBGERENCIA DE ALTOS LOGROS Y DEPORTE ASOCIADO</v>
      </c>
      <c r="D400" s="199" t="str">
        <f>+IF(PAA[[#This Row],[UNIDAD DE CONTRATACION (formulado)]]="Subgerencia Administrativa y Financiera","FUNCIONAMIENTO","INVERSIÓN")</f>
        <v>INVERSIÓN</v>
      </c>
      <c r="E400" s="201" t="str">
        <f>VLOOKUP(Q400,PROYECTOS!$G$1:$K$32,5,0)</f>
        <v>Apoyo técnico a atletas y para-atletas que representan en alto rendimiento deportivo al departamento de Antioquia</v>
      </c>
      <c r="F400" s="201">
        <f>VLOOKUP(E400,PROYECTOS!$K$1:$M$32,3,0)</f>
        <v>2024003050084</v>
      </c>
      <c r="G400" s="202" t="s">
        <v>450</v>
      </c>
      <c r="H400" s="202" t="str">
        <f>VLOOKUP(Q400,PROYECTOS!$V$1:$W$32,2,0)</f>
        <v>050079</v>
      </c>
      <c r="I400" s="203">
        <v>94982227</v>
      </c>
      <c r="J400" s="204" t="s">
        <v>498</v>
      </c>
      <c r="K400" s="199" t="str">
        <f t="shared" ca="1" si="57"/>
        <v>CONTRATADO</v>
      </c>
      <c r="L400" s="199" t="s">
        <v>112</v>
      </c>
      <c r="M400" s="199" t="s">
        <v>113</v>
      </c>
      <c r="N400" s="205" t="s">
        <v>452</v>
      </c>
      <c r="O400" s="204">
        <f>VLOOKUP(N400,RUBROS[#All],3,0)</f>
        <v>62</v>
      </c>
      <c r="P400" s="206" t="str">
        <f>VLOOKUP(N400,RUBROS[#All],2,0)</f>
        <v>Apoyo técnico a atletas y para-atletas que representan en alto rendimiento deportivo al departamento de Antioquia. - Servicios para la comunidad, sociales y personales</v>
      </c>
      <c r="Q400" s="199" t="str">
        <f t="shared" si="58"/>
        <v>84</v>
      </c>
      <c r="R400" s="199" t="str">
        <f t="shared" si="59"/>
        <v>0-205400</v>
      </c>
      <c r="S400" s="207">
        <v>294</v>
      </c>
      <c r="T400" s="208" t="s">
        <v>220</v>
      </c>
      <c r="U400" s="209" t="e">
        <f ca="1">_xlfn.XLOOKUP(PAA[[#This Row],[ITEM]],Contrato!A:A,Contrato!Q:Q,"",0)</f>
        <v>#NAME?</v>
      </c>
      <c r="V400" s="199" t="s">
        <v>47</v>
      </c>
      <c r="W400" s="199" t="s">
        <v>154</v>
      </c>
      <c r="X400" s="199" t="s">
        <v>154</v>
      </c>
      <c r="Y400" s="210" t="e">
        <f ca="1">_xlfn.XLOOKUP(PAA[[#This Row],[ITEM]],Contrato!A:A,Contrato!B:B,"",0)</f>
        <v>#NAME?</v>
      </c>
      <c r="Z400" s="199" t="e">
        <f ca="1">_xlfn.XLOOKUP(PAA[[#This Row],[ITEM]],Contrato!A:A,Contrato!G:G,"",0)</f>
        <v>#NAME?</v>
      </c>
      <c r="AA400" s="199" t="e">
        <f ca="1">_xlfn.XLOOKUP(PAA[[#This Row],[ITEM]],Contrato!A:A,Contrato!T:T,"",0)</f>
        <v>#NAME?</v>
      </c>
      <c r="AB400" s="210" t="e">
        <f ca="1">+MAX(PAA[[#This Row],[Comprometido Contrato]],)</f>
        <v>#NAME?</v>
      </c>
      <c r="AC400" s="210" t="str">
        <f t="shared" ca="1" si="63"/>
        <v/>
      </c>
      <c r="AD400" s="210" t="e">
        <f ca="1">+MAX(PAA[[#This Row],[Pago por Contrato]],)</f>
        <v>#NAME?</v>
      </c>
      <c r="AE400" s="210" t="str">
        <f t="shared" ca="1" si="60"/>
        <v/>
      </c>
      <c r="AF400" s="199" t="e">
        <f t="shared" ca="1" si="61"/>
        <v>#NAME?</v>
      </c>
      <c r="AG400" s="199">
        <f t="shared" si="62"/>
        <v>52010802</v>
      </c>
      <c r="AH400" s="199" t="e" cm="1">
        <f t="array" aca="1" ref="AH400" ca="1">_xlfn.XLOOKUP(PAA[[#This Row],[RCP-RUBRO]],COMPROMISOS_2025[[#All],[concatenado]],COMPROMISOS_2025[[#All],[Total pagado]],"",0)</f>
        <v>#NAME?</v>
      </c>
      <c r="AI400" s="199" t="e" cm="1">
        <f t="array" aca="1" ref="AI400" ca="1">_xlfn.XLOOKUP(PAA[[#This Row],[RCP-RUBRO]],COMPROMISOS_2025[[#All],[concatenado]],COMPROMISOS_2025[[#All],[Total Comprometido]],"",0)</f>
        <v>#NAME?</v>
      </c>
    </row>
    <row r="401" spans="1:35" s="50" customFormat="1" ht="42" hidden="1" customHeight="1" x14ac:dyDescent="0.25">
      <c r="A401" s="199">
        <v>301</v>
      </c>
      <c r="B401" s="200">
        <v>80111600</v>
      </c>
      <c r="C401" s="199" t="str">
        <f>VLOOKUP(PAA[[#This Row],[PROYECTO (formulado)2]],PROYECTOS!$G$1:$L$32,6,0)</f>
        <v>SUBGERENCIA DE ALTOS LOGROS Y DEPORTE ASOCIADO</v>
      </c>
      <c r="D401" s="199" t="str">
        <f>+IF(PAA[[#This Row],[UNIDAD DE CONTRATACION (formulado)]]="Subgerencia Administrativa y Financiera","FUNCIONAMIENTO","INVERSIÓN")</f>
        <v>INVERSIÓN</v>
      </c>
      <c r="E401" s="201" t="str">
        <f>VLOOKUP(Q401,PROYECTOS!$G$1:$K$32,5,0)</f>
        <v>Apoyo técnico a atletas y para-atletas que representan en alto rendimiento deportivo al departamento de Antioquia</v>
      </c>
      <c r="F401" s="201">
        <f>VLOOKUP(E401,PROYECTOS!$K$1:$M$32,3,0)</f>
        <v>2024003050084</v>
      </c>
      <c r="G401" s="202" t="s">
        <v>450</v>
      </c>
      <c r="H401" s="202" t="str">
        <f>VLOOKUP(Q401,PROYECTOS!$V$1:$W$32,2,0)</f>
        <v>050079</v>
      </c>
      <c r="I401" s="203">
        <v>40747479</v>
      </c>
      <c r="J401" s="204" t="s">
        <v>499</v>
      </c>
      <c r="K401" s="199" t="str">
        <f t="shared" ca="1" si="57"/>
        <v>CONTRATADO</v>
      </c>
      <c r="L401" s="199" t="s">
        <v>112</v>
      </c>
      <c r="M401" s="199" t="s">
        <v>113</v>
      </c>
      <c r="N401" s="205" t="s">
        <v>452</v>
      </c>
      <c r="O401" s="204">
        <f>VLOOKUP(N401,RUBROS[#All],3,0)</f>
        <v>62</v>
      </c>
      <c r="P401" s="206" t="str">
        <f>VLOOKUP(N401,RUBROS[#All],2,0)</f>
        <v>Apoyo técnico a atletas y para-atletas que representan en alto rendimiento deportivo al departamento de Antioquia. - Servicios para la comunidad, sociales y personales</v>
      </c>
      <c r="Q401" s="199" t="str">
        <f t="shared" si="58"/>
        <v>84</v>
      </c>
      <c r="R401" s="199" t="str">
        <f t="shared" si="59"/>
        <v>0-205400</v>
      </c>
      <c r="S401" s="207">
        <v>294</v>
      </c>
      <c r="T401" s="208" t="s">
        <v>220</v>
      </c>
      <c r="U401" s="209" t="e">
        <f ca="1">_xlfn.XLOOKUP(PAA[[#This Row],[ITEM]],Contrato!A:A,Contrato!Q:Q,"",0)</f>
        <v>#NAME?</v>
      </c>
      <c r="V401" s="199" t="s">
        <v>47</v>
      </c>
      <c r="W401" s="199" t="s">
        <v>154</v>
      </c>
      <c r="X401" s="199" t="s">
        <v>154</v>
      </c>
      <c r="Y401" s="210" t="e">
        <f ca="1">_xlfn.XLOOKUP(PAA[[#This Row],[ITEM]],Contrato!A:A,Contrato!B:B,"",0)</f>
        <v>#NAME?</v>
      </c>
      <c r="Z401" s="199" t="e">
        <f ca="1">_xlfn.XLOOKUP(PAA[[#This Row],[ITEM]],Contrato!A:A,Contrato!G:G,"",0)</f>
        <v>#NAME?</v>
      </c>
      <c r="AA401" s="199" t="e">
        <f ca="1">_xlfn.XLOOKUP(PAA[[#This Row],[ITEM]],Contrato!A:A,Contrato!T:T,"",0)</f>
        <v>#NAME?</v>
      </c>
      <c r="AB401" s="210" t="e">
        <f ca="1">+MAX(PAA[[#This Row],[Comprometido Contrato]],)</f>
        <v>#NAME?</v>
      </c>
      <c r="AC401" s="210" t="str">
        <f t="shared" ca="1" si="63"/>
        <v/>
      </c>
      <c r="AD401" s="210" t="e">
        <f ca="1">+MAX(PAA[[#This Row],[Pago por Contrato]],)</f>
        <v>#NAME?</v>
      </c>
      <c r="AE401" s="210" t="str">
        <f t="shared" ca="1" si="60"/>
        <v/>
      </c>
      <c r="AF401" s="199" t="e">
        <f t="shared" ca="1" si="61"/>
        <v>#NAME?</v>
      </c>
      <c r="AG401" s="199">
        <f t="shared" si="62"/>
        <v>52010802</v>
      </c>
      <c r="AH401" s="199" t="e" cm="1">
        <f t="array" aca="1" ref="AH401" ca="1">_xlfn.XLOOKUP(PAA[[#This Row],[RCP-RUBRO]],COMPROMISOS_2025[[#All],[concatenado]],COMPROMISOS_2025[[#All],[Total pagado]],"",0)</f>
        <v>#NAME?</v>
      </c>
      <c r="AI401" s="199" t="e" cm="1">
        <f t="array" aca="1" ref="AI401" ca="1">_xlfn.XLOOKUP(PAA[[#This Row],[RCP-RUBRO]],COMPROMISOS_2025[[#All],[concatenado]],COMPROMISOS_2025[[#All],[Total Comprometido]],"",0)</f>
        <v>#NAME?</v>
      </c>
    </row>
    <row r="402" spans="1:35" s="50" customFormat="1" ht="42" hidden="1" customHeight="1" x14ac:dyDescent="0.25">
      <c r="A402" s="199">
        <v>302</v>
      </c>
      <c r="B402" s="200">
        <v>80111600</v>
      </c>
      <c r="C402" s="199" t="str">
        <f>VLOOKUP(PAA[[#This Row],[PROYECTO (formulado)2]],PROYECTOS!$G$1:$L$32,6,0)</f>
        <v>SUBGERENCIA DE ALTOS LOGROS Y DEPORTE ASOCIADO</v>
      </c>
      <c r="D402" s="199" t="str">
        <f>+IF(PAA[[#This Row],[UNIDAD DE CONTRATACION (formulado)]]="Subgerencia Administrativa y Financiera","FUNCIONAMIENTO","INVERSIÓN")</f>
        <v>INVERSIÓN</v>
      </c>
      <c r="E402" s="201" t="str">
        <f>VLOOKUP(Q402,PROYECTOS!$G$1:$K$32,5,0)</f>
        <v>Apoyo técnico a atletas y para-atletas que representan en alto rendimiento deportivo al departamento de Antioquia</v>
      </c>
      <c r="F402" s="201">
        <f>VLOOKUP(E402,PROYECTOS!$K$1:$M$32,3,0)</f>
        <v>2024003050084</v>
      </c>
      <c r="G402" s="202" t="s">
        <v>450</v>
      </c>
      <c r="H402" s="202" t="str">
        <f>VLOOKUP(Q402,PROYECTOS!$V$1:$W$32,2,0)</f>
        <v>050079</v>
      </c>
      <c r="I402" s="203">
        <v>26545593</v>
      </c>
      <c r="J402" s="204" t="s">
        <v>500</v>
      </c>
      <c r="K402" s="199" t="str">
        <f t="shared" ca="1" si="57"/>
        <v>CONTRATADO</v>
      </c>
      <c r="L402" s="199" t="s">
        <v>112</v>
      </c>
      <c r="M402" s="199" t="s">
        <v>113</v>
      </c>
      <c r="N402" s="205" t="s">
        <v>452</v>
      </c>
      <c r="O402" s="204">
        <f>VLOOKUP(N402,RUBROS[#All],3,0)</f>
        <v>62</v>
      </c>
      <c r="P402" s="206" t="str">
        <f>VLOOKUP(N402,RUBROS[#All],2,0)</f>
        <v>Apoyo técnico a atletas y para-atletas que representan en alto rendimiento deportivo al departamento de Antioquia. - Servicios para la comunidad, sociales y personales</v>
      </c>
      <c r="Q402" s="199" t="str">
        <f t="shared" si="58"/>
        <v>84</v>
      </c>
      <c r="R402" s="199" t="str">
        <f t="shared" si="59"/>
        <v>0-205400</v>
      </c>
      <c r="S402" s="207">
        <v>294</v>
      </c>
      <c r="T402" s="208" t="s">
        <v>220</v>
      </c>
      <c r="U402" s="209" t="e">
        <f ca="1">_xlfn.XLOOKUP(PAA[[#This Row],[ITEM]],Contrato!A:A,Contrato!Q:Q,"",0)</f>
        <v>#NAME?</v>
      </c>
      <c r="V402" s="199" t="s">
        <v>47</v>
      </c>
      <c r="W402" s="199" t="s">
        <v>154</v>
      </c>
      <c r="X402" s="199" t="s">
        <v>154</v>
      </c>
      <c r="Y402" s="210" t="e">
        <f ca="1">_xlfn.XLOOKUP(PAA[[#This Row],[ITEM]],Contrato!A:A,Contrato!B:B,"",0)</f>
        <v>#NAME?</v>
      </c>
      <c r="Z402" s="199" t="e">
        <f ca="1">_xlfn.XLOOKUP(PAA[[#This Row],[ITEM]],Contrato!A:A,Contrato!G:G,"",0)</f>
        <v>#NAME?</v>
      </c>
      <c r="AA402" s="199" t="e">
        <f ca="1">_xlfn.XLOOKUP(PAA[[#This Row],[ITEM]],Contrato!A:A,Contrato!T:T,"",0)</f>
        <v>#NAME?</v>
      </c>
      <c r="AB402" s="210" t="e">
        <f ca="1">+MAX(PAA[[#This Row],[Comprometido Contrato]],)</f>
        <v>#NAME?</v>
      </c>
      <c r="AC402" s="210" t="str">
        <f t="shared" ca="1" si="63"/>
        <v/>
      </c>
      <c r="AD402" s="210" t="e">
        <f ca="1">+MAX(PAA[[#This Row],[Pago por Contrato]],)</f>
        <v>#NAME?</v>
      </c>
      <c r="AE402" s="210" t="str">
        <f t="shared" ca="1" si="60"/>
        <v/>
      </c>
      <c r="AF402" s="199" t="e">
        <f t="shared" ca="1" si="61"/>
        <v>#NAME?</v>
      </c>
      <c r="AG402" s="199">
        <f t="shared" si="62"/>
        <v>52010802</v>
      </c>
      <c r="AH402" s="199" t="e" cm="1">
        <f t="array" aca="1" ref="AH402" ca="1">_xlfn.XLOOKUP(PAA[[#This Row],[RCP-RUBRO]],COMPROMISOS_2025[[#All],[concatenado]],COMPROMISOS_2025[[#All],[Total pagado]],"",0)</f>
        <v>#NAME?</v>
      </c>
      <c r="AI402" s="199" t="e" cm="1">
        <f t="array" aca="1" ref="AI402" ca="1">_xlfn.XLOOKUP(PAA[[#This Row],[RCP-RUBRO]],COMPROMISOS_2025[[#All],[concatenado]],COMPROMISOS_2025[[#All],[Total Comprometido]],"",0)</f>
        <v>#NAME?</v>
      </c>
    </row>
    <row r="403" spans="1:35" s="50" customFormat="1" ht="42" hidden="1" customHeight="1" x14ac:dyDescent="0.25">
      <c r="A403" s="199">
        <v>303</v>
      </c>
      <c r="B403" s="200">
        <v>80111600</v>
      </c>
      <c r="C403" s="199" t="str">
        <f>VLOOKUP(PAA[[#This Row],[PROYECTO (formulado)2]],PROYECTOS!$G$1:$L$32,6,0)</f>
        <v>SUBGERENCIA DE ALTOS LOGROS Y DEPORTE ASOCIADO</v>
      </c>
      <c r="D403" s="199" t="str">
        <f>+IF(PAA[[#This Row],[UNIDAD DE CONTRATACION (formulado)]]="Subgerencia Administrativa y Financiera","FUNCIONAMIENTO","INVERSIÓN")</f>
        <v>INVERSIÓN</v>
      </c>
      <c r="E403" s="201" t="str">
        <f>VLOOKUP(Q403,PROYECTOS!$G$1:$K$32,5,0)</f>
        <v>Apoyo técnico a atletas y para-atletas que representan en alto rendimiento deportivo al departamento de Antioquia</v>
      </c>
      <c r="F403" s="201">
        <f>VLOOKUP(E403,PROYECTOS!$K$1:$M$32,3,0)</f>
        <v>2024003050084</v>
      </c>
      <c r="G403" s="202" t="s">
        <v>450</v>
      </c>
      <c r="H403" s="202" t="str">
        <f>VLOOKUP(Q403,PROYECTOS!$V$1:$W$32,2,0)</f>
        <v>050079</v>
      </c>
      <c r="I403" s="203">
        <v>61147776</v>
      </c>
      <c r="J403" s="204" t="s">
        <v>501</v>
      </c>
      <c r="K403" s="199" t="str">
        <f t="shared" ca="1" si="57"/>
        <v>CONTRATADO</v>
      </c>
      <c r="L403" s="199" t="s">
        <v>112</v>
      </c>
      <c r="M403" s="199" t="s">
        <v>113</v>
      </c>
      <c r="N403" s="205" t="s">
        <v>452</v>
      </c>
      <c r="O403" s="204">
        <f>VLOOKUP(N403,RUBROS[#All],3,0)</f>
        <v>62</v>
      </c>
      <c r="P403" s="206" t="str">
        <f>VLOOKUP(N403,RUBROS[#All],2,0)</f>
        <v>Apoyo técnico a atletas y para-atletas que representan en alto rendimiento deportivo al departamento de Antioquia. - Servicios para la comunidad, sociales y personales</v>
      </c>
      <c r="Q403" s="199" t="str">
        <f t="shared" si="58"/>
        <v>84</v>
      </c>
      <c r="R403" s="199" t="str">
        <f t="shared" si="59"/>
        <v>0-205400</v>
      </c>
      <c r="S403" s="207">
        <v>294</v>
      </c>
      <c r="T403" s="208" t="s">
        <v>220</v>
      </c>
      <c r="U403" s="209" t="e">
        <f ca="1">_xlfn.XLOOKUP(PAA[[#This Row],[ITEM]],Contrato!A:A,Contrato!Q:Q,"",0)</f>
        <v>#NAME?</v>
      </c>
      <c r="V403" s="199" t="s">
        <v>47</v>
      </c>
      <c r="W403" s="199" t="s">
        <v>154</v>
      </c>
      <c r="X403" s="199" t="s">
        <v>154</v>
      </c>
      <c r="Y403" s="210" t="e">
        <f ca="1">_xlfn.XLOOKUP(PAA[[#This Row],[ITEM]],Contrato!A:A,Contrato!B:B,"",0)</f>
        <v>#NAME?</v>
      </c>
      <c r="Z403" s="199" t="e">
        <f ca="1">_xlfn.XLOOKUP(PAA[[#This Row],[ITEM]],Contrato!A:A,Contrato!G:G,"",0)</f>
        <v>#NAME?</v>
      </c>
      <c r="AA403" s="199" t="e">
        <f ca="1">_xlfn.XLOOKUP(PAA[[#This Row],[ITEM]],Contrato!A:A,Contrato!T:T,"",0)</f>
        <v>#NAME?</v>
      </c>
      <c r="AB403" s="210" t="e">
        <f ca="1">+MAX(PAA[[#This Row],[Comprometido Contrato]],)</f>
        <v>#NAME?</v>
      </c>
      <c r="AC403" s="210" t="str">
        <f t="shared" ca="1" si="63"/>
        <v/>
      </c>
      <c r="AD403" s="210" t="e">
        <f ca="1">+MAX(PAA[[#This Row],[Pago por Contrato]],)</f>
        <v>#NAME?</v>
      </c>
      <c r="AE403" s="210" t="str">
        <f t="shared" ca="1" si="60"/>
        <v/>
      </c>
      <c r="AF403" s="199" t="e">
        <f t="shared" ca="1" si="61"/>
        <v>#NAME?</v>
      </c>
      <c r="AG403" s="199">
        <f t="shared" si="62"/>
        <v>52010802</v>
      </c>
      <c r="AH403" s="199" t="e" cm="1">
        <f t="array" aca="1" ref="AH403" ca="1">_xlfn.XLOOKUP(PAA[[#This Row],[RCP-RUBRO]],COMPROMISOS_2025[[#All],[concatenado]],COMPROMISOS_2025[[#All],[Total pagado]],"",0)</f>
        <v>#NAME?</v>
      </c>
      <c r="AI403" s="199" t="e" cm="1">
        <f t="array" aca="1" ref="AI403" ca="1">_xlfn.XLOOKUP(PAA[[#This Row],[RCP-RUBRO]],COMPROMISOS_2025[[#All],[concatenado]],COMPROMISOS_2025[[#All],[Total Comprometido]],"",0)</f>
        <v>#NAME?</v>
      </c>
    </row>
    <row r="404" spans="1:35" s="50" customFormat="1" ht="42" hidden="1" customHeight="1" x14ac:dyDescent="0.25">
      <c r="A404" s="199">
        <v>304</v>
      </c>
      <c r="B404" s="200">
        <v>80111600</v>
      </c>
      <c r="C404" s="199" t="str">
        <f>VLOOKUP(PAA[[#This Row],[PROYECTO (formulado)2]],PROYECTOS!$G$1:$L$32,6,0)</f>
        <v>SUBGERENCIA DE ALTOS LOGROS Y DEPORTE ASOCIADO</v>
      </c>
      <c r="D404" s="199" t="str">
        <f>+IF(PAA[[#This Row],[UNIDAD DE CONTRATACION (formulado)]]="Subgerencia Administrativa y Financiera","FUNCIONAMIENTO","INVERSIÓN")</f>
        <v>INVERSIÓN</v>
      </c>
      <c r="E404" s="201" t="str">
        <f>VLOOKUP(Q404,PROYECTOS!$G$1:$K$32,5,0)</f>
        <v>Apoyo técnico a atletas y para-atletas que representan en alto rendimiento deportivo al departamento de Antioquia</v>
      </c>
      <c r="F404" s="201">
        <f>VLOOKUP(E404,PROYECTOS!$K$1:$M$32,3,0)</f>
        <v>2024003050084</v>
      </c>
      <c r="G404" s="202" t="s">
        <v>450</v>
      </c>
      <c r="H404" s="202" t="str">
        <f>VLOOKUP(Q404,PROYECTOS!$V$1:$W$32,2,0)</f>
        <v>050079</v>
      </c>
      <c r="I404" s="203">
        <v>26545593</v>
      </c>
      <c r="J404" s="204" t="s">
        <v>502</v>
      </c>
      <c r="K404" s="199" t="str">
        <f t="shared" ca="1" si="57"/>
        <v>CONTRATADO</v>
      </c>
      <c r="L404" s="199" t="s">
        <v>112</v>
      </c>
      <c r="M404" s="199" t="s">
        <v>113</v>
      </c>
      <c r="N404" s="205" t="s">
        <v>452</v>
      </c>
      <c r="O404" s="204">
        <f>VLOOKUP(N404,RUBROS[#All],3,0)</f>
        <v>62</v>
      </c>
      <c r="P404" s="206" t="str">
        <f>VLOOKUP(N404,RUBROS[#All],2,0)</f>
        <v>Apoyo técnico a atletas y para-atletas que representan en alto rendimiento deportivo al departamento de Antioquia. - Servicios para la comunidad, sociales y personales</v>
      </c>
      <c r="Q404" s="199" t="str">
        <f t="shared" si="58"/>
        <v>84</v>
      </c>
      <c r="R404" s="199" t="str">
        <f t="shared" si="59"/>
        <v>0-205400</v>
      </c>
      <c r="S404" s="207">
        <v>294</v>
      </c>
      <c r="T404" s="208" t="s">
        <v>220</v>
      </c>
      <c r="U404" s="209" t="e">
        <f ca="1">_xlfn.XLOOKUP(PAA[[#This Row],[ITEM]],Contrato!A:A,Contrato!Q:Q,"",0)</f>
        <v>#NAME?</v>
      </c>
      <c r="V404" s="199" t="s">
        <v>47</v>
      </c>
      <c r="W404" s="199" t="s">
        <v>154</v>
      </c>
      <c r="X404" s="199" t="s">
        <v>154</v>
      </c>
      <c r="Y404" s="210" t="e">
        <f ca="1">_xlfn.XLOOKUP(PAA[[#This Row],[ITEM]],Contrato!A:A,Contrato!B:B,"",0)</f>
        <v>#NAME?</v>
      </c>
      <c r="Z404" s="199" t="e">
        <f ca="1">_xlfn.XLOOKUP(PAA[[#This Row],[ITEM]],Contrato!A:A,Contrato!G:G,"",0)</f>
        <v>#NAME?</v>
      </c>
      <c r="AA404" s="199" t="e">
        <f ca="1">_xlfn.XLOOKUP(PAA[[#This Row],[ITEM]],Contrato!A:A,Contrato!T:T,"",0)</f>
        <v>#NAME?</v>
      </c>
      <c r="AB404" s="210" t="e">
        <f ca="1">+MAX(PAA[[#This Row],[Comprometido Contrato]],)</f>
        <v>#NAME?</v>
      </c>
      <c r="AC404" s="210" t="str">
        <f t="shared" ca="1" si="63"/>
        <v/>
      </c>
      <c r="AD404" s="210" t="e">
        <f ca="1">+MAX(PAA[[#This Row],[Pago por Contrato]],)</f>
        <v>#NAME?</v>
      </c>
      <c r="AE404" s="210" t="str">
        <f t="shared" ca="1" si="60"/>
        <v/>
      </c>
      <c r="AF404" s="199" t="e">
        <f t="shared" ca="1" si="61"/>
        <v>#NAME?</v>
      </c>
      <c r="AG404" s="199">
        <f t="shared" si="62"/>
        <v>52010802</v>
      </c>
      <c r="AH404" s="199" t="e" cm="1">
        <f t="array" aca="1" ref="AH404" ca="1">_xlfn.XLOOKUP(PAA[[#This Row],[RCP-RUBRO]],COMPROMISOS_2025[[#All],[concatenado]],COMPROMISOS_2025[[#All],[Total pagado]],"",0)</f>
        <v>#NAME?</v>
      </c>
      <c r="AI404" s="199" t="e" cm="1">
        <f t="array" aca="1" ref="AI404" ca="1">_xlfn.XLOOKUP(PAA[[#This Row],[RCP-RUBRO]],COMPROMISOS_2025[[#All],[concatenado]],COMPROMISOS_2025[[#All],[Total Comprometido]],"",0)</f>
        <v>#NAME?</v>
      </c>
    </row>
    <row r="405" spans="1:35" s="50" customFormat="1" ht="42" hidden="1" customHeight="1" x14ac:dyDescent="0.25">
      <c r="A405" s="199">
        <v>305</v>
      </c>
      <c r="B405" s="200">
        <v>80111600</v>
      </c>
      <c r="C405" s="199" t="str">
        <f>VLOOKUP(PAA[[#This Row],[PROYECTO (formulado)2]],PROYECTOS!$G$1:$L$32,6,0)</f>
        <v>SUBGERENCIA DE ALTOS LOGROS Y DEPORTE ASOCIADO</v>
      </c>
      <c r="D405" s="199" t="str">
        <f>+IF(PAA[[#This Row],[UNIDAD DE CONTRATACION (formulado)]]="Subgerencia Administrativa y Financiera","FUNCIONAMIENTO","INVERSIÓN")</f>
        <v>INVERSIÓN</v>
      </c>
      <c r="E405" s="201" t="str">
        <f>VLOOKUP(Q405,PROYECTOS!$G$1:$K$32,5,0)</f>
        <v>Apoyo técnico a atletas y para-atletas que representan en alto rendimiento deportivo al departamento de Antioquia</v>
      </c>
      <c r="F405" s="201">
        <f>VLOOKUP(E405,PROYECTOS!$K$1:$M$32,3,0)</f>
        <v>2024003050084</v>
      </c>
      <c r="G405" s="202" t="s">
        <v>450</v>
      </c>
      <c r="H405" s="202" t="str">
        <f>VLOOKUP(Q405,PROYECTOS!$V$1:$W$32,2,0)</f>
        <v>050079</v>
      </c>
      <c r="I405" s="203">
        <v>50609170</v>
      </c>
      <c r="J405" s="204" t="s">
        <v>503</v>
      </c>
      <c r="K405" s="199" t="str">
        <f t="shared" ca="1" si="57"/>
        <v>CONTRATADO</v>
      </c>
      <c r="L405" s="199" t="s">
        <v>112</v>
      </c>
      <c r="M405" s="199" t="s">
        <v>113</v>
      </c>
      <c r="N405" s="205" t="s">
        <v>452</v>
      </c>
      <c r="O405" s="204">
        <f>VLOOKUP(N405,RUBROS[#All],3,0)</f>
        <v>62</v>
      </c>
      <c r="P405" s="206" t="str">
        <f>VLOOKUP(N405,RUBROS[#All],2,0)</f>
        <v>Apoyo técnico a atletas y para-atletas que representan en alto rendimiento deportivo al departamento de Antioquia. - Servicios para la comunidad, sociales y personales</v>
      </c>
      <c r="Q405" s="199" t="str">
        <f t="shared" si="58"/>
        <v>84</v>
      </c>
      <c r="R405" s="199" t="str">
        <f t="shared" si="59"/>
        <v>0-205400</v>
      </c>
      <c r="S405" s="207">
        <v>294</v>
      </c>
      <c r="T405" s="208" t="s">
        <v>220</v>
      </c>
      <c r="U405" s="209" t="e">
        <f ca="1">_xlfn.XLOOKUP(PAA[[#This Row],[ITEM]],Contrato!A:A,Contrato!Q:Q,"",0)</f>
        <v>#NAME?</v>
      </c>
      <c r="V405" s="199" t="s">
        <v>47</v>
      </c>
      <c r="W405" s="199" t="s">
        <v>154</v>
      </c>
      <c r="X405" s="199" t="s">
        <v>154</v>
      </c>
      <c r="Y405" s="210" t="e">
        <f ca="1">_xlfn.XLOOKUP(PAA[[#This Row],[ITEM]],Contrato!A:A,Contrato!B:B,"",0)</f>
        <v>#NAME?</v>
      </c>
      <c r="Z405" s="199" t="e">
        <f ca="1">_xlfn.XLOOKUP(PAA[[#This Row],[ITEM]],Contrato!A:A,Contrato!G:G,"",0)</f>
        <v>#NAME?</v>
      </c>
      <c r="AA405" s="199" t="e">
        <f ca="1">_xlfn.XLOOKUP(PAA[[#This Row],[ITEM]],Contrato!A:A,Contrato!T:T,"",0)</f>
        <v>#NAME?</v>
      </c>
      <c r="AB405" s="210" t="e">
        <f ca="1">+MAX(PAA[[#This Row],[Comprometido Contrato]],)</f>
        <v>#NAME?</v>
      </c>
      <c r="AC405" s="210" t="str">
        <f t="shared" ca="1" si="63"/>
        <v/>
      </c>
      <c r="AD405" s="210" t="e">
        <f ca="1">+MAX(PAA[[#This Row],[Pago por Contrato]],)</f>
        <v>#NAME?</v>
      </c>
      <c r="AE405" s="210" t="str">
        <f t="shared" ca="1" si="60"/>
        <v/>
      </c>
      <c r="AF405" s="199" t="e">
        <f t="shared" ca="1" si="61"/>
        <v>#NAME?</v>
      </c>
      <c r="AG405" s="199">
        <f t="shared" si="62"/>
        <v>52010802</v>
      </c>
      <c r="AH405" s="199" t="e" cm="1">
        <f t="array" aca="1" ref="AH405" ca="1">_xlfn.XLOOKUP(PAA[[#This Row],[RCP-RUBRO]],COMPROMISOS_2025[[#All],[concatenado]],COMPROMISOS_2025[[#All],[Total pagado]],"",0)</f>
        <v>#NAME?</v>
      </c>
      <c r="AI405" s="199" t="e" cm="1">
        <f t="array" aca="1" ref="AI405" ca="1">_xlfn.XLOOKUP(PAA[[#This Row],[RCP-RUBRO]],COMPROMISOS_2025[[#All],[concatenado]],COMPROMISOS_2025[[#All],[Total Comprometido]],"",0)</f>
        <v>#NAME?</v>
      </c>
    </row>
    <row r="406" spans="1:35" s="50" customFormat="1" ht="42" hidden="1" customHeight="1" x14ac:dyDescent="0.25">
      <c r="A406" s="199">
        <v>306</v>
      </c>
      <c r="B406" s="200">
        <v>80111600</v>
      </c>
      <c r="C406" s="199" t="str">
        <f>VLOOKUP(PAA[[#This Row],[PROYECTO (formulado)2]],PROYECTOS!$G$1:$L$32,6,0)</f>
        <v>SUBGERENCIA DE ALTOS LOGROS Y DEPORTE ASOCIADO</v>
      </c>
      <c r="D406" s="199" t="str">
        <f>+IF(PAA[[#This Row],[UNIDAD DE CONTRATACION (formulado)]]="Subgerencia Administrativa y Financiera","FUNCIONAMIENTO","INVERSIÓN")</f>
        <v>INVERSIÓN</v>
      </c>
      <c r="E406" s="201" t="str">
        <f>VLOOKUP(Q406,PROYECTOS!$G$1:$K$32,5,0)</f>
        <v>Apoyo técnico a atletas y para-atletas que representan en alto rendimiento deportivo al departamento de Antioquia</v>
      </c>
      <c r="F406" s="201">
        <f>VLOOKUP(E406,PROYECTOS!$K$1:$M$32,3,0)</f>
        <v>2024003050084</v>
      </c>
      <c r="G406" s="202" t="s">
        <v>450</v>
      </c>
      <c r="H406" s="202" t="str">
        <f>VLOOKUP(Q406,PROYECTOS!$V$1:$W$32,2,0)</f>
        <v>050079</v>
      </c>
      <c r="I406" s="203">
        <v>26545593</v>
      </c>
      <c r="J406" s="204" t="s">
        <v>504</v>
      </c>
      <c r="K406" s="199" t="str">
        <f t="shared" ca="1" si="57"/>
        <v>CONTRATADO</v>
      </c>
      <c r="L406" s="199" t="s">
        <v>112</v>
      </c>
      <c r="M406" s="199" t="s">
        <v>113</v>
      </c>
      <c r="N406" s="205" t="s">
        <v>452</v>
      </c>
      <c r="O406" s="204">
        <f>VLOOKUP(N406,RUBROS[#All],3,0)</f>
        <v>62</v>
      </c>
      <c r="P406" s="206" t="str">
        <f>VLOOKUP(N406,RUBROS[#All],2,0)</f>
        <v>Apoyo técnico a atletas y para-atletas que representan en alto rendimiento deportivo al departamento de Antioquia. - Servicios para la comunidad, sociales y personales</v>
      </c>
      <c r="Q406" s="199" t="str">
        <f t="shared" si="58"/>
        <v>84</v>
      </c>
      <c r="R406" s="199" t="str">
        <f t="shared" si="59"/>
        <v>0-205400</v>
      </c>
      <c r="S406" s="207">
        <v>294</v>
      </c>
      <c r="T406" s="208" t="s">
        <v>220</v>
      </c>
      <c r="U406" s="209" t="e">
        <f ca="1">_xlfn.XLOOKUP(PAA[[#This Row],[ITEM]],Contrato!A:A,Contrato!Q:Q,"",0)</f>
        <v>#NAME?</v>
      </c>
      <c r="V406" s="199" t="s">
        <v>47</v>
      </c>
      <c r="W406" s="199" t="s">
        <v>154</v>
      </c>
      <c r="X406" s="199" t="s">
        <v>154</v>
      </c>
      <c r="Y406" s="210" t="e">
        <f ca="1">_xlfn.XLOOKUP(PAA[[#This Row],[ITEM]],Contrato!A:A,Contrato!B:B,"",0)</f>
        <v>#NAME?</v>
      </c>
      <c r="Z406" s="199" t="e">
        <f ca="1">_xlfn.XLOOKUP(PAA[[#This Row],[ITEM]],Contrato!A:A,Contrato!G:G,"",0)</f>
        <v>#NAME?</v>
      </c>
      <c r="AA406" s="199" t="e">
        <f ca="1">_xlfn.XLOOKUP(PAA[[#This Row],[ITEM]],Contrato!A:A,Contrato!T:T,"",0)</f>
        <v>#NAME?</v>
      </c>
      <c r="AB406" s="210" t="e">
        <f ca="1">+MAX(PAA[[#This Row],[Comprometido Contrato]],)</f>
        <v>#NAME?</v>
      </c>
      <c r="AC406" s="210" t="str">
        <f t="shared" ca="1" si="63"/>
        <v/>
      </c>
      <c r="AD406" s="210" t="e">
        <f ca="1">+MAX(PAA[[#This Row],[Pago por Contrato]],)</f>
        <v>#NAME?</v>
      </c>
      <c r="AE406" s="210" t="str">
        <f t="shared" ca="1" si="60"/>
        <v/>
      </c>
      <c r="AF406" s="199" t="e">
        <f t="shared" ca="1" si="61"/>
        <v>#NAME?</v>
      </c>
      <c r="AG406" s="199">
        <f t="shared" si="62"/>
        <v>52010802</v>
      </c>
      <c r="AH406" s="199" t="e" cm="1">
        <f t="array" aca="1" ref="AH406" ca="1">_xlfn.XLOOKUP(PAA[[#This Row],[RCP-RUBRO]],COMPROMISOS_2025[[#All],[concatenado]],COMPROMISOS_2025[[#All],[Total pagado]],"",0)</f>
        <v>#NAME?</v>
      </c>
      <c r="AI406" s="199" t="e" cm="1">
        <f t="array" aca="1" ref="AI406" ca="1">_xlfn.XLOOKUP(PAA[[#This Row],[RCP-RUBRO]],COMPROMISOS_2025[[#All],[concatenado]],COMPROMISOS_2025[[#All],[Total Comprometido]],"",0)</f>
        <v>#NAME?</v>
      </c>
    </row>
    <row r="407" spans="1:35" s="50" customFormat="1" ht="42" hidden="1" customHeight="1" x14ac:dyDescent="0.25">
      <c r="A407" s="199">
        <v>307</v>
      </c>
      <c r="B407" s="200">
        <v>80111600</v>
      </c>
      <c r="C407" s="199" t="str">
        <f>VLOOKUP(PAA[[#This Row],[PROYECTO (formulado)2]],PROYECTOS!$G$1:$L$32,6,0)</f>
        <v>SUBGERENCIA DE ALTOS LOGROS Y DEPORTE ASOCIADO</v>
      </c>
      <c r="D407" s="199" t="str">
        <f>+IF(PAA[[#This Row],[UNIDAD DE CONTRATACION (formulado)]]="Subgerencia Administrativa y Financiera","FUNCIONAMIENTO","INVERSIÓN")</f>
        <v>INVERSIÓN</v>
      </c>
      <c r="E407" s="201" t="str">
        <f>VLOOKUP(Q407,PROYECTOS!$G$1:$K$32,5,0)</f>
        <v>Apoyo técnico a atletas y para-atletas que representan en alto rendimiento deportivo al departamento de Antioquia</v>
      </c>
      <c r="F407" s="201">
        <f>VLOOKUP(E407,PROYECTOS!$K$1:$M$32,3,0)</f>
        <v>2024003050084</v>
      </c>
      <c r="G407" s="202" t="s">
        <v>450</v>
      </c>
      <c r="H407" s="202" t="str">
        <f>VLOOKUP(Q407,PROYECTOS!$V$1:$W$32,2,0)</f>
        <v>050079</v>
      </c>
      <c r="I407" s="203">
        <v>26545593</v>
      </c>
      <c r="J407" s="204" t="s">
        <v>505</v>
      </c>
      <c r="K407" s="199" t="str">
        <f t="shared" ca="1" si="57"/>
        <v>CONTRATADO</v>
      </c>
      <c r="L407" s="199" t="s">
        <v>112</v>
      </c>
      <c r="M407" s="199" t="s">
        <v>113</v>
      </c>
      <c r="N407" s="205" t="s">
        <v>452</v>
      </c>
      <c r="O407" s="204">
        <f>VLOOKUP(N407,RUBROS[#All],3,0)</f>
        <v>62</v>
      </c>
      <c r="P407" s="206" t="str">
        <f>VLOOKUP(N407,RUBROS[#All],2,0)</f>
        <v>Apoyo técnico a atletas y para-atletas que representan en alto rendimiento deportivo al departamento de Antioquia. - Servicios para la comunidad, sociales y personales</v>
      </c>
      <c r="Q407" s="199" t="str">
        <f t="shared" si="58"/>
        <v>84</v>
      </c>
      <c r="R407" s="199" t="str">
        <f t="shared" si="59"/>
        <v>0-205400</v>
      </c>
      <c r="S407" s="207">
        <v>294</v>
      </c>
      <c r="T407" s="208" t="s">
        <v>220</v>
      </c>
      <c r="U407" s="209" t="e">
        <f ca="1">_xlfn.XLOOKUP(PAA[[#This Row],[ITEM]],Contrato!A:A,Contrato!Q:Q,"",0)</f>
        <v>#NAME?</v>
      </c>
      <c r="V407" s="199" t="s">
        <v>47</v>
      </c>
      <c r="W407" s="199" t="s">
        <v>154</v>
      </c>
      <c r="X407" s="199" t="s">
        <v>154</v>
      </c>
      <c r="Y407" s="210" t="e">
        <f ca="1">_xlfn.XLOOKUP(PAA[[#This Row],[ITEM]],Contrato!A:A,Contrato!B:B,"",0)</f>
        <v>#NAME?</v>
      </c>
      <c r="Z407" s="199" t="e">
        <f ca="1">_xlfn.XLOOKUP(PAA[[#This Row],[ITEM]],Contrato!A:A,Contrato!G:G,"",0)</f>
        <v>#NAME?</v>
      </c>
      <c r="AA407" s="199" t="e">
        <f ca="1">_xlfn.XLOOKUP(PAA[[#This Row],[ITEM]],Contrato!A:A,Contrato!T:T,"",0)</f>
        <v>#NAME?</v>
      </c>
      <c r="AB407" s="210" t="e">
        <f ca="1">+MAX(PAA[[#This Row],[Comprometido Contrato]],)</f>
        <v>#NAME?</v>
      </c>
      <c r="AC407" s="210" t="str">
        <f t="shared" ca="1" si="63"/>
        <v/>
      </c>
      <c r="AD407" s="210" t="e">
        <f ca="1">+MAX(PAA[[#This Row],[Pago por Contrato]],)</f>
        <v>#NAME?</v>
      </c>
      <c r="AE407" s="210" t="str">
        <f t="shared" ca="1" si="60"/>
        <v/>
      </c>
      <c r="AF407" s="199" t="e">
        <f t="shared" ca="1" si="61"/>
        <v>#NAME?</v>
      </c>
      <c r="AG407" s="199">
        <f t="shared" si="62"/>
        <v>52010802</v>
      </c>
      <c r="AH407" s="199" t="e" cm="1">
        <f t="array" aca="1" ref="AH407" ca="1">_xlfn.XLOOKUP(PAA[[#This Row],[RCP-RUBRO]],COMPROMISOS_2025[[#All],[concatenado]],COMPROMISOS_2025[[#All],[Total pagado]],"",0)</f>
        <v>#NAME?</v>
      </c>
      <c r="AI407" s="199" t="e" cm="1">
        <f t="array" aca="1" ref="AI407" ca="1">_xlfn.XLOOKUP(PAA[[#This Row],[RCP-RUBRO]],COMPROMISOS_2025[[#All],[concatenado]],COMPROMISOS_2025[[#All],[Total Comprometido]],"",0)</f>
        <v>#NAME?</v>
      </c>
    </row>
    <row r="408" spans="1:35" s="50" customFormat="1" ht="42" hidden="1" customHeight="1" x14ac:dyDescent="0.25">
      <c r="A408" s="199">
        <v>308</v>
      </c>
      <c r="B408" s="200">
        <v>80111600</v>
      </c>
      <c r="C408" s="199" t="str">
        <f>VLOOKUP(PAA[[#This Row],[PROYECTO (formulado)2]],PROYECTOS!$G$1:$L$32,6,0)</f>
        <v>SUBGERENCIA DE ALTOS LOGROS Y DEPORTE ASOCIADO</v>
      </c>
      <c r="D408" s="199" t="str">
        <f>+IF(PAA[[#This Row],[UNIDAD DE CONTRATACION (formulado)]]="Subgerencia Administrativa y Financiera","FUNCIONAMIENTO","INVERSIÓN")</f>
        <v>INVERSIÓN</v>
      </c>
      <c r="E408" s="201" t="str">
        <f>VLOOKUP(Q408,PROYECTOS!$G$1:$K$32,5,0)</f>
        <v>Apoyo técnico a atletas y para-atletas que representan en alto rendimiento deportivo al departamento de Antioquia</v>
      </c>
      <c r="F408" s="201">
        <f>VLOOKUP(E408,PROYECTOS!$K$1:$M$32,3,0)</f>
        <v>2024003050084</v>
      </c>
      <c r="G408" s="202" t="s">
        <v>450</v>
      </c>
      <c r="H408" s="202" t="str">
        <f>VLOOKUP(Q408,PROYECTOS!$V$1:$W$32,2,0)</f>
        <v>050079</v>
      </c>
      <c r="I408" s="203">
        <v>40747479</v>
      </c>
      <c r="J408" s="204" t="s">
        <v>506</v>
      </c>
      <c r="K408" s="199" t="str">
        <f t="shared" ca="1" si="57"/>
        <v>CONTRATADO</v>
      </c>
      <c r="L408" s="199" t="s">
        <v>112</v>
      </c>
      <c r="M408" s="199" t="s">
        <v>113</v>
      </c>
      <c r="N408" s="205" t="s">
        <v>452</v>
      </c>
      <c r="O408" s="204">
        <f>VLOOKUP(N408,RUBROS[#All],3,0)</f>
        <v>62</v>
      </c>
      <c r="P408" s="206" t="str">
        <f>VLOOKUP(N408,RUBROS[#All],2,0)</f>
        <v>Apoyo técnico a atletas y para-atletas que representan en alto rendimiento deportivo al departamento de Antioquia. - Servicios para la comunidad, sociales y personales</v>
      </c>
      <c r="Q408" s="199" t="str">
        <f t="shared" si="58"/>
        <v>84</v>
      </c>
      <c r="R408" s="199" t="str">
        <f t="shared" si="59"/>
        <v>0-205400</v>
      </c>
      <c r="S408" s="207">
        <v>294</v>
      </c>
      <c r="T408" s="208" t="s">
        <v>220</v>
      </c>
      <c r="U408" s="209" t="e">
        <f ca="1">_xlfn.XLOOKUP(PAA[[#This Row],[ITEM]],Contrato!A:A,Contrato!Q:Q,"",0)</f>
        <v>#NAME?</v>
      </c>
      <c r="V408" s="199" t="s">
        <v>47</v>
      </c>
      <c r="W408" s="199" t="s">
        <v>154</v>
      </c>
      <c r="X408" s="199" t="s">
        <v>154</v>
      </c>
      <c r="Y408" s="210" t="e">
        <f ca="1">_xlfn.XLOOKUP(PAA[[#This Row],[ITEM]],Contrato!A:A,Contrato!B:B,"",0)</f>
        <v>#NAME?</v>
      </c>
      <c r="Z408" s="199" t="e">
        <f ca="1">_xlfn.XLOOKUP(PAA[[#This Row],[ITEM]],Contrato!A:A,Contrato!G:G,"",0)</f>
        <v>#NAME?</v>
      </c>
      <c r="AA408" s="199" t="e">
        <f ca="1">_xlfn.XLOOKUP(PAA[[#This Row],[ITEM]],Contrato!A:A,Contrato!T:T,"",0)</f>
        <v>#NAME?</v>
      </c>
      <c r="AB408" s="210" t="e">
        <f ca="1">+MAX(PAA[[#This Row],[Comprometido Contrato]],)</f>
        <v>#NAME?</v>
      </c>
      <c r="AC408" s="210" t="str">
        <f t="shared" ca="1" si="63"/>
        <v/>
      </c>
      <c r="AD408" s="210" t="e">
        <f ca="1">+MAX(PAA[[#This Row],[Pago por Contrato]],)</f>
        <v>#NAME?</v>
      </c>
      <c r="AE408" s="210" t="str">
        <f t="shared" ca="1" si="60"/>
        <v/>
      </c>
      <c r="AF408" s="199" t="e">
        <f t="shared" ca="1" si="61"/>
        <v>#NAME?</v>
      </c>
      <c r="AG408" s="199">
        <f t="shared" si="62"/>
        <v>52010802</v>
      </c>
      <c r="AH408" s="199" t="e" cm="1">
        <f t="array" aca="1" ref="AH408" ca="1">_xlfn.XLOOKUP(PAA[[#This Row],[RCP-RUBRO]],COMPROMISOS_2025[[#All],[concatenado]],COMPROMISOS_2025[[#All],[Total pagado]],"",0)</f>
        <v>#NAME?</v>
      </c>
      <c r="AI408" s="199" t="e" cm="1">
        <f t="array" aca="1" ref="AI408" ca="1">_xlfn.XLOOKUP(PAA[[#This Row],[RCP-RUBRO]],COMPROMISOS_2025[[#All],[concatenado]],COMPROMISOS_2025[[#All],[Total Comprometido]],"",0)</f>
        <v>#NAME?</v>
      </c>
    </row>
    <row r="409" spans="1:35" s="50" customFormat="1" ht="42" hidden="1" customHeight="1" x14ac:dyDescent="0.25">
      <c r="A409" s="199">
        <v>309</v>
      </c>
      <c r="B409" s="200">
        <v>80111600</v>
      </c>
      <c r="C409" s="199" t="str">
        <f>VLOOKUP(PAA[[#This Row],[PROYECTO (formulado)2]],PROYECTOS!$G$1:$L$32,6,0)</f>
        <v>SUBGERENCIA DE ALTOS LOGROS Y DEPORTE ASOCIADO</v>
      </c>
      <c r="D409" s="199" t="str">
        <f>+IF(PAA[[#This Row],[UNIDAD DE CONTRATACION (formulado)]]="Subgerencia Administrativa y Financiera","FUNCIONAMIENTO","INVERSIÓN")</f>
        <v>INVERSIÓN</v>
      </c>
      <c r="E409" s="201" t="str">
        <f>VLOOKUP(Q409,PROYECTOS!$G$1:$K$32,5,0)</f>
        <v>Apoyo técnico a atletas y para-atletas que representan en alto rendimiento deportivo al departamento de Antioquia</v>
      </c>
      <c r="F409" s="201">
        <f>VLOOKUP(E409,PROYECTOS!$K$1:$M$32,3,0)</f>
        <v>2024003050084</v>
      </c>
      <c r="G409" s="202" t="s">
        <v>450</v>
      </c>
      <c r="H409" s="202" t="str">
        <f>VLOOKUP(Q409,PROYECTOS!$V$1:$W$32,2,0)</f>
        <v>050079</v>
      </c>
      <c r="I409" s="203">
        <v>81536206</v>
      </c>
      <c r="J409" s="204" t="s">
        <v>507</v>
      </c>
      <c r="K409" s="199" t="str">
        <f t="shared" ca="1" si="57"/>
        <v>CONTRATADO</v>
      </c>
      <c r="L409" s="199" t="s">
        <v>112</v>
      </c>
      <c r="M409" s="199" t="s">
        <v>113</v>
      </c>
      <c r="N409" s="205" t="s">
        <v>452</v>
      </c>
      <c r="O409" s="204">
        <f>VLOOKUP(N409,RUBROS[#All],3,0)</f>
        <v>62</v>
      </c>
      <c r="P409" s="206" t="str">
        <f>VLOOKUP(N409,RUBROS[#All],2,0)</f>
        <v>Apoyo técnico a atletas y para-atletas que representan en alto rendimiento deportivo al departamento de Antioquia. - Servicios para la comunidad, sociales y personales</v>
      </c>
      <c r="Q409" s="199" t="str">
        <f t="shared" si="58"/>
        <v>84</v>
      </c>
      <c r="R409" s="199" t="str">
        <f t="shared" si="59"/>
        <v>0-205400</v>
      </c>
      <c r="S409" s="207">
        <v>294</v>
      </c>
      <c r="T409" s="208" t="s">
        <v>220</v>
      </c>
      <c r="U409" s="209" t="e">
        <f ca="1">_xlfn.XLOOKUP(PAA[[#This Row],[ITEM]],Contrato!A:A,Contrato!Q:Q,"",0)</f>
        <v>#NAME?</v>
      </c>
      <c r="V409" s="199" t="s">
        <v>47</v>
      </c>
      <c r="W409" s="199" t="s">
        <v>154</v>
      </c>
      <c r="X409" s="199" t="s">
        <v>154</v>
      </c>
      <c r="Y409" s="210" t="e">
        <f ca="1">_xlfn.XLOOKUP(PAA[[#This Row],[ITEM]],Contrato!A:A,Contrato!B:B,"",0)</f>
        <v>#NAME?</v>
      </c>
      <c r="Z409" s="199" t="e">
        <f ca="1">_xlfn.XLOOKUP(PAA[[#This Row],[ITEM]],Contrato!A:A,Contrato!G:G,"",0)</f>
        <v>#NAME?</v>
      </c>
      <c r="AA409" s="199" t="e">
        <f ca="1">_xlfn.XLOOKUP(PAA[[#This Row],[ITEM]],Contrato!A:A,Contrato!T:T,"",0)</f>
        <v>#NAME?</v>
      </c>
      <c r="AB409" s="210" t="e">
        <f ca="1">+MAX(PAA[[#This Row],[Comprometido Contrato]],)</f>
        <v>#NAME?</v>
      </c>
      <c r="AC409" s="210" t="str">
        <f t="shared" ca="1" si="63"/>
        <v/>
      </c>
      <c r="AD409" s="210" t="e">
        <f ca="1">+MAX(PAA[[#This Row],[Pago por Contrato]],)</f>
        <v>#NAME?</v>
      </c>
      <c r="AE409" s="210" t="str">
        <f t="shared" ca="1" si="60"/>
        <v/>
      </c>
      <c r="AF409" s="199" t="e">
        <f t="shared" ca="1" si="61"/>
        <v>#NAME?</v>
      </c>
      <c r="AG409" s="199">
        <f t="shared" si="62"/>
        <v>52010802</v>
      </c>
      <c r="AH409" s="199" t="e" cm="1">
        <f t="array" aca="1" ref="AH409" ca="1">_xlfn.XLOOKUP(PAA[[#This Row],[RCP-RUBRO]],COMPROMISOS_2025[[#All],[concatenado]],COMPROMISOS_2025[[#All],[Total pagado]],"",0)</f>
        <v>#NAME?</v>
      </c>
      <c r="AI409" s="199" t="e" cm="1">
        <f t="array" aca="1" ref="AI409" ca="1">_xlfn.XLOOKUP(PAA[[#This Row],[RCP-RUBRO]],COMPROMISOS_2025[[#All],[concatenado]],COMPROMISOS_2025[[#All],[Total Comprometido]],"",0)</f>
        <v>#NAME?</v>
      </c>
    </row>
    <row r="410" spans="1:35" s="50" customFormat="1" ht="42" hidden="1" customHeight="1" x14ac:dyDescent="0.25">
      <c r="A410" s="199">
        <v>310</v>
      </c>
      <c r="B410" s="200">
        <v>80111600</v>
      </c>
      <c r="C410" s="199" t="str">
        <f>VLOOKUP(PAA[[#This Row],[PROYECTO (formulado)2]],PROYECTOS!$G$1:$L$32,6,0)</f>
        <v>SUBGERENCIA DE ALTOS LOGROS Y DEPORTE ASOCIADO</v>
      </c>
      <c r="D410" s="199" t="str">
        <f>+IF(PAA[[#This Row],[UNIDAD DE CONTRATACION (formulado)]]="Subgerencia Administrativa y Financiera","FUNCIONAMIENTO","INVERSIÓN")</f>
        <v>INVERSIÓN</v>
      </c>
      <c r="E410" s="201" t="str">
        <f>VLOOKUP(Q410,PROYECTOS!$G$1:$K$32,5,0)</f>
        <v>Apoyo técnico a atletas y para-atletas que representan en alto rendimiento deportivo al departamento de Antioquia</v>
      </c>
      <c r="F410" s="201">
        <f>VLOOKUP(E410,PROYECTOS!$K$1:$M$32,3,0)</f>
        <v>2024003050084</v>
      </c>
      <c r="G410" s="202" t="s">
        <v>450</v>
      </c>
      <c r="H410" s="202" t="str">
        <f>VLOOKUP(Q410,PROYECTOS!$V$1:$W$32,2,0)</f>
        <v>050079</v>
      </c>
      <c r="I410" s="203">
        <v>40747479</v>
      </c>
      <c r="J410" s="204" t="s">
        <v>508</v>
      </c>
      <c r="K410" s="199" t="str">
        <f t="shared" ca="1" si="57"/>
        <v>CONTRATADO</v>
      </c>
      <c r="L410" s="199" t="s">
        <v>112</v>
      </c>
      <c r="M410" s="199" t="s">
        <v>113</v>
      </c>
      <c r="N410" s="205" t="s">
        <v>452</v>
      </c>
      <c r="O410" s="204">
        <f>VLOOKUP(N410,RUBROS[#All],3,0)</f>
        <v>62</v>
      </c>
      <c r="P410" s="206" t="str">
        <f>VLOOKUP(N410,RUBROS[#All],2,0)</f>
        <v>Apoyo técnico a atletas y para-atletas que representan en alto rendimiento deportivo al departamento de Antioquia. - Servicios para la comunidad, sociales y personales</v>
      </c>
      <c r="Q410" s="199" t="str">
        <f t="shared" si="58"/>
        <v>84</v>
      </c>
      <c r="R410" s="199" t="str">
        <f t="shared" si="59"/>
        <v>0-205400</v>
      </c>
      <c r="S410" s="207">
        <v>294</v>
      </c>
      <c r="T410" s="208" t="s">
        <v>220</v>
      </c>
      <c r="U410" s="209" t="e">
        <f ca="1">_xlfn.XLOOKUP(PAA[[#This Row],[ITEM]],Contrato!A:A,Contrato!Q:Q,"",0)</f>
        <v>#NAME?</v>
      </c>
      <c r="V410" s="199" t="s">
        <v>47</v>
      </c>
      <c r="W410" s="199" t="s">
        <v>154</v>
      </c>
      <c r="X410" s="199" t="s">
        <v>154</v>
      </c>
      <c r="Y410" s="210" t="e">
        <f ca="1">_xlfn.XLOOKUP(PAA[[#This Row],[ITEM]],Contrato!A:A,Contrato!B:B,"",0)</f>
        <v>#NAME?</v>
      </c>
      <c r="Z410" s="199" t="e">
        <f ca="1">_xlfn.XLOOKUP(PAA[[#This Row],[ITEM]],Contrato!A:A,Contrato!G:G,"",0)</f>
        <v>#NAME?</v>
      </c>
      <c r="AA410" s="199" t="e">
        <f ca="1">_xlfn.XLOOKUP(PAA[[#This Row],[ITEM]],Contrato!A:A,Contrato!T:T,"",0)</f>
        <v>#NAME?</v>
      </c>
      <c r="AB410" s="210" t="e">
        <f ca="1">+MAX(PAA[[#This Row],[Comprometido Contrato]],)</f>
        <v>#NAME?</v>
      </c>
      <c r="AC410" s="210" t="str">
        <f t="shared" ca="1" si="63"/>
        <v/>
      </c>
      <c r="AD410" s="210" t="e">
        <f ca="1">+MAX(PAA[[#This Row],[Pago por Contrato]],)</f>
        <v>#NAME?</v>
      </c>
      <c r="AE410" s="210" t="str">
        <f t="shared" ca="1" si="60"/>
        <v/>
      </c>
      <c r="AF410" s="199" t="e">
        <f t="shared" ca="1" si="61"/>
        <v>#NAME?</v>
      </c>
      <c r="AG410" s="199">
        <f t="shared" si="62"/>
        <v>52010802</v>
      </c>
      <c r="AH410" s="199" t="e" cm="1">
        <f t="array" aca="1" ref="AH410" ca="1">_xlfn.XLOOKUP(PAA[[#This Row],[RCP-RUBRO]],COMPROMISOS_2025[[#All],[concatenado]],COMPROMISOS_2025[[#All],[Total pagado]],"",0)</f>
        <v>#NAME?</v>
      </c>
      <c r="AI410" s="199" t="e" cm="1">
        <f t="array" aca="1" ref="AI410" ca="1">_xlfn.XLOOKUP(PAA[[#This Row],[RCP-RUBRO]],COMPROMISOS_2025[[#All],[concatenado]],COMPROMISOS_2025[[#All],[Total Comprometido]],"",0)</f>
        <v>#NAME?</v>
      </c>
    </row>
    <row r="411" spans="1:35" s="50" customFormat="1" ht="42" hidden="1" customHeight="1" x14ac:dyDescent="0.25">
      <c r="A411" s="199">
        <v>311</v>
      </c>
      <c r="B411" s="200">
        <v>80111600</v>
      </c>
      <c r="C411" s="199" t="str">
        <f>VLOOKUP(PAA[[#This Row],[PROYECTO (formulado)2]],PROYECTOS!$G$1:$L$32,6,0)</f>
        <v>SUBGERENCIA DE ALTOS LOGROS Y DEPORTE ASOCIADO</v>
      </c>
      <c r="D411" s="199" t="str">
        <f>+IF(PAA[[#This Row],[UNIDAD DE CONTRATACION (formulado)]]="Subgerencia Administrativa y Financiera","FUNCIONAMIENTO","INVERSIÓN")</f>
        <v>INVERSIÓN</v>
      </c>
      <c r="E411" s="201" t="str">
        <f>VLOOKUP(Q411,PROYECTOS!$G$1:$K$32,5,0)</f>
        <v>Apoyo técnico a atletas y para-atletas que representan en alto rendimiento deportivo al departamento de Antioquia</v>
      </c>
      <c r="F411" s="201">
        <f>VLOOKUP(E411,PROYECTOS!$K$1:$M$32,3,0)</f>
        <v>2024003050084</v>
      </c>
      <c r="G411" s="202" t="s">
        <v>450</v>
      </c>
      <c r="H411" s="202" t="str">
        <f>VLOOKUP(Q411,PROYECTOS!$V$1:$W$32,2,0)</f>
        <v>050079</v>
      </c>
      <c r="I411" s="203">
        <v>40747479</v>
      </c>
      <c r="J411" s="204" t="s">
        <v>509</v>
      </c>
      <c r="K411" s="199" t="str">
        <f t="shared" ca="1" si="57"/>
        <v>CONTRATADO</v>
      </c>
      <c r="L411" s="199" t="s">
        <v>112</v>
      </c>
      <c r="M411" s="199" t="s">
        <v>113</v>
      </c>
      <c r="N411" s="205" t="s">
        <v>452</v>
      </c>
      <c r="O411" s="204">
        <f>VLOOKUP(N411,RUBROS[#All],3,0)</f>
        <v>62</v>
      </c>
      <c r="P411" s="206" t="str">
        <f>VLOOKUP(N411,RUBROS[#All],2,0)</f>
        <v>Apoyo técnico a atletas y para-atletas que representan en alto rendimiento deportivo al departamento de Antioquia. - Servicios para la comunidad, sociales y personales</v>
      </c>
      <c r="Q411" s="199" t="str">
        <f t="shared" si="58"/>
        <v>84</v>
      </c>
      <c r="R411" s="199" t="str">
        <f t="shared" si="59"/>
        <v>0-205400</v>
      </c>
      <c r="S411" s="207">
        <v>294</v>
      </c>
      <c r="T411" s="208" t="s">
        <v>220</v>
      </c>
      <c r="U411" s="209" t="e">
        <f ca="1">_xlfn.XLOOKUP(PAA[[#This Row],[ITEM]],Contrato!A:A,Contrato!Q:Q,"",0)</f>
        <v>#NAME?</v>
      </c>
      <c r="V411" s="199" t="s">
        <v>47</v>
      </c>
      <c r="W411" s="199" t="s">
        <v>154</v>
      </c>
      <c r="X411" s="199" t="s">
        <v>154</v>
      </c>
      <c r="Y411" s="210" t="e">
        <f ca="1">_xlfn.XLOOKUP(PAA[[#This Row],[ITEM]],Contrato!A:A,Contrato!B:B,"",0)</f>
        <v>#NAME?</v>
      </c>
      <c r="Z411" s="199" t="e">
        <f ca="1">_xlfn.XLOOKUP(PAA[[#This Row],[ITEM]],Contrato!A:A,Contrato!G:G,"",0)</f>
        <v>#NAME?</v>
      </c>
      <c r="AA411" s="199" t="e">
        <f ca="1">_xlfn.XLOOKUP(PAA[[#This Row],[ITEM]],Contrato!A:A,Contrato!T:T,"",0)</f>
        <v>#NAME?</v>
      </c>
      <c r="AB411" s="210" t="e">
        <f ca="1">+MAX(PAA[[#This Row],[Comprometido Contrato]],)</f>
        <v>#NAME?</v>
      </c>
      <c r="AC411" s="210" t="str">
        <f t="shared" ca="1" si="63"/>
        <v/>
      </c>
      <c r="AD411" s="210" t="e">
        <f ca="1">+MAX(PAA[[#This Row],[Pago por Contrato]],)</f>
        <v>#NAME?</v>
      </c>
      <c r="AE411" s="210" t="str">
        <f t="shared" ca="1" si="60"/>
        <v/>
      </c>
      <c r="AF411" s="199" t="e">
        <f t="shared" ca="1" si="61"/>
        <v>#NAME?</v>
      </c>
      <c r="AG411" s="199">
        <f t="shared" si="62"/>
        <v>52010802</v>
      </c>
      <c r="AH411" s="199" t="e" cm="1">
        <f t="array" aca="1" ref="AH411" ca="1">_xlfn.XLOOKUP(PAA[[#This Row],[RCP-RUBRO]],COMPROMISOS_2025[[#All],[concatenado]],COMPROMISOS_2025[[#All],[Total pagado]],"",0)</f>
        <v>#NAME?</v>
      </c>
      <c r="AI411" s="199" t="e" cm="1">
        <f t="array" aca="1" ref="AI411" ca="1">_xlfn.XLOOKUP(PAA[[#This Row],[RCP-RUBRO]],COMPROMISOS_2025[[#All],[concatenado]],COMPROMISOS_2025[[#All],[Total Comprometido]],"",0)</f>
        <v>#NAME?</v>
      </c>
    </row>
    <row r="412" spans="1:35" s="50" customFormat="1" ht="42" hidden="1" customHeight="1" x14ac:dyDescent="0.25">
      <c r="A412" s="199">
        <v>312</v>
      </c>
      <c r="B412" s="200">
        <v>80111600</v>
      </c>
      <c r="C412" s="199" t="str">
        <f>VLOOKUP(PAA[[#This Row],[PROYECTO (formulado)2]],PROYECTOS!$G$1:$L$32,6,0)</f>
        <v>SUBGERENCIA DE ALTOS LOGROS Y DEPORTE ASOCIADO</v>
      </c>
      <c r="D412" s="199" t="str">
        <f>+IF(PAA[[#This Row],[UNIDAD DE CONTRATACION (formulado)]]="Subgerencia Administrativa y Financiera","FUNCIONAMIENTO","INVERSIÓN")</f>
        <v>INVERSIÓN</v>
      </c>
      <c r="E412" s="201" t="str">
        <f>VLOOKUP(Q412,PROYECTOS!$G$1:$K$32,5,0)</f>
        <v>Apoyo técnico a atletas y para-atletas que representan en alto rendimiento deportivo al departamento de Antioquia</v>
      </c>
      <c r="F412" s="201">
        <f>VLOOKUP(E412,PROYECTOS!$K$1:$M$32,3,0)</f>
        <v>2024003050084</v>
      </c>
      <c r="G412" s="202" t="s">
        <v>450</v>
      </c>
      <c r="H412" s="202" t="str">
        <f>VLOOKUP(Q412,PROYECTOS!$V$1:$W$32,2,0)</f>
        <v>050079</v>
      </c>
      <c r="I412" s="203">
        <v>40747479</v>
      </c>
      <c r="J412" s="204" t="s">
        <v>510</v>
      </c>
      <c r="K412" s="199" t="str">
        <f t="shared" ca="1" si="57"/>
        <v>CONTRATADO</v>
      </c>
      <c r="L412" s="199" t="s">
        <v>112</v>
      </c>
      <c r="M412" s="199" t="s">
        <v>113</v>
      </c>
      <c r="N412" s="205" t="s">
        <v>452</v>
      </c>
      <c r="O412" s="204">
        <f>VLOOKUP(N412,RUBROS[#All],3,0)</f>
        <v>62</v>
      </c>
      <c r="P412" s="206" t="str">
        <f>VLOOKUP(N412,RUBROS[#All],2,0)</f>
        <v>Apoyo técnico a atletas y para-atletas que representan en alto rendimiento deportivo al departamento de Antioquia. - Servicios para la comunidad, sociales y personales</v>
      </c>
      <c r="Q412" s="199" t="str">
        <f t="shared" si="58"/>
        <v>84</v>
      </c>
      <c r="R412" s="199" t="str">
        <f t="shared" si="59"/>
        <v>0-205400</v>
      </c>
      <c r="S412" s="207">
        <v>294</v>
      </c>
      <c r="T412" s="208" t="s">
        <v>220</v>
      </c>
      <c r="U412" s="209" t="e">
        <f ca="1">_xlfn.XLOOKUP(PAA[[#This Row],[ITEM]],Contrato!A:A,Contrato!Q:Q,"",0)</f>
        <v>#NAME?</v>
      </c>
      <c r="V412" s="199" t="s">
        <v>47</v>
      </c>
      <c r="W412" s="199" t="s">
        <v>154</v>
      </c>
      <c r="X412" s="199" t="s">
        <v>154</v>
      </c>
      <c r="Y412" s="210" t="e">
        <f ca="1">_xlfn.XLOOKUP(PAA[[#This Row],[ITEM]],Contrato!A:A,Contrato!B:B,"",0)</f>
        <v>#NAME?</v>
      </c>
      <c r="Z412" s="199" t="e">
        <f ca="1">_xlfn.XLOOKUP(PAA[[#This Row],[ITEM]],Contrato!A:A,Contrato!G:G,"",0)</f>
        <v>#NAME?</v>
      </c>
      <c r="AA412" s="199" t="e">
        <f ca="1">_xlfn.XLOOKUP(PAA[[#This Row],[ITEM]],Contrato!A:A,Contrato!T:T,"",0)</f>
        <v>#NAME?</v>
      </c>
      <c r="AB412" s="210" t="e">
        <f ca="1">+MAX(PAA[[#This Row],[Comprometido Contrato]],)</f>
        <v>#NAME?</v>
      </c>
      <c r="AC412" s="210" t="str">
        <f t="shared" ca="1" si="63"/>
        <v/>
      </c>
      <c r="AD412" s="210" t="e">
        <f ca="1">+MAX(PAA[[#This Row],[Pago por Contrato]],)</f>
        <v>#NAME?</v>
      </c>
      <c r="AE412" s="210" t="str">
        <f t="shared" ca="1" si="60"/>
        <v/>
      </c>
      <c r="AF412" s="199" t="e">
        <f t="shared" ca="1" si="61"/>
        <v>#NAME?</v>
      </c>
      <c r="AG412" s="199">
        <f t="shared" si="62"/>
        <v>52010802</v>
      </c>
      <c r="AH412" s="199" t="e" cm="1">
        <f t="array" aca="1" ref="AH412" ca="1">_xlfn.XLOOKUP(PAA[[#This Row],[RCP-RUBRO]],COMPROMISOS_2025[[#All],[concatenado]],COMPROMISOS_2025[[#All],[Total pagado]],"",0)</f>
        <v>#NAME?</v>
      </c>
      <c r="AI412" s="199" t="e" cm="1">
        <f t="array" aca="1" ref="AI412" ca="1">_xlfn.XLOOKUP(PAA[[#This Row],[RCP-RUBRO]],COMPROMISOS_2025[[#All],[concatenado]],COMPROMISOS_2025[[#All],[Total Comprometido]],"",0)</f>
        <v>#NAME?</v>
      </c>
    </row>
    <row r="413" spans="1:35" s="50" customFormat="1" ht="42" hidden="1" customHeight="1" x14ac:dyDescent="0.25">
      <c r="A413" s="199">
        <v>313</v>
      </c>
      <c r="B413" s="200">
        <v>80111600</v>
      </c>
      <c r="C413" s="199" t="str">
        <f>VLOOKUP(PAA[[#This Row],[PROYECTO (formulado)2]],PROYECTOS!$G$1:$L$32,6,0)</f>
        <v>SUBGERENCIA DE ALTOS LOGROS Y DEPORTE ASOCIADO</v>
      </c>
      <c r="D413" s="199" t="str">
        <f>+IF(PAA[[#This Row],[UNIDAD DE CONTRATACION (formulado)]]="Subgerencia Administrativa y Financiera","FUNCIONAMIENTO","INVERSIÓN")</f>
        <v>INVERSIÓN</v>
      </c>
      <c r="E413" s="201" t="str">
        <f>VLOOKUP(Q413,PROYECTOS!$G$1:$K$32,5,0)</f>
        <v>Apoyo técnico a atletas y para-atletas que representan en alto rendimiento deportivo al departamento de Antioquia</v>
      </c>
      <c r="F413" s="201">
        <f>VLOOKUP(E413,PROYECTOS!$K$1:$M$32,3,0)</f>
        <v>2024003050084</v>
      </c>
      <c r="G413" s="202" t="s">
        <v>450</v>
      </c>
      <c r="H413" s="202" t="str">
        <f>VLOOKUP(Q413,PROYECTOS!$V$1:$W$32,2,0)</f>
        <v>050079</v>
      </c>
      <c r="I413" s="203">
        <v>81536206</v>
      </c>
      <c r="J413" s="204" t="s">
        <v>511</v>
      </c>
      <c r="K413" s="199" t="str">
        <f t="shared" ca="1" si="57"/>
        <v>CONTRATADO</v>
      </c>
      <c r="L413" s="199" t="s">
        <v>112</v>
      </c>
      <c r="M413" s="199" t="s">
        <v>113</v>
      </c>
      <c r="N413" s="205" t="s">
        <v>452</v>
      </c>
      <c r="O413" s="204">
        <f>VLOOKUP(N413,RUBROS[#All],3,0)</f>
        <v>62</v>
      </c>
      <c r="P413" s="206" t="str">
        <f>VLOOKUP(N413,RUBROS[#All],2,0)</f>
        <v>Apoyo técnico a atletas y para-atletas que representan en alto rendimiento deportivo al departamento de Antioquia. - Servicios para la comunidad, sociales y personales</v>
      </c>
      <c r="Q413" s="199" t="str">
        <f t="shared" si="58"/>
        <v>84</v>
      </c>
      <c r="R413" s="199" t="str">
        <f t="shared" si="59"/>
        <v>0-205400</v>
      </c>
      <c r="S413" s="207">
        <v>294</v>
      </c>
      <c r="T413" s="208" t="s">
        <v>220</v>
      </c>
      <c r="U413" s="209" t="e">
        <f ca="1">_xlfn.XLOOKUP(PAA[[#This Row],[ITEM]],Contrato!A:A,Contrato!Q:Q,"",0)</f>
        <v>#NAME?</v>
      </c>
      <c r="V413" s="199" t="s">
        <v>47</v>
      </c>
      <c r="W413" s="199" t="s">
        <v>154</v>
      </c>
      <c r="X413" s="199" t="s">
        <v>154</v>
      </c>
      <c r="Y413" s="210" t="e">
        <f ca="1">_xlfn.XLOOKUP(PAA[[#This Row],[ITEM]],Contrato!A:A,Contrato!B:B,"",0)</f>
        <v>#NAME?</v>
      </c>
      <c r="Z413" s="199" t="e">
        <f ca="1">_xlfn.XLOOKUP(PAA[[#This Row],[ITEM]],Contrato!A:A,Contrato!G:G,"",0)</f>
        <v>#NAME?</v>
      </c>
      <c r="AA413" s="199" t="e">
        <f ca="1">_xlfn.XLOOKUP(PAA[[#This Row],[ITEM]],Contrato!A:A,Contrato!T:T,"",0)</f>
        <v>#NAME?</v>
      </c>
      <c r="AB413" s="210" t="e">
        <f ca="1">+MAX(PAA[[#This Row],[Comprometido Contrato]],)</f>
        <v>#NAME?</v>
      </c>
      <c r="AC413" s="210" t="str">
        <f t="shared" ca="1" si="63"/>
        <v/>
      </c>
      <c r="AD413" s="210" t="e">
        <f ca="1">+MAX(PAA[[#This Row],[Pago por Contrato]],)</f>
        <v>#NAME?</v>
      </c>
      <c r="AE413" s="210" t="str">
        <f t="shared" ca="1" si="60"/>
        <v/>
      </c>
      <c r="AF413" s="199" t="e">
        <f t="shared" ca="1" si="61"/>
        <v>#NAME?</v>
      </c>
      <c r="AG413" s="199">
        <f t="shared" si="62"/>
        <v>52010802</v>
      </c>
      <c r="AH413" s="199" t="e" cm="1">
        <f t="array" aca="1" ref="AH413" ca="1">_xlfn.XLOOKUP(PAA[[#This Row],[RCP-RUBRO]],COMPROMISOS_2025[[#All],[concatenado]],COMPROMISOS_2025[[#All],[Total pagado]],"",0)</f>
        <v>#NAME?</v>
      </c>
      <c r="AI413" s="199" t="e" cm="1">
        <f t="array" aca="1" ref="AI413" ca="1">_xlfn.XLOOKUP(PAA[[#This Row],[RCP-RUBRO]],COMPROMISOS_2025[[#All],[concatenado]],COMPROMISOS_2025[[#All],[Total Comprometido]],"",0)</f>
        <v>#NAME?</v>
      </c>
    </row>
    <row r="414" spans="1:35" s="50" customFormat="1" ht="42" hidden="1" customHeight="1" x14ac:dyDescent="0.25">
      <c r="A414" s="199">
        <v>314</v>
      </c>
      <c r="B414" s="200">
        <v>80111600</v>
      </c>
      <c r="C414" s="199" t="str">
        <f>VLOOKUP(PAA[[#This Row],[PROYECTO (formulado)2]],PROYECTOS!$G$1:$L$32,6,0)</f>
        <v>SUBGERENCIA DE ALTOS LOGROS Y DEPORTE ASOCIADO</v>
      </c>
      <c r="D414" s="199" t="str">
        <f>+IF(PAA[[#This Row],[UNIDAD DE CONTRATACION (formulado)]]="Subgerencia Administrativa y Financiera","FUNCIONAMIENTO","INVERSIÓN")</f>
        <v>INVERSIÓN</v>
      </c>
      <c r="E414" s="201" t="str">
        <f>VLOOKUP(Q414,PROYECTOS!$G$1:$K$32,5,0)</f>
        <v>Apoyo técnico a atletas y para-atletas que representan en alto rendimiento deportivo al departamento de Antioquia</v>
      </c>
      <c r="F414" s="201">
        <f>VLOOKUP(E414,PROYECTOS!$K$1:$M$32,3,0)</f>
        <v>2024003050084</v>
      </c>
      <c r="G414" s="202" t="s">
        <v>450</v>
      </c>
      <c r="H414" s="202" t="str">
        <f>VLOOKUP(Q414,PROYECTOS!$V$1:$W$32,2,0)</f>
        <v>050079</v>
      </c>
      <c r="I414" s="203">
        <v>40747479</v>
      </c>
      <c r="J414" s="204" t="s">
        <v>512</v>
      </c>
      <c r="K414" s="199" t="str">
        <f t="shared" ca="1" si="57"/>
        <v>CONTRATADO</v>
      </c>
      <c r="L414" s="199" t="s">
        <v>112</v>
      </c>
      <c r="M414" s="199" t="s">
        <v>113</v>
      </c>
      <c r="N414" s="205" t="s">
        <v>452</v>
      </c>
      <c r="O414" s="204">
        <f>VLOOKUP(N414,RUBROS[#All],3,0)</f>
        <v>62</v>
      </c>
      <c r="P414" s="206" t="str">
        <f>VLOOKUP(N414,RUBROS[#All],2,0)</f>
        <v>Apoyo técnico a atletas y para-atletas que representan en alto rendimiento deportivo al departamento de Antioquia. - Servicios para la comunidad, sociales y personales</v>
      </c>
      <c r="Q414" s="199" t="str">
        <f t="shared" si="58"/>
        <v>84</v>
      </c>
      <c r="R414" s="199" t="str">
        <f t="shared" si="59"/>
        <v>0-205400</v>
      </c>
      <c r="S414" s="207">
        <v>294</v>
      </c>
      <c r="T414" s="208" t="s">
        <v>220</v>
      </c>
      <c r="U414" s="209" t="e">
        <f ca="1">_xlfn.XLOOKUP(PAA[[#This Row],[ITEM]],Contrato!A:A,Contrato!Q:Q,"",0)</f>
        <v>#NAME?</v>
      </c>
      <c r="V414" s="199" t="s">
        <v>47</v>
      </c>
      <c r="W414" s="199" t="s">
        <v>154</v>
      </c>
      <c r="X414" s="199" t="s">
        <v>154</v>
      </c>
      <c r="Y414" s="210" t="e">
        <f ca="1">_xlfn.XLOOKUP(PAA[[#This Row],[ITEM]],Contrato!A:A,Contrato!B:B,"",0)</f>
        <v>#NAME?</v>
      </c>
      <c r="Z414" s="199" t="e">
        <f ca="1">_xlfn.XLOOKUP(PAA[[#This Row],[ITEM]],Contrato!A:A,Contrato!G:G,"",0)</f>
        <v>#NAME?</v>
      </c>
      <c r="AA414" s="199" t="e">
        <f ca="1">_xlfn.XLOOKUP(PAA[[#This Row],[ITEM]],Contrato!A:A,Contrato!T:T,"",0)</f>
        <v>#NAME?</v>
      </c>
      <c r="AB414" s="210" t="e">
        <f ca="1">+MAX(PAA[[#This Row],[Comprometido Contrato]],)</f>
        <v>#NAME?</v>
      </c>
      <c r="AC414" s="210" t="str">
        <f t="shared" ca="1" si="63"/>
        <v/>
      </c>
      <c r="AD414" s="210" t="e">
        <f ca="1">+MAX(PAA[[#This Row],[Pago por Contrato]],)</f>
        <v>#NAME?</v>
      </c>
      <c r="AE414" s="210" t="str">
        <f t="shared" ca="1" si="60"/>
        <v/>
      </c>
      <c r="AF414" s="199" t="e">
        <f t="shared" ca="1" si="61"/>
        <v>#NAME?</v>
      </c>
      <c r="AG414" s="199">
        <f t="shared" si="62"/>
        <v>52010802</v>
      </c>
      <c r="AH414" s="199" t="e" cm="1">
        <f t="array" aca="1" ref="AH414" ca="1">_xlfn.XLOOKUP(PAA[[#This Row],[RCP-RUBRO]],COMPROMISOS_2025[[#All],[concatenado]],COMPROMISOS_2025[[#All],[Total pagado]],"",0)</f>
        <v>#NAME?</v>
      </c>
      <c r="AI414" s="199" t="e" cm="1">
        <f t="array" aca="1" ref="AI414" ca="1">_xlfn.XLOOKUP(PAA[[#This Row],[RCP-RUBRO]],COMPROMISOS_2025[[#All],[concatenado]],COMPROMISOS_2025[[#All],[Total Comprometido]],"",0)</f>
        <v>#NAME?</v>
      </c>
    </row>
    <row r="415" spans="1:35" s="50" customFormat="1" ht="42" hidden="1" customHeight="1" x14ac:dyDescent="0.25">
      <c r="A415" s="199">
        <v>315</v>
      </c>
      <c r="B415" s="200">
        <v>80111600</v>
      </c>
      <c r="C415" s="199" t="str">
        <f>VLOOKUP(PAA[[#This Row],[PROYECTO (formulado)2]],PROYECTOS!$G$1:$L$32,6,0)</f>
        <v>SUBGERENCIA DE ALTOS LOGROS Y DEPORTE ASOCIADO</v>
      </c>
      <c r="D415" s="199" t="str">
        <f>+IF(PAA[[#This Row],[UNIDAD DE CONTRATACION (formulado)]]="Subgerencia Administrativa y Financiera","FUNCIONAMIENTO","INVERSIÓN")</f>
        <v>INVERSIÓN</v>
      </c>
      <c r="E415" s="201" t="str">
        <f>VLOOKUP(Q415,PROYECTOS!$G$1:$K$32,5,0)</f>
        <v>Apoyo técnico a atletas y para-atletas que representan en alto rendimiento deportivo al departamento de Antioquia</v>
      </c>
      <c r="F415" s="201">
        <f>VLOOKUP(E415,PROYECTOS!$K$1:$M$32,3,0)</f>
        <v>2024003050084</v>
      </c>
      <c r="G415" s="202" t="s">
        <v>450</v>
      </c>
      <c r="H415" s="202" t="str">
        <f>VLOOKUP(Q415,PROYECTOS!$V$1:$W$32,2,0)</f>
        <v>050079</v>
      </c>
      <c r="I415" s="203">
        <v>50609170</v>
      </c>
      <c r="J415" s="204" t="s">
        <v>513</v>
      </c>
      <c r="K415" s="199" t="str">
        <f t="shared" ca="1" si="57"/>
        <v>CONTRATADO</v>
      </c>
      <c r="L415" s="199" t="s">
        <v>112</v>
      </c>
      <c r="M415" s="199" t="s">
        <v>113</v>
      </c>
      <c r="N415" s="205" t="s">
        <v>452</v>
      </c>
      <c r="O415" s="204">
        <f>VLOOKUP(N415,RUBROS[#All],3,0)</f>
        <v>62</v>
      </c>
      <c r="P415" s="206" t="str">
        <f>VLOOKUP(N415,RUBROS[#All],2,0)</f>
        <v>Apoyo técnico a atletas y para-atletas que representan en alto rendimiento deportivo al departamento de Antioquia. - Servicios para la comunidad, sociales y personales</v>
      </c>
      <c r="Q415" s="199" t="str">
        <f t="shared" si="58"/>
        <v>84</v>
      </c>
      <c r="R415" s="199" t="str">
        <f t="shared" si="59"/>
        <v>0-205400</v>
      </c>
      <c r="S415" s="207">
        <v>294</v>
      </c>
      <c r="T415" s="208" t="s">
        <v>220</v>
      </c>
      <c r="U415" s="209" t="e">
        <f ca="1">_xlfn.XLOOKUP(PAA[[#This Row],[ITEM]],Contrato!A:A,Contrato!Q:Q,"",0)</f>
        <v>#NAME?</v>
      </c>
      <c r="V415" s="199" t="s">
        <v>47</v>
      </c>
      <c r="W415" s="199" t="s">
        <v>154</v>
      </c>
      <c r="X415" s="199" t="s">
        <v>154</v>
      </c>
      <c r="Y415" s="210" t="e">
        <f ca="1">_xlfn.XLOOKUP(PAA[[#This Row],[ITEM]],Contrato!A:A,Contrato!B:B,"",0)</f>
        <v>#NAME?</v>
      </c>
      <c r="Z415" s="199" t="e">
        <f ca="1">_xlfn.XLOOKUP(PAA[[#This Row],[ITEM]],Contrato!A:A,Contrato!G:G,"",0)</f>
        <v>#NAME?</v>
      </c>
      <c r="AA415" s="199" t="e">
        <f ca="1">_xlfn.XLOOKUP(PAA[[#This Row],[ITEM]],Contrato!A:A,Contrato!T:T,"",0)</f>
        <v>#NAME?</v>
      </c>
      <c r="AB415" s="210" t="e">
        <f ca="1">+MAX(PAA[[#This Row],[Comprometido Contrato]],)</f>
        <v>#NAME?</v>
      </c>
      <c r="AC415" s="210" t="str">
        <f t="shared" ca="1" si="63"/>
        <v/>
      </c>
      <c r="AD415" s="210" t="e">
        <f ca="1">+MAX(PAA[[#This Row],[Pago por Contrato]],)</f>
        <v>#NAME?</v>
      </c>
      <c r="AE415" s="210" t="str">
        <f t="shared" ca="1" si="60"/>
        <v/>
      </c>
      <c r="AF415" s="199" t="e">
        <f t="shared" ca="1" si="61"/>
        <v>#NAME?</v>
      </c>
      <c r="AG415" s="199">
        <f t="shared" si="62"/>
        <v>52010802</v>
      </c>
      <c r="AH415" s="199" t="e" cm="1">
        <f t="array" aca="1" ref="AH415" ca="1">_xlfn.XLOOKUP(PAA[[#This Row],[RCP-RUBRO]],COMPROMISOS_2025[[#All],[concatenado]],COMPROMISOS_2025[[#All],[Total pagado]],"",0)</f>
        <v>#NAME?</v>
      </c>
      <c r="AI415" s="199" t="e" cm="1">
        <f t="array" aca="1" ref="AI415" ca="1">_xlfn.XLOOKUP(PAA[[#This Row],[RCP-RUBRO]],COMPROMISOS_2025[[#All],[concatenado]],COMPROMISOS_2025[[#All],[Total Comprometido]],"",0)</f>
        <v>#NAME?</v>
      </c>
    </row>
    <row r="416" spans="1:35" s="50" customFormat="1" ht="42" hidden="1" customHeight="1" x14ac:dyDescent="0.25">
      <c r="A416" s="199">
        <v>316</v>
      </c>
      <c r="B416" s="200">
        <v>80111600</v>
      </c>
      <c r="C416" s="199" t="str">
        <f>VLOOKUP(PAA[[#This Row],[PROYECTO (formulado)2]],PROYECTOS!$G$1:$L$32,6,0)</f>
        <v>SUBGERENCIA DE ALTOS LOGROS Y DEPORTE ASOCIADO</v>
      </c>
      <c r="D416" s="199" t="str">
        <f>+IF(PAA[[#This Row],[UNIDAD DE CONTRATACION (formulado)]]="Subgerencia Administrativa y Financiera","FUNCIONAMIENTO","INVERSIÓN")</f>
        <v>INVERSIÓN</v>
      </c>
      <c r="E416" s="201" t="str">
        <f>VLOOKUP(Q416,PROYECTOS!$G$1:$K$32,5,0)</f>
        <v>Apoyo técnico a atletas y para-atletas que representan en alto rendimiento deportivo al departamento de Antioquia</v>
      </c>
      <c r="F416" s="201">
        <f>VLOOKUP(E416,PROYECTOS!$K$1:$M$32,3,0)</f>
        <v>2024003050084</v>
      </c>
      <c r="G416" s="202" t="s">
        <v>450</v>
      </c>
      <c r="H416" s="202" t="str">
        <f>VLOOKUP(Q416,PROYECTOS!$V$1:$W$32,2,0)</f>
        <v>050079</v>
      </c>
      <c r="I416" s="203">
        <v>40747479</v>
      </c>
      <c r="J416" s="204" t="s">
        <v>514</v>
      </c>
      <c r="K416" s="199" t="str">
        <f t="shared" ca="1" si="57"/>
        <v>CONTRATADO</v>
      </c>
      <c r="L416" s="199" t="s">
        <v>112</v>
      </c>
      <c r="M416" s="199" t="s">
        <v>113</v>
      </c>
      <c r="N416" s="205" t="s">
        <v>452</v>
      </c>
      <c r="O416" s="204">
        <f>VLOOKUP(N416,RUBROS[#All],3,0)</f>
        <v>62</v>
      </c>
      <c r="P416" s="206" t="str">
        <f>VLOOKUP(N416,RUBROS[#All],2,0)</f>
        <v>Apoyo técnico a atletas y para-atletas que representan en alto rendimiento deportivo al departamento de Antioquia. - Servicios para la comunidad, sociales y personales</v>
      </c>
      <c r="Q416" s="199" t="str">
        <f t="shared" si="58"/>
        <v>84</v>
      </c>
      <c r="R416" s="199" t="str">
        <f t="shared" si="59"/>
        <v>0-205400</v>
      </c>
      <c r="S416" s="207">
        <v>294</v>
      </c>
      <c r="T416" s="208" t="s">
        <v>220</v>
      </c>
      <c r="U416" s="209" t="e">
        <f ca="1">_xlfn.XLOOKUP(PAA[[#This Row],[ITEM]],Contrato!A:A,Contrato!Q:Q,"",0)</f>
        <v>#NAME?</v>
      </c>
      <c r="V416" s="199" t="s">
        <v>47</v>
      </c>
      <c r="W416" s="199" t="s">
        <v>154</v>
      </c>
      <c r="X416" s="199" t="s">
        <v>154</v>
      </c>
      <c r="Y416" s="210" t="e">
        <f ca="1">_xlfn.XLOOKUP(PAA[[#This Row],[ITEM]],Contrato!A:A,Contrato!B:B,"",0)</f>
        <v>#NAME?</v>
      </c>
      <c r="Z416" s="199" t="e">
        <f ca="1">_xlfn.XLOOKUP(PAA[[#This Row],[ITEM]],Contrato!A:A,Contrato!G:G,"",0)</f>
        <v>#NAME?</v>
      </c>
      <c r="AA416" s="199" t="e">
        <f ca="1">_xlfn.XLOOKUP(PAA[[#This Row],[ITEM]],Contrato!A:A,Contrato!T:T,"",0)</f>
        <v>#NAME?</v>
      </c>
      <c r="AB416" s="210" t="e">
        <f ca="1">+MAX(PAA[[#This Row],[Comprometido Contrato]],)</f>
        <v>#NAME?</v>
      </c>
      <c r="AC416" s="210" t="str">
        <f t="shared" ca="1" si="63"/>
        <v/>
      </c>
      <c r="AD416" s="210" t="e">
        <f ca="1">+MAX(PAA[[#This Row],[Pago por Contrato]],)</f>
        <v>#NAME?</v>
      </c>
      <c r="AE416" s="210" t="str">
        <f t="shared" ca="1" si="60"/>
        <v/>
      </c>
      <c r="AF416" s="199" t="e">
        <f t="shared" ca="1" si="61"/>
        <v>#NAME?</v>
      </c>
      <c r="AG416" s="199">
        <f t="shared" si="62"/>
        <v>52010802</v>
      </c>
      <c r="AH416" s="199" t="e" cm="1">
        <f t="array" aca="1" ref="AH416" ca="1">_xlfn.XLOOKUP(PAA[[#This Row],[RCP-RUBRO]],COMPROMISOS_2025[[#All],[concatenado]],COMPROMISOS_2025[[#All],[Total pagado]],"",0)</f>
        <v>#NAME?</v>
      </c>
      <c r="AI416" s="199" t="e" cm="1">
        <f t="array" aca="1" ref="AI416" ca="1">_xlfn.XLOOKUP(PAA[[#This Row],[RCP-RUBRO]],COMPROMISOS_2025[[#All],[concatenado]],COMPROMISOS_2025[[#All],[Total Comprometido]],"",0)</f>
        <v>#NAME?</v>
      </c>
    </row>
    <row r="417" spans="1:35" s="50" customFormat="1" ht="42" hidden="1" customHeight="1" x14ac:dyDescent="0.25">
      <c r="A417" s="199">
        <v>317</v>
      </c>
      <c r="B417" s="200">
        <v>80111600</v>
      </c>
      <c r="C417" s="199" t="str">
        <f>VLOOKUP(PAA[[#This Row],[PROYECTO (formulado)2]],PROYECTOS!$G$1:$L$32,6,0)</f>
        <v>SUBGERENCIA DE ALTOS LOGROS Y DEPORTE ASOCIADO</v>
      </c>
      <c r="D417" s="199" t="str">
        <f>+IF(PAA[[#This Row],[UNIDAD DE CONTRATACION (formulado)]]="Subgerencia Administrativa y Financiera","FUNCIONAMIENTO","INVERSIÓN")</f>
        <v>INVERSIÓN</v>
      </c>
      <c r="E417" s="201" t="str">
        <f>VLOOKUP(Q417,PROYECTOS!$G$1:$K$32,5,0)</f>
        <v>Apoyo técnico a atletas y para-atletas que representan en alto rendimiento deportivo al departamento de Antioquia</v>
      </c>
      <c r="F417" s="201">
        <f>VLOOKUP(E417,PROYECTOS!$K$1:$M$32,3,0)</f>
        <v>2024003050084</v>
      </c>
      <c r="G417" s="202" t="s">
        <v>450</v>
      </c>
      <c r="H417" s="202" t="str">
        <f>VLOOKUP(Q417,PROYECTOS!$V$1:$W$32,2,0)</f>
        <v>050079</v>
      </c>
      <c r="I417" s="203">
        <v>40747479</v>
      </c>
      <c r="J417" s="204" t="s">
        <v>515</v>
      </c>
      <c r="K417" s="199" t="str">
        <f t="shared" ca="1" si="57"/>
        <v>CONTRATADO</v>
      </c>
      <c r="L417" s="199" t="s">
        <v>112</v>
      </c>
      <c r="M417" s="199" t="s">
        <v>113</v>
      </c>
      <c r="N417" s="205" t="s">
        <v>452</v>
      </c>
      <c r="O417" s="204">
        <f>VLOOKUP(N417,RUBROS[#All],3,0)</f>
        <v>62</v>
      </c>
      <c r="P417" s="206" t="str">
        <f>VLOOKUP(N417,RUBROS[#All],2,0)</f>
        <v>Apoyo técnico a atletas y para-atletas que representan en alto rendimiento deportivo al departamento de Antioquia. - Servicios para la comunidad, sociales y personales</v>
      </c>
      <c r="Q417" s="199" t="str">
        <f t="shared" si="58"/>
        <v>84</v>
      </c>
      <c r="R417" s="199" t="str">
        <f t="shared" si="59"/>
        <v>0-205400</v>
      </c>
      <c r="S417" s="207">
        <v>294</v>
      </c>
      <c r="T417" s="208" t="s">
        <v>220</v>
      </c>
      <c r="U417" s="209" t="e">
        <f ca="1">_xlfn.XLOOKUP(PAA[[#This Row],[ITEM]],Contrato!A:A,Contrato!Q:Q,"",0)</f>
        <v>#NAME?</v>
      </c>
      <c r="V417" s="199" t="s">
        <v>47</v>
      </c>
      <c r="W417" s="199" t="s">
        <v>154</v>
      </c>
      <c r="X417" s="199" t="s">
        <v>154</v>
      </c>
      <c r="Y417" s="210" t="e">
        <f ca="1">_xlfn.XLOOKUP(PAA[[#This Row],[ITEM]],Contrato!A:A,Contrato!B:B,"",0)</f>
        <v>#NAME?</v>
      </c>
      <c r="Z417" s="199" t="e">
        <f ca="1">_xlfn.XLOOKUP(PAA[[#This Row],[ITEM]],Contrato!A:A,Contrato!G:G,"",0)</f>
        <v>#NAME?</v>
      </c>
      <c r="AA417" s="199" t="e">
        <f ca="1">_xlfn.XLOOKUP(PAA[[#This Row],[ITEM]],Contrato!A:A,Contrato!T:T,"",0)</f>
        <v>#NAME?</v>
      </c>
      <c r="AB417" s="210" t="e">
        <f ca="1">+MAX(PAA[[#This Row],[Comprometido Contrato]],)</f>
        <v>#NAME?</v>
      </c>
      <c r="AC417" s="210" t="str">
        <f t="shared" ca="1" si="63"/>
        <v/>
      </c>
      <c r="AD417" s="210" t="e">
        <f ca="1">+MAX(PAA[[#This Row],[Pago por Contrato]],)</f>
        <v>#NAME?</v>
      </c>
      <c r="AE417" s="210" t="str">
        <f t="shared" ca="1" si="60"/>
        <v/>
      </c>
      <c r="AF417" s="199" t="e">
        <f t="shared" ca="1" si="61"/>
        <v>#NAME?</v>
      </c>
      <c r="AG417" s="199">
        <f t="shared" si="62"/>
        <v>52010802</v>
      </c>
      <c r="AH417" s="199" t="e" cm="1">
        <f t="array" aca="1" ref="AH417" ca="1">_xlfn.XLOOKUP(PAA[[#This Row],[RCP-RUBRO]],COMPROMISOS_2025[[#All],[concatenado]],COMPROMISOS_2025[[#All],[Total pagado]],"",0)</f>
        <v>#NAME?</v>
      </c>
      <c r="AI417" s="199" t="e" cm="1">
        <f t="array" aca="1" ref="AI417" ca="1">_xlfn.XLOOKUP(PAA[[#This Row],[RCP-RUBRO]],COMPROMISOS_2025[[#All],[concatenado]],COMPROMISOS_2025[[#All],[Total Comprometido]],"",0)</f>
        <v>#NAME?</v>
      </c>
    </row>
    <row r="418" spans="1:35" s="50" customFormat="1" ht="42" hidden="1" customHeight="1" x14ac:dyDescent="0.25">
      <c r="A418" s="199">
        <v>318</v>
      </c>
      <c r="B418" s="200">
        <v>80111600</v>
      </c>
      <c r="C418" s="199" t="str">
        <f>VLOOKUP(PAA[[#This Row],[PROYECTO (formulado)2]],PROYECTOS!$G$1:$L$32,6,0)</f>
        <v>SUBGERENCIA DE ALTOS LOGROS Y DEPORTE ASOCIADO</v>
      </c>
      <c r="D418" s="199" t="str">
        <f>+IF(PAA[[#This Row],[UNIDAD DE CONTRATACION (formulado)]]="Subgerencia Administrativa y Financiera","FUNCIONAMIENTO","INVERSIÓN")</f>
        <v>INVERSIÓN</v>
      </c>
      <c r="E418" s="201" t="str">
        <f>VLOOKUP(Q418,PROYECTOS!$G$1:$K$32,5,0)</f>
        <v>Apoyo técnico a atletas y para-atletas que representan en alto rendimiento deportivo al departamento de Antioquia</v>
      </c>
      <c r="F418" s="201">
        <f>VLOOKUP(E418,PROYECTOS!$K$1:$M$32,3,0)</f>
        <v>2024003050084</v>
      </c>
      <c r="G418" s="202" t="s">
        <v>450</v>
      </c>
      <c r="H418" s="202" t="str">
        <f>VLOOKUP(Q418,PROYECTOS!$V$1:$W$32,2,0)</f>
        <v>050079</v>
      </c>
      <c r="I418" s="203">
        <v>26545593</v>
      </c>
      <c r="J418" s="204" t="s">
        <v>516</v>
      </c>
      <c r="K418" s="199" t="str">
        <f t="shared" ca="1" si="57"/>
        <v>CONTRATADO</v>
      </c>
      <c r="L418" s="199" t="s">
        <v>112</v>
      </c>
      <c r="M418" s="199" t="s">
        <v>113</v>
      </c>
      <c r="N418" s="205" t="s">
        <v>452</v>
      </c>
      <c r="O418" s="204">
        <f>VLOOKUP(N418,RUBROS[#All],3,0)</f>
        <v>62</v>
      </c>
      <c r="P418" s="206" t="str">
        <f>VLOOKUP(N418,RUBROS[#All],2,0)</f>
        <v>Apoyo técnico a atletas y para-atletas que representan en alto rendimiento deportivo al departamento de Antioquia. - Servicios para la comunidad, sociales y personales</v>
      </c>
      <c r="Q418" s="199" t="str">
        <f t="shared" si="58"/>
        <v>84</v>
      </c>
      <c r="R418" s="199" t="str">
        <f t="shared" si="59"/>
        <v>0-205400</v>
      </c>
      <c r="S418" s="207">
        <v>294</v>
      </c>
      <c r="T418" s="208" t="s">
        <v>220</v>
      </c>
      <c r="U418" s="209" t="e">
        <f ca="1">_xlfn.XLOOKUP(PAA[[#This Row],[ITEM]],Contrato!A:A,Contrato!Q:Q,"",0)</f>
        <v>#NAME?</v>
      </c>
      <c r="V418" s="199" t="s">
        <v>47</v>
      </c>
      <c r="W418" s="199" t="s">
        <v>154</v>
      </c>
      <c r="X418" s="199" t="s">
        <v>154</v>
      </c>
      <c r="Y418" s="210" t="e">
        <f ca="1">_xlfn.XLOOKUP(PAA[[#This Row],[ITEM]],Contrato!A:A,Contrato!B:B,"",0)</f>
        <v>#NAME?</v>
      </c>
      <c r="Z418" s="199" t="e">
        <f ca="1">_xlfn.XLOOKUP(PAA[[#This Row],[ITEM]],Contrato!A:A,Contrato!G:G,"",0)</f>
        <v>#NAME?</v>
      </c>
      <c r="AA418" s="199" t="e">
        <f ca="1">_xlfn.XLOOKUP(PAA[[#This Row],[ITEM]],Contrato!A:A,Contrato!T:T,"",0)</f>
        <v>#NAME?</v>
      </c>
      <c r="AB418" s="210" t="e">
        <f ca="1">+MAX(PAA[[#This Row],[Comprometido Contrato]],)</f>
        <v>#NAME?</v>
      </c>
      <c r="AC418" s="210" t="str">
        <f t="shared" ca="1" si="63"/>
        <v/>
      </c>
      <c r="AD418" s="210" t="e">
        <f ca="1">+MAX(PAA[[#This Row],[Pago por Contrato]],)</f>
        <v>#NAME?</v>
      </c>
      <c r="AE418" s="210" t="str">
        <f t="shared" ca="1" si="60"/>
        <v/>
      </c>
      <c r="AF418" s="199" t="e">
        <f t="shared" ca="1" si="61"/>
        <v>#NAME?</v>
      </c>
      <c r="AG418" s="199">
        <f t="shared" si="62"/>
        <v>52010802</v>
      </c>
      <c r="AH418" s="199" t="e" cm="1">
        <f t="array" aca="1" ref="AH418" ca="1">_xlfn.XLOOKUP(PAA[[#This Row],[RCP-RUBRO]],COMPROMISOS_2025[[#All],[concatenado]],COMPROMISOS_2025[[#All],[Total pagado]],"",0)</f>
        <v>#NAME?</v>
      </c>
      <c r="AI418" s="199" t="e" cm="1">
        <f t="array" aca="1" ref="AI418" ca="1">_xlfn.XLOOKUP(PAA[[#This Row],[RCP-RUBRO]],COMPROMISOS_2025[[#All],[concatenado]],COMPROMISOS_2025[[#All],[Total Comprometido]],"",0)</f>
        <v>#NAME?</v>
      </c>
    </row>
    <row r="419" spans="1:35" s="50" customFormat="1" ht="42" hidden="1" customHeight="1" x14ac:dyDescent="0.25">
      <c r="A419" s="199">
        <v>319</v>
      </c>
      <c r="B419" s="200">
        <v>80111600</v>
      </c>
      <c r="C419" s="199" t="str">
        <f>VLOOKUP(PAA[[#This Row],[PROYECTO (formulado)2]],PROYECTOS!$G$1:$L$32,6,0)</f>
        <v>SUBGERENCIA DE ALTOS LOGROS Y DEPORTE ASOCIADO</v>
      </c>
      <c r="D419" s="199" t="str">
        <f>+IF(PAA[[#This Row],[UNIDAD DE CONTRATACION (formulado)]]="Subgerencia Administrativa y Financiera","FUNCIONAMIENTO","INVERSIÓN")</f>
        <v>INVERSIÓN</v>
      </c>
      <c r="E419" s="201" t="str">
        <f>VLOOKUP(Q419,PROYECTOS!$G$1:$K$32,5,0)</f>
        <v>Apoyo técnico a atletas y para-atletas que representan en alto rendimiento deportivo al departamento de Antioquia</v>
      </c>
      <c r="F419" s="201">
        <f>VLOOKUP(E419,PROYECTOS!$K$1:$M$32,3,0)</f>
        <v>2024003050084</v>
      </c>
      <c r="G419" s="202" t="s">
        <v>450</v>
      </c>
      <c r="H419" s="202" t="str">
        <f>VLOOKUP(Q419,PROYECTOS!$V$1:$W$32,2,0)</f>
        <v>050079</v>
      </c>
      <c r="I419" s="203">
        <v>26545593</v>
      </c>
      <c r="J419" s="204" t="s">
        <v>517</v>
      </c>
      <c r="K419" s="199" t="str">
        <f t="shared" ca="1" si="57"/>
        <v>CONTRATADO</v>
      </c>
      <c r="L419" s="199" t="s">
        <v>112</v>
      </c>
      <c r="M419" s="199" t="s">
        <v>113</v>
      </c>
      <c r="N419" s="205" t="s">
        <v>452</v>
      </c>
      <c r="O419" s="204">
        <f>VLOOKUP(N419,RUBROS[#All],3,0)</f>
        <v>62</v>
      </c>
      <c r="P419" s="206" t="str">
        <f>VLOOKUP(N419,RUBROS[#All],2,0)</f>
        <v>Apoyo técnico a atletas y para-atletas que representan en alto rendimiento deportivo al departamento de Antioquia. - Servicios para la comunidad, sociales y personales</v>
      </c>
      <c r="Q419" s="199" t="str">
        <f t="shared" si="58"/>
        <v>84</v>
      </c>
      <c r="R419" s="199" t="str">
        <f t="shared" si="59"/>
        <v>0-205400</v>
      </c>
      <c r="S419" s="207">
        <v>294</v>
      </c>
      <c r="T419" s="208" t="s">
        <v>220</v>
      </c>
      <c r="U419" s="209" t="e">
        <f ca="1">_xlfn.XLOOKUP(PAA[[#This Row],[ITEM]],Contrato!A:A,Contrato!Q:Q,"",0)</f>
        <v>#NAME?</v>
      </c>
      <c r="V419" s="199" t="s">
        <v>47</v>
      </c>
      <c r="W419" s="199" t="s">
        <v>154</v>
      </c>
      <c r="X419" s="199" t="s">
        <v>154</v>
      </c>
      <c r="Y419" s="210" t="e">
        <f ca="1">_xlfn.XLOOKUP(PAA[[#This Row],[ITEM]],Contrato!A:A,Contrato!B:B,"",0)</f>
        <v>#NAME?</v>
      </c>
      <c r="Z419" s="199" t="e">
        <f ca="1">_xlfn.XLOOKUP(PAA[[#This Row],[ITEM]],Contrato!A:A,Contrato!G:G,"",0)</f>
        <v>#NAME?</v>
      </c>
      <c r="AA419" s="199" t="e">
        <f ca="1">_xlfn.XLOOKUP(PAA[[#This Row],[ITEM]],Contrato!A:A,Contrato!T:T,"",0)</f>
        <v>#NAME?</v>
      </c>
      <c r="AB419" s="210" t="e">
        <f ca="1">+MAX(PAA[[#This Row],[Comprometido Contrato]],)</f>
        <v>#NAME?</v>
      </c>
      <c r="AC419" s="210" t="str">
        <f t="shared" ca="1" si="63"/>
        <v/>
      </c>
      <c r="AD419" s="210" t="e">
        <f ca="1">+MAX(PAA[[#This Row],[Pago por Contrato]],)</f>
        <v>#NAME?</v>
      </c>
      <c r="AE419" s="210" t="str">
        <f t="shared" ca="1" si="60"/>
        <v/>
      </c>
      <c r="AF419" s="199" t="e">
        <f t="shared" ca="1" si="61"/>
        <v>#NAME?</v>
      </c>
      <c r="AG419" s="199">
        <f t="shared" si="62"/>
        <v>52010802</v>
      </c>
      <c r="AH419" s="199" t="e" cm="1">
        <f t="array" aca="1" ref="AH419" ca="1">_xlfn.XLOOKUP(PAA[[#This Row],[RCP-RUBRO]],COMPROMISOS_2025[[#All],[concatenado]],COMPROMISOS_2025[[#All],[Total pagado]],"",0)</f>
        <v>#NAME?</v>
      </c>
      <c r="AI419" s="199" t="e" cm="1">
        <f t="array" aca="1" ref="AI419" ca="1">_xlfn.XLOOKUP(PAA[[#This Row],[RCP-RUBRO]],COMPROMISOS_2025[[#All],[concatenado]],COMPROMISOS_2025[[#All],[Total Comprometido]],"",0)</f>
        <v>#NAME?</v>
      </c>
    </row>
    <row r="420" spans="1:35" s="50" customFormat="1" ht="42" hidden="1" customHeight="1" x14ac:dyDescent="0.25">
      <c r="A420" s="199">
        <v>320</v>
      </c>
      <c r="B420" s="200">
        <v>80111600</v>
      </c>
      <c r="C420" s="199" t="str">
        <f>VLOOKUP(PAA[[#This Row],[PROYECTO (formulado)2]],PROYECTOS!$G$1:$L$32,6,0)</f>
        <v>SUBGERENCIA DE ALTOS LOGROS Y DEPORTE ASOCIADO</v>
      </c>
      <c r="D420" s="199" t="str">
        <f>+IF(PAA[[#This Row],[UNIDAD DE CONTRATACION (formulado)]]="Subgerencia Administrativa y Financiera","FUNCIONAMIENTO","INVERSIÓN")</f>
        <v>INVERSIÓN</v>
      </c>
      <c r="E420" s="201" t="str">
        <f>VLOOKUP(Q420,PROYECTOS!$G$1:$K$32,5,0)</f>
        <v>Apoyo técnico a atletas y para-atletas que representan en alto rendimiento deportivo al departamento de Antioquia</v>
      </c>
      <c r="F420" s="201">
        <f>VLOOKUP(E420,PROYECTOS!$K$1:$M$32,3,0)</f>
        <v>2024003050084</v>
      </c>
      <c r="G420" s="202" t="s">
        <v>450</v>
      </c>
      <c r="H420" s="202" t="str">
        <f>VLOOKUP(Q420,PROYECTOS!$V$1:$W$32,2,0)</f>
        <v>050079</v>
      </c>
      <c r="I420" s="203">
        <v>61147776</v>
      </c>
      <c r="J420" s="204" t="s">
        <v>518</v>
      </c>
      <c r="K420" s="199" t="str">
        <f t="shared" ca="1" si="57"/>
        <v>CONTRATADO</v>
      </c>
      <c r="L420" s="199" t="s">
        <v>112</v>
      </c>
      <c r="M420" s="199" t="s">
        <v>113</v>
      </c>
      <c r="N420" s="205" t="s">
        <v>452</v>
      </c>
      <c r="O420" s="204">
        <f>VLOOKUP(N420,RUBROS[#All],3,0)</f>
        <v>62</v>
      </c>
      <c r="P420" s="206" t="str">
        <f>VLOOKUP(N420,RUBROS[#All],2,0)</f>
        <v>Apoyo técnico a atletas y para-atletas que representan en alto rendimiento deportivo al departamento de Antioquia. - Servicios para la comunidad, sociales y personales</v>
      </c>
      <c r="Q420" s="199" t="str">
        <f t="shared" si="58"/>
        <v>84</v>
      </c>
      <c r="R420" s="199" t="str">
        <f t="shared" si="59"/>
        <v>0-205400</v>
      </c>
      <c r="S420" s="207">
        <v>294</v>
      </c>
      <c r="T420" s="208" t="s">
        <v>220</v>
      </c>
      <c r="U420" s="209" t="e">
        <f ca="1">_xlfn.XLOOKUP(PAA[[#This Row],[ITEM]],Contrato!A:A,Contrato!Q:Q,"",0)</f>
        <v>#NAME?</v>
      </c>
      <c r="V420" s="199" t="s">
        <v>47</v>
      </c>
      <c r="W420" s="199" t="s">
        <v>154</v>
      </c>
      <c r="X420" s="199" t="s">
        <v>154</v>
      </c>
      <c r="Y420" s="210" t="e">
        <f ca="1">_xlfn.XLOOKUP(PAA[[#This Row],[ITEM]],Contrato!A:A,Contrato!B:B,"",0)</f>
        <v>#NAME?</v>
      </c>
      <c r="Z420" s="199" t="e">
        <f ca="1">_xlfn.XLOOKUP(PAA[[#This Row],[ITEM]],Contrato!A:A,Contrato!G:G,"",0)</f>
        <v>#NAME?</v>
      </c>
      <c r="AA420" s="199" t="e">
        <f ca="1">_xlfn.XLOOKUP(PAA[[#This Row],[ITEM]],Contrato!A:A,Contrato!T:T,"",0)</f>
        <v>#NAME?</v>
      </c>
      <c r="AB420" s="210" t="e">
        <f ca="1">+MAX(PAA[[#This Row],[Comprometido Contrato]],)</f>
        <v>#NAME?</v>
      </c>
      <c r="AC420" s="210" t="str">
        <f t="shared" ca="1" si="63"/>
        <v/>
      </c>
      <c r="AD420" s="210" t="e">
        <f ca="1">+MAX(PAA[[#This Row],[Pago por Contrato]],)</f>
        <v>#NAME?</v>
      </c>
      <c r="AE420" s="210" t="str">
        <f t="shared" ca="1" si="60"/>
        <v/>
      </c>
      <c r="AF420" s="199" t="e">
        <f t="shared" ca="1" si="61"/>
        <v>#NAME?</v>
      </c>
      <c r="AG420" s="199">
        <f t="shared" si="62"/>
        <v>52010802</v>
      </c>
      <c r="AH420" s="199" t="e" cm="1">
        <f t="array" aca="1" ref="AH420" ca="1">_xlfn.XLOOKUP(PAA[[#This Row],[RCP-RUBRO]],COMPROMISOS_2025[[#All],[concatenado]],COMPROMISOS_2025[[#All],[Total pagado]],"",0)</f>
        <v>#NAME?</v>
      </c>
      <c r="AI420" s="199" t="e" cm="1">
        <f t="array" aca="1" ref="AI420" ca="1">_xlfn.XLOOKUP(PAA[[#This Row],[RCP-RUBRO]],COMPROMISOS_2025[[#All],[concatenado]],COMPROMISOS_2025[[#All],[Total Comprometido]],"",0)</f>
        <v>#NAME?</v>
      </c>
    </row>
    <row r="421" spans="1:35" s="50" customFormat="1" ht="42" hidden="1" customHeight="1" x14ac:dyDescent="0.25">
      <c r="A421" s="199">
        <v>321</v>
      </c>
      <c r="B421" s="200">
        <v>80111600</v>
      </c>
      <c r="C421" s="199" t="str">
        <f>VLOOKUP(PAA[[#This Row],[PROYECTO (formulado)2]],PROYECTOS!$G$1:$L$32,6,0)</f>
        <v>SUBGERENCIA DE ALTOS LOGROS Y DEPORTE ASOCIADO</v>
      </c>
      <c r="D421" s="199" t="str">
        <f>+IF(PAA[[#This Row],[UNIDAD DE CONTRATACION (formulado)]]="Subgerencia Administrativa y Financiera","FUNCIONAMIENTO","INVERSIÓN")</f>
        <v>INVERSIÓN</v>
      </c>
      <c r="E421" s="201" t="str">
        <f>VLOOKUP(Q421,PROYECTOS!$G$1:$K$32,5,0)</f>
        <v>Apoyo técnico a atletas y para-atletas que representan en alto rendimiento deportivo al departamento de Antioquia</v>
      </c>
      <c r="F421" s="201">
        <f>VLOOKUP(E421,PROYECTOS!$K$1:$M$32,3,0)</f>
        <v>2024003050084</v>
      </c>
      <c r="G421" s="202" t="s">
        <v>450</v>
      </c>
      <c r="H421" s="202" t="str">
        <f>VLOOKUP(Q421,PROYECTOS!$V$1:$W$32,2,0)</f>
        <v>050079</v>
      </c>
      <c r="I421" s="203">
        <v>61147776</v>
      </c>
      <c r="J421" s="204" t="s">
        <v>519</v>
      </c>
      <c r="K421" s="199" t="str">
        <f t="shared" ca="1" si="57"/>
        <v>CONTRATADO</v>
      </c>
      <c r="L421" s="199" t="s">
        <v>112</v>
      </c>
      <c r="M421" s="199" t="s">
        <v>113</v>
      </c>
      <c r="N421" s="205" t="s">
        <v>452</v>
      </c>
      <c r="O421" s="204">
        <f>VLOOKUP(N421,RUBROS[#All],3,0)</f>
        <v>62</v>
      </c>
      <c r="P421" s="206" t="str">
        <f>VLOOKUP(N421,RUBROS[#All],2,0)</f>
        <v>Apoyo técnico a atletas y para-atletas que representan en alto rendimiento deportivo al departamento de Antioquia. - Servicios para la comunidad, sociales y personales</v>
      </c>
      <c r="Q421" s="199" t="str">
        <f t="shared" si="58"/>
        <v>84</v>
      </c>
      <c r="R421" s="199" t="str">
        <f t="shared" si="59"/>
        <v>0-205400</v>
      </c>
      <c r="S421" s="207">
        <v>294</v>
      </c>
      <c r="T421" s="208" t="s">
        <v>220</v>
      </c>
      <c r="U421" s="209" t="e">
        <f ca="1">_xlfn.XLOOKUP(PAA[[#This Row],[ITEM]],Contrato!A:A,Contrato!Q:Q,"",0)</f>
        <v>#NAME?</v>
      </c>
      <c r="V421" s="199" t="s">
        <v>47</v>
      </c>
      <c r="W421" s="199" t="s">
        <v>154</v>
      </c>
      <c r="X421" s="199" t="s">
        <v>154</v>
      </c>
      <c r="Y421" s="210" t="e">
        <f ca="1">_xlfn.XLOOKUP(PAA[[#This Row],[ITEM]],Contrato!A:A,Contrato!B:B,"",0)</f>
        <v>#NAME?</v>
      </c>
      <c r="Z421" s="199" t="e">
        <f ca="1">_xlfn.XLOOKUP(PAA[[#This Row],[ITEM]],Contrato!A:A,Contrato!G:G,"",0)</f>
        <v>#NAME?</v>
      </c>
      <c r="AA421" s="199" t="e">
        <f ca="1">_xlfn.XLOOKUP(PAA[[#This Row],[ITEM]],Contrato!A:A,Contrato!T:T,"",0)</f>
        <v>#NAME?</v>
      </c>
      <c r="AB421" s="210" t="e">
        <f ca="1">+MAX(PAA[[#This Row],[Comprometido Contrato]],)</f>
        <v>#NAME?</v>
      </c>
      <c r="AC421" s="210" t="str">
        <f t="shared" ca="1" si="63"/>
        <v/>
      </c>
      <c r="AD421" s="210" t="e">
        <f ca="1">+MAX(PAA[[#This Row],[Pago por Contrato]],)</f>
        <v>#NAME?</v>
      </c>
      <c r="AE421" s="210" t="str">
        <f t="shared" ca="1" si="60"/>
        <v/>
      </c>
      <c r="AF421" s="199" t="e">
        <f t="shared" ca="1" si="61"/>
        <v>#NAME?</v>
      </c>
      <c r="AG421" s="199">
        <f t="shared" si="62"/>
        <v>52010802</v>
      </c>
      <c r="AH421" s="199" t="e" cm="1">
        <f t="array" aca="1" ref="AH421" ca="1">_xlfn.XLOOKUP(PAA[[#This Row],[RCP-RUBRO]],COMPROMISOS_2025[[#All],[concatenado]],COMPROMISOS_2025[[#All],[Total pagado]],"",0)</f>
        <v>#NAME?</v>
      </c>
      <c r="AI421" s="199" t="e" cm="1">
        <f t="array" aca="1" ref="AI421" ca="1">_xlfn.XLOOKUP(PAA[[#This Row],[RCP-RUBRO]],COMPROMISOS_2025[[#All],[concatenado]],COMPROMISOS_2025[[#All],[Total Comprometido]],"",0)</f>
        <v>#NAME?</v>
      </c>
    </row>
    <row r="422" spans="1:35" s="50" customFormat="1" ht="42" hidden="1" customHeight="1" x14ac:dyDescent="0.25">
      <c r="A422" s="199">
        <v>322</v>
      </c>
      <c r="B422" s="200">
        <v>80111600</v>
      </c>
      <c r="C422" s="199" t="str">
        <f>VLOOKUP(PAA[[#This Row],[PROYECTO (formulado)2]],PROYECTOS!$G$1:$L$32,6,0)</f>
        <v>SUBGERENCIA DE ALTOS LOGROS Y DEPORTE ASOCIADO</v>
      </c>
      <c r="D422" s="199" t="str">
        <f>+IF(PAA[[#This Row],[UNIDAD DE CONTRATACION (formulado)]]="Subgerencia Administrativa y Financiera","FUNCIONAMIENTO","INVERSIÓN")</f>
        <v>INVERSIÓN</v>
      </c>
      <c r="E422" s="201" t="str">
        <f>VLOOKUP(Q422,PROYECTOS!$G$1:$K$32,5,0)</f>
        <v>Apoyo técnico a atletas y para-atletas que representan en alto rendimiento deportivo al departamento de Antioquia</v>
      </c>
      <c r="F422" s="201">
        <f>VLOOKUP(E422,PROYECTOS!$K$1:$M$32,3,0)</f>
        <v>2024003050084</v>
      </c>
      <c r="G422" s="202" t="s">
        <v>450</v>
      </c>
      <c r="H422" s="202" t="str">
        <f>VLOOKUP(Q422,PROYECTOS!$V$1:$W$32,2,0)</f>
        <v>050079</v>
      </c>
      <c r="I422" s="203">
        <v>50609170</v>
      </c>
      <c r="J422" s="204" t="s">
        <v>520</v>
      </c>
      <c r="K422" s="199" t="str">
        <f t="shared" ca="1" si="57"/>
        <v>CONTRATADO</v>
      </c>
      <c r="L422" s="199" t="s">
        <v>112</v>
      </c>
      <c r="M422" s="199" t="s">
        <v>113</v>
      </c>
      <c r="N422" s="205" t="s">
        <v>452</v>
      </c>
      <c r="O422" s="204">
        <f>VLOOKUP(N422,RUBROS[#All],3,0)</f>
        <v>62</v>
      </c>
      <c r="P422" s="206" t="str">
        <f>VLOOKUP(N422,RUBROS[#All],2,0)</f>
        <v>Apoyo técnico a atletas y para-atletas que representan en alto rendimiento deportivo al departamento de Antioquia. - Servicios para la comunidad, sociales y personales</v>
      </c>
      <c r="Q422" s="199" t="str">
        <f t="shared" si="58"/>
        <v>84</v>
      </c>
      <c r="R422" s="199" t="str">
        <f t="shared" si="59"/>
        <v>0-205400</v>
      </c>
      <c r="S422" s="207">
        <v>294</v>
      </c>
      <c r="T422" s="208" t="s">
        <v>220</v>
      </c>
      <c r="U422" s="209" t="e">
        <f ca="1">_xlfn.XLOOKUP(PAA[[#This Row],[ITEM]],Contrato!A:A,Contrato!Q:Q,"",0)</f>
        <v>#NAME?</v>
      </c>
      <c r="V422" s="199" t="s">
        <v>47</v>
      </c>
      <c r="W422" s="199" t="s">
        <v>154</v>
      </c>
      <c r="X422" s="199" t="s">
        <v>154</v>
      </c>
      <c r="Y422" s="210" t="e">
        <f ca="1">_xlfn.XLOOKUP(PAA[[#This Row],[ITEM]],Contrato!A:A,Contrato!B:B,"",0)</f>
        <v>#NAME?</v>
      </c>
      <c r="Z422" s="199" t="e">
        <f ca="1">_xlfn.XLOOKUP(PAA[[#This Row],[ITEM]],Contrato!A:A,Contrato!G:G,"",0)</f>
        <v>#NAME?</v>
      </c>
      <c r="AA422" s="199" t="e">
        <f ca="1">_xlfn.XLOOKUP(PAA[[#This Row],[ITEM]],Contrato!A:A,Contrato!T:T,"",0)</f>
        <v>#NAME?</v>
      </c>
      <c r="AB422" s="210" t="e">
        <f ca="1">+MAX(PAA[[#This Row],[Comprometido Contrato]],)</f>
        <v>#NAME?</v>
      </c>
      <c r="AC422" s="210" t="str">
        <f t="shared" ca="1" si="63"/>
        <v/>
      </c>
      <c r="AD422" s="210" t="e">
        <f ca="1">+MAX(PAA[[#This Row],[Pago por Contrato]],)</f>
        <v>#NAME?</v>
      </c>
      <c r="AE422" s="210" t="str">
        <f t="shared" ca="1" si="60"/>
        <v/>
      </c>
      <c r="AF422" s="199" t="e">
        <f t="shared" ca="1" si="61"/>
        <v>#NAME?</v>
      </c>
      <c r="AG422" s="199">
        <f t="shared" si="62"/>
        <v>52010802</v>
      </c>
      <c r="AH422" s="199" t="e" cm="1">
        <f t="array" aca="1" ref="AH422" ca="1">_xlfn.XLOOKUP(PAA[[#This Row],[RCP-RUBRO]],COMPROMISOS_2025[[#All],[concatenado]],COMPROMISOS_2025[[#All],[Total pagado]],"",0)</f>
        <v>#NAME?</v>
      </c>
      <c r="AI422" s="199" t="e" cm="1">
        <f t="array" aca="1" ref="AI422" ca="1">_xlfn.XLOOKUP(PAA[[#This Row],[RCP-RUBRO]],COMPROMISOS_2025[[#All],[concatenado]],COMPROMISOS_2025[[#All],[Total Comprometido]],"",0)</f>
        <v>#NAME?</v>
      </c>
    </row>
    <row r="423" spans="1:35" s="50" customFormat="1" ht="42" hidden="1" customHeight="1" x14ac:dyDescent="0.25">
      <c r="A423" s="199">
        <v>323</v>
      </c>
      <c r="B423" s="200">
        <v>80111600</v>
      </c>
      <c r="C423" s="199" t="str">
        <f>VLOOKUP(PAA[[#This Row],[PROYECTO (formulado)2]],PROYECTOS!$G$1:$L$32,6,0)</f>
        <v>SUBGERENCIA DE ALTOS LOGROS Y DEPORTE ASOCIADO</v>
      </c>
      <c r="D423" s="199" t="str">
        <f>+IF(PAA[[#This Row],[UNIDAD DE CONTRATACION (formulado)]]="Subgerencia Administrativa y Financiera","FUNCIONAMIENTO","INVERSIÓN")</f>
        <v>INVERSIÓN</v>
      </c>
      <c r="E423" s="201" t="str">
        <f>VLOOKUP(Q423,PROYECTOS!$G$1:$K$32,5,0)</f>
        <v>Apoyo técnico a atletas y para-atletas que representan en alto rendimiento deportivo al departamento de Antioquia</v>
      </c>
      <c r="F423" s="201">
        <f>VLOOKUP(E423,PROYECTOS!$K$1:$M$32,3,0)</f>
        <v>2024003050084</v>
      </c>
      <c r="G423" s="202" t="s">
        <v>450</v>
      </c>
      <c r="H423" s="202" t="str">
        <f>VLOOKUP(Q423,PROYECTOS!$V$1:$W$32,2,0)</f>
        <v>050079</v>
      </c>
      <c r="I423" s="203">
        <v>40747479</v>
      </c>
      <c r="J423" s="204" t="s">
        <v>521</v>
      </c>
      <c r="K423" s="199" t="str">
        <f t="shared" ca="1" si="57"/>
        <v>CONTRATADO</v>
      </c>
      <c r="L423" s="199" t="s">
        <v>112</v>
      </c>
      <c r="M423" s="199" t="s">
        <v>113</v>
      </c>
      <c r="N423" s="205" t="s">
        <v>452</v>
      </c>
      <c r="O423" s="204">
        <f>VLOOKUP(N423,RUBROS[#All],3,0)</f>
        <v>62</v>
      </c>
      <c r="P423" s="206" t="str">
        <f>VLOOKUP(N423,RUBROS[#All],2,0)</f>
        <v>Apoyo técnico a atletas y para-atletas que representan en alto rendimiento deportivo al departamento de Antioquia. - Servicios para la comunidad, sociales y personales</v>
      </c>
      <c r="Q423" s="199" t="str">
        <f t="shared" si="58"/>
        <v>84</v>
      </c>
      <c r="R423" s="199" t="str">
        <f t="shared" si="59"/>
        <v>0-205400</v>
      </c>
      <c r="S423" s="207">
        <v>294</v>
      </c>
      <c r="T423" s="208" t="s">
        <v>220</v>
      </c>
      <c r="U423" s="209" t="e">
        <f ca="1">_xlfn.XLOOKUP(PAA[[#This Row],[ITEM]],Contrato!A:A,Contrato!Q:Q,"",0)</f>
        <v>#NAME?</v>
      </c>
      <c r="V423" s="199" t="s">
        <v>47</v>
      </c>
      <c r="W423" s="199" t="s">
        <v>154</v>
      </c>
      <c r="X423" s="199" t="s">
        <v>154</v>
      </c>
      <c r="Y423" s="210" t="e">
        <f ca="1">_xlfn.XLOOKUP(PAA[[#This Row],[ITEM]],Contrato!A:A,Contrato!B:B,"",0)</f>
        <v>#NAME?</v>
      </c>
      <c r="Z423" s="199" t="e">
        <f ca="1">_xlfn.XLOOKUP(PAA[[#This Row],[ITEM]],Contrato!A:A,Contrato!G:G,"",0)</f>
        <v>#NAME?</v>
      </c>
      <c r="AA423" s="199" t="e">
        <f ca="1">_xlfn.XLOOKUP(PAA[[#This Row],[ITEM]],Contrato!A:A,Contrato!T:T,"",0)</f>
        <v>#NAME?</v>
      </c>
      <c r="AB423" s="210" t="e">
        <f ca="1">+MAX(PAA[[#This Row],[Comprometido Contrato]],)</f>
        <v>#NAME?</v>
      </c>
      <c r="AC423" s="210" t="str">
        <f t="shared" ca="1" si="63"/>
        <v/>
      </c>
      <c r="AD423" s="210" t="e">
        <f ca="1">+MAX(PAA[[#This Row],[Pago por Contrato]],)</f>
        <v>#NAME?</v>
      </c>
      <c r="AE423" s="210" t="str">
        <f t="shared" ca="1" si="60"/>
        <v/>
      </c>
      <c r="AF423" s="199" t="e">
        <f t="shared" ca="1" si="61"/>
        <v>#NAME?</v>
      </c>
      <c r="AG423" s="199">
        <f t="shared" si="62"/>
        <v>52010802</v>
      </c>
      <c r="AH423" s="199" t="e" cm="1">
        <f t="array" aca="1" ref="AH423" ca="1">_xlfn.XLOOKUP(PAA[[#This Row],[RCP-RUBRO]],COMPROMISOS_2025[[#All],[concatenado]],COMPROMISOS_2025[[#All],[Total pagado]],"",0)</f>
        <v>#NAME?</v>
      </c>
      <c r="AI423" s="199" t="e" cm="1">
        <f t="array" aca="1" ref="AI423" ca="1">_xlfn.XLOOKUP(PAA[[#This Row],[RCP-RUBRO]],COMPROMISOS_2025[[#All],[concatenado]],COMPROMISOS_2025[[#All],[Total Comprometido]],"",0)</f>
        <v>#NAME?</v>
      </c>
    </row>
    <row r="424" spans="1:35" s="50" customFormat="1" ht="42" hidden="1" customHeight="1" x14ac:dyDescent="0.25">
      <c r="A424" s="199">
        <v>324</v>
      </c>
      <c r="B424" s="200">
        <v>80111600</v>
      </c>
      <c r="C424" s="199" t="str">
        <f>VLOOKUP(PAA[[#This Row],[PROYECTO (formulado)2]],PROYECTOS!$G$1:$L$32,6,0)</f>
        <v>SUBGERENCIA DE ALTOS LOGROS Y DEPORTE ASOCIADO</v>
      </c>
      <c r="D424" s="199" t="str">
        <f>+IF(PAA[[#This Row],[UNIDAD DE CONTRATACION (formulado)]]="Subgerencia Administrativa y Financiera","FUNCIONAMIENTO","INVERSIÓN")</f>
        <v>INVERSIÓN</v>
      </c>
      <c r="E424" s="201" t="str">
        <f>VLOOKUP(Q424,PROYECTOS!$G$1:$K$32,5,0)</f>
        <v>Apoyo técnico a atletas y para-atletas que representan en alto rendimiento deportivo al departamento de Antioquia</v>
      </c>
      <c r="F424" s="201">
        <f>VLOOKUP(E424,PROYECTOS!$K$1:$M$32,3,0)</f>
        <v>2024003050084</v>
      </c>
      <c r="G424" s="202" t="s">
        <v>450</v>
      </c>
      <c r="H424" s="202" t="str">
        <f>VLOOKUP(Q424,PROYECTOS!$V$1:$W$32,2,0)</f>
        <v>050079</v>
      </c>
      <c r="I424" s="203">
        <v>26545593</v>
      </c>
      <c r="J424" s="204" t="s">
        <v>522</v>
      </c>
      <c r="K424" s="199" t="str">
        <f t="shared" ca="1" si="57"/>
        <v>CONTRATADO</v>
      </c>
      <c r="L424" s="199" t="s">
        <v>112</v>
      </c>
      <c r="M424" s="199" t="s">
        <v>113</v>
      </c>
      <c r="N424" s="205" t="s">
        <v>452</v>
      </c>
      <c r="O424" s="204">
        <f>VLOOKUP(N424,RUBROS[#All],3,0)</f>
        <v>62</v>
      </c>
      <c r="P424" s="206" t="str">
        <f>VLOOKUP(N424,RUBROS[#All],2,0)</f>
        <v>Apoyo técnico a atletas y para-atletas que representan en alto rendimiento deportivo al departamento de Antioquia. - Servicios para la comunidad, sociales y personales</v>
      </c>
      <c r="Q424" s="199" t="str">
        <f t="shared" si="58"/>
        <v>84</v>
      </c>
      <c r="R424" s="199" t="str">
        <f t="shared" si="59"/>
        <v>0-205400</v>
      </c>
      <c r="S424" s="207">
        <v>294</v>
      </c>
      <c r="T424" s="208" t="s">
        <v>220</v>
      </c>
      <c r="U424" s="209" t="e">
        <f ca="1">_xlfn.XLOOKUP(PAA[[#This Row],[ITEM]],Contrato!A:A,Contrato!Q:Q,"",0)</f>
        <v>#NAME?</v>
      </c>
      <c r="V424" s="199" t="s">
        <v>47</v>
      </c>
      <c r="W424" s="199" t="s">
        <v>154</v>
      </c>
      <c r="X424" s="199" t="s">
        <v>154</v>
      </c>
      <c r="Y424" s="210" t="e">
        <f ca="1">_xlfn.XLOOKUP(PAA[[#This Row],[ITEM]],Contrato!A:A,Contrato!B:B,"",0)</f>
        <v>#NAME?</v>
      </c>
      <c r="Z424" s="199" t="e">
        <f ca="1">_xlfn.XLOOKUP(PAA[[#This Row],[ITEM]],Contrato!A:A,Contrato!G:G,"",0)</f>
        <v>#NAME?</v>
      </c>
      <c r="AA424" s="199" t="e">
        <f ca="1">_xlfn.XLOOKUP(PAA[[#This Row],[ITEM]],Contrato!A:A,Contrato!T:T,"",0)</f>
        <v>#NAME?</v>
      </c>
      <c r="AB424" s="210" t="e">
        <f ca="1">+MAX(PAA[[#This Row],[Comprometido Contrato]],)</f>
        <v>#NAME?</v>
      </c>
      <c r="AC424" s="210" t="str">
        <f t="shared" ca="1" si="63"/>
        <v/>
      </c>
      <c r="AD424" s="210" t="e">
        <f ca="1">+MAX(PAA[[#This Row],[Pago por Contrato]],)</f>
        <v>#NAME?</v>
      </c>
      <c r="AE424" s="210" t="str">
        <f t="shared" ca="1" si="60"/>
        <v/>
      </c>
      <c r="AF424" s="199" t="e">
        <f t="shared" ca="1" si="61"/>
        <v>#NAME?</v>
      </c>
      <c r="AG424" s="199">
        <f t="shared" si="62"/>
        <v>52010802</v>
      </c>
      <c r="AH424" s="199" t="e" cm="1">
        <f t="array" aca="1" ref="AH424" ca="1">_xlfn.XLOOKUP(PAA[[#This Row],[RCP-RUBRO]],COMPROMISOS_2025[[#All],[concatenado]],COMPROMISOS_2025[[#All],[Total pagado]],"",0)</f>
        <v>#NAME?</v>
      </c>
      <c r="AI424" s="199" t="e" cm="1">
        <f t="array" aca="1" ref="AI424" ca="1">_xlfn.XLOOKUP(PAA[[#This Row],[RCP-RUBRO]],COMPROMISOS_2025[[#All],[concatenado]],COMPROMISOS_2025[[#All],[Total Comprometido]],"",0)</f>
        <v>#NAME?</v>
      </c>
    </row>
    <row r="425" spans="1:35" s="50" customFormat="1" ht="42" hidden="1" customHeight="1" x14ac:dyDescent="0.25">
      <c r="A425" s="199">
        <v>325</v>
      </c>
      <c r="B425" s="200">
        <v>80111600</v>
      </c>
      <c r="C425" s="199" t="str">
        <f>VLOOKUP(PAA[[#This Row],[PROYECTO (formulado)2]],PROYECTOS!$G$1:$L$32,6,0)</f>
        <v>SUBGERENCIA DE ALTOS LOGROS Y DEPORTE ASOCIADO</v>
      </c>
      <c r="D425" s="199" t="str">
        <f>+IF(PAA[[#This Row],[UNIDAD DE CONTRATACION (formulado)]]="Subgerencia Administrativa y Financiera","FUNCIONAMIENTO","INVERSIÓN")</f>
        <v>INVERSIÓN</v>
      </c>
      <c r="E425" s="201" t="str">
        <f>VLOOKUP(Q425,PROYECTOS!$G$1:$K$32,5,0)</f>
        <v>Apoyo técnico a atletas y para-atletas que representan en alto rendimiento deportivo al departamento de Antioquia</v>
      </c>
      <c r="F425" s="201">
        <f>VLOOKUP(E425,PROYECTOS!$K$1:$M$32,3,0)</f>
        <v>2024003050084</v>
      </c>
      <c r="G425" s="202" t="s">
        <v>450</v>
      </c>
      <c r="H425" s="202" t="str">
        <f>VLOOKUP(Q425,PROYECTOS!$V$1:$W$32,2,0)</f>
        <v>050079</v>
      </c>
      <c r="I425" s="203">
        <v>50609170</v>
      </c>
      <c r="J425" s="204" t="s">
        <v>523</v>
      </c>
      <c r="K425" s="199" t="str">
        <f t="shared" ca="1" si="57"/>
        <v>CONTRATADO</v>
      </c>
      <c r="L425" s="199" t="s">
        <v>112</v>
      </c>
      <c r="M425" s="199" t="s">
        <v>113</v>
      </c>
      <c r="N425" s="205" t="s">
        <v>452</v>
      </c>
      <c r="O425" s="204">
        <f>VLOOKUP(N425,RUBROS[#All],3,0)</f>
        <v>62</v>
      </c>
      <c r="P425" s="206" t="str">
        <f>VLOOKUP(N425,RUBROS[#All],2,0)</f>
        <v>Apoyo técnico a atletas y para-atletas que representan en alto rendimiento deportivo al departamento de Antioquia. - Servicios para la comunidad, sociales y personales</v>
      </c>
      <c r="Q425" s="199" t="str">
        <f t="shared" si="58"/>
        <v>84</v>
      </c>
      <c r="R425" s="199" t="str">
        <f t="shared" si="59"/>
        <v>0-205400</v>
      </c>
      <c r="S425" s="207">
        <v>294</v>
      </c>
      <c r="T425" s="208" t="s">
        <v>220</v>
      </c>
      <c r="U425" s="209" t="e">
        <f ca="1">_xlfn.XLOOKUP(PAA[[#This Row],[ITEM]],Contrato!A:A,Contrato!Q:Q,"",0)</f>
        <v>#NAME?</v>
      </c>
      <c r="V425" s="199" t="s">
        <v>47</v>
      </c>
      <c r="W425" s="199" t="s">
        <v>154</v>
      </c>
      <c r="X425" s="199" t="s">
        <v>154</v>
      </c>
      <c r="Y425" s="210" t="e">
        <f ca="1">_xlfn.XLOOKUP(PAA[[#This Row],[ITEM]],Contrato!A:A,Contrato!B:B,"",0)</f>
        <v>#NAME?</v>
      </c>
      <c r="Z425" s="199" t="e">
        <f ca="1">_xlfn.XLOOKUP(PAA[[#This Row],[ITEM]],Contrato!A:A,Contrato!G:G,"",0)</f>
        <v>#NAME?</v>
      </c>
      <c r="AA425" s="199" t="e">
        <f ca="1">_xlfn.XLOOKUP(PAA[[#This Row],[ITEM]],Contrato!A:A,Contrato!T:T,"",0)</f>
        <v>#NAME?</v>
      </c>
      <c r="AB425" s="210" t="e">
        <f ca="1">+MAX(PAA[[#This Row],[Comprometido Contrato]],)</f>
        <v>#NAME?</v>
      </c>
      <c r="AC425" s="210" t="str">
        <f t="shared" ca="1" si="63"/>
        <v/>
      </c>
      <c r="AD425" s="210" t="e">
        <f ca="1">+MAX(PAA[[#This Row],[Pago por Contrato]],)</f>
        <v>#NAME?</v>
      </c>
      <c r="AE425" s="210" t="str">
        <f t="shared" ca="1" si="60"/>
        <v/>
      </c>
      <c r="AF425" s="199" t="e">
        <f t="shared" ca="1" si="61"/>
        <v>#NAME?</v>
      </c>
      <c r="AG425" s="199">
        <f t="shared" si="62"/>
        <v>52010802</v>
      </c>
      <c r="AH425" s="199" t="e" cm="1">
        <f t="array" aca="1" ref="AH425" ca="1">_xlfn.XLOOKUP(PAA[[#This Row],[RCP-RUBRO]],COMPROMISOS_2025[[#All],[concatenado]],COMPROMISOS_2025[[#All],[Total pagado]],"",0)</f>
        <v>#NAME?</v>
      </c>
      <c r="AI425" s="199" t="e" cm="1">
        <f t="array" aca="1" ref="AI425" ca="1">_xlfn.XLOOKUP(PAA[[#This Row],[RCP-RUBRO]],COMPROMISOS_2025[[#All],[concatenado]],COMPROMISOS_2025[[#All],[Total Comprometido]],"",0)</f>
        <v>#NAME?</v>
      </c>
    </row>
    <row r="426" spans="1:35" s="50" customFormat="1" ht="42" hidden="1" customHeight="1" x14ac:dyDescent="0.25">
      <c r="A426" s="199">
        <v>326</v>
      </c>
      <c r="B426" s="200">
        <v>80111600</v>
      </c>
      <c r="C426" s="199" t="str">
        <f>VLOOKUP(PAA[[#This Row],[PROYECTO (formulado)2]],PROYECTOS!$G$1:$L$32,6,0)</f>
        <v>SUBGERENCIA DE ALTOS LOGROS Y DEPORTE ASOCIADO</v>
      </c>
      <c r="D426" s="199" t="str">
        <f>+IF(PAA[[#This Row],[UNIDAD DE CONTRATACION (formulado)]]="Subgerencia Administrativa y Financiera","FUNCIONAMIENTO","INVERSIÓN")</f>
        <v>INVERSIÓN</v>
      </c>
      <c r="E426" s="201" t="str">
        <f>VLOOKUP(Q426,PROYECTOS!$G$1:$K$32,5,0)</f>
        <v>Apoyo técnico a atletas y para-atletas que representan en alto rendimiento deportivo al departamento de Antioquia</v>
      </c>
      <c r="F426" s="201">
        <f>VLOOKUP(E426,PROYECTOS!$K$1:$M$32,3,0)</f>
        <v>2024003050084</v>
      </c>
      <c r="G426" s="202" t="s">
        <v>450</v>
      </c>
      <c r="H426" s="202" t="str">
        <f>VLOOKUP(Q426,PROYECTOS!$V$1:$W$32,2,0)</f>
        <v>050079</v>
      </c>
      <c r="I426" s="203">
        <v>50609170</v>
      </c>
      <c r="J426" s="204" t="s">
        <v>524</v>
      </c>
      <c r="K426" s="199" t="str">
        <f t="shared" ca="1" si="57"/>
        <v>CONTRATADO</v>
      </c>
      <c r="L426" s="199" t="s">
        <v>112</v>
      </c>
      <c r="M426" s="199" t="s">
        <v>113</v>
      </c>
      <c r="N426" s="205" t="s">
        <v>452</v>
      </c>
      <c r="O426" s="204">
        <f>VLOOKUP(N426,RUBROS[#All],3,0)</f>
        <v>62</v>
      </c>
      <c r="P426" s="206" t="str">
        <f>VLOOKUP(N426,RUBROS[#All],2,0)</f>
        <v>Apoyo técnico a atletas y para-atletas que representan en alto rendimiento deportivo al departamento de Antioquia. - Servicios para la comunidad, sociales y personales</v>
      </c>
      <c r="Q426" s="199" t="str">
        <f t="shared" si="58"/>
        <v>84</v>
      </c>
      <c r="R426" s="199" t="str">
        <f t="shared" si="59"/>
        <v>0-205400</v>
      </c>
      <c r="S426" s="207">
        <v>294</v>
      </c>
      <c r="T426" s="208" t="s">
        <v>220</v>
      </c>
      <c r="U426" s="209" t="e">
        <f ca="1">_xlfn.XLOOKUP(PAA[[#This Row],[ITEM]],Contrato!A:A,Contrato!Q:Q,"",0)</f>
        <v>#NAME?</v>
      </c>
      <c r="V426" s="199" t="s">
        <v>47</v>
      </c>
      <c r="W426" s="199" t="s">
        <v>154</v>
      </c>
      <c r="X426" s="199" t="s">
        <v>154</v>
      </c>
      <c r="Y426" s="210" t="e">
        <f ca="1">_xlfn.XLOOKUP(PAA[[#This Row],[ITEM]],Contrato!A:A,Contrato!B:B,"",0)</f>
        <v>#NAME?</v>
      </c>
      <c r="Z426" s="199" t="e">
        <f ca="1">_xlfn.XLOOKUP(PAA[[#This Row],[ITEM]],Contrato!A:A,Contrato!G:G,"",0)</f>
        <v>#NAME?</v>
      </c>
      <c r="AA426" s="199" t="e">
        <f ca="1">_xlfn.XLOOKUP(PAA[[#This Row],[ITEM]],Contrato!A:A,Contrato!T:T,"",0)</f>
        <v>#NAME?</v>
      </c>
      <c r="AB426" s="210" t="e">
        <f ca="1">+MAX(PAA[[#This Row],[Comprometido Contrato]],)</f>
        <v>#NAME?</v>
      </c>
      <c r="AC426" s="210" t="str">
        <f t="shared" ca="1" si="63"/>
        <v/>
      </c>
      <c r="AD426" s="210" t="e">
        <f ca="1">+MAX(PAA[[#This Row],[Pago por Contrato]],)</f>
        <v>#NAME?</v>
      </c>
      <c r="AE426" s="210" t="str">
        <f t="shared" ca="1" si="60"/>
        <v/>
      </c>
      <c r="AF426" s="199" t="e">
        <f t="shared" ca="1" si="61"/>
        <v>#NAME?</v>
      </c>
      <c r="AG426" s="199">
        <f t="shared" si="62"/>
        <v>52010802</v>
      </c>
      <c r="AH426" s="199" t="e" cm="1">
        <f t="array" aca="1" ref="AH426" ca="1">_xlfn.XLOOKUP(PAA[[#This Row],[RCP-RUBRO]],COMPROMISOS_2025[[#All],[concatenado]],COMPROMISOS_2025[[#All],[Total pagado]],"",0)</f>
        <v>#NAME?</v>
      </c>
      <c r="AI426" s="199" t="e" cm="1">
        <f t="array" aca="1" ref="AI426" ca="1">_xlfn.XLOOKUP(PAA[[#This Row],[RCP-RUBRO]],COMPROMISOS_2025[[#All],[concatenado]],COMPROMISOS_2025[[#All],[Total Comprometido]],"",0)</f>
        <v>#NAME?</v>
      </c>
    </row>
    <row r="427" spans="1:35" s="50" customFormat="1" ht="42" hidden="1" customHeight="1" x14ac:dyDescent="0.25">
      <c r="A427" s="199">
        <v>327</v>
      </c>
      <c r="B427" s="200">
        <v>80111600</v>
      </c>
      <c r="C427" s="199" t="str">
        <f>VLOOKUP(PAA[[#This Row],[PROYECTO (formulado)2]],PROYECTOS!$G$1:$L$32,6,0)</f>
        <v>SUBGERENCIA DE ALTOS LOGROS Y DEPORTE ASOCIADO</v>
      </c>
      <c r="D427" s="199" t="str">
        <f>+IF(PAA[[#This Row],[UNIDAD DE CONTRATACION (formulado)]]="Subgerencia Administrativa y Financiera","FUNCIONAMIENTO","INVERSIÓN")</f>
        <v>INVERSIÓN</v>
      </c>
      <c r="E427" s="201" t="str">
        <f>VLOOKUP(Q427,PROYECTOS!$G$1:$K$32,5,0)</f>
        <v>Apoyo técnico a atletas y para-atletas que representan en alto rendimiento deportivo al departamento de Antioquia</v>
      </c>
      <c r="F427" s="201">
        <f>VLOOKUP(E427,PROYECTOS!$K$1:$M$32,3,0)</f>
        <v>2024003050084</v>
      </c>
      <c r="G427" s="202" t="s">
        <v>450</v>
      </c>
      <c r="H427" s="202" t="str">
        <f>VLOOKUP(Q427,PROYECTOS!$V$1:$W$32,2,0)</f>
        <v>050079</v>
      </c>
      <c r="I427" s="203">
        <v>26545593</v>
      </c>
      <c r="J427" s="204" t="s">
        <v>525</v>
      </c>
      <c r="K427" s="199" t="str">
        <f t="shared" ca="1" si="57"/>
        <v>CONTRATADO</v>
      </c>
      <c r="L427" s="199" t="s">
        <v>112</v>
      </c>
      <c r="M427" s="199" t="s">
        <v>113</v>
      </c>
      <c r="N427" s="205" t="s">
        <v>452</v>
      </c>
      <c r="O427" s="204">
        <f>VLOOKUP(N427,RUBROS[#All],3,0)</f>
        <v>62</v>
      </c>
      <c r="P427" s="206" t="str">
        <f>VLOOKUP(N427,RUBROS[#All],2,0)</f>
        <v>Apoyo técnico a atletas y para-atletas que representan en alto rendimiento deportivo al departamento de Antioquia. - Servicios para la comunidad, sociales y personales</v>
      </c>
      <c r="Q427" s="199" t="str">
        <f t="shared" si="58"/>
        <v>84</v>
      </c>
      <c r="R427" s="199" t="str">
        <f t="shared" si="59"/>
        <v>0-205400</v>
      </c>
      <c r="S427" s="207">
        <v>294</v>
      </c>
      <c r="T427" s="208" t="s">
        <v>220</v>
      </c>
      <c r="U427" s="209" t="e">
        <f ca="1">_xlfn.XLOOKUP(PAA[[#This Row],[ITEM]],Contrato!A:A,Contrato!Q:Q,"",0)</f>
        <v>#NAME?</v>
      </c>
      <c r="V427" s="199" t="s">
        <v>47</v>
      </c>
      <c r="W427" s="199" t="s">
        <v>154</v>
      </c>
      <c r="X427" s="199" t="s">
        <v>154</v>
      </c>
      <c r="Y427" s="210" t="e">
        <f ca="1">_xlfn.XLOOKUP(PAA[[#This Row],[ITEM]],Contrato!A:A,Contrato!B:B,"",0)</f>
        <v>#NAME?</v>
      </c>
      <c r="Z427" s="199" t="e">
        <f ca="1">_xlfn.XLOOKUP(PAA[[#This Row],[ITEM]],Contrato!A:A,Contrato!G:G,"",0)</f>
        <v>#NAME?</v>
      </c>
      <c r="AA427" s="199" t="e">
        <f ca="1">_xlfn.XLOOKUP(PAA[[#This Row],[ITEM]],Contrato!A:A,Contrato!T:T,"",0)</f>
        <v>#NAME?</v>
      </c>
      <c r="AB427" s="210" t="e">
        <f ca="1">+MAX(PAA[[#This Row],[Comprometido Contrato]],)</f>
        <v>#NAME?</v>
      </c>
      <c r="AC427" s="210" t="str">
        <f t="shared" ca="1" si="63"/>
        <v/>
      </c>
      <c r="AD427" s="210" t="e">
        <f ca="1">+MAX(PAA[[#This Row],[Pago por Contrato]],)</f>
        <v>#NAME?</v>
      </c>
      <c r="AE427" s="210" t="str">
        <f t="shared" ca="1" si="60"/>
        <v/>
      </c>
      <c r="AF427" s="199" t="e">
        <f t="shared" ca="1" si="61"/>
        <v>#NAME?</v>
      </c>
      <c r="AG427" s="199">
        <f t="shared" si="62"/>
        <v>52010802</v>
      </c>
      <c r="AH427" s="199" t="e" cm="1">
        <f t="array" aca="1" ref="AH427" ca="1">_xlfn.XLOOKUP(PAA[[#This Row],[RCP-RUBRO]],COMPROMISOS_2025[[#All],[concatenado]],COMPROMISOS_2025[[#All],[Total pagado]],"",0)</f>
        <v>#NAME?</v>
      </c>
      <c r="AI427" s="199" t="e" cm="1">
        <f t="array" aca="1" ref="AI427" ca="1">_xlfn.XLOOKUP(PAA[[#This Row],[RCP-RUBRO]],COMPROMISOS_2025[[#All],[concatenado]],COMPROMISOS_2025[[#All],[Total Comprometido]],"",0)</f>
        <v>#NAME?</v>
      </c>
    </row>
    <row r="428" spans="1:35" s="50" customFormat="1" ht="42" hidden="1" customHeight="1" x14ac:dyDescent="0.25">
      <c r="A428" s="199">
        <v>328</v>
      </c>
      <c r="B428" s="200">
        <v>80111600</v>
      </c>
      <c r="C428" s="199" t="str">
        <f>VLOOKUP(PAA[[#This Row],[PROYECTO (formulado)2]],PROYECTOS!$G$1:$L$32,6,0)</f>
        <v>SUBGERENCIA DE ALTOS LOGROS Y DEPORTE ASOCIADO</v>
      </c>
      <c r="D428" s="199" t="str">
        <f>+IF(PAA[[#This Row],[UNIDAD DE CONTRATACION (formulado)]]="Subgerencia Administrativa y Financiera","FUNCIONAMIENTO","INVERSIÓN")</f>
        <v>INVERSIÓN</v>
      </c>
      <c r="E428" s="201" t="str">
        <f>VLOOKUP(Q428,PROYECTOS!$G$1:$K$32,5,0)</f>
        <v>Apoyo técnico a atletas y para-atletas que representan en alto rendimiento deportivo al departamento de Antioquia</v>
      </c>
      <c r="F428" s="201">
        <f>VLOOKUP(E428,PROYECTOS!$K$1:$M$32,3,0)</f>
        <v>2024003050084</v>
      </c>
      <c r="G428" s="202" t="s">
        <v>450</v>
      </c>
      <c r="H428" s="202" t="str">
        <f>VLOOKUP(Q428,PROYECTOS!$V$1:$W$32,2,0)</f>
        <v>050079</v>
      </c>
      <c r="I428" s="203">
        <v>50609170</v>
      </c>
      <c r="J428" s="204" t="s">
        <v>526</v>
      </c>
      <c r="K428" s="199" t="str">
        <f t="shared" ca="1" si="57"/>
        <v>CONTRATADO</v>
      </c>
      <c r="L428" s="199" t="s">
        <v>112</v>
      </c>
      <c r="M428" s="199" t="s">
        <v>113</v>
      </c>
      <c r="N428" s="205" t="s">
        <v>452</v>
      </c>
      <c r="O428" s="204">
        <f>VLOOKUP(N428,RUBROS[#All],3,0)</f>
        <v>62</v>
      </c>
      <c r="P428" s="206" t="str">
        <f>VLOOKUP(N428,RUBROS[#All],2,0)</f>
        <v>Apoyo técnico a atletas y para-atletas que representan en alto rendimiento deportivo al departamento de Antioquia. - Servicios para la comunidad, sociales y personales</v>
      </c>
      <c r="Q428" s="199" t="str">
        <f t="shared" si="58"/>
        <v>84</v>
      </c>
      <c r="R428" s="199" t="str">
        <f t="shared" si="59"/>
        <v>0-205400</v>
      </c>
      <c r="S428" s="207">
        <v>294</v>
      </c>
      <c r="T428" s="208" t="s">
        <v>220</v>
      </c>
      <c r="U428" s="209" t="e">
        <f ca="1">_xlfn.XLOOKUP(PAA[[#This Row],[ITEM]],Contrato!A:A,Contrato!Q:Q,"",0)</f>
        <v>#NAME?</v>
      </c>
      <c r="V428" s="199" t="s">
        <v>47</v>
      </c>
      <c r="W428" s="199" t="s">
        <v>154</v>
      </c>
      <c r="X428" s="199" t="s">
        <v>154</v>
      </c>
      <c r="Y428" s="210" t="e">
        <f ca="1">_xlfn.XLOOKUP(PAA[[#This Row],[ITEM]],Contrato!A:A,Contrato!B:B,"",0)</f>
        <v>#NAME?</v>
      </c>
      <c r="Z428" s="199" t="e">
        <f ca="1">_xlfn.XLOOKUP(PAA[[#This Row],[ITEM]],Contrato!A:A,Contrato!G:G,"",0)</f>
        <v>#NAME?</v>
      </c>
      <c r="AA428" s="199" t="e">
        <f ca="1">_xlfn.XLOOKUP(PAA[[#This Row],[ITEM]],Contrato!A:A,Contrato!T:T,"",0)</f>
        <v>#NAME?</v>
      </c>
      <c r="AB428" s="210" t="e">
        <f ca="1">+MAX(PAA[[#This Row],[Comprometido Contrato]],)</f>
        <v>#NAME?</v>
      </c>
      <c r="AC428" s="210" t="str">
        <f t="shared" ca="1" si="63"/>
        <v/>
      </c>
      <c r="AD428" s="210" t="e">
        <f ca="1">+MAX(PAA[[#This Row],[Pago por Contrato]],)</f>
        <v>#NAME?</v>
      </c>
      <c r="AE428" s="210" t="str">
        <f t="shared" ca="1" si="60"/>
        <v/>
      </c>
      <c r="AF428" s="199" t="e">
        <f t="shared" ca="1" si="61"/>
        <v>#NAME?</v>
      </c>
      <c r="AG428" s="199">
        <f t="shared" si="62"/>
        <v>52010802</v>
      </c>
      <c r="AH428" s="199" t="e" cm="1">
        <f t="array" aca="1" ref="AH428" ca="1">_xlfn.XLOOKUP(PAA[[#This Row],[RCP-RUBRO]],COMPROMISOS_2025[[#All],[concatenado]],COMPROMISOS_2025[[#All],[Total pagado]],"",0)</f>
        <v>#NAME?</v>
      </c>
      <c r="AI428" s="199" t="e" cm="1">
        <f t="array" aca="1" ref="AI428" ca="1">_xlfn.XLOOKUP(PAA[[#This Row],[RCP-RUBRO]],COMPROMISOS_2025[[#All],[concatenado]],COMPROMISOS_2025[[#All],[Total Comprometido]],"",0)</f>
        <v>#NAME?</v>
      </c>
    </row>
    <row r="429" spans="1:35" s="50" customFormat="1" ht="42" hidden="1" customHeight="1" x14ac:dyDescent="0.25">
      <c r="A429" s="199">
        <v>329</v>
      </c>
      <c r="B429" s="200">
        <v>80111600</v>
      </c>
      <c r="C429" s="199" t="str">
        <f>VLOOKUP(PAA[[#This Row],[PROYECTO (formulado)2]],PROYECTOS!$G$1:$L$32,6,0)</f>
        <v>SUBGERENCIA DE ALTOS LOGROS Y DEPORTE ASOCIADO</v>
      </c>
      <c r="D429" s="199" t="str">
        <f>+IF(PAA[[#This Row],[UNIDAD DE CONTRATACION (formulado)]]="Subgerencia Administrativa y Financiera","FUNCIONAMIENTO","INVERSIÓN")</f>
        <v>INVERSIÓN</v>
      </c>
      <c r="E429" s="201" t="str">
        <f>VLOOKUP(Q429,PROYECTOS!$G$1:$K$32,5,0)</f>
        <v>Apoyo técnico a atletas y para-atletas que representan en alto rendimiento deportivo al departamento de Antioquia</v>
      </c>
      <c r="F429" s="201">
        <f>VLOOKUP(E429,PROYECTOS!$K$1:$M$32,3,0)</f>
        <v>2024003050084</v>
      </c>
      <c r="G429" s="202" t="s">
        <v>450</v>
      </c>
      <c r="H429" s="202" t="str">
        <f>VLOOKUP(Q429,PROYECTOS!$V$1:$W$32,2,0)</f>
        <v>050079</v>
      </c>
      <c r="I429" s="203">
        <v>50609170</v>
      </c>
      <c r="J429" s="204" t="s">
        <v>527</v>
      </c>
      <c r="K429" s="199" t="str">
        <f t="shared" ref="K429:K492" ca="1" si="64">IF(ISNONTEXT(Y429)=TRUE,"CONTRATADO","NO CONTRATADO")</f>
        <v>CONTRATADO</v>
      </c>
      <c r="L429" s="199" t="s">
        <v>112</v>
      </c>
      <c r="M429" s="199" t="s">
        <v>113</v>
      </c>
      <c r="N429" s="205" t="s">
        <v>452</v>
      </c>
      <c r="O429" s="204">
        <f>VLOOKUP(N429,RUBROS[#All],3,0)</f>
        <v>62</v>
      </c>
      <c r="P429" s="206" t="str">
        <f>VLOOKUP(N429,RUBROS[#All],2,0)</f>
        <v>Apoyo técnico a atletas y para-atletas que representan en alto rendimiento deportivo al departamento de Antioquia. - Servicios para la comunidad, sociales y personales</v>
      </c>
      <c r="Q429" s="199" t="str">
        <f t="shared" ref="Q429:Q492" si="65">+MID(N429,11,2)</f>
        <v>84</v>
      </c>
      <c r="R429" s="199" t="str">
        <f t="shared" ref="R429:R492" si="66">+MID(N429,14,8)</f>
        <v>0-205400</v>
      </c>
      <c r="S429" s="207">
        <v>294</v>
      </c>
      <c r="T429" s="208" t="s">
        <v>220</v>
      </c>
      <c r="U429" s="209" t="e">
        <f ca="1">_xlfn.XLOOKUP(PAA[[#This Row],[ITEM]],Contrato!A:A,Contrato!Q:Q,"",0)</f>
        <v>#NAME?</v>
      </c>
      <c r="V429" s="199" t="s">
        <v>47</v>
      </c>
      <c r="W429" s="199" t="s">
        <v>154</v>
      </c>
      <c r="X429" s="199" t="s">
        <v>154</v>
      </c>
      <c r="Y429" s="210" t="e">
        <f ca="1">_xlfn.XLOOKUP(PAA[[#This Row],[ITEM]],Contrato!A:A,Contrato!B:B,"",0)</f>
        <v>#NAME?</v>
      </c>
      <c r="Z429" s="199" t="e">
        <f ca="1">_xlfn.XLOOKUP(PAA[[#This Row],[ITEM]],Contrato!A:A,Contrato!G:G,"",0)</f>
        <v>#NAME?</v>
      </c>
      <c r="AA429" s="199" t="e">
        <f ca="1">_xlfn.XLOOKUP(PAA[[#This Row],[ITEM]],Contrato!A:A,Contrato!T:T,"",0)</f>
        <v>#NAME?</v>
      </c>
      <c r="AB429" s="210" t="e">
        <f ca="1">+MAX(PAA[[#This Row],[Comprometido Contrato]],)</f>
        <v>#NAME?</v>
      </c>
      <c r="AC429" s="210" t="str">
        <f t="shared" ca="1" si="63"/>
        <v/>
      </c>
      <c r="AD429" s="210" t="e">
        <f ca="1">+MAX(PAA[[#This Row],[Pago por Contrato]],)</f>
        <v>#NAME?</v>
      </c>
      <c r="AE429" s="210" t="str">
        <f t="shared" ref="AE429:AE492" ca="1" si="67">+IFERROR(AB429-AD429,"")</f>
        <v/>
      </c>
      <c r="AF429" s="199" t="e">
        <f t="shared" ref="AF429:AF492" ca="1" si="68">+CONCATENATE(AA429,N429)</f>
        <v>#NAME?</v>
      </c>
      <c r="AG429" s="199">
        <f t="shared" ref="AG429:AG492" si="69">IFERROR(_xlfn.NUMBERVALUE(MID(G429,1,8)),"")</f>
        <v>52010802</v>
      </c>
      <c r="AH429" s="199" t="e" cm="1">
        <f t="array" aca="1" ref="AH429" ca="1">_xlfn.XLOOKUP(PAA[[#This Row],[RCP-RUBRO]],COMPROMISOS_2025[[#All],[concatenado]],COMPROMISOS_2025[[#All],[Total pagado]],"",0)</f>
        <v>#NAME?</v>
      </c>
      <c r="AI429" s="199" t="e" cm="1">
        <f t="array" aca="1" ref="AI429" ca="1">_xlfn.XLOOKUP(PAA[[#This Row],[RCP-RUBRO]],COMPROMISOS_2025[[#All],[concatenado]],COMPROMISOS_2025[[#All],[Total Comprometido]],"",0)</f>
        <v>#NAME?</v>
      </c>
    </row>
    <row r="430" spans="1:35" s="50" customFormat="1" ht="42" hidden="1" customHeight="1" x14ac:dyDescent="0.25">
      <c r="A430" s="199">
        <v>330</v>
      </c>
      <c r="B430" s="200">
        <v>80111600</v>
      </c>
      <c r="C430" s="199" t="str">
        <f>VLOOKUP(PAA[[#This Row],[PROYECTO (formulado)2]],PROYECTOS!$G$1:$L$32,6,0)</f>
        <v>SUBGERENCIA DE ALTOS LOGROS Y DEPORTE ASOCIADO</v>
      </c>
      <c r="D430" s="199" t="str">
        <f>+IF(PAA[[#This Row],[UNIDAD DE CONTRATACION (formulado)]]="Subgerencia Administrativa y Financiera","FUNCIONAMIENTO","INVERSIÓN")</f>
        <v>INVERSIÓN</v>
      </c>
      <c r="E430" s="201" t="str">
        <f>VLOOKUP(Q430,PROYECTOS!$G$1:$K$32,5,0)</f>
        <v>Apoyo técnico a atletas y para-atletas que representan en alto rendimiento deportivo al departamento de Antioquia</v>
      </c>
      <c r="F430" s="201">
        <f>VLOOKUP(E430,PROYECTOS!$K$1:$M$32,3,0)</f>
        <v>2024003050084</v>
      </c>
      <c r="G430" s="202" t="s">
        <v>450</v>
      </c>
      <c r="H430" s="202" t="str">
        <f>VLOOKUP(Q430,PROYECTOS!$V$1:$W$32,2,0)</f>
        <v>050079</v>
      </c>
      <c r="I430" s="203">
        <v>61147776</v>
      </c>
      <c r="J430" s="204" t="s">
        <v>528</v>
      </c>
      <c r="K430" s="199" t="str">
        <f t="shared" ca="1" si="64"/>
        <v>CONTRATADO</v>
      </c>
      <c r="L430" s="199" t="s">
        <v>112</v>
      </c>
      <c r="M430" s="199" t="s">
        <v>113</v>
      </c>
      <c r="N430" s="205" t="s">
        <v>452</v>
      </c>
      <c r="O430" s="204">
        <f>VLOOKUP(N430,RUBROS[#All],3,0)</f>
        <v>62</v>
      </c>
      <c r="P430" s="206" t="str">
        <f>VLOOKUP(N430,RUBROS[#All],2,0)</f>
        <v>Apoyo técnico a atletas y para-atletas que representan en alto rendimiento deportivo al departamento de Antioquia. - Servicios para la comunidad, sociales y personales</v>
      </c>
      <c r="Q430" s="199" t="str">
        <f t="shared" si="65"/>
        <v>84</v>
      </c>
      <c r="R430" s="199" t="str">
        <f t="shared" si="66"/>
        <v>0-205400</v>
      </c>
      <c r="S430" s="207">
        <v>294</v>
      </c>
      <c r="T430" s="208" t="s">
        <v>220</v>
      </c>
      <c r="U430" s="209" t="e">
        <f ca="1">_xlfn.XLOOKUP(PAA[[#This Row],[ITEM]],Contrato!A:A,Contrato!Q:Q,"",0)</f>
        <v>#NAME?</v>
      </c>
      <c r="V430" s="199" t="s">
        <v>47</v>
      </c>
      <c r="W430" s="199" t="s">
        <v>154</v>
      </c>
      <c r="X430" s="199" t="s">
        <v>154</v>
      </c>
      <c r="Y430" s="210" t="e">
        <f ca="1">_xlfn.XLOOKUP(PAA[[#This Row],[ITEM]],Contrato!A:A,Contrato!B:B,"",0)</f>
        <v>#NAME?</v>
      </c>
      <c r="Z430" s="199" t="e">
        <f ca="1">_xlfn.XLOOKUP(PAA[[#This Row],[ITEM]],Contrato!A:A,Contrato!G:G,"",0)</f>
        <v>#NAME?</v>
      </c>
      <c r="AA430" s="199" t="e">
        <f ca="1">_xlfn.XLOOKUP(PAA[[#This Row],[ITEM]],Contrato!A:A,Contrato!T:T,"",0)</f>
        <v>#NAME?</v>
      </c>
      <c r="AB430" s="210" t="e">
        <f ca="1">+MAX(PAA[[#This Row],[Comprometido Contrato]],)</f>
        <v>#NAME?</v>
      </c>
      <c r="AC430" s="210" t="str">
        <f t="shared" ca="1" si="63"/>
        <v/>
      </c>
      <c r="AD430" s="210" t="e">
        <f ca="1">+MAX(PAA[[#This Row],[Pago por Contrato]],)</f>
        <v>#NAME?</v>
      </c>
      <c r="AE430" s="210" t="str">
        <f t="shared" ca="1" si="67"/>
        <v/>
      </c>
      <c r="AF430" s="199" t="e">
        <f t="shared" ca="1" si="68"/>
        <v>#NAME?</v>
      </c>
      <c r="AG430" s="199">
        <f t="shared" si="69"/>
        <v>52010802</v>
      </c>
      <c r="AH430" s="199" t="e" cm="1">
        <f t="array" aca="1" ref="AH430" ca="1">_xlfn.XLOOKUP(PAA[[#This Row],[RCP-RUBRO]],COMPROMISOS_2025[[#All],[concatenado]],COMPROMISOS_2025[[#All],[Total pagado]],"",0)</f>
        <v>#NAME?</v>
      </c>
      <c r="AI430" s="199" t="e" cm="1">
        <f t="array" aca="1" ref="AI430" ca="1">_xlfn.XLOOKUP(PAA[[#This Row],[RCP-RUBRO]],COMPROMISOS_2025[[#All],[concatenado]],COMPROMISOS_2025[[#All],[Total Comprometido]],"",0)</f>
        <v>#NAME?</v>
      </c>
    </row>
    <row r="431" spans="1:35" s="50" customFormat="1" ht="42" hidden="1" customHeight="1" x14ac:dyDescent="0.25">
      <c r="A431" s="199">
        <v>331</v>
      </c>
      <c r="B431" s="200">
        <v>80111600</v>
      </c>
      <c r="C431" s="199" t="str">
        <f>VLOOKUP(PAA[[#This Row],[PROYECTO (formulado)2]],PROYECTOS!$G$1:$L$32,6,0)</f>
        <v>SUBGERENCIA DE ALTOS LOGROS Y DEPORTE ASOCIADO</v>
      </c>
      <c r="D431" s="199" t="str">
        <f>+IF(PAA[[#This Row],[UNIDAD DE CONTRATACION (formulado)]]="Subgerencia Administrativa y Financiera","FUNCIONAMIENTO","INVERSIÓN")</f>
        <v>INVERSIÓN</v>
      </c>
      <c r="E431" s="201" t="str">
        <f>VLOOKUP(Q431,PROYECTOS!$G$1:$K$32,5,0)</f>
        <v>Apoyo técnico a atletas y para-atletas que representan en alto rendimiento deportivo al departamento de Antioquia</v>
      </c>
      <c r="F431" s="201">
        <f>VLOOKUP(E431,PROYECTOS!$K$1:$M$32,3,0)</f>
        <v>2024003050084</v>
      </c>
      <c r="G431" s="202" t="s">
        <v>450</v>
      </c>
      <c r="H431" s="202" t="str">
        <f>VLOOKUP(Q431,PROYECTOS!$V$1:$W$32,2,0)</f>
        <v>050079</v>
      </c>
      <c r="I431" s="203">
        <v>61147776</v>
      </c>
      <c r="J431" s="204" t="s">
        <v>529</v>
      </c>
      <c r="K431" s="199" t="str">
        <f t="shared" ca="1" si="64"/>
        <v>CONTRATADO</v>
      </c>
      <c r="L431" s="199" t="s">
        <v>112</v>
      </c>
      <c r="M431" s="199" t="s">
        <v>113</v>
      </c>
      <c r="N431" s="205" t="s">
        <v>452</v>
      </c>
      <c r="O431" s="204">
        <f>VLOOKUP(N431,RUBROS[#All],3,0)</f>
        <v>62</v>
      </c>
      <c r="P431" s="206" t="str">
        <f>VLOOKUP(N431,RUBROS[#All],2,0)</f>
        <v>Apoyo técnico a atletas y para-atletas que representan en alto rendimiento deportivo al departamento de Antioquia. - Servicios para la comunidad, sociales y personales</v>
      </c>
      <c r="Q431" s="199" t="str">
        <f t="shared" si="65"/>
        <v>84</v>
      </c>
      <c r="R431" s="199" t="str">
        <f t="shared" si="66"/>
        <v>0-205400</v>
      </c>
      <c r="S431" s="207">
        <v>294</v>
      </c>
      <c r="T431" s="208" t="s">
        <v>220</v>
      </c>
      <c r="U431" s="209" t="e">
        <f ca="1">_xlfn.XLOOKUP(PAA[[#This Row],[ITEM]],Contrato!A:A,Contrato!Q:Q,"",0)</f>
        <v>#NAME?</v>
      </c>
      <c r="V431" s="199" t="s">
        <v>47</v>
      </c>
      <c r="W431" s="199" t="s">
        <v>154</v>
      </c>
      <c r="X431" s="199" t="s">
        <v>154</v>
      </c>
      <c r="Y431" s="210" t="e">
        <f ca="1">_xlfn.XLOOKUP(PAA[[#This Row],[ITEM]],Contrato!A:A,Contrato!B:B,"",0)</f>
        <v>#NAME?</v>
      </c>
      <c r="Z431" s="199" t="e">
        <f ca="1">_xlfn.XLOOKUP(PAA[[#This Row],[ITEM]],Contrato!A:A,Contrato!G:G,"",0)</f>
        <v>#NAME?</v>
      </c>
      <c r="AA431" s="199" t="e">
        <f ca="1">_xlfn.XLOOKUP(PAA[[#This Row],[ITEM]],Contrato!A:A,Contrato!T:T,"",0)</f>
        <v>#NAME?</v>
      </c>
      <c r="AB431" s="210" t="e">
        <f ca="1">+MAX(PAA[[#This Row],[Comprometido Contrato]],)</f>
        <v>#NAME?</v>
      </c>
      <c r="AC431" s="210" t="str">
        <f t="shared" ca="1" si="63"/>
        <v/>
      </c>
      <c r="AD431" s="210" t="e">
        <f ca="1">+MAX(PAA[[#This Row],[Pago por Contrato]],)</f>
        <v>#NAME?</v>
      </c>
      <c r="AE431" s="210" t="str">
        <f t="shared" ca="1" si="67"/>
        <v/>
      </c>
      <c r="AF431" s="199" t="e">
        <f t="shared" ca="1" si="68"/>
        <v>#NAME?</v>
      </c>
      <c r="AG431" s="199">
        <f t="shared" si="69"/>
        <v>52010802</v>
      </c>
      <c r="AH431" s="199" t="e" cm="1">
        <f t="array" aca="1" ref="AH431" ca="1">_xlfn.XLOOKUP(PAA[[#This Row],[RCP-RUBRO]],COMPROMISOS_2025[[#All],[concatenado]],COMPROMISOS_2025[[#All],[Total pagado]],"",0)</f>
        <v>#NAME?</v>
      </c>
      <c r="AI431" s="199" t="e" cm="1">
        <f t="array" aca="1" ref="AI431" ca="1">_xlfn.XLOOKUP(PAA[[#This Row],[RCP-RUBRO]],COMPROMISOS_2025[[#All],[concatenado]],COMPROMISOS_2025[[#All],[Total Comprometido]],"",0)</f>
        <v>#NAME?</v>
      </c>
    </row>
    <row r="432" spans="1:35" s="50" customFormat="1" ht="42" hidden="1" customHeight="1" x14ac:dyDescent="0.25">
      <c r="A432" s="199">
        <v>332</v>
      </c>
      <c r="B432" s="200">
        <v>80111600</v>
      </c>
      <c r="C432" s="199" t="str">
        <f>VLOOKUP(PAA[[#This Row],[PROYECTO (formulado)2]],PROYECTOS!$G$1:$L$32,6,0)</f>
        <v>SUBGERENCIA DE ALTOS LOGROS Y DEPORTE ASOCIADO</v>
      </c>
      <c r="D432" s="199" t="str">
        <f>+IF(PAA[[#This Row],[UNIDAD DE CONTRATACION (formulado)]]="Subgerencia Administrativa y Financiera","FUNCIONAMIENTO","INVERSIÓN")</f>
        <v>INVERSIÓN</v>
      </c>
      <c r="E432" s="201" t="str">
        <f>VLOOKUP(Q432,PROYECTOS!$G$1:$K$32,5,0)</f>
        <v>Apoyo técnico a atletas y para-atletas que representan en alto rendimiento deportivo al departamento de Antioquia</v>
      </c>
      <c r="F432" s="201">
        <f>VLOOKUP(E432,PROYECTOS!$K$1:$M$32,3,0)</f>
        <v>2024003050084</v>
      </c>
      <c r="G432" s="202" t="s">
        <v>450</v>
      </c>
      <c r="H432" s="202" t="str">
        <f>VLOOKUP(Q432,PROYECTOS!$V$1:$W$32,2,0)</f>
        <v>050079</v>
      </c>
      <c r="I432" s="203">
        <v>40747479</v>
      </c>
      <c r="J432" s="204" t="s">
        <v>530</v>
      </c>
      <c r="K432" s="199" t="str">
        <f t="shared" ca="1" si="64"/>
        <v>CONTRATADO</v>
      </c>
      <c r="L432" s="199" t="s">
        <v>112</v>
      </c>
      <c r="M432" s="199" t="s">
        <v>113</v>
      </c>
      <c r="N432" s="205" t="s">
        <v>452</v>
      </c>
      <c r="O432" s="204">
        <f>VLOOKUP(N432,RUBROS[#All],3,0)</f>
        <v>62</v>
      </c>
      <c r="P432" s="206" t="str">
        <f>VLOOKUP(N432,RUBROS[#All],2,0)</f>
        <v>Apoyo técnico a atletas y para-atletas que representan en alto rendimiento deportivo al departamento de Antioquia. - Servicios para la comunidad, sociales y personales</v>
      </c>
      <c r="Q432" s="199" t="str">
        <f t="shared" si="65"/>
        <v>84</v>
      </c>
      <c r="R432" s="199" t="str">
        <f t="shared" si="66"/>
        <v>0-205400</v>
      </c>
      <c r="S432" s="207">
        <v>294</v>
      </c>
      <c r="T432" s="208" t="s">
        <v>220</v>
      </c>
      <c r="U432" s="209" t="e">
        <f ca="1">_xlfn.XLOOKUP(PAA[[#This Row],[ITEM]],Contrato!A:A,Contrato!Q:Q,"",0)</f>
        <v>#NAME?</v>
      </c>
      <c r="V432" s="199" t="s">
        <v>47</v>
      </c>
      <c r="W432" s="199" t="s">
        <v>154</v>
      </c>
      <c r="X432" s="199" t="s">
        <v>154</v>
      </c>
      <c r="Y432" s="210" t="e">
        <f ca="1">_xlfn.XLOOKUP(PAA[[#This Row],[ITEM]],Contrato!A:A,Contrato!B:B,"",0)</f>
        <v>#NAME?</v>
      </c>
      <c r="Z432" s="199" t="e">
        <f ca="1">_xlfn.XLOOKUP(PAA[[#This Row],[ITEM]],Contrato!A:A,Contrato!G:G,"",0)</f>
        <v>#NAME?</v>
      </c>
      <c r="AA432" s="199" t="e">
        <f ca="1">_xlfn.XLOOKUP(PAA[[#This Row],[ITEM]],Contrato!A:A,Contrato!T:T,"",0)</f>
        <v>#NAME?</v>
      </c>
      <c r="AB432" s="210" t="e">
        <f ca="1">+MAX(PAA[[#This Row],[Comprometido Contrato]],)</f>
        <v>#NAME?</v>
      </c>
      <c r="AC432" s="210" t="str">
        <f t="shared" ca="1" si="63"/>
        <v/>
      </c>
      <c r="AD432" s="210" t="e">
        <f ca="1">+MAX(PAA[[#This Row],[Pago por Contrato]],)</f>
        <v>#NAME?</v>
      </c>
      <c r="AE432" s="210" t="str">
        <f t="shared" ca="1" si="67"/>
        <v/>
      </c>
      <c r="AF432" s="199" t="e">
        <f t="shared" ca="1" si="68"/>
        <v>#NAME?</v>
      </c>
      <c r="AG432" s="199">
        <f t="shared" si="69"/>
        <v>52010802</v>
      </c>
      <c r="AH432" s="199" t="e" cm="1">
        <f t="array" aca="1" ref="AH432" ca="1">_xlfn.XLOOKUP(PAA[[#This Row],[RCP-RUBRO]],COMPROMISOS_2025[[#All],[concatenado]],COMPROMISOS_2025[[#All],[Total pagado]],"",0)</f>
        <v>#NAME?</v>
      </c>
      <c r="AI432" s="199" t="e" cm="1">
        <f t="array" aca="1" ref="AI432" ca="1">_xlfn.XLOOKUP(PAA[[#This Row],[RCP-RUBRO]],COMPROMISOS_2025[[#All],[concatenado]],COMPROMISOS_2025[[#All],[Total Comprometido]],"",0)</f>
        <v>#NAME?</v>
      </c>
    </row>
    <row r="433" spans="1:35" s="50" customFormat="1" ht="42" hidden="1" customHeight="1" x14ac:dyDescent="0.25">
      <c r="A433" s="199">
        <v>333</v>
      </c>
      <c r="B433" s="200">
        <v>80111600</v>
      </c>
      <c r="C433" s="199" t="str">
        <f>VLOOKUP(PAA[[#This Row],[PROYECTO (formulado)2]],PROYECTOS!$G$1:$L$32,6,0)</f>
        <v>SUBGERENCIA DE ALTOS LOGROS Y DEPORTE ASOCIADO</v>
      </c>
      <c r="D433" s="199" t="str">
        <f>+IF(PAA[[#This Row],[UNIDAD DE CONTRATACION (formulado)]]="Subgerencia Administrativa y Financiera","FUNCIONAMIENTO","INVERSIÓN")</f>
        <v>INVERSIÓN</v>
      </c>
      <c r="E433" s="201" t="str">
        <f>VLOOKUP(Q433,PROYECTOS!$G$1:$K$32,5,0)</f>
        <v>Apoyo técnico a atletas y para-atletas que representan en alto rendimiento deportivo al departamento de Antioquia</v>
      </c>
      <c r="F433" s="201">
        <f>VLOOKUP(E433,PROYECTOS!$K$1:$M$32,3,0)</f>
        <v>2024003050084</v>
      </c>
      <c r="G433" s="202" t="s">
        <v>450</v>
      </c>
      <c r="H433" s="202" t="str">
        <f>VLOOKUP(Q433,PROYECTOS!$V$1:$W$32,2,0)</f>
        <v>050079</v>
      </c>
      <c r="I433" s="203">
        <v>50609170</v>
      </c>
      <c r="J433" s="204" t="s">
        <v>531</v>
      </c>
      <c r="K433" s="199" t="str">
        <f t="shared" ca="1" si="64"/>
        <v>CONTRATADO</v>
      </c>
      <c r="L433" s="199" t="s">
        <v>112</v>
      </c>
      <c r="M433" s="199" t="s">
        <v>113</v>
      </c>
      <c r="N433" s="205" t="s">
        <v>452</v>
      </c>
      <c r="O433" s="204">
        <f>VLOOKUP(N433,RUBROS[#All],3,0)</f>
        <v>62</v>
      </c>
      <c r="P433" s="206" t="str">
        <f>VLOOKUP(N433,RUBROS[#All],2,0)</f>
        <v>Apoyo técnico a atletas y para-atletas que representan en alto rendimiento deportivo al departamento de Antioquia. - Servicios para la comunidad, sociales y personales</v>
      </c>
      <c r="Q433" s="199" t="str">
        <f t="shared" si="65"/>
        <v>84</v>
      </c>
      <c r="R433" s="199" t="str">
        <f t="shared" si="66"/>
        <v>0-205400</v>
      </c>
      <c r="S433" s="207">
        <v>294</v>
      </c>
      <c r="T433" s="208" t="s">
        <v>220</v>
      </c>
      <c r="U433" s="209" t="e">
        <f ca="1">_xlfn.XLOOKUP(PAA[[#This Row],[ITEM]],Contrato!A:A,Contrato!Q:Q,"",0)</f>
        <v>#NAME?</v>
      </c>
      <c r="V433" s="199" t="s">
        <v>47</v>
      </c>
      <c r="W433" s="199" t="s">
        <v>154</v>
      </c>
      <c r="X433" s="199" t="s">
        <v>154</v>
      </c>
      <c r="Y433" s="210" t="e">
        <f ca="1">_xlfn.XLOOKUP(PAA[[#This Row],[ITEM]],Contrato!A:A,Contrato!B:B,"",0)</f>
        <v>#NAME?</v>
      </c>
      <c r="Z433" s="199" t="e">
        <f ca="1">_xlfn.XLOOKUP(PAA[[#This Row],[ITEM]],Contrato!A:A,Contrato!G:G,"",0)</f>
        <v>#NAME?</v>
      </c>
      <c r="AA433" s="199" t="e">
        <f ca="1">_xlfn.XLOOKUP(PAA[[#This Row],[ITEM]],Contrato!A:A,Contrato!T:T,"",0)</f>
        <v>#NAME?</v>
      </c>
      <c r="AB433" s="210" t="e">
        <f ca="1">+MAX(PAA[[#This Row],[Comprometido Contrato]],)</f>
        <v>#NAME?</v>
      </c>
      <c r="AC433" s="210" t="str">
        <f t="shared" ca="1" si="63"/>
        <v/>
      </c>
      <c r="AD433" s="210" t="e">
        <f ca="1">+MAX(PAA[[#This Row],[Pago por Contrato]],)</f>
        <v>#NAME?</v>
      </c>
      <c r="AE433" s="210" t="str">
        <f t="shared" ca="1" si="67"/>
        <v/>
      </c>
      <c r="AF433" s="199" t="e">
        <f t="shared" ca="1" si="68"/>
        <v>#NAME?</v>
      </c>
      <c r="AG433" s="199">
        <f t="shared" si="69"/>
        <v>52010802</v>
      </c>
      <c r="AH433" s="199" t="e" cm="1">
        <f t="array" aca="1" ref="AH433" ca="1">_xlfn.XLOOKUP(PAA[[#This Row],[RCP-RUBRO]],COMPROMISOS_2025[[#All],[concatenado]],COMPROMISOS_2025[[#All],[Total pagado]],"",0)</f>
        <v>#NAME?</v>
      </c>
      <c r="AI433" s="199" t="e" cm="1">
        <f t="array" aca="1" ref="AI433" ca="1">_xlfn.XLOOKUP(PAA[[#This Row],[RCP-RUBRO]],COMPROMISOS_2025[[#All],[concatenado]],COMPROMISOS_2025[[#All],[Total Comprometido]],"",0)</f>
        <v>#NAME?</v>
      </c>
    </row>
    <row r="434" spans="1:35" s="50" customFormat="1" ht="42" hidden="1" customHeight="1" x14ac:dyDescent="0.25">
      <c r="A434" s="199">
        <v>334</v>
      </c>
      <c r="B434" s="200">
        <v>80111600</v>
      </c>
      <c r="C434" s="199" t="str">
        <f>VLOOKUP(PAA[[#This Row],[PROYECTO (formulado)2]],PROYECTOS!$G$1:$L$32,6,0)</f>
        <v>SUBGERENCIA DE ALTOS LOGROS Y DEPORTE ASOCIADO</v>
      </c>
      <c r="D434" s="199" t="str">
        <f>+IF(PAA[[#This Row],[UNIDAD DE CONTRATACION (formulado)]]="Subgerencia Administrativa y Financiera","FUNCIONAMIENTO","INVERSIÓN")</f>
        <v>INVERSIÓN</v>
      </c>
      <c r="E434" s="201" t="str">
        <f>VLOOKUP(Q434,PROYECTOS!$G$1:$K$32,5,0)</f>
        <v>Apoyo técnico a atletas y para-atletas que representan en alto rendimiento deportivo al departamento de Antioquia</v>
      </c>
      <c r="F434" s="201">
        <f>VLOOKUP(E434,PROYECTOS!$K$1:$M$32,3,0)</f>
        <v>2024003050084</v>
      </c>
      <c r="G434" s="202" t="s">
        <v>450</v>
      </c>
      <c r="H434" s="202" t="str">
        <f>VLOOKUP(Q434,PROYECTOS!$V$1:$W$32,2,0)</f>
        <v>050079</v>
      </c>
      <c r="I434" s="203">
        <v>26545593</v>
      </c>
      <c r="J434" s="204" t="s">
        <v>532</v>
      </c>
      <c r="K434" s="199" t="str">
        <f t="shared" ca="1" si="64"/>
        <v>CONTRATADO</v>
      </c>
      <c r="L434" s="199" t="s">
        <v>112</v>
      </c>
      <c r="M434" s="199" t="s">
        <v>113</v>
      </c>
      <c r="N434" s="205" t="s">
        <v>452</v>
      </c>
      <c r="O434" s="204">
        <f>VLOOKUP(N434,RUBROS[#All],3,0)</f>
        <v>62</v>
      </c>
      <c r="P434" s="206" t="str">
        <f>VLOOKUP(N434,RUBROS[#All],2,0)</f>
        <v>Apoyo técnico a atletas y para-atletas que representan en alto rendimiento deportivo al departamento de Antioquia. - Servicios para la comunidad, sociales y personales</v>
      </c>
      <c r="Q434" s="199" t="str">
        <f t="shared" si="65"/>
        <v>84</v>
      </c>
      <c r="R434" s="199" t="str">
        <f t="shared" si="66"/>
        <v>0-205400</v>
      </c>
      <c r="S434" s="207">
        <v>294</v>
      </c>
      <c r="T434" s="208" t="s">
        <v>220</v>
      </c>
      <c r="U434" s="209" t="e">
        <f ca="1">_xlfn.XLOOKUP(PAA[[#This Row],[ITEM]],Contrato!A:A,Contrato!Q:Q,"",0)</f>
        <v>#NAME?</v>
      </c>
      <c r="V434" s="199" t="s">
        <v>47</v>
      </c>
      <c r="W434" s="199" t="s">
        <v>154</v>
      </c>
      <c r="X434" s="199" t="s">
        <v>154</v>
      </c>
      <c r="Y434" s="210" t="e">
        <f ca="1">_xlfn.XLOOKUP(PAA[[#This Row],[ITEM]],Contrato!A:A,Contrato!B:B,"",0)</f>
        <v>#NAME?</v>
      </c>
      <c r="Z434" s="199" t="e">
        <f ca="1">_xlfn.XLOOKUP(PAA[[#This Row],[ITEM]],Contrato!A:A,Contrato!G:G,"",0)</f>
        <v>#NAME?</v>
      </c>
      <c r="AA434" s="199" t="e">
        <f ca="1">_xlfn.XLOOKUP(PAA[[#This Row],[ITEM]],Contrato!A:A,Contrato!T:T,"",0)</f>
        <v>#NAME?</v>
      </c>
      <c r="AB434" s="210" t="e">
        <f ca="1">+MAX(PAA[[#This Row],[Comprometido Contrato]],)</f>
        <v>#NAME?</v>
      </c>
      <c r="AC434" s="210" t="str">
        <f t="shared" ca="1" si="63"/>
        <v/>
      </c>
      <c r="AD434" s="210" t="e">
        <f ca="1">+MAX(PAA[[#This Row],[Pago por Contrato]],)</f>
        <v>#NAME?</v>
      </c>
      <c r="AE434" s="210" t="str">
        <f t="shared" ca="1" si="67"/>
        <v/>
      </c>
      <c r="AF434" s="199" t="e">
        <f t="shared" ca="1" si="68"/>
        <v>#NAME?</v>
      </c>
      <c r="AG434" s="199">
        <f t="shared" si="69"/>
        <v>52010802</v>
      </c>
      <c r="AH434" s="199" t="e" cm="1">
        <f t="array" aca="1" ref="AH434" ca="1">_xlfn.XLOOKUP(PAA[[#This Row],[RCP-RUBRO]],COMPROMISOS_2025[[#All],[concatenado]],COMPROMISOS_2025[[#All],[Total pagado]],"",0)</f>
        <v>#NAME?</v>
      </c>
      <c r="AI434" s="199" t="e" cm="1">
        <f t="array" aca="1" ref="AI434" ca="1">_xlfn.XLOOKUP(PAA[[#This Row],[RCP-RUBRO]],COMPROMISOS_2025[[#All],[concatenado]],COMPROMISOS_2025[[#All],[Total Comprometido]],"",0)</f>
        <v>#NAME?</v>
      </c>
    </row>
    <row r="435" spans="1:35" s="50" customFormat="1" ht="42" hidden="1" customHeight="1" x14ac:dyDescent="0.25">
      <c r="A435" s="199">
        <v>335</v>
      </c>
      <c r="B435" s="200">
        <v>80111600</v>
      </c>
      <c r="C435" s="199" t="str">
        <f>VLOOKUP(PAA[[#This Row],[PROYECTO (formulado)2]],PROYECTOS!$G$1:$L$32,6,0)</f>
        <v>SUBGERENCIA DE ALTOS LOGROS Y DEPORTE ASOCIADO</v>
      </c>
      <c r="D435" s="199" t="str">
        <f>+IF(PAA[[#This Row],[UNIDAD DE CONTRATACION (formulado)]]="Subgerencia Administrativa y Financiera","FUNCIONAMIENTO","INVERSIÓN")</f>
        <v>INVERSIÓN</v>
      </c>
      <c r="E435" s="201" t="str">
        <f>VLOOKUP(Q435,PROYECTOS!$G$1:$K$32,5,0)</f>
        <v>Apoyo técnico a atletas y para-atletas que representan en alto rendimiento deportivo al departamento de Antioquia</v>
      </c>
      <c r="F435" s="201">
        <f>VLOOKUP(E435,PROYECTOS!$K$1:$M$32,3,0)</f>
        <v>2024003050084</v>
      </c>
      <c r="G435" s="202" t="s">
        <v>450</v>
      </c>
      <c r="H435" s="202" t="str">
        <f>VLOOKUP(Q435,PROYECTOS!$V$1:$W$32,2,0)</f>
        <v>050079</v>
      </c>
      <c r="I435" s="203">
        <v>26545593</v>
      </c>
      <c r="J435" s="204" t="s">
        <v>533</v>
      </c>
      <c r="K435" s="199" t="str">
        <f t="shared" ca="1" si="64"/>
        <v>CONTRATADO</v>
      </c>
      <c r="L435" s="199" t="s">
        <v>112</v>
      </c>
      <c r="M435" s="199" t="s">
        <v>113</v>
      </c>
      <c r="N435" s="205" t="s">
        <v>452</v>
      </c>
      <c r="O435" s="204">
        <f>VLOOKUP(N435,RUBROS[#All],3,0)</f>
        <v>62</v>
      </c>
      <c r="P435" s="206" t="str">
        <f>VLOOKUP(N435,RUBROS[#All],2,0)</f>
        <v>Apoyo técnico a atletas y para-atletas que representan en alto rendimiento deportivo al departamento de Antioquia. - Servicios para la comunidad, sociales y personales</v>
      </c>
      <c r="Q435" s="199" t="str">
        <f t="shared" si="65"/>
        <v>84</v>
      </c>
      <c r="R435" s="199" t="str">
        <f t="shared" si="66"/>
        <v>0-205400</v>
      </c>
      <c r="S435" s="207">
        <v>294</v>
      </c>
      <c r="T435" s="208" t="s">
        <v>220</v>
      </c>
      <c r="U435" s="209" t="e">
        <f ca="1">_xlfn.XLOOKUP(PAA[[#This Row],[ITEM]],Contrato!A:A,Contrato!Q:Q,"",0)</f>
        <v>#NAME?</v>
      </c>
      <c r="V435" s="199" t="s">
        <v>47</v>
      </c>
      <c r="W435" s="199" t="s">
        <v>154</v>
      </c>
      <c r="X435" s="199" t="s">
        <v>154</v>
      </c>
      <c r="Y435" s="210" t="e">
        <f ca="1">_xlfn.XLOOKUP(PAA[[#This Row],[ITEM]],Contrato!A:A,Contrato!B:B,"",0)</f>
        <v>#NAME?</v>
      </c>
      <c r="Z435" s="199" t="e">
        <f ca="1">_xlfn.XLOOKUP(PAA[[#This Row],[ITEM]],Contrato!A:A,Contrato!G:G,"",0)</f>
        <v>#NAME?</v>
      </c>
      <c r="AA435" s="199" t="e">
        <f ca="1">_xlfn.XLOOKUP(PAA[[#This Row],[ITEM]],Contrato!A:A,Contrato!T:T,"",0)</f>
        <v>#NAME?</v>
      </c>
      <c r="AB435" s="210" t="e">
        <f ca="1">+MAX(PAA[[#This Row],[Comprometido Contrato]],)</f>
        <v>#NAME?</v>
      </c>
      <c r="AC435" s="210" t="str">
        <f t="shared" ca="1" si="63"/>
        <v/>
      </c>
      <c r="AD435" s="210" t="e">
        <f ca="1">+MAX(PAA[[#This Row],[Pago por Contrato]],)</f>
        <v>#NAME?</v>
      </c>
      <c r="AE435" s="210" t="str">
        <f t="shared" ca="1" si="67"/>
        <v/>
      </c>
      <c r="AF435" s="199" t="e">
        <f t="shared" ca="1" si="68"/>
        <v>#NAME?</v>
      </c>
      <c r="AG435" s="199">
        <f t="shared" si="69"/>
        <v>52010802</v>
      </c>
      <c r="AH435" s="199" t="e" cm="1">
        <f t="array" aca="1" ref="AH435" ca="1">_xlfn.XLOOKUP(PAA[[#This Row],[RCP-RUBRO]],COMPROMISOS_2025[[#All],[concatenado]],COMPROMISOS_2025[[#All],[Total pagado]],"",0)</f>
        <v>#NAME?</v>
      </c>
      <c r="AI435" s="199" t="e" cm="1">
        <f t="array" aca="1" ref="AI435" ca="1">_xlfn.XLOOKUP(PAA[[#This Row],[RCP-RUBRO]],COMPROMISOS_2025[[#All],[concatenado]],COMPROMISOS_2025[[#All],[Total Comprometido]],"",0)</f>
        <v>#NAME?</v>
      </c>
    </row>
    <row r="436" spans="1:35" s="50" customFormat="1" ht="42" hidden="1" customHeight="1" x14ac:dyDescent="0.25">
      <c r="A436" s="199">
        <v>336</v>
      </c>
      <c r="B436" s="200">
        <v>80111600</v>
      </c>
      <c r="C436" s="199" t="str">
        <f>VLOOKUP(PAA[[#This Row],[PROYECTO (formulado)2]],PROYECTOS!$G$1:$L$32,6,0)</f>
        <v>SUBGERENCIA DE ALTOS LOGROS Y DEPORTE ASOCIADO</v>
      </c>
      <c r="D436" s="199" t="str">
        <f>+IF(PAA[[#This Row],[UNIDAD DE CONTRATACION (formulado)]]="Subgerencia Administrativa y Financiera","FUNCIONAMIENTO","INVERSIÓN")</f>
        <v>INVERSIÓN</v>
      </c>
      <c r="E436" s="201" t="str">
        <f>VLOOKUP(Q436,PROYECTOS!$G$1:$K$32,5,0)</f>
        <v>Apoyo técnico a atletas y para-atletas que representan en alto rendimiento deportivo al departamento de Antioquia</v>
      </c>
      <c r="F436" s="201">
        <f>VLOOKUP(E436,PROYECTOS!$K$1:$M$32,3,0)</f>
        <v>2024003050084</v>
      </c>
      <c r="G436" s="202" t="s">
        <v>450</v>
      </c>
      <c r="H436" s="202" t="str">
        <f>VLOOKUP(Q436,PROYECTOS!$V$1:$W$32,2,0)</f>
        <v>050079</v>
      </c>
      <c r="I436" s="203">
        <v>26545593</v>
      </c>
      <c r="J436" s="204" t="s">
        <v>534</v>
      </c>
      <c r="K436" s="199" t="str">
        <f t="shared" ca="1" si="64"/>
        <v>CONTRATADO</v>
      </c>
      <c r="L436" s="199" t="s">
        <v>112</v>
      </c>
      <c r="M436" s="199" t="s">
        <v>113</v>
      </c>
      <c r="N436" s="205" t="s">
        <v>452</v>
      </c>
      <c r="O436" s="204">
        <f>VLOOKUP(N436,RUBROS[#All],3,0)</f>
        <v>62</v>
      </c>
      <c r="P436" s="206" t="str">
        <f>VLOOKUP(N436,RUBROS[#All],2,0)</f>
        <v>Apoyo técnico a atletas y para-atletas que representan en alto rendimiento deportivo al departamento de Antioquia. - Servicios para la comunidad, sociales y personales</v>
      </c>
      <c r="Q436" s="199" t="str">
        <f t="shared" si="65"/>
        <v>84</v>
      </c>
      <c r="R436" s="199" t="str">
        <f t="shared" si="66"/>
        <v>0-205400</v>
      </c>
      <c r="S436" s="207">
        <v>294</v>
      </c>
      <c r="T436" s="208" t="s">
        <v>220</v>
      </c>
      <c r="U436" s="209" t="e">
        <f ca="1">_xlfn.XLOOKUP(PAA[[#This Row],[ITEM]],Contrato!A:A,Contrato!Q:Q,"",0)</f>
        <v>#NAME?</v>
      </c>
      <c r="V436" s="199" t="s">
        <v>47</v>
      </c>
      <c r="W436" s="199" t="s">
        <v>154</v>
      </c>
      <c r="X436" s="199" t="s">
        <v>154</v>
      </c>
      <c r="Y436" s="210" t="e">
        <f ca="1">_xlfn.XLOOKUP(PAA[[#This Row],[ITEM]],Contrato!A:A,Contrato!B:B,"",0)</f>
        <v>#NAME?</v>
      </c>
      <c r="Z436" s="199" t="e">
        <f ca="1">_xlfn.XLOOKUP(PAA[[#This Row],[ITEM]],Contrato!A:A,Contrato!G:G,"",0)</f>
        <v>#NAME?</v>
      </c>
      <c r="AA436" s="199" t="e">
        <f ca="1">_xlfn.XLOOKUP(PAA[[#This Row],[ITEM]],Contrato!A:A,Contrato!T:T,"",0)</f>
        <v>#NAME?</v>
      </c>
      <c r="AB436" s="210" t="e">
        <f ca="1">+MAX(PAA[[#This Row],[Comprometido Contrato]],)</f>
        <v>#NAME?</v>
      </c>
      <c r="AC436" s="210" t="str">
        <f t="shared" ca="1" si="63"/>
        <v/>
      </c>
      <c r="AD436" s="210" t="e">
        <f ca="1">+MAX(PAA[[#This Row],[Pago por Contrato]],)</f>
        <v>#NAME?</v>
      </c>
      <c r="AE436" s="210" t="str">
        <f t="shared" ca="1" si="67"/>
        <v/>
      </c>
      <c r="AF436" s="199" t="e">
        <f t="shared" ca="1" si="68"/>
        <v>#NAME?</v>
      </c>
      <c r="AG436" s="199">
        <f t="shared" si="69"/>
        <v>52010802</v>
      </c>
      <c r="AH436" s="199" t="e" cm="1">
        <f t="array" aca="1" ref="AH436" ca="1">_xlfn.XLOOKUP(PAA[[#This Row],[RCP-RUBRO]],COMPROMISOS_2025[[#All],[concatenado]],COMPROMISOS_2025[[#All],[Total pagado]],"",0)</f>
        <v>#NAME?</v>
      </c>
      <c r="AI436" s="199" t="e" cm="1">
        <f t="array" aca="1" ref="AI436" ca="1">_xlfn.XLOOKUP(PAA[[#This Row],[RCP-RUBRO]],COMPROMISOS_2025[[#All],[concatenado]],COMPROMISOS_2025[[#All],[Total Comprometido]],"",0)</f>
        <v>#NAME?</v>
      </c>
    </row>
    <row r="437" spans="1:35" s="50" customFormat="1" ht="42" hidden="1" customHeight="1" x14ac:dyDescent="0.25">
      <c r="A437" s="199">
        <v>337</v>
      </c>
      <c r="B437" s="200">
        <v>80111600</v>
      </c>
      <c r="C437" s="199" t="str">
        <f>VLOOKUP(PAA[[#This Row],[PROYECTO (formulado)2]],PROYECTOS!$G$1:$L$32,6,0)</f>
        <v>SUBGERENCIA DE ALTOS LOGROS Y DEPORTE ASOCIADO</v>
      </c>
      <c r="D437" s="199" t="str">
        <f>+IF(PAA[[#This Row],[UNIDAD DE CONTRATACION (formulado)]]="Subgerencia Administrativa y Financiera","FUNCIONAMIENTO","INVERSIÓN")</f>
        <v>INVERSIÓN</v>
      </c>
      <c r="E437" s="201" t="str">
        <f>VLOOKUP(Q437,PROYECTOS!$G$1:$K$32,5,0)</f>
        <v>Apoyo técnico a atletas y para-atletas que representan en alto rendimiento deportivo al departamento de Antioquia</v>
      </c>
      <c r="F437" s="201">
        <f>VLOOKUP(E437,PROYECTOS!$K$1:$M$32,3,0)</f>
        <v>2024003050084</v>
      </c>
      <c r="G437" s="202" t="s">
        <v>450</v>
      </c>
      <c r="H437" s="202" t="str">
        <f>VLOOKUP(Q437,PROYECTOS!$V$1:$W$32,2,0)</f>
        <v>050079</v>
      </c>
      <c r="I437" s="203">
        <v>26545593</v>
      </c>
      <c r="J437" s="204" t="s">
        <v>535</v>
      </c>
      <c r="K437" s="199" t="str">
        <f t="shared" ca="1" si="64"/>
        <v>CONTRATADO</v>
      </c>
      <c r="L437" s="199" t="s">
        <v>112</v>
      </c>
      <c r="M437" s="199" t="s">
        <v>113</v>
      </c>
      <c r="N437" s="205" t="s">
        <v>452</v>
      </c>
      <c r="O437" s="204">
        <f>VLOOKUP(N437,RUBROS[#All],3,0)</f>
        <v>62</v>
      </c>
      <c r="P437" s="206" t="str">
        <f>VLOOKUP(N437,RUBROS[#All],2,0)</f>
        <v>Apoyo técnico a atletas y para-atletas que representan en alto rendimiento deportivo al departamento de Antioquia. - Servicios para la comunidad, sociales y personales</v>
      </c>
      <c r="Q437" s="199" t="str">
        <f t="shared" si="65"/>
        <v>84</v>
      </c>
      <c r="R437" s="199" t="str">
        <f t="shared" si="66"/>
        <v>0-205400</v>
      </c>
      <c r="S437" s="207">
        <v>294</v>
      </c>
      <c r="T437" s="208" t="s">
        <v>220</v>
      </c>
      <c r="U437" s="209" t="e">
        <f ca="1">_xlfn.XLOOKUP(PAA[[#This Row],[ITEM]],Contrato!A:A,Contrato!Q:Q,"",0)</f>
        <v>#NAME?</v>
      </c>
      <c r="V437" s="199" t="s">
        <v>47</v>
      </c>
      <c r="W437" s="199" t="s">
        <v>154</v>
      </c>
      <c r="X437" s="199" t="s">
        <v>154</v>
      </c>
      <c r="Y437" s="210" t="e">
        <f ca="1">_xlfn.XLOOKUP(PAA[[#This Row],[ITEM]],Contrato!A:A,Contrato!B:B,"",0)</f>
        <v>#NAME?</v>
      </c>
      <c r="Z437" s="199" t="e">
        <f ca="1">_xlfn.XLOOKUP(PAA[[#This Row],[ITEM]],Contrato!A:A,Contrato!G:G,"",0)</f>
        <v>#NAME?</v>
      </c>
      <c r="AA437" s="199" t="e">
        <f ca="1">_xlfn.XLOOKUP(PAA[[#This Row],[ITEM]],Contrato!A:A,Contrato!T:T,"",0)</f>
        <v>#NAME?</v>
      </c>
      <c r="AB437" s="210" t="e">
        <f ca="1">+MAX(PAA[[#This Row],[Comprometido Contrato]],)</f>
        <v>#NAME?</v>
      </c>
      <c r="AC437" s="210" t="str">
        <f t="shared" ca="1" si="63"/>
        <v/>
      </c>
      <c r="AD437" s="210" t="e">
        <f ca="1">+MAX(PAA[[#This Row],[Pago por Contrato]],)</f>
        <v>#NAME?</v>
      </c>
      <c r="AE437" s="210" t="str">
        <f t="shared" ca="1" si="67"/>
        <v/>
      </c>
      <c r="AF437" s="199" t="e">
        <f t="shared" ca="1" si="68"/>
        <v>#NAME?</v>
      </c>
      <c r="AG437" s="199">
        <f t="shared" si="69"/>
        <v>52010802</v>
      </c>
      <c r="AH437" s="199" t="e" cm="1">
        <f t="array" aca="1" ref="AH437" ca="1">_xlfn.XLOOKUP(PAA[[#This Row],[RCP-RUBRO]],COMPROMISOS_2025[[#All],[concatenado]],COMPROMISOS_2025[[#All],[Total pagado]],"",0)</f>
        <v>#NAME?</v>
      </c>
      <c r="AI437" s="199" t="e" cm="1">
        <f t="array" aca="1" ref="AI437" ca="1">_xlfn.XLOOKUP(PAA[[#This Row],[RCP-RUBRO]],COMPROMISOS_2025[[#All],[concatenado]],COMPROMISOS_2025[[#All],[Total Comprometido]],"",0)</f>
        <v>#NAME?</v>
      </c>
    </row>
    <row r="438" spans="1:35" s="50" customFormat="1" ht="42" hidden="1" customHeight="1" x14ac:dyDescent="0.25">
      <c r="A438" s="199">
        <v>338</v>
      </c>
      <c r="B438" s="200">
        <v>80111600</v>
      </c>
      <c r="C438" s="199" t="str">
        <f>VLOOKUP(PAA[[#This Row],[PROYECTO (formulado)2]],PROYECTOS!$G$1:$L$32,6,0)</f>
        <v>SUBGERENCIA DE ALTOS LOGROS Y DEPORTE ASOCIADO</v>
      </c>
      <c r="D438" s="199" t="str">
        <f>+IF(PAA[[#This Row],[UNIDAD DE CONTRATACION (formulado)]]="Subgerencia Administrativa y Financiera","FUNCIONAMIENTO","INVERSIÓN")</f>
        <v>INVERSIÓN</v>
      </c>
      <c r="E438" s="201" t="str">
        <f>VLOOKUP(Q438,PROYECTOS!$G$1:$K$32,5,0)</f>
        <v>Apoyo técnico a atletas y para-atletas que representan en alto rendimiento deportivo al departamento de Antioquia</v>
      </c>
      <c r="F438" s="201">
        <f>VLOOKUP(E438,PROYECTOS!$K$1:$M$32,3,0)</f>
        <v>2024003050084</v>
      </c>
      <c r="G438" s="202" t="s">
        <v>450</v>
      </c>
      <c r="H438" s="202" t="str">
        <f>VLOOKUP(Q438,PROYECTOS!$V$1:$W$32,2,0)</f>
        <v>050079</v>
      </c>
      <c r="I438" s="203">
        <v>50609170</v>
      </c>
      <c r="J438" s="204" t="s">
        <v>536</v>
      </c>
      <c r="K438" s="199" t="str">
        <f t="shared" ca="1" si="64"/>
        <v>CONTRATADO</v>
      </c>
      <c r="L438" s="199" t="s">
        <v>112</v>
      </c>
      <c r="M438" s="199" t="s">
        <v>113</v>
      </c>
      <c r="N438" s="205" t="s">
        <v>452</v>
      </c>
      <c r="O438" s="204">
        <f>VLOOKUP(N438,RUBROS[#All],3,0)</f>
        <v>62</v>
      </c>
      <c r="P438" s="206" t="str">
        <f>VLOOKUP(N438,RUBROS[#All],2,0)</f>
        <v>Apoyo técnico a atletas y para-atletas que representan en alto rendimiento deportivo al departamento de Antioquia. - Servicios para la comunidad, sociales y personales</v>
      </c>
      <c r="Q438" s="199" t="str">
        <f t="shared" si="65"/>
        <v>84</v>
      </c>
      <c r="R438" s="199" t="str">
        <f t="shared" si="66"/>
        <v>0-205400</v>
      </c>
      <c r="S438" s="207">
        <v>294</v>
      </c>
      <c r="T438" s="208" t="s">
        <v>220</v>
      </c>
      <c r="U438" s="209" t="e">
        <f ca="1">_xlfn.XLOOKUP(PAA[[#This Row],[ITEM]],Contrato!A:A,Contrato!Q:Q,"",0)</f>
        <v>#NAME?</v>
      </c>
      <c r="V438" s="199" t="s">
        <v>47</v>
      </c>
      <c r="W438" s="199" t="s">
        <v>154</v>
      </c>
      <c r="X438" s="199" t="s">
        <v>154</v>
      </c>
      <c r="Y438" s="210" t="e">
        <f ca="1">_xlfn.XLOOKUP(PAA[[#This Row],[ITEM]],Contrato!A:A,Contrato!B:B,"",0)</f>
        <v>#NAME?</v>
      </c>
      <c r="Z438" s="199" t="e">
        <f ca="1">_xlfn.XLOOKUP(PAA[[#This Row],[ITEM]],Contrato!A:A,Contrato!G:G,"",0)</f>
        <v>#NAME?</v>
      </c>
      <c r="AA438" s="199" t="e">
        <f ca="1">_xlfn.XLOOKUP(PAA[[#This Row],[ITEM]],Contrato!A:A,Contrato!T:T,"",0)</f>
        <v>#NAME?</v>
      </c>
      <c r="AB438" s="210" t="e">
        <f ca="1">+MAX(PAA[[#This Row],[Comprometido Contrato]],)</f>
        <v>#NAME?</v>
      </c>
      <c r="AC438" s="210" t="str">
        <f t="shared" ca="1" si="63"/>
        <v/>
      </c>
      <c r="AD438" s="210" t="e">
        <f ca="1">+MAX(PAA[[#This Row],[Pago por Contrato]],)</f>
        <v>#NAME?</v>
      </c>
      <c r="AE438" s="210" t="str">
        <f t="shared" ca="1" si="67"/>
        <v/>
      </c>
      <c r="AF438" s="199" t="e">
        <f t="shared" ca="1" si="68"/>
        <v>#NAME?</v>
      </c>
      <c r="AG438" s="199">
        <f t="shared" si="69"/>
        <v>52010802</v>
      </c>
      <c r="AH438" s="199" t="e" cm="1">
        <f t="array" aca="1" ref="AH438" ca="1">_xlfn.XLOOKUP(PAA[[#This Row],[RCP-RUBRO]],COMPROMISOS_2025[[#All],[concatenado]],COMPROMISOS_2025[[#All],[Total pagado]],"",0)</f>
        <v>#NAME?</v>
      </c>
      <c r="AI438" s="199" t="e" cm="1">
        <f t="array" aca="1" ref="AI438" ca="1">_xlfn.XLOOKUP(PAA[[#This Row],[RCP-RUBRO]],COMPROMISOS_2025[[#All],[concatenado]],COMPROMISOS_2025[[#All],[Total Comprometido]],"",0)</f>
        <v>#NAME?</v>
      </c>
    </row>
    <row r="439" spans="1:35" s="50" customFormat="1" ht="42" hidden="1" customHeight="1" x14ac:dyDescent="0.25">
      <c r="A439" s="199">
        <v>339</v>
      </c>
      <c r="B439" s="200">
        <v>80111600</v>
      </c>
      <c r="C439" s="199" t="str">
        <f>VLOOKUP(PAA[[#This Row],[PROYECTO (formulado)2]],PROYECTOS!$G$1:$L$32,6,0)</f>
        <v>SUBGERENCIA DE ALTOS LOGROS Y DEPORTE ASOCIADO</v>
      </c>
      <c r="D439" s="199" t="str">
        <f>+IF(PAA[[#This Row],[UNIDAD DE CONTRATACION (formulado)]]="Subgerencia Administrativa y Financiera","FUNCIONAMIENTO","INVERSIÓN")</f>
        <v>INVERSIÓN</v>
      </c>
      <c r="E439" s="201" t="str">
        <f>VLOOKUP(Q439,PROYECTOS!$G$1:$K$32,5,0)</f>
        <v>Apoyo técnico a atletas y para-atletas que representan en alto rendimiento deportivo al departamento de Antioquia</v>
      </c>
      <c r="F439" s="201">
        <f>VLOOKUP(E439,PROYECTOS!$K$1:$M$32,3,0)</f>
        <v>2024003050084</v>
      </c>
      <c r="G439" s="202" t="s">
        <v>450</v>
      </c>
      <c r="H439" s="202" t="str">
        <f>VLOOKUP(Q439,PROYECTOS!$V$1:$W$32,2,0)</f>
        <v>050079</v>
      </c>
      <c r="I439" s="203">
        <v>26545593</v>
      </c>
      <c r="J439" s="204" t="s">
        <v>537</v>
      </c>
      <c r="K439" s="199" t="str">
        <f t="shared" ca="1" si="64"/>
        <v>CONTRATADO</v>
      </c>
      <c r="L439" s="199" t="s">
        <v>112</v>
      </c>
      <c r="M439" s="199" t="s">
        <v>113</v>
      </c>
      <c r="N439" s="205" t="s">
        <v>452</v>
      </c>
      <c r="O439" s="204">
        <f>VLOOKUP(N439,RUBROS[#All],3,0)</f>
        <v>62</v>
      </c>
      <c r="P439" s="206" t="str">
        <f>VLOOKUP(N439,RUBROS[#All],2,0)</f>
        <v>Apoyo técnico a atletas y para-atletas que representan en alto rendimiento deportivo al departamento de Antioquia. - Servicios para la comunidad, sociales y personales</v>
      </c>
      <c r="Q439" s="199" t="str">
        <f t="shared" si="65"/>
        <v>84</v>
      </c>
      <c r="R439" s="199" t="str">
        <f t="shared" si="66"/>
        <v>0-205400</v>
      </c>
      <c r="S439" s="207">
        <v>294</v>
      </c>
      <c r="T439" s="208" t="s">
        <v>220</v>
      </c>
      <c r="U439" s="209" t="e">
        <f ca="1">_xlfn.XLOOKUP(PAA[[#This Row],[ITEM]],Contrato!A:A,Contrato!Q:Q,"",0)</f>
        <v>#NAME?</v>
      </c>
      <c r="V439" s="199" t="s">
        <v>47</v>
      </c>
      <c r="W439" s="199" t="s">
        <v>154</v>
      </c>
      <c r="X439" s="199" t="s">
        <v>154</v>
      </c>
      <c r="Y439" s="210" t="e">
        <f ca="1">_xlfn.XLOOKUP(PAA[[#This Row],[ITEM]],Contrato!A:A,Contrato!B:B,"",0)</f>
        <v>#NAME?</v>
      </c>
      <c r="Z439" s="199" t="e">
        <f ca="1">_xlfn.XLOOKUP(PAA[[#This Row],[ITEM]],Contrato!A:A,Contrato!G:G,"",0)</f>
        <v>#NAME?</v>
      </c>
      <c r="AA439" s="199" t="e">
        <f ca="1">_xlfn.XLOOKUP(PAA[[#This Row],[ITEM]],Contrato!A:A,Contrato!T:T,"",0)</f>
        <v>#NAME?</v>
      </c>
      <c r="AB439" s="210" t="e">
        <f ca="1">+MAX(PAA[[#This Row],[Comprometido Contrato]],)</f>
        <v>#NAME?</v>
      </c>
      <c r="AC439" s="210" t="str">
        <f t="shared" ca="1" si="63"/>
        <v/>
      </c>
      <c r="AD439" s="210" t="e">
        <f ca="1">+MAX(PAA[[#This Row],[Pago por Contrato]],)</f>
        <v>#NAME?</v>
      </c>
      <c r="AE439" s="210" t="str">
        <f t="shared" ca="1" si="67"/>
        <v/>
      </c>
      <c r="AF439" s="199" t="e">
        <f t="shared" ca="1" si="68"/>
        <v>#NAME?</v>
      </c>
      <c r="AG439" s="199">
        <f t="shared" si="69"/>
        <v>52010802</v>
      </c>
      <c r="AH439" s="199" t="e" cm="1">
        <f t="array" aca="1" ref="AH439" ca="1">_xlfn.XLOOKUP(PAA[[#This Row],[RCP-RUBRO]],COMPROMISOS_2025[[#All],[concatenado]],COMPROMISOS_2025[[#All],[Total pagado]],"",0)</f>
        <v>#NAME?</v>
      </c>
      <c r="AI439" s="199" t="e" cm="1">
        <f t="array" aca="1" ref="AI439" ca="1">_xlfn.XLOOKUP(PAA[[#This Row],[RCP-RUBRO]],COMPROMISOS_2025[[#All],[concatenado]],COMPROMISOS_2025[[#All],[Total Comprometido]],"",0)</f>
        <v>#NAME?</v>
      </c>
    </row>
    <row r="440" spans="1:35" s="50" customFormat="1" ht="42" hidden="1" customHeight="1" x14ac:dyDescent="0.25">
      <c r="A440" s="199">
        <v>340</v>
      </c>
      <c r="B440" s="200">
        <v>80111600</v>
      </c>
      <c r="C440" s="199" t="str">
        <f>VLOOKUP(PAA[[#This Row],[PROYECTO (formulado)2]],PROYECTOS!$G$1:$L$32,6,0)</f>
        <v>SUBGERENCIA DE ALTOS LOGROS Y DEPORTE ASOCIADO</v>
      </c>
      <c r="D440" s="199" t="str">
        <f>+IF(PAA[[#This Row],[UNIDAD DE CONTRATACION (formulado)]]="Subgerencia Administrativa y Financiera","FUNCIONAMIENTO","INVERSIÓN")</f>
        <v>INVERSIÓN</v>
      </c>
      <c r="E440" s="201" t="str">
        <f>VLOOKUP(Q440,PROYECTOS!$G$1:$K$32,5,0)</f>
        <v>Apoyo técnico a atletas y para-atletas que representan en alto rendimiento deportivo al departamento de Antioquia</v>
      </c>
      <c r="F440" s="201">
        <f>VLOOKUP(E440,PROYECTOS!$K$1:$M$32,3,0)</f>
        <v>2024003050084</v>
      </c>
      <c r="G440" s="202" t="s">
        <v>450</v>
      </c>
      <c r="H440" s="202" t="str">
        <f>VLOOKUP(Q440,PROYECTOS!$V$1:$W$32,2,0)</f>
        <v>050079</v>
      </c>
      <c r="I440" s="203">
        <v>40747479</v>
      </c>
      <c r="J440" s="204" t="s">
        <v>538</v>
      </c>
      <c r="K440" s="199" t="str">
        <f t="shared" ca="1" si="64"/>
        <v>CONTRATADO</v>
      </c>
      <c r="L440" s="199" t="s">
        <v>112</v>
      </c>
      <c r="M440" s="199" t="s">
        <v>113</v>
      </c>
      <c r="N440" s="205" t="s">
        <v>452</v>
      </c>
      <c r="O440" s="204">
        <f>VLOOKUP(N440,RUBROS[#All],3,0)</f>
        <v>62</v>
      </c>
      <c r="P440" s="206" t="str">
        <f>VLOOKUP(N440,RUBROS[#All],2,0)</f>
        <v>Apoyo técnico a atletas y para-atletas que representan en alto rendimiento deportivo al departamento de Antioquia. - Servicios para la comunidad, sociales y personales</v>
      </c>
      <c r="Q440" s="199" t="str">
        <f t="shared" si="65"/>
        <v>84</v>
      </c>
      <c r="R440" s="199" t="str">
        <f t="shared" si="66"/>
        <v>0-205400</v>
      </c>
      <c r="S440" s="207">
        <v>294</v>
      </c>
      <c r="T440" s="208" t="s">
        <v>220</v>
      </c>
      <c r="U440" s="209" t="e">
        <f ca="1">_xlfn.XLOOKUP(PAA[[#This Row],[ITEM]],Contrato!A:A,Contrato!Q:Q,"",0)</f>
        <v>#NAME?</v>
      </c>
      <c r="V440" s="199" t="s">
        <v>47</v>
      </c>
      <c r="W440" s="199" t="s">
        <v>154</v>
      </c>
      <c r="X440" s="199" t="s">
        <v>154</v>
      </c>
      <c r="Y440" s="210" t="e">
        <f ca="1">_xlfn.XLOOKUP(PAA[[#This Row],[ITEM]],Contrato!A:A,Contrato!B:B,"",0)</f>
        <v>#NAME?</v>
      </c>
      <c r="Z440" s="199" t="e">
        <f ca="1">_xlfn.XLOOKUP(PAA[[#This Row],[ITEM]],Contrato!A:A,Contrato!G:G,"",0)</f>
        <v>#NAME?</v>
      </c>
      <c r="AA440" s="199" t="e">
        <f ca="1">_xlfn.XLOOKUP(PAA[[#This Row],[ITEM]],Contrato!A:A,Contrato!T:T,"",0)</f>
        <v>#NAME?</v>
      </c>
      <c r="AB440" s="210" t="e">
        <f ca="1">+MAX(PAA[[#This Row],[Comprometido Contrato]],)</f>
        <v>#NAME?</v>
      </c>
      <c r="AC440" s="210" t="str">
        <f t="shared" ca="1" si="63"/>
        <v/>
      </c>
      <c r="AD440" s="210" t="e">
        <f ca="1">+MAX(PAA[[#This Row],[Pago por Contrato]],)</f>
        <v>#NAME?</v>
      </c>
      <c r="AE440" s="210" t="str">
        <f t="shared" ca="1" si="67"/>
        <v/>
      </c>
      <c r="AF440" s="199" t="e">
        <f t="shared" ca="1" si="68"/>
        <v>#NAME?</v>
      </c>
      <c r="AG440" s="199">
        <f t="shared" si="69"/>
        <v>52010802</v>
      </c>
      <c r="AH440" s="199" t="e" cm="1">
        <f t="array" aca="1" ref="AH440" ca="1">_xlfn.XLOOKUP(PAA[[#This Row],[RCP-RUBRO]],COMPROMISOS_2025[[#All],[concatenado]],COMPROMISOS_2025[[#All],[Total pagado]],"",0)</f>
        <v>#NAME?</v>
      </c>
      <c r="AI440" s="199" t="e" cm="1">
        <f t="array" aca="1" ref="AI440" ca="1">_xlfn.XLOOKUP(PAA[[#This Row],[RCP-RUBRO]],COMPROMISOS_2025[[#All],[concatenado]],COMPROMISOS_2025[[#All],[Total Comprometido]],"",0)</f>
        <v>#NAME?</v>
      </c>
    </row>
    <row r="441" spans="1:35" s="50" customFormat="1" ht="42" hidden="1" customHeight="1" x14ac:dyDescent="0.25">
      <c r="A441" s="199">
        <v>341</v>
      </c>
      <c r="B441" s="200">
        <v>80111600</v>
      </c>
      <c r="C441" s="199" t="str">
        <f>VLOOKUP(PAA[[#This Row],[PROYECTO (formulado)2]],PROYECTOS!$G$1:$L$32,6,0)</f>
        <v>SUBGERENCIA DE ALTOS LOGROS Y DEPORTE ASOCIADO</v>
      </c>
      <c r="D441" s="199" t="str">
        <f>+IF(PAA[[#This Row],[UNIDAD DE CONTRATACION (formulado)]]="Subgerencia Administrativa y Financiera","FUNCIONAMIENTO","INVERSIÓN")</f>
        <v>INVERSIÓN</v>
      </c>
      <c r="E441" s="201" t="str">
        <f>VLOOKUP(Q441,PROYECTOS!$G$1:$K$32,5,0)</f>
        <v>Apoyo técnico a atletas y para-atletas que representan en alto rendimiento deportivo al departamento de Antioquia</v>
      </c>
      <c r="F441" s="201">
        <f>VLOOKUP(E441,PROYECTOS!$K$1:$M$32,3,0)</f>
        <v>2024003050084</v>
      </c>
      <c r="G441" s="202" t="s">
        <v>450</v>
      </c>
      <c r="H441" s="202" t="str">
        <f>VLOOKUP(Q441,PROYECTOS!$V$1:$W$32,2,0)</f>
        <v>050079</v>
      </c>
      <c r="I441" s="203">
        <v>40747479</v>
      </c>
      <c r="J441" s="204" t="s">
        <v>539</v>
      </c>
      <c r="K441" s="199" t="str">
        <f t="shared" ca="1" si="64"/>
        <v>CONTRATADO</v>
      </c>
      <c r="L441" s="199" t="s">
        <v>112</v>
      </c>
      <c r="M441" s="199" t="s">
        <v>113</v>
      </c>
      <c r="N441" s="205" t="s">
        <v>452</v>
      </c>
      <c r="O441" s="204">
        <f>VLOOKUP(N441,RUBROS[#All],3,0)</f>
        <v>62</v>
      </c>
      <c r="P441" s="206" t="str">
        <f>VLOOKUP(N441,RUBROS[#All],2,0)</f>
        <v>Apoyo técnico a atletas y para-atletas que representan en alto rendimiento deportivo al departamento de Antioquia. - Servicios para la comunidad, sociales y personales</v>
      </c>
      <c r="Q441" s="199" t="str">
        <f t="shared" si="65"/>
        <v>84</v>
      </c>
      <c r="R441" s="199" t="str">
        <f t="shared" si="66"/>
        <v>0-205400</v>
      </c>
      <c r="S441" s="207">
        <v>294</v>
      </c>
      <c r="T441" s="208" t="s">
        <v>220</v>
      </c>
      <c r="U441" s="209" t="e">
        <f ca="1">_xlfn.XLOOKUP(PAA[[#This Row],[ITEM]],Contrato!A:A,Contrato!Q:Q,"",0)</f>
        <v>#NAME?</v>
      </c>
      <c r="V441" s="199" t="s">
        <v>47</v>
      </c>
      <c r="W441" s="199" t="s">
        <v>154</v>
      </c>
      <c r="X441" s="199" t="s">
        <v>154</v>
      </c>
      <c r="Y441" s="210" t="e">
        <f ca="1">_xlfn.XLOOKUP(PAA[[#This Row],[ITEM]],Contrato!A:A,Contrato!B:B,"",0)</f>
        <v>#NAME?</v>
      </c>
      <c r="Z441" s="199" t="e">
        <f ca="1">_xlfn.XLOOKUP(PAA[[#This Row],[ITEM]],Contrato!A:A,Contrato!G:G,"",0)</f>
        <v>#NAME?</v>
      </c>
      <c r="AA441" s="199" t="e">
        <f ca="1">_xlfn.XLOOKUP(PAA[[#This Row],[ITEM]],Contrato!A:A,Contrato!T:T,"",0)</f>
        <v>#NAME?</v>
      </c>
      <c r="AB441" s="210" t="e">
        <f ca="1">+MAX(PAA[[#This Row],[Comprometido Contrato]],)</f>
        <v>#NAME?</v>
      </c>
      <c r="AC441" s="210" t="str">
        <f t="shared" ca="1" si="63"/>
        <v/>
      </c>
      <c r="AD441" s="210" t="e">
        <f ca="1">+MAX(PAA[[#This Row],[Pago por Contrato]],)</f>
        <v>#NAME?</v>
      </c>
      <c r="AE441" s="210" t="str">
        <f t="shared" ca="1" si="67"/>
        <v/>
      </c>
      <c r="AF441" s="199" t="e">
        <f t="shared" ca="1" si="68"/>
        <v>#NAME?</v>
      </c>
      <c r="AG441" s="199">
        <f t="shared" si="69"/>
        <v>52010802</v>
      </c>
      <c r="AH441" s="199" t="e" cm="1">
        <f t="array" aca="1" ref="AH441" ca="1">_xlfn.XLOOKUP(PAA[[#This Row],[RCP-RUBRO]],COMPROMISOS_2025[[#All],[concatenado]],COMPROMISOS_2025[[#All],[Total pagado]],"",0)</f>
        <v>#NAME?</v>
      </c>
      <c r="AI441" s="199" t="e" cm="1">
        <f t="array" aca="1" ref="AI441" ca="1">_xlfn.XLOOKUP(PAA[[#This Row],[RCP-RUBRO]],COMPROMISOS_2025[[#All],[concatenado]],COMPROMISOS_2025[[#All],[Total Comprometido]],"",0)</f>
        <v>#NAME?</v>
      </c>
    </row>
    <row r="442" spans="1:35" s="50" customFormat="1" ht="42" hidden="1" customHeight="1" x14ac:dyDescent="0.25">
      <c r="A442" s="199">
        <v>342</v>
      </c>
      <c r="B442" s="200">
        <v>80111600</v>
      </c>
      <c r="C442" s="199" t="str">
        <f>VLOOKUP(PAA[[#This Row],[PROYECTO (formulado)2]],PROYECTOS!$G$1:$L$32,6,0)</f>
        <v>SUBGERENCIA DE ALTOS LOGROS Y DEPORTE ASOCIADO</v>
      </c>
      <c r="D442" s="199" t="str">
        <f>+IF(PAA[[#This Row],[UNIDAD DE CONTRATACION (formulado)]]="Subgerencia Administrativa y Financiera","FUNCIONAMIENTO","INVERSIÓN")</f>
        <v>INVERSIÓN</v>
      </c>
      <c r="E442" s="201" t="str">
        <f>VLOOKUP(Q442,PROYECTOS!$G$1:$K$32,5,0)</f>
        <v>Apoyo técnico a atletas y para-atletas que representan en alto rendimiento deportivo al departamento de Antioquia</v>
      </c>
      <c r="F442" s="201">
        <f>VLOOKUP(E442,PROYECTOS!$K$1:$M$32,3,0)</f>
        <v>2024003050084</v>
      </c>
      <c r="G442" s="202" t="s">
        <v>450</v>
      </c>
      <c r="H442" s="202" t="str">
        <f>VLOOKUP(Q442,PROYECTOS!$V$1:$W$32,2,0)</f>
        <v>050079</v>
      </c>
      <c r="I442" s="203">
        <v>40747479</v>
      </c>
      <c r="J442" s="204" t="s">
        <v>540</v>
      </c>
      <c r="K442" s="199" t="str">
        <f t="shared" ca="1" si="64"/>
        <v>CONTRATADO</v>
      </c>
      <c r="L442" s="199" t="s">
        <v>112</v>
      </c>
      <c r="M442" s="199" t="s">
        <v>113</v>
      </c>
      <c r="N442" s="205" t="s">
        <v>452</v>
      </c>
      <c r="O442" s="204">
        <f>VLOOKUP(N442,RUBROS[#All],3,0)</f>
        <v>62</v>
      </c>
      <c r="P442" s="206" t="str">
        <f>VLOOKUP(N442,RUBROS[#All],2,0)</f>
        <v>Apoyo técnico a atletas y para-atletas que representan en alto rendimiento deportivo al departamento de Antioquia. - Servicios para la comunidad, sociales y personales</v>
      </c>
      <c r="Q442" s="199" t="str">
        <f t="shared" si="65"/>
        <v>84</v>
      </c>
      <c r="R442" s="199" t="str">
        <f t="shared" si="66"/>
        <v>0-205400</v>
      </c>
      <c r="S442" s="207">
        <v>294</v>
      </c>
      <c r="T442" s="208" t="s">
        <v>220</v>
      </c>
      <c r="U442" s="209" t="e">
        <f ca="1">_xlfn.XLOOKUP(PAA[[#This Row],[ITEM]],Contrato!A:A,Contrato!Q:Q,"",0)</f>
        <v>#NAME?</v>
      </c>
      <c r="V442" s="199" t="s">
        <v>47</v>
      </c>
      <c r="W442" s="199" t="s">
        <v>154</v>
      </c>
      <c r="X442" s="199" t="s">
        <v>154</v>
      </c>
      <c r="Y442" s="210" t="e">
        <f ca="1">_xlfn.XLOOKUP(PAA[[#This Row],[ITEM]],Contrato!A:A,Contrato!B:B,"",0)</f>
        <v>#NAME?</v>
      </c>
      <c r="Z442" s="199" t="e">
        <f ca="1">_xlfn.XLOOKUP(PAA[[#This Row],[ITEM]],Contrato!A:A,Contrato!G:G,"",0)</f>
        <v>#NAME?</v>
      </c>
      <c r="AA442" s="199" t="e">
        <f ca="1">_xlfn.XLOOKUP(PAA[[#This Row],[ITEM]],Contrato!A:A,Contrato!T:T,"",0)</f>
        <v>#NAME?</v>
      </c>
      <c r="AB442" s="210" t="e">
        <f ca="1">+MAX(PAA[[#This Row],[Comprometido Contrato]],)</f>
        <v>#NAME?</v>
      </c>
      <c r="AC442" s="210" t="str">
        <f t="shared" ca="1" si="63"/>
        <v/>
      </c>
      <c r="AD442" s="210" t="e">
        <f ca="1">+MAX(PAA[[#This Row],[Pago por Contrato]],)</f>
        <v>#NAME?</v>
      </c>
      <c r="AE442" s="210" t="str">
        <f t="shared" ca="1" si="67"/>
        <v/>
      </c>
      <c r="AF442" s="199" t="e">
        <f t="shared" ca="1" si="68"/>
        <v>#NAME?</v>
      </c>
      <c r="AG442" s="199">
        <f t="shared" si="69"/>
        <v>52010802</v>
      </c>
      <c r="AH442" s="199" t="e" cm="1">
        <f t="array" aca="1" ref="AH442" ca="1">_xlfn.XLOOKUP(PAA[[#This Row],[RCP-RUBRO]],COMPROMISOS_2025[[#All],[concatenado]],COMPROMISOS_2025[[#All],[Total pagado]],"",0)</f>
        <v>#NAME?</v>
      </c>
      <c r="AI442" s="199" t="e" cm="1">
        <f t="array" aca="1" ref="AI442" ca="1">_xlfn.XLOOKUP(PAA[[#This Row],[RCP-RUBRO]],COMPROMISOS_2025[[#All],[concatenado]],COMPROMISOS_2025[[#All],[Total Comprometido]],"",0)</f>
        <v>#NAME?</v>
      </c>
    </row>
    <row r="443" spans="1:35" s="50" customFormat="1" ht="42" hidden="1" customHeight="1" x14ac:dyDescent="0.25">
      <c r="A443" s="199">
        <v>343</v>
      </c>
      <c r="B443" s="200">
        <v>80111600</v>
      </c>
      <c r="C443" s="199" t="str">
        <f>VLOOKUP(PAA[[#This Row],[PROYECTO (formulado)2]],PROYECTOS!$G$1:$L$32,6,0)</f>
        <v>SUBGERENCIA DE ALTOS LOGROS Y DEPORTE ASOCIADO</v>
      </c>
      <c r="D443" s="199" t="str">
        <f>+IF(PAA[[#This Row],[UNIDAD DE CONTRATACION (formulado)]]="Subgerencia Administrativa y Financiera","FUNCIONAMIENTO","INVERSIÓN")</f>
        <v>INVERSIÓN</v>
      </c>
      <c r="E443" s="201" t="str">
        <f>VLOOKUP(Q443,PROYECTOS!$G$1:$K$32,5,0)</f>
        <v>Apoyo técnico a atletas y para-atletas que representan en alto rendimiento deportivo al departamento de Antioquia</v>
      </c>
      <c r="F443" s="201">
        <f>VLOOKUP(E443,PROYECTOS!$K$1:$M$32,3,0)</f>
        <v>2024003050084</v>
      </c>
      <c r="G443" s="202" t="s">
        <v>450</v>
      </c>
      <c r="H443" s="202" t="str">
        <f>VLOOKUP(Q443,PROYECTOS!$V$1:$W$32,2,0)</f>
        <v>050079</v>
      </c>
      <c r="I443" s="203">
        <v>26545593</v>
      </c>
      <c r="J443" s="204" t="s">
        <v>541</v>
      </c>
      <c r="K443" s="199" t="str">
        <f t="shared" ca="1" si="64"/>
        <v>CONTRATADO</v>
      </c>
      <c r="L443" s="199" t="s">
        <v>112</v>
      </c>
      <c r="M443" s="199" t="s">
        <v>113</v>
      </c>
      <c r="N443" s="205" t="s">
        <v>452</v>
      </c>
      <c r="O443" s="204">
        <f>VLOOKUP(N443,RUBROS[#All],3,0)</f>
        <v>62</v>
      </c>
      <c r="P443" s="206" t="str">
        <f>VLOOKUP(N443,RUBROS[#All],2,0)</f>
        <v>Apoyo técnico a atletas y para-atletas que representan en alto rendimiento deportivo al departamento de Antioquia. - Servicios para la comunidad, sociales y personales</v>
      </c>
      <c r="Q443" s="199" t="str">
        <f t="shared" si="65"/>
        <v>84</v>
      </c>
      <c r="R443" s="199" t="str">
        <f t="shared" si="66"/>
        <v>0-205400</v>
      </c>
      <c r="S443" s="207">
        <v>294</v>
      </c>
      <c r="T443" s="208" t="s">
        <v>220</v>
      </c>
      <c r="U443" s="209" t="e">
        <f ca="1">_xlfn.XLOOKUP(PAA[[#This Row],[ITEM]],Contrato!A:A,Contrato!Q:Q,"",0)</f>
        <v>#NAME?</v>
      </c>
      <c r="V443" s="199" t="s">
        <v>47</v>
      </c>
      <c r="W443" s="199" t="s">
        <v>154</v>
      </c>
      <c r="X443" s="199" t="s">
        <v>154</v>
      </c>
      <c r="Y443" s="210" t="e">
        <f ca="1">_xlfn.XLOOKUP(PAA[[#This Row],[ITEM]],Contrato!A:A,Contrato!B:B,"",0)</f>
        <v>#NAME?</v>
      </c>
      <c r="Z443" s="199" t="e">
        <f ca="1">_xlfn.XLOOKUP(PAA[[#This Row],[ITEM]],Contrato!A:A,Contrato!G:G,"",0)</f>
        <v>#NAME?</v>
      </c>
      <c r="AA443" s="199" t="e">
        <f ca="1">_xlfn.XLOOKUP(PAA[[#This Row],[ITEM]],Contrato!A:A,Contrato!T:T,"",0)</f>
        <v>#NAME?</v>
      </c>
      <c r="AB443" s="210" t="e">
        <f ca="1">+MAX(PAA[[#This Row],[Comprometido Contrato]],)</f>
        <v>#NAME?</v>
      </c>
      <c r="AC443" s="210" t="str">
        <f t="shared" ca="1" si="63"/>
        <v/>
      </c>
      <c r="AD443" s="210" t="e">
        <f ca="1">+MAX(PAA[[#This Row],[Pago por Contrato]],)</f>
        <v>#NAME?</v>
      </c>
      <c r="AE443" s="210" t="str">
        <f t="shared" ca="1" si="67"/>
        <v/>
      </c>
      <c r="AF443" s="199" t="e">
        <f t="shared" ca="1" si="68"/>
        <v>#NAME?</v>
      </c>
      <c r="AG443" s="199">
        <f t="shared" si="69"/>
        <v>52010802</v>
      </c>
      <c r="AH443" s="199" t="e" cm="1">
        <f t="array" aca="1" ref="AH443" ca="1">_xlfn.XLOOKUP(PAA[[#This Row],[RCP-RUBRO]],COMPROMISOS_2025[[#All],[concatenado]],COMPROMISOS_2025[[#All],[Total pagado]],"",0)</f>
        <v>#NAME?</v>
      </c>
      <c r="AI443" s="199" t="e" cm="1">
        <f t="array" aca="1" ref="AI443" ca="1">_xlfn.XLOOKUP(PAA[[#This Row],[RCP-RUBRO]],COMPROMISOS_2025[[#All],[concatenado]],COMPROMISOS_2025[[#All],[Total Comprometido]],"",0)</f>
        <v>#NAME?</v>
      </c>
    </row>
    <row r="444" spans="1:35" s="50" customFormat="1" ht="42" hidden="1" customHeight="1" x14ac:dyDescent="0.25">
      <c r="A444" s="199">
        <v>344</v>
      </c>
      <c r="B444" s="200">
        <v>80111600</v>
      </c>
      <c r="C444" s="199" t="str">
        <f>VLOOKUP(PAA[[#This Row],[PROYECTO (formulado)2]],PROYECTOS!$G$1:$L$32,6,0)</f>
        <v>SUBGERENCIA DE ALTOS LOGROS Y DEPORTE ASOCIADO</v>
      </c>
      <c r="D444" s="199" t="str">
        <f>+IF(PAA[[#This Row],[UNIDAD DE CONTRATACION (formulado)]]="Subgerencia Administrativa y Financiera","FUNCIONAMIENTO","INVERSIÓN")</f>
        <v>INVERSIÓN</v>
      </c>
      <c r="E444" s="201" t="str">
        <f>VLOOKUP(Q444,PROYECTOS!$G$1:$K$32,5,0)</f>
        <v>Apoyo técnico a atletas y para-atletas que representan en alto rendimiento deportivo al departamento de Antioquia</v>
      </c>
      <c r="F444" s="201">
        <f>VLOOKUP(E444,PROYECTOS!$K$1:$M$32,3,0)</f>
        <v>2024003050084</v>
      </c>
      <c r="G444" s="202" t="s">
        <v>450</v>
      </c>
      <c r="H444" s="202" t="str">
        <f>VLOOKUP(Q444,PROYECTOS!$V$1:$W$32,2,0)</f>
        <v>050079</v>
      </c>
      <c r="I444" s="203">
        <v>40747479</v>
      </c>
      <c r="J444" s="204" t="s">
        <v>542</v>
      </c>
      <c r="K444" s="199" t="str">
        <f t="shared" ca="1" si="64"/>
        <v>CONTRATADO</v>
      </c>
      <c r="L444" s="199" t="s">
        <v>112</v>
      </c>
      <c r="M444" s="199" t="s">
        <v>113</v>
      </c>
      <c r="N444" s="205" t="s">
        <v>452</v>
      </c>
      <c r="O444" s="204">
        <f>VLOOKUP(N444,RUBROS[#All],3,0)</f>
        <v>62</v>
      </c>
      <c r="P444" s="206" t="str">
        <f>VLOOKUP(N444,RUBROS[#All],2,0)</f>
        <v>Apoyo técnico a atletas y para-atletas que representan en alto rendimiento deportivo al departamento de Antioquia. - Servicios para la comunidad, sociales y personales</v>
      </c>
      <c r="Q444" s="199" t="str">
        <f t="shared" si="65"/>
        <v>84</v>
      </c>
      <c r="R444" s="199" t="str">
        <f t="shared" si="66"/>
        <v>0-205400</v>
      </c>
      <c r="S444" s="207">
        <v>294</v>
      </c>
      <c r="T444" s="208" t="s">
        <v>220</v>
      </c>
      <c r="U444" s="209" t="e">
        <f ca="1">_xlfn.XLOOKUP(PAA[[#This Row],[ITEM]],Contrato!A:A,Contrato!Q:Q,"",0)</f>
        <v>#NAME?</v>
      </c>
      <c r="V444" s="199" t="s">
        <v>47</v>
      </c>
      <c r="W444" s="199" t="s">
        <v>154</v>
      </c>
      <c r="X444" s="199" t="s">
        <v>154</v>
      </c>
      <c r="Y444" s="210" t="e">
        <f ca="1">_xlfn.XLOOKUP(PAA[[#This Row],[ITEM]],Contrato!A:A,Contrato!B:B,"",0)</f>
        <v>#NAME?</v>
      </c>
      <c r="Z444" s="199" t="e">
        <f ca="1">_xlfn.XLOOKUP(PAA[[#This Row],[ITEM]],Contrato!A:A,Contrato!G:G,"",0)</f>
        <v>#NAME?</v>
      </c>
      <c r="AA444" s="199" t="e">
        <f ca="1">_xlfn.XLOOKUP(PAA[[#This Row],[ITEM]],Contrato!A:A,Contrato!T:T,"",0)</f>
        <v>#NAME?</v>
      </c>
      <c r="AB444" s="210" t="e">
        <f ca="1">+MAX(PAA[[#This Row],[Comprometido Contrato]],)</f>
        <v>#NAME?</v>
      </c>
      <c r="AC444" s="210" t="str">
        <f t="shared" ca="1" si="63"/>
        <v/>
      </c>
      <c r="AD444" s="210" t="e">
        <f ca="1">+MAX(PAA[[#This Row],[Pago por Contrato]],)</f>
        <v>#NAME?</v>
      </c>
      <c r="AE444" s="210" t="str">
        <f t="shared" ca="1" si="67"/>
        <v/>
      </c>
      <c r="AF444" s="199" t="e">
        <f t="shared" ca="1" si="68"/>
        <v>#NAME?</v>
      </c>
      <c r="AG444" s="199">
        <f t="shared" si="69"/>
        <v>52010802</v>
      </c>
      <c r="AH444" s="199" t="e" cm="1">
        <f t="array" aca="1" ref="AH444" ca="1">_xlfn.XLOOKUP(PAA[[#This Row],[RCP-RUBRO]],COMPROMISOS_2025[[#All],[concatenado]],COMPROMISOS_2025[[#All],[Total pagado]],"",0)</f>
        <v>#NAME?</v>
      </c>
      <c r="AI444" s="199" t="e" cm="1">
        <f t="array" aca="1" ref="AI444" ca="1">_xlfn.XLOOKUP(PAA[[#This Row],[RCP-RUBRO]],COMPROMISOS_2025[[#All],[concatenado]],COMPROMISOS_2025[[#All],[Total Comprometido]],"",0)</f>
        <v>#NAME?</v>
      </c>
    </row>
    <row r="445" spans="1:35" s="50" customFormat="1" ht="42" hidden="1" customHeight="1" x14ac:dyDescent="0.25">
      <c r="A445" s="199">
        <v>345</v>
      </c>
      <c r="B445" s="200">
        <v>80111600</v>
      </c>
      <c r="C445" s="199" t="str">
        <f>VLOOKUP(PAA[[#This Row],[PROYECTO (formulado)2]],PROYECTOS!$G$1:$L$32,6,0)</f>
        <v>SUBGERENCIA DE ALTOS LOGROS Y DEPORTE ASOCIADO</v>
      </c>
      <c r="D445" s="199" t="str">
        <f>+IF(PAA[[#This Row],[UNIDAD DE CONTRATACION (formulado)]]="Subgerencia Administrativa y Financiera","FUNCIONAMIENTO","INVERSIÓN")</f>
        <v>INVERSIÓN</v>
      </c>
      <c r="E445" s="201" t="str">
        <f>VLOOKUP(Q445,PROYECTOS!$G$1:$K$32,5,0)</f>
        <v>Apoyo técnico a atletas y para-atletas que representan en alto rendimiento deportivo al departamento de Antioquia</v>
      </c>
      <c r="F445" s="201">
        <f>VLOOKUP(E445,PROYECTOS!$K$1:$M$32,3,0)</f>
        <v>2024003050084</v>
      </c>
      <c r="G445" s="202" t="s">
        <v>450</v>
      </c>
      <c r="H445" s="202" t="str">
        <f>VLOOKUP(Q445,PROYECTOS!$V$1:$W$32,2,0)</f>
        <v>050079</v>
      </c>
      <c r="I445" s="203">
        <v>40747479</v>
      </c>
      <c r="J445" s="204" t="s">
        <v>543</v>
      </c>
      <c r="K445" s="199" t="str">
        <f t="shared" ca="1" si="64"/>
        <v>CONTRATADO</v>
      </c>
      <c r="L445" s="199" t="s">
        <v>112</v>
      </c>
      <c r="M445" s="199" t="s">
        <v>113</v>
      </c>
      <c r="N445" s="205" t="s">
        <v>452</v>
      </c>
      <c r="O445" s="204">
        <f>VLOOKUP(N445,RUBROS[#All],3,0)</f>
        <v>62</v>
      </c>
      <c r="P445" s="206" t="str">
        <f>VLOOKUP(N445,RUBROS[#All],2,0)</f>
        <v>Apoyo técnico a atletas y para-atletas que representan en alto rendimiento deportivo al departamento de Antioquia. - Servicios para la comunidad, sociales y personales</v>
      </c>
      <c r="Q445" s="199" t="str">
        <f t="shared" si="65"/>
        <v>84</v>
      </c>
      <c r="R445" s="199" t="str">
        <f t="shared" si="66"/>
        <v>0-205400</v>
      </c>
      <c r="S445" s="207">
        <v>294</v>
      </c>
      <c r="T445" s="208" t="s">
        <v>220</v>
      </c>
      <c r="U445" s="209" t="e">
        <f ca="1">_xlfn.XLOOKUP(PAA[[#This Row],[ITEM]],Contrato!A:A,Contrato!Q:Q,"",0)</f>
        <v>#NAME?</v>
      </c>
      <c r="V445" s="199" t="s">
        <v>47</v>
      </c>
      <c r="W445" s="199" t="s">
        <v>154</v>
      </c>
      <c r="X445" s="199" t="s">
        <v>154</v>
      </c>
      <c r="Y445" s="210" t="e">
        <f ca="1">_xlfn.XLOOKUP(PAA[[#This Row],[ITEM]],Contrato!A:A,Contrato!B:B,"",0)</f>
        <v>#NAME?</v>
      </c>
      <c r="Z445" s="199" t="e">
        <f ca="1">_xlfn.XLOOKUP(PAA[[#This Row],[ITEM]],Contrato!A:A,Contrato!G:G,"",0)</f>
        <v>#NAME?</v>
      </c>
      <c r="AA445" s="199" t="e">
        <f ca="1">_xlfn.XLOOKUP(PAA[[#This Row],[ITEM]],Contrato!A:A,Contrato!T:T,"",0)</f>
        <v>#NAME?</v>
      </c>
      <c r="AB445" s="210" t="e">
        <f ca="1">+MAX(PAA[[#This Row],[Comprometido Contrato]],)</f>
        <v>#NAME?</v>
      </c>
      <c r="AC445" s="210" t="str">
        <f t="shared" ca="1" si="63"/>
        <v/>
      </c>
      <c r="AD445" s="210" t="e">
        <f ca="1">+MAX(PAA[[#This Row],[Pago por Contrato]],)</f>
        <v>#NAME?</v>
      </c>
      <c r="AE445" s="210" t="str">
        <f t="shared" ca="1" si="67"/>
        <v/>
      </c>
      <c r="AF445" s="199" t="e">
        <f t="shared" ca="1" si="68"/>
        <v>#NAME?</v>
      </c>
      <c r="AG445" s="199">
        <f t="shared" si="69"/>
        <v>52010802</v>
      </c>
      <c r="AH445" s="199" t="e" cm="1">
        <f t="array" aca="1" ref="AH445" ca="1">_xlfn.XLOOKUP(PAA[[#This Row],[RCP-RUBRO]],COMPROMISOS_2025[[#All],[concatenado]],COMPROMISOS_2025[[#All],[Total pagado]],"",0)</f>
        <v>#NAME?</v>
      </c>
      <c r="AI445" s="199" t="e" cm="1">
        <f t="array" aca="1" ref="AI445" ca="1">_xlfn.XLOOKUP(PAA[[#This Row],[RCP-RUBRO]],COMPROMISOS_2025[[#All],[concatenado]],COMPROMISOS_2025[[#All],[Total Comprometido]],"",0)</f>
        <v>#NAME?</v>
      </c>
    </row>
    <row r="446" spans="1:35" s="50" customFormat="1" ht="42" hidden="1" customHeight="1" x14ac:dyDescent="0.25">
      <c r="A446" s="199">
        <v>346</v>
      </c>
      <c r="B446" s="200">
        <v>80111600</v>
      </c>
      <c r="C446" s="199" t="str">
        <f>VLOOKUP(PAA[[#This Row],[PROYECTO (formulado)2]],PROYECTOS!$G$1:$L$32,6,0)</f>
        <v>SUBGERENCIA DE ALTOS LOGROS Y DEPORTE ASOCIADO</v>
      </c>
      <c r="D446" s="199" t="str">
        <f>+IF(PAA[[#This Row],[UNIDAD DE CONTRATACION (formulado)]]="Subgerencia Administrativa y Financiera","FUNCIONAMIENTO","INVERSIÓN")</f>
        <v>INVERSIÓN</v>
      </c>
      <c r="E446" s="201" t="str">
        <f>VLOOKUP(Q446,PROYECTOS!$G$1:$K$32,5,0)</f>
        <v>Apoyo técnico a atletas y para-atletas que representan en alto rendimiento deportivo al departamento de Antioquia</v>
      </c>
      <c r="F446" s="201">
        <f>VLOOKUP(E446,PROYECTOS!$K$1:$M$32,3,0)</f>
        <v>2024003050084</v>
      </c>
      <c r="G446" s="202" t="s">
        <v>450</v>
      </c>
      <c r="H446" s="202" t="str">
        <f>VLOOKUP(Q446,PROYECTOS!$V$1:$W$32,2,0)</f>
        <v>050079</v>
      </c>
      <c r="I446" s="203">
        <v>26545593</v>
      </c>
      <c r="J446" s="204" t="s">
        <v>544</v>
      </c>
      <c r="K446" s="199" t="str">
        <f t="shared" ca="1" si="64"/>
        <v>CONTRATADO</v>
      </c>
      <c r="L446" s="199" t="s">
        <v>112</v>
      </c>
      <c r="M446" s="199" t="s">
        <v>113</v>
      </c>
      <c r="N446" s="205" t="s">
        <v>452</v>
      </c>
      <c r="O446" s="204">
        <f>VLOOKUP(N446,RUBROS[#All],3,0)</f>
        <v>62</v>
      </c>
      <c r="P446" s="206" t="str">
        <f>VLOOKUP(N446,RUBROS[#All],2,0)</f>
        <v>Apoyo técnico a atletas y para-atletas que representan en alto rendimiento deportivo al departamento de Antioquia. - Servicios para la comunidad, sociales y personales</v>
      </c>
      <c r="Q446" s="199" t="str">
        <f t="shared" si="65"/>
        <v>84</v>
      </c>
      <c r="R446" s="199" t="str">
        <f t="shared" si="66"/>
        <v>0-205400</v>
      </c>
      <c r="S446" s="207">
        <v>294</v>
      </c>
      <c r="T446" s="208" t="s">
        <v>220</v>
      </c>
      <c r="U446" s="209" t="e">
        <f ca="1">_xlfn.XLOOKUP(PAA[[#This Row],[ITEM]],Contrato!A:A,Contrato!Q:Q,"",0)</f>
        <v>#NAME?</v>
      </c>
      <c r="V446" s="199" t="s">
        <v>47</v>
      </c>
      <c r="W446" s="199" t="s">
        <v>154</v>
      </c>
      <c r="X446" s="199" t="s">
        <v>154</v>
      </c>
      <c r="Y446" s="210" t="e">
        <f ca="1">_xlfn.XLOOKUP(PAA[[#This Row],[ITEM]],Contrato!A:A,Contrato!B:B,"",0)</f>
        <v>#NAME?</v>
      </c>
      <c r="Z446" s="199" t="e">
        <f ca="1">_xlfn.XLOOKUP(PAA[[#This Row],[ITEM]],Contrato!A:A,Contrato!G:G,"",0)</f>
        <v>#NAME?</v>
      </c>
      <c r="AA446" s="199" t="e">
        <f ca="1">_xlfn.XLOOKUP(PAA[[#This Row],[ITEM]],Contrato!A:A,Contrato!T:T,"",0)</f>
        <v>#NAME?</v>
      </c>
      <c r="AB446" s="210" t="e">
        <f ca="1">+MAX(PAA[[#This Row],[Comprometido Contrato]],)</f>
        <v>#NAME?</v>
      </c>
      <c r="AC446" s="210" t="str">
        <f t="shared" ca="1" si="63"/>
        <v/>
      </c>
      <c r="AD446" s="210" t="e">
        <f ca="1">+MAX(PAA[[#This Row],[Pago por Contrato]],)</f>
        <v>#NAME?</v>
      </c>
      <c r="AE446" s="210" t="str">
        <f t="shared" ca="1" si="67"/>
        <v/>
      </c>
      <c r="AF446" s="199" t="e">
        <f t="shared" ca="1" si="68"/>
        <v>#NAME?</v>
      </c>
      <c r="AG446" s="199">
        <f t="shared" si="69"/>
        <v>52010802</v>
      </c>
      <c r="AH446" s="199" t="e" cm="1">
        <f t="array" aca="1" ref="AH446" ca="1">_xlfn.XLOOKUP(PAA[[#This Row],[RCP-RUBRO]],COMPROMISOS_2025[[#All],[concatenado]],COMPROMISOS_2025[[#All],[Total pagado]],"",0)</f>
        <v>#NAME?</v>
      </c>
      <c r="AI446" s="199" t="e" cm="1">
        <f t="array" aca="1" ref="AI446" ca="1">_xlfn.XLOOKUP(PAA[[#This Row],[RCP-RUBRO]],COMPROMISOS_2025[[#All],[concatenado]],COMPROMISOS_2025[[#All],[Total Comprometido]],"",0)</f>
        <v>#NAME?</v>
      </c>
    </row>
    <row r="447" spans="1:35" s="50" customFormat="1" ht="42" hidden="1" customHeight="1" x14ac:dyDescent="0.25">
      <c r="A447" s="199">
        <v>347</v>
      </c>
      <c r="B447" s="200">
        <v>80111600</v>
      </c>
      <c r="C447" s="199" t="str">
        <f>VLOOKUP(PAA[[#This Row],[PROYECTO (formulado)2]],PROYECTOS!$G$1:$L$32,6,0)</f>
        <v>SUBGERENCIA DE ALTOS LOGROS Y DEPORTE ASOCIADO</v>
      </c>
      <c r="D447" s="199" t="str">
        <f>+IF(PAA[[#This Row],[UNIDAD DE CONTRATACION (formulado)]]="Subgerencia Administrativa y Financiera","FUNCIONAMIENTO","INVERSIÓN")</f>
        <v>INVERSIÓN</v>
      </c>
      <c r="E447" s="201" t="str">
        <f>VLOOKUP(Q447,PROYECTOS!$G$1:$K$32,5,0)</f>
        <v>Apoyo técnico a atletas y para-atletas que representan en alto rendimiento deportivo al departamento de Antioquia</v>
      </c>
      <c r="F447" s="201">
        <f>VLOOKUP(E447,PROYECTOS!$K$1:$M$32,3,0)</f>
        <v>2024003050084</v>
      </c>
      <c r="G447" s="202" t="s">
        <v>450</v>
      </c>
      <c r="H447" s="202" t="str">
        <f>VLOOKUP(Q447,PROYECTOS!$V$1:$W$32,2,0)</f>
        <v>050079</v>
      </c>
      <c r="I447" s="203">
        <v>26545593</v>
      </c>
      <c r="J447" s="204" t="s">
        <v>545</v>
      </c>
      <c r="K447" s="199" t="str">
        <f t="shared" ca="1" si="64"/>
        <v>CONTRATADO</v>
      </c>
      <c r="L447" s="199" t="s">
        <v>112</v>
      </c>
      <c r="M447" s="199" t="s">
        <v>113</v>
      </c>
      <c r="N447" s="205" t="s">
        <v>452</v>
      </c>
      <c r="O447" s="204">
        <f>VLOOKUP(N447,RUBROS[#All],3,0)</f>
        <v>62</v>
      </c>
      <c r="P447" s="206" t="str">
        <f>VLOOKUP(N447,RUBROS[#All],2,0)</f>
        <v>Apoyo técnico a atletas y para-atletas que representan en alto rendimiento deportivo al departamento de Antioquia. - Servicios para la comunidad, sociales y personales</v>
      </c>
      <c r="Q447" s="199" t="str">
        <f t="shared" si="65"/>
        <v>84</v>
      </c>
      <c r="R447" s="199" t="str">
        <f t="shared" si="66"/>
        <v>0-205400</v>
      </c>
      <c r="S447" s="207">
        <v>294</v>
      </c>
      <c r="T447" s="208" t="s">
        <v>220</v>
      </c>
      <c r="U447" s="209" t="e">
        <f ca="1">_xlfn.XLOOKUP(PAA[[#This Row],[ITEM]],Contrato!A:A,Contrato!Q:Q,"",0)</f>
        <v>#NAME?</v>
      </c>
      <c r="V447" s="199" t="s">
        <v>47</v>
      </c>
      <c r="W447" s="199" t="s">
        <v>154</v>
      </c>
      <c r="X447" s="199" t="s">
        <v>154</v>
      </c>
      <c r="Y447" s="210" t="e">
        <f ca="1">_xlfn.XLOOKUP(PAA[[#This Row],[ITEM]],Contrato!A:A,Contrato!B:B,"",0)</f>
        <v>#NAME?</v>
      </c>
      <c r="Z447" s="199" t="e">
        <f ca="1">_xlfn.XLOOKUP(PAA[[#This Row],[ITEM]],Contrato!A:A,Contrato!G:G,"",0)</f>
        <v>#NAME?</v>
      </c>
      <c r="AA447" s="199" t="e">
        <f ca="1">_xlfn.XLOOKUP(PAA[[#This Row],[ITEM]],Contrato!A:A,Contrato!T:T,"",0)</f>
        <v>#NAME?</v>
      </c>
      <c r="AB447" s="210" t="e">
        <f ca="1">+MAX(PAA[[#This Row],[Comprometido Contrato]],)</f>
        <v>#NAME?</v>
      </c>
      <c r="AC447" s="210" t="str">
        <f t="shared" ca="1" si="63"/>
        <v/>
      </c>
      <c r="AD447" s="210" t="e">
        <f ca="1">+MAX(PAA[[#This Row],[Pago por Contrato]],)</f>
        <v>#NAME?</v>
      </c>
      <c r="AE447" s="210" t="str">
        <f t="shared" ca="1" si="67"/>
        <v/>
      </c>
      <c r="AF447" s="199" t="e">
        <f t="shared" ca="1" si="68"/>
        <v>#NAME?</v>
      </c>
      <c r="AG447" s="199">
        <f t="shared" si="69"/>
        <v>52010802</v>
      </c>
      <c r="AH447" s="199" t="e" cm="1">
        <f t="array" aca="1" ref="AH447" ca="1">_xlfn.XLOOKUP(PAA[[#This Row],[RCP-RUBRO]],COMPROMISOS_2025[[#All],[concatenado]],COMPROMISOS_2025[[#All],[Total pagado]],"",0)</f>
        <v>#NAME?</v>
      </c>
      <c r="AI447" s="199" t="e" cm="1">
        <f t="array" aca="1" ref="AI447" ca="1">_xlfn.XLOOKUP(PAA[[#This Row],[RCP-RUBRO]],COMPROMISOS_2025[[#All],[concatenado]],COMPROMISOS_2025[[#All],[Total Comprometido]],"",0)</f>
        <v>#NAME?</v>
      </c>
    </row>
    <row r="448" spans="1:35" s="50" customFormat="1" ht="42" hidden="1" customHeight="1" x14ac:dyDescent="0.25">
      <c r="A448" s="199">
        <v>348</v>
      </c>
      <c r="B448" s="200">
        <v>80111600</v>
      </c>
      <c r="C448" s="199" t="str">
        <f>VLOOKUP(PAA[[#This Row],[PROYECTO (formulado)2]],PROYECTOS!$G$1:$L$32,6,0)</f>
        <v>SUBGERENCIA DE ALTOS LOGROS Y DEPORTE ASOCIADO</v>
      </c>
      <c r="D448" s="199" t="str">
        <f>+IF(PAA[[#This Row],[UNIDAD DE CONTRATACION (formulado)]]="Subgerencia Administrativa y Financiera","FUNCIONAMIENTO","INVERSIÓN")</f>
        <v>INVERSIÓN</v>
      </c>
      <c r="E448" s="201" t="str">
        <f>VLOOKUP(Q448,PROYECTOS!$G$1:$K$32,5,0)</f>
        <v>Apoyo técnico a atletas y para-atletas que representan en alto rendimiento deportivo al departamento de Antioquia</v>
      </c>
      <c r="F448" s="201">
        <f>VLOOKUP(E448,PROYECTOS!$K$1:$M$32,3,0)</f>
        <v>2024003050084</v>
      </c>
      <c r="G448" s="202" t="s">
        <v>450</v>
      </c>
      <c r="H448" s="202" t="str">
        <f>VLOOKUP(Q448,PROYECTOS!$V$1:$W$32,2,0)</f>
        <v>050079</v>
      </c>
      <c r="I448" s="203">
        <v>50609170</v>
      </c>
      <c r="J448" s="204" t="s">
        <v>546</v>
      </c>
      <c r="K448" s="199" t="str">
        <f t="shared" ca="1" si="64"/>
        <v>CONTRATADO</v>
      </c>
      <c r="L448" s="199" t="s">
        <v>112</v>
      </c>
      <c r="M448" s="199" t="s">
        <v>113</v>
      </c>
      <c r="N448" s="205" t="s">
        <v>452</v>
      </c>
      <c r="O448" s="204">
        <f>VLOOKUP(N448,RUBROS[#All],3,0)</f>
        <v>62</v>
      </c>
      <c r="P448" s="206" t="str">
        <f>VLOOKUP(N448,RUBROS[#All],2,0)</f>
        <v>Apoyo técnico a atletas y para-atletas que representan en alto rendimiento deportivo al departamento de Antioquia. - Servicios para la comunidad, sociales y personales</v>
      </c>
      <c r="Q448" s="199" t="str">
        <f t="shared" si="65"/>
        <v>84</v>
      </c>
      <c r="R448" s="199" t="str">
        <f t="shared" si="66"/>
        <v>0-205400</v>
      </c>
      <c r="S448" s="207">
        <v>294</v>
      </c>
      <c r="T448" s="208" t="s">
        <v>220</v>
      </c>
      <c r="U448" s="209" t="e">
        <f ca="1">_xlfn.XLOOKUP(PAA[[#This Row],[ITEM]],Contrato!A:A,Contrato!Q:Q,"",0)</f>
        <v>#NAME?</v>
      </c>
      <c r="V448" s="199" t="s">
        <v>47</v>
      </c>
      <c r="W448" s="199" t="s">
        <v>154</v>
      </c>
      <c r="X448" s="199" t="s">
        <v>154</v>
      </c>
      <c r="Y448" s="210" t="e">
        <f ca="1">_xlfn.XLOOKUP(PAA[[#This Row],[ITEM]],Contrato!A:A,Contrato!B:B,"",0)</f>
        <v>#NAME?</v>
      </c>
      <c r="Z448" s="199" t="e">
        <f ca="1">_xlfn.XLOOKUP(PAA[[#This Row],[ITEM]],Contrato!A:A,Contrato!G:G,"",0)</f>
        <v>#NAME?</v>
      </c>
      <c r="AA448" s="199" t="e">
        <f ca="1">_xlfn.XLOOKUP(PAA[[#This Row],[ITEM]],Contrato!A:A,Contrato!T:T,"",0)</f>
        <v>#NAME?</v>
      </c>
      <c r="AB448" s="210" t="e">
        <f ca="1">+MAX(PAA[[#This Row],[Comprometido Contrato]],)</f>
        <v>#NAME?</v>
      </c>
      <c r="AC448" s="210" t="str">
        <f t="shared" ca="1" si="63"/>
        <v/>
      </c>
      <c r="AD448" s="210" t="e">
        <f ca="1">+MAX(PAA[[#This Row],[Pago por Contrato]],)</f>
        <v>#NAME?</v>
      </c>
      <c r="AE448" s="210" t="str">
        <f t="shared" ca="1" si="67"/>
        <v/>
      </c>
      <c r="AF448" s="199" t="e">
        <f t="shared" ca="1" si="68"/>
        <v>#NAME?</v>
      </c>
      <c r="AG448" s="199">
        <f t="shared" si="69"/>
        <v>52010802</v>
      </c>
      <c r="AH448" s="199" t="e" cm="1">
        <f t="array" aca="1" ref="AH448" ca="1">_xlfn.XLOOKUP(PAA[[#This Row],[RCP-RUBRO]],COMPROMISOS_2025[[#All],[concatenado]],COMPROMISOS_2025[[#All],[Total pagado]],"",0)</f>
        <v>#NAME?</v>
      </c>
      <c r="AI448" s="199" t="e" cm="1">
        <f t="array" aca="1" ref="AI448" ca="1">_xlfn.XLOOKUP(PAA[[#This Row],[RCP-RUBRO]],COMPROMISOS_2025[[#All],[concatenado]],COMPROMISOS_2025[[#All],[Total Comprometido]],"",0)</f>
        <v>#NAME?</v>
      </c>
    </row>
    <row r="449" spans="1:35" s="50" customFormat="1" ht="42" hidden="1" customHeight="1" x14ac:dyDescent="0.25">
      <c r="A449" s="199">
        <v>349</v>
      </c>
      <c r="B449" s="200">
        <v>80111600</v>
      </c>
      <c r="C449" s="199" t="str">
        <f>VLOOKUP(PAA[[#This Row],[PROYECTO (formulado)2]],PROYECTOS!$G$1:$L$32,6,0)</f>
        <v>SUBGERENCIA DE ALTOS LOGROS Y DEPORTE ASOCIADO</v>
      </c>
      <c r="D449" s="199" t="str">
        <f>+IF(PAA[[#This Row],[UNIDAD DE CONTRATACION (formulado)]]="Subgerencia Administrativa y Financiera","FUNCIONAMIENTO","INVERSIÓN")</f>
        <v>INVERSIÓN</v>
      </c>
      <c r="E449" s="201" t="str">
        <f>VLOOKUP(Q449,PROYECTOS!$G$1:$K$32,5,0)</f>
        <v>Apoyo técnico a atletas y para-atletas que representan en alto rendimiento deportivo al departamento de Antioquia</v>
      </c>
      <c r="F449" s="201">
        <f>VLOOKUP(E449,PROYECTOS!$K$1:$M$32,3,0)</f>
        <v>2024003050084</v>
      </c>
      <c r="G449" s="202" t="s">
        <v>450</v>
      </c>
      <c r="H449" s="202" t="str">
        <f>VLOOKUP(Q449,PROYECTOS!$V$1:$W$32,2,0)</f>
        <v>050079</v>
      </c>
      <c r="I449" s="203">
        <v>40747479</v>
      </c>
      <c r="J449" s="204" t="s">
        <v>547</v>
      </c>
      <c r="K449" s="199" t="str">
        <f t="shared" ca="1" si="64"/>
        <v>CONTRATADO</v>
      </c>
      <c r="L449" s="199" t="s">
        <v>112</v>
      </c>
      <c r="M449" s="199" t="s">
        <v>113</v>
      </c>
      <c r="N449" s="205" t="s">
        <v>452</v>
      </c>
      <c r="O449" s="204">
        <f>VLOOKUP(N449,RUBROS[#All],3,0)</f>
        <v>62</v>
      </c>
      <c r="P449" s="206" t="str">
        <f>VLOOKUP(N449,RUBROS[#All],2,0)</f>
        <v>Apoyo técnico a atletas y para-atletas que representan en alto rendimiento deportivo al departamento de Antioquia. - Servicios para la comunidad, sociales y personales</v>
      </c>
      <c r="Q449" s="199" t="str">
        <f t="shared" si="65"/>
        <v>84</v>
      </c>
      <c r="R449" s="199" t="str">
        <f t="shared" si="66"/>
        <v>0-205400</v>
      </c>
      <c r="S449" s="207">
        <v>294</v>
      </c>
      <c r="T449" s="208" t="s">
        <v>220</v>
      </c>
      <c r="U449" s="209" t="e">
        <f ca="1">_xlfn.XLOOKUP(PAA[[#This Row],[ITEM]],Contrato!A:A,Contrato!Q:Q,"",0)</f>
        <v>#NAME?</v>
      </c>
      <c r="V449" s="199" t="s">
        <v>47</v>
      </c>
      <c r="W449" s="199" t="s">
        <v>154</v>
      </c>
      <c r="X449" s="199" t="s">
        <v>154</v>
      </c>
      <c r="Y449" s="210" t="e">
        <f ca="1">_xlfn.XLOOKUP(PAA[[#This Row],[ITEM]],Contrato!A:A,Contrato!B:B,"",0)</f>
        <v>#NAME?</v>
      </c>
      <c r="Z449" s="199" t="e">
        <f ca="1">_xlfn.XLOOKUP(PAA[[#This Row],[ITEM]],Contrato!A:A,Contrato!G:G,"",0)</f>
        <v>#NAME?</v>
      </c>
      <c r="AA449" s="199" t="e">
        <f ca="1">_xlfn.XLOOKUP(PAA[[#This Row],[ITEM]],Contrato!A:A,Contrato!T:T,"",0)</f>
        <v>#NAME?</v>
      </c>
      <c r="AB449" s="210" t="e">
        <f ca="1">+MAX(PAA[[#This Row],[Comprometido Contrato]],)</f>
        <v>#NAME?</v>
      </c>
      <c r="AC449" s="210" t="str">
        <f t="shared" ca="1" si="63"/>
        <v/>
      </c>
      <c r="AD449" s="210" t="e">
        <f ca="1">+MAX(PAA[[#This Row],[Pago por Contrato]],)</f>
        <v>#NAME?</v>
      </c>
      <c r="AE449" s="210" t="str">
        <f t="shared" ca="1" si="67"/>
        <v/>
      </c>
      <c r="AF449" s="199" t="e">
        <f t="shared" ca="1" si="68"/>
        <v>#NAME?</v>
      </c>
      <c r="AG449" s="199">
        <f t="shared" si="69"/>
        <v>52010802</v>
      </c>
      <c r="AH449" s="199" t="e" cm="1">
        <f t="array" aca="1" ref="AH449" ca="1">_xlfn.XLOOKUP(PAA[[#This Row],[RCP-RUBRO]],COMPROMISOS_2025[[#All],[concatenado]],COMPROMISOS_2025[[#All],[Total pagado]],"",0)</f>
        <v>#NAME?</v>
      </c>
      <c r="AI449" s="199" t="e" cm="1">
        <f t="array" aca="1" ref="AI449" ca="1">_xlfn.XLOOKUP(PAA[[#This Row],[RCP-RUBRO]],COMPROMISOS_2025[[#All],[concatenado]],COMPROMISOS_2025[[#All],[Total Comprometido]],"",0)</f>
        <v>#NAME?</v>
      </c>
    </row>
    <row r="450" spans="1:35" s="50" customFormat="1" ht="42" hidden="1" customHeight="1" x14ac:dyDescent="0.25">
      <c r="A450" s="199">
        <v>350</v>
      </c>
      <c r="B450" s="200">
        <v>80111600</v>
      </c>
      <c r="C450" s="199" t="str">
        <f>VLOOKUP(PAA[[#This Row],[PROYECTO (formulado)2]],PROYECTOS!$G$1:$L$32,6,0)</f>
        <v>SUBGERENCIA DE ALTOS LOGROS Y DEPORTE ASOCIADO</v>
      </c>
      <c r="D450" s="199" t="str">
        <f>+IF(PAA[[#This Row],[UNIDAD DE CONTRATACION (formulado)]]="Subgerencia Administrativa y Financiera","FUNCIONAMIENTO","INVERSIÓN")</f>
        <v>INVERSIÓN</v>
      </c>
      <c r="E450" s="201" t="str">
        <f>VLOOKUP(Q450,PROYECTOS!$G$1:$K$32,5,0)</f>
        <v>Apoyo técnico a atletas y para-atletas que representan en alto rendimiento deportivo al departamento de Antioquia</v>
      </c>
      <c r="F450" s="201">
        <f>VLOOKUP(E450,PROYECTOS!$K$1:$M$32,3,0)</f>
        <v>2024003050084</v>
      </c>
      <c r="G450" s="202" t="s">
        <v>450</v>
      </c>
      <c r="H450" s="202" t="str">
        <f>VLOOKUP(Q450,PROYECTOS!$V$1:$W$32,2,0)</f>
        <v>050079</v>
      </c>
      <c r="I450" s="203">
        <v>50609170</v>
      </c>
      <c r="J450" s="204" t="s">
        <v>548</v>
      </c>
      <c r="K450" s="199" t="str">
        <f t="shared" ca="1" si="64"/>
        <v>CONTRATADO</v>
      </c>
      <c r="L450" s="199" t="s">
        <v>112</v>
      </c>
      <c r="M450" s="199" t="s">
        <v>113</v>
      </c>
      <c r="N450" s="205" t="s">
        <v>452</v>
      </c>
      <c r="O450" s="204">
        <f>VLOOKUP(N450,RUBROS[#All],3,0)</f>
        <v>62</v>
      </c>
      <c r="P450" s="206" t="str">
        <f>VLOOKUP(N450,RUBROS[#All],2,0)</f>
        <v>Apoyo técnico a atletas y para-atletas que representan en alto rendimiento deportivo al departamento de Antioquia. - Servicios para la comunidad, sociales y personales</v>
      </c>
      <c r="Q450" s="199" t="str">
        <f t="shared" si="65"/>
        <v>84</v>
      </c>
      <c r="R450" s="199" t="str">
        <f t="shared" si="66"/>
        <v>0-205400</v>
      </c>
      <c r="S450" s="207">
        <v>294</v>
      </c>
      <c r="T450" s="208" t="s">
        <v>220</v>
      </c>
      <c r="U450" s="209" t="e">
        <f ca="1">_xlfn.XLOOKUP(PAA[[#This Row],[ITEM]],Contrato!A:A,Contrato!Q:Q,"",0)</f>
        <v>#NAME?</v>
      </c>
      <c r="V450" s="199" t="s">
        <v>47</v>
      </c>
      <c r="W450" s="199" t="s">
        <v>154</v>
      </c>
      <c r="X450" s="199" t="s">
        <v>154</v>
      </c>
      <c r="Y450" s="210" t="e">
        <f ca="1">_xlfn.XLOOKUP(PAA[[#This Row],[ITEM]],Contrato!A:A,Contrato!B:B,"",0)</f>
        <v>#NAME?</v>
      </c>
      <c r="Z450" s="199" t="e">
        <f ca="1">_xlfn.XLOOKUP(PAA[[#This Row],[ITEM]],Contrato!A:A,Contrato!G:G,"",0)</f>
        <v>#NAME?</v>
      </c>
      <c r="AA450" s="199" t="e">
        <f ca="1">_xlfn.XLOOKUP(PAA[[#This Row],[ITEM]],Contrato!A:A,Contrato!T:T,"",0)</f>
        <v>#NAME?</v>
      </c>
      <c r="AB450" s="210" t="e">
        <f ca="1">+MAX(PAA[[#This Row],[Comprometido Contrato]],)</f>
        <v>#NAME?</v>
      </c>
      <c r="AC450" s="210" t="str">
        <f t="shared" ca="1" si="63"/>
        <v/>
      </c>
      <c r="AD450" s="210" t="e">
        <f ca="1">+MAX(PAA[[#This Row],[Pago por Contrato]],)</f>
        <v>#NAME?</v>
      </c>
      <c r="AE450" s="210" t="str">
        <f t="shared" ca="1" si="67"/>
        <v/>
      </c>
      <c r="AF450" s="199" t="e">
        <f t="shared" ca="1" si="68"/>
        <v>#NAME?</v>
      </c>
      <c r="AG450" s="199">
        <f t="shared" si="69"/>
        <v>52010802</v>
      </c>
      <c r="AH450" s="199" t="e" cm="1">
        <f t="array" aca="1" ref="AH450" ca="1">_xlfn.XLOOKUP(PAA[[#This Row],[RCP-RUBRO]],COMPROMISOS_2025[[#All],[concatenado]],COMPROMISOS_2025[[#All],[Total pagado]],"",0)</f>
        <v>#NAME?</v>
      </c>
      <c r="AI450" s="199" t="e" cm="1">
        <f t="array" aca="1" ref="AI450" ca="1">_xlfn.XLOOKUP(PAA[[#This Row],[RCP-RUBRO]],COMPROMISOS_2025[[#All],[concatenado]],COMPROMISOS_2025[[#All],[Total Comprometido]],"",0)</f>
        <v>#NAME?</v>
      </c>
    </row>
    <row r="451" spans="1:35" s="50" customFormat="1" ht="42" hidden="1" customHeight="1" x14ac:dyDescent="0.25">
      <c r="A451" s="199">
        <v>351</v>
      </c>
      <c r="B451" s="200">
        <v>80111600</v>
      </c>
      <c r="C451" s="199" t="str">
        <f>VLOOKUP(PAA[[#This Row],[PROYECTO (formulado)2]],PROYECTOS!$G$1:$L$32,6,0)</f>
        <v>SUBGERENCIA DE ALTOS LOGROS Y DEPORTE ASOCIADO</v>
      </c>
      <c r="D451" s="199" t="str">
        <f>+IF(PAA[[#This Row],[UNIDAD DE CONTRATACION (formulado)]]="Subgerencia Administrativa y Financiera","FUNCIONAMIENTO","INVERSIÓN")</f>
        <v>INVERSIÓN</v>
      </c>
      <c r="E451" s="201" t="str">
        <f>VLOOKUP(Q451,PROYECTOS!$G$1:$K$32,5,0)</f>
        <v>Apoyo técnico a atletas y para-atletas que representan en alto rendimiento deportivo al departamento de Antioquia</v>
      </c>
      <c r="F451" s="201">
        <f>VLOOKUP(E451,PROYECTOS!$K$1:$M$32,3,0)</f>
        <v>2024003050084</v>
      </c>
      <c r="G451" s="202" t="s">
        <v>450</v>
      </c>
      <c r="H451" s="202" t="str">
        <f>VLOOKUP(Q451,PROYECTOS!$V$1:$W$32,2,0)</f>
        <v>050079</v>
      </c>
      <c r="I451" s="203">
        <v>61147776</v>
      </c>
      <c r="J451" s="204" t="s">
        <v>549</v>
      </c>
      <c r="K451" s="199" t="str">
        <f t="shared" ca="1" si="64"/>
        <v>CONTRATADO</v>
      </c>
      <c r="L451" s="199" t="s">
        <v>112</v>
      </c>
      <c r="M451" s="199" t="s">
        <v>113</v>
      </c>
      <c r="N451" s="205" t="s">
        <v>452</v>
      </c>
      <c r="O451" s="204">
        <f>VLOOKUP(N451,RUBROS[#All],3,0)</f>
        <v>62</v>
      </c>
      <c r="P451" s="206" t="str">
        <f>VLOOKUP(N451,RUBROS[#All],2,0)</f>
        <v>Apoyo técnico a atletas y para-atletas que representan en alto rendimiento deportivo al departamento de Antioquia. - Servicios para la comunidad, sociales y personales</v>
      </c>
      <c r="Q451" s="199" t="str">
        <f t="shared" si="65"/>
        <v>84</v>
      </c>
      <c r="R451" s="199" t="str">
        <f t="shared" si="66"/>
        <v>0-205400</v>
      </c>
      <c r="S451" s="207">
        <v>294</v>
      </c>
      <c r="T451" s="208" t="s">
        <v>220</v>
      </c>
      <c r="U451" s="209" t="e">
        <f ca="1">_xlfn.XLOOKUP(PAA[[#This Row],[ITEM]],Contrato!A:A,Contrato!Q:Q,"",0)</f>
        <v>#NAME?</v>
      </c>
      <c r="V451" s="199" t="s">
        <v>47</v>
      </c>
      <c r="W451" s="199" t="s">
        <v>154</v>
      </c>
      <c r="X451" s="199" t="s">
        <v>154</v>
      </c>
      <c r="Y451" s="210" t="e">
        <f ca="1">_xlfn.XLOOKUP(PAA[[#This Row],[ITEM]],Contrato!A:A,Contrato!B:B,"",0)</f>
        <v>#NAME?</v>
      </c>
      <c r="Z451" s="199" t="e">
        <f ca="1">_xlfn.XLOOKUP(PAA[[#This Row],[ITEM]],Contrato!A:A,Contrato!G:G,"",0)</f>
        <v>#NAME?</v>
      </c>
      <c r="AA451" s="199" t="e">
        <f ca="1">_xlfn.XLOOKUP(PAA[[#This Row],[ITEM]],Contrato!A:A,Contrato!T:T,"",0)</f>
        <v>#NAME?</v>
      </c>
      <c r="AB451" s="210" t="e">
        <f ca="1">+MAX(PAA[[#This Row],[Comprometido Contrato]],)</f>
        <v>#NAME?</v>
      </c>
      <c r="AC451" s="210" t="str">
        <f t="shared" ca="1" si="63"/>
        <v/>
      </c>
      <c r="AD451" s="210" t="e">
        <f ca="1">+MAX(PAA[[#This Row],[Pago por Contrato]],)</f>
        <v>#NAME?</v>
      </c>
      <c r="AE451" s="210" t="str">
        <f t="shared" ca="1" si="67"/>
        <v/>
      </c>
      <c r="AF451" s="199" t="e">
        <f t="shared" ca="1" si="68"/>
        <v>#NAME?</v>
      </c>
      <c r="AG451" s="199">
        <f t="shared" si="69"/>
        <v>52010802</v>
      </c>
      <c r="AH451" s="199" t="e" cm="1">
        <f t="array" aca="1" ref="AH451" ca="1">_xlfn.XLOOKUP(PAA[[#This Row],[RCP-RUBRO]],COMPROMISOS_2025[[#All],[concatenado]],COMPROMISOS_2025[[#All],[Total pagado]],"",0)</f>
        <v>#NAME?</v>
      </c>
      <c r="AI451" s="199" t="e" cm="1">
        <f t="array" aca="1" ref="AI451" ca="1">_xlfn.XLOOKUP(PAA[[#This Row],[RCP-RUBRO]],COMPROMISOS_2025[[#All],[concatenado]],COMPROMISOS_2025[[#All],[Total Comprometido]],"",0)</f>
        <v>#NAME?</v>
      </c>
    </row>
    <row r="452" spans="1:35" s="50" customFormat="1" ht="42" hidden="1" customHeight="1" x14ac:dyDescent="0.25">
      <c r="A452" s="199">
        <v>352</v>
      </c>
      <c r="B452" s="200">
        <v>80111600</v>
      </c>
      <c r="C452" s="199" t="str">
        <f>VLOOKUP(PAA[[#This Row],[PROYECTO (formulado)2]],PROYECTOS!$G$1:$L$32,6,0)</f>
        <v>SUBGERENCIA DE ALTOS LOGROS Y DEPORTE ASOCIADO</v>
      </c>
      <c r="D452" s="199" t="str">
        <f>+IF(PAA[[#This Row],[UNIDAD DE CONTRATACION (formulado)]]="Subgerencia Administrativa y Financiera","FUNCIONAMIENTO","INVERSIÓN")</f>
        <v>INVERSIÓN</v>
      </c>
      <c r="E452" s="201" t="str">
        <f>VLOOKUP(Q452,PROYECTOS!$G$1:$K$32,5,0)</f>
        <v>Apoyo técnico a atletas y para-atletas que representan en alto rendimiento deportivo al departamento de Antioquia</v>
      </c>
      <c r="F452" s="201">
        <f>VLOOKUP(E452,PROYECTOS!$K$1:$M$32,3,0)</f>
        <v>2024003050084</v>
      </c>
      <c r="G452" s="202" t="s">
        <v>450</v>
      </c>
      <c r="H452" s="202" t="str">
        <f>VLOOKUP(Q452,PROYECTOS!$V$1:$W$32,2,0)</f>
        <v>050079</v>
      </c>
      <c r="I452" s="203">
        <v>40747479</v>
      </c>
      <c r="J452" s="204" t="s">
        <v>550</v>
      </c>
      <c r="K452" s="199" t="str">
        <f t="shared" ca="1" si="64"/>
        <v>CONTRATADO</v>
      </c>
      <c r="L452" s="199" t="s">
        <v>112</v>
      </c>
      <c r="M452" s="199" t="s">
        <v>113</v>
      </c>
      <c r="N452" s="205" t="s">
        <v>452</v>
      </c>
      <c r="O452" s="204">
        <f>VLOOKUP(N452,RUBROS[#All],3,0)</f>
        <v>62</v>
      </c>
      <c r="P452" s="206" t="str">
        <f>VLOOKUP(N452,RUBROS[#All],2,0)</f>
        <v>Apoyo técnico a atletas y para-atletas que representan en alto rendimiento deportivo al departamento de Antioquia. - Servicios para la comunidad, sociales y personales</v>
      </c>
      <c r="Q452" s="199" t="str">
        <f t="shared" si="65"/>
        <v>84</v>
      </c>
      <c r="R452" s="199" t="str">
        <f t="shared" si="66"/>
        <v>0-205400</v>
      </c>
      <c r="S452" s="207">
        <v>294</v>
      </c>
      <c r="T452" s="208" t="s">
        <v>220</v>
      </c>
      <c r="U452" s="209" t="e">
        <f ca="1">_xlfn.XLOOKUP(PAA[[#This Row],[ITEM]],Contrato!A:A,Contrato!Q:Q,"",0)</f>
        <v>#NAME?</v>
      </c>
      <c r="V452" s="199" t="s">
        <v>47</v>
      </c>
      <c r="W452" s="199" t="s">
        <v>154</v>
      </c>
      <c r="X452" s="199" t="s">
        <v>154</v>
      </c>
      <c r="Y452" s="210" t="e">
        <f ca="1">_xlfn.XLOOKUP(PAA[[#This Row],[ITEM]],Contrato!A:A,Contrato!B:B,"",0)</f>
        <v>#NAME?</v>
      </c>
      <c r="Z452" s="199" t="e">
        <f ca="1">_xlfn.XLOOKUP(PAA[[#This Row],[ITEM]],Contrato!A:A,Contrato!G:G,"",0)</f>
        <v>#NAME?</v>
      </c>
      <c r="AA452" s="199" t="e">
        <f ca="1">_xlfn.XLOOKUP(PAA[[#This Row],[ITEM]],Contrato!A:A,Contrato!T:T,"",0)</f>
        <v>#NAME?</v>
      </c>
      <c r="AB452" s="210" t="e">
        <f ca="1">+MAX(PAA[[#This Row],[Comprometido Contrato]],)</f>
        <v>#NAME?</v>
      </c>
      <c r="AC452" s="210" t="str">
        <f t="shared" ca="1" si="63"/>
        <v/>
      </c>
      <c r="AD452" s="210" t="e">
        <f ca="1">+MAX(PAA[[#This Row],[Pago por Contrato]],)</f>
        <v>#NAME?</v>
      </c>
      <c r="AE452" s="210" t="str">
        <f t="shared" ca="1" si="67"/>
        <v/>
      </c>
      <c r="AF452" s="199" t="e">
        <f t="shared" ca="1" si="68"/>
        <v>#NAME?</v>
      </c>
      <c r="AG452" s="199">
        <f t="shared" si="69"/>
        <v>52010802</v>
      </c>
      <c r="AH452" s="199" t="e" cm="1">
        <f t="array" aca="1" ref="AH452" ca="1">_xlfn.XLOOKUP(PAA[[#This Row],[RCP-RUBRO]],COMPROMISOS_2025[[#All],[concatenado]],COMPROMISOS_2025[[#All],[Total pagado]],"",0)</f>
        <v>#NAME?</v>
      </c>
      <c r="AI452" s="199" t="e" cm="1">
        <f t="array" aca="1" ref="AI452" ca="1">_xlfn.XLOOKUP(PAA[[#This Row],[RCP-RUBRO]],COMPROMISOS_2025[[#All],[concatenado]],COMPROMISOS_2025[[#All],[Total Comprometido]],"",0)</f>
        <v>#NAME?</v>
      </c>
    </row>
    <row r="453" spans="1:35" s="50" customFormat="1" ht="42" hidden="1" customHeight="1" x14ac:dyDescent="0.25">
      <c r="A453" s="199">
        <v>353</v>
      </c>
      <c r="B453" s="200">
        <v>80111600</v>
      </c>
      <c r="C453" s="199" t="str">
        <f>VLOOKUP(PAA[[#This Row],[PROYECTO (formulado)2]],PROYECTOS!$G$1:$L$32,6,0)</f>
        <v>SUBGERENCIA DE ALTOS LOGROS Y DEPORTE ASOCIADO</v>
      </c>
      <c r="D453" s="199" t="str">
        <f>+IF(PAA[[#This Row],[UNIDAD DE CONTRATACION (formulado)]]="Subgerencia Administrativa y Financiera","FUNCIONAMIENTO","INVERSIÓN")</f>
        <v>INVERSIÓN</v>
      </c>
      <c r="E453" s="201" t="str">
        <f>VLOOKUP(Q453,PROYECTOS!$G$1:$K$32,5,0)</f>
        <v>Apoyo técnico a atletas y para-atletas que representan en alto rendimiento deportivo al departamento de Antioquia</v>
      </c>
      <c r="F453" s="201">
        <f>VLOOKUP(E453,PROYECTOS!$K$1:$M$32,3,0)</f>
        <v>2024003050084</v>
      </c>
      <c r="G453" s="202" t="s">
        <v>450</v>
      </c>
      <c r="H453" s="202" t="str">
        <f>VLOOKUP(Q453,PROYECTOS!$V$1:$W$32,2,0)</f>
        <v>050079</v>
      </c>
      <c r="I453" s="203">
        <v>40747479</v>
      </c>
      <c r="J453" s="204" t="s">
        <v>551</v>
      </c>
      <c r="K453" s="199" t="str">
        <f t="shared" ca="1" si="64"/>
        <v>CONTRATADO</v>
      </c>
      <c r="L453" s="199" t="s">
        <v>112</v>
      </c>
      <c r="M453" s="199" t="s">
        <v>113</v>
      </c>
      <c r="N453" s="205" t="s">
        <v>452</v>
      </c>
      <c r="O453" s="204">
        <f>VLOOKUP(N453,RUBROS[#All],3,0)</f>
        <v>62</v>
      </c>
      <c r="P453" s="206" t="str">
        <f>VLOOKUP(N453,RUBROS[#All],2,0)</f>
        <v>Apoyo técnico a atletas y para-atletas que representan en alto rendimiento deportivo al departamento de Antioquia. - Servicios para la comunidad, sociales y personales</v>
      </c>
      <c r="Q453" s="199" t="str">
        <f t="shared" si="65"/>
        <v>84</v>
      </c>
      <c r="R453" s="199" t="str">
        <f t="shared" si="66"/>
        <v>0-205400</v>
      </c>
      <c r="S453" s="207">
        <v>294</v>
      </c>
      <c r="T453" s="208" t="s">
        <v>220</v>
      </c>
      <c r="U453" s="209" t="e">
        <f ca="1">_xlfn.XLOOKUP(PAA[[#This Row],[ITEM]],Contrato!A:A,Contrato!Q:Q,"",0)</f>
        <v>#NAME?</v>
      </c>
      <c r="V453" s="199" t="s">
        <v>47</v>
      </c>
      <c r="W453" s="199" t="s">
        <v>154</v>
      </c>
      <c r="X453" s="199" t="s">
        <v>154</v>
      </c>
      <c r="Y453" s="210" t="e">
        <f ca="1">_xlfn.XLOOKUP(PAA[[#This Row],[ITEM]],Contrato!A:A,Contrato!B:B,"",0)</f>
        <v>#NAME?</v>
      </c>
      <c r="Z453" s="199" t="e">
        <f ca="1">_xlfn.XLOOKUP(PAA[[#This Row],[ITEM]],Contrato!A:A,Contrato!G:G,"",0)</f>
        <v>#NAME?</v>
      </c>
      <c r="AA453" s="199" t="e">
        <f ca="1">_xlfn.XLOOKUP(PAA[[#This Row],[ITEM]],Contrato!A:A,Contrato!T:T,"",0)</f>
        <v>#NAME?</v>
      </c>
      <c r="AB453" s="210" t="e">
        <f ca="1">+MAX(PAA[[#This Row],[Comprometido Contrato]],)</f>
        <v>#NAME?</v>
      </c>
      <c r="AC453" s="210" t="str">
        <f t="shared" ref="AC453:AC516" ca="1" si="70">IFERROR(I453-AB453,"")</f>
        <v/>
      </c>
      <c r="AD453" s="210" t="e">
        <f ca="1">+MAX(PAA[[#This Row],[Pago por Contrato]],)</f>
        <v>#NAME?</v>
      </c>
      <c r="AE453" s="210" t="str">
        <f t="shared" ca="1" si="67"/>
        <v/>
      </c>
      <c r="AF453" s="199" t="e">
        <f t="shared" ca="1" si="68"/>
        <v>#NAME?</v>
      </c>
      <c r="AG453" s="199">
        <f t="shared" si="69"/>
        <v>52010802</v>
      </c>
      <c r="AH453" s="199" t="e" cm="1">
        <f t="array" aca="1" ref="AH453" ca="1">_xlfn.XLOOKUP(PAA[[#This Row],[RCP-RUBRO]],COMPROMISOS_2025[[#All],[concatenado]],COMPROMISOS_2025[[#All],[Total pagado]],"",0)</f>
        <v>#NAME?</v>
      </c>
      <c r="AI453" s="199" t="e" cm="1">
        <f t="array" aca="1" ref="AI453" ca="1">_xlfn.XLOOKUP(PAA[[#This Row],[RCP-RUBRO]],COMPROMISOS_2025[[#All],[concatenado]],COMPROMISOS_2025[[#All],[Total Comprometido]],"",0)</f>
        <v>#NAME?</v>
      </c>
    </row>
    <row r="454" spans="1:35" s="50" customFormat="1" ht="42" hidden="1" customHeight="1" x14ac:dyDescent="0.25">
      <c r="A454" s="199">
        <v>354</v>
      </c>
      <c r="B454" s="200">
        <v>80111600</v>
      </c>
      <c r="C454" s="199" t="str">
        <f>VLOOKUP(PAA[[#This Row],[PROYECTO (formulado)2]],PROYECTOS!$G$1:$L$32,6,0)</f>
        <v>SUBGERENCIA DE ALTOS LOGROS Y DEPORTE ASOCIADO</v>
      </c>
      <c r="D454" s="199" t="str">
        <f>+IF(PAA[[#This Row],[UNIDAD DE CONTRATACION (formulado)]]="Subgerencia Administrativa y Financiera","FUNCIONAMIENTO","INVERSIÓN")</f>
        <v>INVERSIÓN</v>
      </c>
      <c r="E454" s="201" t="str">
        <f>VLOOKUP(Q454,PROYECTOS!$G$1:$K$32,5,0)</f>
        <v>Apoyo técnico a atletas y para-atletas que representan en alto rendimiento deportivo al departamento de Antioquia</v>
      </c>
      <c r="F454" s="201">
        <f>VLOOKUP(E454,PROYECTOS!$K$1:$M$32,3,0)</f>
        <v>2024003050084</v>
      </c>
      <c r="G454" s="202" t="s">
        <v>450</v>
      </c>
      <c r="H454" s="202" t="str">
        <f>VLOOKUP(Q454,PROYECTOS!$V$1:$W$32,2,0)</f>
        <v>050079</v>
      </c>
      <c r="I454" s="203">
        <v>40747479</v>
      </c>
      <c r="J454" s="204" t="s">
        <v>552</v>
      </c>
      <c r="K454" s="199" t="str">
        <f t="shared" ca="1" si="64"/>
        <v>CONTRATADO</v>
      </c>
      <c r="L454" s="199" t="s">
        <v>112</v>
      </c>
      <c r="M454" s="199" t="s">
        <v>113</v>
      </c>
      <c r="N454" s="205" t="s">
        <v>452</v>
      </c>
      <c r="O454" s="204">
        <f>VLOOKUP(N454,RUBROS[#All],3,0)</f>
        <v>62</v>
      </c>
      <c r="P454" s="206" t="str">
        <f>VLOOKUP(N454,RUBROS[#All],2,0)</f>
        <v>Apoyo técnico a atletas y para-atletas que representan en alto rendimiento deportivo al departamento de Antioquia. - Servicios para la comunidad, sociales y personales</v>
      </c>
      <c r="Q454" s="199" t="str">
        <f t="shared" si="65"/>
        <v>84</v>
      </c>
      <c r="R454" s="199" t="str">
        <f t="shared" si="66"/>
        <v>0-205400</v>
      </c>
      <c r="S454" s="207">
        <v>294</v>
      </c>
      <c r="T454" s="208" t="s">
        <v>220</v>
      </c>
      <c r="U454" s="209" t="e">
        <f ca="1">_xlfn.XLOOKUP(PAA[[#This Row],[ITEM]],Contrato!A:A,Contrato!Q:Q,"",0)</f>
        <v>#NAME?</v>
      </c>
      <c r="V454" s="199" t="s">
        <v>47</v>
      </c>
      <c r="W454" s="199" t="s">
        <v>154</v>
      </c>
      <c r="X454" s="199" t="s">
        <v>154</v>
      </c>
      <c r="Y454" s="210" t="e">
        <f ca="1">_xlfn.XLOOKUP(PAA[[#This Row],[ITEM]],Contrato!A:A,Contrato!B:B,"",0)</f>
        <v>#NAME?</v>
      </c>
      <c r="Z454" s="199" t="e">
        <f ca="1">_xlfn.XLOOKUP(PAA[[#This Row],[ITEM]],Contrato!A:A,Contrato!G:G,"",0)</f>
        <v>#NAME?</v>
      </c>
      <c r="AA454" s="199" t="e">
        <f ca="1">_xlfn.XLOOKUP(PAA[[#This Row],[ITEM]],Contrato!A:A,Contrato!T:T,"",0)</f>
        <v>#NAME?</v>
      </c>
      <c r="AB454" s="210" t="e">
        <f ca="1">+MAX(PAA[[#This Row],[Comprometido Contrato]],)</f>
        <v>#NAME?</v>
      </c>
      <c r="AC454" s="210" t="str">
        <f t="shared" ca="1" si="70"/>
        <v/>
      </c>
      <c r="AD454" s="210" t="e">
        <f ca="1">+MAX(PAA[[#This Row],[Pago por Contrato]],)</f>
        <v>#NAME?</v>
      </c>
      <c r="AE454" s="210" t="str">
        <f t="shared" ca="1" si="67"/>
        <v/>
      </c>
      <c r="AF454" s="199" t="e">
        <f t="shared" ca="1" si="68"/>
        <v>#NAME?</v>
      </c>
      <c r="AG454" s="199">
        <f t="shared" si="69"/>
        <v>52010802</v>
      </c>
      <c r="AH454" s="199" t="e" cm="1">
        <f t="array" aca="1" ref="AH454" ca="1">_xlfn.XLOOKUP(PAA[[#This Row],[RCP-RUBRO]],COMPROMISOS_2025[[#All],[concatenado]],COMPROMISOS_2025[[#All],[Total pagado]],"",0)</f>
        <v>#NAME?</v>
      </c>
      <c r="AI454" s="199" t="e" cm="1">
        <f t="array" aca="1" ref="AI454" ca="1">_xlfn.XLOOKUP(PAA[[#This Row],[RCP-RUBRO]],COMPROMISOS_2025[[#All],[concatenado]],COMPROMISOS_2025[[#All],[Total Comprometido]],"",0)</f>
        <v>#NAME?</v>
      </c>
    </row>
    <row r="455" spans="1:35" s="50" customFormat="1" ht="42" hidden="1" customHeight="1" x14ac:dyDescent="0.25">
      <c r="A455" s="199">
        <v>355</v>
      </c>
      <c r="B455" s="200">
        <v>80111600</v>
      </c>
      <c r="C455" s="199" t="str">
        <f>VLOOKUP(PAA[[#This Row],[PROYECTO (formulado)2]],PROYECTOS!$G$1:$L$32,6,0)</f>
        <v>SUBGERENCIA DE ALTOS LOGROS Y DEPORTE ASOCIADO</v>
      </c>
      <c r="D455" s="199" t="str">
        <f>+IF(PAA[[#This Row],[UNIDAD DE CONTRATACION (formulado)]]="Subgerencia Administrativa y Financiera","FUNCIONAMIENTO","INVERSIÓN")</f>
        <v>INVERSIÓN</v>
      </c>
      <c r="E455" s="201" t="str">
        <f>VLOOKUP(Q455,PROYECTOS!$G$1:$K$32,5,0)</f>
        <v>Apoyo técnico a atletas y para-atletas que representan en alto rendimiento deportivo al departamento de Antioquia</v>
      </c>
      <c r="F455" s="201">
        <f>VLOOKUP(E455,PROYECTOS!$K$1:$M$32,3,0)</f>
        <v>2024003050084</v>
      </c>
      <c r="G455" s="202" t="s">
        <v>450</v>
      </c>
      <c r="H455" s="202" t="str">
        <f>VLOOKUP(Q455,PROYECTOS!$V$1:$W$32,2,0)</f>
        <v>050079</v>
      </c>
      <c r="I455" s="203">
        <v>50609170</v>
      </c>
      <c r="J455" s="204" t="s">
        <v>553</v>
      </c>
      <c r="K455" s="199" t="str">
        <f t="shared" ca="1" si="64"/>
        <v>CONTRATADO</v>
      </c>
      <c r="L455" s="199" t="s">
        <v>112</v>
      </c>
      <c r="M455" s="199" t="s">
        <v>113</v>
      </c>
      <c r="N455" s="205" t="s">
        <v>452</v>
      </c>
      <c r="O455" s="204">
        <f>VLOOKUP(N455,RUBROS[#All],3,0)</f>
        <v>62</v>
      </c>
      <c r="P455" s="206" t="str">
        <f>VLOOKUP(N455,RUBROS[#All],2,0)</f>
        <v>Apoyo técnico a atletas y para-atletas que representan en alto rendimiento deportivo al departamento de Antioquia. - Servicios para la comunidad, sociales y personales</v>
      </c>
      <c r="Q455" s="199" t="str">
        <f t="shared" si="65"/>
        <v>84</v>
      </c>
      <c r="R455" s="199" t="str">
        <f t="shared" si="66"/>
        <v>0-205400</v>
      </c>
      <c r="S455" s="207">
        <v>294</v>
      </c>
      <c r="T455" s="208" t="s">
        <v>220</v>
      </c>
      <c r="U455" s="209" t="e">
        <f ca="1">_xlfn.XLOOKUP(PAA[[#This Row],[ITEM]],Contrato!A:A,Contrato!Q:Q,"",0)</f>
        <v>#NAME?</v>
      </c>
      <c r="V455" s="199" t="s">
        <v>47</v>
      </c>
      <c r="W455" s="199" t="s">
        <v>154</v>
      </c>
      <c r="X455" s="199" t="s">
        <v>154</v>
      </c>
      <c r="Y455" s="210" t="e">
        <f ca="1">_xlfn.XLOOKUP(PAA[[#This Row],[ITEM]],Contrato!A:A,Contrato!B:B,"",0)</f>
        <v>#NAME?</v>
      </c>
      <c r="Z455" s="199" t="e">
        <f ca="1">_xlfn.XLOOKUP(PAA[[#This Row],[ITEM]],Contrato!A:A,Contrato!G:G,"",0)</f>
        <v>#NAME?</v>
      </c>
      <c r="AA455" s="199" t="e">
        <f ca="1">_xlfn.XLOOKUP(PAA[[#This Row],[ITEM]],Contrato!A:A,Contrato!T:T,"",0)</f>
        <v>#NAME?</v>
      </c>
      <c r="AB455" s="210" t="e">
        <f ca="1">+MAX(PAA[[#This Row],[Comprometido Contrato]],)</f>
        <v>#NAME?</v>
      </c>
      <c r="AC455" s="210" t="str">
        <f t="shared" ca="1" si="70"/>
        <v/>
      </c>
      <c r="AD455" s="210" t="e">
        <f ca="1">+MAX(PAA[[#This Row],[Pago por Contrato]],)</f>
        <v>#NAME?</v>
      </c>
      <c r="AE455" s="210" t="str">
        <f t="shared" ca="1" si="67"/>
        <v/>
      </c>
      <c r="AF455" s="199" t="e">
        <f t="shared" ca="1" si="68"/>
        <v>#NAME?</v>
      </c>
      <c r="AG455" s="199">
        <f t="shared" si="69"/>
        <v>52010802</v>
      </c>
      <c r="AH455" s="199" t="e" cm="1">
        <f t="array" aca="1" ref="AH455" ca="1">_xlfn.XLOOKUP(PAA[[#This Row],[RCP-RUBRO]],COMPROMISOS_2025[[#All],[concatenado]],COMPROMISOS_2025[[#All],[Total pagado]],"",0)</f>
        <v>#NAME?</v>
      </c>
      <c r="AI455" s="199" t="e" cm="1">
        <f t="array" aca="1" ref="AI455" ca="1">_xlfn.XLOOKUP(PAA[[#This Row],[RCP-RUBRO]],COMPROMISOS_2025[[#All],[concatenado]],COMPROMISOS_2025[[#All],[Total Comprometido]],"",0)</f>
        <v>#NAME?</v>
      </c>
    </row>
    <row r="456" spans="1:35" s="50" customFormat="1" ht="42" hidden="1" customHeight="1" x14ac:dyDescent="0.25">
      <c r="A456" s="199">
        <v>356</v>
      </c>
      <c r="B456" s="200">
        <v>80111600</v>
      </c>
      <c r="C456" s="199" t="str">
        <f>VLOOKUP(PAA[[#This Row],[PROYECTO (formulado)2]],PROYECTOS!$G$1:$L$32,6,0)</f>
        <v>SUBGERENCIA DE ALTOS LOGROS Y DEPORTE ASOCIADO</v>
      </c>
      <c r="D456" s="199" t="str">
        <f>+IF(PAA[[#This Row],[UNIDAD DE CONTRATACION (formulado)]]="Subgerencia Administrativa y Financiera","FUNCIONAMIENTO","INVERSIÓN")</f>
        <v>INVERSIÓN</v>
      </c>
      <c r="E456" s="201" t="str">
        <f>VLOOKUP(Q456,PROYECTOS!$G$1:$K$32,5,0)</f>
        <v>Apoyo técnico a atletas y para-atletas que representan en alto rendimiento deportivo al departamento de Antioquia</v>
      </c>
      <c r="F456" s="201">
        <f>VLOOKUP(E456,PROYECTOS!$K$1:$M$32,3,0)</f>
        <v>2024003050084</v>
      </c>
      <c r="G456" s="202" t="s">
        <v>450</v>
      </c>
      <c r="H456" s="202" t="str">
        <f>VLOOKUP(Q456,PROYECTOS!$V$1:$W$32,2,0)</f>
        <v>050079</v>
      </c>
      <c r="I456" s="203">
        <v>40747479</v>
      </c>
      <c r="J456" s="204" t="s">
        <v>554</v>
      </c>
      <c r="K456" s="199" t="str">
        <f t="shared" ca="1" si="64"/>
        <v>CONTRATADO</v>
      </c>
      <c r="L456" s="199" t="s">
        <v>112</v>
      </c>
      <c r="M456" s="199" t="s">
        <v>113</v>
      </c>
      <c r="N456" s="205" t="s">
        <v>452</v>
      </c>
      <c r="O456" s="204">
        <f>VLOOKUP(N456,RUBROS[#All],3,0)</f>
        <v>62</v>
      </c>
      <c r="P456" s="206" t="str">
        <f>VLOOKUP(N456,RUBROS[#All],2,0)</f>
        <v>Apoyo técnico a atletas y para-atletas que representan en alto rendimiento deportivo al departamento de Antioquia. - Servicios para la comunidad, sociales y personales</v>
      </c>
      <c r="Q456" s="199" t="str">
        <f t="shared" si="65"/>
        <v>84</v>
      </c>
      <c r="R456" s="199" t="str">
        <f t="shared" si="66"/>
        <v>0-205400</v>
      </c>
      <c r="S456" s="207">
        <v>294</v>
      </c>
      <c r="T456" s="208" t="s">
        <v>220</v>
      </c>
      <c r="U456" s="209" t="e">
        <f ca="1">_xlfn.XLOOKUP(PAA[[#This Row],[ITEM]],Contrato!A:A,Contrato!Q:Q,"",0)</f>
        <v>#NAME?</v>
      </c>
      <c r="V456" s="199" t="s">
        <v>47</v>
      </c>
      <c r="W456" s="199" t="s">
        <v>154</v>
      </c>
      <c r="X456" s="199" t="s">
        <v>154</v>
      </c>
      <c r="Y456" s="210" t="e">
        <f ca="1">_xlfn.XLOOKUP(PAA[[#This Row],[ITEM]],Contrato!A:A,Contrato!B:B,"",0)</f>
        <v>#NAME?</v>
      </c>
      <c r="Z456" s="199" t="e">
        <f ca="1">_xlfn.XLOOKUP(PAA[[#This Row],[ITEM]],Contrato!A:A,Contrato!G:G,"",0)</f>
        <v>#NAME?</v>
      </c>
      <c r="AA456" s="199" t="e">
        <f ca="1">_xlfn.XLOOKUP(PAA[[#This Row],[ITEM]],Contrato!A:A,Contrato!T:T,"",0)</f>
        <v>#NAME?</v>
      </c>
      <c r="AB456" s="210" t="e">
        <f ca="1">+MAX(PAA[[#This Row],[Comprometido Contrato]],)</f>
        <v>#NAME?</v>
      </c>
      <c r="AC456" s="210" t="str">
        <f t="shared" ca="1" si="70"/>
        <v/>
      </c>
      <c r="AD456" s="210" t="e">
        <f ca="1">+MAX(PAA[[#This Row],[Pago por Contrato]],)</f>
        <v>#NAME?</v>
      </c>
      <c r="AE456" s="210" t="str">
        <f t="shared" ca="1" si="67"/>
        <v/>
      </c>
      <c r="AF456" s="199" t="e">
        <f t="shared" ca="1" si="68"/>
        <v>#NAME?</v>
      </c>
      <c r="AG456" s="199">
        <f t="shared" si="69"/>
        <v>52010802</v>
      </c>
      <c r="AH456" s="199" t="e" cm="1">
        <f t="array" aca="1" ref="AH456" ca="1">_xlfn.XLOOKUP(PAA[[#This Row],[RCP-RUBRO]],COMPROMISOS_2025[[#All],[concatenado]],COMPROMISOS_2025[[#All],[Total pagado]],"",0)</f>
        <v>#NAME?</v>
      </c>
      <c r="AI456" s="199" t="e" cm="1">
        <f t="array" aca="1" ref="AI456" ca="1">_xlfn.XLOOKUP(PAA[[#This Row],[RCP-RUBRO]],COMPROMISOS_2025[[#All],[concatenado]],COMPROMISOS_2025[[#All],[Total Comprometido]],"",0)</f>
        <v>#NAME?</v>
      </c>
    </row>
    <row r="457" spans="1:35" s="50" customFormat="1" ht="42" hidden="1" customHeight="1" x14ac:dyDescent="0.25">
      <c r="A457" s="199">
        <v>357</v>
      </c>
      <c r="B457" s="200">
        <v>80111600</v>
      </c>
      <c r="C457" s="199" t="str">
        <f>VLOOKUP(PAA[[#This Row],[PROYECTO (formulado)2]],PROYECTOS!$G$1:$L$32,6,0)</f>
        <v>SUBGERENCIA DE ALTOS LOGROS Y DEPORTE ASOCIADO</v>
      </c>
      <c r="D457" s="199" t="str">
        <f>+IF(PAA[[#This Row],[UNIDAD DE CONTRATACION (formulado)]]="Subgerencia Administrativa y Financiera","FUNCIONAMIENTO","INVERSIÓN")</f>
        <v>INVERSIÓN</v>
      </c>
      <c r="E457" s="201" t="str">
        <f>VLOOKUP(Q457,PROYECTOS!$G$1:$K$32,5,0)</f>
        <v>Apoyo técnico a atletas y para-atletas que representan en alto rendimiento deportivo al departamento de Antioquia</v>
      </c>
      <c r="F457" s="201">
        <f>VLOOKUP(E457,PROYECTOS!$K$1:$M$32,3,0)</f>
        <v>2024003050084</v>
      </c>
      <c r="G457" s="202" t="s">
        <v>450</v>
      </c>
      <c r="H457" s="202" t="str">
        <f>VLOOKUP(Q457,PROYECTOS!$V$1:$W$32,2,0)</f>
        <v>050079</v>
      </c>
      <c r="I457" s="203">
        <v>40747479</v>
      </c>
      <c r="J457" s="204" t="s">
        <v>555</v>
      </c>
      <c r="K457" s="199" t="str">
        <f t="shared" ca="1" si="64"/>
        <v>CONTRATADO</v>
      </c>
      <c r="L457" s="199" t="s">
        <v>112</v>
      </c>
      <c r="M457" s="199" t="s">
        <v>113</v>
      </c>
      <c r="N457" s="205" t="s">
        <v>452</v>
      </c>
      <c r="O457" s="204">
        <f>VLOOKUP(N457,RUBROS[#All],3,0)</f>
        <v>62</v>
      </c>
      <c r="P457" s="206" t="str">
        <f>VLOOKUP(N457,RUBROS[#All],2,0)</f>
        <v>Apoyo técnico a atletas y para-atletas que representan en alto rendimiento deportivo al departamento de Antioquia. - Servicios para la comunidad, sociales y personales</v>
      </c>
      <c r="Q457" s="199" t="str">
        <f t="shared" si="65"/>
        <v>84</v>
      </c>
      <c r="R457" s="199" t="str">
        <f t="shared" si="66"/>
        <v>0-205400</v>
      </c>
      <c r="S457" s="207">
        <v>294</v>
      </c>
      <c r="T457" s="208" t="s">
        <v>220</v>
      </c>
      <c r="U457" s="209" t="e">
        <f ca="1">_xlfn.XLOOKUP(PAA[[#This Row],[ITEM]],Contrato!A:A,Contrato!Q:Q,"",0)</f>
        <v>#NAME?</v>
      </c>
      <c r="V457" s="199" t="s">
        <v>47</v>
      </c>
      <c r="W457" s="199" t="s">
        <v>154</v>
      </c>
      <c r="X457" s="199" t="s">
        <v>154</v>
      </c>
      <c r="Y457" s="210" t="e">
        <f ca="1">_xlfn.XLOOKUP(PAA[[#This Row],[ITEM]],Contrato!A:A,Contrato!B:B,"",0)</f>
        <v>#NAME?</v>
      </c>
      <c r="Z457" s="199" t="e">
        <f ca="1">_xlfn.XLOOKUP(PAA[[#This Row],[ITEM]],Contrato!A:A,Contrato!G:G,"",0)</f>
        <v>#NAME?</v>
      </c>
      <c r="AA457" s="199" t="e">
        <f ca="1">_xlfn.XLOOKUP(PAA[[#This Row],[ITEM]],Contrato!A:A,Contrato!T:T,"",0)</f>
        <v>#NAME?</v>
      </c>
      <c r="AB457" s="210" t="e">
        <f ca="1">+MAX(PAA[[#This Row],[Comprometido Contrato]],)</f>
        <v>#NAME?</v>
      </c>
      <c r="AC457" s="210" t="str">
        <f t="shared" ca="1" si="70"/>
        <v/>
      </c>
      <c r="AD457" s="210" t="e">
        <f ca="1">+MAX(PAA[[#This Row],[Pago por Contrato]],)</f>
        <v>#NAME?</v>
      </c>
      <c r="AE457" s="210" t="str">
        <f t="shared" ca="1" si="67"/>
        <v/>
      </c>
      <c r="AF457" s="199" t="e">
        <f t="shared" ca="1" si="68"/>
        <v>#NAME?</v>
      </c>
      <c r="AG457" s="199">
        <f t="shared" si="69"/>
        <v>52010802</v>
      </c>
      <c r="AH457" s="199" t="e" cm="1">
        <f t="array" aca="1" ref="AH457" ca="1">_xlfn.XLOOKUP(PAA[[#This Row],[RCP-RUBRO]],COMPROMISOS_2025[[#All],[concatenado]],COMPROMISOS_2025[[#All],[Total pagado]],"",0)</f>
        <v>#NAME?</v>
      </c>
      <c r="AI457" s="199" t="e" cm="1">
        <f t="array" aca="1" ref="AI457" ca="1">_xlfn.XLOOKUP(PAA[[#This Row],[RCP-RUBRO]],COMPROMISOS_2025[[#All],[concatenado]],COMPROMISOS_2025[[#All],[Total Comprometido]],"",0)</f>
        <v>#NAME?</v>
      </c>
    </row>
    <row r="458" spans="1:35" s="50" customFormat="1" ht="42" hidden="1" customHeight="1" x14ac:dyDescent="0.25">
      <c r="A458" s="199">
        <v>358</v>
      </c>
      <c r="B458" s="200">
        <v>80111600</v>
      </c>
      <c r="C458" s="199" t="str">
        <f>VLOOKUP(PAA[[#This Row],[PROYECTO (formulado)2]],PROYECTOS!$G$1:$L$32,6,0)</f>
        <v>SUBGERENCIA DE ALTOS LOGROS Y DEPORTE ASOCIADO</v>
      </c>
      <c r="D458" s="199" t="str">
        <f>+IF(PAA[[#This Row],[UNIDAD DE CONTRATACION (formulado)]]="Subgerencia Administrativa y Financiera","FUNCIONAMIENTO","INVERSIÓN")</f>
        <v>INVERSIÓN</v>
      </c>
      <c r="E458" s="201" t="str">
        <f>VLOOKUP(Q458,PROYECTOS!$G$1:$K$32,5,0)</f>
        <v>Apoyo técnico a atletas y para-atletas que representan en alto rendimiento deportivo al departamento de Antioquia</v>
      </c>
      <c r="F458" s="201">
        <f>VLOOKUP(E458,PROYECTOS!$K$1:$M$32,3,0)</f>
        <v>2024003050084</v>
      </c>
      <c r="G458" s="202" t="s">
        <v>450</v>
      </c>
      <c r="H458" s="202" t="str">
        <f>VLOOKUP(Q458,PROYECTOS!$V$1:$W$32,2,0)</f>
        <v>050079</v>
      </c>
      <c r="I458" s="203">
        <v>40747479</v>
      </c>
      <c r="J458" s="204" t="s">
        <v>556</v>
      </c>
      <c r="K458" s="199" t="str">
        <f t="shared" ca="1" si="64"/>
        <v>CONTRATADO</v>
      </c>
      <c r="L458" s="199" t="s">
        <v>112</v>
      </c>
      <c r="M458" s="199" t="s">
        <v>113</v>
      </c>
      <c r="N458" s="205" t="s">
        <v>452</v>
      </c>
      <c r="O458" s="204">
        <f>VLOOKUP(N458,RUBROS[#All],3,0)</f>
        <v>62</v>
      </c>
      <c r="P458" s="206" t="str">
        <f>VLOOKUP(N458,RUBROS[#All],2,0)</f>
        <v>Apoyo técnico a atletas y para-atletas que representan en alto rendimiento deportivo al departamento de Antioquia. - Servicios para la comunidad, sociales y personales</v>
      </c>
      <c r="Q458" s="199" t="str">
        <f t="shared" si="65"/>
        <v>84</v>
      </c>
      <c r="R458" s="199" t="str">
        <f t="shared" si="66"/>
        <v>0-205400</v>
      </c>
      <c r="S458" s="207">
        <v>294</v>
      </c>
      <c r="T458" s="208" t="s">
        <v>220</v>
      </c>
      <c r="U458" s="209" t="e">
        <f ca="1">_xlfn.XLOOKUP(PAA[[#This Row],[ITEM]],Contrato!A:A,Contrato!Q:Q,"",0)</f>
        <v>#NAME?</v>
      </c>
      <c r="V458" s="199" t="s">
        <v>47</v>
      </c>
      <c r="W458" s="199" t="s">
        <v>154</v>
      </c>
      <c r="X458" s="199" t="s">
        <v>154</v>
      </c>
      <c r="Y458" s="210" t="e">
        <f ca="1">_xlfn.XLOOKUP(PAA[[#This Row],[ITEM]],Contrato!A:A,Contrato!B:B,"",0)</f>
        <v>#NAME?</v>
      </c>
      <c r="Z458" s="199" t="e">
        <f ca="1">_xlfn.XLOOKUP(PAA[[#This Row],[ITEM]],Contrato!A:A,Contrato!G:G,"",0)</f>
        <v>#NAME?</v>
      </c>
      <c r="AA458" s="199" t="e">
        <f ca="1">_xlfn.XLOOKUP(PAA[[#This Row],[ITEM]],Contrato!A:A,Contrato!T:T,"",0)</f>
        <v>#NAME?</v>
      </c>
      <c r="AB458" s="210" t="e">
        <f ca="1">+MAX(PAA[[#This Row],[Comprometido Contrato]],)</f>
        <v>#NAME?</v>
      </c>
      <c r="AC458" s="210" t="str">
        <f t="shared" ca="1" si="70"/>
        <v/>
      </c>
      <c r="AD458" s="210" t="e">
        <f ca="1">+MAX(PAA[[#This Row],[Pago por Contrato]],)</f>
        <v>#NAME?</v>
      </c>
      <c r="AE458" s="210" t="str">
        <f t="shared" ca="1" si="67"/>
        <v/>
      </c>
      <c r="AF458" s="199" t="e">
        <f t="shared" ca="1" si="68"/>
        <v>#NAME?</v>
      </c>
      <c r="AG458" s="199">
        <f t="shared" si="69"/>
        <v>52010802</v>
      </c>
      <c r="AH458" s="199" t="e" cm="1">
        <f t="array" aca="1" ref="AH458" ca="1">_xlfn.XLOOKUP(PAA[[#This Row],[RCP-RUBRO]],COMPROMISOS_2025[[#All],[concatenado]],COMPROMISOS_2025[[#All],[Total pagado]],"",0)</f>
        <v>#NAME?</v>
      </c>
      <c r="AI458" s="199" t="e" cm="1">
        <f t="array" aca="1" ref="AI458" ca="1">_xlfn.XLOOKUP(PAA[[#This Row],[RCP-RUBRO]],COMPROMISOS_2025[[#All],[concatenado]],COMPROMISOS_2025[[#All],[Total Comprometido]],"",0)</f>
        <v>#NAME?</v>
      </c>
    </row>
    <row r="459" spans="1:35" s="50" customFormat="1" ht="42" hidden="1" customHeight="1" x14ac:dyDescent="0.25">
      <c r="A459" s="199">
        <v>359</v>
      </c>
      <c r="B459" s="200">
        <v>80111600</v>
      </c>
      <c r="C459" s="199" t="str">
        <f>VLOOKUP(PAA[[#This Row],[PROYECTO (formulado)2]],PROYECTOS!$G$1:$L$32,6,0)</f>
        <v>SUBGERENCIA DE ALTOS LOGROS Y DEPORTE ASOCIADO</v>
      </c>
      <c r="D459" s="199" t="str">
        <f>+IF(PAA[[#This Row],[UNIDAD DE CONTRATACION (formulado)]]="Subgerencia Administrativa y Financiera","FUNCIONAMIENTO","INVERSIÓN")</f>
        <v>INVERSIÓN</v>
      </c>
      <c r="E459" s="201" t="str">
        <f>VLOOKUP(Q459,PROYECTOS!$G$1:$K$32,5,0)</f>
        <v>Apoyo técnico a atletas y para-atletas que representan en alto rendimiento deportivo al departamento de Antioquia</v>
      </c>
      <c r="F459" s="201">
        <f>VLOOKUP(E459,PROYECTOS!$K$1:$M$32,3,0)</f>
        <v>2024003050084</v>
      </c>
      <c r="G459" s="202" t="s">
        <v>450</v>
      </c>
      <c r="H459" s="202" t="str">
        <f>VLOOKUP(Q459,PROYECTOS!$V$1:$W$32,2,0)</f>
        <v>050079</v>
      </c>
      <c r="I459" s="203">
        <v>40747479</v>
      </c>
      <c r="J459" s="204" t="s">
        <v>557</v>
      </c>
      <c r="K459" s="199" t="str">
        <f t="shared" ca="1" si="64"/>
        <v>CONTRATADO</v>
      </c>
      <c r="L459" s="199" t="s">
        <v>112</v>
      </c>
      <c r="M459" s="199" t="s">
        <v>113</v>
      </c>
      <c r="N459" s="205" t="s">
        <v>452</v>
      </c>
      <c r="O459" s="204">
        <f>VLOOKUP(N459,RUBROS[#All],3,0)</f>
        <v>62</v>
      </c>
      <c r="P459" s="206" t="str">
        <f>VLOOKUP(N459,RUBROS[#All],2,0)</f>
        <v>Apoyo técnico a atletas y para-atletas que representan en alto rendimiento deportivo al departamento de Antioquia. - Servicios para la comunidad, sociales y personales</v>
      </c>
      <c r="Q459" s="199" t="str">
        <f t="shared" si="65"/>
        <v>84</v>
      </c>
      <c r="R459" s="199" t="str">
        <f t="shared" si="66"/>
        <v>0-205400</v>
      </c>
      <c r="S459" s="207">
        <v>294</v>
      </c>
      <c r="T459" s="208" t="s">
        <v>220</v>
      </c>
      <c r="U459" s="209" t="e">
        <f ca="1">_xlfn.XLOOKUP(PAA[[#This Row],[ITEM]],Contrato!A:A,Contrato!Q:Q,"",0)</f>
        <v>#NAME?</v>
      </c>
      <c r="V459" s="199" t="s">
        <v>47</v>
      </c>
      <c r="W459" s="199" t="s">
        <v>154</v>
      </c>
      <c r="X459" s="199" t="s">
        <v>154</v>
      </c>
      <c r="Y459" s="210" t="e">
        <f ca="1">_xlfn.XLOOKUP(PAA[[#This Row],[ITEM]],Contrato!A:A,Contrato!B:B,"",0)</f>
        <v>#NAME?</v>
      </c>
      <c r="Z459" s="199" t="e">
        <f ca="1">_xlfn.XLOOKUP(PAA[[#This Row],[ITEM]],Contrato!A:A,Contrato!G:G,"",0)</f>
        <v>#NAME?</v>
      </c>
      <c r="AA459" s="199" t="e">
        <f ca="1">_xlfn.XLOOKUP(PAA[[#This Row],[ITEM]],Contrato!A:A,Contrato!T:T,"",0)</f>
        <v>#NAME?</v>
      </c>
      <c r="AB459" s="210" t="e">
        <f ca="1">+MAX(PAA[[#This Row],[Comprometido Contrato]],)</f>
        <v>#NAME?</v>
      </c>
      <c r="AC459" s="210" t="str">
        <f t="shared" ca="1" si="70"/>
        <v/>
      </c>
      <c r="AD459" s="210" t="e">
        <f ca="1">+MAX(PAA[[#This Row],[Pago por Contrato]],)</f>
        <v>#NAME?</v>
      </c>
      <c r="AE459" s="210" t="str">
        <f t="shared" ca="1" si="67"/>
        <v/>
      </c>
      <c r="AF459" s="199" t="e">
        <f t="shared" ca="1" si="68"/>
        <v>#NAME?</v>
      </c>
      <c r="AG459" s="199">
        <f t="shared" si="69"/>
        <v>52010802</v>
      </c>
      <c r="AH459" s="199" t="e" cm="1">
        <f t="array" aca="1" ref="AH459" ca="1">_xlfn.XLOOKUP(PAA[[#This Row],[RCP-RUBRO]],COMPROMISOS_2025[[#All],[concatenado]],COMPROMISOS_2025[[#All],[Total pagado]],"",0)</f>
        <v>#NAME?</v>
      </c>
      <c r="AI459" s="199" t="e" cm="1">
        <f t="array" aca="1" ref="AI459" ca="1">_xlfn.XLOOKUP(PAA[[#This Row],[RCP-RUBRO]],COMPROMISOS_2025[[#All],[concatenado]],COMPROMISOS_2025[[#All],[Total Comprometido]],"",0)</f>
        <v>#NAME?</v>
      </c>
    </row>
    <row r="460" spans="1:35" s="50" customFormat="1" ht="42" hidden="1" customHeight="1" x14ac:dyDescent="0.25">
      <c r="A460" s="199">
        <v>360</v>
      </c>
      <c r="B460" s="200">
        <v>80111600</v>
      </c>
      <c r="C460" s="199" t="str">
        <f>VLOOKUP(PAA[[#This Row],[PROYECTO (formulado)2]],PROYECTOS!$G$1:$L$32,6,0)</f>
        <v>SUBGERENCIA DE ALTOS LOGROS Y DEPORTE ASOCIADO</v>
      </c>
      <c r="D460" s="199" t="str">
        <f>+IF(PAA[[#This Row],[UNIDAD DE CONTRATACION (formulado)]]="Subgerencia Administrativa y Financiera","FUNCIONAMIENTO","INVERSIÓN")</f>
        <v>INVERSIÓN</v>
      </c>
      <c r="E460" s="201" t="str">
        <f>VLOOKUP(Q460,PROYECTOS!$G$1:$K$32,5,0)</f>
        <v>Apoyo técnico a atletas y para-atletas que representan en alto rendimiento deportivo al departamento de Antioquia</v>
      </c>
      <c r="F460" s="201">
        <f>VLOOKUP(E460,PROYECTOS!$K$1:$M$32,3,0)</f>
        <v>2024003050084</v>
      </c>
      <c r="G460" s="202" t="s">
        <v>450</v>
      </c>
      <c r="H460" s="202" t="str">
        <f>VLOOKUP(Q460,PROYECTOS!$V$1:$W$32,2,0)</f>
        <v>050079</v>
      </c>
      <c r="I460" s="203">
        <v>26545593</v>
      </c>
      <c r="J460" s="204" t="s">
        <v>558</v>
      </c>
      <c r="K460" s="199" t="str">
        <f t="shared" ca="1" si="64"/>
        <v>CONTRATADO</v>
      </c>
      <c r="L460" s="199" t="s">
        <v>112</v>
      </c>
      <c r="M460" s="199" t="s">
        <v>113</v>
      </c>
      <c r="N460" s="205" t="s">
        <v>452</v>
      </c>
      <c r="O460" s="204">
        <f>VLOOKUP(N460,RUBROS[#All],3,0)</f>
        <v>62</v>
      </c>
      <c r="P460" s="206" t="str">
        <f>VLOOKUP(N460,RUBROS[#All],2,0)</f>
        <v>Apoyo técnico a atletas y para-atletas que representan en alto rendimiento deportivo al departamento de Antioquia. - Servicios para la comunidad, sociales y personales</v>
      </c>
      <c r="Q460" s="199" t="str">
        <f t="shared" si="65"/>
        <v>84</v>
      </c>
      <c r="R460" s="199" t="str">
        <f t="shared" si="66"/>
        <v>0-205400</v>
      </c>
      <c r="S460" s="207">
        <v>294</v>
      </c>
      <c r="T460" s="208" t="s">
        <v>220</v>
      </c>
      <c r="U460" s="209" t="e">
        <f ca="1">_xlfn.XLOOKUP(PAA[[#This Row],[ITEM]],Contrato!A:A,Contrato!Q:Q,"",0)</f>
        <v>#NAME?</v>
      </c>
      <c r="V460" s="199" t="s">
        <v>47</v>
      </c>
      <c r="W460" s="199" t="s">
        <v>154</v>
      </c>
      <c r="X460" s="199" t="s">
        <v>154</v>
      </c>
      <c r="Y460" s="210" t="e">
        <f ca="1">_xlfn.XLOOKUP(PAA[[#This Row],[ITEM]],Contrato!A:A,Contrato!B:B,"",0)</f>
        <v>#NAME?</v>
      </c>
      <c r="Z460" s="199" t="e">
        <f ca="1">_xlfn.XLOOKUP(PAA[[#This Row],[ITEM]],Contrato!A:A,Contrato!G:G,"",0)</f>
        <v>#NAME?</v>
      </c>
      <c r="AA460" s="199" t="e">
        <f ca="1">_xlfn.XLOOKUP(PAA[[#This Row],[ITEM]],Contrato!A:A,Contrato!T:T,"",0)</f>
        <v>#NAME?</v>
      </c>
      <c r="AB460" s="210" t="e">
        <f ca="1">+MAX(PAA[[#This Row],[Comprometido Contrato]],)</f>
        <v>#NAME?</v>
      </c>
      <c r="AC460" s="210" t="str">
        <f t="shared" ca="1" si="70"/>
        <v/>
      </c>
      <c r="AD460" s="210" t="e">
        <f ca="1">+MAX(PAA[[#This Row],[Pago por Contrato]],)</f>
        <v>#NAME?</v>
      </c>
      <c r="AE460" s="210" t="str">
        <f t="shared" ca="1" si="67"/>
        <v/>
      </c>
      <c r="AF460" s="199" t="e">
        <f t="shared" ca="1" si="68"/>
        <v>#NAME?</v>
      </c>
      <c r="AG460" s="199">
        <f t="shared" si="69"/>
        <v>52010802</v>
      </c>
      <c r="AH460" s="199" t="e" cm="1">
        <f t="array" aca="1" ref="AH460" ca="1">_xlfn.XLOOKUP(PAA[[#This Row],[RCP-RUBRO]],COMPROMISOS_2025[[#All],[concatenado]],COMPROMISOS_2025[[#All],[Total pagado]],"",0)</f>
        <v>#NAME?</v>
      </c>
      <c r="AI460" s="199" t="e" cm="1">
        <f t="array" aca="1" ref="AI460" ca="1">_xlfn.XLOOKUP(PAA[[#This Row],[RCP-RUBRO]],COMPROMISOS_2025[[#All],[concatenado]],COMPROMISOS_2025[[#All],[Total Comprometido]],"",0)</f>
        <v>#NAME?</v>
      </c>
    </row>
    <row r="461" spans="1:35" s="50" customFormat="1" ht="42" hidden="1" customHeight="1" x14ac:dyDescent="0.25">
      <c r="A461" s="199">
        <v>361</v>
      </c>
      <c r="B461" s="200">
        <v>80111600</v>
      </c>
      <c r="C461" s="199" t="str">
        <f>VLOOKUP(PAA[[#This Row],[PROYECTO (formulado)2]],PROYECTOS!$G$1:$L$32,6,0)</f>
        <v>SUBGERENCIA DE ALTOS LOGROS Y DEPORTE ASOCIADO</v>
      </c>
      <c r="D461" s="199" t="str">
        <f>+IF(PAA[[#This Row],[UNIDAD DE CONTRATACION (formulado)]]="Subgerencia Administrativa y Financiera","FUNCIONAMIENTO","INVERSIÓN")</f>
        <v>INVERSIÓN</v>
      </c>
      <c r="E461" s="201" t="str">
        <f>VLOOKUP(Q461,PROYECTOS!$G$1:$K$32,5,0)</f>
        <v>Apoyo técnico a atletas y para-atletas que representan en alto rendimiento deportivo al departamento de Antioquia</v>
      </c>
      <c r="F461" s="201">
        <f>VLOOKUP(E461,PROYECTOS!$K$1:$M$32,3,0)</f>
        <v>2024003050084</v>
      </c>
      <c r="G461" s="202" t="s">
        <v>450</v>
      </c>
      <c r="H461" s="202" t="str">
        <f>VLOOKUP(Q461,PROYECTOS!$V$1:$W$32,2,0)</f>
        <v>050079</v>
      </c>
      <c r="I461" s="203">
        <v>40747479</v>
      </c>
      <c r="J461" s="204" t="s">
        <v>559</v>
      </c>
      <c r="K461" s="199" t="str">
        <f t="shared" ca="1" si="64"/>
        <v>CONTRATADO</v>
      </c>
      <c r="L461" s="199" t="s">
        <v>112</v>
      </c>
      <c r="M461" s="199" t="s">
        <v>113</v>
      </c>
      <c r="N461" s="205" t="s">
        <v>452</v>
      </c>
      <c r="O461" s="204">
        <f>VLOOKUP(N461,RUBROS[#All],3,0)</f>
        <v>62</v>
      </c>
      <c r="P461" s="206" t="str">
        <f>VLOOKUP(N461,RUBROS[#All],2,0)</f>
        <v>Apoyo técnico a atletas y para-atletas que representan en alto rendimiento deportivo al departamento de Antioquia. - Servicios para la comunidad, sociales y personales</v>
      </c>
      <c r="Q461" s="199" t="str">
        <f t="shared" si="65"/>
        <v>84</v>
      </c>
      <c r="R461" s="199" t="str">
        <f t="shared" si="66"/>
        <v>0-205400</v>
      </c>
      <c r="S461" s="207">
        <v>294</v>
      </c>
      <c r="T461" s="208" t="s">
        <v>220</v>
      </c>
      <c r="U461" s="209" t="e">
        <f ca="1">_xlfn.XLOOKUP(PAA[[#This Row],[ITEM]],Contrato!A:A,Contrato!Q:Q,"",0)</f>
        <v>#NAME?</v>
      </c>
      <c r="V461" s="199" t="s">
        <v>47</v>
      </c>
      <c r="W461" s="199" t="s">
        <v>154</v>
      </c>
      <c r="X461" s="199" t="s">
        <v>154</v>
      </c>
      <c r="Y461" s="210" t="e">
        <f ca="1">_xlfn.XLOOKUP(PAA[[#This Row],[ITEM]],Contrato!A:A,Contrato!B:B,"",0)</f>
        <v>#NAME?</v>
      </c>
      <c r="Z461" s="199" t="e">
        <f ca="1">_xlfn.XLOOKUP(PAA[[#This Row],[ITEM]],Contrato!A:A,Contrato!G:G,"",0)</f>
        <v>#NAME?</v>
      </c>
      <c r="AA461" s="199" t="e">
        <f ca="1">_xlfn.XLOOKUP(PAA[[#This Row],[ITEM]],Contrato!A:A,Contrato!T:T,"",0)</f>
        <v>#NAME?</v>
      </c>
      <c r="AB461" s="210" t="e">
        <f ca="1">+MAX(PAA[[#This Row],[Comprometido Contrato]],)</f>
        <v>#NAME?</v>
      </c>
      <c r="AC461" s="210" t="str">
        <f t="shared" ca="1" si="70"/>
        <v/>
      </c>
      <c r="AD461" s="210" t="e">
        <f ca="1">+MAX(PAA[[#This Row],[Pago por Contrato]],)</f>
        <v>#NAME?</v>
      </c>
      <c r="AE461" s="210" t="str">
        <f t="shared" ca="1" si="67"/>
        <v/>
      </c>
      <c r="AF461" s="199" t="e">
        <f t="shared" ca="1" si="68"/>
        <v>#NAME?</v>
      </c>
      <c r="AG461" s="199">
        <f t="shared" si="69"/>
        <v>52010802</v>
      </c>
      <c r="AH461" s="199" t="e" cm="1">
        <f t="array" aca="1" ref="AH461" ca="1">_xlfn.XLOOKUP(PAA[[#This Row],[RCP-RUBRO]],COMPROMISOS_2025[[#All],[concatenado]],COMPROMISOS_2025[[#All],[Total pagado]],"",0)</f>
        <v>#NAME?</v>
      </c>
      <c r="AI461" s="199" t="e" cm="1">
        <f t="array" aca="1" ref="AI461" ca="1">_xlfn.XLOOKUP(PAA[[#This Row],[RCP-RUBRO]],COMPROMISOS_2025[[#All],[concatenado]],COMPROMISOS_2025[[#All],[Total Comprometido]],"",0)</f>
        <v>#NAME?</v>
      </c>
    </row>
    <row r="462" spans="1:35" s="50" customFormat="1" ht="42" hidden="1" customHeight="1" x14ac:dyDescent="0.25">
      <c r="A462" s="199">
        <v>362</v>
      </c>
      <c r="B462" s="200">
        <v>80111600</v>
      </c>
      <c r="C462" s="199" t="str">
        <f>VLOOKUP(PAA[[#This Row],[PROYECTO (formulado)2]],PROYECTOS!$G$1:$L$32,6,0)</f>
        <v>SUBGERENCIA DE ALTOS LOGROS Y DEPORTE ASOCIADO</v>
      </c>
      <c r="D462" s="199" t="str">
        <f>+IF(PAA[[#This Row],[UNIDAD DE CONTRATACION (formulado)]]="Subgerencia Administrativa y Financiera","FUNCIONAMIENTO","INVERSIÓN")</f>
        <v>INVERSIÓN</v>
      </c>
      <c r="E462" s="201" t="str">
        <f>VLOOKUP(Q462,PROYECTOS!$G$1:$K$32,5,0)</f>
        <v>Apoyo técnico a atletas y para-atletas que representan en alto rendimiento deportivo al departamento de Antioquia</v>
      </c>
      <c r="F462" s="201">
        <f>VLOOKUP(E462,PROYECTOS!$K$1:$M$32,3,0)</f>
        <v>2024003050084</v>
      </c>
      <c r="G462" s="202" t="s">
        <v>450</v>
      </c>
      <c r="H462" s="202" t="str">
        <f>VLOOKUP(Q462,PROYECTOS!$V$1:$W$32,2,0)</f>
        <v>050079</v>
      </c>
      <c r="I462" s="203">
        <v>50609170</v>
      </c>
      <c r="J462" s="204" t="s">
        <v>560</v>
      </c>
      <c r="K462" s="199" t="str">
        <f t="shared" ca="1" si="64"/>
        <v>CONTRATADO</v>
      </c>
      <c r="L462" s="199" t="s">
        <v>112</v>
      </c>
      <c r="M462" s="199" t="s">
        <v>113</v>
      </c>
      <c r="N462" s="205" t="s">
        <v>452</v>
      </c>
      <c r="O462" s="204">
        <f>VLOOKUP(N462,RUBROS[#All],3,0)</f>
        <v>62</v>
      </c>
      <c r="P462" s="206" t="str">
        <f>VLOOKUP(N462,RUBROS[#All],2,0)</f>
        <v>Apoyo técnico a atletas y para-atletas que representan en alto rendimiento deportivo al departamento de Antioquia. - Servicios para la comunidad, sociales y personales</v>
      </c>
      <c r="Q462" s="199" t="str">
        <f t="shared" si="65"/>
        <v>84</v>
      </c>
      <c r="R462" s="199" t="str">
        <f t="shared" si="66"/>
        <v>0-205400</v>
      </c>
      <c r="S462" s="207">
        <v>294</v>
      </c>
      <c r="T462" s="208" t="s">
        <v>220</v>
      </c>
      <c r="U462" s="209" t="e">
        <f ca="1">_xlfn.XLOOKUP(PAA[[#This Row],[ITEM]],Contrato!A:A,Contrato!Q:Q,"",0)</f>
        <v>#NAME?</v>
      </c>
      <c r="V462" s="199" t="s">
        <v>47</v>
      </c>
      <c r="W462" s="199" t="s">
        <v>154</v>
      </c>
      <c r="X462" s="199" t="s">
        <v>154</v>
      </c>
      <c r="Y462" s="210" t="e">
        <f ca="1">_xlfn.XLOOKUP(PAA[[#This Row],[ITEM]],Contrato!A:A,Contrato!B:B,"",0)</f>
        <v>#NAME?</v>
      </c>
      <c r="Z462" s="199" t="e">
        <f ca="1">_xlfn.XLOOKUP(PAA[[#This Row],[ITEM]],Contrato!A:A,Contrato!G:G,"",0)</f>
        <v>#NAME?</v>
      </c>
      <c r="AA462" s="199" t="e">
        <f ca="1">_xlfn.XLOOKUP(PAA[[#This Row],[ITEM]],Contrato!A:A,Contrato!T:T,"",0)</f>
        <v>#NAME?</v>
      </c>
      <c r="AB462" s="210" t="e">
        <f ca="1">+MAX(PAA[[#This Row],[Comprometido Contrato]],)</f>
        <v>#NAME?</v>
      </c>
      <c r="AC462" s="210" t="str">
        <f t="shared" ca="1" si="70"/>
        <v/>
      </c>
      <c r="AD462" s="210" t="e">
        <f ca="1">+MAX(PAA[[#This Row],[Pago por Contrato]],)</f>
        <v>#NAME?</v>
      </c>
      <c r="AE462" s="210" t="str">
        <f t="shared" ca="1" si="67"/>
        <v/>
      </c>
      <c r="AF462" s="199" t="e">
        <f t="shared" ca="1" si="68"/>
        <v>#NAME?</v>
      </c>
      <c r="AG462" s="199">
        <f t="shared" si="69"/>
        <v>52010802</v>
      </c>
      <c r="AH462" s="199" t="e" cm="1">
        <f t="array" aca="1" ref="AH462" ca="1">_xlfn.XLOOKUP(PAA[[#This Row],[RCP-RUBRO]],COMPROMISOS_2025[[#All],[concatenado]],COMPROMISOS_2025[[#All],[Total pagado]],"",0)</f>
        <v>#NAME?</v>
      </c>
      <c r="AI462" s="199" t="e" cm="1">
        <f t="array" aca="1" ref="AI462" ca="1">_xlfn.XLOOKUP(PAA[[#This Row],[RCP-RUBRO]],COMPROMISOS_2025[[#All],[concatenado]],COMPROMISOS_2025[[#All],[Total Comprometido]],"",0)</f>
        <v>#NAME?</v>
      </c>
    </row>
    <row r="463" spans="1:35" s="50" customFormat="1" ht="42" hidden="1" customHeight="1" x14ac:dyDescent="0.25">
      <c r="A463" s="199">
        <v>363</v>
      </c>
      <c r="B463" s="200">
        <v>80111600</v>
      </c>
      <c r="C463" s="199" t="str">
        <f>VLOOKUP(PAA[[#This Row],[PROYECTO (formulado)2]],PROYECTOS!$G$1:$L$32,6,0)</f>
        <v>SUBGERENCIA DE ALTOS LOGROS Y DEPORTE ASOCIADO</v>
      </c>
      <c r="D463" s="199" t="str">
        <f>+IF(PAA[[#This Row],[UNIDAD DE CONTRATACION (formulado)]]="Subgerencia Administrativa y Financiera","FUNCIONAMIENTO","INVERSIÓN")</f>
        <v>INVERSIÓN</v>
      </c>
      <c r="E463" s="201" t="str">
        <f>VLOOKUP(Q463,PROYECTOS!$G$1:$K$32,5,0)</f>
        <v>Apoyo técnico a atletas y para-atletas que representan en alto rendimiento deportivo al departamento de Antioquia</v>
      </c>
      <c r="F463" s="201">
        <f>VLOOKUP(E463,PROYECTOS!$K$1:$M$32,3,0)</f>
        <v>2024003050084</v>
      </c>
      <c r="G463" s="202" t="s">
        <v>450</v>
      </c>
      <c r="H463" s="202" t="str">
        <f>VLOOKUP(Q463,PROYECTOS!$V$1:$W$32,2,0)</f>
        <v>050079</v>
      </c>
      <c r="I463" s="203">
        <v>40747479</v>
      </c>
      <c r="J463" s="204" t="s">
        <v>561</v>
      </c>
      <c r="K463" s="199" t="str">
        <f t="shared" ca="1" si="64"/>
        <v>CONTRATADO</v>
      </c>
      <c r="L463" s="199" t="s">
        <v>112</v>
      </c>
      <c r="M463" s="199" t="s">
        <v>113</v>
      </c>
      <c r="N463" s="205" t="s">
        <v>452</v>
      </c>
      <c r="O463" s="204">
        <f>VLOOKUP(N463,RUBROS[#All],3,0)</f>
        <v>62</v>
      </c>
      <c r="P463" s="206" t="str">
        <f>VLOOKUP(N463,RUBROS[#All],2,0)</f>
        <v>Apoyo técnico a atletas y para-atletas que representan en alto rendimiento deportivo al departamento de Antioquia. - Servicios para la comunidad, sociales y personales</v>
      </c>
      <c r="Q463" s="199" t="str">
        <f t="shared" si="65"/>
        <v>84</v>
      </c>
      <c r="R463" s="199" t="str">
        <f t="shared" si="66"/>
        <v>0-205400</v>
      </c>
      <c r="S463" s="207">
        <v>294</v>
      </c>
      <c r="T463" s="208" t="s">
        <v>220</v>
      </c>
      <c r="U463" s="209" t="e">
        <f ca="1">_xlfn.XLOOKUP(PAA[[#This Row],[ITEM]],Contrato!A:A,Contrato!Q:Q,"",0)</f>
        <v>#NAME?</v>
      </c>
      <c r="V463" s="199" t="s">
        <v>47</v>
      </c>
      <c r="W463" s="199" t="s">
        <v>154</v>
      </c>
      <c r="X463" s="199" t="s">
        <v>154</v>
      </c>
      <c r="Y463" s="210" t="e">
        <f ca="1">_xlfn.XLOOKUP(PAA[[#This Row],[ITEM]],Contrato!A:A,Contrato!B:B,"",0)</f>
        <v>#NAME?</v>
      </c>
      <c r="Z463" s="199" t="e">
        <f ca="1">_xlfn.XLOOKUP(PAA[[#This Row],[ITEM]],Contrato!A:A,Contrato!G:G,"",0)</f>
        <v>#NAME?</v>
      </c>
      <c r="AA463" s="199" t="e">
        <f ca="1">_xlfn.XLOOKUP(PAA[[#This Row],[ITEM]],Contrato!A:A,Contrato!T:T,"",0)</f>
        <v>#NAME?</v>
      </c>
      <c r="AB463" s="210" t="e">
        <f ca="1">+MAX(PAA[[#This Row],[Comprometido Contrato]],)</f>
        <v>#NAME?</v>
      </c>
      <c r="AC463" s="210" t="str">
        <f t="shared" ca="1" si="70"/>
        <v/>
      </c>
      <c r="AD463" s="210" t="e">
        <f ca="1">+MAX(PAA[[#This Row],[Pago por Contrato]],)</f>
        <v>#NAME?</v>
      </c>
      <c r="AE463" s="210" t="str">
        <f t="shared" ca="1" si="67"/>
        <v/>
      </c>
      <c r="AF463" s="199" t="e">
        <f t="shared" ca="1" si="68"/>
        <v>#NAME?</v>
      </c>
      <c r="AG463" s="199">
        <f t="shared" si="69"/>
        <v>52010802</v>
      </c>
      <c r="AH463" s="199" t="e" cm="1">
        <f t="array" aca="1" ref="AH463" ca="1">_xlfn.XLOOKUP(PAA[[#This Row],[RCP-RUBRO]],COMPROMISOS_2025[[#All],[concatenado]],COMPROMISOS_2025[[#All],[Total pagado]],"",0)</f>
        <v>#NAME?</v>
      </c>
      <c r="AI463" s="199" t="e" cm="1">
        <f t="array" aca="1" ref="AI463" ca="1">_xlfn.XLOOKUP(PAA[[#This Row],[RCP-RUBRO]],COMPROMISOS_2025[[#All],[concatenado]],COMPROMISOS_2025[[#All],[Total Comprometido]],"",0)</f>
        <v>#NAME?</v>
      </c>
    </row>
    <row r="464" spans="1:35" s="50" customFormat="1" ht="42" hidden="1" customHeight="1" x14ac:dyDescent="0.25">
      <c r="A464" s="199">
        <v>364</v>
      </c>
      <c r="B464" s="200">
        <v>80111600</v>
      </c>
      <c r="C464" s="199" t="str">
        <f>VLOOKUP(PAA[[#This Row],[PROYECTO (formulado)2]],PROYECTOS!$G$1:$L$32,6,0)</f>
        <v>SUBGERENCIA DE ALTOS LOGROS Y DEPORTE ASOCIADO</v>
      </c>
      <c r="D464" s="199" t="str">
        <f>+IF(PAA[[#This Row],[UNIDAD DE CONTRATACION (formulado)]]="Subgerencia Administrativa y Financiera","FUNCIONAMIENTO","INVERSIÓN")</f>
        <v>INVERSIÓN</v>
      </c>
      <c r="E464" s="201" t="str">
        <f>VLOOKUP(Q464,PROYECTOS!$G$1:$K$32,5,0)</f>
        <v>Apoyo técnico a atletas y para-atletas que representan en alto rendimiento deportivo al departamento de Antioquia</v>
      </c>
      <c r="F464" s="201">
        <f>VLOOKUP(E464,PROYECTOS!$K$1:$M$32,3,0)</f>
        <v>2024003050084</v>
      </c>
      <c r="G464" s="202" t="s">
        <v>450</v>
      </c>
      <c r="H464" s="202" t="str">
        <f>VLOOKUP(Q464,PROYECTOS!$V$1:$W$32,2,0)</f>
        <v>050079</v>
      </c>
      <c r="I464" s="203">
        <v>50609170</v>
      </c>
      <c r="J464" s="204" t="s">
        <v>562</v>
      </c>
      <c r="K464" s="199" t="str">
        <f t="shared" ca="1" si="64"/>
        <v>CONTRATADO</v>
      </c>
      <c r="L464" s="199" t="s">
        <v>112</v>
      </c>
      <c r="M464" s="199" t="s">
        <v>113</v>
      </c>
      <c r="N464" s="205" t="s">
        <v>452</v>
      </c>
      <c r="O464" s="204">
        <f>VLOOKUP(N464,RUBROS[#All],3,0)</f>
        <v>62</v>
      </c>
      <c r="P464" s="206" t="str">
        <f>VLOOKUP(N464,RUBROS[#All],2,0)</f>
        <v>Apoyo técnico a atletas y para-atletas que representan en alto rendimiento deportivo al departamento de Antioquia. - Servicios para la comunidad, sociales y personales</v>
      </c>
      <c r="Q464" s="199" t="str">
        <f t="shared" si="65"/>
        <v>84</v>
      </c>
      <c r="R464" s="199" t="str">
        <f t="shared" si="66"/>
        <v>0-205400</v>
      </c>
      <c r="S464" s="207">
        <v>294</v>
      </c>
      <c r="T464" s="208" t="s">
        <v>220</v>
      </c>
      <c r="U464" s="209" t="e">
        <f ca="1">_xlfn.XLOOKUP(PAA[[#This Row],[ITEM]],Contrato!A:A,Contrato!Q:Q,"",0)</f>
        <v>#NAME?</v>
      </c>
      <c r="V464" s="199" t="s">
        <v>47</v>
      </c>
      <c r="W464" s="199" t="s">
        <v>154</v>
      </c>
      <c r="X464" s="199" t="s">
        <v>154</v>
      </c>
      <c r="Y464" s="210" t="e">
        <f ca="1">_xlfn.XLOOKUP(PAA[[#This Row],[ITEM]],Contrato!A:A,Contrato!B:B,"",0)</f>
        <v>#NAME?</v>
      </c>
      <c r="Z464" s="199" t="e">
        <f ca="1">_xlfn.XLOOKUP(PAA[[#This Row],[ITEM]],Contrato!A:A,Contrato!G:G,"",0)</f>
        <v>#NAME?</v>
      </c>
      <c r="AA464" s="199" t="e">
        <f ca="1">_xlfn.XLOOKUP(PAA[[#This Row],[ITEM]],Contrato!A:A,Contrato!T:T,"",0)</f>
        <v>#NAME?</v>
      </c>
      <c r="AB464" s="210" t="e">
        <f ca="1">+MAX(PAA[[#This Row],[Comprometido Contrato]],)</f>
        <v>#NAME?</v>
      </c>
      <c r="AC464" s="210" t="str">
        <f t="shared" ca="1" si="70"/>
        <v/>
      </c>
      <c r="AD464" s="210" t="e">
        <f ca="1">+MAX(PAA[[#This Row],[Pago por Contrato]],)</f>
        <v>#NAME?</v>
      </c>
      <c r="AE464" s="210" t="str">
        <f t="shared" ca="1" si="67"/>
        <v/>
      </c>
      <c r="AF464" s="199" t="e">
        <f t="shared" ca="1" si="68"/>
        <v>#NAME?</v>
      </c>
      <c r="AG464" s="199">
        <f t="shared" si="69"/>
        <v>52010802</v>
      </c>
      <c r="AH464" s="199" t="e" cm="1">
        <f t="array" aca="1" ref="AH464" ca="1">_xlfn.XLOOKUP(PAA[[#This Row],[RCP-RUBRO]],COMPROMISOS_2025[[#All],[concatenado]],COMPROMISOS_2025[[#All],[Total pagado]],"",0)</f>
        <v>#NAME?</v>
      </c>
      <c r="AI464" s="199" t="e" cm="1">
        <f t="array" aca="1" ref="AI464" ca="1">_xlfn.XLOOKUP(PAA[[#This Row],[RCP-RUBRO]],COMPROMISOS_2025[[#All],[concatenado]],COMPROMISOS_2025[[#All],[Total Comprometido]],"",0)</f>
        <v>#NAME?</v>
      </c>
    </row>
    <row r="465" spans="1:35" s="50" customFormat="1" ht="42" hidden="1" customHeight="1" x14ac:dyDescent="0.25">
      <c r="A465" s="199">
        <v>365</v>
      </c>
      <c r="B465" s="200">
        <v>80111600</v>
      </c>
      <c r="C465" s="199" t="str">
        <f>VLOOKUP(PAA[[#This Row],[PROYECTO (formulado)2]],PROYECTOS!$G$1:$L$32,6,0)</f>
        <v>SUBGERENCIA DE ALTOS LOGROS Y DEPORTE ASOCIADO</v>
      </c>
      <c r="D465" s="199" t="str">
        <f>+IF(PAA[[#This Row],[UNIDAD DE CONTRATACION (formulado)]]="Subgerencia Administrativa y Financiera","FUNCIONAMIENTO","INVERSIÓN")</f>
        <v>INVERSIÓN</v>
      </c>
      <c r="E465" s="201" t="str">
        <f>VLOOKUP(Q465,PROYECTOS!$G$1:$K$32,5,0)</f>
        <v>Apoyo técnico a atletas y para-atletas que representan en alto rendimiento deportivo al departamento de Antioquia</v>
      </c>
      <c r="F465" s="201">
        <f>VLOOKUP(E465,PROYECTOS!$K$1:$M$32,3,0)</f>
        <v>2024003050084</v>
      </c>
      <c r="G465" s="202" t="s">
        <v>450</v>
      </c>
      <c r="H465" s="202" t="str">
        <f>VLOOKUP(Q465,PROYECTOS!$V$1:$W$32,2,0)</f>
        <v>050079</v>
      </c>
      <c r="I465" s="203">
        <v>61147776</v>
      </c>
      <c r="J465" s="204" t="s">
        <v>563</v>
      </c>
      <c r="K465" s="199" t="str">
        <f t="shared" ca="1" si="64"/>
        <v>CONTRATADO</v>
      </c>
      <c r="L465" s="199" t="s">
        <v>112</v>
      </c>
      <c r="M465" s="199" t="s">
        <v>113</v>
      </c>
      <c r="N465" s="205" t="s">
        <v>452</v>
      </c>
      <c r="O465" s="204">
        <f>VLOOKUP(N465,RUBROS[#All],3,0)</f>
        <v>62</v>
      </c>
      <c r="P465" s="206" t="str">
        <f>VLOOKUP(N465,RUBROS[#All],2,0)</f>
        <v>Apoyo técnico a atletas y para-atletas que representan en alto rendimiento deportivo al departamento de Antioquia. - Servicios para la comunidad, sociales y personales</v>
      </c>
      <c r="Q465" s="199" t="str">
        <f t="shared" si="65"/>
        <v>84</v>
      </c>
      <c r="R465" s="199" t="str">
        <f t="shared" si="66"/>
        <v>0-205400</v>
      </c>
      <c r="S465" s="207">
        <v>294</v>
      </c>
      <c r="T465" s="208" t="s">
        <v>220</v>
      </c>
      <c r="U465" s="209" t="e">
        <f ca="1">_xlfn.XLOOKUP(PAA[[#This Row],[ITEM]],Contrato!A:A,Contrato!Q:Q,"",0)</f>
        <v>#NAME?</v>
      </c>
      <c r="V465" s="199" t="s">
        <v>47</v>
      </c>
      <c r="W465" s="199" t="s">
        <v>154</v>
      </c>
      <c r="X465" s="199" t="s">
        <v>154</v>
      </c>
      <c r="Y465" s="210" t="e">
        <f ca="1">_xlfn.XLOOKUP(PAA[[#This Row],[ITEM]],Contrato!A:A,Contrato!B:B,"",0)</f>
        <v>#NAME?</v>
      </c>
      <c r="Z465" s="199" t="e">
        <f ca="1">_xlfn.XLOOKUP(PAA[[#This Row],[ITEM]],Contrato!A:A,Contrato!G:G,"",0)</f>
        <v>#NAME?</v>
      </c>
      <c r="AA465" s="199" t="e">
        <f ca="1">_xlfn.XLOOKUP(PAA[[#This Row],[ITEM]],Contrato!A:A,Contrato!T:T,"",0)</f>
        <v>#NAME?</v>
      </c>
      <c r="AB465" s="210" t="e">
        <f ca="1">+MAX(PAA[[#This Row],[Comprometido Contrato]],)</f>
        <v>#NAME?</v>
      </c>
      <c r="AC465" s="210" t="str">
        <f t="shared" ca="1" si="70"/>
        <v/>
      </c>
      <c r="AD465" s="210" t="e">
        <f ca="1">+MAX(PAA[[#This Row],[Pago por Contrato]],)</f>
        <v>#NAME?</v>
      </c>
      <c r="AE465" s="210" t="str">
        <f t="shared" ca="1" si="67"/>
        <v/>
      </c>
      <c r="AF465" s="199" t="e">
        <f t="shared" ca="1" si="68"/>
        <v>#NAME?</v>
      </c>
      <c r="AG465" s="199">
        <f t="shared" si="69"/>
        <v>52010802</v>
      </c>
      <c r="AH465" s="199" t="e" cm="1">
        <f t="array" aca="1" ref="AH465" ca="1">_xlfn.XLOOKUP(PAA[[#This Row],[RCP-RUBRO]],COMPROMISOS_2025[[#All],[concatenado]],COMPROMISOS_2025[[#All],[Total pagado]],"",0)</f>
        <v>#NAME?</v>
      </c>
      <c r="AI465" s="199" t="e" cm="1">
        <f t="array" aca="1" ref="AI465" ca="1">_xlfn.XLOOKUP(PAA[[#This Row],[RCP-RUBRO]],COMPROMISOS_2025[[#All],[concatenado]],COMPROMISOS_2025[[#All],[Total Comprometido]],"",0)</f>
        <v>#NAME?</v>
      </c>
    </row>
    <row r="466" spans="1:35" s="50" customFormat="1" ht="42" hidden="1" customHeight="1" x14ac:dyDescent="0.25">
      <c r="A466" s="199">
        <v>366</v>
      </c>
      <c r="B466" s="200">
        <v>80111600</v>
      </c>
      <c r="C466" s="199" t="str">
        <f>VLOOKUP(PAA[[#This Row],[PROYECTO (formulado)2]],PROYECTOS!$G$1:$L$32,6,0)</f>
        <v>SUBGERENCIA DE ALTOS LOGROS Y DEPORTE ASOCIADO</v>
      </c>
      <c r="D466" s="199" t="str">
        <f>+IF(PAA[[#This Row],[UNIDAD DE CONTRATACION (formulado)]]="Subgerencia Administrativa y Financiera","FUNCIONAMIENTO","INVERSIÓN")</f>
        <v>INVERSIÓN</v>
      </c>
      <c r="E466" s="201" t="str">
        <f>VLOOKUP(Q466,PROYECTOS!$G$1:$K$32,5,0)</f>
        <v>Apoyo técnico a atletas y para-atletas que representan en alto rendimiento deportivo al departamento de Antioquia</v>
      </c>
      <c r="F466" s="201">
        <f>VLOOKUP(E466,PROYECTOS!$K$1:$M$32,3,0)</f>
        <v>2024003050084</v>
      </c>
      <c r="G466" s="202" t="s">
        <v>450</v>
      </c>
      <c r="H466" s="202" t="str">
        <f>VLOOKUP(Q466,PROYECTOS!$V$1:$W$32,2,0)</f>
        <v>050079</v>
      </c>
      <c r="I466" s="203">
        <v>61147776</v>
      </c>
      <c r="J466" s="204" t="s">
        <v>564</v>
      </c>
      <c r="K466" s="199" t="str">
        <f t="shared" ca="1" si="64"/>
        <v>CONTRATADO</v>
      </c>
      <c r="L466" s="199" t="s">
        <v>112</v>
      </c>
      <c r="M466" s="199" t="s">
        <v>113</v>
      </c>
      <c r="N466" s="205" t="s">
        <v>452</v>
      </c>
      <c r="O466" s="204">
        <f>VLOOKUP(N466,RUBROS[#All],3,0)</f>
        <v>62</v>
      </c>
      <c r="P466" s="206" t="str">
        <f>VLOOKUP(N466,RUBROS[#All],2,0)</f>
        <v>Apoyo técnico a atletas y para-atletas que representan en alto rendimiento deportivo al departamento de Antioquia. - Servicios para la comunidad, sociales y personales</v>
      </c>
      <c r="Q466" s="199" t="str">
        <f t="shared" si="65"/>
        <v>84</v>
      </c>
      <c r="R466" s="199" t="str">
        <f t="shared" si="66"/>
        <v>0-205400</v>
      </c>
      <c r="S466" s="207">
        <v>294</v>
      </c>
      <c r="T466" s="208" t="s">
        <v>220</v>
      </c>
      <c r="U466" s="209" t="e">
        <f ca="1">_xlfn.XLOOKUP(PAA[[#This Row],[ITEM]],Contrato!A:A,Contrato!Q:Q,"",0)</f>
        <v>#NAME?</v>
      </c>
      <c r="V466" s="199" t="s">
        <v>47</v>
      </c>
      <c r="W466" s="199" t="s">
        <v>154</v>
      </c>
      <c r="X466" s="199" t="s">
        <v>154</v>
      </c>
      <c r="Y466" s="210" t="e">
        <f ca="1">_xlfn.XLOOKUP(PAA[[#This Row],[ITEM]],Contrato!A:A,Contrato!B:B,"",0)</f>
        <v>#NAME?</v>
      </c>
      <c r="Z466" s="199" t="e">
        <f ca="1">_xlfn.XLOOKUP(PAA[[#This Row],[ITEM]],Contrato!A:A,Contrato!G:G,"",0)</f>
        <v>#NAME?</v>
      </c>
      <c r="AA466" s="199" t="e">
        <f ca="1">_xlfn.XLOOKUP(PAA[[#This Row],[ITEM]],Contrato!A:A,Contrato!T:T,"",0)</f>
        <v>#NAME?</v>
      </c>
      <c r="AB466" s="210" t="e">
        <f ca="1">+MAX(PAA[[#This Row],[Comprometido Contrato]],)</f>
        <v>#NAME?</v>
      </c>
      <c r="AC466" s="210" t="str">
        <f t="shared" ca="1" si="70"/>
        <v/>
      </c>
      <c r="AD466" s="210" t="e">
        <f ca="1">+MAX(PAA[[#This Row],[Pago por Contrato]],)</f>
        <v>#NAME?</v>
      </c>
      <c r="AE466" s="210" t="str">
        <f t="shared" ca="1" si="67"/>
        <v/>
      </c>
      <c r="AF466" s="199" t="e">
        <f t="shared" ca="1" si="68"/>
        <v>#NAME?</v>
      </c>
      <c r="AG466" s="199">
        <f t="shared" si="69"/>
        <v>52010802</v>
      </c>
      <c r="AH466" s="199" t="e" cm="1">
        <f t="array" aca="1" ref="AH466" ca="1">_xlfn.XLOOKUP(PAA[[#This Row],[RCP-RUBRO]],COMPROMISOS_2025[[#All],[concatenado]],COMPROMISOS_2025[[#All],[Total pagado]],"",0)</f>
        <v>#NAME?</v>
      </c>
      <c r="AI466" s="199" t="e" cm="1">
        <f t="array" aca="1" ref="AI466" ca="1">_xlfn.XLOOKUP(PAA[[#This Row],[RCP-RUBRO]],COMPROMISOS_2025[[#All],[concatenado]],COMPROMISOS_2025[[#All],[Total Comprometido]],"",0)</f>
        <v>#NAME?</v>
      </c>
    </row>
    <row r="467" spans="1:35" s="50" customFormat="1" ht="42" hidden="1" customHeight="1" x14ac:dyDescent="0.25">
      <c r="A467" s="199">
        <v>367</v>
      </c>
      <c r="B467" s="200">
        <v>80111600</v>
      </c>
      <c r="C467" s="199" t="str">
        <f>VLOOKUP(PAA[[#This Row],[PROYECTO (formulado)2]],PROYECTOS!$G$1:$L$32,6,0)</f>
        <v>SUBGERENCIA DE ALTOS LOGROS Y DEPORTE ASOCIADO</v>
      </c>
      <c r="D467" s="199" t="str">
        <f>+IF(PAA[[#This Row],[UNIDAD DE CONTRATACION (formulado)]]="Subgerencia Administrativa y Financiera","FUNCIONAMIENTO","INVERSIÓN")</f>
        <v>INVERSIÓN</v>
      </c>
      <c r="E467" s="201" t="str">
        <f>VLOOKUP(Q467,PROYECTOS!$G$1:$K$32,5,0)</f>
        <v>Apoyo técnico a atletas y para-atletas que representan en alto rendimiento deportivo al departamento de Antioquia</v>
      </c>
      <c r="F467" s="201">
        <f>VLOOKUP(E467,PROYECTOS!$K$1:$M$32,3,0)</f>
        <v>2024003050084</v>
      </c>
      <c r="G467" s="202" t="s">
        <v>450</v>
      </c>
      <c r="H467" s="202" t="str">
        <f>VLOOKUP(Q467,PROYECTOS!$V$1:$W$32,2,0)</f>
        <v>050079</v>
      </c>
      <c r="I467" s="203">
        <v>40747479</v>
      </c>
      <c r="J467" s="204" t="s">
        <v>565</v>
      </c>
      <c r="K467" s="199" t="str">
        <f t="shared" ca="1" si="64"/>
        <v>CONTRATADO</v>
      </c>
      <c r="L467" s="199" t="s">
        <v>112</v>
      </c>
      <c r="M467" s="199" t="s">
        <v>113</v>
      </c>
      <c r="N467" s="205" t="s">
        <v>452</v>
      </c>
      <c r="O467" s="204">
        <f>VLOOKUP(N467,RUBROS[#All],3,0)</f>
        <v>62</v>
      </c>
      <c r="P467" s="206" t="str">
        <f>VLOOKUP(N467,RUBROS[#All],2,0)</f>
        <v>Apoyo técnico a atletas y para-atletas que representan en alto rendimiento deportivo al departamento de Antioquia. - Servicios para la comunidad, sociales y personales</v>
      </c>
      <c r="Q467" s="199" t="str">
        <f t="shared" si="65"/>
        <v>84</v>
      </c>
      <c r="R467" s="199" t="str">
        <f t="shared" si="66"/>
        <v>0-205400</v>
      </c>
      <c r="S467" s="207">
        <v>294</v>
      </c>
      <c r="T467" s="208" t="s">
        <v>220</v>
      </c>
      <c r="U467" s="209" t="e">
        <f ca="1">_xlfn.XLOOKUP(PAA[[#This Row],[ITEM]],Contrato!A:A,Contrato!Q:Q,"",0)</f>
        <v>#NAME?</v>
      </c>
      <c r="V467" s="199" t="s">
        <v>47</v>
      </c>
      <c r="W467" s="199" t="s">
        <v>154</v>
      </c>
      <c r="X467" s="199" t="s">
        <v>154</v>
      </c>
      <c r="Y467" s="210" t="e">
        <f ca="1">_xlfn.XLOOKUP(PAA[[#This Row],[ITEM]],Contrato!A:A,Contrato!B:B,"",0)</f>
        <v>#NAME?</v>
      </c>
      <c r="Z467" s="199" t="e">
        <f ca="1">_xlfn.XLOOKUP(PAA[[#This Row],[ITEM]],Contrato!A:A,Contrato!G:G,"",0)</f>
        <v>#NAME?</v>
      </c>
      <c r="AA467" s="199" t="e">
        <f ca="1">_xlfn.XLOOKUP(PAA[[#This Row],[ITEM]],Contrato!A:A,Contrato!T:T,"",0)</f>
        <v>#NAME?</v>
      </c>
      <c r="AB467" s="210" t="e">
        <f ca="1">+MAX(PAA[[#This Row],[Comprometido Contrato]],)</f>
        <v>#NAME?</v>
      </c>
      <c r="AC467" s="210" t="str">
        <f t="shared" ca="1" si="70"/>
        <v/>
      </c>
      <c r="AD467" s="210" t="e">
        <f ca="1">+MAX(PAA[[#This Row],[Pago por Contrato]],)</f>
        <v>#NAME?</v>
      </c>
      <c r="AE467" s="210" t="str">
        <f t="shared" ca="1" si="67"/>
        <v/>
      </c>
      <c r="AF467" s="199" t="e">
        <f t="shared" ca="1" si="68"/>
        <v>#NAME?</v>
      </c>
      <c r="AG467" s="199">
        <f t="shared" si="69"/>
        <v>52010802</v>
      </c>
      <c r="AH467" s="199" t="e" cm="1">
        <f t="array" aca="1" ref="AH467" ca="1">_xlfn.XLOOKUP(PAA[[#This Row],[RCP-RUBRO]],COMPROMISOS_2025[[#All],[concatenado]],COMPROMISOS_2025[[#All],[Total pagado]],"",0)</f>
        <v>#NAME?</v>
      </c>
      <c r="AI467" s="199" t="e" cm="1">
        <f t="array" aca="1" ref="AI467" ca="1">_xlfn.XLOOKUP(PAA[[#This Row],[RCP-RUBRO]],COMPROMISOS_2025[[#All],[concatenado]],COMPROMISOS_2025[[#All],[Total Comprometido]],"",0)</f>
        <v>#NAME?</v>
      </c>
    </row>
    <row r="468" spans="1:35" s="50" customFormat="1" ht="42" hidden="1" customHeight="1" x14ac:dyDescent="0.25">
      <c r="A468" s="199">
        <v>368</v>
      </c>
      <c r="B468" s="200">
        <v>80111600</v>
      </c>
      <c r="C468" s="199" t="str">
        <f>VLOOKUP(PAA[[#This Row],[PROYECTO (formulado)2]],PROYECTOS!$G$1:$L$32,6,0)</f>
        <v>SUBGERENCIA DE ALTOS LOGROS Y DEPORTE ASOCIADO</v>
      </c>
      <c r="D468" s="199" t="str">
        <f>+IF(PAA[[#This Row],[UNIDAD DE CONTRATACION (formulado)]]="Subgerencia Administrativa y Financiera","FUNCIONAMIENTO","INVERSIÓN")</f>
        <v>INVERSIÓN</v>
      </c>
      <c r="E468" s="201" t="str">
        <f>VLOOKUP(Q468,PROYECTOS!$G$1:$K$32,5,0)</f>
        <v>Apoyo técnico a atletas y para-atletas que representan en alto rendimiento deportivo al departamento de Antioquia</v>
      </c>
      <c r="F468" s="201">
        <f>VLOOKUP(E468,PROYECTOS!$K$1:$M$32,3,0)</f>
        <v>2024003050084</v>
      </c>
      <c r="G468" s="202" t="s">
        <v>450</v>
      </c>
      <c r="H468" s="202" t="str">
        <f>VLOOKUP(Q468,PROYECTOS!$V$1:$W$32,2,0)</f>
        <v>050079</v>
      </c>
      <c r="I468" s="203">
        <v>40747479</v>
      </c>
      <c r="J468" s="204" t="s">
        <v>566</v>
      </c>
      <c r="K468" s="199" t="str">
        <f t="shared" ca="1" si="64"/>
        <v>CONTRATADO</v>
      </c>
      <c r="L468" s="199" t="s">
        <v>112</v>
      </c>
      <c r="M468" s="199" t="s">
        <v>113</v>
      </c>
      <c r="N468" s="205" t="s">
        <v>452</v>
      </c>
      <c r="O468" s="204">
        <f>VLOOKUP(N468,RUBROS[#All],3,0)</f>
        <v>62</v>
      </c>
      <c r="P468" s="206" t="str">
        <f>VLOOKUP(N468,RUBROS[#All],2,0)</f>
        <v>Apoyo técnico a atletas y para-atletas que representan en alto rendimiento deportivo al departamento de Antioquia. - Servicios para la comunidad, sociales y personales</v>
      </c>
      <c r="Q468" s="199" t="str">
        <f t="shared" si="65"/>
        <v>84</v>
      </c>
      <c r="R468" s="199" t="str">
        <f t="shared" si="66"/>
        <v>0-205400</v>
      </c>
      <c r="S468" s="207">
        <v>294</v>
      </c>
      <c r="T468" s="208" t="s">
        <v>220</v>
      </c>
      <c r="U468" s="209" t="e">
        <f ca="1">_xlfn.XLOOKUP(PAA[[#This Row],[ITEM]],Contrato!A:A,Contrato!Q:Q,"",0)</f>
        <v>#NAME?</v>
      </c>
      <c r="V468" s="199" t="s">
        <v>47</v>
      </c>
      <c r="W468" s="199" t="s">
        <v>154</v>
      </c>
      <c r="X468" s="199" t="s">
        <v>154</v>
      </c>
      <c r="Y468" s="210" t="e">
        <f ca="1">_xlfn.XLOOKUP(PAA[[#This Row],[ITEM]],Contrato!A:A,Contrato!B:B,"",0)</f>
        <v>#NAME?</v>
      </c>
      <c r="Z468" s="199" t="e">
        <f ca="1">_xlfn.XLOOKUP(PAA[[#This Row],[ITEM]],Contrato!A:A,Contrato!G:G,"",0)</f>
        <v>#NAME?</v>
      </c>
      <c r="AA468" s="199" t="e">
        <f ca="1">_xlfn.XLOOKUP(PAA[[#This Row],[ITEM]],Contrato!A:A,Contrato!T:T,"",0)</f>
        <v>#NAME?</v>
      </c>
      <c r="AB468" s="210" t="e">
        <f ca="1">+MAX(PAA[[#This Row],[Comprometido Contrato]],)</f>
        <v>#NAME?</v>
      </c>
      <c r="AC468" s="210" t="str">
        <f t="shared" ca="1" si="70"/>
        <v/>
      </c>
      <c r="AD468" s="210" t="e">
        <f ca="1">+MAX(PAA[[#This Row],[Pago por Contrato]],)</f>
        <v>#NAME?</v>
      </c>
      <c r="AE468" s="210" t="str">
        <f t="shared" ca="1" si="67"/>
        <v/>
      </c>
      <c r="AF468" s="199" t="e">
        <f t="shared" ca="1" si="68"/>
        <v>#NAME?</v>
      </c>
      <c r="AG468" s="199">
        <f t="shared" si="69"/>
        <v>52010802</v>
      </c>
      <c r="AH468" s="199" t="e" cm="1">
        <f t="array" aca="1" ref="AH468" ca="1">_xlfn.XLOOKUP(PAA[[#This Row],[RCP-RUBRO]],COMPROMISOS_2025[[#All],[concatenado]],COMPROMISOS_2025[[#All],[Total pagado]],"",0)</f>
        <v>#NAME?</v>
      </c>
      <c r="AI468" s="199" t="e" cm="1">
        <f t="array" aca="1" ref="AI468" ca="1">_xlfn.XLOOKUP(PAA[[#This Row],[RCP-RUBRO]],COMPROMISOS_2025[[#All],[concatenado]],COMPROMISOS_2025[[#All],[Total Comprometido]],"",0)</f>
        <v>#NAME?</v>
      </c>
    </row>
    <row r="469" spans="1:35" s="50" customFormat="1" ht="42" hidden="1" customHeight="1" x14ac:dyDescent="0.25">
      <c r="A469" s="199">
        <v>369</v>
      </c>
      <c r="B469" s="200">
        <v>80111600</v>
      </c>
      <c r="C469" s="199" t="str">
        <f>VLOOKUP(PAA[[#This Row],[PROYECTO (formulado)2]],PROYECTOS!$G$1:$L$32,6,0)</f>
        <v>SUBGERENCIA DE ALTOS LOGROS Y DEPORTE ASOCIADO</v>
      </c>
      <c r="D469" s="199" t="str">
        <f>+IF(PAA[[#This Row],[UNIDAD DE CONTRATACION (formulado)]]="Subgerencia Administrativa y Financiera","FUNCIONAMIENTO","INVERSIÓN")</f>
        <v>INVERSIÓN</v>
      </c>
      <c r="E469" s="201" t="str">
        <f>VLOOKUP(Q469,PROYECTOS!$G$1:$K$32,5,0)</f>
        <v>Apoyo técnico a atletas y para-atletas que representan en alto rendimiento deportivo al departamento de Antioquia</v>
      </c>
      <c r="F469" s="201">
        <f>VLOOKUP(E469,PROYECTOS!$K$1:$M$32,3,0)</f>
        <v>2024003050084</v>
      </c>
      <c r="G469" s="202" t="s">
        <v>450</v>
      </c>
      <c r="H469" s="202" t="str">
        <f>VLOOKUP(Q469,PROYECTOS!$V$1:$W$32,2,0)</f>
        <v>050079</v>
      </c>
      <c r="I469" s="203">
        <v>40747479</v>
      </c>
      <c r="J469" s="204" t="s">
        <v>567</v>
      </c>
      <c r="K469" s="199" t="str">
        <f t="shared" ca="1" si="64"/>
        <v>CONTRATADO</v>
      </c>
      <c r="L469" s="199" t="s">
        <v>112</v>
      </c>
      <c r="M469" s="199" t="s">
        <v>113</v>
      </c>
      <c r="N469" s="205" t="s">
        <v>452</v>
      </c>
      <c r="O469" s="204">
        <f>VLOOKUP(N469,RUBROS[#All],3,0)</f>
        <v>62</v>
      </c>
      <c r="P469" s="206" t="str">
        <f>VLOOKUP(N469,RUBROS[#All],2,0)</f>
        <v>Apoyo técnico a atletas y para-atletas que representan en alto rendimiento deportivo al departamento de Antioquia. - Servicios para la comunidad, sociales y personales</v>
      </c>
      <c r="Q469" s="199" t="str">
        <f t="shared" si="65"/>
        <v>84</v>
      </c>
      <c r="R469" s="199" t="str">
        <f t="shared" si="66"/>
        <v>0-205400</v>
      </c>
      <c r="S469" s="207">
        <v>294</v>
      </c>
      <c r="T469" s="208" t="s">
        <v>220</v>
      </c>
      <c r="U469" s="209" t="e">
        <f ca="1">_xlfn.XLOOKUP(PAA[[#This Row],[ITEM]],Contrato!A:A,Contrato!Q:Q,"",0)</f>
        <v>#NAME?</v>
      </c>
      <c r="V469" s="199" t="s">
        <v>47</v>
      </c>
      <c r="W469" s="199" t="s">
        <v>154</v>
      </c>
      <c r="X469" s="199" t="s">
        <v>154</v>
      </c>
      <c r="Y469" s="210" t="e">
        <f ca="1">_xlfn.XLOOKUP(PAA[[#This Row],[ITEM]],Contrato!A:A,Contrato!B:B,"",0)</f>
        <v>#NAME?</v>
      </c>
      <c r="Z469" s="199" t="e">
        <f ca="1">_xlfn.XLOOKUP(PAA[[#This Row],[ITEM]],Contrato!A:A,Contrato!G:G,"",0)</f>
        <v>#NAME?</v>
      </c>
      <c r="AA469" s="199" t="e">
        <f ca="1">_xlfn.XLOOKUP(PAA[[#This Row],[ITEM]],Contrato!A:A,Contrato!T:T,"",0)</f>
        <v>#NAME?</v>
      </c>
      <c r="AB469" s="210" t="e">
        <f ca="1">+MAX(PAA[[#This Row],[Comprometido Contrato]],)</f>
        <v>#NAME?</v>
      </c>
      <c r="AC469" s="210" t="str">
        <f t="shared" ca="1" si="70"/>
        <v/>
      </c>
      <c r="AD469" s="210" t="e">
        <f ca="1">+MAX(PAA[[#This Row],[Pago por Contrato]],)</f>
        <v>#NAME?</v>
      </c>
      <c r="AE469" s="210" t="str">
        <f t="shared" ca="1" si="67"/>
        <v/>
      </c>
      <c r="AF469" s="199" t="e">
        <f t="shared" ca="1" si="68"/>
        <v>#NAME?</v>
      </c>
      <c r="AG469" s="199">
        <f t="shared" si="69"/>
        <v>52010802</v>
      </c>
      <c r="AH469" s="199" t="e" cm="1">
        <f t="array" aca="1" ref="AH469" ca="1">_xlfn.XLOOKUP(PAA[[#This Row],[RCP-RUBRO]],COMPROMISOS_2025[[#All],[concatenado]],COMPROMISOS_2025[[#All],[Total pagado]],"",0)</f>
        <v>#NAME?</v>
      </c>
      <c r="AI469" s="199" t="e" cm="1">
        <f t="array" aca="1" ref="AI469" ca="1">_xlfn.XLOOKUP(PAA[[#This Row],[RCP-RUBRO]],COMPROMISOS_2025[[#All],[concatenado]],COMPROMISOS_2025[[#All],[Total Comprometido]],"",0)</f>
        <v>#NAME?</v>
      </c>
    </row>
    <row r="470" spans="1:35" s="50" customFormat="1" ht="42" hidden="1" customHeight="1" x14ac:dyDescent="0.25">
      <c r="A470" s="199">
        <v>370</v>
      </c>
      <c r="B470" s="200">
        <v>80111600</v>
      </c>
      <c r="C470" s="199" t="str">
        <f>VLOOKUP(PAA[[#This Row],[PROYECTO (formulado)2]],PROYECTOS!$G$1:$L$32,6,0)</f>
        <v>SUBGERENCIA DE ALTOS LOGROS Y DEPORTE ASOCIADO</v>
      </c>
      <c r="D470" s="199" t="str">
        <f>+IF(PAA[[#This Row],[UNIDAD DE CONTRATACION (formulado)]]="Subgerencia Administrativa y Financiera","FUNCIONAMIENTO","INVERSIÓN")</f>
        <v>INVERSIÓN</v>
      </c>
      <c r="E470" s="201" t="str">
        <f>VLOOKUP(Q470,PROYECTOS!$G$1:$K$32,5,0)</f>
        <v>Apoyo técnico a atletas y para-atletas que representan en alto rendimiento deportivo al departamento de Antioquia</v>
      </c>
      <c r="F470" s="201">
        <f>VLOOKUP(E470,PROYECTOS!$K$1:$M$32,3,0)</f>
        <v>2024003050084</v>
      </c>
      <c r="G470" s="202" t="s">
        <v>450</v>
      </c>
      <c r="H470" s="202" t="str">
        <f>VLOOKUP(Q470,PROYECTOS!$V$1:$W$32,2,0)</f>
        <v>050079</v>
      </c>
      <c r="I470" s="203">
        <v>26545593</v>
      </c>
      <c r="J470" s="204" t="s">
        <v>568</v>
      </c>
      <c r="K470" s="199" t="str">
        <f t="shared" ca="1" si="64"/>
        <v>CONTRATADO</v>
      </c>
      <c r="L470" s="199" t="s">
        <v>112</v>
      </c>
      <c r="M470" s="199" t="s">
        <v>113</v>
      </c>
      <c r="N470" s="205" t="s">
        <v>452</v>
      </c>
      <c r="O470" s="204">
        <f>VLOOKUP(N470,RUBROS[#All],3,0)</f>
        <v>62</v>
      </c>
      <c r="P470" s="206" t="str">
        <f>VLOOKUP(N470,RUBROS[#All],2,0)</f>
        <v>Apoyo técnico a atletas y para-atletas que representan en alto rendimiento deportivo al departamento de Antioquia. - Servicios para la comunidad, sociales y personales</v>
      </c>
      <c r="Q470" s="199" t="str">
        <f t="shared" si="65"/>
        <v>84</v>
      </c>
      <c r="R470" s="199" t="str">
        <f t="shared" si="66"/>
        <v>0-205400</v>
      </c>
      <c r="S470" s="207">
        <v>294</v>
      </c>
      <c r="T470" s="208" t="s">
        <v>220</v>
      </c>
      <c r="U470" s="209" t="e">
        <f ca="1">_xlfn.XLOOKUP(PAA[[#This Row],[ITEM]],Contrato!A:A,Contrato!Q:Q,"",0)</f>
        <v>#NAME?</v>
      </c>
      <c r="V470" s="199" t="s">
        <v>47</v>
      </c>
      <c r="W470" s="199" t="s">
        <v>154</v>
      </c>
      <c r="X470" s="199" t="s">
        <v>154</v>
      </c>
      <c r="Y470" s="210" t="e">
        <f ca="1">_xlfn.XLOOKUP(PAA[[#This Row],[ITEM]],Contrato!A:A,Contrato!B:B,"",0)</f>
        <v>#NAME?</v>
      </c>
      <c r="Z470" s="199" t="e">
        <f ca="1">_xlfn.XLOOKUP(PAA[[#This Row],[ITEM]],Contrato!A:A,Contrato!G:G,"",0)</f>
        <v>#NAME?</v>
      </c>
      <c r="AA470" s="199" t="e">
        <f ca="1">_xlfn.XLOOKUP(PAA[[#This Row],[ITEM]],Contrato!A:A,Contrato!T:T,"",0)</f>
        <v>#NAME?</v>
      </c>
      <c r="AB470" s="210" t="e">
        <f ca="1">+MAX(PAA[[#This Row],[Comprometido Contrato]],)</f>
        <v>#NAME?</v>
      </c>
      <c r="AC470" s="210" t="str">
        <f t="shared" ca="1" si="70"/>
        <v/>
      </c>
      <c r="AD470" s="210" t="e">
        <f ca="1">+MAX(PAA[[#This Row],[Pago por Contrato]],)</f>
        <v>#NAME?</v>
      </c>
      <c r="AE470" s="210" t="str">
        <f t="shared" ca="1" si="67"/>
        <v/>
      </c>
      <c r="AF470" s="199" t="e">
        <f t="shared" ca="1" si="68"/>
        <v>#NAME?</v>
      </c>
      <c r="AG470" s="199">
        <f t="shared" si="69"/>
        <v>52010802</v>
      </c>
      <c r="AH470" s="199" t="e" cm="1">
        <f t="array" aca="1" ref="AH470" ca="1">_xlfn.XLOOKUP(PAA[[#This Row],[RCP-RUBRO]],COMPROMISOS_2025[[#All],[concatenado]],COMPROMISOS_2025[[#All],[Total pagado]],"",0)</f>
        <v>#NAME?</v>
      </c>
      <c r="AI470" s="199" t="e" cm="1">
        <f t="array" aca="1" ref="AI470" ca="1">_xlfn.XLOOKUP(PAA[[#This Row],[RCP-RUBRO]],COMPROMISOS_2025[[#All],[concatenado]],COMPROMISOS_2025[[#All],[Total Comprometido]],"",0)</f>
        <v>#NAME?</v>
      </c>
    </row>
    <row r="471" spans="1:35" s="50" customFormat="1" ht="42" hidden="1" customHeight="1" x14ac:dyDescent="0.25">
      <c r="A471" s="199">
        <v>371</v>
      </c>
      <c r="B471" s="200">
        <v>80111600</v>
      </c>
      <c r="C471" s="199" t="str">
        <f>VLOOKUP(PAA[[#This Row],[PROYECTO (formulado)2]],PROYECTOS!$G$1:$L$32,6,0)</f>
        <v>SUBGERENCIA DE ALTOS LOGROS Y DEPORTE ASOCIADO</v>
      </c>
      <c r="D471" s="199" t="str">
        <f>+IF(PAA[[#This Row],[UNIDAD DE CONTRATACION (formulado)]]="Subgerencia Administrativa y Financiera","FUNCIONAMIENTO","INVERSIÓN")</f>
        <v>INVERSIÓN</v>
      </c>
      <c r="E471" s="201" t="str">
        <f>VLOOKUP(Q471,PROYECTOS!$G$1:$K$32,5,0)</f>
        <v>Apoyo técnico a atletas y para-atletas que representan en alto rendimiento deportivo al departamento de Antioquia</v>
      </c>
      <c r="F471" s="201">
        <f>VLOOKUP(E471,PROYECTOS!$K$1:$M$32,3,0)</f>
        <v>2024003050084</v>
      </c>
      <c r="G471" s="202" t="s">
        <v>450</v>
      </c>
      <c r="H471" s="202" t="str">
        <f>VLOOKUP(Q471,PROYECTOS!$V$1:$W$32,2,0)</f>
        <v>050079</v>
      </c>
      <c r="I471" s="203">
        <v>40747479</v>
      </c>
      <c r="J471" s="204" t="s">
        <v>569</v>
      </c>
      <c r="K471" s="199" t="str">
        <f t="shared" ca="1" si="64"/>
        <v>CONTRATADO</v>
      </c>
      <c r="L471" s="199" t="s">
        <v>112</v>
      </c>
      <c r="M471" s="199" t="s">
        <v>113</v>
      </c>
      <c r="N471" s="205" t="s">
        <v>452</v>
      </c>
      <c r="O471" s="204">
        <f>VLOOKUP(N471,RUBROS[#All],3,0)</f>
        <v>62</v>
      </c>
      <c r="P471" s="206" t="str">
        <f>VLOOKUP(N471,RUBROS[#All],2,0)</f>
        <v>Apoyo técnico a atletas y para-atletas que representan en alto rendimiento deportivo al departamento de Antioquia. - Servicios para la comunidad, sociales y personales</v>
      </c>
      <c r="Q471" s="199" t="str">
        <f t="shared" si="65"/>
        <v>84</v>
      </c>
      <c r="R471" s="199" t="str">
        <f t="shared" si="66"/>
        <v>0-205400</v>
      </c>
      <c r="S471" s="207">
        <v>294</v>
      </c>
      <c r="T471" s="208" t="s">
        <v>220</v>
      </c>
      <c r="U471" s="209" t="e">
        <f ca="1">_xlfn.XLOOKUP(PAA[[#This Row],[ITEM]],Contrato!A:A,Contrato!Q:Q,"",0)</f>
        <v>#NAME?</v>
      </c>
      <c r="V471" s="199" t="s">
        <v>47</v>
      </c>
      <c r="W471" s="199" t="s">
        <v>154</v>
      </c>
      <c r="X471" s="199" t="s">
        <v>154</v>
      </c>
      <c r="Y471" s="210" t="e">
        <f ca="1">_xlfn.XLOOKUP(PAA[[#This Row],[ITEM]],Contrato!A:A,Contrato!B:B,"",0)</f>
        <v>#NAME?</v>
      </c>
      <c r="Z471" s="199" t="e">
        <f ca="1">_xlfn.XLOOKUP(PAA[[#This Row],[ITEM]],Contrato!A:A,Contrato!G:G,"",0)</f>
        <v>#NAME?</v>
      </c>
      <c r="AA471" s="199" t="e">
        <f ca="1">_xlfn.XLOOKUP(PAA[[#This Row],[ITEM]],Contrato!A:A,Contrato!T:T,"",0)</f>
        <v>#NAME?</v>
      </c>
      <c r="AB471" s="210" t="e">
        <f ca="1">+MAX(PAA[[#This Row],[Comprometido Contrato]],)</f>
        <v>#NAME?</v>
      </c>
      <c r="AC471" s="210" t="str">
        <f t="shared" ca="1" si="70"/>
        <v/>
      </c>
      <c r="AD471" s="210" t="e">
        <f ca="1">+MAX(PAA[[#This Row],[Pago por Contrato]],)</f>
        <v>#NAME?</v>
      </c>
      <c r="AE471" s="210" t="str">
        <f t="shared" ca="1" si="67"/>
        <v/>
      </c>
      <c r="AF471" s="199" t="e">
        <f t="shared" ca="1" si="68"/>
        <v>#NAME?</v>
      </c>
      <c r="AG471" s="199">
        <f t="shared" si="69"/>
        <v>52010802</v>
      </c>
      <c r="AH471" s="199" t="e" cm="1">
        <f t="array" aca="1" ref="AH471" ca="1">_xlfn.XLOOKUP(PAA[[#This Row],[RCP-RUBRO]],COMPROMISOS_2025[[#All],[concatenado]],COMPROMISOS_2025[[#All],[Total pagado]],"",0)</f>
        <v>#NAME?</v>
      </c>
      <c r="AI471" s="199" t="e" cm="1">
        <f t="array" aca="1" ref="AI471" ca="1">_xlfn.XLOOKUP(PAA[[#This Row],[RCP-RUBRO]],COMPROMISOS_2025[[#All],[concatenado]],COMPROMISOS_2025[[#All],[Total Comprometido]],"",0)</f>
        <v>#NAME?</v>
      </c>
    </row>
    <row r="472" spans="1:35" s="50" customFormat="1" ht="42" hidden="1" customHeight="1" x14ac:dyDescent="0.25">
      <c r="A472" s="199">
        <v>372</v>
      </c>
      <c r="B472" s="200">
        <v>80111600</v>
      </c>
      <c r="C472" s="199" t="str">
        <f>VLOOKUP(PAA[[#This Row],[PROYECTO (formulado)2]],PROYECTOS!$G$1:$L$32,6,0)</f>
        <v>SUBGERENCIA DE ALTOS LOGROS Y DEPORTE ASOCIADO</v>
      </c>
      <c r="D472" s="199" t="str">
        <f>+IF(PAA[[#This Row],[UNIDAD DE CONTRATACION (formulado)]]="Subgerencia Administrativa y Financiera","FUNCIONAMIENTO","INVERSIÓN")</f>
        <v>INVERSIÓN</v>
      </c>
      <c r="E472" s="201" t="str">
        <f>VLOOKUP(Q472,PROYECTOS!$G$1:$K$32,5,0)</f>
        <v>Apoyo técnico a atletas y para-atletas que representan en alto rendimiento deportivo al departamento de Antioquia</v>
      </c>
      <c r="F472" s="201">
        <f>VLOOKUP(E472,PROYECTOS!$K$1:$M$32,3,0)</f>
        <v>2024003050084</v>
      </c>
      <c r="G472" s="202" t="s">
        <v>450</v>
      </c>
      <c r="H472" s="202" t="str">
        <f>VLOOKUP(Q472,PROYECTOS!$V$1:$W$32,2,0)</f>
        <v>050079</v>
      </c>
      <c r="I472" s="203">
        <v>26545593</v>
      </c>
      <c r="J472" s="204" t="s">
        <v>570</v>
      </c>
      <c r="K472" s="199" t="str">
        <f t="shared" ca="1" si="64"/>
        <v>CONTRATADO</v>
      </c>
      <c r="L472" s="199" t="s">
        <v>112</v>
      </c>
      <c r="M472" s="199" t="s">
        <v>113</v>
      </c>
      <c r="N472" s="205" t="s">
        <v>452</v>
      </c>
      <c r="O472" s="204">
        <f>VLOOKUP(N472,RUBROS[#All],3,0)</f>
        <v>62</v>
      </c>
      <c r="P472" s="206" t="str">
        <f>VLOOKUP(N472,RUBROS[#All],2,0)</f>
        <v>Apoyo técnico a atletas y para-atletas que representan en alto rendimiento deportivo al departamento de Antioquia. - Servicios para la comunidad, sociales y personales</v>
      </c>
      <c r="Q472" s="199" t="str">
        <f t="shared" si="65"/>
        <v>84</v>
      </c>
      <c r="R472" s="199" t="str">
        <f t="shared" si="66"/>
        <v>0-205400</v>
      </c>
      <c r="S472" s="207">
        <v>294</v>
      </c>
      <c r="T472" s="208" t="s">
        <v>220</v>
      </c>
      <c r="U472" s="209" t="e">
        <f ca="1">_xlfn.XLOOKUP(PAA[[#This Row],[ITEM]],Contrato!A:A,Contrato!Q:Q,"",0)</f>
        <v>#NAME?</v>
      </c>
      <c r="V472" s="199" t="s">
        <v>47</v>
      </c>
      <c r="W472" s="199" t="s">
        <v>154</v>
      </c>
      <c r="X472" s="199" t="s">
        <v>154</v>
      </c>
      <c r="Y472" s="210" t="e">
        <f ca="1">_xlfn.XLOOKUP(PAA[[#This Row],[ITEM]],Contrato!A:A,Contrato!B:B,"",0)</f>
        <v>#NAME?</v>
      </c>
      <c r="Z472" s="199" t="e">
        <f ca="1">_xlfn.XLOOKUP(PAA[[#This Row],[ITEM]],Contrato!A:A,Contrato!G:G,"",0)</f>
        <v>#NAME?</v>
      </c>
      <c r="AA472" s="199" t="e">
        <f ca="1">_xlfn.XLOOKUP(PAA[[#This Row],[ITEM]],Contrato!A:A,Contrato!T:T,"",0)</f>
        <v>#NAME?</v>
      </c>
      <c r="AB472" s="210" t="e">
        <f ca="1">+MAX(PAA[[#This Row],[Comprometido Contrato]],)</f>
        <v>#NAME?</v>
      </c>
      <c r="AC472" s="210" t="str">
        <f t="shared" ca="1" si="70"/>
        <v/>
      </c>
      <c r="AD472" s="210" t="e">
        <f ca="1">+MAX(PAA[[#This Row],[Pago por Contrato]],)</f>
        <v>#NAME?</v>
      </c>
      <c r="AE472" s="210" t="str">
        <f t="shared" ca="1" si="67"/>
        <v/>
      </c>
      <c r="AF472" s="199" t="e">
        <f t="shared" ca="1" si="68"/>
        <v>#NAME?</v>
      </c>
      <c r="AG472" s="199">
        <f t="shared" si="69"/>
        <v>52010802</v>
      </c>
      <c r="AH472" s="199" t="e" cm="1">
        <f t="array" aca="1" ref="AH472" ca="1">_xlfn.XLOOKUP(PAA[[#This Row],[RCP-RUBRO]],COMPROMISOS_2025[[#All],[concatenado]],COMPROMISOS_2025[[#All],[Total pagado]],"",0)</f>
        <v>#NAME?</v>
      </c>
      <c r="AI472" s="199" t="e" cm="1">
        <f t="array" aca="1" ref="AI472" ca="1">_xlfn.XLOOKUP(PAA[[#This Row],[RCP-RUBRO]],COMPROMISOS_2025[[#All],[concatenado]],COMPROMISOS_2025[[#All],[Total Comprometido]],"",0)</f>
        <v>#NAME?</v>
      </c>
    </row>
    <row r="473" spans="1:35" s="50" customFormat="1" ht="42" hidden="1" customHeight="1" x14ac:dyDescent="0.25">
      <c r="A473" s="199">
        <v>373</v>
      </c>
      <c r="B473" s="200">
        <v>80111600</v>
      </c>
      <c r="C473" s="199" t="str">
        <f>VLOOKUP(PAA[[#This Row],[PROYECTO (formulado)2]],PROYECTOS!$G$1:$L$32,6,0)</f>
        <v>SUBGERENCIA DE ALTOS LOGROS Y DEPORTE ASOCIADO</v>
      </c>
      <c r="D473" s="199" t="str">
        <f>+IF(PAA[[#This Row],[UNIDAD DE CONTRATACION (formulado)]]="Subgerencia Administrativa y Financiera","FUNCIONAMIENTO","INVERSIÓN")</f>
        <v>INVERSIÓN</v>
      </c>
      <c r="E473" s="201" t="str">
        <f>VLOOKUP(Q473,PROYECTOS!$G$1:$K$32,5,0)</f>
        <v>Apoyo técnico a atletas y para-atletas que representan en alto rendimiento deportivo al departamento de Antioquia</v>
      </c>
      <c r="F473" s="201">
        <f>VLOOKUP(E473,PROYECTOS!$K$1:$M$32,3,0)</f>
        <v>2024003050084</v>
      </c>
      <c r="G473" s="202" t="s">
        <v>450</v>
      </c>
      <c r="H473" s="202" t="str">
        <f>VLOOKUP(Q473,PROYECTOS!$V$1:$W$32,2,0)</f>
        <v>050079</v>
      </c>
      <c r="I473" s="203">
        <v>26545593</v>
      </c>
      <c r="J473" s="204" t="s">
        <v>571</v>
      </c>
      <c r="K473" s="199" t="str">
        <f t="shared" ca="1" si="64"/>
        <v>CONTRATADO</v>
      </c>
      <c r="L473" s="199" t="s">
        <v>112</v>
      </c>
      <c r="M473" s="199" t="s">
        <v>113</v>
      </c>
      <c r="N473" s="205" t="s">
        <v>452</v>
      </c>
      <c r="O473" s="204">
        <f>VLOOKUP(N473,RUBROS[#All],3,0)</f>
        <v>62</v>
      </c>
      <c r="P473" s="206" t="str">
        <f>VLOOKUP(N473,RUBROS[#All],2,0)</f>
        <v>Apoyo técnico a atletas y para-atletas que representan en alto rendimiento deportivo al departamento de Antioquia. - Servicios para la comunidad, sociales y personales</v>
      </c>
      <c r="Q473" s="199" t="str">
        <f t="shared" si="65"/>
        <v>84</v>
      </c>
      <c r="R473" s="199" t="str">
        <f t="shared" si="66"/>
        <v>0-205400</v>
      </c>
      <c r="S473" s="207">
        <v>294</v>
      </c>
      <c r="T473" s="208" t="s">
        <v>220</v>
      </c>
      <c r="U473" s="209" t="e">
        <f ca="1">_xlfn.XLOOKUP(PAA[[#This Row],[ITEM]],Contrato!A:A,Contrato!Q:Q,"",0)</f>
        <v>#NAME?</v>
      </c>
      <c r="V473" s="199" t="s">
        <v>47</v>
      </c>
      <c r="W473" s="199" t="s">
        <v>154</v>
      </c>
      <c r="X473" s="199" t="s">
        <v>154</v>
      </c>
      <c r="Y473" s="210" t="e">
        <f ca="1">_xlfn.XLOOKUP(PAA[[#This Row],[ITEM]],Contrato!A:A,Contrato!B:B,"",0)</f>
        <v>#NAME?</v>
      </c>
      <c r="Z473" s="199" t="e">
        <f ca="1">_xlfn.XLOOKUP(PAA[[#This Row],[ITEM]],Contrato!A:A,Contrato!G:G,"",0)</f>
        <v>#NAME?</v>
      </c>
      <c r="AA473" s="199" t="e">
        <f ca="1">_xlfn.XLOOKUP(PAA[[#This Row],[ITEM]],Contrato!A:A,Contrato!T:T,"",0)</f>
        <v>#NAME?</v>
      </c>
      <c r="AB473" s="210" t="e">
        <f ca="1">+MAX(PAA[[#This Row],[Comprometido Contrato]],)</f>
        <v>#NAME?</v>
      </c>
      <c r="AC473" s="210" t="str">
        <f t="shared" ca="1" si="70"/>
        <v/>
      </c>
      <c r="AD473" s="210" t="e">
        <f ca="1">+MAX(PAA[[#This Row],[Pago por Contrato]],)</f>
        <v>#NAME?</v>
      </c>
      <c r="AE473" s="210" t="str">
        <f t="shared" ca="1" si="67"/>
        <v/>
      </c>
      <c r="AF473" s="199" t="e">
        <f t="shared" ca="1" si="68"/>
        <v>#NAME?</v>
      </c>
      <c r="AG473" s="199">
        <f t="shared" si="69"/>
        <v>52010802</v>
      </c>
      <c r="AH473" s="199" t="e" cm="1">
        <f t="array" aca="1" ref="AH473" ca="1">_xlfn.XLOOKUP(PAA[[#This Row],[RCP-RUBRO]],COMPROMISOS_2025[[#All],[concatenado]],COMPROMISOS_2025[[#All],[Total pagado]],"",0)</f>
        <v>#NAME?</v>
      </c>
      <c r="AI473" s="199" t="e" cm="1">
        <f t="array" aca="1" ref="AI473" ca="1">_xlfn.XLOOKUP(PAA[[#This Row],[RCP-RUBRO]],COMPROMISOS_2025[[#All],[concatenado]],COMPROMISOS_2025[[#All],[Total Comprometido]],"",0)</f>
        <v>#NAME?</v>
      </c>
    </row>
    <row r="474" spans="1:35" s="50" customFormat="1" ht="42" hidden="1" customHeight="1" x14ac:dyDescent="0.25">
      <c r="A474" s="199">
        <v>374</v>
      </c>
      <c r="B474" s="200">
        <v>80111600</v>
      </c>
      <c r="C474" s="199" t="str">
        <f>VLOOKUP(PAA[[#This Row],[PROYECTO (formulado)2]],PROYECTOS!$G$1:$L$32,6,0)</f>
        <v>SUBGERENCIA DE ALTOS LOGROS Y DEPORTE ASOCIADO</v>
      </c>
      <c r="D474" s="199" t="str">
        <f>+IF(PAA[[#This Row],[UNIDAD DE CONTRATACION (formulado)]]="Subgerencia Administrativa y Financiera","FUNCIONAMIENTO","INVERSIÓN")</f>
        <v>INVERSIÓN</v>
      </c>
      <c r="E474" s="201" t="str">
        <f>VLOOKUP(Q474,PROYECTOS!$G$1:$K$32,5,0)</f>
        <v>Apoyo técnico a atletas y para-atletas que representan en alto rendimiento deportivo al departamento de Antioquia</v>
      </c>
      <c r="F474" s="201">
        <f>VLOOKUP(E474,PROYECTOS!$K$1:$M$32,3,0)</f>
        <v>2024003050084</v>
      </c>
      <c r="G474" s="202" t="s">
        <v>450</v>
      </c>
      <c r="H474" s="202" t="str">
        <f>VLOOKUP(Q474,PROYECTOS!$V$1:$W$32,2,0)</f>
        <v>050079</v>
      </c>
      <c r="I474" s="203">
        <v>50609170</v>
      </c>
      <c r="J474" s="204" t="s">
        <v>572</v>
      </c>
      <c r="K474" s="199" t="str">
        <f t="shared" ca="1" si="64"/>
        <v>CONTRATADO</v>
      </c>
      <c r="L474" s="199" t="s">
        <v>112</v>
      </c>
      <c r="M474" s="199" t="s">
        <v>113</v>
      </c>
      <c r="N474" s="205" t="s">
        <v>452</v>
      </c>
      <c r="O474" s="204">
        <f>VLOOKUP(N474,RUBROS[#All],3,0)</f>
        <v>62</v>
      </c>
      <c r="P474" s="206" t="str">
        <f>VLOOKUP(N474,RUBROS[#All],2,0)</f>
        <v>Apoyo técnico a atletas y para-atletas que representan en alto rendimiento deportivo al departamento de Antioquia. - Servicios para la comunidad, sociales y personales</v>
      </c>
      <c r="Q474" s="199" t="str">
        <f t="shared" si="65"/>
        <v>84</v>
      </c>
      <c r="R474" s="199" t="str">
        <f t="shared" si="66"/>
        <v>0-205400</v>
      </c>
      <c r="S474" s="207">
        <v>294</v>
      </c>
      <c r="T474" s="208" t="s">
        <v>220</v>
      </c>
      <c r="U474" s="209" t="e">
        <f ca="1">_xlfn.XLOOKUP(PAA[[#This Row],[ITEM]],Contrato!A:A,Contrato!Q:Q,"",0)</f>
        <v>#NAME?</v>
      </c>
      <c r="V474" s="199" t="s">
        <v>47</v>
      </c>
      <c r="W474" s="199" t="s">
        <v>154</v>
      </c>
      <c r="X474" s="199" t="s">
        <v>154</v>
      </c>
      <c r="Y474" s="210" t="e">
        <f ca="1">_xlfn.XLOOKUP(PAA[[#This Row],[ITEM]],Contrato!A:A,Contrato!B:B,"",0)</f>
        <v>#NAME?</v>
      </c>
      <c r="Z474" s="199" t="e">
        <f ca="1">_xlfn.XLOOKUP(PAA[[#This Row],[ITEM]],Contrato!A:A,Contrato!G:G,"",0)</f>
        <v>#NAME?</v>
      </c>
      <c r="AA474" s="199" t="e">
        <f ca="1">_xlfn.XLOOKUP(PAA[[#This Row],[ITEM]],Contrato!A:A,Contrato!T:T,"",0)</f>
        <v>#NAME?</v>
      </c>
      <c r="AB474" s="210" t="e">
        <f ca="1">+MAX(PAA[[#This Row],[Comprometido Contrato]],)</f>
        <v>#NAME?</v>
      </c>
      <c r="AC474" s="210" t="str">
        <f t="shared" ca="1" si="70"/>
        <v/>
      </c>
      <c r="AD474" s="210" t="e">
        <f ca="1">+MAX(PAA[[#This Row],[Pago por Contrato]],)</f>
        <v>#NAME?</v>
      </c>
      <c r="AE474" s="210" t="str">
        <f t="shared" ca="1" si="67"/>
        <v/>
      </c>
      <c r="AF474" s="199" t="e">
        <f t="shared" ca="1" si="68"/>
        <v>#NAME?</v>
      </c>
      <c r="AG474" s="199">
        <f t="shared" si="69"/>
        <v>52010802</v>
      </c>
      <c r="AH474" s="199" t="e" cm="1">
        <f t="array" aca="1" ref="AH474" ca="1">_xlfn.XLOOKUP(PAA[[#This Row],[RCP-RUBRO]],COMPROMISOS_2025[[#All],[concatenado]],COMPROMISOS_2025[[#All],[Total pagado]],"",0)</f>
        <v>#NAME?</v>
      </c>
      <c r="AI474" s="199" t="e" cm="1">
        <f t="array" aca="1" ref="AI474" ca="1">_xlfn.XLOOKUP(PAA[[#This Row],[RCP-RUBRO]],COMPROMISOS_2025[[#All],[concatenado]],COMPROMISOS_2025[[#All],[Total Comprometido]],"",0)</f>
        <v>#NAME?</v>
      </c>
    </row>
    <row r="475" spans="1:35" s="50" customFormat="1" ht="42" hidden="1" customHeight="1" x14ac:dyDescent="0.25">
      <c r="A475" s="199">
        <v>375</v>
      </c>
      <c r="B475" s="200">
        <v>80111600</v>
      </c>
      <c r="C475" s="199" t="str">
        <f>VLOOKUP(PAA[[#This Row],[PROYECTO (formulado)2]],PROYECTOS!$G$1:$L$32,6,0)</f>
        <v>SUBGERENCIA DE ALTOS LOGROS Y DEPORTE ASOCIADO</v>
      </c>
      <c r="D475" s="199" t="str">
        <f>+IF(PAA[[#This Row],[UNIDAD DE CONTRATACION (formulado)]]="Subgerencia Administrativa y Financiera","FUNCIONAMIENTO","INVERSIÓN")</f>
        <v>INVERSIÓN</v>
      </c>
      <c r="E475" s="201" t="str">
        <f>VLOOKUP(Q475,PROYECTOS!$G$1:$K$32,5,0)</f>
        <v>Apoyo técnico a atletas y para-atletas que representan en alto rendimiento deportivo al departamento de Antioquia</v>
      </c>
      <c r="F475" s="201">
        <f>VLOOKUP(E475,PROYECTOS!$K$1:$M$32,3,0)</f>
        <v>2024003050084</v>
      </c>
      <c r="G475" s="202" t="s">
        <v>450</v>
      </c>
      <c r="H475" s="202" t="str">
        <f>VLOOKUP(Q475,PROYECTOS!$V$1:$W$32,2,0)</f>
        <v>050079</v>
      </c>
      <c r="I475" s="203">
        <v>50609170</v>
      </c>
      <c r="J475" s="204" t="s">
        <v>573</v>
      </c>
      <c r="K475" s="199" t="str">
        <f t="shared" ca="1" si="64"/>
        <v>CONTRATADO</v>
      </c>
      <c r="L475" s="199" t="s">
        <v>112</v>
      </c>
      <c r="M475" s="199" t="s">
        <v>113</v>
      </c>
      <c r="N475" s="205" t="s">
        <v>452</v>
      </c>
      <c r="O475" s="204">
        <f>VLOOKUP(N475,RUBROS[#All],3,0)</f>
        <v>62</v>
      </c>
      <c r="P475" s="206" t="str">
        <f>VLOOKUP(N475,RUBROS[#All],2,0)</f>
        <v>Apoyo técnico a atletas y para-atletas que representan en alto rendimiento deportivo al departamento de Antioquia. - Servicios para la comunidad, sociales y personales</v>
      </c>
      <c r="Q475" s="199" t="str">
        <f t="shared" si="65"/>
        <v>84</v>
      </c>
      <c r="R475" s="199" t="str">
        <f t="shared" si="66"/>
        <v>0-205400</v>
      </c>
      <c r="S475" s="207">
        <v>294</v>
      </c>
      <c r="T475" s="208" t="s">
        <v>220</v>
      </c>
      <c r="U475" s="209" t="e">
        <f ca="1">_xlfn.XLOOKUP(PAA[[#This Row],[ITEM]],Contrato!A:A,Contrato!Q:Q,"",0)</f>
        <v>#NAME?</v>
      </c>
      <c r="V475" s="199" t="s">
        <v>47</v>
      </c>
      <c r="W475" s="199" t="s">
        <v>154</v>
      </c>
      <c r="X475" s="199" t="s">
        <v>154</v>
      </c>
      <c r="Y475" s="210" t="e">
        <f ca="1">_xlfn.XLOOKUP(PAA[[#This Row],[ITEM]],Contrato!A:A,Contrato!B:B,"",0)</f>
        <v>#NAME?</v>
      </c>
      <c r="Z475" s="199" t="e">
        <f ca="1">_xlfn.XLOOKUP(PAA[[#This Row],[ITEM]],Contrato!A:A,Contrato!G:G,"",0)</f>
        <v>#NAME?</v>
      </c>
      <c r="AA475" s="199" t="e">
        <f ca="1">_xlfn.XLOOKUP(PAA[[#This Row],[ITEM]],Contrato!A:A,Contrato!T:T,"",0)</f>
        <v>#NAME?</v>
      </c>
      <c r="AB475" s="210" t="e">
        <f ca="1">+MAX(PAA[[#This Row],[Comprometido Contrato]],)</f>
        <v>#NAME?</v>
      </c>
      <c r="AC475" s="210" t="str">
        <f t="shared" ca="1" si="70"/>
        <v/>
      </c>
      <c r="AD475" s="210" t="e">
        <f ca="1">+MAX(PAA[[#This Row],[Pago por Contrato]],)</f>
        <v>#NAME?</v>
      </c>
      <c r="AE475" s="210" t="str">
        <f t="shared" ca="1" si="67"/>
        <v/>
      </c>
      <c r="AF475" s="199" t="e">
        <f t="shared" ca="1" si="68"/>
        <v>#NAME?</v>
      </c>
      <c r="AG475" s="199">
        <f t="shared" si="69"/>
        <v>52010802</v>
      </c>
      <c r="AH475" s="199" t="e" cm="1">
        <f t="array" aca="1" ref="AH475" ca="1">_xlfn.XLOOKUP(PAA[[#This Row],[RCP-RUBRO]],COMPROMISOS_2025[[#All],[concatenado]],COMPROMISOS_2025[[#All],[Total pagado]],"",0)</f>
        <v>#NAME?</v>
      </c>
      <c r="AI475" s="199" t="e" cm="1">
        <f t="array" aca="1" ref="AI475" ca="1">_xlfn.XLOOKUP(PAA[[#This Row],[RCP-RUBRO]],COMPROMISOS_2025[[#All],[concatenado]],COMPROMISOS_2025[[#All],[Total Comprometido]],"",0)</f>
        <v>#NAME?</v>
      </c>
    </row>
    <row r="476" spans="1:35" s="50" customFormat="1" ht="42" hidden="1" customHeight="1" x14ac:dyDescent="0.25">
      <c r="A476" s="199">
        <v>376</v>
      </c>
      <c r="B476" s="200">
        <v>80111600</v>
      </c>
      <c r="C476" s="199" t="str">
        <f>VLOOKUP(PAA[[#This Row],[PROYECTO (formulado)2]],PROYECTOS!$G$1:$L$32,6,0)</f>
        <v>SUBGERENCIA DE ALTOS LOGROS Y DEPORTE ASOCIADO</v>
      </c>
      <c r="D476" s="199" t="str">
        <f>+IF(PAA[[#This Row],[UNIDAD DE CONTRATACION (formulado)]]="Subgerencia Administrativa y Financiera","FUNCIONAMIENTO","INVERSIÓN")</f>
        <v>INVERSIÓN</v>
      </c>
      <c r="E476" s="201" t="str">
        <f>VLOOKUP(Q476,PROYECTOS!$G$1:$K$32,5,0)</f>
        <v>Apoyo técnico a atletas y para-atletas que representan en alto rendimiento deportivo al departamento de Antioquia</v>
      </c>
      <c r="F476" s="201">
        <f>VLOOKUP(E476,PROYECTOS!$K$1:$M$32,3,0)</f>
        <v>2024003050084</v>
      </c>
      <c r="G476" s="202" t="s">
        <v>450</v>
      </c>
      <c r="H476" s="202" t="str">
        <f>VLOOKUP(Q476,PROYECTOS!$V$1:$W$32,2,0)</f>
        <v>050079</v>
      </c>
      <c r="I476" s="203">
        <v>50609170</v>
      </c>
      <c r="J476" s="204" t="s">
        <v>574</v>
      </c>
      <c r="K476" s="199" t="str">
        <f t="shared" ca="1" si="64"/>
        <v>CONTRATADO</v>
      </c>
      <c r="L476" s="199" t="s">
        <v>112</v>
      </c>
      <c r="M476" s="199" t="s">
        <v>113</v>
      </c>
      <c r="N476" s="205" t="s">
        <v>452</v>
      </c>
      <c r="O476" s="204">
        <f>VLOOKUP(N476,RUBROS[#All],3,0)</f>
        <v>62</v>
      </c>
      <c r="P476" s="206" t="str">
        <f>VLOOKUP(N476,RUBROS[#All],2,0)</f>
        <v>Apoyo técnico a atletas y para-atletas que representan en alto rendimiento deportivo al departamento de Antioquia. - Servicios para la comunidad, sociales y personales</v>
      </c>
      <c r="Q476" s="199" t="str">
        <f t="shared" si="65"/>
        <v>84</v>
      </c>
      <c r="R476" s="199" t="str">
        <f t="shared" si="66"/>
        <v>0-205400</v>
      </c>
      <c r="S476" s="207">
        <v>294</v>
      </c>
      <c r="T476" s="208" t="s">
        <v>220</v>
      </c>
      <c r="U476" s="209" t="e">
        <f ca="1">_xlfn.XLOOKUP(PAA[[#This Row],[ITEM]],Contrato!A:A,Contrato!Q:Q,"",0)</f>
        <v>#NAME?</v>
      </c>
      <c r="V476" s="199" t="s">
        <v>47</v>
      </c>
      <c r="W476" s="199" t="s">
        <v>154</v>
      </c>
      <c r="X476" s="199" t="s">
        <v>154</v>
      </c>
      <c r="Y476" s="210" t="e">
        <f ca="1">_xlfn.XLOOKUP(PAA[[#This Row],[ITEM]],Contrato!A:A,Contrato!B:B,"",0)</f>
        <v>#NAME?</v>
      </c>
      <c r="Z476" s="199" t="e">
        <f ca="1">_xlfn.XLOOKUP(PAA[[#This Row],[ITEM]],Contrato!A:A,Contrato!G:G,"",0)</f>
        <v>#NAME?</v>
      </c>
      <c r="AA476" s="199" t="e">
        <f ca="1">_xlfn.XLOOKUP(PAA[[#This Row],[ITEM]],Contrato!A:A,Contrato!T:T,"",0)</f>
        <v>#NAME?</v>
      </c>
      <c r="AB476" s="210" t="e">
        <f ca="1">+MAX(PAA[[#This Row],[Comprometido Contrato]],)</f>
        <v>#NAME?</v>
      </c>
      <c r="AC476" s="210" t="str">
        <f t="shared" ca="1" si="70"/>
        <v/>
      </c>
      <c r="AD476" s="210" t="e">
        <f ca="1">+MAX(PAA[[#This Row],[Pago por Contrato]],)</f>
        <v>#NAME?</v>
      </c>
      <c r="AE476" s="210" t="str">
        <f t="shared" ca="1" si="67"/>
        <v/>
      </c>
      <c r="AF476" s="199" t="e">
        <f t="shared" ca="1" si="68"/>
        <v>#NAME?</v>
      </c>
      <c r="AG476" s="199">
        <f t="shared" si="69"/>
        <v>52010802</v>
      </c>
      <c r="AH476" s="199" t="e" cm="1">
        <f t="array" aca="1" ref="AH476" ca="1">_xlfn.XLOOKUP(PAA[[#This Row],[RCP-RUBRO]],COMPROMISOS_2025[[#All],[concatenado]],COMPROMISOS_2025[[#All],[Total pagado]],"",0)</f>
        <v>#NAME?</v>
      </c>
      <c r="AI476" s="199" t="e" cm="1">
        <f t="array" aca="1" ref="AI476" ca="1">_xlfn.XLOOKUP(PAA[[#This Row],[RCP-RUBRO]],COMPROMISOS_2025[[#All],[concatenado]],COMPROMISOS_2025[[#All],[Total Comprometido]],"",0)</f>
        <v>#NAME?</v>
      </c>
    </row>
    <row r="477" spans="1:35" s="50" customFormat="1" ht="42" hidden="1" customHeight="1" x14ac:dyDescent="0.25">
      <c r="A477" s="199">
        <v>377</v>
      </c>
      <c r="B477" s="200">
        <v>80111600</v>
      </c>
      <c r="C477" s="199" t="str">
        <f>VLOOKUP(PAA[[#This Row],[PROYECTO (formulado)2]],PROYECTOS!$G$1:$L$32,6,0)</f>
        <v>SUBGERENCIA DE ALTOS LOGROS Y DEPORTE ASOCIADO</v>
      </c>
      <c r="D477" s="199" t="str">
        <f>+IF(PAA[[#This Row],[UNIDAD DE CONTRATACION (formulado)]]="Subgerencia Administrativa y Financiera","FUNCIONAMIENTO","INVERSIÓN")</f>
        <v>INVERSIÓN</v>
      </c>
      <c r="E477" s="201" t="str">
        <f>VLOOKUP(Q477,PROYECTOS!$G$1:$K$32,5,0)</f>
        <v>Apoyo técnico a atletas y para-atletas que representan en alto rendimiento deportivo al departamento de Antioquia</v>
      </c>
      <c r="F477" s="201">
        <f>VLOOKUP(E477,PROYECTOS!$K$1:$M$32,3,0)</f>
        <v>2024003050084</v>
      </c>
      <c r="G477" s="202" t="s">
        <v>450</v>
      </c>
      <c r="H477" s="202" t="str">
        <f>VLOOKUP(Q477,PROYECTOS!$V$1:$W$32,2,0)</f>
        <v>050079</v>
      </c>
      <c r="I477" s="203">
        <v>50609170</v>
      </c>
      <c r="J477" s="204" t="s">
        <v>575</v>
      </c>
      <c r="K477" s="199" t="str">
        <f t="shared" ca="1" si="64"/>
        <v>CONTRATADO</v>
      </c>
      <c r="L477" s="199" t="s">
        <v>112</v>
      </c>
      <c r="M477" s="199" t="s">
        <v>113</v>
      </c>
      <c r="N477" s="205" t="s">
        <v>452</v>
      </c>
      <c r="O477" s="204">
        <f>VLOOKUP(N477,RUBROS[#All],3,0)</f>
        <v>62</v>
      </c>
      <c r="P477" s="206" t="str">
        <f>VLOOKUP(N477,RUBROS[#All],2,0)</f>
        <v>Apoyo técnico a atletas y para-atletas que representan en alto rendimiento deportivo al departamento de Antioquia. - Servicios para la comunidad, sociales y personales</v>
      </c>
      <c r="Q477" s="199" t="str">
        <f t="shared" si="65"/>
        <v>84</v>
      </c>
      <c r="R477" s="199" t="str">
        <f t="shared" si="66"/>
        <v>0-205400</v>
      </c>
      <c r="S477" s="207">
        <v>294</v>
      </c>
      <c r="T477" s="208" t="s">
        <v>220</v>
      </c>
      <c r="U477" s="209" t="e">
        <f ca="1">_xlfn.XLOOKUP(PAA[[#This Row],[ITEM]],Contrato!A:A,Contrato!Q:Q,"",0)</f>
        <v>#NAME?</v>
      </c>
      <c r="V477" s="199" t="s">
        <v>47</v>
      </c>
      <c r="W477" s="199" t="s">
        <v>154</v>
      </c>
      <c r="X477" s="199" t="s">
        <v>154</v>
      </c>
      <c r="Y477" s="210" t="e">
        <f ca="1">_xlfn.XLOOKUP(PAA[[#This Row],[ITEM]],Contrato!A:A,Contrato!B:B,"",0)</f>
        <v>#NAME?</v>
      </c>
      <c r="Z477" s="199" t="e">
        <f ca="1">_xlfn.XLOOKUP(PAA[[#This Row],[ITEM]],Contrato!A:A,Contrato!G:G,"",0)</f>
        <v>#NAME?</v>
      </c>
      <c r="AA477" s="199" t="e">
        <f ca="1">_xlfn.XLOOKUP(PAA[[#This Row],[ITEM]],Contrato!A:A,Contrato!T:T,"",0)</f>
        <v>#NAME?</v>
      </c>
      <c r="AB477" s="210" t="e">
        <f ca="1">+MAX(PAA[[#This Row],[Comprometido Contrato]],)</f>
        <v>#NAME?</v>
      </c>
      <c r="AC477" s="210" t="str">
        <f t="shared" ca="1" si="70"/>
        <v/>
      </c>
      <c r="AD477" s="210" t="e">
        <f ca="1">+MAX(PAA[[#This Row],[Pago por Contrato]],)</f>
        <v>#NAME?</v>
      </c>
      <c r="AE477" s="210" t="str">
        <f t="shared" ca="1" si="67"/>
        <v/>
      </c>
      <c r="AF477" s="199" t="e">
        <f t="shared" ca="1" si="68"/>
        <v>#NAME?</v>
      </c>
      <c r="AG477" s="199">
        <f t="shared" si="69"/>
        <v>52010802</v>
      </c>
      <c r="AH477" s="199" t="e" cm="1">
        <f t="array" aca="1" ref="AH477" ca="1">_xlfn.XLOOKUP(PAA[[#This Row],[RCP-RUBRO]],COMPROMISOS_2025[[#All],[concatenado]],COMPROMISOS_2025[[#All],[Total pagado]],"",0)</f>
        <v>#NAME?</v>
      </c>
      <c r="AI477" s="199" t="e" cm="1">
        <f t="array" aca="1" ref="AI477" ca="1">_xlfn.XLOOKUP(PAA[[#This Row],[RCP-RUBRO]],COMPROMISOS_2025[[#All],[concatenado]],COMPROMISOS_2025[[#All],[Total Comprometido]],"",0)</f>
        <v>#NAME?</v>
      </c>
    </row>
    <row r="478" spans="1:35" s="50" customFormat="1" ht="42" hidden="1" customHeight="1" x14ac:dyDescent="0.25">
      <c r="A478" s="199">
        <v>378</v>
      </c>
      <c r="B478" s="200">
        <v>80111600</v>
      </c>
      <c r="C478" s="199" t="str">
        <f>VLOOKUP(PAA[[#This Row],[PROYECTO (formulado)2]],PROYECTOS!$G$1:$L$32,6,0)</f>
        <v>SUBGERENCIA DE ALTOS LOGROS Y DEPORTE ASOCIADO</v>
      </c>
      <c r="D478" s="199" t="str">
        <f>+IF(PAA[[#This Row],[UNIDAD DE CONTRATACION (formulado)]]="Subgerencia Administrativa y Financiera","FUNCIONAMIENTO","INVERSIÓN")</f>
        <v>INVERSIÓN</v>
      </c>
      <c r="E478" s="201" t="str">
        <f>VLOOKUP(Q478,PROYECTOS!$G$1:$K$32,5,0)</f>
        <v>Apoyo técnico a atletas y para-atletas que representan en alto rendimiento deportivo al departamento de Antioquia</v>
      </c>
      <c r="F478" s="201">
        <f>VLOOKUP(E478,PROYECTOS!$K$1:$M$32,3,0)</f>
        <v>2024003050084</v>
      </c>
      <c r="G478" s="202" t="s">
        <v>450</v>
      </c>
      <c r="H478" s="202" t="str">
        <f>VLOOKUP(Q478,PROYECTOS!$V$1:$W$32,2,0)</f>
        <v>050079</v>
      </c>
      <c r="I478" s="203">
        <v>26545593</v>
      </c>
      <c r="J478" s="204" t="s">
        <v>576</v>
      </c>
      <c r="K478" s="199" t="str">
        <f t="shared" ca="1" si="64"/>
        <v>CONTRATADO</v>
      </c>
      <c r="L478" s="199" t="s">
        <v>112</v>
      </c>
      <c r="M478" s="199" t="s">
        <v>113</v>
      </c>
      <c r="N478" s="205" t="s">
        <v>452</v>
      </c>
      <c r="O478" s="204">
        <f>VLOOKUP(N478,RUBROS[#All],3,0)</f>
        <v>62</v>
      </c>
      <c r="P478" s="206" t="str">
        <f>VLOOKUP(N478,RUBROS[#All],2,0)</f>
        <v>Apoyo técnico a atletas y para-atletas que representan en alto rendimiento deportivo al departamento de Antioquia. - Servicios para la comunidad, sociales y personales</v>
      </c>
      <c r="Q478" s="199" t="str">
        <f t="shared" si="65"/>
        <v>84</v>
      </c>
      <c r="R478" s="199" t="str">
        <f t="shared" si="66"/>
        <v>0-205400</v>
      </c>
      <c r="S478" s="207">
        <v>294</v>
      </c>
      <c r="T478" s="208" t="s">
        <v>220</v>
      </c>
      <c r="U478" s="209" t="e">
        <f ca="1">_xlfn.XLOOKUP(PAA[[#This Row],[ITEM]],Contrato!A:A,Contrato!Q:Q,"",0)</f>
        <v>#NAME?</v>
      </c>
      <c r="V478" s="199" t="s">
        <v>47</v>
      </c>
      <c r="W478" s="199" t="s">
        <v>154</v>
      </c>
      <c r="X478" s="199" t="s">
        <v>154</v>
      </c>
      <c r="Y478" s="210" t="e">
        <f ca="1">_xlfn.XLOOKUP(PAA[[#This Row],[ITEM]],Contrato!A:A,Contrato!B:B,"",0)</f>
        <v>#NAME?</v>
      </c>
      <c r="Z478" s="199" t="e">
        <f ca="1">_xlfn.XLOOKUP(PAA[[#This Row],[ITEM]],Contrato!A:A,Contrato!G:G,"",0)</f>
        <v>#NAME?</v>
      </c>
      <c r="AA478" s="199" t="e">
        <f ca="1">_xlfn.XLOOKUP(PAA[[#This Row],[ITEM]],Contrato!A:A,Contrato!T:T,"",0)</f>
        <v>#NAME?</v>
      </c>
      <c r="AB478" s="210" t="e">
        <f ca="1">+MAX(PAA[[#This Row],[Comprometido Contrato]],)</f>
        <v>#NAME?</v>
      </c>
      <c r="AC478" s="210" t="str">
        <f t="shared" ca="1" si="70"/>
        <v/>
      </c>
      <c r="AD478" s="210" t="e">
        <f ca="1">+MAX(PAA[[#This Row],[Pago por Contrato]],)</f>
        <v>#NAME?</v>
      </c>
      <c r="AE478" s="210" t="str">
        <f t="shared" ca="1" si="67"/>
        <v/>
      </c>
      <c r="AF478" s="199" t="e">
        <f t="shared" ca="1" si="68"/>
        <v>#NAME?</v>
      </c>
      <c r="AG478" s="199">
        <f t="shared" si="69"/>
        <v>52010802</v>
      </c>
      <c r="AH478" s="199" t="e" cm="1">
        <f t="array" aca="1" ref="AH478" ca="1">_xlfn.XLOOKUP(PAA[[#This Row],[RCP-RUBRO]],COMPROMISOS_2025[[#All],[concatenado]],COMPROMISOS_2025[[#All],[Total pagado]],"",0)</f>
        <v>#NAME?</v>
      </c>
      <c r="AI478" s="199" t="e" cm="1">
        <f t="array" aca="1" ref="AI478" ca="1">_xlfn.XLOOKUP(PAA[[#This Row],[RCP-RUBRO]],COMPROMISOS_2025[[#All],[concatenado]],COMPROMISOS_2025[[#All],[Total Comprometido]],"",0)</f>
        <v>#NAME?</v>
      </c>
    </row>
    <row r="479" spans="1:35" s="50" customFormat="1" ht="42" hidden="1" customHeight="1" x14ac:dyDescent="0.25">
      <c r="A479" s="199">
        <v>379</v>
      </c>
      <c r="B479" s="200">
        <v>80111600</v>
      </c>
      <c r="C479" s="199" t="str">
        <f>VLOOKUP(PAA[[#This Row],[PROYECTO (formulado)2]],PROYECTOS!$G$1:$L$32,6,0)</f>
        <v>SUBGERENCIA DE ALTOS LOGROS Y DEPORTE ASOCIADO</v>
      </c>
      <c r="D479" s="199" t="str">
        <f>+IF(PAA[[#This Row],[UNIDAD DE CONTRATACION (formulado)]]="Subgerencia Administrativa y Financiera","FUNCIONAMIENTO","INVERSIÓN")</f>
        <v>INVERSIÓN</v>
      </c>
      <c r="E479" s="201" t="str">
        <f>VLOOKUP(Q479,PROYECTOS!$G$1:$K$32,5,0)</f>
        <v>Apoyo técnico a atletas y para-atletas que representan en alto rendimiento deportivo al departamento de Antioquia</v>
      </c>
      <c r="F479" s="201">
        <f>VLOOKUP(E479,PROYECTOS!$K$1:$M$32,3,0)</f>
        <v>2024003050084</v>
      </c>
      <c r="G479" s="202" t="s">
        <v>450</v>
      </c>
      <c r="H479" s="202" t="str">
        <f>VLOOKUP(Q479,PROYECTOS!$V$1:$W$32,2,0)</f>
        <v>050079</v>
      </c>
      <c r="I479" s="203">
        <v>61147776</v>
      </c>
      <c r="J479" s="204" t="s">
        <v>577</v>
      </c>
      <c r="K479" s="199" t="str">
        <f t="shared" ca="1" si="64"/>
        <v>CONTRATADO</v>
      </c>
      <c r="L479" s="199" t="s">
        <v>112</v>
      </c>
      <c r="M479" s="199" t="s">
        <v>113</v>
      </c>
      <c r="N479" s="205" t="s">
        <v>452</v>
      </c>
      <c r="O479" s="204">
        <f>VLOOKUP(N479,RUBROS[#All],3,0)</f>
        <v>62</v>
      </c>
      <c r="P479" s="206" t="str">
        <f>VLOOKUP(N479,RUBROS[#All],2,0)</f>
        <v>Apoyo técnico a atletas y para-atletas que representan en alto rendimiento deportivo al departamento de Antioquia. - Servicios para la comunidad, sociales y personales</v>
      </c>
      <c r="Q479" s="199" t="str">
        <f t="shared" si="65"/>
        <v>84</v>
      </c>
      <c r="R479" s="199" t="str">
        <f t="shared" si="66"/>
        <v>0-205400</v>
      </c>
      <c r="S479" s="207">
        <v>294</v>
      </c>
      <c r="T479" s="208" t="s">
        <v>220</v>
      </c>
      <c r="U479" s="209" t="e">
        <f ca="1">_xlfn.XLOOKUP(PAA[[#This Row],[ITEM]],Contrato!A:A,Contrato!Q:Q,"",0)</f>
        <v>#NAME?</v>
      </c>
      <c r="V479" s="199" t="s">
        <v>47</v>
      </c>
      <c r="W479" s="199" t="s">
        <v>154</v>
      </c>
      <c r="X479" s="199" t="s">
        <v>154</v>
      </c>
      <c r="Y479" s="210" t="e">
        <f ca="1">_xlfn.XLOOKUP(PAA[[#This Row],[ITEM]],Contrato!A:A,Contrato!B:B,"",0)</f>
        <v>#NAME?</v>
      </c>
      <c r="Z479" s="199" t="e">
        <f ca="1">_xlfn.XLOOKUP(PAA[[#This Row],[ITEM]],Contrato!A:A,Contrato!G:G,"",0)</f>
        <v>#NAME?</v>
      </c>
      <c r="AA479" s="199" t="e">
        <f ca="1">_xlfn.XLOOKUP(PAA[[#This Row],[ITEM]],Contrato!A:A,Contrato!T:T,"",0)</f>
        <v>#NAME?</v>
      </c>
      <c r="AB479" s="210" t="e">
        <f ca="1">+MAX(PAA[[#This Row],[Comprometido Contrato]],)</f>
        <v>#NAME?</v>
      </c>
      <c r="AC479" s="210" t="str">
        <f t="shared" ca="1" si="70"/>
        <v/>
      </c>
      <c r="AD479" s="210" t="e">
        <f ca="1">+MAX(PAA[[#This Row],[Pago por Contrato]],)</f>
        <v>#NAME?</v>
      </c>
      <c r="AE479" s="210" t="str">
        <f t="shared" ca="1" si="67"/>
        <v/>
      </c>
      <c r="AF479" s="199" t="e">
        <f t="shared" ca="1" si="68"/>
        <v>#NAME?</v>
      </c>
      <c r="AG479" s="199">
        <f t="shared" si="69"/>
        <v>52010802</v>
      </c>
      <c r="AH479" s="199" t="e" cm="1">
        <f t="array" aca="1" ref="AH479" ca="1">_xlfn.XLOOKUP(PAA[[#This Row],[RCP-RUBRO]],COMPROMISOS_2025[[#All],[concatenado]],COMPROMISOS_2025[[#All],[Total pagado]],"",0)</f>
        <v>#NAME?</v>
      </c>
      <c r="AI479" s="199" t="e" cm="1">
        <f t="array" aca="1" ref="AI479" ca="1">_xlfn.XLOOKUP(PAA[[#This Row],[RCP-RUBRO]],COMPROMISOS_2025[[#All],[concatenado]],COMPROMISOS_2025[[#All],[Total Comprometido]],"",0)</f>
        <v>#NAME?</v>
      </c>
    </row>
    <row r="480" spans="1:35" s="50" customFormat="1" ht="42" hidden="1" customHeight="1" x14ac:dyDescent="0.25">
      <c r="A480" s="199">
        <v>380</v>
      </c>
      <c r="B480" s="200">
        <v>80111600</v>
      </c>
      <c r="C480" s="199" t="str">
        <f>VLOOKUP(PAA[[#This Row],[PROYECTO (formulado)2]],PROYECTOS!$G$1:$L$32,6,0)</f>
        <v>SUBGERENCIA DE ALTOS LOGROS Y DEPORTE ASOCIADO</v>
      </c>
      <c r="D480" s="199" t="str">
        <f>+IF(PAA[[#This Row],[UNIDAD DE CONTRATACION (formulado)]]="Subgerencia Administrativa y Financiera","FUNCIONAMIENTO","INVERSIÓN")</f>
        <v>INVERSIÓN</v>
      </c>
      <c r="E480" s="201" t="str">
        <f>VLOOKUP(Q480,PROYECTOS!$G$1:$K$32,5,0)</f>
        <v>Apoyo técnico a atletas y para-atletas que representan en alto rendimiento deportivo al departamento de Antioquia</v>
      </c>
      <c r="F480" s="201">
        <f>VLOOKUP(E480,PROYECTOS!$K$1:$M$32,3,0)</f>
        <v>2024003050084</v>
      </c>
      <c r="G480" s="202" t="s">
        <v>450</v>
      </c>
      <c r="H480" s="202" t="str">
        <f>VLOOKUP(Q480,PROYECTOS!$V$1:$W$32,2,0)</f>
        <v>050079</v>
      </c>
      <c r="I480" s="203">
        <v>61147776</v>
      </c>
      <c r="J480" s="204" t="s">
        <v>578</v>
      </c>
      <c r="K480" s="199" t="str">
        <f t="shared" ca="1" si="64"/>
        <v>CONTRATADO</v>
      </c>
      <c r="L480" s="199" t="s">
        <v>112</v>
      </c>
      <c r="M480" s="199" t="s">
        <v>113</v>
      </c>
      <c r="N480" s="205" t="s">
        <v>452</v>
      </c>
      <c r="O480" s="204">
        <f>VLOOKUP(N480,RUBROS[#All],3,0)</f>
        <v>62</v>
      </c>
      <c r="P480" s="206" t="str">
        <f>VLOOKUP(N480,RUBROS[#All],2,0)</f>
        <v>Apoyo técnico a atletas y para-atletas que representan en alto rendimiento deportivo al departamento de Antioquia. - Servicios para la comunidad, sociales y personales</v>
      </c>
      <c r="Q480" s="199" t="str">
        <f t="shared" si="65"/>
        <v>84</v>
      </c>
      <c r="R480" s="199" t="str">
        <f t="shared" si="66"/>
        <v>0-205400</v>
      </c>
      <c r="S480" s="207">
        <v>294</v>
      </c>
      <c r="T480" s="208" t="s">
        <v>220</v>
      </c>
      <c r="U480" s="209" t="e">
        <f ca="1">_xlfn.XLOOKUP(PAA[[#This Row],[ITEM]],Contrato!A:A,Contrato!Q:Q,"",0)</f>
        <v>#NAME?</v>
      </c>
      <c r="V480" s="199" t="s">
        <v>47</v>
      </c>
      <c r="W480" s="199" t="s">
        <v>154</v>
      </c>
      <c r="X480" s="199" t="s">
        <v>154</v>
      </c>
      <c r="Y480" s="210" t="e">
        <f ca="1">_xlfn.XLOOKUP(PAA[[#This Row],[ITEM]],Contrato!A:A,Contrato!B:B,"",0)</f>
        <v>#NAME?</v>
      </c>
      <c r="Z480" s="199" t="e">
        <f ca="1">_xlfn.XLOOKUP(PAA[[#This Row],[ITEM]],Contrato!A:A,Contrato!G:G,"",0)</f>
        <v>#NAME?</v>
      </c>
      <c r="AA480" s="199" t="e">
        <f ca="1">_xlfn.XLOOKUP(PAA[[#This Row],[ITEM]],Contrato!A:A,Contrato!T:T,"",0)</f>
        <v>#NAME?</v>
      </c>
      <c r="AB480" s="210" t="e">
        <f ca="1">+MAX(PAA[[#This Row],[Comprometido Contrato]],)</f>
        <v>#NAME?</v>
      </c>
      <c r="AC480" s="210" t="str">
        <f t="shared" ca="1" si="70"/>
        <v/>
      </c>
      <c r="AD480" s="210" t="e">
        <f ca="1">+MAX(PAA[[#This Row],[Pago por Contrato]],)</f>
        <v>#NAME?</v>
      </c>
      <c r="AE480" s="210" t="str">
        <f t="shared" ca="1" si="67"/>
        <v/>
      </c>
      <c r="AF480" s="199" t="e">
        <f t="shared" ca="1" si="68"/>
        <v>#NAME?</v>
      </c>
      <c r="AG480" s="199">
        <f t="shared" si="69"/>
        <v>52010802</v>
      </c>
      <c r="AH480" s="199" t="e" cm="1">
        <f t="array" aca="1" ref="AH480" ca="1">_xlfn.XLOOKUP(PAA[[#This Row],[RCP-RUBRO]],COMPROMISOS_2025[[#All],[concatenado]],COMPROMISOS_2025[[#All],[Total pagado]],"",0)</f>
        <v>#NAME?</v>
      </c>
      <c r="AI480" s="199" t="e" cm="1">
        <f t="array" aca="1" ref="AI480" ca="1">_xlfn.XLOOKUP(PAA[[#This Row],[RCP-RUBRO]],COMPROMISOS_2025[[#All],[concatenado]],COMPROMISOS_2025[[#All],[Total Comprometido]],"",0)</f>
        <v>#NAME?</v>
      </c>
    </row>
    <row r="481" spans="1:35" s="50" customFormat="1" ht="42" hidden="1" customHeight="1" x14ac:dyDescent="0.25">
      <c r="A481" s="199">
        <v>381</v>
      </c>
      <c r="B481" s="200">
        <v>80111600</v>
      </c>
      <c r="C481" s="199" t="str">
        <f>VLOOKUP(PAA[[#This Row],[PROYECTO (formulado)2]],PROYECTOS!$G$1:$L$32,6,0)</f>
        <v>SUBGERENCIA DE ALTOS LOGROS Y DEPORTE ASOCIADO</v>
      </c>
      <c r="D481" s="199" t="str">
        <f>+IF(PAA[[#This Row],[UNIDAD DE CONTRATACION (formulado)]]="Subgerencia Administrativa y Financiera","FUNCIONAMIENTO","INVERSIÓN")</f>
        <v>INVERSIÓN</v>
      </c>
      <c r="E481" s="201" t="str">
        <f>VLOOKUP(Q481,PROYECTOS!$G$1:$K$32,5,0)</f>
        <v>Apoyo técnico a atletas y para-atletas que representan en alto rendimiento deportivo al departamento de Antioquia</v>
      </c>
      <c r="F481" s="201">
        <f>VLOOKUP(E481,PROYECTOS!$K$1:$M$32,3,0)</f>
        <v>2024003050084</v>
      </c>
      <c r="G481" s="202" t="s">
        <v>450</v>
      </c>
      <c r="H481" s="202" t="str">
        <f>VLOOKUP(Q481,PROYECTOS!$V$1:$W$32,2,0)</f>
        <v>050079</v>
      </c>
      <c r="I481" s="203">
        <v>61147776</v>
      </c>
      <c r="J481" s="204" t="s">
        <v>579</v>
      </c>
      <c r="K481" s="199" t="str">
        <f t="shared" ca="1" si="64"/>
        <v>CONTRATADO</v>
      </c>
      <c r="L481" s="199" t="s">
        <v>112</v>
      </c>
      <c r="M481" s="199" t="s">
        <v>113</v>
      </c>
      <c r="N481" s="205" t="s">
        <v>452</v>
      </c>
      <c r="O481" s="204">
        <f>VLOOKUP(N481,RUBROS[#All],3,0)</f>
        <v>62</v>
      </c>
      <c r="P481" s="206" t="str">
        <f>VLOOKUP(N481,RUBROS[#All],2,0)</f>
        <v>Apoyo técnico a atletas y para-atletas que representan en alto rendimiento deportivo al departamento de Antioquia. - Servicios para la comunidad, sociales y personales</v>
      </c>
      <c r="Q481" s="199" t="str">
        <f t="shared" si="65"/>
        <v>84</v>
      </c>
      <c r="R481" s="199" t="str">
        <f t="shared" si="66"/>
        <v>0-205400</v>
      </c>
      <c r="S481" s="207">
        <v>294</v>
      </c>
      <c r="T481" s="208" t="s">
        <v>220</v>
      </c>
      <c r="U481" s="209" t="e">
        <f ca="1">_xlfn.XLOOKUP(PAA[[#This Row],[ITEM]],Contrato!A:A,Contrato!Q:Q,"",0)</f>
        <v>#NAME?</v>
      </c>
      <c r="V481" s="199" t="s">
        <v>47</v>
      </c>
      <c r="W481" s="199" t="s">
        <v>154</v>
      </c>
      <c r="X481" s="199" t="s">
        <v>154</v>
      </c>
      <c r="Y481" s="210" t="e">
        <f ca="1">_xlfn.XLOOKUP(PAA[[#This Row],[ITEM]],Contrato!A:A,Contrato!B:B,"",0)</f>
        <v>#NAME?</v>
      </c>
      <c r="Z481" s="199" t="e">
        <f ca="1">_xlfn.XLOOKUP(PAA[[#This Row],[ITEM]],Contrato!A:A,Contrato!G:G,"",0)</f>
        <v>#NAME?</v>
      </c>
      <c r="AA481" s="199" t="e">
        <f ca="1">_xlfn.XLOOKUP(PAA[[#This Row],[ITEM]],Contrato!A:A,Contrato!T:T,"",0)</f>
        <v>#NAME?</v>
      </c>
      <c r="AB481" s="210" t="e">
        <f ca="1">+MAX(PAA[[#This Row],[Comprometido Contrato]],)</f>
        <v>#NAME?</v>
      </c>
      <c r="AC481" s="210" t="str">
        <f t="shared" ca="1" si="70"/>
        <v/>
      </c>
      <c r="AD481" s="210" t="e">
        <f ca="1">+MAX(PAA[[#This Row],[Pago por Contrato]],)</f>
        <v>#NAME?</v>
      </c>
      <c r="AE481" s="210" t="str">
        <f t="shared" ca="1" si="67"/>
        <v/>
      </c>
      <c r="AF481" s="199" t="e">
        <f t="shared" ca="1" si="68"/>
        <v>#NAME?</v>
      </c>
      <c r="AG481" s="199">
        <f t="shared" si="69"/>
        <v>52010802</v>
      </c>
      <c r="AH481" s="199" t="e" cm="1">
        <f t="array" aca="1" ref="AH481" ca="1">_xlfn.XLOOKUP(PAA[[#This Row],[RCP-RUBRO]],COMPROMISOS_2025[[#All],[concatenado]],COMPROMISOS_2025[[#All],[Total pagado]],"",0)</f>
        <v>#NAME?</v>
      </c>
      <c r="AI481" s="199" t="e" cm="1">
        <f t="array" aca="1" ref="AI481" ca="1">_xlfn.XLOOKUP(PAA[[#This Row],[RCP-RUBRO]],COMPROMISOS_2025[[#All],[concatenado]],COMPROMISOS_2025[[#All],[Total Comprometido]],"",0)</f>
        <v>#NAME?</v>
      </c>
    </row>
    <row r="482" spans="1:35" s="50" customFormat="1" ht="42" hidden="1" customHeight="1" x14ac:dyDescent="0.25">
      <c r="A482" s="199">
        <v>382</v>
      </c>
      <c r="B482" s="200">
        <v>80111600</v>
      </c>
      <c r="C482" s="199" t="str">
        <f>VLOOKUP(PAA[[#This Row],[PROYECTO (formulado)2]],PROYECTOS!$G$1:$L$32,6,0)</f>
        <v>SUBGERENCIA DE ALTOS LOGROS Y DEPORTE ASOCIADO</v>
      </c>
      <c r="D482" s="199" t="str">
        <f>+IF(PAA[[#This Row],[UNIDAD DE CONTRATACION (formulado)]]="Subgerencia Administrativa y Financiera","FUNCIONAMIENTO","INVERSIÓN")</f>
        <v>INVERSIÓN</v>
      </c>
      <c r="E482" s="201" t="str">
        <f>VLOOKUP(Q482,PROYECTOS!$G$1:$K$32,5,0)</f>
        <v>Apoyo técnico a atletas y para-atletas que representan en alto rendimiento deportivo al departamento de Antioquia</v>
      </c>
      <c r="F482" s="201">
        <f>VLOOKUP(E482,PROYECTOS!$K$1:$M$32,3,0)</f>
        <v>2024003050084</v>
      </c>
      <c r="G482" s="202" t="s">
        <v>450</v>
      </c>
      <c r="H482" s="202" t="str">
        <f>VLOOKUP(Q482,PROYECTOS!$V$1:$W$32,2,0)</f>
        <v>050079</v>
      </c>
      <c r="I482" s="203">
        <v>26545593</v>
      </c>
      <c r="J482" s="204" t="s">
        <v>580</v>
      </c>
      <c r="K482" s="199" t="str">
        <f t="shared" ca="1" si="64"/>
        <v>CONTRATADO</v>
      </c>
      <c r="L482" s="199" t="s">
        <v>112</v>
      </c>
      <c r="M482" s="199" t="s">
        <v>113</v>
      </c>
      <c r="N482" s="205" t="s">
        <v>452</v>
      </c>
      <c r="O482" s="204">
        <f>VLOOKUP(N482,RUBROS[#All],3,0)</f>
        <v>62</v>
      </c>
      <c r="P482" s="206" t="str">
        <f>VLOOKUP(N482,RUBROS[#All],2,0)</f>
        <v>Apoyo técnico a atletas y para-atletas que representan en alto rendimiento deportivo al departamento de Antioquia. - Servicios para la comunidad, sociales y personales</v>
      </c>
      <c r="Q482" s="199" t="str">
        <f t="shared" si="65"/>
        <v>84</v>
      </c>
      <c r="R482" s="199" t="str">
        <f t="shared" si="66"/>
        <v>0-205400</v>
      </c>
      <c r="S482" s="207">
        <v>294</v>
      </c>
      <c r="T482" s="208" t="s">
        <v>220</v>
      </c>
      <c r="U482" s="209" t="e">
        <f ca="1">_xlfn.XLOOKUP(PAA[[#This Row],[ITEM]],Contrato!A:A,Contrato!Q:Q,"",0)</f>
        <v>#NAME?</v>
      </c>
      <c r="V482" s="199" t="s">
        <v>47</v>
      </c>
      <c r="W482" s="199" t="s">
        <v>154</v>
      </c>
      <c r="X482" s="199" t="s">
        <v>154</v>
      </c>
      <c r="Y482" s="210" t="e">
        <f ca="1">_xlfn.XLOOKUP(PAA[[#This Row],[ITEM]],Contrato!A:A,Contrato!B:B,"",0)</f>
        <v>#NAME?</v>
      </c>
      <c r="Z482" s="199" t="e">
        <f ca="1">_xlfn.XLOOKUP(PAA[[#This Row],[ITEM]],Contrato!A:A,Contrato!G:G,"",0)</f>
        <v>#NAME?</v>
      </c>
      <c r="AA482" s="199" t="e">
        <f ca="1">_xlfn.XLOOKUP(PAA[[#This Row],[ITEM]],Contrato!A:A,Contrato!T:T,"",0)</f>
        <v>#NAME?</v>
      </c>
      <c r="AB482" s="210" t="e">
        <f ca="1">+MAX(PAA[[#This Row],[Comprometido Contrato]],)</f>
        <v>#NAME?</v>
      </c>
      <c r="AC482" s="210" t="str">
        <f t="shared" ca="1" si="70"/>
        <v/>
      </c>
      <c r="AD482" s="210" t="e">
        <f ca="1">+MAX(PAA[[#This Row],[Pago por Contrato]],)</f>
        <v>#NAME?</v>
      </c>
      <c r="AE482" s="210" t="str">
        <f t="shared" ca="1" si="67"/>
        <v/>
      </c>
      <c r="AF482" s="199" t="e">
        <f t="shared" ca="1" si="68"/>
        <v>#NAME?</v>
      </c>
      <c r="AG482" s="199">
        <f t="shared" si="69"/>
        <v>52010802</v>
      </c>
      <c r="AH482" s="199" t="e" cm="1">
        <f t="array" aca="1" ref="AH482" ca="1">_xlfn.XLOOKUP(PAA[[#This Row],[RCP-RUBRO]],COMPROMISOS_2025[[#All],[concatenado]],COMPROMISOS_2025[[#All],[Total pagado]],"",0)</f>
        <v>#NAME?</v>
      </c>
      <c r="AI482" s="199" t="e" cm="1">
        <f t="array" aca="1" ref="AI482" ca="1">_xlfn.XLOOKUP(PAA[[#This Row],[RCP-RUBRO]],COMPROMISOS_2025[[#All],[concatenado]],COMPROMISOS_2025[[#All],[Total Comprometido]],"",0)</f>
        <v>#NAME?</v>
      </c>
    </row>
    <row r="483" spans="1:35" s="50" customFormat="1" ht="42" hidden="1" customHeight="1" x14ac:dyDescent="0.25">
      <c r="A483" s="199">
        <v>383</v>
      </c>
      <c r="B483" s="200">
        <v>80111600</v>
      </c>
      <c r="C483" s="199" t="str">
        <f>VLOOKUP(PAA[[#This Row],[PROYECTO (formulado)2]],PROYECTOS!$G$1:$L$32,6,0)</f>
        <v>SUBGERENCIA DE ALTOS LOGROS Y DEPORTE ASOCIADO</v>
      </c>
      <c r="D483" s="199" t="str">
        <f>+IF(PAA[[#This Row],[UNIDAD DE CONTRATACION (formulado)]]="Subgerencia Administrativa y Financiera","FUNCIONAMIENTO","INVERSIÓN")</f>
        <v>INVERSIÓN</v>
      </c>
      <c r="E483" s="201" t="str">
        <f>VLOOKUP(Q483,PROYECTOS!$G$1:$K$32,5,0)</f>
        <v>Apoyo técnico a atletas y para-atletas que representan en alto rendimiento deportivo al departamento de Antioquia</v>
      </c>
      <c r="F483" s="201">
        <f>VLOOKUP(E483,PROYECTOS!$K$1:$M$32,3,0)</f>
        <v>2024003050084</v>
      </c>
      <c r="G483" s="202" t="s">
        <v>450</v>
      </c>
      <c r="H483" s="202" t="str">
        <f>VLOOKUP(Q483,PROYECTOS!$V$1:$W$32,2,0)</f>
        <v>050079</v>
      </c>
      <c r="I483" s="203">
        <v>61147776</v>
      </c>
      <c r="J483" s="204" t="s">
        <v>581</v>
      </c>
      <c r="K483" s="199" t="str">
        <f t="shared" ca="1" si="64"/>
        <v>CONTRATADO</v>
      </c>
      <c r="L483" s="199" t="s">
        <v>112</v>
      </c>
      <c r="M483" s="199" t="s">
        <v>113</v>
      </c>
      <c r="N483" s="205" t="s">
        <v>452</v>
      </c>
      <c r="O483" s="204">
        <f>VLOOKUP(N483,RUBROS[#All],3,0)</f>
        <v>62</v>
      </c>
      <c r="P483" s="206" t="str">
        <f>VLOOKUP(N483,RUBROS[#All],2,0)</f>
        <v>Apoyo técnico a atletas y para-atletas que representan en alto rendimiento deportivo al departamento de Antioquia. - Servicios para la comunidad, sociales y personales</v>
      </c>
      <c r="Q483" s="199" t="str">
        <f t="shared" si="65"/>
        <v>84</v>
      </c>
      <c r="R483" s="199" t="str">
        <f t="shared" si="66"/>
        <v>0-205400</v>
      </c>
      <c r="S483" s="207">
        <v>294</v>
      </c>
      <c r="T483" s="208" t="s">
        <v>220</v>
      </c>
      <c r="U483" s="209" t="e">
        <f ca="1">_xlfn.XLOOKUP(PAA[[#This Row],[ITEM]],Contrato!A:A,Contrato!Q:Q,"",0)</f>
        <v>#NAME?</v>
      </c>
      <c r="V483" s="199" t="s">
        <v>47</v>
      </c>
      <c r="W483" s="199" t="s">
        <v>154</v>
      </c>
      <c r="X483" s="199" t="s">
        <v>154</v>
      </c>
      <c r="Y483" s="210" t="e">
        <f ca="1">_xlfn.XLOOKUP(PAA[[#This Row],[ITEM]],Contrato!A:A,Contrato!B:B,"",0)</f>
        <v>#NAME?</v>
      </c>
      <c r="Z483" s="199" t="e">
        <f ca="1">_xlfn.XLOOKUP(PAA[[#This Row],[ITEM]],Contrato!A:A,Contrato!G:G,"",0)</f>
        <v>#NAME?</v>
      </c>
      <c r="AA483" s="199" t="e">
        <f ca="1">_xlfn.XLOOKUP(PAA[[#This Row],[ITEM]],Contrato!A:A,Contrato!T:T,"",0)</f>
        <v>#NAME?</v>
      </c>
      <c r="AB483" s="210" t="e">
        <f ca="1">+MAX(PAA[[#This Row],[Comprometido Contrato]],)</f>
        <v>#NAME?</v>
      </c>
      <c r="AC483" s="210" t="str">
        <f t="shared" ca="1" si="70"/>
        <v/>
      </c>
      <c r="AD483" s="210" t="e">
        <f ca="1">+MAX(PAA[[#This Row],[Pago por Contrato]],)</f>
        <v>#NAME?</v>
      </c>
      <c r="AE483" s="210" t="str">
        <f t="shared" ca="1" si="67"/>
        <v/>
      </c>
      <c r="AF483" s="199" t="e">
        <f t="shared" ca="1" si="68"/>
        <v>#NAME?</v>
      </c>
      <c r="AG483" s="199">
        <f t="shared" si="69"/>
        <v>52010802</v>
      </c>
      <c r="AH483" s="199" t="e" cm="1">
        <f t="array" aca="1" ref="AH483" ca="1">_xlfn.XLOOKUP(PAA[[#This Row],[RCP-RUBRO]],COMPROMISOS_2025[[#All],[concatenado]],COMPROMISOS_2025[[#All],[Total pagado]],"",0)</f>
        <v>#NAME?</v>
      </c>
      <c r="AI483" s="199" t="e" cm="1">
        <f t="array" aca="1" ref="AI483" ca="1">_xlfn.XLOOKUP(PAA[[#This Row],[RCP-RUBRO]],COMPROMISOS_2025[[#All],[concatenado]],COMPROMISOS_2025[[#All],[Total Comprometido]],"",0)</f>
        <v>#NAME?</v>
      </c>
    </row>
    <row r="484" spans="1:35" s="50" customFormat="1" ht="42" hidden="1" customHeight="1" x14ac:dyDescent="0.25">
      <c r="A484" s="199">
        <v>384</v>
      </c>
      <c r="B484" s="200">
        <v>80111600</v>
      </c>
      <c r="C484" s="199" t="str">
        <f>VLOOKUP(PAA[[#This Row],[PROYECTO (formulado)2]],PROYECTOS!$G$1:$L$32,6,0)</f>
        <v>SUBGERENCIA DE ALTOS LOGROS Y DEPORTE ASOCIADO</v>
      </c>
      <c r="D484" s="199" t="str">
        <f>+IF(PAA[[#This Row],[UNIDAD DE CONTRATACION (formulado)]]="Subgerencia Administrativa y Financiera","FUNCIONAMIENTO","INVERSIÓN")</f>
        <v>INVERSIÓN</v>
      </c>
      <c r="E484" s="201" t="str">
        <f>VLOOKUP(Q484,PROYECTOS!$G$1:$K$32,5,0)</f>
        <v>Apoyo técnico a atletas y para-atletas que representan en alto rendimiento deportivo al departamento de Antioquia</v>
      </c>
      <c r="F484" s="201">
        <f>VLOOKUP(E484,PROYECTOS!$K$1:$M$32,3,0)</f>
        <v>2024003050084</v>
      </c>
      <c r="G484" s="202" t="s">
        <v>450</v>
      </c>
      <c r="H484" s="202" t="str">
        <f>VLOOKUP(Q484,PROYECTOS!$V$1:$W$32,2,0)</f>
        <v>050079</v>
      </c>
      <c r="I484" s="203">
        <v>71344176</v>
      </c>
      <c r="J484" s="204" t="s">
        <v>582</v>
      </c>
      <c r="K484" s="199" t="str">
        <f t="shared" ca="1" si="64"/>
        <v>CONTRATADO</v>
      </c>
      <c r="L484" s="199" t="s">
        <v>112</v>
      </c>
      <c r="M484" s="199" t="s">
        <v>113</v>
      </c>
      <c r="N484" s="205" t="s">
        <v>452</v>
      </c>
      <c r="O484" s="204">
        <f>VLOOKUP(N484,RUBROS[#All],3,0)</f>
        <v>62</v>
      </c>
      <c r="P484" s="206" t="str">
        <f>VLOOKUP(N484,RUBROS[#All],2,0)</f>
        <v>Apoyo técnico a atletas y para-atletas que representan en alto rendimiento deportivo al departamento de Antioquia. - Servicios para la comunidad, sociales y personales</v>
      </c>
      <c r="Q484" s="199" t="str">
        <f t="shared" si="65"/>
        <v>84</v>
      </c>
      <c r="R484" s="199" t="str">
        <f t="shared" si="66"/>
        <v>0-205400</v>
      </c>
      <c r="S484" s="207">
        <v>294</v>
      </c>
      <c r="T484" s="208" t="s">
        <v>220</v>
      </c>
      <c r="U484" s="209" t="e">
        <f ca="1">_xlfn.XLOOKUP(PAA[[#This Row],[ITEM]],Contrato!A:A,Contrato!Q:Q,"",0)</f>
        <v>#NAME?</v>
      </c>
      <c r="V484" s="199" t="s">
        <v>47</v>
      </c>
      <c r="W484" s="199" t="s">
        <v>154</v>
      </c>
      <c r="X484" s="199" t="s">
        <v>154</v>
      </c>
      <c r="Y484" s="210" t="e">
        <f ca="1">_xlfn.XLOOKUP(PAA[[#This Row],[ITEM]],Contrato!A:A,Contrato!B:B,"",0)</f>
        <v>#NAME?</v>
      </c>
      <c r="Z484" s="199" t="e">
        <f ca="1">_xlfn.XLOOKUP(PAA[[#This Row],[ITEM]],Contrato!A:A,Contrato!G:G,"",0)</f>
        <v>#NAME?</v>
      </c>
      <c r="AA484" s="199" t="e">
        <f ca="1">_xlfn.XLOOKUP(PAA[[#This Row],[ITEM]],Contrato!A:A,Contrato!T:T,"",0)</f>
        <v>#NAME?</v>
      </c>
      <c r="AB484" s="210" t="e">
        <f ca="1">+MAX(PAA[[#This Row],[Comprometido Contrato]],)</f>
        <v>#NAME?</v>
      </c>
      <c r="AC484" s="210" t="str">
        <f t="shared" ca="1" si="70"/>
        <v/>
      </c>
      <c r="AD484" s="210" t="e">
        <f ca="1">+MAX(PAA[[#This Row],[Pago por Contrato]],)</f>
        <v>#NAME?</v>
      </c>
      <c r="AE484" s="210" t="str">
        <f t="shared" ca="1" si="67"/>
        <v/>
      </c>
      <c r="AF484" s="199" t="e">
        <f t="shared" ca="1" si="68"/>
        <v>#NAME?</v>
      </c>
      <c r="AG484" s="199">
        <f t="shared" si="69"/>
        <v>52010802</v>
      </c>
      <c r="AH484" s="199" t="e" cm="1">
        <f t="array" aca="1" ref="AH484" ca="1">_xlfn.XLOOKUP(PAA[[#This Row],[RCP-RUBRO]],COMPROMISOS_2025[[#All],[concatenado]],COMPROMISOS_2025[[#All],[Total pagado]],"",0)</f>
        <v>#NAME?</v>
      </c>
      <c r="AI484" s="199" t="e" cm="1">
        <f t="array" aca="1" ref="AI484" ca="1">_xlfn.XLOOKUP(PAA[[#This Row],[RCP-RUBRO]],COMPROMISOS_2025[[#All],[concatenado]],COMPROMISOS_2025[[#All],[Total Comprometido]],"",0)</f>
        <v>#NAME?</v>
      </c>
    </row>
    <row r="485" spans="1:35" s="50" customFormat="1" ht="42" hidden="1" customHeight="1" x14ac:dyDescent="0.25">
      <c r="A485" s="199">
        <v>385</v>
      </c>
      <c r="B485" s="200">
        <v>80111600</v>
      </c>
      <c r="C485" s="199" t="str">
        <f>VLOOKUP(PAA[[#This Row],[PROYECTO (formulado)2]],PROYECTOS!$G$1:$L$32,6,0)</f>
        <v>SUBGERENCIA DE ALTOS LOGROS Y DEPORTE ASOCIADO</v>
      </c>
      <c r="D485" s="199" t="str">
        <f>+IF(PAA[[#This Row],[UNIDAD DE CONTRATACION (formulado)]]="Subgerencia Administrativa y Financiera","FUNCIONAMIENTO","INVERSIÓN")</f>
        <v>INVERSIÓN</v>
      </c>
      <c r="E485" s="201" t="str">
        <f>VLOOKUP(Q485,PROYECTOS!$G$1:$K$32,5,0)</f>
        <v>Apoyo técnico a atletas y para-atletas que representan en alto rendimiento deportivo al departamento de Antioquia</v>
      </c>
      <c r="F485" s="201">
        <f>VLOOKUP(E485,PROYECTOS!$K$1:$M$32,3,0)</f>
        <v>2024003050084</v>
      </c>
      <c r="G485" s="202" t="s">
        <v>450</v>
      </c>
      <c r="H485" s="202" t="str">
        <f>VLOOKUP(Q485,PROYECTOS!$V$1:$W$32,2,0)</f>
        <v>050079</v>
      </c>
      <c r="I485" s="203">
        <v>61147776</v>
      </c>
      <c r="J485" s="204" t="s">
        <v>583</v>
      </c>
      <c r="K485" s="199" t="str">
        <f t="shared" ca="1" si="64"/>
        <v>CONTRATADO</v>
      </c>
      <c r="L485" s="199" t="s">
        <v>112</v>
      </c>
      <c r="M485" s="199" t="s">
        <v>113</v>
      </c>
      <c r="N485" s="205" t="s">
        <v>452</v>
      </c>
      <c r="O485" s="204">
        <f>VLOOKUP(N485,RUBROS[#All],3,0)</f>
        <v>62</v>
      </c>
      <c r="P485" s="206" t="str">
        <f>VLOOKUP(N485,RUBROS[#All],2,0)</f>
        <v>Apoyo técnico a atletas y para-atletas que representan en alto rendimiento deportivo al departamento de Antioquia. - Servicios para la comunidad, sociales y personales</v>
      </c>
      <c r="Q485" s="199" t="str">
        <f t="shared" si="65"/>
        <v>84</v>
      </c>
      <c r="R485" s="199" t="str">
        <f t="shared" si="66"/>
        <v>0-205400</v>
      </c>
      <c r="S485" s="207">
        <v>294</v>
      </c>
      <c r="T485" s="208" t="s">
        <v>220</v>
      </c>
      <c r="U485" s="209" t="e">
        <f ca="1">_xlfn.XLOOKUP(PAA[[#This Row],[ITEM]],Contrato!A:A,Contrato!Q:Q,"",0)</f>
        <v>#NAME?</v>
      </c>
      <c r="V485" s="199" t="s">
        <v>47</v>
      </c>
      <c r="W485" s="199" t="s">
        <v>154</v>
      </c>
      <c r="X485" s="199" t="s">
        <v>154</v>
      </c>
      <c r="Y485" s="210" t="e">
        <f ca="1">_xlfn.XLOOKUP(PAA[[#This Row],[ITEM]],Contrato!A:A,Contrato!B:B,"",0)</f>
        <v>#NAME?</v>
      </c>
      <c r="Z485" s="199" t="e">
        <f ca="1">_xlfn.XLOOKUP(PAA[[#This Row],[ITEM]],Contrato!A:A,Contrato!G:G,"",0)</f>
        <v>#NAME?</v>
      </c>
      <c r="AA485" s="199" t="e">
        <f ca="1">_xlfn.XLOOKUP(PAA[[#This Row],[ITEM]],Contrato!A:A,Contrato!T:T,"",0)</f>
        <v>#NAME?</v>
      </c>
      <c r="AB485" s="210" t="e">
        <f ca="1">+MAX(PAA[[#This Row],[Comprometido Contrato]],)</f>
        <v>#NAME?</v>
      </c>
      <c r="AC485" s="210" t="str">
        <f t="shared" ca="1" si="70"/>
        <v/>
      </c>
      <c r="AD485" s="210" t="e">
        <f ca="1">+MAX(PAA[[#This Row],[Pago por Contrato]],)</f>
        <v>#NAME?</v>
      </c>
      <c r="AE485" s="210" t="str">
        <f t="shared" ca="1" si="67"/>
        <v/>
      </c>
      <c r="AF485" s="199" t="e">
        <f t="shared" ca="1" si="68"/>
        <v>#NAME?</v>
      </c>
      <c r="AG485" s="199">
        <f t="shared" si="69"/>
        <v>52010802</v>
      </c>
      <c r="AH485" s="199" t="e" cm="1">
        <f t="array" aca="1" ref="AH485" ca="1">_xlfn.XLOOKUP(PAA[[#This Row],[RCP-RUBRO]],COMPROMISOS_2025[[#All],[concatenado]],COMPROMISOS_2025[[#All],[Total pagado]],"",0)</f>
        <v>#NAME?</v>
      </c>
      <c r="AI485" s="199" t="e" cm="1">
        <f t="array" aca="1" ref="AI485" ca="1">_xlfn.XLOOKUP(PAA[[#This Row],[RCP-RUBRO]],COMPROMISOS_2025[[#All],[concatenado]],COMPROMISOS_2025[[#All],[Total Comprometido]],"",0)</f>
        <v>#NAME?</v>
      </c>
    </row>
    <row r="486" spans="1:35" s="50" customFormat="1" ht="42" hidden="1" customHeight="1" x14ac:dyDescent="0.25">
      <c r="A486" s="199">
        <v>386</v>
      </c>
      <c r="B486" s="200">
        <v>80111600</v>
      </c>
      <c r="C486" s="199" t="str">
        <f>VLOOKUP(PAA[[#This Row],[PROYECTO (formulado)2]],PROYECTOS!$G$1:$L$32,6,0)</f>
        <v>SUBGERENCIA DE ALTOS LOGROS Y DEPORTE ASOCIADO</v>
      </c>
      <c r="D486" s="199" t="str">
        <f>+IF(PAA[[#This Row],[UNIDAD DE CONTRATACION (formulado)]]="Subgerencia Administrativa y Financiera","FUNCIONAMIENTO","INVERSIÓN")</f>
        <v>INVERSIÓN</v>
      </c>
      <c r="E486" s="201" t="str">
        <f>VLOOKUP(Q486,PROYECTOS!$G$1:$K$32,5,0)</f>
        <v>Apoyo técnico a atletas y para-atletas que representan en alto rendimiento deportivo al departamento de Antioquia</v>
      </c>
      <c r="F486" s="201">
        <f>VLOOKUP(E486,PROYECTOS!$K$1:$M$32,3,0)</f>
        <v>2024003050084</v>
      </c>
      <c r="G486" s="202" t="s">
        <v>450</v>
      </c>
      <c r="H486" s="202" t="str">
        <f>VLOOKUP(Q486,PROYECTOS!$V$1:$W$32,2,0)</f>
        <v>050079</v>
      </c>
      <c r="I486" s="203">
        <v>81536206</v>
      </c>
      <c r="J486" s="204" t="s">
        <v>584</v>
      </c>
      <c r="K486" s="199" t="str">
        <f t="shared" ca="1" si="64"/>
        <v>CONTRATADO</v>
      </c>
      <c r="L486" s="199" t="s">
        <v>112</v>
      </c>
      <c r="M486" s="199" t="s">
        <v>113</v>
      </c>
      <c r="N486" s="205" t="s">
        <v>452</v>
      </c>
      <c r="O486" s="204">
        <f>VLOOKUP(N486,RUBROS[#All],3,0)</f>
        <v>62</v>
      </c>
      <c r="P486" s="206" t="str">
        <f>VLOOKUP(N486,RUBROS[#All],2,0)</f>
        <v>Apoyo técnico a atletas y para-atletas que representan en alto rendimiento deportivo al departamento de Antioquia. - Servicios para la comunidad, sociales y personales</v>
      </c>
      <c r="Q486" s="199" t="str">
        <f t="shared" si="65"/>
        <v>84</v>
      </c>
      <c r="R486" s="199" t="str">
        <f t="shared" si="66"/>
        <v>0-205400</v>
      </c>
      <c r="S486" s="207">
        <v>294</v>
      </c>
      <c r="T486" s="208" t="s">
        <v>220</v>
      </c>
      <c r="U486" s="209" t="e">
        <f ca="1">_xlfn.XLOOKUP(PAA[[#This Row],[ITEM]],Contrato!A:A,Contrato!Q:Q,"",0)</f>
        <v>#NAME?</v>
      </c>
      <c r="V486" s="199" t="s">
        <v>47</v>
      </c>
      <c r="W486" s="199" t="s">
        <v>154</v>
      </c>
      <c r="X486" s="199" t="s">
        <v>154</v>
      </c>
      <c r="Y486" s="210" t="e">
        <f ca="1">_xlfn.XLOOKUP(PAA[[#This Row],[ITEM]],Contrato!A:A,Contrato!B:B,"",0)</f>
        <v>#NAME?</v>
      </c>
      <c r="Z486" s="199" t="e">
        <f ca="1">_xlfn.XLOOKUP(PAA[[#This Row],[ITEM]],Contrato!A:A,Contrato!G:G,"",0)</f>
        <v>#NAME?</v>
      </c>
      <c r="AA486" s="199" t="e">
        <f ca="1">_xlfn.XLOOKUP(PAA[[#This Row],[ITEM]],Contrato!A:A,Contrato!T:T,"",0)</f>
        <v>#NAME?</v>
      </c>
      <c r="AB486" s="210" t="e">
        <f ca="1">+MAX(PAA[[#This Row],[Comprometido Contrato]],)</f>
        <v>#NAME?</v>
      </c>
      <c r="AC486" s="210" t="str">
        <f t="shared" ca="1" si="70"/>
        <v/>
      </c>
      <c r="AD486" s="210" t="e">
        <f ca="1">+MAX(PAA[[#This Row],[Pago por Contrato]],)</f>
        <v>#NAME?</v>
      </c>
      <c r="AE486" s="210" t="str">
        <f t="shared" ca="1" si="67"/>
        <v/>
      </c>
      <c r="AF486" s="199" t="e">
        <f t="shared" ca="1" si="68"/>
        <v>#NAME?</v>
      </c>
      <c r="AG486" s="199">
        <f t="shared" si="69"/>
        <v>52010802</v>
      </c>
      <c r="AH486" s="199" t="e" cm="1">
        <f t="array" aca="1" ref="AH486" ca="1">_xlfn.XLOOKUP(PAA[[#This Row],[RCP-RUBRO]],COMPROMISOS_2025[[#All],[concatenado]],COMPROMISOS_2025[[#All],[Total pagado]],"",0)</f>
        <v>#NAME?</v>
      </c>
      <c r="AI486" s="199" t="e" cm="1">
        <f t="array" aca="1" ref="AI486" ca="1">_xlfn.XLOOKUP(PAA[[#This Row],[RCP-RUBRO]],COMPROMISOS_2025[[#All],[concatenado]],COMPROMISOS_2025[[#All],[Total Comprometido]],"",0)</f>
        <v>#NAME?</v>
      </c>
    </row>
    <row r="487" spans="1:35" s="50" customFormat="1" ht="42" hidden="1" customHeight="1" x14ac:dyDescent="0.25">
      <c r="A487" s="199">
        <v>387</v>
      </c>
      <c r="B487" s="200">
        <v>80111600</v>
      </c>
      <c r="C487" s="199" t="str">
        <f>VLOOKUP(PAA[[#This Row],[PROYECTO (formulado)2]],PROYECTOS!$G$1:$L$32,6,0)</f>
        <v>SUBGERENCIA DE ALTOS LOGROS Y DEPORTE ASOCIADO</v>
      </c>
      <c r="D487" s="199" t="str">
        <f>+IF(PAA[[#This Row],[UNIDAD DE CONTRATACION (formulado)]]="Subgerencia Administrativa y Financiera","FUNCIONAMIENTO","INVERSIÓN")</f>
        <v>INVERSIÓN</v>
      </c>
      <c r="E487" s="201" t="str">
        <f>VLOOKUP(Q487,PROYECTOS!$G$1:$K$32,5,0)</f>
        <v>Apoyo técnico a atletas y para-atletas que representan en alto rendimiento deportivo al departamento de Antioquia</v>
      </c>
      <c r="F487" s="201">
        <f>VLOOKUP(E487,PROYECTOS!$K$1:$M$32,3,0)</f>
        <v>2024003050084</v>
      </c>
      <c r="G487" s="202" t="s">
        <v>450</v>
      </c>
      <c r="H487" s="202" t="str">
        <f>VLOOKUP(Q487,PROYECTOS!$V$1:$W$32,2,0)</f>
        <v>050079</v>
      </c>
      <c r="I487" s="203">
        <v>61147776</v>
      </c>
      <c r="J487" s="204" t="s">
        <v>585</v>
      </c>
      <c r="K487" s="199" t="str">
        <f t="shared" ca="1" si="64"/>
        <v>CONTRATADO</v>
      </c>
      <c r="L487" s="199" t="s">
        <v>112</v>
      </c>
      <c r="M487" s="199" t="s">
        <v>113</v>
      </c>
      <c r="N487" s="205" t="s">
        <v>452</v>
      </c>
      <c r="O487" s="204">
        <f>VLOOKUP(N487,RUBROS[#All],3,0)</f>
        <v>62</v>
      </c>
      <c r="P487" s="206" t="str">
        <f>VLOOKUP(N487,RUBROS[#All],2,0)</f>
        <v>Apoyo técnico a atletas y para-atletas que representan en alto rendimiento deportivo al departamento de Antioquia. - Servicios para la comunidad, sociales y personales</v>
      </c>
      <c r="Q487" s="199" t="str">
        <f t="shared" si="65"/>
        <v>84</v>
      </c>
      <c r="R487" s="199" t="str">
        <f t="shared" si="66"/>
        <v>0-205400</v>
      </c>
      <c r="S487" s="207">
        <v>294</v>
      </c>
      <c r="T487" s="208" t="s">
        <v>220</v>
      </c>
      <c r="U487" s="209" t="e">
        <f ca="1">_xlfn.XLOOKUP(PAA[[#This Row],[ITEM]],Contrato!A:A,Contrato!Q:Q,"",0)</f>
        <v>#NAME?</v>
      </c>
      <c r="V487" s="199" t="s">
        <v>47</v>
      </c>
      <c r="W487" s="199" t="s">
        <v>154</v>
      </c>
      <c r="X487" s="199" t="s">
        <v>154</v>
      </c>
      <c r="Y487" s="210" t="e">
        <f ca="1">_xlfn.XLOOKUP(PAA[[#This Row],[ITEM]],Contrato!A:A,Contrato!B:B,"",0)</f>
        <v>#NAME?</v>
      </c>
      <c r="Z487" s="199" t="e">
        <f ca="1">_xlfn.XLOOKUP(PAA[[#This Row],[ITEM]],Contrato!A:A,Contrato!G:G,"",0)</f>
        <v>#NAME?</v>
      </c>
      <c r="AA487" s="199" t="e">
        <f ca="1">_xlfn.XLOOKUP(PAA[[#This Row],[ITEM]],Contrato!A:A,Contrato!T:T,"",0)</f>
        <v>#NAME?</v>
      </c>
      <c r="AB487" s="210" t="e">
        <f ca="1">+MAX(PAA[[#This Row],[Comprometido Contrato]],)</f>
        <v>#NAME?</v>
      </c>
      <c r="AC487" s="210" t="str">
        <f t="shared" ca="1" si="70"/>
        <v/>
      </c>
      <c r="AD487" s="210" t="e">
        <f ca="1">+MAX(PAA[[#This Row],[Pago por Contrato]],)</f>
        <v>#NAME?</v>
      </c>
      <c r="AE487" s="210" t="str">
        <f t="shared" ca="1" si="67"/>
        <v/>
      </c>
      <c r="AF487" s="199" t="e">
        <f t="shared" ca="1" si="68"/>
        <v>#NAME?</v>
      </c>
      <c r="AG487" s="199">
        <f t="shared" si="69"/>
        <v>52010802</v>
      </c>
      <c r="AH487" s="199" t="e" cm="1">
        <f t="array" aca="1" ref="AH487" ca="1">_xlfn.XLOOKUP(PAA[[#This Row],[RCP-RUBRO]],COMPROMISOS_2025[[#All],[concatenado]],COMPROMISOS_2025[[#All],[Total pagado]],"",0)</f>
        <v>#NAME?</v>
      </c>
      <c r="AI487" s="199" t="e" cm="1">
        <f t="array" aca="1" ref="AI487" ca="1">_xlfn.XLOOKUP(PAA[[#This Row],[RCP-RUBRO]],COMPROMISOS_2025[[#All],[concatenado]],COMPROMISOS_2025[[#All],[Total Comprometido]],"",0)</f>
        <v>#NAME?</v>
      </c>
    </row>
    <row r="488" spans="1:35" s="50" customFormat="1" ht="42" hidden="1" customHeight="1" x14ac:dyDescent="0.25">
      <c r="A488" s="199">
        <v>388</v>
      </c>
      <c r="B488" s="200">
        <v>80111600</v>
      </c>
      <c r="C488" s="199" t="str">
        <f>VLOOKUP(PAA[[#This Row],[PROYECTO (formulado)2]],PROYECTOS!$G$1:$L$32,6,0)</f>
        <v>SUBGERENCIA DE ALTOS LOGROS Y DEPORTE ASOCIADO</v>
      </c>
      <c r="D488" s="199" t="str">
        <f>+IF(PAA[[#This Row],[UNIDAD DE CONTRATACION (formulado)]]="Subgerencia Administrativa y Financiera","FUNCIONAMIENTO","INVERSIÓN")</f>
        <v>INVERSIÓN</v>
      </c>
      <c r="E488" s="201" t="str">
        <f>VLOOKUP(Q488,PROYECTOS!$G$1:$K$32,5,0)</f>
        <v>Apoyo técnico a atletas y para-atletas que representan en alto rendimiento deportivo al departamento de Antioquia</v>
      </c>
      <c r="F488" s="201">
        <f>VLOOKUP(E488,PROYECTOS!$K$1:$M$32,3,0)</f>
        <v>2024003050084</v>
      </c>
      <c r="G488" s="202" t="s">
        <v>450</v>
      </c>
      <c r="H488" s="202" t="str">
        <f>VLOOKUP(Q488,PROYECTOS!$V$1:$W$32,2,0)</f>
        <v>050079</v>
      </c>
      <c r="I488" s="203">
        <v>26545593</v>
      </c>
      <c r="J488" s="204" t="s">
        <v>586</v>
      </c>
      <c r="K488" s="199" t="str">
        <f t="shared" ca="1" si="64"/>
        <v>CONTRATADO</v>
      </c>
      <c r="L488" s="199" t="s">
        <v>112</v>
      </c>
      <c r="M488" s="199" t="s">
        <v>113</v>
      </c>
      <c r="N488" s="205" t="s">
        <v>452</v>
      </c>
      <c r="O488" s="204">
        <f>VLOOKUP(N488,RUBROS[#All],3,0)</f>
        <v>62</v>
      </c>
      <c r="P488" s="206" t="str">
        <f>VLOOKUP(N488,RUBROS[#All],2,0)</f>
        <v>Apoyo técnico a atletas y para-atletas que representan en alto rendimiento deportivo al departamento de Antioquia. - Servicios para la comunidad, sociales y personales</v>
      </c>
      <c r="Q488" s="199" t="str">
        <f t="shared" si="65"/>
        <v>84</v>
      </c>
      <c r="R488" s="199" t="str">
        <f t="shared" si="66"/>
        <v>0-205400</v>
      </c>
      <c r="S488" s="207">
        <v>294</v>
      </c>
      <c r="T488" s="208" t="s">
        <v>220</v>
      </c>
      <c r="U488" s="209" t="e">
        <f ca="1">_xlfn.XLOOKUP(PAA[[#This Row],[ITEM]],Contrato!A:A,Contrato!Q:Q,"",0)</f>
        <v>#NAME?</v>
      </c>
      <c r="V488" s="199" t="s">
        <v>47</v>
      </c>
      <c r="W488" s="199" t="s">
        <v>154</v>
      </c>
      <c r="X488" s="199" t="s">
        <v>154</v>
      </c>
      <c r="Y488" s="210" t="e">
        <f ca="1">_xlfn.XLOOKUP(PAA[[#This Row],[ITEM]],Contrato!A:A,Contrato!B:B,"",0)</f>
        <v>#NAME?</v>
      </c>
      <c r="Z488" s="199" t="e">
        <f ca="1">_xlfn.XLOOKUP(PAA[[#This Row],[ITEM]],Contrato!A:A,Contrato!G:G,"",0)</f>
        <v>#NAME?</v>
      </c>
      <c r="AA488" s="199" t="e">
        <f ca="1">_xlfn.XLOOKUP(PAA[[#This Row],[ITEM]],Contrato!A:A,Contrato!T:T,"",0)</f>
        <v>#NAME?</v>
      </c>
      <c r="AB488" s="210" t="e">
        <f ca="1">+MAX(PAA[[#This Row],[Comprometido Contrato]],)</f>
        <v>#NAME?</v>
      </c>
      <c r="AC488" s="210" t="str">
        <f t="shared" ca="1" si="70"/>
        <v/>
      </c>
      <c r="AD488" s="210" t="e">
        <f ca="1">+MAX(PAA[[#This Row],[Pago por Contrato]],)</f>
        <v>#NAME?</v>
      </c>
      <c r="AE488" s="210" t="str">
        <f t="shared" ca="1" si="67"/>
        <v/>
      </c>
      <c r="AF488" s="199" t="e">
        <f t="shared" ca="1" si="68"/>
        <v>#NAME?</v>
      </c>
      <c r="AG488" s="199">
        <f t="shared" si="69"/>
        <v>52010802</v>
      </c>
      <c r="AH488" s="199" t="e" cm="1">
        <f t="array" aca="1" ref="AH488" ca="1">_xlfn.XLOOKUP(PAA[[#This Row],[RCP-RUBRO]],COMPROMISOS_2025[[#All],[concatenado]],COMPROMISOS_2025[[#All],[Total pagado]],"",0)</f>
        <v>#NAME?</v>
      </c>
      <c r="AI488" s="199" t="e" cm="1">
        <f t="array" aca="1" ref="AI488" ca="1">_xlfn.XLOOKUP(PAA[[#This Row],[RCP-RUBRO]],COMPROMISOS_2025[[#All],[concatenado]],COMPROMISOS_2025[[#All],[Total Comprometido]],"",0)</f>
        <v>#NAME?</v>
      </c>
    </row>
    <row r="489" spans="1:35" s="50" customFormat="1" ht="42" hidden="1" customHeight="1" x14ac:dyDescent="0.25">
      <c r="A489" s="199">
        <v>389</v>
      </c>
      <c r="B489" s="200">
        <v>80111600</v>
      </c>
      <c r="C489" s="199" t="str">
        <f>VLOOKUP(PAA[[#This Row],[PROYECTO (formulado)2]],PROYECTOS!$G$1:$L$32,6,0)</f>
        <v>SUBGERENCIA DE ALTOS LOGROS Y DEPORTE ASOCIADO</v>
      </c>
      <c r="D489" s="199" t="str">
        <f>+IF(PAA[[#This Row],[UNIDAD DE CONTRATACION (formulado)]]="Subgerencia Administrativa y Financiera","FUNCIONAMIENTO","INVERSIÓN")</f>
        <v>INVERSIÓN</v>
      </c>
      <c r="E489" s="201" t="str">
        <f>VLOOKUP(Q489,PROYECTOS!$G$1:$K$32,5,0)</f>
        <v>Apoyo técnico a atletas y para-atletas que representan en alto rendimiento deportivo al departamento de Antioquia</v>
      </c>
      <c r="F489" s="201">
        <f>VLOOKUP(E489,PROYECTOS!$K$1:$M$32,3,0)</f>
        <v>2024003050084</v>
      </c>
      <c r="G489" s="202" t="s">
        <v>450</v>
      </c>
      <c r="H489" s="202" t="str">
        <f>VLOOKUP(Q489,PROYECTOS!$V$1:$W$32,2,0)</f>
        <v>050079</v>
      </c>
      <c r="I489" s="203">
        <v>61147776</v>
      </c>
      <c r="J489" s="204" t="s">
        <v>587</v>
      </c>
      <c r="K489" s="199" t="str">
        <f t="shared" ca="1" si="64"/>
        <v>CONTRATADO</v>
      </c>
      <c r="L489" s="199" t="s">
        <v>112</v>
      </c>
      <c r="M489" s="199" t="s">
        <v>113</v>
      </c>
      <c r="N489" s="205" t="s">
        <v>452</v>
      </c>
      <c r="O489" s="204">
        <f>VLOOKUP(N489,RUBROS[#All],3,0)</f>
        <v>62</v>
      </c>
      <c r="P489" s="206" t="str">
        <f>VLOOKUP(N489,RUBROS[#All],2,0)</f>
        <v>Apoyo técnico a atletas y para-atletas que representan en alto rendimiento deportivo al departamento de Antioquia. - Servicios para la comunidad, sociales y personales</v>
      </c>
      <c r="Q489" s="199" t="str">
        <f t="shared" si="65"/>
        <v>84</v>
      </c>
      <c r="R489" s="199" t="str">
        <f t="shared" si="66"/>
        <v>0-205400</v>
      </c>
      <c r="S489" s="207">
        <v>294</v>
      </c>
      <c r="T489" s="208" t="s">
        <v>220</v>
      </c>
      <c r="U489" s="209" t="e">
        <f ca="1">_xlfn.XLOOKUP(PAA[[#This Row],[ITEM]],Contrato!A:A,Contrato!Q:Q,"",0)</f>
        <v>#NAME?</v>
      </c>
      <c r="V489" s="199" t="s">
        <v>47</v>
      </c>
      <c r="W489" s="199" t="s">
        <v>154</v>
      </c>
      <c r="X489" s="199" t="s">
        <v>154</v>
      </c>
      <c r="Y489" s="210" t="e">
        <f ca="1">_xlfn.XLOOKUP(PAA[[#This Row],[ITEM]],Contrato!A:A,Contrato!B:B,"",0)</f>
        <v>#NAME?</v>
      </c>
      <c r="Z489" s="199" t="e">
        <f ca="1">_xlfn.XLOOKUP(PAA[[#This Row],[ITEM]],Contrato!A:A,Contrato!G:G,"",0)</f>
        <v>#NAME?</v>
      </c>
      <c r="AA489" s="199" t="e">
        <f ca="1">_xlfn.XLOOKUP(PAA[[#This Row],[ITEM]],Contrato!A:A,Contrato!T:T,"",0)</f>
        <v>#NAME?</v>
      </c>
      <c r="AB489" s="210" t="e">
        <f ca="1">+MAX(PAA[[#This Row],[Comprometido Contrato]],)</f>
        <v>#NAME?</v>
      </c>
      <c r="AC489" s="210" t="str">
        <f t="shared" ca="1" si="70"/>
        <v/>
      </c>
      <c r="AD489" s="210" t="e">
        <f ca="1">+MAX(PAA[[#This Row],[Pago por Contrato]],)</f>
        <v>#NAME?</v>
      </c>
      <c r="AE489" s="210" t="str">
        <f t="shared" ca="1" si="67"/>
        <v/>
      </c>
      <c r="AF489" s="199" t="e">
        <f t="shared" ca="1" si="68"/>
        <v>#NAME?</v>
      </c>
      <c r="AG489" s="199">
        <f t="shared" si="69"/>
        <v>52010802</v>
      </c>
      <c r="AH489" s="199" t="e" cm="1">
        <f t="array" aca="1" ref="AH489" ca="1">_xlfn.XLOOKUP(PAA[[#This Row],[RCP-RUBRO]],COMPROMISOS_2025[[#All],[concatenado]],COMPROMISOS_2025[[#All],[Total pagado]],"",0)</f>
        <v>#NAME?</v>
      </c>
      <c r="AI489" s="199" t="e" cm="1">
        <f t="array" aca="1" ref="AI489" ca="1">_xlfn.XLOOKUP(PAA[[#This Row],[RCP-RUBRO]],COMPROMISOS_2025[[#All],[concatenado]],COMPROMISOS_2025[[#All],[Total Comprometido]],"",0)</f>
        <v>#NAME?</v>
      </c>
    </row>
    <row r="490" spans="1:35" s="50" customFormat="1" ht="42" hidden="1" customHeight="1" x14ac:dyDescent="0.25">
      <c r="A490" s="199">
        <v>390</v>
      </c>
      <c r="B490" s="200">
        <v>80111600</v>
      </c>
      <c r="C490" s="199" t="str">
        <f>VLOOKUP(PAA[[#This Row],[PROYECTO (formulado)2]],PROYECTOS!$G$1:$L$32,6,0)</f>
        <v>SUBGERENCIA DE ALTOS LOGROS Y DEPORTE ASOCIADO</v>
      </c>
      <c r="D490" s="199" t="str">
        <f>+IF(PAA[[#This Row],[UNIDAD DE CONTRATACION (formulado)]]="Subgerencia Administrativa y Financiera","FUNCIONAMIENTO","INVERSIÓN")</f>
        <v>INVERSIÓN</v>
      </c>
      <c r="E490" s="201" t="str">
        <f>VLOOKUP(Q490,PROYECTOS!$G$1:$K$32,5,0)</f>
        <v>Apoyo técnico a atletas y para-atletas que representan en alto rendimiento deportivo al departamento de Antioquia</v>
      </c>
      <c r="F490" s="201">
        <f>VLOOKUP(E490,PROYECTOS!$K$1:$M$32,3,0)</f>
        <v>2024003050084</v>
      </c>
      <c r="G490" s="202" t="s">
        <v>450</v>
      </c>
      <c r="H490" s="202" t="str">
        <f>VLOOKUP(Q490,PROYECTOS!$V$1:$W$32,2,0)</f>
        <v>050079</v>
      </c>
      <c r="I490" s="203">
        <v>50609170</v>
      </c>
      <c r="J490" s="204" t="s">
        <v>588</v>
      </c>
      <c r="K490" s="199" t="str">
        <f t="shared" ca="1" si="64"/>
        <v>CONTRATADO</v>
      </c>
      <c r="L490" s="199" t="s">
        <v>112</v>
      </c>
      <c r="M490" s="199" t="s">
        <v>113</v>
      </c>
      <c r="N490" s="205" t="s">
        <v>452</v>
      </c>
      <c r="O490" s="204">
        <f>VLOOKUP(N490,RUBROS[#All],3,0)</f>
        <v>62</v>
      </c>
      <c r="P490" s="206" t="str">
        <f>VLOOKUP(N490,RUBROS[#All],2,0)</f>
        <v>Apoyo técnico a atletas y para-atletas que representan en alto rendimiento deportivo al departamento de Antioquia. - Servicios para la comunidad, sociales y personales</v>
      </c>
      <c r="Q490" s="199" t="str">
        <f t="shared" si="65"/>
        <v>84</v>
      </c>
      <c r="R490" s="199" t="str">
        <f t="shared" si="66"/>
        <v>0-205400</v>
      </c>
      <c r="S490" s="207">
        <v>294</v>
      </c>
      <c r="T490" s="208" t="s">
        <v>220</v>
      </c>
      <c r="U490" s="209" t="e">
        <f ca="1">_xlfn.XLOOKUP(PAA[[#This Row],[ITEM]],Contrato!A:A,Contrato!Q:Q,"",0)</f>
        <v>#NAME?</v>
      </c>
      <c r="V490" s="199" t="s">
        <v>47</v>
      </c>
      <c r="W490" s="199" t="s">
        <v>154</v>
      </c>
      <c r="X490" s="199" t="s">
        <v>154</v>
      </c>
      <c r="Y490" s="210" t="e">
        <f ca="1">_xlfn.XLOOKUP(PAA[[#This Row],[ITEM]],Contrato!A:A,Contrato!B:B,"",0)</f>
        <v>#NAME?</v>
      </c>
      <c r="Z490" s="199" t="e">
        <f ca="1">_xlfn.XLOOKUP(PAA[[#This Row],[ITEM]],Contrato!A:A,Contrato!G:G,"",0)</f>
        <v>#NAME?</v>
      </c>
      <c r="AA490" s="199" t="e">
        <f ca="1">_xlfn.XLOOKUP(PAA[[#This Row],[ITEM]],Contrato!A:A,Contrato!T:T,"",0)</f>
        <v>#NAME?</v>
      </c>
      <c r="AB490" s="210" t="e">
        <f ca="1">+MAX(PAA[[#This Row],[Comprometido Contrato]],)</f>
        <v>#NAME?</v>
      </c>
      <c r="AC490" s="210" t="str">
        <f t="shared" ca="1" si="70"/>
        <v/>
      </c>
      <c r="AD490" s="210" t="e">
        <f ca="1">+MAX(PAA[[#This Row],[Pago por Contrato]],)</f>
        <v>#NAME?</v>
      </c>
      <c r="AE490" s="210" t="str">
        <f t="shared" ca="1" si="67"/>
        <v/>
      </c>
      <c r="AF490" s="199" t="e">
        <f t="shared" ca="1" si="68"/>
        <v>#NAME?</v>
      </c>
      <c r="AG490" s="199">
        <f t="shared" si="69"/>
        <v>52010802</v>
      </c>
      <c r="AH490" s="199" t="e" cm="1">
        <f t="array" aca="1" ref="AH490" ca="1">_xlfn.XLOOKUP(PAA[[#This Row],[RCP-RUBRO]],COMPROMISOS_2025[[#All],[concatenado]],COMPROMISOS_2025[[#All],[Total pagado]],"",0)</f>
        <v>#NAME?</v>
      </c>
      <c r="AI490" s="199" t="e" cm="1">
        <f t="array" aca="1" ref="AI490" ca="1">_xlfn.XLOOKUP(PAA[[#This Row],[RCP-RUBRO]],COMPROMISOS_2025[[#All],[concatenado]],COMPROMISOS_2025[[#All],[Total Comprometido]],"",0)</f>
        <v>#NAME?</v>
      </c>
    </row>
    <row r="491" spans="1:35" s="50" customFormat="1" ht="42" hidden="1" customHeight="1" x14ac:dyDescent="0.25">
      <c r="A491" s="199">
        <v>391</v>
      </c>
      <c r="B491" s="200">
        <v>80111600</v>
      </c>
      <c r="C491" s="199" t="str">
        <f>VLOOKUP(PAA[[#This Row],[PROYECTO (formulado)2]],PROYECTOS!$G$1:$L$32,6,0)</f>
        <v>SUBGERENCIA DE ALTOS LOGROS Y DEPORTE ASOCIADO</v>
      </c>
      <c r="D491" s="199" t="str">
        <f>+IF(PAA[[#This Row],[UNIDAD DE CONTRATACION (formulado)]]="Subgerencia Administrativa y Financiera","FUNCIONAMIENTO","INVERSIÓN")</f>
        <v>INVERSIÓN</v>
      </c>
      <c r="E491" s="201" t="str">
        <f>VLOOKUP(Q491,PROYECTOS!$G$1:$K$32,5,0)</f>
        <v>Apoyo técnico a atletas y para-atletas que representan en alto rendimiento deportivo al departamento de Antioquia</v>
      </c>
      <c r="F491" s="201">
        <f>VLOOKUP(E491,PROYECTOS!$K$1:$M$32,3,0)</f>
        <v>2024003050084</v>
      </c>
      <c r="G491" s="202" t="s">
        <v>450</v>
      </c>
      <c r="H491" s="202" t="str">
        <f>VLOOKUP(Q491,PROYECTOS!$V$1:$W$32,2,0)</f>
        <v>050079</v>
      </c>
      <c r="I491" s="203">
        <v>61147776</v>
      </c>
      <c r="J491" s="204" t="s">
        <v>589</v>
      </c>
      <c r="K491" s="199" t="str">
        <f t="shared" ca="1" si="64"/>
        <v>CONTRATADO</v>
      </c>
      <c r="L491" s="199" t="s">
        <v>112</v>
      </c>
      <c r="M491" s="199" t="s">
        <v>113</v>
      </c>
      <c r="N491" s="205" t="s">
        <v>452</v>
      </c>
      <c r="O491" s="204">
        <f>VLOOKUP(N491,RUBROS[#All],3,0)</f>
        <v>62</v>
      </c>
      <c r="P491" s="206" t="str">
        <f>VLOOKUP(N491,RUBROS[#All],2,0)</f>
        <v>Apoyo técnico a atletas y para-atletas que representan en alto rendimiento deportivo al departamento de Antioquia. - Servicios para la comunidad, sociales y personales</v>
      </c>
      <c r="Q491" s="199" t="str">
        <f t="shared" si="65"/>
        <v>84</v>
      </c>
      <c r="R491" s="199" t="str">
        <f t="shared" si="66"/>
        <v>0-205400</v>
      </c>
      <c r="S491" s="207">
        <v>294</v>
      </c>
      <c r="T491" s="208" t="s">
        <v>220</v>
      </c>
      <c r="U491" s="209" t="e">
        <f ca="1">_xlfn.XLOOKUP(PAA[[#This Row],[ITEM]],Contrato!A:A,Contrato!Q:Q,"",0)</f>
        <v>#NAME?</v>
      </c>
      <c r="V491" s="199" t="s">
        <v>47</v>
      </c>
      <c r="W491" s="199" t="s">
        <v>154</v>
      </c>
      <c r="X491" s="199" t="s">
        <v>154</v>
      </c>
      <c r="Y491" s="210" t="e">
        <f ca="1">_xlfn.XLOOKUP(PAA[[#This Row],[ITEM]],Contrato!A:A,Contrato!B:B,"",0)</f>
        <v>#NAME?</v>
      </c>
      <c r="Z491" s="199" t="e">
        <f ca="1">_xlfn.XLOOKUP(PAA[[#This Row],[ITEM]],Contrato!A:A,Contrato!G:G,"",0)</f>
        <v>#NAME?</v>
      </c>
      <c r="AA491" s="199" t="e">
        <f ca="1">_xlfn.XLOOKUP(PAA[[#This Row],[ITEM]],Contrato!A:A,Contrato!T:T,"",0)</f>
        <v>#NAME?</v>
      </c>
      <c r="AB491" s="210" t="e">
        <f ca="1">+MAX(PAA[[#This Row],[Comprometido Contrato]],)</f>
        <v>#NAME?</v>
      </c>
      <c r="AC491" s="210" t="str">
        <f t="shared" ca="1" si="70"/>
        <v/>
      </c>
      <c r="AD491" s="210" t="e">
        <f ca="1">+MAX(PAA[[#This Row],[Pago por Contrato]],)</f>
        <v>#NAME?</v>
      </c>
      <c r="AE491" s="210" t="str">
        <f t="shared" ca="1" si="67"/>
        <v/>
      </c>
      <c r="AF491" s="199" t="e">
        <f t="shared" ca="1" si="68"/>
        <v>#NAME?</v>
      </c>
      <c r="AG491" s="199">
        <f t="shared" si="69"/>
        <v>52010802</v>
      </c>
      <c r="AH491" s="199" t="e" cm="1">
        <f t="array" aca="1" ref="AH491" ca="1">_xlfn.XLOOKUP(PAA[[#This Row],[RCP-RUBRO]],COMPROMISOS_2025[[#All],[concatenado]],COMPROMISOS_2025[[#All],[Total pagado]],"",0)</f>
        <v>#NAME?</v>
      </c>
      <c r="AI491" s="199" t="e" cm="1">
        <f t="array" aca="1" ref="AI491" ca="1">_xlfn.XLOOKUP(PAA[[#This Row],[RCP-RUBRO]],COMPROMISOS_2025[[#All],[concatenado]],COMPROMISOS_2025[[#All],[Total Comprometido]],"",0)</f>
        <v>#NAME?</v>
      </c>
    </row>
    <row r="492" spans="1:35" s="50" customFormat="1" ht="42" hidden="1" customHeight="1" x14ac:dyDescent="0.25">
      <c r="A492" s="199">
        <v>392</v>
      </c>
      <c r="B492" s="200">
        <v>80111600</v>
      </c>
      <c r="C492" s="199" t="str">
        <f>VLOOKUP(PAA[[#This Row],[PROYECTO (formulado)2]],PROYECTOS!$G$1:$L$32,6,0)</f>
        <v>SUBGERENCIA DE ALTOS LOGROS Y DEPORTE ASOCIADO</v>
      </c>
      <c r="D492" s="199" t="str">
        <f>+IF(PAA[[#This Row],[UNIDAD DE CONTRATACION (formulado)]]="Subgerencia Administrativa y Financiera","FUNCIONAMIENTO","INVERSIÓN")</f>
        <v>INVERSIÓN</v>
      </c>
      <c r="E492" s="201" t="str">
        <f>VLOOKUP(Q492,PROYECTOS!$G$1:$K$32,5,0)</f>
        <v>Apoyo técnico a atletas y para-atletas que representan en alto rendimiento deportivo al departamento de Antioquia</v>
      </c>
      <c r="F492" s="201">
        <f>VLOOKUP(E492,PROYECTOS!$K$1:$M$32,3,0)</f>
        <v>2024003050084</v>
      </c>
      <c r="G492" s="202" t="s">
        <v>450</v>
      </c>
      <c r="H492" s="202" t="str">
        <f>VLOOKUP(Q492,PROYECTOS!$V$1:$W$32,2,0)</f>
        <v>050079</v>
      </c>
      <c r="I492" s="203">
        <v>81536206</v>
      </c>
      <c r="J492" s="204" t="s">
        <v>590</v>
      </c>
      <c r="K492" s="199" t="str">
        <f t="shared" ca="1" si="64"/>
        <v>CONTRATADO</v>
      </c>
      <c r="L492" s="199" t="s">
        <v>112</v>
      </c>
      <c r="M492" s="199" t="s">
        <v>113</v>
      </c>
      <c r="N492" s="205" t="s">
        <v>452</v>
      </c>
      <c r="O492" s="204">
        <f>VLOOKUP(N492,RUBROS[#All],3,0)</f>
        <v>62</v>
      </c>
      <c r="P492" s="206" t="str">
        <f>VLOOKUP(N492,RUBROS[#All],2,0)</f>
        <v>Apoyo técnico a atletas y para-atletas que representan en alto rendimiento deportivo al departamento de Antioquia. - Servicios para la comunidad, sociales y personales</v>
      </c>
      <c r="Q492" s="199" t="str">
        <f t="shared" si="65"/>
        <v>84</v>
      </c>
      <c r="R492" s="199" t="str">
        <f t="shared" si="66"/>
        <v>0-205400</v>
      </c>
      <c r="S492" s="207">
        <v>294</v>
      </c>
      <c r="T492" s="208" t="s">
        <v>220</v>
      </c>
      <c r="U492" s="209" t="e">
        <f ca="1">_xlfn.XLOOKUP(PAA[[#This Row],[ITEM]],Contrato!A:A,Contrato!Q:Q,"",0)</f>
        <v>#NAME?</v>
      </c>
      <c r="V492" s="199" t="s">
        <v>47</v>
      </c>
      <c r="W492" s="199" t="s">
        <v>154</v>
      </c>
      <c r="X492" s="199" t="s">
        <v>154</v>
      </c>
      <c r="Y492" s="210" t="e">
        <f ca="1">_xlfn.XLOOKUP(PAA[[#This Row],[ITEM]],Contrato!A:A,Contrato!B:B,"",0)</f>
        <v>#NAME?</v>
      </c>
      <c r="Z492" s="199" t="e">
        <f ca="1">_xlfn.XLOOKUP(PAA[[#This Row],[ITEM]],Contrato!A:A,Contrato!G:G,"",0)</f>
        <v>#NAME?</v>
      </c>
      <c r="AA492" s="199" t="e">
        <f ca="1">_xlfn.XLOOKUP(PAA[[#This Row],[ITEM]],Contrato!A:A,Contrato!T:T,"",0)</f>
        <v>#NAME?</v>
      </c>
      <c r="AB492" s="210" t="e">
        <f ca="1">+MAX(PAA[[#This Row],[Comprometido Contrato]],)</f>
        <v>#NAME?</v>
      </c>
      <c r="AC492" s="210" t="str">
        <f t="shared" ca="1" si="70"/>
        <v/>
      </c>
      <c r="AD492" s="210" t="e">
        <f ca="1">+MAX(PAA[[#This Row],[Pago por Contrato]],)</f>
        <v>#NAME?</v>
      </c>
      <c r="AE492" s="210" t="str">
        <f t="shared" ca="1" si="67"/>
        <v/>
      </c>
      <c r="AF492" s="199" t="e">
        <f t="shared" ca="1" si="68"/>
        <v>#NAME?</v>
      </c>
      <c r="AG492" s="199">
        <f t="shared" si="69"/>
        <v>52010802</v>
      </c>
      <c r="AH492" s="199" t="e" cm="1">
        <f t="array" aca="1" ref="AH492" ca="1">_xlfn.XLOOKUP(PAA[[#This Row],[RCP-RUBRO]],COMPROMISOS_2025[[#All],[concatenado]],COMPROMISOS_2025[[#All],[Total pagado]],"",0)</f>
        <v>#NAME?</v>
      </c>
      <c r="AI492" s="199" t="e" cm="1">
        <f t="array" aca="1" ref="AI492" ca="1">_xlfn.XLOOKUP(PAA[[#This Row],[RCP-RUBRO]],COMPROMISOS_2025[[#All],[concatenado]],COMPROMISOS_2025[[#All],[Total Comprometido]],"",0)</f>
        <v>#NAME?</v>
      </c>
    </row>
    <row r="493" spans="1:35" s="50" customFormat="1" ht="42" hidden="1" customHeight="1" x14ac:dyDescent="0.25">
      <c r="A493" s="199">
        <v>393</v>
      </c>
      <c r="B493" s="200">
        <v>80111600</v>
      </c>
      <c r="C493" s="199" t="str">
        <f>VLOOKUP(PAA[[#This Row],[PROYECTO (formulado)2]],PROYECTOS!$G$1:$L$32,6,0)</f>
        <v>SUBGERENCIA DE ALTOS LOGROS Y DEPORTE ASOCIADO</v>
      </c>
      <c r="D493" s="199" t="str">
        <f>+IF(PAA[[#This Row],[UNIDAD DE CONTRATACION (formulado)]]="Subgerencia Administrativa y Financiera","FUNCIONAMIENTO","INVERSIÓN")</f>
        <v>INVERSIÓN</v>
      </c>
      <c r="E493" s="201" t="str">
        <f>VLOOKUP(Q493,PROYECTOS!$G$1:$K$32,5,0)</f>
        <v>Apoyo técnico a atletas y para-atletas que representan en alto rendimiento deportivo al departamento de Antioquia</v>
      </c>
      <c r="F493" s="201">
        <f>VLOOKUP(E493,PROYECTOS!$K$1:$M$32,3,0)</f>
        <v>2024003050084</v>
      </c>
      <c r="G493" s="202" t="s">
        <v>450</v>
      </c>
      <c r="H493" s="202" t="str">
        <f>VLOOKUP(Q493,PROYECTOS!$V$1:$W$32,2,0)</f>
        <v>050079</v>
      </c>
      <c r="I493" s="203">
        <v>81536206</v>
      </c>
      <c r="J493" s="204" t="s">
        <v>591</v>
      </c>
      <c r="K493" s="199" t="str">
        <f t="shared" ref="K493:K556" ca="1" si="71">IF(ISNONTEXT(Y493)=TRUE,"CONTRATADO","NO CONTRATADO")</f>
        <v>CONTRATADO</v>
      </c>
      <c r="L493" s="199" t="s">
        <v>112</v>
      </c>
      <c r="M493" s="199" t="s">
        <v>113</v>
      </c>
      <c r="N493" s="205" t="s">
        <v>452</v>
      </c>
      <c r="O493" s="204">
        <f>VLOOKUP(N493,RUBROS[#All],3,0)</f>
        <v>62</v>
      </c>
      <c r="P493" s="206" t="str">
        <f>VLOOKUP(N493,RUBROS[#All],2,0)</f>
        <v>Apoyo técnico a atletas y para-atletas que representan en alto rendimiento deportivo al departamento de Antioquia. - Servicios para la comunidad, sociales y personales</v>
      </c>
      <c r="Q493" s="199" t="str">
        <f t="shared" ref="Q493:Q556" si="72">+MID(N493,11,2)</f>
        <v>84</v>
      </c>
      <c r="R493" s="199" t="str">
        <f t="shared" ref="R493:R556" si="73">+MID(N493,14,8)</f>
        <v>0-205400</v>
      </c>
      <c r="S493" s="207">
        <v>294</v>
      </c>
      <c r="T493" s="208" t="s">
        <v>220</v>
      </c>
      <c r="U493" s="209" t="e">
        <f ca="1">_xlfn.XLOOKUP(PAA[[#This Row],[ITEM]],Contrato!A:A,Contrato!Q:Q,"",0)</f>
        <v>#NAME?</v>
      </c>
      <c r="V493" s="199" t="s">
        <v>47</v>
      </c>
      <c r="W493" s="199" t="s">
        <v>154</v>
      </c>
      <c r="X493" s="199" t="s">
        <v>154</v>
      </c>
      <c r="Y493" s="210" t="e">
        <f ca="1">_xlfn.XLOOKUP(PAA[[#This Row],[ITEM]],Contrato!A:A,Contrato!B:B,"",0)</f>
        <v>#NAME?</v>
      </c>
      <c r="Z493" s="199" t="e">
        <f ca="1">_xlfn.XLOOKUP(PAA[[#This Row],[ITEM]],Contrato!A:A,Contrato!G:G,"",0)</f>
        <v>#NAME?</v>
      </c>
      <c r="AA493" s="199" t="e">
        <f ca="1">_xlfn.XLOOKUP(PAA[[#This Row],[ITEM]],Contrato!A:A,Contrato!T:T,"",0)</f>
        <v>#NAME?</v>
      </c>
      <c r="AB493" s="210" t="e">
        <f ca="1">+MAX(PAA[[#This Row],[Comprometido Contrato]],)</f>
        <v>#NAME?</v>
      </c>
      <c r="AC493" s="210" t="str">
        <f t="shared" ca="1" si="70"/>
        <v/>
      </c>
      <c r="AD493" s="210" t="e">
        <f ca="1">+MAX(PAA[[#This Row],[Pago por Contrato]],)</f>
        <v>#NAME?</v>
      </c>
      <c r="AE493" s="210" t="str">
        <f t="shared" ref="AE493:AE556" ca="1" si="74">+IFERROR(AB493-AD493,"")</f>
        <v/>
      </c>
      <c r="AF493" s="199" t="e">
        <f t="shared" ref="AF493:AF556" ca="1" si="75">+CONCATENATE(AA493,N493)</f>
        <v>#NAME?</v>
      </c>
      <c r="AG493" s="199">
        <f t="shared" ref="AG493:AG556" si="76">IFERROR(_xlfn.NUMBERVALUE(MID(G493,1,8)),"")</f>
        <v>52010802</v>
      </c>
      <c r="AH493" s="199" t="e" cm="1">
        <f t="array" aca="1" ref="AH493" ca="1">_xlfn.XLOOKUP(PAA[[#This Row],[RCP-RUBRO]],COMPROMISOS_2025[[#All],[concatenado]],COMPROMISOS_2025[[#All],[Total pagado]],"",0)</f>
        <v>#NAME?</v>
      </c>
      <c r="AI493" s="199" t="e" cm="1">
        <f t="array" aca="1" ref="AI493" ca="1">_xlfn.XLOOKUP(PAA[[#This Row],[RCP-RUBRO]],COMPROMISOS_2025[[#All],[concatenado]],COMPROMISOS_2025[[#All],[Total Comprometido]],"",0)</f>
        <v>#NAME?</v>
      </c>
    </row>
    <row r="494" spans="1:35" s="50" customFormat="1" ht="42" hidden="1" customHeight="1" x14ac:dyDescent="0.25">
      <c r="A494" s="199">
        <v>394</v>
      </c>
      <c r="B494" s="200">
        <v>80111600</v>
      </c>
      <c r="C494" s="199" t="str">
        <f>VLOOKUP(PAA[[#This Row],[PROYECTO (formulado)2]],PROYECTOS!$G$1:$L$32,6,0)</f>
        <v>SUBGERENCIA DE ALTOS LOGROS Y DEPORTE ASOCIADO</v>
      </c>
      <c r="D494" s="199" t="str">
        <f>+IF(PAA[[#This Row],[UNIDAD DE CONTRATACION (formulado)]]="Subgerencia Administrativa y Financiera","FUNCIONAMIENTO","INVERSIÓN")</f>
        <v>INVERSIÓN</v>
      </c>
      <c r="E494" s="201" t="str">
        <f>VLOOKUP(Q494,PROYECTOS!$G$1:$K$32,5,0)</f>
        <v>Apoyo técnico a atletas y para-atletas que representan en alto rendimiento deportivo al departamento de Antioquia</v>
      </c>
      <c r="F494" s="201">
        <f>VLOOKUP(E494,PROYECTOS!$K$1:$M$32,3,0)</f>
        <v>2024003050084</v>
      </c>
      <c r="G494" s="202" t="s">
        <v>450</v>
      </c>
      <c r="H494" s="202" t="str">
        <f>VLOOKUP(Q494,PROYECTOS!$V$1:$W$32,2,0)</f>
        <v>050079</v>
      </c>
      <c r="I494" s="203">
        <v>50609170</v>
      </c>
      <c r="J494" s="204" t="s">
        <v>592</v>
      </c>
      <c r="K494" s="199" t="str">
        <f t="shared" ca="1" si="71"/>
        <v>CONTRATADO</v>
      </c>
      <c r="L494" s="199" t="s">
        <v>112</v>
      </c>
      <c r="M494" s="199" t="s">
        <v>113</v>
      </c>
      <c r="N494" s="205" t="s">
        <v>452</v>
      </c>
      <c r="O494" s="204">
        <f>VLOOKUP(N494,RUBROS[#All],3,0)</f>
        <v>62</v>
      </c>
      <c r="P494" s="206" t="str">
        <f>VLOOKUP(N494,RUBROS[#All],2,0)</f>
        <v>Apoyo técnico a atletas y para-atletas que representan en alto rendimiento deportivo al departamento de Antioquia. - Servicios para la comunidad, sociales y personales</v>
      </c>
      <c r="Q494" s="199" t="str">
        <f t="shared" si="72"/>
        <v>84</v>
      </c>
      <c r="R494" s="199" t="str">
        <f t="shared" si="73"/>
        <v>0-205400</v>
      </c>
      <c r="S494" s="207">
        <v>294</v>
      </c>
      <c r="T494" s="208" t="s">
        <v>220</v>
      </c>
      <c r="U494" s="209" t="e">
        <f ca="1">_xlfn.XLOOKUP(PAA[[#This Row],[ITEM]],Contrato!A:A,Contrato!Q:Q,"",0)</f>
        <v>#NAME?</v>
      </c>
      <c r="V494" s="199" t="s">
        <v>47</v>
      </c>
      <c r="W494" s="199" t="s">
        <v>154</v>
      </c>
      <c r="X494" s="199" t="s">
        <v>154</v>
      </c>
      <c r="Y494" s="210" t="e">
        <f ca="1">_xlfn.XLOOKUP(PAA[[#This Row],[ITEM]],Contrato!A:A,Contrato!B:B,"",0)</f>
        <v>#NAME?</v>
      </c>
      <c r="Z494" s="199" t="e">
        <f ca="1">_xlfn.XLOOKUP(PAA[[#This Row],[ITEM]],Contrato!A:A,Contrato!G:G,"",0)</f>
        <v>#NAME?</v>
      </c>
      <c r="AA494" s="199" t="e">
        <f ca="1">_xlfn.XLOOKUP(PAA[[#This Row],[ITEM]],Contrato!A:A,Contrato!T:T,"",0)</f>
        <v>#NAME?</v>
      </c>
      <c r="AB494" s="210" t="e">
        <f ca="1">+MAX(PAA[[#This Row],[Comprometido Contrato]],)</f>
        <v>#NAME?</v>
      </c>
      <c r="AC494" s="210" t="str">
        <f t="shared" ca="1" si="70"/>
        <v/>
      </c>
      <c r="AD494" s="210" t="e">
        <f ca="1">+MAX(PAA[[#This Row],[Pago por Contrato]],)</f>
        <v>#NAME?</v>
      </c>
      <c r="AE494" s="210" t="str">
        <f t="shared" ca="1" si="74"/>
        <v/>
      </c>
      <c r="AF494" s="199" t="e">
        <f t="shared" ca="1" si="75"/>
        <v>#NAME?</v>
      </c>
      <c r="AG494" s="199">
        <f t="shared" si="76"/>
        <v>52010802</v>
      </c>
      <c r="AH494" s="199" t="e" cm="1">
        <f t="array" aca="1" ref="AH494" ca="1">_xlfn.XLOOKUP(PAA[[#This Row],[RCP-RUBRO]],COMPROMISOS_2025[[#All],[concatenado]],COMPROMISOS_2025[[#All],[Total pagado]],"",0)</f>
        <v>#NAME?</v>
      </c>
      <c r="AI494" s="199" t="e" cm="1">
        <f t="array" aca="1" ref="AI494" ca="1">_xlfn.XLOOKUP(PAA[[#This Row],[RCP-RUBRO]],COMPROMISOS_2025[[#All],[concatenado]],COMPROMISOS_2025[[#All],[Total Comprometido]],"",0)</f>
        <v>#NAME?</v>
      </c>
    </row>
    <row r="495" spans="1:35" s="50" customFormat="1" ht="42" hidden="1" customHeight="1" x14ac:dyDescent="0.25">
      <c r="A495" s="199">
        <v>395</v>
      </c>
      <c r="B495" s="200">
        <v>80111600</v>
      </c>
      <c r="C495" s="199" t="str">
        <f>VLOOKUP(PAA[[#This Row],[PROYECTO (formulado)2]],PROYECTOS!$G$1:$L$32,6,0)</f>
        <v>SUBGERENCIA DE ALTOS LOGROS Y DEPORTE ASOCIADO</v>
      </c>
      <c r="D495" s="199" t="str">
        <f>+IF(PAA[[#This Row],[UNIDAD DE CONTRATACION (formulado)]]="Subgerencia Administrativa y Financiera","FUNCIONAMIENTO","INVERSIÓN")</f>
        <v>INVERSIÓN</v>
      </c>
      <c r="E495" s="201" t="str">
        <f>VLOOKUP(Q495,PROYECTOS!$G$1:$K$32,5,0)</f>
        <v>Apoyo técnico a atletas y para-atletas que representan en alto rendimiento deportivo al departamento de Antioquia</v>
      </c>
      <c r="F495" s="201">
        <f>VLOOKUP(E495,PROYECTOS!$K$1:$M$32,3,0)</f>
        <v>2024003050084</v>
      </c>
      <c r="G495" s="202" t="s">
        <v>450</v>
      </c>
      <c r="H495" s="202" t="str">
        <f>VLOOKUP(Q495,PROYECTOS!$V$1:$W$32,2,0)</f>
        <v>050079</v>
      </c>
      <c r="I495" s="203">
        <v>50609170</v>
      </c>
      <c r="J495" s="204" t="s">
        <v>593</v>
      </c>
      <c r="K495" s="199" t="str">
        <f t="shared" ca="1" si="71"/>
        <v>CONTRATADO</v>
      </c>
      <c r="L495" s="199" t="s">
        <v>112</v>
      </c>
      <c r="M495" s="199" t="s">
        <v>113</v>
      </c>
      <c r="N495" s="205" t="s">
        <v>452</v>
      </c>
      <c r="O495" s="204">
        <f>VLOOKUP(N495,RUBROS[#All],3,0)</f>
        <v>62</v>
      </c>
      <c r="P495" s="206" t="str">
        <f>VLOOKUP(N495,RUBROS[#All],2,0)</f>
        <v>Apoyo técnico a atletas y para-atletas que representan en alto rendimiento deportivo al departamento de Antioquia. - Servicios para la comunidad, sociales y personales</v>
      </c>
      <c r="Q495" s="199" t="str">
        <f t="shared" si="72"/>
        <v>84</v>
      </c>
      <c r="R495" s="199" t="str">
        <f t="shared" si="73"/>
        <v>0-205400</v>
      </c>
      <c r="S495" s="207">
        <v>294</v>
      </c>
      <c r="T495" s="208" t="s">
        <v>220</v>
      </c>
      <c r="U495" s="209" t="e">
        <f ca="1">_xlfn.XLOOKUP(PAA[[#This Row],[ITEM]],Contrato!A:A,Contrato!Q:Q,"",0)</f>
        <v>#NAME?</v>
      </c>
      <c r="V495" s="199" t="s">
        <v>47</v>
      </c>
      <c r="W495" s="199" t="s">
        <v>154</v>
      </c>
      <c r="X495" s="199" t="s">
        <v>154</v>
      </c>
      <c r="Y495" s="210" t="e">
        <f ca="1">_xlfn.XLOOKUP(PAA[[#This Row],[ITEM]],Contrato!A:A,Contrato!B:B,"",0)</f>
        <v>#NAME?</v>
      </c>
      <c r="Z495" s="199" t="e">
        <f ca="1">_xlfn.XLOOKUP(PAA[[#This Row],[ITEM]],Contrato!A:A,Contrato!G:G,"",0)</f>
        <v>#NAME?</v>
      </c>
      <c r="AA495" s="199" t="e">
        <f ca="1">_xlfn.XLOOKUP(PAA[[#This Row],[ITEM]],Contrato!A:A,Contrato!T:T,"",0)</f>
        <v>#NAME?</v>
      </c>
      <c r="AB495" s="210" t="e">
        <f ca="1">+MAX(PAA[[#This Row],[Comprometido Contrato]],)</f>
        <v>#NAME?</v>
      </c>
      <c r="AC495" s="210" t="str">
        <f t="shared" ca="1" si="70"/>
        <v/>
      </c>
      <c r="AD495" s="210" t="e">
        <f ca="1">+MAX(PAA[[#This Row],[Pago por Contrato]],)</f>
        <v>#NAME?</v>
      </c>
      <c r="AE495" s="210" t="str">
        <f t="shared" ca="1" si="74"/>
        <v/>
      </c>
      <c r="AF495" s="199" t="e">
        <f t="shared" ca="1" si="75"/>
        <v>#NAME?</v>
      </c>
      <c r="AG495" s="199">
        <f t="shared" si="76"/>
        <v>52010802</v>
      </c>
      <c r="AH495" s="199" t="e" cm="1">
        <f t="array" aca="1" ref="AH495" ca="1">_xlfn.XLOOKUP(PAA[[#This Row],[RCP-RUBRO]],COMPROMISOS_2025[[#All],[concatenado]],COMPROMISOS_2025[[#All],[Total pagado]],"",0)</f>
        <v>#NAME?</v>
      </c>
      <c r="AI495" s="199" t="e" cm="1">
        <f t="array" aca="1" ref="AI495" ca="1">_xlfn.XLOOKUP(PAA[[#This Row],[RCP-RUBRO]],COMPROMISOS_2025[[#All],[concatenado]],COMPROMISOS_2025[[#All],[Total Comprometido]],"",0)</f>
        <v>#NAME?</v>
      </c>
    </row>
    <row r="496" spans="1:35" s="50" customFormat="1" ht="42" hidden="1" customHeight="1" x14ac:dyDescent="0.25">
      <c r="A496" s="199">
        <v>396</v>
      </c>
      <c r="B496" s="200">
        <v>80111600</v>
      </c>
      <c r="C496" s="199" t="str">
        <f>VLOOKUP(PAA[[#This Row],[PROYECTO (formulado)2]],PROYECTOS!$G$1:$L$32,6,0)</f>
        <v>SUBGERENCIA DE ALTOS LOGROS Y DEPORTE ASOCIADO</v>
      </c>
      <c r="D496" s="199" t="str">
        <f>+IF(PAA[[#This Row],[UNIDAD DE CONTRATACION (formulado)]]="Subgerencia Administrativa y Financiera","FUNCIONAMIENTO","INVERSIÓN")</f>
        <v>INVERSIÓN</v>
      </c>
      <c r="E496" s="201" t="str">
        <f>VLOOKUP(Q496,PROYECTOS!$G$1:$K$32,5,0)</f>
        <v>Apoyo técnico a atletas y para-atletas que representan en alto rendimiento deportivo al departamento de Antioquia</v>
      </c>
      <c r="F496" s="201">
        <f>VLOOKUP(E496,PROYECTOS!$K$1:$M$32,3,0)</f>
        <v>2024003050084</v>
      </c>
      <c r="G496" s="202" t="s">
        <v>450</v>
      </c>
      <c r="H496" s="202" t="str">
        <f>VLOOKUP(Q496,PROYECTOS!$V$1:$W$32,2,0)</f>
        <v>050079</v>
      </c>
      <c r="I496" s="203">
        <v>50609170</v>
      </c>
      <c r="J496" s="204" t="s">
        <v>594</v>
      </c>
      <c r="K496" s="199" t="str">
        <f t="shared" ca="1" si="71"/>
        <v>CONTRATADO</v>
      </c>
      <c r="L496" s="199" t="s">
        <v>112</v>
      </c>
      <c r="M496" s="199" t="s">
        <v>113</v>
      </c>
      <c r="N496" s="205" t="s">
        <v>452</v>
      </c>
      <c r="O496" s="204">
        <f>VLOOKUP(N496,RUBROS[#All],3,0)</f>
        <v>62</v>
      </c>
      <c r="P496" s="206" t="str">
        <f>VLOOKUP(N496,RUBROS[#All],2,0)</f>
        <v>Apoyo técnico a atletas y para-atletas que representan en alto rendimiento deportivo al departamento de Antioquia. - Servicios para la comunidad, sociales y personales</v>
      </c>
      <c r="Q496" s="199" t="str">
        <f t="shared" si="72"/>
        <v>84</v>
      </c>
      <c r="R496" s="199" t="str">
        <f t="shared" si="73"/>
        <v>0-205400</v>
      </c>
      <c r="S496" s="207">
        <v>294</v>
      </c>
      <c r="T496" s="208" t="s">
        <v>220</v>
      </c>
      <c r="U496" s="209" t="e">
        <f ca="1">_xlfn.XLOOKUP(PAA[[#This Row],[ITEM]],Contrato!A:A,Contrato!Q:Q,"",0)</f>
        <v>#NAME?</v>
      </c>
      <c r="V496" s="199" t="s">
        <v>47</v>
      </c>
      <c r="W496" s="199" t="s">
        <v>154</v>
      </c>
      <c r="X496" s="199" t="s">
        <v>154</v>
      </c>
      <c r="Y496" s="210" t="e">
        <f ca="1">_xlfn.XLOOKUP(PAA[[#This Row],[ITEM]],Contrato!A:A,Contrato!B:B,"",0)</f>
        <v>#NAME?</v>
      </c>
      <c r="Z496" s="199" t="e">
        <f ca="1">_xlfn.XLOOKUP(PAA[[#This Row],[ITEM]],Contrato!A:A,Contrato!G:G,"",0)</f>
        <v>#NAME?</v>
      </c>
      <c r="AA496" s="199" t="e">
        <f ca="1">_xlfn.XLOOKUP(PAA[[#This Row],[ITEM]],Contrato!A:A,Contrato!T:T,"",0)</f>
        <v>#NAME?</v>
      </c>
      <c r="AB496" s="210" t="e">
        <f ca="1">+MAX(PAA[[#This Row],[Comprometido Contrato]],)</f>
        <v>#NAME?</v>
      </c>
      <c r="AC496" s="210" t="str">
        <f t="shared" ca="1" si="70"/>
        <v/>
      </c>
      <c r="AD496" s="210" t="e">
        <f ca="1">+MAX(PAA[[#This Row],[Pago por Contrato]],)</f>
        <v>#NAME?</v>
      </c>
      <c r="AE496" s="210" t="str">
        <f t="shared" ca="1" si="74"/>
        <v/>
      </c>
      <c r="AF496" s="199" t="e">
        <f t="shared" ca="1" si="75"/>
        <v>#NAME?</v>
      </c>
      <c r="AG496" s="199">
        <f t="shared" si="76"/>
        <v>52010802</v>
      </c>
      <c r="AH496" s="199" t="e" cm="1">
        <f t="array" aca="1" ref="AH496" ca="1">_xlfn.XLOOKUP(PAA[[#This Row],[RCP-RUBRO]],COMPROMISOS_2025[[#All],[concatenado]],COMPROMISOS_2025[[#All],[Total pagado]],"",0)</f>
        <v>#NAME?</v>
      </c>
      <c r="AI496" s="199" t="e" cm="1">
        <f t="array" aca="1" ref="AI496" ca="1">_xlfn.XLOOKUP(PAA[[#This Row],[RCP-RUBRO]],COMPROMISOS_2025[[#All],[concatenado]],COMPROMISOS_2025[[#All],[Total Comprometido]],"",0)</f>
        <v>#NAME?</v>
      </c>
    </row>
    <row r="497" spans="1:35" s="50" customFormat="1" ht="42" hidden="1" customHeight="1" x14ac:dyDescent="0.25">
      <c r="A497" s="199">
        <v>397</v>
      </c>
      <c r="B497" s="200">
        <v>80111600</v>
      </c>
      <c r="C497" s="199" t="str">
        <f>VLOOKUP(PAA[[#This Row],[PROYECTO (formulado)2]],PROYECTOS!$G$1:$L$32,6,0)</f>
        <v>SUBGERENCIA DE ALTOS LOGROS Y DEPORTE ASOCIADO</v>
      </c>
      <c r="D497" s="199" t="str">
        <f>+IF(PAA[[#This Row],[UNIDAD DE CONTRATACION (formulado)]]="Subgerencia Administrativa y Financiera","FUNCIONAMIENTO","INVERSIÓN")</f>
        <v>INVERSIÓN</v>
      </c>
      <c r="E497" s="201" t="str">
        <f>VLOOKUP(Q497,PROYECTOS!$G$1:$K$32,5,0)</f>
        <v>Apoyo técnico a atletas y para-atletas que representan en alto rendimiento deportivo al departamento de Antioquia</v>
      </c>
      <c r="F497" s="201">
        <f>VLOOKUP(E497,PROYECTOS!$K$1:$M$32,3,0)</f>
        <v>2024003050084</v>
      </c>
      <c r="G497" s="202" t="s">
        <v>450</v>
      </c>
      <c r="H497" s="202" t="str">
        <f>VLOOKUP(Q497,PROYECTOS!$V$1:$W$32,2,0)</f>
        <v>050079</v>
      </c>
      <c r="I497" s="203">
        <v>50609170</v>
      </c>
      <c r="J497" s="204" t="s">
        <v>595</v>
      </c>
      <c r="K497" s="199" t="str">
        <f t="shared" ca="1" si="71"/>
        <v>CONTRATADO</v>
      </c>
      <c r="L497" s="199" t="s">
        <v>112</v>
      </c>
      <c r="M497" s="199" t="s">
        <v>113</v>
      </c>
      <c r="N497" s="205" t="s">
        <v>452</v>
      </c>
      <c r="O497" s="204">
        <f>VLOOKUP(N497,RUBROS[#All],3,0)</f>
        <v>62</v>
      </c>
      <c r="P497" s="206" t="str">
        <f>VLOOKUP(N497,RUBROS[#All],2,0)</f>
        <v>Apoyo técnico a atletas y para-atletas que representan en alto rendimiento deportivo al departamento de Antioquia. - Servicios para la comunidad, sociales y personales</v>
      </c>
      <c r="Q497" s="199" t="str">
        <f t="shared" si="72"/>
        <v>84</v>
      </c>
      <c r="R497" s="199" t="str">
        <f t="shared" si="73"/>
        <v>0-205400</v>
      </c>
      <c r="S497" s="207">
        <v>294</v>
      </c>
      <c r="T497" s="208" t="s">
        <v>220</v>
      </c>
      <c r="U497" s="209" t="e">
        <f ca="1">_xlfn.XLOOKUP(PAA[[#This Row],[ITEM]],Contrato!A:A,Contrato!Q:Q,"",0)</f>
        <v>#NAME?</v>
      </c>
      <c r="V497" s="199" t="s">
        <v>47</v>
      </c>
      <c r="W497" s="199" t="s">
        <v>154</v>
      </c>
      <c r="X497" s="199" t="s">
        <v>154</v>
      </c>
      <c r="Y497" s="210" t="e">
        <f ca="1">_xlfn.XLOOKUP(PAA[[#This Row],[ITEM]],Contrato!A:A,Contrato!B:B,"",0)</f>
        <v>#NAME?</v>
      </c>
      <c r="Z497" s="199" t="e">
        <f ca="1">_xlfn.XLOOKUP(PAA[[#This Row],[ITEM]],Contrato!A:A,Contrato!G:G,"",0)</f>
        <v>#NAME?</v>
      </c>
      <c r="AA497" s="199" t="e">
        <f ca="1">_xlfn.XLOOKUP(PAA[[#This Row],[ITEM]],Contrato!A:A,Contrato!T:T,"",0)</f>
        <v>#NAME?</v>
      </c>
      <c r="AB497" s="210" t="e">
        <f ca="1">+MAX(PAA[[#This Row],[Comprometido Contrato]],)</f>
        <v>#NAME?</v>
      </c>
      <c r="AC497" s="210" t="str">
        <f t="shared" ca="1" si="70"/>
        <v/>
      </c>
      <c r="AD497" s="210" t="e">
        <f ca="1">+MAX(PAA[[#This Row],[Pago por Contrato]],)</f>
        <v>#NAME?</v>
      </c>
      <c r="AE497" s="210" t="str">
        <f t="shared" ca="1" si="74"/>
        <v/>
      </c>
      <c r="AF497" s="199" t="e">
        <f t="shared" ca="1" si="75"/>
        <v>#NAME?</v>
      </c>
      <c r="AG497" s="199">
        <f t="shared" si="76"/>
        <v>52010802</v>
      </c>
      <c r="AH497" s="199" t="e" cm="1">
        <f t="array" aca="1" ref="AH497" ca="1">_xlfn.XLOOKUP(PAA[[#This Row],[RCP-RUBRO]],COMPROMISOS_2025[[#All],[concatenado]],COMPROMISOS_2025[[#All],[Total pagado]],"",0)</f>
        <v>#NAME?</v>
      </c>
      <c r="AI497" s="199" t="e" cm="1">
        <f t="array" aca="1" ref="AI497" ca="1">_xlfn.XLOOKUP(PAA[[#This Row],[RCP-RUBRO]],COMPROMISOS_2025[[#All],[concatenado]],COMPROMISOS_2025[[#All],[Total Comprometido]],"",0)</f>
        <v>#NAME?</v>
      </c>
    </row>
    <row r="498" spans="1:35" s="50" customFormat="1" ht="42" hidden="1" customHeight="1" x14ac:dyDescent="0.25">
      <c r="A498" s="199">
        <v>398</v>
      </c>
      <c r="B498" s="200">
        <v>80111600</v>
      </c>
      <c r="C498" s="199" t="str">
        <f>VLOOKUP(PAA[[#This Row],[PROYECTO (formulado)2]],PROYECTOS!$G$1:$L$32,6,0)</f>
        <v>SUBGERENCIA DE ALTOS LOGROS Y DEPORTE ASOCIADO</v>
      </c>
      <c r="D498" s="199" t="str">
        <f>+IF(PAA[[#This Row],[UNIDAD DE CONTRATACION (formulado)]]="Subgerencia Administrativa y Financiera","FUNCIONAMIENTO","INVERSIÓN")</f>
        <v>INVERSIÓN</v>
      </c>
      <c r="E498" s="201" t="str">
        <f>VLOOKUP(Q498,PROYECTOS!$G$1:$K$32,5,0)</f>
        <v>Apoyo técnico a atletas y para-atletas que representan en alto rendimiento deportivo al departamento de Antioquia</v>
      </c>
      <c r="F498" s="201">
        <f>VLOOKUP(E498,PROYECTOS!$K$1:$M$32,3,0)</f>
        <v>2024003050084</v>
      </c>
      <c r="G498" s="202" t="s">
        <v>450</v>
      </c>
      <c r="H498" s="202" t="str">
        <f>VLOOKUP(Q498,PROYECTOS!$V$1:$W$32,2,0)</f>
        <v>050079</v>
      </c>
      <c r="I498" s="203">
        <v>50609170</v>
      </c>
      <c r="J498" s="204" t="s">
        <v>596</v>
      </c>
      <c r="K498" s="199" t="str">
        <f t="shared" ca="1" si="71"/>
        <v>CONTRATADO</v>
      </c>
      <c r="L498" s="199" t="s">
        <v>112</v>
      </c>
      <c r="M498" s="199" t="s">
        <v>113</v>
      </c>
      <c r="N498" s="205" t="s">
        <v>452</v>
      </c>
      <c r="O498" s="204">
        <f>VLOOKUP(N498,RUBROS[#All],3,0)</f>
        <v>62</v>
      </c>
      <c r="P498" s="206" t="str">
        <f>VLOOKUP(N498,RUBROS[#All],2,0)</f>
        <v>Apoyo técnico a atletas y para-atletas que representan en alto rendimiento deportivo al departamento de Antioquia. - Servicios para la comunidad, sociales y personales</v>
      </c>
      <c r="Q498" s="199" t="str">
        <f t="shared" si="72"/>
        <v>84</v>
      </c>
      <c r="R498" s="199" t="str">
        <f t="shared" si="73"/>
        <v>0-205400</v>
      </c>
      <c r="S498" s="207">
        <v>294</v>
      </c>
      <c r="T498" s="208" t="s">
        <v>220</v>
      </c>
      <c r="U498" s="209" t="e">
        <f ca="1">_xlfn.XLOOKUP(PAA[[#This Row],[ITEM]],Contrato!A:A,Contrato!Q:Q,"",0)</f>
        <v>#NAME?</v>
      </c>
      <c r="V498" s="199" t="s">
        <v>47</v>
      </c>
      <c r="W498" s="199" t="s">
        <v>154</v>
      </c>
      <c r="X498" s="199" t="s">
        <v>154</v>
      </c>
      <c r="Y498" s="210" t="e">
        <f ca="1">_xlfn.XLOOKUP(PAA[[#This Row],[ITEM]],Contrato!A:A,Contrato!B:B,"",0)</f>
        <v>#NAME?</v>
      </c>
      <c r="Z498" s="199" t="e">
        <f ca="1">_xlfn.XLOOKUP(PAA[[#This Row],[ITEM]],Contrato!A:A,Contrato!G:G,"",0)</f>
        <v>#NAME?</v>
      </c>
      <c r="AA498" s="199" t="e">
        <f ca="1">_xlfn.XLOOKUP(PAA[[#This Row],[ITEM]],Contrato!A:A,Contrato!T:T,"",0)</f>
        <v>#NAME?</v>
      </c>
      <c r="AB498" s="210" t="e">
        <f ca="1">+MAX(PAA[[#This Row],[Comprometido Contrato]],)</f>
        <v>#NAME?</v>
      </c>
      <c r="AC498" s="210" t="str">
        <f t="shared" ca="1" si="70"/>
        <v/>
      </c>
      <c r="AD498" s="210" t="e">
        <f ca="1">+MAX(PAA[[#This Row],[Pago por Contrato]],)</f>
        <v>#NAME?</v>
      </c>
      <c r="AE498" s="210" t="str">
        <f t="shared" ca="1" si="74"/>
        <v/>
      </c>
      <c r="AF498" s="199" t="e">
        <f t="shared" ca="1" si="75"/>
        <v>#NAME?</v>
      </c>
      <c r="AG498" s="199">
        <f t="shared" si="76"/>
        <v>52010802</v>
      </c>
      <c r="AH498" s="199" t="e" cm="1">
        <f t="array" aca="1" ref="AH498" ca="1">_xlfn.XLOOKUP(PAA[[#This Row],[RCP-RUBRO]],COMPROMISOS_2025[[#All],[concatenado]],COMPROMISOS_2025[[#All],[Total pagado]],"",0)</f>
        <v>#NAME?</v>
      </c>
      <c r="AI498" s="199" t="e" cm="1">
        <f t="array" aca="1" ref="AI498" ca="1">_xlfn.XLOOKUP(PAA[[#This Row],[RCP-RUBRO]],COMPROMISOS_2025[[#All],[concatenado]],COMPROMISOS_2025[[#All],[Total Comprometido]],"",0)</f>
        <v>#NAME?</v>
      </c>
    </row>
    <row r="499" spans="1:35" s="50" customFormat="1" ht="42" hidden="1" customHeight="1" x14ac:dyDescent="0.25">
      <c r="A499" s="199">
        <v>399</v>
      </c>
      <c r="B499" s="200">
        <v>80111600</v>
      </c>
      <c r="C499" s="199" t="str">
        <f>VLOOKUP(PAA[[#This Row],[PROYECTO (formulado)2]],PROYECTOS!$G$1:$L$32,6,0)</f>
        <v>SUBGERENCIA DE ALTOS LOGROS Y DEPORTE ASOCIADO</v>
      </c>
      <c r="D499" s="199" t="str">
        <f>+IF(PAA[[#This Row],[UNIDAD DE CONTRATACION (formulado)]]="Subgerencia Administrativa y Financiera","FUNCIONAMIENTO","INVERSIÓN")</f>
        <v>INVERSIÓN</v>
      </c>
      <c r="E499" s="201" t="str">
        <f>VLOOKUP(Q499,PROYECTOS!$G$1:$K$32,5,0)</f>
        <v>Apoyo técnico a atletas y para-atletas que representan en alto rendimiento deportivo al departamento de Antioquia</v>
      </c>
      <c r="F499" s="201">
        <f>VLOOKUP(E499,PROYECTOS!$K$1:$M$32,3,0)</f>
        <v>2024003050084</v>
      </c>
      <c r="G499" s="202" t="s">
        <v>450</v>
      </c>
      <c r="H499" s="202" t="str">
        <f>VLOOKUP(Q499,PROYECTOS!$V$1:$W$32,2,0)</f>
        <v>050079</v>
      </c>
      <c r="I499" s="203">
        <v>101543523</v>
      </c>
      <c r="J499" s="204" t="s">
        <v>597</v>
      </c>
      <c r="K499" s="199" t="str">
        <f t="shared" ca="1" si="71"/>
        <v>CONTRATADO</v>
      </c>
      <c r="L499" s="199" t="s">
        <v>112</v>
      </c>
      <c r="M499" s="199" t="s">
        <v>113</v>
      </c>
      <c r="N499" s="205" t="s">
        <v>452</v>
      </c>
      <c r="O499" s="204">
        <f>VLOOKUP(N499,RUBROS[#All],3,0)</f>
        <v>62</v>
      </c>
      <c r="P499" s="206" t="str">
        <f>VLOOKUP(N499,RUBROS[#All],2,0)</f>
        <v>Apoyo técnico a atletas y para-atletas que representan en alto rendimiento deportivo al departamento de Antioquia. - Servicios para la comunidad, sociales y personales</v>
      </c>
      <c r="Q499" s="199" t="str">
        <f t="shared" si="72"/>
        <v>84</v>
      </c>
      <c r="R499" s="199" t="str">
        <f t="shared" si="73"/>
        <v>0-205400</v>
      </c>
      <c r="S499" s="207">
        <v>294</v>
      </c>
      <c r="T499" s="208" t="s">
        <v>220</v>
      </c>
      <c r="U499" s="209" t="e">
        <f ca="1">_xlfn.XLOOKUP(PAA[[#This Row],[ITEM]],Contrato!A:A,Contrato!Q:Q,"",0)</f>
        <v>#NAME?</v>
      </c>
      <c r="V499" s="199" t="s">
        <v>47</v>
      </c>
      <c r="W499" s="199" t="s">
        <v>154</v>
      </c>
      <c r="X499" s="199" t="s">
        <v>154</v>
      </c>
      <c r="Y499" s="210" t="e">
        <f ca="1">_xlfn.XLOOKUP(PAA[[#This Row],[ITEM]],Contrato!A:A,Contrato!B:B,"",0)</f>
        <v>#NAME?</v>
      </c>
      <c r="Z499" s="199" t="e">
        <f ca="1">_xlfn.XLOOKUP(PAA[[#This Row],[ITEM]],Contrato!A:A,Contrato!G:G,"",0)</f>
        <v>#NAME?</v>
      </c>
      <c r="AA499" s="199" t="e">
        <f ca="1">_xlfn.XLOOKUP(PAA[[#This Row],[ITEM]],Contrato!A:A,Contrato!T:T,"",0)</f>
        <v>#NAME?</v>
      </c>
      <c r="AB499" s="210" t="e">
        <f ca="1">+MAX(PAA[[#This Row],[Comprometido Contrato]],)</f>
        <v>#NAME?</v>
      </c>
      <c r="AC499" s="210" t="str">
        <f t="shared" ca="1" si="70"/>
        <v/>
      </c>
      <c r="AD499" s="210" t="e">
        <f ca="1">+MAX(PAA[[#This Row],[Pago por Contrato]],)</f>
        <v>#NAME?</v>
      </c>
      <c r="AE499" s="210" t="str">
        <f t="shared" ca="1" si="74"/>
        <v/>
      </c>
      <c r="AF499" s="199" t="e">
        <f t="shared" ca="1" si="75"/>
        <v>#NAME?</v>
      </c>
      <c r="AG499" s="199">
        <f t="shared" si="76"/>
        <v>52010802</v>
      </c>
      <c r="AH499" s="199" t="e" cm="1">
        <f t="array" aca="1" ref="AH499" ca="1">_xlfn.XLOOKUP(PAA[[#This Row],[RCP-RUBRO]],COMPROMISOS_2025[[#All],[concatenado]],COMPROMISOS_2025[[#All],[Total pagado]],"",0)</f>
        <v>#NAME?</v>
      </c>
      <c r="AI499" s="199" t="e" cm="1">
        <f t="array" aca="1" ref="AI499" ca="1">_xlfn.XLOOKUP(PAA[[#This Row],[RCP-RUBRO]],COMPROMISOS_2025[[#All],[concatenado]],COMPROMISOS_2025[[#All],[Total Comprometido]],"",0)</f>
        <v>#NAME?</v>
      </c>
    </row>
    <row r="500" spans="1:35" s="50" customFormat="1" ht="42" hidden="1" customHeight="1" x14ac:dyDescent="0.25">
      <c r="A500" s="199">
        <v>400</v>
      </c>
      <c r="B500" s="200">
        <v>80111600</v>
      </c>
      <c r="C500" s="199" t="str">
        <f>VLOOKUP(PAA[[#This Row],[PROYECTO (formulado)2]],PROYECTOS!$G$1:$L$32,6,0)</f>
        <v>SUBGERENCIA DE ALTOS LOGROS Y DEPORTE ASOCIADO</v>
      </c>
      <c r="D500" s="199" t="str">
        <f>+IF(PAA[[#This Row],[UNIDAD DE CONTRATACION (formulado)]]="Subgerencia Administrativa y Financiera","FUNCIONAMIENTO","INVERSIÓN")</f>
        <v>INVERSIÓN</v>
      </c>
      <c r="E500" s="201" t="str">
        <f>VLOOKUP(Q500,PROYECTOS!$G$1:$K$32,5,0)</f>
        <v>Apoyo técnico a atletas y para-atletas que representan en alto rendimiento deportivo al departamento de Antioquia</v>
      </c>
      <c r="F500" s="201">
        <f>VLOOKUP(E500,PROYECTOS!$K$1:$M$32,3,0)</f>
        <v>2024003050084</v>
      </c>
      <c r="G500" s="202" t="s">
        <v>450</v>
      </c>
      <c r="H500" s="202" t="str">
        <f>VLOOKUP(Q500,PROYECTOS!$V$1:$W$32,2,0)</f>
        <v>050079</v>
      </c>
      <c r="I500" s="203">
        <v>61147776</v>
      </c>
      <c r="J500" s="204" t="s">
        <v>598</v>
      </c>
      <c r="K500" s="199" t="str">
        <f t="shared" ca="1" si="71"/>
        <v>CONTRATADO</v>
      </c>
      <c r="L500" s="199" t="s">
        <v>112</v>
      </c>
      <c r="M500" s="199" t="s">
        <v>113</v>
      </c>
      <c r="N500" s="205" t="s">
        <v>452</v>
      </c>
      <c r="O500" s="204">
        <f>VLOOKUP(N500,RUBROS[#All],3,0)</f>
        <v>62</v>
      </c>
      <c r="P500" s="206" t="str">
        <f>VLOOKUP(N500,RUBROS[#All],2,0)</f>
        <v>Apoyo técnico a atletas y para-atletas que representan en alto rendimiento deportivo al departamento de Antioquia. - Servicios para la comunidad, sociales y personales</v>
      </c>
      <c r="Q500" s="199" t="str">
        <f t="shared" si="72"/>
        <v>84</v>
      </c>
      <c r="R500" s="199" t="str">
        <f t="shared" si="73"/>
        <v>0-205400</v>
      </c>
      <c r="S500" s="207">
        <v>294</v>
      </c>
      <c r="T500" s="208" t="s">
        <v>220</v>
      </c>
      <c r="U500" s="209" t="e">
        <f ca="1">_xlfn.XLOOKUP(PAA[[#This Row],[ITEM]],Contrato!A:A,Contrato!Q:Q,"",0)</f>
        <v>#NAME?</v>
      </c>
      <c r="V500" s="199" t="s">
        <v>47</v>
      </c>
      <c r="W500" s="199" t="s">
        <v>154</v>
      </c>
      <c r="X500" s="199" t="s">
        <v>154</v>
      </c>
      <c r="Y500" s="210" t="e">
        <f ca="1">_xlfn.XLOOKUP(PAA[[#This Row],[ITEM]],Contrato!A:A,Contrato!B:B,"",0)</f>
        <v>#NAME?</v>
      </c>
      <c r="Z500" s="199" t="e">
        <f ca="1">_xlfn.XLOOKUP(PAA[[#This Row],[ITEM]],Contrato!A:A,Contrato!G:G,"",0)</f>
        <v>#NAME?</v>
      </c>
      <c r="AA500" s="199" t="e">
        <f ca="1">_xlfn.XLOOKUP(PAA[[#This Row],[ITEM]],Contrato!A:A,Contrato!T:T,"",0)</f>
        <v>#NAME?</v>
      </c>
      <c r="AB500" s="210" t="e">
        <f ca="1">+MAX(PAA[[#This Row],[Comprometido Contrato]],)</f>
        <v>#NAME?</v>
      </c>
      <c r="AC500" s="210" t="str">
        <f t="shared" ca="1" si="70"/>
        <v/>
      </c>
      <c r="AD500" s="210" t="e">
        <f ca="1">+MAX(PAA[[#This Row],[Pago por Contrato]],)</f>
        <v>#NAME?</v>
      </c>
      <c r="AE500" s="210" t="str">
        <f t="shared" ca="1" si="74"/>
        <v/>
      </c>
      <c r="AF500" s="199" t="e">
        <f t="shared" ca="1" si="75"/>
        <v>#NAME?</v>
      </c>
      <c r="AG500" s="199">
        <f t="shared" si="76"/>
        <v>52010802</v>
      </c>
      <c r="AH500" s="199" t="e" cm="1">
        <f t="array" aca="1" ref="AH500" ca="1">_xlfn.XLOOKUP(PAA[[#This Row],[RCP-RUBRO]],COMPROMISOS_2025[[#All],[concatenado]],COMPROMISOS_2025[[#All],[Total pagado]],"",0)</f>
        <v>#NAME?</v>
      </c>
      <c r="AI500" s="199" t="e" cm="1">
        <f t="array" aca="1" ref="AI500" ca="1">_xlfn.XLOOKUP(PAA[[#This Row],[RCP-RUBRO]],COMPROMISOS_2025[[#All],[concatenado]],COMPROMISOS_2025[[#All],[Total Comprometido]],"",0)</f>
        <v>#NAME?</v>
      </c>
    </row>
    <row r="501" spans="1:35" s="50" customFormat="1" ht="42" hidden="1" customHeight="1" x14ac:dyDescent="0.25">
      <c r="A501" s="199">
        <v>401</v>
      </c>
      <c r="B501" s="200">
        <v>80111600</v>
      </c>
      <c r="C501" s="199" t="str">
        <f>VLOOKUP(PAA[[#This Row],[PROYECTO (formulado)2]],PROYECTOS!$G$1:$L$32,6,0)</f>
        <v>SUBGERENCIA DE ALTOS LOGROS Y DEPORTE ASOCIADO</v>
      </c>
      <c r="D501" s="199" t="str">
        <f>+IF(PAA[[#This Row],[UNIDAD DE CONTRATACION (formulado)]]="Subgerencia Administrativa y Financiera","FUNCIONAMIENTO","INVERSIÓN")</f>
        <v>INVERSIÓN</v>
      </c>
      <c r="E501" s="201" t="str">
        <f>VLOOKUP(Q501,PROYECTOS!$G$1:$K$32,5,0)</f>
        <v>Apoyo técnico a atletas y para-atletas que representan en alto rendimiento deportivo al departamento de Antioquia</v>
      </c>
      <c r="F501" s="201">
        <f>VLOOKUP(E501,PROYECTOS!$K$1:$M$32,3,0)</f>
        <v>2024003050084</v>
      </c>
      <c r="G501" s="202" t="s">
        <v>450</v>
      </c>
      <c r="H501" s="202" t="str">
        <f>VLOOKUP(Q501,PROYECTOS!$V$1:$W$32,2,0)</f>
        <v>050079</v>
      </c>
      <c r="I501" s="203">
        <v>26545593</v>
      </c>
      <c r="J501" s="204" t="s">
        <v>599</v>
      </c>
      <c r="K501" s="199" t="str">
        <f t="shared" ca="1" si="71"/>
        <v>CONTRATADO</v>
      </c>
      <c r="L501" s="199" t="s">
        <v>112</v>
      </c>
      <c r="M501" s="199" t="s">
        <v>113</v>
      </c>
      <c r="N501" s="205" t="s">
        <v>452</v>
      </c>
      <c r="O501" s="204">
        <f>VLOOKUP(N501,RUBROS[#All],3,0)</f>
        <v>62</v>
      </c>
      <c r="P501" s="206" t="str">
        <f>VLOOKUP(N501,RUBROS[#All],2,0)</f>
        <v>Apoyo técnico a atletas y para-atletas que representan en alto rendimiento deportivo al departamento de Antioquia. - Servicios para la comunidad, sociales y personales</v>
      </c>
      <c r="Q501" s="199" t="str">
        <f t="shared" si="72"/>
        <v>84</v>
      </c>
      <c r="R501" s="199" t="str">
        <f t="shared" si="73"/>
        <v>0-205400</v>
      </c>
      <c r="S501" s="207">
        <v>294</v>
      </c>
      <c r="T501" s="208" t="s">
        <v>220</v>
      </c>
      <c r="U501" s="209" t="e">
        <f ca="1">_xlfn.XLOOKUP(PAA[[#This Row],[ITEM]],Contrato!A:A,Contrato!Q:Q,"",0)</f>
        <v>#NAME?</v>
      </c>
      <c r="V501" s="199" t="s">
        <v>47</v>
      </c>
      <c r="W501" s="199" t="s">
        <v>154</v>
      </c>
      <c r="X501" s="199" t="s">
        <v>154</v>
      </c>
      <c r="Y501" s="210" t="e">
        <f ca="1">_xlfn.XLOOKUP(PAA[[#This Row],[ITEM]],Contrato!A:A,Contrato!B:B,"",0)</f>
        <v>#NAME?</v>
      </c>
      <c r="Z501" s="199" t="e">
        <f ca="1">_xlfn.XLOOKUP(PAA[[#This Row],[ITEM]],Contrato!A:A,Contrato!G:G,"",0)</f>
        <v>#NAME?</v>
      </c>
      <c r="AA501" s="199" t="e">
        <f ca="1">_xlfn.XLOOKUP(PAA[[#This Row],[ITEM]],Contrato!A:A,Contrato!T:T,"",0)</f>
        <v>#NAME?</v>
      </c>
      <c r="AB501" s="210" t="e">
        <f ca="1">+MAX(PAA[[#This Row],[Comprometido Contrato]],)</f>
        <v>#NAME?</v>
      </c>
      <c r="AC501" s="210" t="str">
        <f t="shared" ca="1" si="70"/>
        <v/>
      </c>
      <c r="AD501" s="210" t="e">
        <f ca="1">+MAX(PAA[[#This Row],[Pago por Contrato]],)</f>
        <v>#NAME?</v>
      </c>
      <c r="AE501" s="210" t="str">
        <f t="shared" ca="1" si="74"/>
        <v/>
      </c>
      <c r="AF501" s="199" t="e">
        <f t="shared" ca="1" si="75"/>
        <v>#NAME?</v>
      </c>
      <c r="AG501" s="199">
        <f t="shared" si="76"/>
        <v>52010802</v>
      </c>
      <c r="AH501" s="199" t="e" cm="1">
        <f t="array" aca="1" ref="AH501" ca="1">_xlfn.XLOOKUP(PAA[[#This Row],[RCP-RUBRO]],COMPROMISOS_2025[[#All],[concatenado]],COMPROMISOS_2025[[#All],[Total pagado]],"",0)</f>
        <v>#NAME?</v>
      </c>
      <c r="AI501" s="199" t="e" cm="1">
        <f t="array" aca="1" ref="AI501" ca="1">_xlfn.XLOOKUP(PAA[[#This Row],[RCP-RUBRO]],COMPROMISOS_2025[[#All],[concatenado]],COMPROMISOS_2025[[#All],[Total Comprometido]],"",0)</f>
        <v>#NAME?</v>
      </c>
    </row>
    <row r="502" spans="1:35" s="50" customFormat="1" ht="42" hidden="1" customHeight="1" x14ac:dyDescent="0.25">
      <c r="A502" s="199">
        <v>402</v>
      </c>
      <c r="B502" s="200">
        <v>80111600</v>
      </c>
      <c r="C502" s="199" t="str">
        <f>VLOOKUP(PAA[[#This Row],[PROYECTO (formulado)2]],PROYECTOS!$G$1:$L$32,6,0)</f>
        <v>SUBGERENCIA DE ALTOS LOGROS Y DEPORTE ASOCIADO</v>
      </c>
      <c r="D502" s="199" t="str">
        <f>+IF(PAA[[#This Row],[UNIDAD DE CONTRATACION (formulado)]]="Subgerencia Administrativa y Financiera","FUNCIONAMIENTO","INVERSIÓN")</f>
        <v>INVERSIÓN</v>
      </c>
      <c r="E502" s="201" t="str">
        <f>VLOOKUP(Q502,PROYECTOS!$G$1:$K$32,5,0)</f>
        <v>Apoyo técnico a atletas y para-atletas que representan en alto rendimiento deportivo al departamento de Antioquia</v>
      </c>
      <c r="F502" s="201">
        <f>VLOOKUP(E502,PROYECTOS!$K$1:$M$32,3,0)</f>
        <v>2024003050084</v>
      </c>
      <c r="G502" s="202" t="s">
        <v>450</v>
      </c>
      <c r="H502" s="202" t="str">
        <f>VLOOKUP(Q502,PROYECTOS!$V$1:$W$32,2,0)</f>
        <v>050079</v>
      </c>
      <c r="I502" s="203">
        <v>26545593</v>
      </c>
      <c r="J502" s="204" t="s">
        <v>600</v>
      </c>
      <c r="K502" s="199" t="str">
        <f t="shared" ca="1" si="71"/>
        <v>CONTRATADO</v>
      </c>
      <c r="L502" s="199" t="s">
        <v>112</v>
      </c>
      <c r="M502" s="199" t="s">
        <v>113</v>
      </c>
      <c r="N502" s="205" t="s">
        <v>452</v>
      </c>
      <c r="O502" s="204">
        <f>VLOOKUP(N502,RUBROS[#All],3,0)</f>
        <v>62</v>
      </c>
      <c r="P502" s="206" t="str">
        <f>VLOOKUP(N502,RUBROS[#All],2,0)</f>
        <v>Apoyo técnico a atletas y para-atletas que representan en alto rendimiento deportivo al departamento de Antioquia. - Servicios para la comunidad, sociales y personales</v>
      </c>
      <c r="Q502" s="199" t="str">
        <f t="shared" si="72"/>
        <v>84</v>
      </c>
      <c r="R502" s="199" t="str">
        <f t="shared" si="73"/>
        <v>0-205400</v>
      </c>
      <c r="S502" s="207">
        <v>294</v>
      </c>
      <c r="T502" s="208" t="s">
        <v>220</v>
      </c>
      <c r="U502" s="209" t="e">
        <f ca="1">_xlfn.XLOOKUP(PAA[[#This Row],[ITEM]],Contrato!A:A,Contrato!Q:Q,"",0)</f>
        <v>#NAME?</v>
      </c>
      <c r="V502" s="199" t="s">
        <v>47</v>
      </c>
      <c r="W502" s="199" t="s">
        <v>154</v>
      </c>
      <c r="X502" s="199" t="s">
        <v>154</v>
      </c>
      <c r="Y502" s="210" t="e">
        <f ca="1">_xlfn.XLOOKUP(PAA[[#This Row],[ITEM]],Contrato!A:A,Contrato!B:B,"",0)</f>
        <v>#NAME?</v>
      </c>
      <c r="Z502" s="199" t="e">
        <f ca="1">_xlfn.XLOOKUP(PAA[[#This Row],[ITEM]],Contrato!A:A,Contrato!G:G,"",0)</f>
        <v>#NAME?</v>
      </c>
      <c r="AA502" s="199" t="e">
        <f ca="1">_xlfn.XLOOKUP(PAA[[#This Row],[ITEM]],Contrato!A:A,Contrato!T:T,"",0)</f>
        <v>#NAME?</v>
      </c>
      <c r="AB502" s="210" t="e">
        <f ca="1">+MAX(PAA[[#This Row],[Comprometido Contrato]],)</f>
        <v>#NAME?</v>
      </c>
      <c r="AC502" s="210" t="str">
        <f t="shared" ca="1" si="70"/>
        <v/>
      </c>
      <c r="AD502" s="210" t="e">
        <f ca="1">+MAX(PAA[[#This Row],[Pago por Contrato]],)</f>
        <v>#NAME?</v>
      </c>
      <c r="AE502" s="210" t="str">
        <f t="shared" ca="1" si="74"/>
        <v/>
      </c>
      <c r="AF502" s="199" t="e">
        <f t="shared" ca="1" si="75"/>
        <v>#NAME?</v>
      </c>
      <c r="AG502" s="199">
        <f t="shared" si="76"/>
        <v>52010802</v>
      </c>
      <c r="AH502" s="199" t="e" cm="1">
        <f t="array" aca="1" ref="AH502" ca="1">_xlfn.XLOOKUP(PAA[[#This Row],[RCP-RUBRO]],COMPROMISOS_2025[[#All],[concatenado]],COMPROMISOS_2025[[#All],[Total pagado]],"",0)</f>
        <v>#NAME?</v>
      </c>
      <c r="AI502" s="199" t="e" cm="1">
        <f t="array" aca="1" ref="AI502" ca="1">_xlfn.XLOOKUP(PAA[[#This Row],[RCP-RUBRO]],COMPROMISOS_2025[[#All],[concatenado]],COMPROMISOS_2025[[#All],[Total Comprometido]],"",0)</f>
        <v>#NAME?</v>
      </c>
    </row>
    <row r="503" spans="1:35" s="50" customFormat="1" ht="42" hidden="1" customHeight="1" x14ac:dyDescent="0.25">
      <c r="A503" s="199">
        <v>403</v>
      </c>
      <c r="B503" s="200">
        <v>80111600</v>
      </c>
      <c r="C503" s="199" t="str">
        <f>VLOOKUP(PAA[[#This Row],[PROYECTO (formulado)2]],PROYECTOS!$G$1:$L$32,6,0)</f>
        <v>SUBGERENCIA DE ALTOS LOGROS Y DEPORTE ASOCIADO</v>
      </c>
      <c r="D503" s="199" t="str">
        <f>+IF(PAA[[#This Row],[UNIDAD DE CONTRATACION (formulado)]]="Subgerencia Administrativa y Financiera","FUNCIONAMIENTO","INVERSIÓN")</f>
        <v>INVERSIÓN</v>
      </c>
      <c r="E503" s="201" t="str">
        <f>VLOOKUP(Q503,PROYECTOS!$G$1:$K$32,5,0)</f>
        <v>Apoyo técnico a atletas y para-atletas que representan en alto rendimiento deportivo al departamento de Antioquia</v>
      </c>
      <c r="F503" s="201">
        <f>VLOOKUP(E503,PROYECTOS!$K$1:$M$32,3,0)</f>
        <v>2024003050084</v>
      </c>
      <c r="G503" s="202" t="s">
        <v>450</v>
      </c>
      <c r="H503" s="202" t="str">
        <f>VLOOKUP(Q503,PROYECTOS!$V$1:$W$32,2,0)</f>
        <v>050079</v>
      </c>
      <c r="I503" s="203">
        <v>50609170</v>
      </c>
      <c r="J503" s="204" t="s">
        <v>601</v>
      </c>
      <c r="K503" s="199" t="str">
        <f t="shared" ca="1" si="71"/>
        <v>CONTRATADO</v>
      </c>
      <c r="L503" s="199" t="s">
        <v>112</v>
      </c>
      <c r="M503" s="199" t="s">
        <v>113</v>
      </c>
      <c r="N503" s="205" t="s">
        <v>452</v>
      </c>
      <c r="O503" s="204">
        <f>VLOOKUP(N503,RUBROS[#All],3,0)</f>
        <v>62</v>
      </c>
      <c r="P503" s="206" t="str">
        <f>VLOOKUP(N503,RUBROS[#All],2,0)</f>
        <v>Apoyo técnico a atletas y para-atletas que representan en alto rendimiento deportivo al departamento de Antioquia. - Servicios para la comunidad, sociales y personales</v>
      </c>
      <c r="Q503" s="199" t="str">
        <f t="shared" si="72"/>
        <v>84</v>
      </c>
      <c r="R503" s="199" t="str">
        <f t="shared" si="73"/>
        <v>0-205400</v>
      </c>
      <c r="S503" s="207">
        <v>294</v>
      </c>
      <c r="T503" s="208" t="s">
        <v>220</v>
      </c>
      <c r="U503" s="209" t="e">
        <f ca="1">_xlfn.XLOOKUP(PAA[[#This Row],[ITEM]],Contrato!A:A,Contrato!Q:Q,"",0)</f>
        <v>#NAME?</v>
      </c>
      <c r="V503" s="199" t="s">
        <v>47</v>
      </c>
      <c r="W503" s="199" t="s">
        <v>154</v>
      </c>
      <c r="X503" s="199" t="s">
        <v>154</v>
      </c>
      <c r="Y503" s="210" t="e">
        <f ca="1">_xlfn.XLOOKUP(PAA[[#This Row],[ITEM]],Contrato!A:A,Contrato!B:B,"",0)</f>
        <v>#NAME?</v>
      </c>
      <c r="Z503" s="199" t="e">
        <f ca="1">_xlfn.XLOOKUP(PAA[[#This Row],[ITEM]],Contrato!A:A,Contrato!G:G,"",0)</f>
        <v>#NAME?</v>
      </c>
      <c r="AA503" s="199" t="e">
        <f ca="1">_xlfn.XLOOKUP(PAA[[#This Row],[ITEM]],Contrato!A:A,Contrato!T:T,"",0)</f>
        <v>#NAME?</v>
      </c>
      <c r="AB503" s="210" t="e">
        <f ca="1">+MAX(PAA[[#This Row],[Comprometido Contrato]],)</f>
        <v>#NAME?</v>
      </c>
      <c r="AC503" s="210" t="str">
        <f t="shared" ca="1" si="70"/>
        <v/>
      </c>
      <c r="AD503" s="210" t="e">
        <f ca="1">+MAX(PAA[[#This Row],[Pago por Contrato]],)</f>
        <v>#NAME?</v>
      </c>
      <c r="AE503" s="210" t="str">
        <f t="shared" ca="1" si="74"/>
        <v/>
      </c>
      <c r="AF503" s="199" t="e">
        <f t="shared" ca="1" si="75"/>
        <v>#NAME?</v>
      </c>
      <c r="AG503" s="199">
        <f t="shared" si="76"/>
        <v>52010802</v>
      </c>
      <c r="AH503" s="199" t="e" cm="1">
        <f t="array" aca="1" ref="AH503" ca="1">_xlfn.XLOOKUP(PAA[[#This Row],[RCP-RUBRO]],COMPROMISOS_2025[[#All],[concatenado]],COMPROMISOS_2025[[#All],[Total pagado]],"",0)</f>
        <v>#NAME?</v>
      </c>
      <c r="AI503" s="199" t="e" cm="1">
        <f t="array" aca="1" ref="AI503" ca="1">_xlfn.XLOOKUP(PAA[[#This Row],[RCP-RUBRO]],COMPROMISOS_2025[[#All],[concatenado]],COMPROMISOS_2025[[#All],[Total Comprometido]],"",0)</f>
        <v>#NAME?</v>
      </c>
    </row>
    <row r="504" spans="1:35" s="50" customFormat="1" ht="42" hidden="1" customHeight="1" x14ac:dyDescent="0.25">
      <c r="A504" s="199">
        <v>404</v>
      </c>
      <c r="B504" s="200">
        <v>80111600</v>
      </c>
      <c r="C504" s="199" t="str">
        <f>VLOOKUP(PAA[[#This Row],[PROYECTO (formulado)2]],PROYECTOS!$G$1:$L$32,6,0)</f>
        <v>SUBGERENCIA DE ALTOS LOGROS Y DEPORTE ASOCIADO</v>
      </c>
      <c r="D504" s="199" t="str">
        <f>+IF(PAA[[#This Row],[UNIDAD DE CONTRATACION (formulado)]]="Subgerencia Administrativa y Financiera","FUNCIONAMIENTO","INVERSIÓN")</f>
        <v>INVERSIÓN</v>
      </c>
      <c r="E504" s="201" t="str">
        <f>VLOOKUP(Q504,PROYECTOS!$G$1:$K$32,5,0)</f>
        <v>Apoyo técnico a atletas y para-atletas que representan en alto rendimiento deportivo al departamento de Antioquia</v>
      </c>
      <c r="F504" s="201">
        <f>VLOOKUP(E504,PROYECTOS!$K$1:$M$32,3,0)</f>
        <v>2024003050084</v>
      </c>
      <c r="G504" s="202" t="s">
        <v>450</v>
      </c>
      <c r="H504" s="202" t="str">
        <f>VLOOKUP(Q504,PROYECTOS!$V$1:$W$32,2,0)</f>
        <v>050079</v>
      </c>
      <c r="I504" s="203">
        <v>61147776</v>
      </c>
      <c r="J504" s="204" t="s">
        <v>602</v>
      </c>
      <c r="K504" s="199" t="str">
        <f t="shared" ca="1" si="71"/>
        <v>CONTRATADO</v>
      </c>
      <c r="L504" s="199" t="s">
        <v>112</v>
      </c>
      <c r="M504" s="199" t="s">
        <v>113</v>
      </c>
      <c r="N504" s="205" t="s">
        <v>452</v>
      </c>
      <c r="O504" s="204">
        <f>VLOOKUP(N504,RUBROS[#All],3,0)</f>
        <v>62</v>
      </c>
      <c r="P504" s="206" t="str">
        <f>VLOOKUP(N504,RUBROS[#All],2,0)</f>
        <v>Apoyo técnico a atletas y para-atletas que representan en alto rendimiento deportivo al departamento de Antioquia. - Servicios para la comunidad, sociales y personales</v>
      </c>
      <c r="Q504" s="199" t="str">
        <f t="shared" si="72"/>
        <v>84</v>
      </c>
      <c r="R504" s="199" t="str">
        <f t="shared" si="73"/>
        <v>0-205400</v>
      </c>
      <c r="S504" s="207">
        <v>294</v>
      </c>
      <c r="T504" s="208" t="s">
        <v>220</v>
      </c>
      <c r="U504" s="209" t="e">
        <f ca="1">_xlfn.XLOOKUP(PAA[[#This Row],[ITEM]],Contrato!A:A,Contrato!Q:Q,"",0)</f>
        <v>#NAME?</v>
      </c>
      <c r="V504" s="199" t="s">
        <v>47</v>
      </c>
      <c r="W504" s="199" t="s">
        <v>154</v>
      </c>
      <c r="X504" s="199" t="s">
        <v>154</v>
      </c>
      <c r="Y504" s="210" t="e">
        <f ca="1">_xlfn.XLOOKUP(PAA[[#This Row],[ITEM]],Contrato!A:A,Contrato!B:B,"",0)</f>
        <v>#NAME?</v>
      </c>
      <c r="Z504" s="199" t="e">
        <f ca="1">_xlfn.XLOOKUP(PAA[[#This Row],[ITEM]],Contrato!A:A,Contrato!G:G,"",0)</f>
        <v>#NAME?</v>
      </c>
      <c r="AA504" s="199" t="e">
        <f ca="1">_xlfn.XLOOKUP(PAA[[#This Row],[ITEM]],Contrato!A:A,Contrato!T:T,"",0)</f>
        <v>#NAME?</v>
      </c>
      <c r="AB504" s="210" t="e">
        <f ca="1">+MAX(PAA[[#This Row],[Comprometido Contrato]],)</f>
        <v>#NAME?</v>
      </c>
      <c r="AC504" s="210" t="str">
        <f t="shared" ca="1" si="70"/>
        <v/>
      </c>
      <c r="AD504" s="210" t="e">
        <f ca="1">+MAX(PAA[[#This Row],[Pago por Contrato]],)</f>
        <v>#NAME?</v>
      </c>
      <c r="AE504" s="210" t="str">
        <f t="shared" ca="1" si="74"/>
        <v/>
      </c>
      <c r="AF504" s="199" t="e">
        <f t="shared" ca="1" si="75"/>
        <v>#NAME?</v>
      </c>
      <c r="AG504" s="199">
        <f t="shared" si="76"/>
        <v>52010802</v>
      </c>
      <c r="AH504" s="199" t="e" cm="1">
        <f t="array" aca="1" ref="AH504" ca="1">_xlfn.XLOOKUP(PAA[[#This Row],[RCP-RUBRO]],COMPROMISOS_2025[[#All],[concatenado]],COMPROMISOS_2025[[#All],[Total pagado]],"",0)</f>
        <v>#NAME?</v>
      </c>
      <c r="AI504" s="199" t="e" cm="1">
        <f t="array" aca="1" ref="AI504" ca="1">_xlfn.XLOOKUP(PAA[[#This Row],[RCP-RUBRO]],COMPROMISOS_2025[[#All],[concatenado]],COMPROMISOS_2025[[#All],[Total Comprometido]],"",0)</f>
        <v>#NAME?</v>
      </c>
    </row>
    <row r="505" spans="1:35" s="50" customFormat="1" ht="42" hidden="1" customHeight="1" x14ac:dyDescent="0.25">
      <c r="A505" s="199">
        <v>405</v>
      </c>
      <c r="B505" s="200">
        <v>80111600</v>
      </c>
      <c r="C505" s="199" t="str">
        <f>VLOOKUP(PAA[[#This Row],[PROYECTO (formulado)2]],PROYECTOS!$G$1:$L$32,6,0)</f>
        <v>SUBGERENCIA DE ALTOS LOGROS Y DEPORTE ASOCIADO</v>
      </c>
      <c r="D505" s="199" t="str">
        <f>+IF(PAA[[#This Row],[UNIDAD DE CONTRATACION (formulado)]]="Subgerencia Administrativa y Financiera","FUNCIONAMIENTO","INVERSIÓN")</f>
        <v>INVERSIÓN</v>
      </c>
      <c r="E505" s="201" t="str">
        <f>VLOOKUP(Q505,PROYECTOS!$G$1:$K$32,5,0)</f>
        <v>Apoyo técnico a atletas y para-atletas que representan en alto rendimiento deportivo al departamento de Antioquia</v>
      </c>
      <c r="F505" s="201">
        <f>VLOOKUP(E505,PROYECTOS!$K$1:$M$32,3,0)</f>
        <v>2024003050084</v>
      </c>
      <c r="G505" s="202" t="s">
        <v>450</v>
      </c>
      <c r="H505" s="202" t="str">
        <f>VLOOKUP(Q505,PROYECTOS!$V$1:$W$32,2,0)</f>
        <v>050079</v>
      </c>
      <c r="I505" s="203">
        <v>61147776</v>
      </c>
      <c r="J505" s="204" t="s">
        <v>603</v>
      </c>
      <c r="K505" s="199" t="str">
        <f t="shared" ca="1" si="71"/>
        <v>CONTRATADO</v>
      </c>
      <c r="L505" s="199" t="s">
        <v>112</v>
      </c>
      <c r="M505" s="199" t="s">
        <v>113</v>
      </c>
      <c r="N505" s="205" t="s">
        <v>452</v>
      </c>
      <c r="O505" s="204">
        <f>VLOOKUP(N505,RUBROS[#All],3,0)</f>
        <v>62</v>
      </c>
      <c r="P505" s="206" t="str">
        <f>VLOOKUP(N505,RUBROS[#All],2,0)</f>
        <v>Apoyo técnico a atletas y para-atletas que representan en alto rendimiento deportivo al departamento de Antioquia. - Servicios para la comunidad, sociales y personales</v>
      </c>
      <c r="Q505" s="199" t="str">
        <f t="shared" si="72"/>
        <v>84</v>
      </c>
      <c r="R505" s="199" t="str">
        <f t="shared" si="73"/>
        <v>0-205400</v>
      </c>
      <c r="S505" s="207">
        <v>294</v>
      </c>
      <c r="T505" s="208" t="s">
        <v>220</v>
      </c>
      <c r="U505" s="209" t="e">
        <f ca="1">_xlfn.XLOOKUP(PAA[[#This Row],[ITEM]],Contrato!A:A,Contrato!Q:Q,"",0)</f>
        <v>#NAME?</v>
      </c>
      <c r="V505" s="199" t="s">
        <v>47</v>
      </c>
      <c r="W505" s="199" t="s">
        <v>154</v>
      </c>
      <c r="X505" s="199" t="s">
        <v>154</v>
      </c>
      <c r="Y505" s="210" t="e">
        <f ca="1">_xlfn.XLOOKUP(PAA[[#This Row],[ITEM]],Contrato!A:A,Contrato!B:B,"",0)</f>
        <v>#NAME?</v>
      </c>
      <c r="Z505" s="199" t="e">
        <f ca="1">_xlfn.XLOOKUP(PAA[[#This Row],[ITEM]],Contrato!A:A,Contrato!G:G,"",0)</f>
        <v>#NAME?</v>
      </c>
      <c r="AA505" s="199" t="e">
        <f ca="1">_xlfn.XLOOKUP(PAA[[#This Row],[ITEM]],Contrato!A:A,Contrato!T:T,"",0)</f>
        <v>#NAME?</v>
      </c>
      <c r="AB505" s="210" t="e">
        <f ca="1">+MAX(PAA[[#This Row],[Comprometido Contrato]],)</f>
        <v>#NAME?</v>
      </c>
      <c r="AC505" s="210" t="str">
        <f t="shared" ca="1" si="70"/>
        <v/>
      </c>
      <c r="AD505" s="210" t="e">
        <f ca="1">+MAX(PAA[[#This Row],[Pago por Contrato]],)</f>
        <v>#NAME?</v>
      </c>
      <c r="AE505" s="210" t="str">
        <f t="shared" ca="1" si="74"/>
        <v/>
      </c>
      <c r="AF505" s="199" t="e">
        <f t="shared" ca="1" si="75"/>
        <v>#NAME?</v>
      </c>
      <c r="AG505" s="199">
        <f t="shared" si="76"/>
        <v>52010802</v>
      </c>
      <c r="AH505" s="199" t="e" cm="1">
        <f t="array" aca="1" ref="AH505" ca="1">_xlfn.XLOOKUP(PAA[[#This Row],[RCP-RUBRO]],COMPROMISOS_2025[[#All],[concatenado]],COMPROMISOS_2025[[#All],[Total pagado]],"",0)</f>
        <v>#NAME?</v>
      </c>
      <c r="AI505" s="199" t="e" cm="1">
        <f t="array" aca="1" ref="AI505" ca="1">_xlfn.XLOOKUP(PAA[[#This Row],[RCP-RUBRO]],COMPROMISOS_2025[[#All],[concatenado]],COMPROMISOS_2025[[#All],[Total Comprometido]],"",0)</f>
        <v>#NAME?</v>
      </c>
    </row>
    <row r="506" spans="1:35" s="50" customFormat="1" ht="42" hidden="1" customHeight="1" x14ac:dyDescent="0.25">
      <c r="A506" s="199">
        <v>406</v>
      </c>
      <c r="B506" s="200">
        <v>80111600</v>
      </c>
      <c r="C506" s="199" t="str">
        <f>VLOOKUP(PAA[[#This Row],[PROYECTO (formulado)2]],PROYECTOS!$G$1:$L$32,6,0)</f>
        <v>SUBGERENCIA DE ALTOS LOGROS Y DEPORTE ASOCIADO</v>
      </c>
      <c r="D506" s="199" t="str">
        <f>+IF(PAA[[#This Row],[UNIDAD DE CONTRATACION (formulado)]]="Subgerencia Administrativa y Financiera","FUNCIONAMIENTO","INVERSIÓN")</f>
        <v>INVERSIÓN</v>
      </c>
      <c r="E506" s="201" t="str">
        <f>VLOOKUP(Q506,PROYECTOS!$G$1:$K$32,5,0)</f>
        <v>Apoyo técnico a atletas y para-atletas que representan en alto rendimiento deportivo al departamento de Antioquia</v>
      </c>
      <c r="F506" s="201">
        <f>VLOOKUP(E506,PROYECTOS!$K$1:$M$32,3,0)</f>
        <v>2024003050084</v>
      </c>
      <c r="G506" s="202" t="s">
        <v>450</v>
      </c>
      <c r="H506" s="202" t="str">
        <f>VLOOKUP(Q506,PROYECTOS!$V$1:$W$32,2,0)</f>
        <v>050079</v>
      </c>
      <c r="I506" s="203">
        <v>26545593</v>
      </c>
      <c r="J506" s="204" t="s">
        <v>604</v>
      </c>
      <c r="K506" s="199" t="str">
        <f t="shared" ca="1" si="71"/>
        <v>CONTRATADO</v>
      </c>
      <c r="L506" s="199" t="s">
        <v>112</v>
      </c>
      <c r="M506" s="199" t="s">
        <v>113</v>
      </c>
      <c r="N506" s="205" t="s">
        <v>452</v>
      </c>
      <c r="O506" s="204">
        <f>VLOOKUP(N506,RUBROS[#All],3,0)</f>
        <v>62</v>
      </c>
      <c r="P506" s="206" t="str">
        <f>VLOOKUP(N506,RUBROS[#All],2,0)</f>
        <v>Apoyo técnico a atletas y para-atletas que representan en alto rendimiento deportivo al departamento de Antioquia. - Servicios para la comunidad, sociales y personales</v>
      </c>
      <c r="Q506" s="199" t="str">
        <f t="shared" si="72"/>
        <v>84</v>
      </c>
      <c r="R506" s="199" t="str">
        <f t="shared" si="73"/>
        <v>0-205400</v>
      </c>
      <c r="S506" s="207">
        <v>294</v>
      </c>
      <c r="T506" s="208" t="s">
        <v>220</v>
      </c>
      <c r="U506" s="209" t="e">
        <f ca="1">_xlfn.XLOOKUP(PAA[[#This Row],[ITEM]],Contrato!A:A,Contrato!Q:Q,"",0)</f>
        <v>#NAME?</v>
      </c>
      <c r="V506" s="199" t="s">
        <v>47</v>
      </c>
      <c r="W506" s="199" t="s">
        <v>154</v>
      </c>
      <c r="X506" s="199" t="s">
        <v>154</v>
      </c>
      <c r="Y506" s="210" t="e">
        <f ca="1">_xlfn.XLOOKUP(PAA[[#This Row],[ITEM]],Contrato!A:A,Contrato!B:B,"",0)</f>
        <v>#NAME?</v>
      </c>
      <c r="Z506" s="199" t="e">
        <f ca="1">_xlfn.XLOOKUP(PAA[[#This Row],[ITEM]],Contrato!A:A,Contrato!G:G,"",0)</f>
        <v>#NAME?</v>
      </c>
      <c r="AA506" s="199" t="e">
        <f ca="1">_xlfn.XLOOKUP(PAA[[#This Row],[ITEM]],Contrato!A:A,Contrato!T:T,"",0)</f>
        <v>#NAME?</v>
      </c>
      <c r="AB506" s="210" t="e">
        <f ca="1">+MAX(PAA[[#This Row],[Comprometido Contrato]],)</f>
        <v>#NAME?</v>
      </c>
      <c r="AC506" s="210" t="str">
        <f t="shared" ca="1" si="70"/>
        <v/>
      </c>
      <c r="AD506" s="210" t="e">
        <f ca="1">+MAX(PAA[[#This Row],[Pago por Contrato]],)</f>
        <v>#NAME?</v>
      </c>
      <c r="AE506" s="210" t="str">
        <f t="shared" ca="1" si="74"/>
        <v/>
      </c>
      <c r="AF506" s="199" t="e">
        <f t="shared" ca="1" si="75"/>
        <v>#NAME?</v>
      </c>
      <c r="AG506" s="199">
        <f t="shared" si="76"/>
        <v>52010802</v>
      </c>
      <c r="AH506" s="199" t="e" cm="1">
        <f t="array" aca="1" ref="AH506" ca="1">_xlfn.XLOOKUP(PAA[[#This Row],[RCP-RUBRO]],COMPROMISOS_2025[[#All],[concatenado]],COMPROMISOS_2025[[#All],[Total pagado]],"",0)</f>
        <v>#NAME?</v>
      </c>
      <c r="AI506" s="199" t="e" cm="1">
        <f t="array" aca="1" ref="AI506" ca="1">_xlfn.XLOOKUP(PAA[[#This Row],[RCP-RUBRO]],COMPROMISOS_2025[[#All],[concatenado]],COMPROMISOS_2025[[#All],[Total Comprometido]],"",0)</f>
        <v>#NAME?</v>
      </c>
    </row>
    <row r="507" spans="1:35" s="50" customFormat="1" ht="42" hidden="1" customHeight="1" x14ac:dyDescent="0.25">
      <c r="A507" s="199">
        <v>407</v>
      </c>
      <c r="B507" s="200">
        <v>80111600</v>
      </c>
      <c r="C507" s="199" t="str">
        <f>VLOOKUP(PAA[[#This Row],[PROYECTO (formulado)2]],PROYECTOS!$G$1:$L$32,6,0)</f>
        <v>SUBGERENCIA DE ALTOS LOGROS Y DEPORTE ASOCIADO</v>
      </c>
      <c r="D507" s="199" t="str">
        <f>+IF(PAA[[#This Row],[UNIDAD DE CONTRATACION (formulado)]]="Subgerencia Administrativa y Financiera","FUNCIONAMIENTO","INVERSIÓN")</f>
        <v>INVERSIÓN</v>
      </c>
      <c r="E507" s="201" t="str">
        <f>VLOOKUP(Q507,PROYECTOS!$G$1:$K$32,5,0)</f>
        <v>Apoyo técnico a atletas y para-atletas que representan en alto rendimiento deportivo al departamento de Antioquia</v>
      </c>
      <c r="F507" s="201">
        <f>VLOOKUP(E507,PROYECTOS!$K$1:$M$32,3,0)</f>
        <v>2024003050084</v>
      </c>
      <c r="G507" s="202" t="s">
        <v>450</v>
      </c>
      <c r="H507" s="202" t="str">
        <f>VLOOKUP(Q507,PROYECTOS!$V$1:$W$32,2,0)</f>
        <v>050079</v>
      </c>
      <c r="I507" s="203">
        <v>40747479</v>
      </c>
      <c r="J507" s="204" t="s">
        <v>605</v>
      </c>
      <c r="K507" s="199" t="str">
        <f t="shared" ca="1" si="71"/>
        <v>CONTRATADO</v>
      </c>
      <c r="L507" s="199" t="s">
        <v>112</v>
      </c>
      <c r="M507" s="199" t="s">
        <v>113</v>
      </c>
      <c r="N507" s="205" t="s">
        <v>452</v>
      </c>
      <c r="O507" s="204">
        <f>VLOOKUP(N507,RUBROS[#All],3,0)</f>
        <v>62</v>
      </c>
      <c r="P507" s="206" t="str">
        <f>VLOOKUP(N507,RUBROS[#All],2,0)</f>
        <v>Apoyo técnico a atletas y para-atletas que representan en alto rendimiento deportivo al departamento de Antioquia. - Servicios para la comunidad, sociales y personales</v>
      </c>
      <c r="Q507" s="199" t="str">
        <f t="shared" si="72"/>
        <v>84</v>
      </c>
      <c r="R507" s="199" t="str">
        <f t="shared" si="73"/>
        <v>0-205400</v>
      </c>
      <c r="S507" s="207">
        <v>294</v>
      </c>
      <c r="T507" s="208" t="s">
        <v>220</v>
      </c>
      <c r="U507" s="209" t="e">
        <f ca="1">_xlfn.XLOOKUP(PAA[[#This Row],[ITEM]],Contrato!A:A,Contrato!Q:Q,"",0)</f>
        <v>#NAME?</v>
      </c>
      <c r="V507" s="199" t="s">
        <v>47</v>
      </c>
      <c r="W507" s="199" t="s">
        <v>154</v>
      </c>
      <c r="X507" s="199" t="s">
        <v>154</v>
      </c>
      <c r="Y507" s="210" t="e">
        <f ca="1">_xlfn.XLOOKUP(PAA[[#This Row],[ITEM]],Contrato!A:A,Contrato!B:B,"",0)</f>
        <v>#NAME?</v>
      </c>
      <c r="Z507" s="199" t="e">
        <f ca="1">_xlfn.XLOOKUP(PAA[[#This Row],[ITEM]],Contrato!A:A,Contrato!G:G,"",0)</f>
        <v>#NAME?</v>
      </c>
      <c r="AA507" s="199" t="e">
        <f ca="1">_xlfn.XLOOKUP(PAA[[#This Row],[ITEM]],Contrato!A:A,Contrato!T:T,"",0)</f>
        <v>#NAME?</v>
      </c>
      <c r="AB507" s="210" t="e">
        <f ca="1">+MAX(PAA[[#This Row],[Comprometido Contrato]],)</f>
        <v>#NAME?</v>
      </c>
      <c r="AC507" s="210" t="str">
        <f t="shared" ca="1" si="70"/>
        <v/>
      </c>
      <c r="AD507" s="210" t="e">
        <f ca="1">+MAX(PAA[[#This Row],[Pago por Contrato]],)</f>
        <v>#NAME?</v>
      </c>
      <c r="AE507" s="210" t="str">
        <f t="shared" ca="1" si="74"/>
        <v/>
      </c>
      <c r="AF507" s="199" t="e">
        <f t="shared" ca="1" si="75"/>
        <v>#NAME?</v>
      </c>
      <c r="AG507" s="199">
        <f t="shared" si="76"/>
        <v>52010802</v>
      </c>
      <c r="AH507" s="199" t="e" cm="1">
        <f t="array" aca="1" ref="AH507" ca="1">_xlfn.XLOOKUP(PAA[[#This Row],[RCP-RUBRO]],COMPROMISOS_2025[[#All],[concatenado]],COMPROMISOS_2025[[#All],[Total pagado]],"",0)</f>
        <v>#NAME?</v>
      </c>
      <c r="AI507" s="199" t="e" cm="1">
        <f t="array" aca="1" ref="AI507" ca="1">_xlfn.XLOOKUP(PAA[[#This Row],[RCP-RUBRO]],COMPROMISOS_2025[[#All],[concatenado]],COMPROMISOS_2025[[#All],[Total Comprometido]],"",0)</f>
        <v>#NAME?</v>
      </c>
    </row>
    <row r="508" spans="1:35" s="50" customFormat="1" ht="42" hidden="1" customHeight="1" x14ac:dyDescent="0.25">
      <c r="A508" s="199">
        <v>408</v>
      </c>
      <c r="B508" s="200">
        <v>80111600</v>
      </c>
      <c r="C508" s="199" t="str">
        <f>VLOOKUP(PAA[[#This Row],[PROYECTO (formulado)2]],PROYECTOS!$G$1:$L$32,6,0)</f>
        <v>SUBGERENCIA DE ALTOS LOGROS Y DEPORTE ASOCIADO</v>
      </c>
      <c r="D508" s="199" t="str">
        <f>+IF(PAA[[#This Row],[UNIDAD DE CONTRATACION (formulado)]]="Subgerencia Administrativa y Financiera","FUNCIONAMIENTO","INVERSIÓN")</f>
        <v>INVERSIÓN</v>
      </c>
      <c r="E508" s="201" t="str">
        <f>VLOOKUP(Q508,PROYECTOS!$G$1:$K$32,5,0)</f>
        <v>Apoyo técnico a atletas y para-atletas que representan en alto rendimiento deportivo al departamento de Antioquia</v>
      </c>
      <c r="F508" s="201">
        <f>VLOOKUP(E508,PROYECTOS!$K$1:$M$32,3,0)</f>
        <v>2024003050084</v>
      </c>
      <c r="G508" s="202" t="s">
        <v>450</v>
      </c>
      <c r="H508" s="202" t="str">
        <f>VLOOKUP(Q508,PROYECTOS!$V$1:$W$32,2,0)</f>
        <v>050079</v>
      </c>
      <c r="I508" s="203">
        <v>26545593</v>
      </c>
      <c r="J508" s="204" t="s">
        <v>606</v>
      </c>
      <c r="K508" s="199" t="str">
        <f t="shared" ca="1" si="71"/>
        <v>CONTRATADO</v>
      </c>
      <c r="L508" s="199" t="s">
        <v>112</v>
      </c>
      <c r="M508" s="199" t="s">
        <v>113</v>
      </c>
      <c r="N508" s="205" t="s">
        <v>452</v>
      </c>
      <c r="O508" s="204">
        <f>VLOOKUP(N508,RUBROS[#All],3,0)</f>
        <v>62</v>
      </c>
      <c r="P508" s="206" t="str">
        <f>VLOOKUP(N508,RUBROS[#All],2,0)</f>
        <v>Apoyo técnico a atletas y para-atletas que representan en alto rendimiento deportivo al departamento de Antioquia. - Servicios para la comunidad, sociales y personales</v>
      </c>
      <c r="Q508" s="199" t="str">
        <f t="shared" si="72"/>
        <v>84</v>
      </c>
      <c r="R508" s="199" t="str">
        <f t="shared" si="73"/>
        <v>0-205400</v>
      </c>
      <c r="S508" s="207">
        <v>294</v>
      </c>
      <c r="T508" s="208" t="s">
        <v>220</v>
      </c>
      <c r="U508" s="209" t="e">
        <f ca="1">_xlfn.XLOOKUP(PAA[[#This Row],[ITEM]],Contrato!A:A,Contrato!Q:Q,"",0)</f>
        <v>#NAME?</v>
      </c>
      <c r="V508" s="199" t="s">
        <v>47</v>
      </c>
      <c r="W508" s="199" t="s">
        <v>154</v>
      </c>
      <c r="X508" s="199" t="s">
        <v>154</v>
      </c>
      <c r="Y508" s="210" t="e">
        <f ca="1">_xlfn.XLOOKUP(PAA[[#This Row],[ITEM]],Contrato!A:A,Contrato!B:B,"",0)</f>
        <v>#NAME?</v>
      </c>
      <c r="Z508" s="199" t="e">
        <f ca="1">_xlfn.XLOOKUP(PAA[[#This Row],[ITEM]],Contrato!A:A,Contrato!G:G,"",0)</f>
        <v>#NAME?</v>
      </c>
      <c r="AA508" s="199" t="e">
        <f ca="1">_xlfn.XLOOKUP(PAA[[#This Row],[ITEM]],Contrato!A:A,Contrato!T:T,"",0)</f>
        <v>#NAME?</v>
      </c>
      <c r="AB508" s="210" t="e">
        <f ca="1">+MAX(PAA[[#This Row],[Comprometido Contrato]],)</f>
        <v>#NAME?</v>
      </c>
      <c r="AC508" s="210" t="str">
        <f t="shared" ca="1" si="70"/>
        <v/>
      </c>
      <c r="AD508" s="210" t="e">
        <f ca="1">+MAX(PAA[[#This Row],[Pago por Contrato]],)</f>
        <v>#NAME?</v>
      </c>
      <c r="AE508" s="210" t="str">
        <f t="shared" ca="1" si="74"/>
        <v/>
      </c>
      <c r="AF508" s="199" t="e">
        <f t="shared" ca="1" si="75"/>
        <v>#NAME?</v>
      </c>
      <c r="AG508" s="199">
        <f t="shared" si="76"/>
        <v>52010802</v>
      </c>
      <c r="AH508" s="199" t="e" cm="1">
        <f t="array" aca="1" ref="AH508" ca="1">_xlfn.XLOOKUP(PAA[[#This Row],[RCP-RUBRO]],COMPROMISOS_2025[[#All],[concatenado]],COMPROMISOS_2025[[#All],[Total pagado]],"",0)</f>
        <v>#NAME?</v>
      </c>
      <c r="AI508" s="199" t="e" cm="1">
        <f t="array" aca="1" ref="AI508" ca="1">_xlfn.XLOOKUP(PAA[[#This Row],[RCP-RUBRO]],COMPROMISOS_2025[[#All],[concatenado]],COMPROMISOS_2025[[#All],[Total Comprometido]],"",0)</f>
        <v>#NAME?</v>
      </c>
    </row>
    <row r="509" spans="1:35" s="50" customFormat="1" ht="42" hidden="1" customHeight="1" x14ac:dyDescent="0.25">
      <c r="A509" s="199">
        <v>409</v>
      </c>
      <c r="B509" s="200">
        <v>80111600</v>
      </c>
      <c r="C509" s="199" t="str">
        <f>VLOOKUP(PAA[[#This Row],[PROYECTO (formulado)2]],PROYECTOS!$G$1:$L$32,6,0)</f>
        <v>SUBGERENCIA DE ALTOS LOGROS Y DEPORTE ASOCIADO</v>
      </c>
      <c r="D509" s="199" t="str">
        <f>+IF(PAA[[#This Row],[UNIDAD DE CONTRATACION (formulado)]]="Subgerencia Administrativa y Financiera","FUNCIONAMIENTO","INVERSIÓN")</f>
        <v>INVERSIÓN</v>
      </c>
      <c r="E509" s="201" t="str">
        <f>VLOOKUP(Q509,PROYECTOS!$G$1:$K$32,5,0)</f>
        <v>Apoyo técnico a atletas y para-atletas que representan en alto rendimiento deportivo al departamento de Antioquia</v>
      </c>
      <c r="F509" s="201">
        <f>VLOOKUP(E509,PROYECTOS!$K$1:$M$32,3,0)</f>
        <v>2024003050084</v>
      </c>
      <c r="G509" s="202" t="s">
        <v>450</v>
      </c>
      <c r="H509" s="202" t="str">
        <f>VLOOKUP(Q509,PROYECTOS!$V$1:$W$32,2,0)</f>
        <v>050079</v>
      </c>
      <c r="I509" s="203">
        <v>81536206</v>
      </c>
      <c r="J509" s="204" t="s">
        <v>607</v>
      </c>
      <c r="K509" s="199" t="str">
        <f t="shared" ca="1" si="71"/>
        <v>CONTRATADO</v>
      </c>
      <c r="L509" s="199" t="s">
        <v>112</v>
      </c>
      <c r="M509" s="199" t="s">
        <v>113</v>
      </c>
      <c r="N509" s="205" t="s">
        <v>452</v>
      </c>
      <c r="O509" s="204">
        <f>VLOOKUP(N509,RUBROS[#All],3,0)</f>
        <v>62</v>
      </c>
      <c r="P509" s="206" t="str">
        <f>VLOOKUP(N509,RUBROS[#All],2,0)</f>
        <v>Apoyo técnico a atletas y para-atletas que representan en alto rendimiento deportivo al departamento de Antioquia. - Servicios para la comunidad, sociales y personales</v>
      </c>
      <c r="Q509" s="199" t="str">
        <f t="shared" si="72"/>
        <v>84</v>
      </c>
      <c r="R509" s="199" t="str">
        <f t="shared" si="73"/>
        <v>0-205400</v>
      </c>
      <c r="S509" s="207">
        <v>294</v>
      </c>
      <c r="T509" s="208" t="s">
        <v>220</v>
      </c>
      <c r="U509" s="209" t="e">
        <f ca="1">_xlfn.XLOOKUP(PAA[[#This Row],[ITEM]],Contrato!A:A,Contrato!Q:Q,"",0)</f>
        <v>#NAME?</v>
      </c>
      <c r="V509" s="199" t="s">
        <v>47</v>
      </c>
      <c r="W509" s="199" t="s">
        <v>154</v>
      </c>
      <c r="X509" s="199" t="s">
        <v>154</v>
      </c>
      <c r="Y509" s="210" t="e">
        <f ca="1">_xlfn.XLOOKUP(PAA[[#This Row],[ITEM]],Contrato!A:A,Contrato!B:B,"",0)</f>
        <v>#NAME?</v>
      </c>
      <c r="Z509" s="199" t="e">
        <f ca="1">_xlfn.XLOOKUP(PAA[[#This Row],[ITEM]],Contrato!A:A,Contrato!G:G,"",0)</f>
        <v>#NAME?</v>
      </c>
      <c r="AA509" s="199" t="e">
        <f ca="1">_xlfn.XLOOKUP(PAA[[#This Row],[ITEM]],Contrato!A:A,Contrato!T:T,"",0)</f>
        <v>#NAME?</v>
      </c>
      <c r="AB509" s="210" t="e">
        <f ca="1">+MAX(PAA[[#This Row],[Comprometido Contrato]],)</f>
        <v>#NAME?</v>
      </c>
      <c r="AC509" s="210" t="str">
        <f t="shared" ca="1" si="70"/>
        <v/>
      </c>
      <c r="AD509" s="210" t="e">
        <f ca="1">+MAX(PAA[[#This Row],[Pago por Contrato]],)</f>
        <v>#NAME?</v>
      </c>
      <c r="AE509" s="210" t="str">
        <f t="shared" ca="1" si="74"/>
        <v/>
      </c>
      <c r="AF509" s="199" t="e">
        <f t="shared" ca="1" si="75"/>
        <v>#NAME?</v>
      </c>
      <c r="AG509" s="199">
        <f t="shared" si="76"/>
        <v>52010802</v>
      </c>
      <c r="AH509" s="199" t="e" cm="1">
        <f t="array" aca="1" ref="AH509" ca="1">_xlfn.XLOOKUP(PAA[[#This Row],[RCP-RUBRO]],COMPROMISOS_2025[[#All],[concatenado]],COMPROMISOS_2025[[#All],[Total pagado]],"",0)</f>
        <v>#NAME?</v>
      </c>
      <c r="AI509" s="199" t="e" cm="1">
        <f t="array" aca="1" ref="AI509" ca="1">_xlfn.XLOOKUP(PAA[[#This Row],[RCP-RUBRO]],COMPROMISOS_2025[[#All],[concatenado]],COMPROMISOS_2025[[#All],[Total Comprometido]],"",0)</f>
        <v>#NAME?</v>
      </c>
    </row>
    <row r="510" spans="1:35" s="50" customFormat="1" ht="42" hidden="1" customHeight="1" x14ac:dyDescent="0.25">
      <c r="A510" s="199">
        <v>410</v>
      </c>
      <c r="B510" s="200">
        <v>80111600</v>
      </c>
      <c r="C510" s="199" t="str">
        <f>VLOOKUP(PAA[[#This Row],[PROYECTO (formulado)2]],PROYECTOS!$G$1:$L$32,6,0)</f>
        <v>SUBGERENCIA DE ALTOS LOGROS Y DEPORTE ASOCIADO</v>
      </c>
      <c r="D510" s="199" t="str">
        <f>+IF(PAA[[#This Row],[UNIDAD DE CONTRATACION (formulado)]]="Subgerencia Administrativa y Financiera","FUNCIONAMIENTO","INVERSIÓN")</f>
        <v>INVERSIÓN</v>
      </c>
      <c r="E510" s="201" t="str">
        <f>VLOOKUP(Q510,PROYECTOS!$G$1:$K$32,5,0)</f>
        <v>Apoyo técnico a atletas y para-atletas que representan en alto rendimiento deportivo al departamento de Antioquia</v>
      </c>
      <c r="F510" s="201">
        <f>VLOOKUP(E510,PROYECTOS!$K$1:$M$32,3,0)</f>
        <v>2024003050084</v>
      </c>
      <c r="G510" s="202" t="s">
        <v>450</v>
      </c>
      <c r="H510" s="202" t="str">
        <f>VLOOKUP(Q510,PROYECTOS!$V$1:$W$32,2,0)</f>
        <v>050079</v>
      </c>
      <c r="I510" s="203">
        <v>71344176</v>
      </c>
      <c r="J510" s="204" t="s">
        <v>608</v>
      </c>
      <c r="K510" s="199" t="str">
        <f t="shared" ca="1" si="71"/>
        <v>CONTRATADO</v>
      </c>
      <c r="L510" s="199" t="s">
        <v>112</v>
      </c>
      <c r="M510" s="199" t="s">
        <v>113</v>
      </c>
      <c r="N510" s="205" t="s">
        <v>452</v>
      </c>
      <c r="O510" s="204">
        <f>VLOOKUP(N510,RUBROS[#All],3,0)</f>
        <v>62</v>
      </c>
      <c r="P510" s="206" t="str">
        <f>VLOOKUP(N510,RUBROS[#All],2,0)</f>
        <v>Apoyo técnico a atletas y para-atletas que representan en alto rendimiento deportivo al departamento de Antioquia. - Servicios para la comunidad, sociales y personales</v>
      </c>
      <c r="Q510" s="199" t="str">
        <f t="shared" si="72"/>
        <v>84</v>
      </c>
      <c r="R510" s="199" t="str">
        <f t="shared" si="73"/>
        <v>0-205400</v>
      </c>
      <c r="S510" s="207">
        <v>294</v>
      </c>
      <c r="T510" s="208" t="s">
        <v>220</v>
      </c>
      <c r="U510" s="209" t="e">
        <f ca="1">_xlfn.XLOOKUP(PAA[[#This Row],[ITEM]],Contrato!A:A,Contrato!Q:Q,"",0)</f>
        <v>#NAME?</v>
      </c>
      <c r="V510" s="199" t="s">
        <v>47</v>
      </c>
      <c r="W510" s="199" t="s">
        <v>154</v>
      </c>
      <c r="X510" s="199" t="s">
        <v>154</v>
      </c>
      <c r="Y510" s="210" t="e">
        <f ca="1">_xlfn.XLOOKUP(PAA[[#This Row],[ITEM]],Contrato!A:A,Contrato!B:B,"",0)</f>
        <v>#NAME?</v>
      </c>
      <c r="Z510" s="199" t="e">
        <f ca="1">_xlfn.XLOOKUP(PAA[[#This Row],[ITEM]],Contrato!A:A,Contrato!G:G,"",0)</f>
        <v>#NAME?</v>
      </c>
      <c r="AA510" s="199" t="e">
        <f ca="1">_xlfn.XLOOKUP(PAA[[#This Row],[ITEM]],Contrato!A:A,Contrato!T:T,"",0)</f>
        <v>#NAME?</v>
      </c>
      <c r="AB510" s="210" t="e">
        <f ca="1">+MAX(PAA[[#This Row],[Comprometido Contrato]],)</f>
        <v>#NAME?</v>
      </c>
      <c r="AC510" s="210" t="str">
        <f t="shared" ca="1" si="70"/>
        <v/>
      </c>
      <c r="AD510" s="210" t="e">
        <f ca="1">+MAX(PAA[[#This Row],[Pago por Contrato]],)</f>
        <v>#NAME?</v>
      </c>
      <c r="AE510" s="210" t="str">
        <f t="shared" ca="1" si="74"/>
        <v/>
      </c>
      <c r="AF510" s="199" t="e">
        <f t="shared" ca="1" si="75"/>
        <v>#NAME?</v>
      </c>
      <c r="AG510" s="199">
        <f t="shared" si="76"/>
        <v>52010802</v>
      </c>
      <c r="AH510" s="199" t="e" cm="1">
        <f t="array" aca="1" ref="AH510" ca="1">_xlfn.XLOOKUP(PAA[[#This Row],[RCP-RUBRO]],COMPROMISOS_2025[[#All],[concatenado]],COMPROMISOS_2025[[#All],[Total pagado]],"",0)</f>
        <v>#NAME?</v>
      </c>
      <c r="AI510" s="199" t="e" cm="1">
        <f t="array" aca="1" ref="AI510" ca="1">_xlfn.XLOOKUP(PAA[[#This Row],[RCP-RUBRO]],COMPROMISOS_2025[[#All],[concatenado]],COMPROMISOS_2025[[#All],[Total Comprometido]],"",0)</f>
        <v>#NAME?</v>
      </c>
    </row>
    <row r="511" spans="1:35" s="50" customFormat="1" ht="42" hidden="1" customHeight="1" x14ac:dyDescent="0.25">
      <c r="A511" s="199">
        <v>411</v>
      </c>
      <c r="B511" s="200">
        <v>80111600</v>
      </c>
      <c r="C511" s="199" t="str">
        <f>VLOOKUP(PAA[[#This Row],[PROYECTO (formulado)2]],PROYECTOS!$G$1:$L$32,6,0)</f>
        <v>SUBGERENCIA DE ALTOS LOGROS Y DEPORTE ASOCIADO</v>
      </c>
      <c r="D511" s="199" t="str">
        <f>+IF(PAA[[#This Row],[UNIDAD DE CONTRATACION (formulado)]]="Subgerencia Administrativa y Financiera","FUNCIONAMIENTO","INVERSIÓN")</f>
        <v>INVERSIÓN</v>
      </c>
      <c r="E511" s="201" t="str">
        <f>VLOOKUP(Q511,PROYECTOS!$G$1:$K$32,5,0)</f>
        <v>Apoyo técnico a atletas y para-atletas que representan en alto rendimiento deportivo al departamento de Antioquia</v>
      </c>
      <c r="F511" s="201">
        <f>VLOOKUP(E511,PROYECTOS!$K$1:$M$32,3,0)</f>
        <v>2024003050084</v>
      </c>
      <c r="G511" s="202" t="s">
        <v>450</v>
      </c>
      <c r="H511" s="202" t="str">
        <f>VLOOKUP(Q511,PROYECTOS!$V$1:$W$32,2,0)</f>
        <v>050079</v>
      </c>
      <c r="I511" s="203">
        <v>50609170</v>
      </c>
      <c r="J511" s="204" t="s">
        <v>609</v>
      </c>
      <c r="K511" s="199" t="str">
        <f t="shared" ca="1" si="71"/>
        <v>CONTRATADO</v>
      </c>
      <c r="L511" s="199" t="s">
        <v>112</v>
      </c>
      <c r="M511" s="199" t="s">
        <v>113</v>
      </c>
      <c r="N511" s="205" t="s">
        <v>452</v>
      </c>
      <c r="O511" s="204">
        <f>VLOOKUP(N511,RUBROS[#All],3,0)</f>
        <v>62</v>
      </c>
      <c r="P511" s="206" t="str">
        <f>VLOOKUP(N511,RUBROS[#All],2,0)</f>
        <v>Apoyo técnico a atletas y para-atletas que representan en alto rendimiento deportivo al departamento de Antioquia. - Servicios para la comunidad, sociales y personales</v>
      </c>
      <c r="Q511" s="199" t="str">
        <f t="shared" si="72"/>
        <v>84</v>
      </c>
      <c r="R511" s="199" t="str">
        <f t="shared" si="73"/>
        <v>0-205400</v>
      </c>
      <c r="S511" s="207">
        <v>294</v>
      </c>
      <c r="T511" s="208" t="s">
        <v>220</v>
      </c>
      <c r="U511" s="209" t="e">
        <f ca="1">_xlfn.XLOOKUP(PAA[[#This Row],[ITEM]],Contrato!A:A,Contrato!Q:Q,"",0)</f>
        <v>#NAME?</v>
      </c>
      <c r="V511" s="199" t="s">
        <v>47</v>
      </c>
      <c r="W511" s="199" t="s">
        <v>154</v>
      </c>
      <c r="X511" s="199" t="s">
        <v>154</v>
      </c>
      <c r="Y511" s="210" t="e">
        <f ca="1">_xlfn.XLOOKUP(PAA[[#This Row],[ITEM]],Contrato!A:A,Contrato!B:B,"",0)</f>
        <v>#NAME?</v>
      </c>
      <c r="Z511" s="199" t="e">
        <f ca="1">_xlfn.XLOOKUP(PAA[[#This Row],[ITEM]],Contrato!A:A,Contrato!G:G,"",0)</f>
        <v>#NAME?</v>
      </c>
      <c r="AA511" s="199" t="e">
        <f ca="1">_xlfn.XLOOKUP(PAA[[#This Row],[ITEM]],Contrato!A:A,Contrato!T:T,"",0)</f>
        <v>#NAME?</v>
      </c>
      <c r="AB511" s="210" t="e">
        <f ca="1">+MAX(PAA[[#This Row],[Comprometido Contrato]],)</f>
        <v>#NAME?</v>
      </c>
      <c r="AC511" s="210" t="str">
        <f t="shared" ca="1" si="70"/>
        <v/>
      </c>
      <c r="AD511" s="210" t="e">
        <f ca="1">+MAX(PAA[[#This Row],[Pago por Contrato]],)</f>
        <v>#NAME?</v>
      </c>
      <c r="AE511" s="210" t="str">
        <f t="shared" ca="1" si="74"/>
        <v/>
      </c>
      <c r="AF511" s="199" t="e">
        <f t="shared" ca="1" si="75"/>
        <v>#NAME?</v>
      </c>
      <c r="AG511" s="199">
        <f t="shared" si="76"/>
        <v>52010802</v>
      </c>
      <c r="AH511" s="199" t="e" cm="1">
        <f t="array" aca="1" ref="AH511" ca="1">_xlfn.XLOOKUP(PAA[[#This Row],[RCP-RUBRO]],COMPROMISOS_2025[[#All],[concatenado]],COMPROMISOS_2025[[#All],[Total pagado]],"",0)</f>
        <v>#NAME?</v>
      </c>
      <c r="AI511" s="199" t="e" cm="1">
        <f t="array" aca="1" ref="AI511" ca="1">_xlfn.XLOOKUP(PAA[[#This Row],[RCP-RUBRO]],COMPROMISOS_2025[[#All],[concatenado]],COMPROMISOS_2025[[#All],[Total Comprometido]],"",0)</f>
        <v>#NAME?</v>
      </c>
    </row>
    <row r="512" spans="1:35" s="50" customFormat="1" ht="42" hidden="1" customHeight="1" x14ac:dyDescent="0.25">
      <c r="A512" s="199">
        <v>412</v>
      </c>
      <c r="B512" s="200">
        <v>80111600</v>
      </c>
      <c r="C512" s="199" t="str">
        <f>VLOOKUP(PAA[[#This Row],[PROYECTO (formulado)2]],PROYECTOS!$G$1:$L$32,6,0)</f>
        <v>SUBGERENCIA DE ALTOS LOGROS Y DEPORTE ASOCIADO</v>
      </c>
      <c r="D512" s="199" t="str">
        <f>+IF(PAA[[#This Row],[UNIDAD DE CONTRATACION (formulado)]]="Subgerencia Administrativa y Financiera","FUNCIONAMIENTO","INVERSIÓN")</f>
        <v>INVERSIÓN</v>
      </c>
      <c r="E512" s="201" t="str">
        <f>VLOOKUP(Q512,PROYECTOS!$G$1:$K$32,5,0)</f>
        <v>Apoyo técnico a atletas y para-atletas que representan en alto rendimiento deportivo al departamento de Antioquia</v>
      </c>
      <c r="F512" s="201">
        <f>VLOOKUP(E512,PROYECTOS!$K$1:$M$32,3,0)</f>
        <v>2024003050084</v>
      </c>
      <c r="G512" s="202" t="s">
        <v>450</v>
      </c>
      <c r="H512" s="202" t="str">
        <f>VLOOKUP(Q512,PROYECTOS!$V$1:$W$32,2,0)</f>
        <v>050079</v>
      </c>
      <c r="I512" s="203">
        <v>40747479</v>
      </c>
      <c r="J512" s="204" t="s">
        <v>610</v>
      </c>
      <c r="K512" s="199" t="str">
        <f t="shared" ca="1" si="71"/>
        <v>CONTRATADO</v>
      </c>
      <c r="L512" s="199" t="s">
        <v>112</v>
      </c>
      <c r="M512" s="199" t="s">
        <v>113</v>
      </c>
      <c r="N512" s="205" t="s">
        <v>452</v>
      </c>
      <c r="O512" s="204">
        <f>VLOOKUP(N512,RUBROS[#All],3,0)</f>
        <v>62</v>
      </c>
      <c r="P512" s="206" t="str">
        <f>VLOOKUP(N512,RUBROS[#All],2,0)</f>
        <v>Apoyo técnico a atletas y para-atletas que representan en alto rendimiento deportivo al departamento de Antioquia. - Servicios para la comunidad, sociales y personales</v>
      </c>
      <c r="Q512" s="199" t="str">
        <f t="shared" si="72"/>
        <v>84</v>
      </c>
      <c r="R512" s="199" t="str">
        <f t="shared" si="73"/>
        <v>0-205400</v>
      </c>
      <c r="S512" s="207">
        <v>294</v>
      </c>
      <c r="T512" s="208" t="s">
        <v>220</v>
      </c>
      <c r="U512" s="209" t="e">
        <f ca="1">_xlfn.XLOOKUP(PAA[[#This Row],[ITEM]],Contrato!A:A,Contrato!Q:Q,"",0)</f>
        <v>#NAME?</v>
      </c>
      <c r="V512" s="199" t="s">
        <v>47</v>
      </c>
      <c r="W512" s="199" t="s">
        <v>154</v>
      </c>
      <c r="X512" s="199" t="s">
        <v>154</v>
      </c>
      <c r="Y512" s="210" t="e">
        <f ca="1">_xlfn.XLOOKUP(PAA[[#This Row],[ITEM]],Contrato!A:A,Contrato!B:B,"",0)</f>
        <v>#NAME?</v>
      </c>
      <c r="Z512" s="199" t="e">
        <f ca="1">_xlfn.XLOOKUP(PAA[[#This Row],[ITEM]],Contrato!A:A,Contrato!G:G,"",0)</f>
        <v>#NAME?</v>
      </c>
      <c r="AA512" s="199" t="e">
        <f ca="1">_xlfn.XLOOKUP(PAA[[#This Row],[ITEM]],Contrato!A:A,Contrato!T:T,"",0)</f>
        <v>#NAME?</v>
      </c>
      <c r="AB512" s="210" t="e">
        <f ca="1">+MAX(PAA[[#This Row],[Comprometido Contrato]],)</f>
        <v>#NAME?</v>
      </c>
      <c r="AC512" s="210" t="str">
        <f t="shared" ca="1" si="70"/>
        <v/>
      </c>
      <c r="AD512" s="210" t="e">
        <f ca="1">+MAX(PAA[[#This Row],[Pago por Contrato]],)</f>
        <v>#NAME?</v>
      </c>
      <c r="AE512" s="210" t="str">
        <f t="shared" ca="1" si="74"/>
        <v/>
      </c>
      <c r="AF512" s="199" t="e">
        <f t="shared" ca="1" si="75"/>
        <v>#NAME?</v>
      </c>
      <c r="AG512" s="199">
        <f t="shared" si="76"/>
        <v>52010802</v>
      </c>
      <c r="AH512" s="199" t="e" cm="1">
        <f t="array" aca="1" ref="AH512" ca="1">_xlfn.XLOOKUP(PAA[[#This Row],[RCP-RUBRO]],COMPROMISOS_2025[[#All],[concatenado]],COMPROMISOS_2025[[#All],[Total pagado]],"",0)</f>
        <v>#NAME?</v>
      </c>
      <c r="AI512" s="199" t="e" cm="1">
        <f t="array" aca="1" ref="AI512" ca="1">_xlfn.XLOOKUP(PAA[[#This Row],[RCP-RUBRO]],COMPROMISOS_2025[[#All],[concatenado]],COMPROMISOS_2025[[#All],[Total Comprometido]],"",0)</f>
        <v>#NAME?</v>
      </c>
    </row>
    <row r="513" spans="1:35" s="50" customFormat="1" ht="42" hidden="1" customHeight="1" x14ac:dyDescent="0.25">
      <c r="A513" s="199">
        <v>413</v>
      </c>
      <c r="B513" s="200">
        <v>80111600</v>
      </c>
      <c r="C513" s="199" t="str">
        <f>VLOOKUP(PAA[[#This Row],[PROYECTO (formulado)2]],PROYECTOS!$G$1:$L$32,6,0)</f>
        <v>SUBGERENCIA DE ALTOS LOGROS Y DEPORTE ASOCIADO</v>
      </c>
      <c r="D513" s="199" t="str">
        <f>+IF(PAA[[#This Row],[UNIDAD DE CONTRATACION (formulado)]]="Subgerencia Administrativa y Financiera","FUNCIONAMIENTO","INVERSIÓN")</f>
        <v>INVERSIÓN</v>
      </c>
      <c r="E513" s="201" t="str">
        <f>VLOOKUP(Q513,PROYECTOS!$G$1:$K$32,5,0)</f>
        <v>Apoyo técnico a atletas y para-atletas que representan en alto rendimiento deportivo al departamento de Antioquia</v>
      </c>
      <c r="F513" s="201">
        <f>VLOOKUP(E513,PROYECTOS!$K$1:$M$32,3,0)</f>
        <v>2024003050084</v>
      </c>
      <c r="G513" s="202" t="s">
        <v>450</v>
      </c>
      <c r="H513" s="202" t="str">
        <f>VLOOKUP(Q513,PROYECTOS!$V$1:$W$32,2,0)</f>
        <v>050079</v>
      </c>
      <c r="I513" s="203">
        <v>40747479</v>
      </c>
      <c r="J513" s="204" t="s">
        <v>611</v>
      </c>
      <c r="K513" s="199" t="str">
        <f t="shared" ca="1" si="71"/>
        <v>CONTRATADO</v>
      </c>
      <c r="L513" s="199" t="s">
        <v>112</v>
      </c>
      <c r="M513" s="199" t="s">
        <v>113</v>
      </c>
      <c r="N513" s="205" t="s">
        <v>452</v>
      </c>
      <c r="O513" s="204">
        <f>VLOOKUP(N513,RUBROS[#All],3,0)</f>
        <v>62</v>
      </c>
      <c r="P513" s="206" t="str">
        <f>VLOOKUP(N513,RUBROS[#All],2,0)</f>
        <v>Apoyo técnico a atletas y para-atletas que representan en alto rendimiento deportivo al departamento de Antioquia. - Servicios para la comunidad, sociales y personales</v>
      </c>
      <c r="Q513" s="199" t="str">
        <f t="shared" si="72"/>
        <v>84</v>
      </c>
      <c r="R513" s="199" t="str">
        <f t="shared" si="73"/>
        <v>0-205400</v>
      </c>
      <c r="S513" s="207">
        <v>294</v>
      </c>
      <c r="T513" s="208" t="s">
        <v>220</v>
      </c>
      <c r="U513" s="209" t="e">
        <f ca="1">_xlfn.XLOOKUP(PAA[[#This Row],[ITEM]],Contrato!A:A,Contrato!Q:Q,"",0)</f>
        <v>#NAME?</v>
      </c>
      <c r="V513" s="199" t="s">
        <v>47</v>
      </c>
      <c r="W513" s="199" t="s">
        <v>154</v>
      </c>
      <c r="X513" s="199" t="s">
        <v>154</v>
      </c>
      <c r="Y513" s="210" t="e">
        <f ca="1">_xlfn.XLOOKUP(PAA[[#This Row],[ITEM]],Contrato!A:A,Contrato!B:B,"",0)</f>
        <v>#NAME?</v>
      </c>
      <c r="Z513" s="199" t="e">
        <f ca="1">_xlfn.XLOOKUP(PAA[[#This Row],[ITEM]],Contrato!A:A,Contrato!G:G,"",0)</f>
        <v>#NAME?</v>
      </c>
      <c r="AA513" s="199" t="e">
        <f ca="1">_xlfn.XLOOKUP(PAA[[#This Row],[ITEM]],Contrato!A:A,Contrato!T:T,"",0)</f>
        <v>#NAME?</v>
      </c>
      <c r="AB513" s="210" t="e">
        <f ca="1">+MAX(PAA[[#This Row],[Comprometido Contrato]],)</f>
        <v>#NAME?</v>
      </c>
      <c r="AC513" s="210" t="str">
        <f t="shared" ca="1" si="70"/>
        <v/>
      </c>
      <c r="AD513" s="210" t="e">
        <f ca="1">+MAX(PAA[[#This Row],[Pago por Contrato]],)</f>
        <v>#NAME?</v>
      </c>
      <c r="AE513" s="210" t="str">
        <f t="shared" ca="1" si="74"/>
        <v/>
      </c>
      <c r="AF513" s="199" t="e">
        <f t="shared" ca="1" si="75"/>
        <v>#NAME?</v>
      </c>
      <c r="AG513" s="199">
        <f t="shared" si="76"/>
        <v>52010802</v>
      </c>
      <c r="AH513" s="199" t="e" cm="1">
        <f t="array" aca="1" ref="AH513" ca="1">_xlfn.XLOOKUP(PAA[[#This Row],[RCP-RUBRO]],COMPROMISOS_2025[[#All],[concatenado]],COMPROMISOS_2025[[#All],[Total pagado]],"",0)</f>
        <v>#NAME?</v>
      </c>
      <c r="AI513" s="199" t="e" cm="1">
        <f t="array" aca="1" ref="AI513" ca="1">_xlfn.XLOOKUP(PAA[[#This Row],[RCP-RUBRO]],COMPROMISOS_2025[[#All],[concatenado]],COMPROMISOS_2025[[#All],[Total Comprometido]],"",0)</f>
        <v>#NAME?</v>
      </c>
    </row>
    <row r="514" spans="1:35" s="50" customFormat="1" ht="42" hidden="1" customHeight="1" x14ac:dyDescent="0.25">
      <c r="A514" s="199">
        <v>414</v>
      </c>
      <c r="B514" s="200">
        <v>80111600</v>
      </c>
      <c r="C514" s="199" t="str">
        <f>VLOOKUP(PAA[[#This Row],[PROYECTO (formulado)2]],PROYECTOS!$G$1:$L$32,6,0)</f>
        <v>SUBGERENCIA DE ALTOS LOGROS Y DEPORTE ASOCIADO</v>
      </c>
      <c r="D514" s="199" t="str">
        <f>+IF(PAA[[#This Row],[UNIDAD DE CONTRATACION (formulado)]]="Subgerencia Administrativa y Financiera","FUNCIONAMIENTO","INVERSIÓN")</f>
        <v>INVERSIÓN</v>
      </c>
      <c r="E514" s="201" t="str">
        <f>VLOOKUP(Q514,PROYECTOS!$G$1:$K$32,5,0)</f>
        <v>Apoyo técnico a atletas y para-atletas que representan en alto rendimiento deportivo al departamento de Antioquia</v>
      </c>
      <c r="F514" s="201">
        <f>VLOOKUP(E514,PROYECTOS!$K$1:$M$32,3,0)</f>
        <v>2024003050084</v>
      </c>
      <c r="G514" s="202" t="s">
        <v>450</v>
      </c>
      <c r="H514" s="202" t="str">
        <f>VLOOKUP(Q514,PROYECTOS!$V$1:$W$32,2,0)</f>
        <v>050079</v>
      </c>
      <c r="I514" s="203">
        <v>26545593</v>
      </c>
      <c r="J514" s="204" t="s">
        <v>612</v>
      </c>
      <c r="K514" s="199" t="str">
        <f t="shared" ca="1" si="71"/>
        <v>CONTRATADO</v>
      </c>
      <c r="L514" s="199" t="s">
        <v>112</v>
      </c>
      <c r="M514" s="199" t="s">
        <v>113</v>
      </c>
      <c r="N514" s="205" t="s">
        <v>452</v>
      </c>
      <c r="O514" s="204">
        <f>VLOOKUP(N514,RUBROS[#All],3,0)</f>
        <v>62</v>
      </c>
      <c r="P514" s="206" t="str">
        <f>VLOOKUP(N514,RUBROS[#All],2,0)</f>
        <v>Apoyo técnico a atletas y para-atletas que representan en alto rendimiento deportivo al departamento de Antioquia. - Servicios para la comunidad, sociales y personales</v>
      </c>
      <c r="Q514" s="199" t="str">
        <f t="shared" si="72"/>
        <v>84</v>
      </c>
      <c r="R514" s="199" t="str">
        <f t="shared" si="73"/>
        <v>0-205400</v>
      </c>
      <c r="S514" s="207">
        <v>294</v>
      </c>
      <c r="T514" s="208" t="s">
        <v>220</v>
      </c>
      <c r="U514" s="209" t="e">
        <f ca="1">_xlfn.XLOOKUP(PAA[[#This Row],[ITEM]],Contrato!A:A,Contrato!Q:Q,"",0)</f>
        <v>#NAME?</v>
      </c>
      <c r="V514" s="199" t="s">
        <v>47</v>
      </c>
      <c r="W514" s="199" t="s">
        <v>154</v>
      </c>
      <c r="X514" s="199" t="s">
        <v>154</v>
      </c>
      <c r="Y514" s="210" t="e">
        <f ca="1">_xlfn.XLOOKUP(PAA[[#This Row],[ITEM]],Contrato!A:A,Contrato!B:B,"",0)</f>
        <v>#NAME?</v>
      </c>
      <c r="Z514" s="199" t="e">
        <f ca="1">_xlfn.XLOOKUP(PAA[[#This Row],[ITEM]],Contrato!A:A,Contrato!G:G,"",0)</f>
        <v>#NAME?</v>
      </c>
      <c r="AA514" s="199" t="e">
        <f ca="1">_xlfn.XLOOKUP(PAA[[#This Row],[ITEM]],Contrato!A:A,Contrato!T:T,"",0)</f>
        <v>#NAME?</v>
      </c>
      <c r="AB514" s="210" t="e">
        <f ca="1">+MAX(PAA[[#This Row],[Comprometido Contrato]],)</f>
        <v>#NAME?</v>
      </c>
      <c r="AC514" s="210" t="str">
        <f t="shared" ca="1" si="70"/>
        <v/>
      </c>
      <c r="AD514" s="210" t="e">
        <f ca="1">+MAX(PAA[[#This Row],[Pago por Contrato]],)</f>
        <v>#NAME?</v>
      </c>
      <c r="AE514" s="210" t="str">
        <f t="shared" ca="1" si="74"/>
        <v/>
      </c>
      <c r="AF514" s="199" t="e">
        <f t="shared" ca="1" si="75"/>
        <v>#NAME?</v>
      </c>
      <c r="AG514" s="199">
        <f t="shared" si="76"/>
        <v>52010802</v>
      </c>
      <c r="AH514" s="199" t="e" cm="1">
        <f t="array" aca="1" ref="AH514" ca="1">_xlfn.XLOOKUP(PAA[[#This Row],[RCP-RUBRO]],COMPROMISOS_2025[[#All],[concatenado]],COMPROMISOS_2025[[#All],[Total pagado]],"",0)</f>
        <v>#NAME?</v>
      </c>
      <c r="AI514" s="199" t="e" cm="1">
        <f t="array" aca="1" ref="AI514" ca="1">_xlfn.XLOOKUP(PAA[[#This Row],[RCP-RUBRO]],COMPROMISOS_2025[[#All],[concatenado]],COMPROMISOS_2025[[#All],[Total Comprometido]],"",0)</f>
        <v>#NAME?</v>
      </c>
    </row>
    <row r="515" spans="1:35" s="50" customFormat="1" ht="42" hidden="1" customHeight="1" x14ac:dyDescent="0.25">
      <c r="A515" s="199">
        <v>415</v>
      </c>
      <c r="B515" s="200">
        <v>80111600</v>
      </c>
      <c r="C515" s="199" t="str">
        <f>VLOOKUP(PAA[[#This Row],[PROYECTO (formulado)2]],PROYECTOS!$G$1:$L$32,6,0)</f>
        <v>SUBGERENCIA DE ALTOS LOGROS Y DEPORTE ASOCIADO</v>
      </c>
      <c r="D515" s="199" t="str">
        <f>+IF(PAA[[#This Row],[UNIDAD DE CONTRATACION (formulado)]]="Subgerencia Administrativa y Financiera","FUNCIONAMIENTO","INVERSIÓN")</f>
        <v>INVERSIÓN</v>
      </c>
      <c r="E515" s="201" t="str">
        <f>VLOOKUP(Q515,PROYECTOS!$G$1:$K$32,5,0)</f>
        <v>Apoyo técnico a atletas y para-atletas que representan en alto rendimiento deportivo al departamento de Antioquia</v>
      </c>
      <c r="F515" s="201">
        <f>VLOOKUP(E515,PROYECTOS!$K$1:$M$32,3,0)</f>
        <v>2024003050084</v>
      </c>
      <c r="G515" s="202" t="s">
        <v>450</v>
      </c>
      <c r="H515" s="202" t="str">
        <f>VLOOKUP(Q515,PROYECTOS!$V$1:$W$32,2,0)</f>
        <v>050079</v>
      </c>
      <c r="I515" s="203">
        <v>26545593</v>
      </c>
      <c r="J515" s="204" t="s">
        <v>613</v>
      </c>
      <c r="K515" s="199" t="str">
        <f t="shared" ca="1" si="71"/>
        <v>CONTRATADO</v>
      </c>
      <c r="L515" s="199" t="s">
        <v>112</v>
      </c>
      <c r="M515" s="199" t="s">
        <v>113</v>
      </c>
      <c r="N515" s="205" t="s">
        <v>452</v>
      </c>
      <c r="O515" s="204">
        <f>VLOOKUP(N515,RUBROS[#All],3,0)</f>
        <v>62</v>
      </c>
      <c r="P515" s="206" t="str">
        <f>VLOOKUP(N515,RUBROS[#All],2,0)</f>
        <v>Apoyo técnico a atletas y para-atletas que representan en alto rendimiento deportivo al departamento de Antioquia. - Servicios para la comunidad, sociales y personales</v>
      </c>
      <c r="Q515" s="199" t="str">
        <f t="shared" si="72"/>
        <v>84</v>
      </c>
      <c r="R515" s="199" t="str">
        <f t="shared" si="73"/>
        <v>0-205400</v>
      </c>
      <c r="S515" s="207">
        <v>294</v>
      </c>
      <c r="T515" s="208" t="s">
        <v>220</v>
      </c>
      <c r="U515" s="209" t="e">
        <f ca="1">_xlfn.XLOOKUP(PAA[[#This Row],[ITEM]],Contrato!A:A,Contrato!Q:Q,"",0)</f>
        <v>#NAME?</v>
      </c>
      <c r="V515" s="199" t="s">
        <v>47</v>
      </c>
      <c r="W515" s="199" t="s">
        <v>154</v>
      </c>
      <c r="X515" s="199" t="s">
        <v>154</v>
      </c>
      <c r="Y515" s="210" t="e">
        <f ca="1">_xlfn.XLOOKUP(PAA[[#This Row],[ITEM]],Contrato!A:A,Contrato!B:B,"",0)</f>
        <v>#NAME?</v>
      </c>
      <c r="Z515" s="199" t="e">
        <f ca="1">_xlfn.XLOOKUP(PAA[[#This Row],[ITEM]],Contrato!A:A,Contrato!G:G,"",0)</f>
        <v>#NAME?</v>
      </c>
      <c r="AA515" s="199" t="e">
        <f ca="1">_xlfn.XLOOKUP(PAA[[#This Row],[ITEM]],Contrato!A:A,Contrato!T:T,"",0)</f>
        <v>#NAME?</v>
      </c>
      <c r="AB515" s="210" t="e">
        <f ca="1">+MAX(PAA[[#This Row],[Comprometido Contrato]],)</f>
        <v>#NAME?</v>
      </c>
      <c r="AC515" s="210" t="str">
        <f t="shared" ca="1" si="70"/>
        <v/>
      </c>
      <c r="AD515" s="210" t="e">
        <f ca="1">+MAX(PAA[[#This Row],[Pago por Contrato]],)</f>
        <v>#NAME?</v>
      </c>
      <c r="AE515" s="210" t="str">
        <f t="shared" ca="1" si="74"/>
        <v/>
      </c>
      <c r="AF515" s="199" t="e">
        <f t="shared" ca="1" si="75"/>
        <v>#NAME?</v>
      </c>
      <c r="AG515" s="199">
        <f t="shared" si="76"/>
        <v>52010802</v>
      </c>
      <c r="AH515" s="199" t="e" cm="1">
        <f t="array" aca="1" ref="AH515" ca="1">_xlfn.XLOOKUP(PAA[[#This Row],[RCP-RUBRO]],COMPROMISOS_2025[[#All],[concatenado]],COMPROMISOS_2025[[#All],[Total pagado]],"",0)</f>
        <v>#NAME?</v>
      </c>
      <c r="AI515" s="199" t="e" cm="1">
        <f t="array" aca="1" ref="AI515" ca="1">_xlfn.XLOOKUP(PAA[[#This Row],[RCP-RUBRO]],COMPROMISOS_2025[[#All],[concatenado]],COMPROMISOS_2025[[#All],[Total Comprometido]],"",0)</f>
        <v>#NAME?</v>
      </c>
    </row>
    <row r="516" spans="1:35" s="50" customFormat="1" ht="42" hidden="1" customHeight="1" x14ac:dyDescent="0.25">
      <c r="A516" s="199">
        <v>416</v>
      </c>
      <c r="B516" s="200">
        <v>80111600</v>
      </c>
      <c r="C516" s="199" t="str">
        <f>VLOOKUP(PAA[[#This Row],[PROYECTO (formulado)2]],PROYECTOS!$G$1:$L$32,6,0)</f>
        <v>SUBGERENCIA DE ALTOS LOGROS Y DEPORTE ASOCIADO</v>
      </c>
      <c r="D516" s="199" t="str">
        <f>+IF(PAA[[#This Row],[UNIDAD DE CONTRATACION (formulado)]]="Subgerencia Administrativa y Financiera","FUNCIONAMIENTO","INVERSIÓN")</f>
        <v>INVERSIÓN</v>
      </c>
      <c r="E516" s="201" t="str">
        <f>VLOOKUP(Q516,PROYECTOS!$G$1:$K$32,5,0)</f>
        <v>Apoyo técnico a atletas y para-atletas que representan en alto rendimiento deportivo al departamento de Antioquia</v>
      </c>
      <c r="F516" s="201">
        <f>VLOOKUP(E516,PROYECTOS!$K$1:$M$32,3,0)</f>
        <v>2024003050084</v>
      </c>
      <c r="G516" s="202" t="s">
        <v>450</v>
      </c>
      <c r="H516" s="202" t="str">
        <f>VLOOKUP(Q516,PROYECTOS!$V$1:$W$32,2,0)</f>
        <v>050079</v>
      </c>
      <c r="I516" s="203">
        <v>26545593</v>
      </c>
      <c r="J516" s="204" t="s">
        <v>614</v>
      </c>
      <c r="K516" s="199" t="str">
        <f t="shared" ca="1" si="71"/>
        <v>CONTRATADO</v>
      </c>
      <c r="L516" s="199" t="s">
        <v>112</v>
      </c>
      <c r="M516" s="199" t="s">
        <v>113</v>
      </c>
      <c r="N516" s="205" t="s">
        <v>452</v>
      </c>
      <c r="O516" s="204">
        <f>VLOOKUP(N516,RUBROS[#All],3,0)</f>
        <v>62</v>
      </c>
      <c r="P516" s="206" t="str">
        <f>VLOOKUP(N516,RUBROS[#All],2,0)</f>
        <v>Apoyo técnico a atletas y para-atletas que representan en alto rendimiento deportivo al departamento de Antioquia. - Servicios para la comunidad, sociales y personales</v>
      </c>
      <c r="Q516" s="199" t="str">
        <f t="shared" si="72"/>
        <v>84</v>
      </c>
      <c r="R516" s="199" t="str">
        <f t="shared" si="73"/>
        <v>0-205400</v>
      </c>
      <c r="S516" s="207">
        <v>294</v>
      </c>
      <c r="T516" s="208" t="s">
        <v>220</v>
      </c>
      <c r="U516" s="209" t="e">
        <f ca="1">_xlfn.XLOOKUP(PAA[[#This Row],[ITEM]],Contrato!A:A,Contrato!Q:Q,"",0)</f>
        <v>#NAME?</v>
      </c>
      <c r="V516" s="199" t="s">
        <v>47</v>
      </c>
      <c r="W516" s="199" t="s">
        <v>154</v>
      </c>
      <c r="X516" s="199" t="s">
        <v>154</v>
      </c>
      <c r="Y516" s="210" t="e">
        <f ca="1">_xlfn.XLOOKUP(PAA[[#This Row],[ITEM]],Contrato!A:A,Contrato!B:B,"",0)</f>
        <v>#NAME?</v>
      </c>
      <c r="Z516" s="199" t="e">
        <f ca="1">_xlfn.XLOOKUP(PAA[[#This Row],[ITEM]],Contrato!A:A,Contrato!G:G,"",0)</f>
        <v>#NAME?</v>
      </c>
      <c r="AA516" s="199" t="e">
        <f ca="1">_xlfn.XLOOKUP(PAA[[#This Row],[ITEM]],Contrato!A:A,Contrato!T:T,"",0)</f>
        <v>#NAME?</v>
      </c>
      <c r="AB516" s="210" t="e">
        <f ca="1">+MAX(PAA[[#This Row],[Comprometido Contrato]],)</f>
        <v>#NAME?</v>
      </c>
      <c r="AC516" s="210" t="str">
        <f t="shared" ca="1" si="70"/>
        <v/>
      </c>
      <c r="AD516" s="210" t="e">
        <f ca="1">+MAX(PAA[[#This Row],[Pago por Contrato]],)</f>
        <v>#NAME?</v>
      </c>
      <c r="AE516" s="210" t="str">
        <f t="shared" ca="1" si="74"/>
        <v/>
      </c>
      <c r="AF516" s="199" t="e">
        <f t="shared" ca="1" si="75"/>
        <v>#NAME?</v>
      </c>
      <c r="AG516" s="199">
        <f t="shared" si="76"/>
        <v>52010802</v>
      </c>
      <c r="AH516" s="199" t="e" cm="1">
        <f t="array" aca="1" ref="AH516" ca="1">_xlfn.XLOOKUP(PAA[[#This Row],[RCP-RUBRO]],COMPROMISOS_2025[[#All],[concatenado]],COMPROMISOS_2025[[#All],[Total pagado]],"",0)</f>
        <v>#NAME?</v>
      </c>
      <c r="AI516" s="199" t="e" cm="1">
        <f t="array" aca="1" ref="AI516" ca="1">_xlfn.XLOOKUP(PAA[[#This Row],[RCP-RUBRO]],COMPROMISOS_2025[[#All],[concatenado]],COMPROMISOS_2025[[#All],[Total Comprometido]],"",0)</f>
        <v>#NAME?</v>
      </c>
    </row>
    <row r="517" spans="1:35" s="50" customFormat="1" ht="42" hidden="1" customHeight="1" x14ac:dyDescent="0.25">
      <c r="A517" s="199">
        <v>417</v>
      </c>
      <c r="B517" s="200">
        <v>80111600</v>
      </c>
      <c r="C517" s="199" t="str">
        <f>VLOOKUP(PAA[[#This Row],[PROYECTO (formulado)2]],PROYECTOS!$G$1:$L$32,6,0)</f>
        <v>SUBGERENCIA DE ALTOS LOGROS Y DEPORTE ASOCIADO</v>
      </c>
      <c r="D517" s="199" t="str">
        <f>+IF(PAA[[#This Row],[UNIDAD DE CONTRATACION (formulado)]]="Subgerencia Administrativa y Financiera","FUNCIONAMIENTO","INVERSIÓN")</f>
        <v>INVERSIÓN</v>
      </c>
      <c r="E517" s="201" t="str">
        <f>VLOOKUP(Q517,PROYECTOS!$G$1:$K$32,5,0)</f>
        <v>Apoyo técnico a atletas y para-atletas que representan en alto rendimiento deportivo al departamento de Antioquia</v>
      </c>
      <c r="F517" s="201">
        <f>VLOOKUP(E517,PROYECTOS!$K$1:$M$32,3,0)</f>
        <v>2024003050084</v>
      </c>
      <c r="G517" s="202" t="s">
        <v>450</v>
      </c>
      <c r="H517" s="202" t="str">
        <f>VLOOKUP(Q517,PROYECTOS!$V$1:$W$32,2,0)</f>
        <v>050079</v>
      </c>
      <c r="I517" s="203">
        <v>61147776</v>
      </c>
      <c r="J517" s="204" t="s">
        <v>615</v>
      </c>
      <c r="K517" s="199" t="str">
        <f t="shared" ca="1" si="71"/>
        <v>CONTRATADO</v>
      </c>
      <c r="L517" s="199" t="s">
        <v>112</v>
      </c>
      <c r="M517" s="199" t="s">
        <v>113</v>
      </c>
      <c r="N517" s="205" t="s">
        <v>452</v>
      </c>
      <c r="O517" s="204">
        <f>VLOOKUP(N517,RUBROS[#All],3,0)</f>
        <v>62</v>
      </c>
      <c r="P517" s="206" t="str">
        <f>VLOOKUP(N517,RUBROS[#All],2,0)</f>
        <v>Apoyo técnico a atletas y para-atletas que representan en alto rendimiento deportivo al departamento de Antioquia. - Servicios para la comunidad, sociales y personales</v>
      </c>
      <c r="Q517" s="199" t="str">
        <f t="shared" si="72"/>
        <v>84</v>
      </c>
      <c r="R517" s="199" t="str">
        <f t="shared" si="73"/>
        <v>0-205400</v>
      </c>
      <c r="S517" s="207">
        <v>294</v>
      </c>
      <c r="T517" s="208" t="s">
        <v>220</v>
      </c>
      <c r="U517" s="209" t="e">
        <f ca="1">_xlfn.XLOOKUP(PAA[[#This Row],[ITEM]],Contrato!A:A,Contrato!Q:Q,"",0)</f>
        <v>#NAME?</v>
      </c>
      <c r="V517" s="199" t="s">
        <v>47</v>
      </c>
      <c r="W517" s="199" t="s">
        <v>154</v>
      </c>
      <c r="X517" s="199" t="s">
        <v>154</v>
      </c>
      <c r="Y517" s="210" t="e">
        <f ca="1">_xlfn.XLOOKUP(PAA[[#This Row],[ITEM]],Contrato!A:A,Contrato!B:B,"",0)</f>
        <v>#NAME?</v>
      </c>
      <c r="Z517" s="199" t="e">
        <f ca="1">_xlfn.XLOOKUP(PAA[[#This Row],[ITEM]],Contrato!A:A,Contrato!G:G,"",0)</f>
        <v>#NAME?</v>
      </c>
      <c r="AA517" s="199" t="e">
        <f ca="1">_xlfn.XLOOKUP(PAA[[#This Row],[ITEM]],Contrato!A:A,Contrato!T:T,"",0)</f>
        <v>#NAME?</v>
      </c>
      <c r="AB517" s="210" t="e">
        <f ca="1">+MAX(PAA[[#This Row],[Comprometido Contrato]],)</f>
        <v>#NAME?</v>
      </c>
      <c r="AC517" s="210" t="str">
        <f t="shared" ref="AC517:AC581" ca="1" si="77">IFERROR(I517-AB517,"")</f>
        <v/>
      </c>
      <c r="AD517" s="210" t="e">
        <f ca="1">+MAX(PAA[[#This Row],[Pago por Contrato]],)</f>
        <v>#NAME?</v>
      </c>
      <c r="AE517" s="210" t="str">
        <f t="shared" ca="1" si="74"/>
        <v/>
      </c>
      <c r="AF517" s="199" t="e">
        <f t="shared" ca="1" si="75"/>
        <v>#NAME?</v>
      </c>
      <c r="AG517" s="199">
        <f t="shared" si="76"/>
        <v>52010802</v>
      </c>
      <c r="AH517" s="199" t="e" cm="1">
        <f t="array" aca="1" ref="AH517" ca="1">_xlfn.XLOOKUP(PAA[[#This Row],[RCP-RUBRO]],COMPROMISOS_2025[[#All],[concatenado]],COMPROMISOS_2025[[#All],[Total pagado]],"",0)</f>
        <v>#NAME?</v>
      </c>
      <c r="AI517" s="199" t="e" cm="1">
        <f t="array" aca="1" ref="AI517" ca="1">_xlfn.XLOOKUP(PAA[[#This Row],[RCP-RUBRO]],COMPROMISOS_2025[[#All],[concatenado]],COMPROMISOS_2025[[#All],[Total Comprometido]],"",0)</f>
        <v>#NAME?</v>
      </c>
    </row>
    <row r="518" spans="1:35" s="50" customFormat="1" ht="42" hidden="1" customHeight="1" x14ac:dyDescent="0.25">
      <c r="A518" s="199">
        <v>418</v>
      </c>
      <c r="B518" s="200">
        <v>80111600</v>
      </c>
      <c r="C518" s="199" t="str">
        <f>VLOOKUP(PAA[[#This Row],[PROYECTO (formulado)2]],PROYECTOS!$G$1:$L$32,6,0)</f>
        <v>SUBGERENCIA DE ALTOS LOGROS Y DEPORTE ASOCIADO</v>
      </c>
      <c r="D518" s="199" t="str">
        <f>+IF(PAA[[#This Row],[UNIDAD DE CONTRATACION (formulado)]]="Subgerencia Administrativa y Financiera","FUNCIONAMIENTO","INVERSIÓN")</f>
        <v>INVERSIÓN</v>
      </c>
      <c r="E518" s="201" t="str">
        <f>VLOOKUP(Q518,PROYECTOS!$G$1:$K$32,5,0)</f>
        <v>Apoyo técnico a atletas y para-atletas que representan en alto rendimiento deportivo al departamento de Antioquia</v>
      </c>
      <c r="F518" s="201">
        <f>VLOOKUP(E518,PROYECTOS!$K$1:$M$32,3,0)</f>
        <v>2024003050084</v>
      </c>
      <c r="G518" s="202" t="s">
        <v>450</v>
      </c>
      <c r="H518" s="202" t="str">
        <f>VLOOKUP(Q518,PROYECTOS!$V$1:$W$32,2,0)</f>
        <v>050079</v>
      </c>
      <c r="I518" s="203">
        <v>50609170</v>
      </c>
      <c r="J518" s="204" t="s">
        <v>616</v>
      </c>
      <c r="K518" s="199" t="str">
        <f t="shared" ca="1" si="71"/>
        <v>CONTRATADO</v>
      </c>
      <c r="L518" s="199" t="s">
        <v>112</v>
      </c>
      <c r="M518" s="199" t="s">
        <v>113</v>
      </c>
      <c r="N518" s="205" t="s">
        <v>452</v>
      </c>
      <c r="O518" s="204">
        <f>VLOOKUP(N518,RUBROS[#All],3,0)</f>
        <v>62</v>
      </c>
      <c r="P518" s="206" t="str">
        <f>VLOOKUP(N518,RUBROS[#All],2,0)</f>
        <v>Apoyo técnico a atletas y para-atletas que representan en alto rendimiento deportivo al departamento de Antioquia. - Servicios para la comunidad, sociales y personales</v>
      </c>
      <c r="Q518" s="199" t="str">
        <f t="shared" si="72"/>
        <v>84</v>
      </c>
      <c r="R518" s="199" t="str">
        <f t="shared" si="73"/>
        <v>0-205400</v>
      </c>
      <c r="S518" s="207">
        <v>294</v>
      </c>
      <c r="T518" s="208" t="s">
        <v>220</v>
      </c>
      <c r="U518" s="209" t="e">
        <f ca="1">_xlfn.XLOOKUP(PAA[[#This Row],[ITEM]],Contrato!A:A,Contrato!Q:Q,"",0)</f>
        <v>#NAME?</v>
      </c>
      <c r="V518" s="199" t="s">
        <v>47</v>
      </c>
      <c r="W518" s="199" t="s">
        <v>154</v>
      </c>
      <c r="X518" s="199" t="s">
        <v>154</v>
      </c>
      <c r="Y518" s="210" t="e">
        <f ca="1">_xlfn.XLOOKUP(PAA[[#This Row],[ITEM]],Contrato!A:A,Contrato!B:B,"",0)</f>
        <v>#NAME?</v>
      </c>
      <c r="Z518" s="199" t="e">
        <f ca="1">_xlfn.XLOOKUP(PAA[[#This Row],[ITEM]],Contrato!A:A,Contrato!G:G,"",0)</f>
        <v>#NAME?</v>
      </c>
      <c r="AA518" s="199" t="e">
        <f ca="1">_xlfn.XLOOKUP(PAA[[#This Row],[ITEM]],Contrato!A:A,Contrato!T:T,"",0)</f>
        <v>#NAME?</v>
      </c>
      <c r="AB518" s="210" t="e">
        <f ca="1">+MAX(PAA[[#This Row],[Comprometido Contrato]],)</f>
        <v>#NAME?</v>
      </c>
      <c r="AC518" s="210" t="str">
        <f t="shared" ca="1" si="77"/>
        <v/>
      </c>
      <c r="AD518" s="210" t="e">
        <f ca="1">+MAX(PAA[[#This Row],[Pago por Contrato]],)</f>
        <v>#NAME?</v>
      </c>
      <c r="AE518" s="210" t="str">
        <f t="shared" ca="1" si="74"/>
        <v/>
      </c>
      <c r="AF518" s="199" t="e">
        <f t="shared" ca="1" si="75"/>
        <v>#NAME?</v>
      </c>
      <c r="AG518" s="199">
        <f t="shared" si="76"/>
        <v>52010802</v>
      </c>
      <c r="AH518" s="199" t="e" cm="1">
        <f t="array" aca="1" ref="AH518" ca="1">_xlfn.XLOOKUP(PAA[[#This Row],[RCP-RUBRO]],COMPROMISOS_2025[[#All],[concatenado]],COMPROMISOS_2025[[#All],[Total pagado]],"",0)</f>
        <v>#NAME?</v>
      </c>
      <c r="AI518" s="199" t="e" cm="1">
        <f t="array" aca="1" ref="AI518" ca="1">_xlfn.XLOOKUP(PAA[[#This Row],[RCP-RUBRO]],COMPROMISOS_2025[[#All],[concatenado]],COMPROMISOS_2025[[#All],[Total Comprometido]],"",0)</f>
        <v>#NAME?</v>
      </c>
    </row>
    <row r="519" spans="1:35" s="50" customFormat="1" ht="42" hidden="1" customHeight="1" x14ac:dyDescent="0.25">
      <c r="A519" s="199">
        <v>419</v>
      </c>
      <c r="B519" s="200">
        <v>80111600</v>
      </c>
      <c r="C519" s="199" t="str">
        <f>VLOOKUP(PAA[[#This Row],[PROYECTO (formulado)2]],PROYECTOS!$G$1:$L$32,6,0)</f>
        <v>SUBGERENCIA DE ALTOS LOGROS Y DEPORTE ASOCIADO</v>
      </c>
      <c r="D519" s="199" t="str">
        <f>+IF(PAA[[#This Row],[UNIDAD DE CONTRATACION (formulado)]]="Subgerencia Administrativa y Financiera","FUNCIONAMIENTO","INVERSIÓN")</f>
        <v>INVERSIÓN</v>
      </c>
      <c r="E519" s="201" t="str">
        <f>VLOOKUP(Q519,PROYECTOS!$G$1:$K$32,5,0)</f>
        <v>Apoyo técnico a atletas y para-atletas que representan en alto rendimiento deportivo al departamento de Antioquia</v>
      </c>
      <c r="F519" s="201">
        <f>VLOOKUP(E519,PROYECTOS!$K$1:$M$32,3,0)</f>
        <v>2024003050084</v>
      </c>
      <c r="G519" s="202" t="s">
        <v>450</v>
      </c>
      <c r="H519" s="202" t="str">
        <f>VLOOKUP(Q519,PROYECTOS!$V$1:$W$32,2,0)</f>
        <v>050079</v>
      </c>
      <c r="I519" s="203">
        <v>61147776</v>
      </c>
      <c r="J519" s="204" t="s">
        <v>617</v>
      </c>
      <c r="K519" s="199" t="str">
        <f t="shared" ca="1" si="71"/>
        <v>CONTRATADO</v>
      </c>
      <c r="L519" s="199" t="s">
        <v>112</v>
      </c>
      <c r="M519" s="199" t="s">
        <v>113</v>
      </c>
      <c r="N519" s="205" t="s">
        <v>452</v>
      </c>
      <c r="O519" s="204">
        <f>VLOOKUP(N519,RUBROS[#All],3,0)</f>
        <v>62</v>
      </c>
      <c r="P519" s="206" t="str">
        <f>VLOOKUP(N519,RUBROS[#All],2,0)</f>
        <v>Apoyo técnico a atletas y para-atletas que representan en alto rendimiento deportivo al departamento de Antioquia. - Servicios para la comunidad, sociales y personales</v>
      </c>
      <c r="Q519" s="199" t="str">
        <f t="shared" si="72"/>
        <v>84</v>
      </c>
      <c r="R519" s="199" t="str">
        <f t="shared" si="73"/>
        <v>0-205400</v>
      </c>
      <c r="S519" s="207">
        <v>294</v>
      </c>
      <c r="T519" s="208" t="s">
        <v>220</v>
      </c>
      <c r="U519" s="209" t="e">
        <f ca="1">_xlfn.XLOOKUP(PAA[[#This Row],[ITEM]],Contrato!A:A,Contrato!Q:Q,"",0)</f>
        <v>#NAME?</v>
      </c>
      <c r="V519" s="199" t="s">
        <v>47</v>
      </c>
      <c r="W519" s="199" t="s">
        <v>154</v>
      </c>
      <c r="X519" s="199" t="s">
        <v>154</v>
      </c>
      <c r="Y519" s="210" t="e">
        <f ca="1">_xlfn.XLOOKUP(PAA[[#This Row],[ITEM]],Contrato!A:A,Contrato!B:B,"",0)</f>
        <v>#NAME?</v>
      </c>
      <c r="Z519" s="199" t="e">
        <f ca="1">_xlfn.XLOOKUP(PAA[[#This Row],[ITEM]],Contrato!A:A,Contrato!G:G,"",0)</f>
        <v>#NAME?</v>
      </c>
      <c r="AA519" s="199" t="e">
        <f ca="1">_xlfn.XLOOKUP(PAA[[#This Row],[ITEM]],Contrato!A:A,Contrato!T:T,"",0)</f>
        <v>#NAME?</v>
      </c>
      <c r="AB519" s="210" t="e">
        <f ca="1">+MAX(PAA[[#This Row],[Comprometido Contrato]],)</f>
        <v>#NAME?</v>
      </c>
      <c r="AC519" s="210" t="str">
        <f t="shared" ca="1" si="77"/>
        <v/>
      </c>
      <c r="AD519" s="210" t="e">
        <f ca="1">+MAX(PAA[[#This Row],[Pago por Contrato]],)</f>
        <v>#NAME?</v>
      </c>
      <c r="AE519" s="210" t="str">
        <f t="shared" ca="1" si="74"/>
        <v/>
      </c>
      <c r="AF519" s="199" t="e">
        <f t="shared" ca="1" si="75"/>
        <v>#NAME?</v>
      </c>
      <c r="AG519" s="199">
        <f t="shared" si="76"/>
        <v>52010802</v>
      </c>
      <c r="AH519" s="199" t="e" cm="1">
        <f t="array" aca="1" ref="AH519" ca="1">_xlfn.XLOOKUP(PAA[[#This Row],[RCP-RUBRO]],COMPROMISOS_2025[[#All],[concatenado]],COMPROMISOS_2025[[#All],[Total pagado]],"",0)</f>
        <v>#NAME?</v>
      </c>
      <c r="AI519" s="199" t="e" cm="1">
        <f t="array" aca="1" ref="AI519" ca="1">_xlfn.XLOOKUP(PAA[[#This Row],[RCP-RUBRO]],COMPROMISOS_2025[[#All],[concatenado]],COMPROMISOS_2025[[#All],[Total Comprometido]],"",0)</f>
        <v>#NAME?</v>
      </c>
    </row>
    <row r="520" spans="1:35" s="50" customFormat="1" ht="42" hidden="1" customHeight="1" x14ac:dyDescent="0.25">
      <c r="A520" s="199">
        <v>420</v>
      </c>
      <c r="B520" s="200">
        <v>80111600</v>
      </c>
      <c r="C520" s="199" t="str">
        <f>VLOOKUP(PAA[[#This Row],[PROYECTO (formulado)2]],PROYECTOS!$G$1:$L$32,6,0)</f>
        <v>SUBGERENCIA DE ALTOS LOGROS Y DEPORTE ASOCIADO</v>
      </c>
      <c r="D520" s="199" t="str">
        <f>+IF(PAA[[#This Row],[UNIDAD DE CONTRATACION (formulado)]]="Subgerencia Administrativa y Financiera","FUNCIONAMIENTO","INVERSIÓN")</f>
        <v>INVERSIÓN</v>
      </c>
      <c r="E520" s="201" t="str">
        <f>VLOOKUP(Q520,PROYECTOS!$G$1:$K$32,5,0)</f>
        <v>Apoyo técnico a atletas y para-atletas que representan en alto rendimiento deportivo al departamento de Antioquia</v>
      </c>
      <c r="F520" s="201">
        <f>VLOOKUP(E520,PROYECTOS!$K$1:$M$32,3,0)</f>
        <v>2024003050084</v>
      </c>
      <c r="G520" s="202" t="s">
        <v>450</v>
      </c>
      <c r="H520" s="202" t="str">
        <f>VLOOKUP(Q520,PROYECTOS!$V$1:$W$32,2,0)</f>
        <v>050079</v>
      </c>
      <c r="I520" s="203">
        <v>61147776</v>
      </c>
      <c r="J520" s="204" t="s">
        <v>618</v>
      </c>
      <c r="K520" s="199" t="str">
        <f t="shared" ca="1" si="71"/>
        <v>CONTRATADO</v>
      </c>
      <c r="L520" s="199" t="s">
        <v>112</v>
      </c>
      <c r="M520" s="199" t="s">
        <v>113</v>
      </c>
      <c r="N520" s="205" t="s">
        <v>452</v>
      </c>
      <c r="O520" s="204">
        <f>VLOOKUP(N520,RUBROS[#All],3,0)</f>
        <v>62</v>
      </c>
      <c r="P520" s="206" t="str">
        <f>VLOOKUP(N520,RUBROS[#All],2,0)</f>
        <v>Apoyo técnico a atletas y para-atletas que representan en alto rendimiento deportivo al departamento de Antioquia. - Servicios para la comunidad, sociales y personales</v>
      </c>
      <c r="Q520" s="199" t="str">
        <f t="shared" si="72"/>
        <v>84</v>
      </c>
      <c r="R520" s="199" t="str">
        <f t="shared" si="73"/>
        <v>0-205400</v>
      </c>
      <c r="S520" s="207">
        <v>294</v>
      </c>
      <c r="T520" s="208" t="s">
        <v>220</v>
      </c>
      <c r="U520" s="209" t="e">
        <f ca="1">_xlfn.XLOOKUP(PAA[[#This Row],[ITEM]],Contrato!A:A,Contrato!Q:Q,"",0)</f>
        <v>#NAME?</v>
      </c>
      <c r="V520" s="199" t="s">
        <v>47</v>
      </c>
      <c r="W520" s="199" t="s">
        <v>154</v>
      </c>
      <c r="X520" s="199" t="s">
        <v>154</v>
      </c>
      <c r="Y520" s="210" t="e">
        <f ca="1">_xlfn.XLOOKUP(PAA[[#This Row],[ITEM]],Contrato!A:A,Contrato!B:B,"",0)</f>
        <v>#NAME?</v>
      </c>
      <c r="Z520" s="199" t="e">
        <f ca="1">_xlfn.XLOOKUP(PAA[[#This Row],[ITEM]],Contrato!A:A,Contrato!G:G,"",0)</f>
        <v>#NAME?</v>
      </c>
      <c r="AA520" s="199" t="e">
        <f ca="1">_xlfn.XLOOKUP(PAA[[#This Row],[ITEM]],Contrato!A:A,Contrato!T:T,"",0)</f>
        <v>#NAME?</v>
      </c>
      <c r="AB520" s="210" t="e">
        <f ca="1">+MAX(PAA[[#This Row],[Comprometido Contrato]],)</f>
        <v>#NAME?</v>
      </c>
      <c r="AC520" s="210" t="str">
        <f t="shared" ca="1" si="77"/>
        <v/>
      </c>
      <c r="AD520" s="210" t="e">
        <f ca="1">+MAX(PAA[[#This Row],[Pago por Contrato]],)</f>
        <v>#NAME?</v>
      </c>
      <c r="AE520" s="210" t="str">
        <f t="shared" ca="1" si="74"/>
        <v/>
      </c>
      <c r="AF520" s="199" t="e">
        <f t="shared" ca="1" si="75"/>
        <v>#NAME?</v>
      </c>
      <c r="AG520" s="199">
        <f t="shared" si="76"/>
        <v>52010802</v>
      </c>
      <c r="AH520" s="199" t="e" cm="1">
        <f t="array" aca="1" ref="AH520" ca="1">_xlfn.XLOOKUP(PAA[[#This Row],[RCP-RUBRO]],COMPROMISOS_2025[[#All],[concatenado]],COMPROMISOS_2025[[#All],[Total pagado]],"",0)</f>
        <v>#NAME?</v>
      </c>
      <c r="AI520" s="199" t="e" cm="1">
        <f t="array" aca="1" ref="AI520" ca="1">_xlfn.XLOOKUP(PAA[[#This Row],[RCP-RUBRO]],COMPROMISOS_2025[[#All],[concatenado]],COMPROMISOS_2025[[#All],[Total Comprometido]],"",0)</f>
        <v>#NAME?</v>
      </c>
    </row>
    <row r="521" spans="1:35" s="50" customFormat="1" ht="42" hidden="1" customHeight="1" x14ac:dyDescent="0.25">
      <c r="A521" s="199">
        <v>421</v>
      </c>
      <c r="B521" s="200">
        <v>80111600</v>
      </c>
      <c r="C521" s="199" t="str">
        <f>VLOOKUP(PAA[[#This Row],[PROYECTO (formulado)2]],PROYECTOS!$G$1:$L$32,6,0)</f>
        <v>SUBGERENCIA DE ALTOS LOGROS Y DEPORTE ASOCIADO</v>
      </c>
      <c r="D521" s="199" t="str">
        <f>+IF(PAA[[#This Row],[UNIDAD DE CONTRATACION (formulado)]]="Subgerencia Administrativa y Financiera","FUNCIONAMIENTO","INVERSIÓN")</f>
        <v>INVERSIÓN</v>
      </c>
      <c r="E521" s="201" t="str">
        <f>VLOOKUP(Q521,PROYECTOS!$G$1:$K$32,5,0)</f>
        <v>Apoyo técnico a atletas y para-atletas que representan en alto rendimiento deportivo al departamento de Antioquia</v>
      </c>
      <c r="F521" s="201">
        <f>VLOOKUP(E521,PROYECTOS!$K$1:$M$32,3,0)</f>
        <v>2024003050084</v>
      </c>
      <c r="G521" s="202" t="s">
        <v>450</v>
      </c>
      <c r="H521" s="202" t="str">
        <f>VLOOKUP(Q521,PROYECTOS!$V$1:$W$32,2,0)</f>
        <v>050079</v>
      </c>
      <c r="I521" s="203">
        <v>26545593</v>
      </c>
      <c r="J521" s="204" t="s">
        <v>619</v>
      </c>
      <c r="K521" s="199" t="str">
        <f t="shared" ca="1" si="71"/>
        <v>CONTRATADO</v>
      </c>
      <c r="L521" s="199" t="s">
        <v>112</v>
      </c>
      <c r="M521" s="199" t="s">
        <v>113</v>
      </c>
      <c r="N521" s="205" t="s">
        <v>452</v>
      </c>
      <c r="O521" s="204">
        <f>VLOOKUP(N521,RUBROS[#All],3,0)</f>
        <v>62</v>
      </c>
      <c r="P521" s="206" t="str">
        <f>VLOOKUP(N521,RUBROS[#All],2,0)</f>
        <v>Apoyo técnico a atletas y para-atletas que representan en alto rendimiento deportivo al departamento de Antioquia. - Servicios para la comunidad, sociales y personales</v>
      </c>
      <c r="Q521" s="199" t="str">
        <f t="shared" si="72"/>
        <v>84</v>
      </c>
      <c r="R521" s="199" t="str">
        <f t="shared" si="73"/>
        <v>0-205400</v>
      </c>
      <c r="S521" s="207">
        <v>294</v>
      </c>
      <c r="T521" s="208" t="s">
        <v>220</v>
      </c>
      <c r="U521" s="209" t="e">
        <f ca="1">_xlfn.XLOOKUP(PAA[[#This Row],[ITEM]],Contrato!A:A,Contrato!Q:Q,"",0)</f>
        <v>#NAME?</v>
      </c>
      <c r="V521" s="199" t="s">
        <v>47</v>
      </c>
      <c r="W521" s="199" t="s">
        <v>154</v>
      </c>
      <c r="X521" s="199" t="s">
        <v>154</v>
      </c>
      <c r="Y521" s="210" t="e">
        <f ca="1">_xlfn.XLOOKUP(PAA[[#This Row],[ITEM]],Contrato!A:A,Contrato!B:B,"",0)</f>
        <v>#NAME?</v>
      </c>
      <c r="Z521" s="199" t="e">
        <f ca="1">_xlfn.XLOOKUP(PAA[[#This Row],[ITEM]],Contrato!A:A,Contrato!G:G,"",0)</f>
        <v>#NAME?</v>
      </c>
      <c r="AA521" s="199" t="e">
        <f ca="1">_xlfn.XLOOKUP(PAA[[#This Row],[ITEM]],Contrato!A:A,Contrato!T:T,"",0)</f>
        <v>#NAME?</v>
      </c>
      <c r="AB521" s="210" t="e">
        <f ca="1">+MAX(PAA[[#This Row],[Comprometido Contrato]],)</f>
        <v>#NAME?</v>
      </c>
      <c r="AC521" s="210" t="str">
        <f t="shared" ca="1" si="77"/>
        <v/>
      </c>
      <c r="AD521" s="210" t="e">
        <f ca="1">+MAX(PAA[[#This Row],[Pago por Contrato]],)</f>
        <v>#NAME?</v>
      </c>
      <c r="AE521" s="210" t="str">
        <f t="shared" ca="1" si="74"/>
        <v/>
      </c>
      <c r="AF521" s="199" t="e">
        <f t="shared" ca="1" si="75"/>
        <v>#NAME?</v>
      </c>
      <c r="AG521" s="199">
        <f t="shared" si="76"/>
        <v>52010802</v>
      </c>
      <c r="AH521" s="199" t="e" cm="1">
        <f t="array" aca="1" ref="AH521" ca="1">_xlfn.XLOOKUP(PAA[[#This Row],[RCP-RUBRO]],COMPROMISOS_2025[[#All],[concatenado]],COMPROMISOS_2025[[#All],[Total pagado]],"",0)</f>
        <v>#NAME?</v>
      </c>
      <c r="AI521" s="199" t="e" cm="1">
        <f t="array" aca="1" ref="AI521" ca="1">_xlfn.XLOOKUP(PAA[[#This Row],[RCP-RUBRO]],COMPROMISOS_2025[[#All],[concatenado]],COMPROMISOS_2025[[#All],[Total Comprometido]],"",0)</f>
        <v>#NAME?</v>
      </c>
    </row>
    <row r="522" spans="1:35" s="50" customFormat="1" ht="42" hidden="1" customHeight="1" x14ac:dyDescent="0.25">
      <c r="A522" s="199">
        <v>422</v>
      </c>
      <c r="B522" s="200">
        <v>80111600</v>
      </c>
      <c r="C522" s="199" t="str">
        <f>VLOOKUP(PAA[[#This Row],[PROYECTO (formulado)2]],PROYECTOS!$G$1:$L$32,6,0)</f>
        <v>SUBGERENCIA DE ALTOS LOGROS Y DEPORTE ASOCIADO</v>
      </c>
      <c r="D522" s="199" t="str">
        <f>+IF(PAA[[#This Row],[UNIDAD DE CONTRATACION (formulado)]]="Subgerencia Administrativa y Financiera","FUNCIONAMIENTO","INVERSIÓN")</f>
        <v>INVERSIÓN</v>
      </c>
      <c r="E522" s="201" t="str">
        <f>VLOOKUP(Q522,PROYECTOS!$G$1:$K$32,5,0)</f>
        <v>Apoyo técnico a atletas y para-atletas que representan en alto rendimiento deportivo al departamento de Antioquia</v>
      </c>
      <c r="F522" s="201">
        <f>VLOOKUP(E522,PROYECTOS!$K$1:$M$32,3,0)</f>
        <v>2024003050084</v>
      </c>
      <c r="G522" s="202" t="s">
        <v>450</v>
      </c>
      <c r="H522" s="202" t="str">
        <f>VLOOKUP(Q522,PROYECTOS!$V$1:$W$32,2,0)</f>
        <v>050079</v>
      </c>
      <c r="I522" s="203">
        <v>40747479</v>
      </c>
      <c r="J522" s="204" t="s">
        <v>620</v>
      </c>
      <c r="K522" s="199" t="str">
        <f t="shared" ca="1" si="71"/>
        <v>CONTRATADO</v>
      </c>
      <c r="L522" s="199" t="s">
        <v>112</v>
      </c>
      <c r="M522" s="199" t="s">
        <v>113</v>
      </c>
      <c r="N522" s="205" t="s">
        <v>452</v>
      </c>
      <c r="O522" s="204">
        <f>VLOOKUP(N522,RUBROS[#All],3,0)</f>
        <v>62</v>
      </c>
      <c r="P522" s="206" t="str">
        <f>VLOOKUP(N522,RUBROS[#All],2,0)</f>
        <v>Apoyo técnico a atletas y para-atletas que representan en alto rendimiento deportivo al departamento de Antioquia. - Servicios para la comunidad, sociales y personales</v>
      </c>
      <c r="Q522" s="199" t="str">
        <f t="shared" si="72"/>
        <v>84</v>
      </c>
      <c r="R522" s="199" t="str">
        <f t="shared" si="73"/>
        <v>0-205400</v>
      </c>
      <c r="S522" s="207">
        <v>294</v>
      </c>
      <c r="T522" s="208" t="s">
        <v>220</v>
      </c>
      <c r="U522" s="209" t="e">
        <f ca="1">_xlfn.XLOOKUP(PAA[[#This Row],[ITEM]],Contrato!A:A,Contrato!Q:Q,"",0)</f>
        <v>#NAME?</v>
      </c>
      <c r="V522" s="199" t="s">
        <v>47</v>
      </c>
      <c r="W522" s="199" t="s">
        <v>154</v>
      </c>
      <c r="X522" s="199" t="s">
        <v>154</v>
      </c>
      <c r="Y522" s="210" t="e">
        <f ca="1">_xlfn.XLOOKUP(PAA[[#This Row],[ITEM]],Contrato!A:A,Contrato!B:B,"",0)</f>
        <v>#NAME?</v>
      </c>
      <c r="Z522" s="199" t="e">
        <f ca="1">_xlfn.XLOOKUP(PAA[[#This Row],[ITEM]],Contrato!A:A,Contrato!G:G,"",0)</f>
        <v>#NAME?</v>
      </c>
      <c r="AA522" s="199" t="e">
        <f ca="1">_xlfn.XLOOKUP(PAA[[#This Row],[ITEM]],Contrato!A:A,Contrato!T:T,"",0)</f>
        <v>#NAME?</v>
      </c>
      <c r="AB522" s="210" t="e">
        <f ca="1">+MAX(PAA[[#This Row],[Comprometido Contrato]],)</f>
        <v>#NAME?</v>
      </c>
      <c r="AC522" s="210" t="str">
        <f t="shared" ca="1" si="77"/>
        <v/>
      </c>
      <c r="AD522" s="210" t="e">
        <f ca="1">+MAX(PAA[[#This Row],[Pago por Contrato]],)</f>
        <v>#NAME?</v>
      </c>
      <c r="AE522" s="210" t="str">
        <f t="shared" ca="1" si="74"/>
        <v/>
      </c>
      <c r="AF522" s="199" t="e">
        <f t="shared" ca="1" si="75"/>
        <v>#NAME?</v>
      </c>
      <c r="AG522" s="199">
        <f t="shared" si="76"/>
        <v>52010802</v>
      </c>
      <c r="AH522" s="199" t="e" cm="1">
        <f t="array" aca="1" ref="AH522" ca="1">_xlfn.XLOOKUP(PAA[[#This Row],[RCP-RUBRO]],COMPROMISOS_2025[[#All],[concatenado]],COMPROMISOS_2025[[#All],[Total pagado]],"",0)</f>
        <v>#NAME?</v>
      </c>
      <c r="AI522" s="199" t="e" cm="1">
        <f t="array" aca="1" ref="AI522" ca="1">_xlfn.XLOOKUP(PAA[[#This Row],[RCP-RUBRO]],COMPROMISOS_2025[[#All],[concatenado]],COMPROMISOS_2025[[#All],[Total Comprometido]],"",0)</f>
        <v>#NAME?</v>
      </c>
    </row>
    <row r="523" spans="1:35" s="50" customFormat="1" ht="42" hidden="1" customHeight="1" x14ac:dyDescent="0.25">
      <c r="A523" s="199">
        <v>423</v>
      </c>
      <c r="B523" s="200">
        <v>80111600</v>
      </c>
      <c r="C523" s="199" t="str">
        <f>VLOOKUP(PAA[[#This Row],[PROYECTO (formulado)2]],PROYECTOS!$G$1:$L$32,6,0)</f>
        <v>SUBGERENCIA DE ALTOS LOGROS Y DEPORTE ASOCIADO</v>
      </c>
      <c r="D523" s="199" t="str">
        <f>+IF(PAA[[#This Row],[UNIDAD DE CONTRATACION (formulado)]]="Subgerencia Administrativa y Financiera","FUNCIONAMIENTO","INVERSIÓN")</f>
        <v>INVERSIÓN</v>
      </c>
      <c r="E523" s="201" t="str">
        <f>VLOOKUP(Q523,PROYECTOS!$G$1:$K$32,5,0)</f>
        <v>Apoyo técnico a atletas y para-atletas que representan en alto rendimiento deportivo al departamento de Antioquia</v>
      </c>
      <c r="F523" s="201">
        <f>VLOOKUP(E523,PROYECTOS!$K$1:$M$32,3,0)</f>
        <v>2024003050084</v>
      </c>
      <c r="G523" s="202" t="s">
        <v>450</v>
      </c>
      <c r="H523" s="202" t="str">
        <f>VLOOKUP(Q523,PROYECTOS!$V$1:$W$32,2,0)</f>
        <v>050079</v>
      </c>
      <c r="I523" s="203">
        <v>50609170</v>
      </c>
      <c r="J523" s="204" t="s">
        <v>621</v>
      </c>
      <c r="K523" s="199" t="str">
        <f t="shared" ca="1" si="71"/>
        <v>CONTRATADO</v>
      </c>
      <c r="L523" s="199" t="s">
        <v>112</v>
      </c>
      <c r="M523" s="199" t="s">
        <v>113</v>
      </c>
      <c r="N523" s="205" t="s">
        <v>452</v>
      </c>
      <c r="O523" s="204">
        <f>VLOOKUP(N523,RUBROS[#All],3,0)</f>
        <v>62</v>
      </c>
      <c r="P523" s="206" t="str">
        <f>VLOOKUP(N523,RUBROS[#All],2,0)</f>
        <v>Apoyo técnico a atletas y para-atletas que representan en alto rendimiento deportivo al departamento de Antioquia. - Servicios para la comunidad, sociales y personales</v>
      </c>
      <c r="Q523" s="199" t="str">
        <f t="shared" si="72"/>
        <v>84</v>
      </c>
      <c r="R523" s="199" t="str">
        <f t="shared" si="73"/>
        <v>0-205400</v>
      </c>
      <c r="S523" s="207">
        <v>294</v>
      </c>
      <c r="T523" s="208" t="s">
        <v>220</v>
      </c>
      <c r="U523" s="209" t="e">
        <f ca="1">_xlfn.XLOOKUP(PAA[[#This Row],[ITEM]],Contrato!A:A,Contrato!Q:Q,"",0)</f>
        <v>#NAME?</v>
      </c>
      <c r="V523" s="199" t="s">
        <v>47</v>
      </c>
      <c r="W523" s="199" t="s">
        <v>154</v>
      </c>
      <c r="X523" s="199" t="s">
        <v>154</v>
      </c>
      <c r="Y523" s="210" t="e">
        <f ca="1">_xlfn.XLOOKUP(PAA[[#This Row],[ITEM]],Contrato!A:A,Contrato!B:B,"",0)</f>
        <v>#NAME?</v>
      </c>
      <c r="Z523" s="199" t="e">
        <f ca="1">_xlfn.XLOOKUP(PAA[[#This Row],[ITEM]],Contrato!A:A,Contrato!G:G,"",0)</f>
        <v>#NAME?</v>
      </c>
      <c r="AA523" s="199" t="e">
        <f ca="1">_xlfn.XLOOKUP(PAA[[#This Row],[ITEM]],Contrato!A:A,Contrato!T:T,"",0)</f>
        <v>#NAME?</v>
      </c>
      <c r="AB523" s="210" t="e">
        <f ca="1">+MAX(PAA[[#This Row],[Comprometido Contrato]],)</f>
        <v>#NAME?</v>
      </c>
      <c r="AC523" s="210" t="str">
        <f t="shared" ca="1" si="77"/>
        <v/>
      </c>
      <c r="AD523" s="210" t="e">
        <f ca="1">+MAX(PAA[[#This Row],[Pago por Contrato]],)</f>
        <v>#NAME?</v>
      </c>
      <c r="AE523" s="210" t="str">
        <f t="shared" ca="1" si="74"/>
        <v/>
      </c>
      <c r="AF523" s="199" t="e">
        <f t="shared" ca="1" si="75"/>
        <v>#NAME?</v>
      </c>
      <c r="AG523" s="199">
        <f t="shared" si="76"/>
        <v>52010802</v>
      </c>
      <c r="AH523" s="199" t="e" cm="1">
        <f t="array" aca="1" ref="AH523" ca="1">_xlfn.XLOOKUP(PAA[[#This Row],[RCP-RUBRO]],COMPROMISOS_2025[[#All],[concatenado]],COMPROMISOS_2025[[#All],[Total pagado]],"",0)</f>
        <v>#NAME?</v>
      </c>
      <c r="AI523" s="199" t="e" cm="1">
        <f t="array" aca="1" ref="AI523" ca="1">_xlfn.XLOOKUP(PAA[[#This Row],[RCP-RUBRO]],COMPROMISOS_2025[[#All],[concatenado]],COMPROMISOS_2025[[#All],[Total Comprometido]],"",0)</f>
        <v>#NAME?</v>
      </c>
    </row>
    <row r="524" spans="1:35" s="50" customFormat="1" ht="42" hidden="1" customHeight="1" x14ac:dyDescent="0.25">
      <c r="A524" s="199">
        <v>424</v>
      </c>
      <c r="B524" s="200">
        <v>80111600</v>
      </c>
      <c r="C524" s="199" t="str">
        <f>VLOOKUP(PAA[[#This Row],[PROYECTO (formulado)2]],PROYECTOS!$G$1:$L$32,6,0)</f>
        <v>SUBGERENCIA DE ALTOS LOGROS Y DEPORTE ASOCIADO</v>
      </c>
      <c r="D524" s="199" t="str">
        <f>+IF(PAA[[#This Row],[UNIDAD DE CONTRATACION (formulado)]]="Subgerencia Administrativa y Financiera","FUNCIONAMIENTO","INVERSIÓN")</f>
        <v>INVERSIÓN</v>
      </c>
      <c r="E524" s="201" t="str">
        <f>VLOOKUP(Q524,PROYECTOS!$G$1:$K$32,5,0)</f>
        <v>Apoyo técnico a atletas y para-atletas que representan en alto rendimiento deportivo al departamento de Antioquia</v>
      </c>
      <c r="F524" s="201">
        <f>VLOOKUP(E524,PROYECTOS!$K$1:$M$32,3,0)</f>
        <v>2024003050084</v>
      </c>
      <c r="G524" s="202" t="s">
        <v>450</v>
      </c>
      <c r="H524" s="202" t="str">
        <f>VLOOKUP(Q524,PROYECTOS!$V$1:$W$32,2,0)</f>
        <v>050079</v>
      </c>
      <c r="I524" s="203">
        <v>40747479</v>
      </c>
      <c r="J524" s="204" t="s">
        <v>622</v>
      </c>
      <c r="K524" s="199" t="str">
        <f t="shared" ca="1" si="71"/>
        <v>CONTRATADO</v>
      </c>
      <c r="L524" s="199" t="s">
        <v>112</v>
      </c>
      <c r="M524" s="199" t="s">
        <v>113</v>
      </c>
      <c r="N524" s="205" t="s">
        <v>452</v>
      </c>
      <c r="O524" s="204">
        <f>VLOOKUP(N524,RUBROS[#All],3,0)</f>
        <v>62</v>
      </c>
      <c r="P524" s="206" t="str">
        <f>VLOOKUP(N524,RUBROS[#All],2,0)</f>
        <v>Apoyo técnico a atletas y para-atletas que representan en alto rendimiento deportivo al departamento de Antioquia. - Servicios para la comunidad, sociales y personales</v>
      </c>
      <c r="Q524" s="199" t="str">
        <f t="shared" si="72"/>
        <v>84</v>
      </c>
      <c r="R524" s="199" t="str">
        <f t="shared" si="73"/>
        <v>0-205400</v>
      </c>
      <c r="S524" s="207">
        <v>294</v>
      </c>
      <c r="T524" s="208" t="s">
        <v>220</v>
      </c>
      <c r="U524" s="209" t="e">
        <f ca="1">_xlfn.XLOOKUP(PAA[[#This Row],[ITEM]],Contrato!A:A,Contrato!Q:Q,"",0)</f>
        <v>#NAME?</v>
      </c>
      <c r="V524" s="199" t="s">
        <v>47</v>
      </c>
      <c r="W524" s="199" t="s">
        <v>154</v>
      </c>
      <c r="X524" s="199" t="s">
        <v>154</v>
      </c>
      <c r="Y524" s="210" t="e">
        <f ca="1">_xlfn.XLOOKUP(PAA[[#This Row],[ITEM]],Contrato!A:A,Contrato!B:B,"",0)</f>
        <v>#NAME?</v>
      </c>
      <c r="Z524" s="199" t="e">
        <f ca="1">_xlfn.XLOOKUP(PAA[[#This Row],[ITEM]],Contrato!A:A,Contrato!G:G,"",0)</f>
        <v>#NAME?</v>
      </c>
      <c r="AA524" s="199" t="e">
        <f ca="1">_xlfn.XLOOKUP(PAA[[#This Row],[ITEM]],Contrato!A:A,Contrato!T:T,"",0)</f>
        <v>#NAME?</v>
      </c>
      <c r="AB524" s="210" t="e">
        <f ca="1">+MAX(PAA[[#This Row],[Comprometido Contrato]],)</f>
        <v>#NAME?</v>
      </c>
      <c r="AC524" s="210" t="str">
        <f t="shared" ca="1" si="77"/>
        <v/>
      </c>
      <c r="AD524" s="210" t="e">
        <f ca="1">+MAX(PAA[[#This Row],[Pago por Contrato]],)</f>
        <v>#NAME?</v>
      </c>
      <c r="AE524" s="210" t="str">
        <f t="shared" ca="1" si="74"/>
        <v/>
      </c>
      <c r="AF524" s="199" t="e">
        <f t="shared" ca="1" si="75"/>
        <v>#NAME?</v>
      </c>
      <c r="AG524" s="199">
        <f t="shared" si="76"/>
        <v>52010802</v>
      </c>
      <c r="AH524" s="199" t="e" cm="1">
        <f t="array" aca="1" ref="AH524" ca="1">_xlfn.XLOOKUP(PAA[[#This Row],[RCP-RUBRO]],COMPROMISOS_2025[[#All],[concatenado]],COMPROMISOS_2025[[#All],[Total pagado]],"",0)</f>
        <v>#NAME?</v>
      </c>
      <c r="AI524" s="199" t="e" cm="1">
        <f t="array" aca="1" ref="AI524" ca="1">_xlfn.XLOOKUP(PAA[[#This Row],[RCP-RUBRO]],COMPROMISOS_2025[[#All],[concatenado]],COMPROMISOS_2025[[#All],[Total Comprometido]],"",0)</f>
        <v>#NAME?</v>
      </c>
    </row>
    <row r="525" spans="1:35" s="50" customFormat="1" ht="42" hidden="1" customHeight="1" x14ac:dyDescent="0.25">
      <c r="A525" s="199">
        <v>425</v>
      </c>
      <c r="B525" s="200">
        <v>80111600</v>
      </c>
      <c r="C525" s="199" t="str">
        <f>VLOOKUP(PAA[[#This Row],[PROYECTO (formulado)2]],PROYECTOS!$G$1:$L$32,6,0)</f>
        <v>SUBGERENCIA DE ALTOS LOGROS Y DEPORTE ASOCIADO</v>
      </c>
      <c r="D525" s="199" t="str">
        <f>+IF(PAA[[#This Row],[UNIDAD DE CONTRATACION (formulado)]]="Subgerencia Administrativa y Financiera","FUNCIONAMIENTO","INVERSIÓN")</f>
        <v>INVERSIÓN</v>
      </c>
      <c r="E525" s="201" t="str">
        <f>VLOOKUP(Q525,PROYECTOS!$G$1:$K$32,5,0)</f>
        <v>Apoyo técnico a atletas y para-atletas que representan en alto rendimiento deportivo al departamento de Antioquia</v>
      </c>
      <c r="F525" s="201">
        <f>VLOOKUP(E525,PROYECTOS!$K$1:$M$32,3,0)</f>
        <v>2024003050084</v>
      </c>
      <c r="G525" s="202" t="s">
        <v>450</v>
      </c>
      <c r="H525" s="202" t="str">
        <f>VLOOKUP(Q525,PROYECTOS!$V$1:$W$32,2,0)</f>
        <v>050079</v>
      </c>
      <c r="I525" s="203">
        <v>61147776</v>
      </c>
      <c r="J525" s="204" t="s">
        <v>623</v>
      </c>
      <c r="K525" s="199" t="str">
        <f t="shared" ca="1" si="71"/>
        <v>CONTRATADO</v>
      </c>
      <c r="L525" s="199" t="s">
        <v>112</v>
      </c>
      <c r="M525" s="199" t="s">
        <v>113</v>
      </c>
      <c r="N525" s="205" t="s">
        <v>452</v>
      </c>
      <c r="O525" s="204">
        <f>VLOOKUP(N525,RUBROS[#All],3,0)</f>
        <v>62</v>
      </c>
      <c r="P525" s="206" t="str">
        <f>VLOOKUP(N525,RUBROS[#All],2,0)</f>
        <v>Apoyo técnico a atletas y para-atletas que representan en alto rendimiento deportivo al departamento de Antioquia. - Servicios para la comunidad, sociales y personales</v>
      </c>
      <c r="Q525" s="199" t="str">
        <f t="shared" si="72"/>
        <v>84</v>
      </c>
      <c r="R525" s="199" t="str">
        <f t="shared" si="73"/>
        <v>0-205400</v>
      </c>
      <c r="S525" s="207">
        <v>294</v>
      </c>
      <c r="T525" s="208" t="s">
        <v>220</v>
      </c>
      <c r="U525" s="209" t="e">
        <f ca="1">_xlfn.XLOOKUP(PAA[[#This Row],[ITEM]],Contrato!A:A,Contrato!Q:Q,"",0)</f>
        <v>#NAME?</v>
      </c>
      <c r="V525" s="199" t="s">
        <v>47</v>
      </c>
      <c r="W525" s="199" t="s">
        <v>154</v>
      </c>
      <c r="X525" s="199" t="s">
        <v>154</v>
      </c>
      <c r="Y525" s="210" t="e">
        <f ca="1">_xlfn.XLOOKUP(PAA[[#This Row],[ITEM]],Contrato!A:A,Contrato!B:B,"",0)</f>
        <v>#NAME?</v>
      </c>
      <c r="Z525" s="199" t="e">
        <f ca="1">_xlfn.XLOOKUP(PAA[[#This Row],[ITEM]],Contrato!A:A,Contrato!G:G,"",0)</f>
        <v>#NAME?</v>
      </c>
      <c r="AA525" s="199" t="e">
        <f ca="1">_xlfn.XLOOKUP(PAA[[#This Row],[ITEM]],Contrato!A:A,Contrato!T:T,"",0)</f>
        <v>#NAME?</v>
      </c>
      <c r="AB525" s="210" t="e">
        <f ca="1">+MAX(PAA[[#This Row],[Comprometido Contrato]],)</f>
        <v>#NAME?</v>
      </c>
      <c r="AC525" s="210" t="str">
        <f t="shared" ca="1" si="77"/>
        <v/>
      </c>
      <c r="AD525" s="210" t="e">
        <f ca="1">+MAX(PAA[[#This Row],[Pago por Contrato]],)</f>
        <v>#NAME?</v>
      </c>
      <c r="AE525" s="210" t="str">
        <f t="shared" ca="1" si="74"/>
        <v/>
      </c>
      <c r="AF525" s="199" t="e">
        <f t="shared" ca="1" si="75"/>
        <v>#NAME?</v>
      </c>
      <c r="AG525" s="199">
        <f t="shared" si="76"/>
        <v>52010802</v>
      </c>
      <c r="AH525" s="199" t="e" cm="1">
        <f t="array" aca="1" ref="AH525" ca="1">_xlfn.XLOOKUP(PAA[[#This Row],[RCP-RUBRO]],COMPROMISOS_2025[[#All],[concatenado]],COMPROMISOS_2025[[#All],[Total pagado]],"",0)</f>
        <v>#NAME?</v>
      </c>
      <c r="AI525" s="199" t="e" cm="1">
        <f t="array" aca="1" ref="AI525" ca="1">_xlfn.XLOOKUP(PAA[[#This Row],[RCP-RUBRO]],COMPROMISOS_2025[[#All],[concatenado]],COMPROMISOS_2025[[#All],[Total Comprometido]],"",0)</f>
        <v>#NAME?</v>
      </c>
    </row>
    <row r="526" spans="1:35" s="50" customFormat="1" ht="42" hidden="1" customHeight="1" x14ac:dyDescent="0.25">
      <c r="A526" s="199">
        <v>426</v>
      </c>
      <c r="B526" s="200">
        <v>80111600</v>
      </c>
      <c r="C526" s="199" t="str">
        <f>VLOOKUP(PAA[[#This Row],[PROYECTO (formulado)2]],PROYECTOS!$G$1:$L$32,6,0)</f>
        <v>SUBGERENCIA DE ALTOS LOGROS Y DEPORTE ASOCIADO</v>
      </c>
      <c r="D526" s="199" t="str">
        <f>+IF(PAA[[#This Row],[UNIDAD DE CONTRATACION (formulado)]]="Subgerencia Administrativa y Financiera","FUNCIONAMIENTO","INVERSIÓN")</f>
        <v>INVERSIÓN</v>
      </c>
      <c r="E526" s="201" t="str">
        <f>VLOOKUP(Q526,PROYECTOS!$G$1:$K$32,5,0)</f>
        <v>Apoyo técnico a atletas y para-atletas que representan en alto rendimiento deportivo al departamento de Antioquia</v>
      </c>
      <c r="F526" s="201">
        <f>VLOOKUP(E526,PROYECTOS!$K$1:$M$32,3,0)</f>
        <v>2024003050084</v>
      </c>
      <c r="G526" s="202" t="s">
        <v>450</v>
      </c>
      <c r="H526" s="202" t="str">
        <f>VLOOKUP(Q526,PROYECTOS!$V$1:$W$32,2,0)</f>
        <v>050079</v>
      </c>
      <c r="I526" s="203">
        <v>81536206</v>
      </c>
      <c r="J526" s="204" t="s">
        <v>624</v>
      </c>
      <c r="K526" s="199" t="str">
        <f t="shared" ca="1" si="71"/>
        <v>CONTRATADO</v>
      </c>
      <c r="L526" s="199" t="s">
        <v>112</v>
      </c>
      <c r="M526" s="199" t="s">
        <v>113</v>
      </c>
      <c r="N526" s="205" t="s">
        <v>452</v>
      </c>
      <c r="O526" s="204">
        <f>VLOOKUP(N526,RUBROS[#All],3,0)</f>
        <v>62</v>
      </c>
      <c r="P526" s="206" t="str">
        <f>VLOOKUP(N526,RUBROS[#All],2,0)</f>
        <v>Apoyo técnico a atletas y para-atletas que representan en alto rendimiento deportivo al departamento de Antioquia. - Servicios para la comunidad, sociales y personales</v>
      </c>
      <c r="Q526" s="199" t="str">
        <f t="shared" si="72"/>
        <v>84</v>
      </c>
      <c r="R526" s="199" t="str">
        <f t="shared" si="73"/>
        <v>0-205400</v>
      </c>
      <c r="S526" s="207">
        <v>294</v>
      </c>
      <c r="T526" s="208" t="s">
        <v>220</v>
      </c>
      <c r="U526" s="209" t="e">
        <f ca="1">_xlfn.XLOOKUP(PAA[[#This Row],[ITEM]],Contrato!A:A,Contrato!Q:Q,"",0)</f>
        <v>#NAME?</v>
      </c>
      <c r="V526" s="199" t="s">
        <v>47</v>
      </c>
      <c r="W526" s="199" t="s">
        <v>154</v>
      </c>
      <c r="X526" s="199" t="s">
        <v>154</v>
      </c>
      <c r="Y526" s="210" t="e">
        <f ca="1">_xlfn.XLOOKUP(PAA[[#This Row],[ITEM]],Contrato!A:A,Contrato!B:B,"",0)</f>
        <v>#NAME?</v>
      </c>
      <c r="Z526" s="199" t="e">
        <f ca="1">_xlfn.XLOOKUP(PAA[[#This Row],[ITEM]],Contrato!A:A,Contrato!G:G,"",0)</f>
        <v>#NAME?</v>
      </c>
      <c r="AA526" s="199" t="e">
        <f ca="1">_xlfn.XLOOKUP(PAA[[#This Row],[ITEM]],Contrato!A:A,Contrato!T:T,"",0)</f>
        <v>#NAME?</v>
      </c>
      <c r="AB526" s="210" t="e">
        <f ca="1">+MAX(PAA[[#This Row],[Comprometido Contrato]],)</f>
        <v>#NAME?</v>
      </c>
      <c r="AC526" s="210" t="str">
        <f t="shared" ca="1" si="77"/>
        <v/>
      </c>
      <c r="AD526" s="210" t="e">
        <f ca="1">+MAX(PAA[[#This Row],[Pago por Contrato]],)</f>
        <v>#NAME?</v>
      </c>
      <c r="AE526" s="210" t="str">
        <f t="shared" ca="1" si="74"/>
        <v/>
      </c>
      <c r="AF526" s="199" t="e">
        <f t="shared" ca="1" si="75"/>
        <v>#NAME?</v>
      </c>
      <c r="AG526" s="199">
        <f t="shared" si="76"/>
        <v>52010802</v>
      </c>
      <c r="AH526" s="199" t="e" cm="1">
        <f t="array" aca="1" ref="AH526" ca="1">_xlfn.XLOOKUP(PAA[[#This Row],[RCP-RUBRO]],COMPROMISOS_2025[[#All],[concatenado]],COMPROMISOS_2025[[#All],[Total pagado]],"",0)</f>
        <v>#NAME?</v>
      </c>
      <c r="AI526" s="199" t="e" cm="1">
        <f t="array" aca="1" ref="AI526" ca="1">_xlfn.XLOOKUP(PAA[[#This Row],[RCP-RUBRO]],COMPROMISOS_2025[[#All],[concatenado]],COMPROMISOS_2025[[#All],[Total Comprometido]],"",0)</f>
        <v>#NAME?</v>
      </c>
    </row>
    <row r="527" spans="1:35" s="50" customFormat="1" ht="42" hidden="1" customHeight="1" x14ac:dyDescent="0.25">
      <c r="A527" s="199">
        <v>427</v>
      </c>
      <c r="B527" s="200">
        <v>80111600</v>
      </c>
      <c r="C527" s="199" t="str">
        <f>VLOOKUP(PAA[[#This Row],[PROYECTO (formulado)2]],PROYECTOS!$G$1:$L$32,6,0)</f>
        <v>SUBGERENCIA DE ALTOS LOGROS Y DEPORTE ASOCIADO</v>
      </c>
      <c r="D527" s="199" t="str">
        <f>+IF(PAA[[#This Row],[UNIDAD DE CONTRATACION (formulado)]]="Subgerencia Administrativa y Financiera","FUNCIONAMIENTO","INVERSIÓN")</f>
        <v>INVERSIÓN</v>
      </c>
      <c r="E527" s="201" t="str">
        <f>VLOOKUP(Q527,PROYECTOS!$G$1:$K$32,5,0)</f>
        <v>Apoyo técnico a atletas y para-atletas que representan en alto rendimiento deportivo al departamento de Antioquia</v>
      </c>
      <c r="F527" s="201">
        <f>VLOOKUP(E527,PROYECTOS!$K$1:$M$32,3,0)</f>
        <v>2024003050084</v>
      </c>
      <c r="G527" s="202" t="s">
        <v>450</v>
      </c>
      <c r="H527" s="202" t="str">
        <f>VLOOKUP(Q527,PROYECTOS!$V$1:$W$32,2,0)</f>
        <v>050079</v>
      </c>
      <c r="I527" s="203">
        <v>50609170</v>
      </c>
      <c r="J527" s="204" t="s">
        <v>625</v>
      </c>
      <c r="K527" s="199" t="str">
        <f t="shared" ca="1" si="71"/>
        <v>CONTRATADO</v>
      </c>
      <c r="L527" s="199" t="s">
        <v>112</v>
      </c>
      <c r="M527" s="199" t="s">
        <v>113</v>
      </c>
      <c r="N527" s="205" t="s">
        <v>452</v>
      </c>
      <c r="O527" s="204">
        <f>VLOOKUP(N527,RUBROS[#All],3,0)</f>
        <v>62</v>
      </c>
      <c r="P527" s="206" t="str">
        <f>VLOOKUP(N527,RUBROS[#All],2,0)</f>
        <v>Apoyo técnico a atletas y para-atletas que representan en alto rendimiento deportivo al departamento de Antioquia. - Servicios para la comunidad, sociales y personales</v>
      </c>
      <c r="Q527" s="199" t="str">
        <f t="shared" si="72"/>
        <v>84</v>
      </c>
      <c r="R527" s="199" t="str">
        <f t="shared" si="73"/>
        <v>0-205400</v>
      </c>
      <c r="S527" s="207">
        <v>294</v>
      </c>
      <c r="T527" s="208" t="s">
        <v>220</v>
      </c>
      <c r="U527" s="209" t="e">
        <f ca="1">_xlfn.XLOOKUP(PAA[[#This Row],[ITEM]],Contrato!A:A,Contrato!Q:Q,"",0)</f>
        <v>#NAME?</v>
      </c>
      <c r="V527" s="199" t="s">
        <v>47</v>
      </c>
      <c r="W527" s="199" t="s">
        <v>154</v>
      </c>
      <c r="X527" s="199" t="s">
        <v>154</v>
      </c>
      <c r="Y527" s="210" t="e">
        <f ca="1">_xlfn.XLOOKUP(PAA[[#This Row],[ITEM]],Contrato!A:A,Contrato!B:B,"",0)</f>
        <v>#NAME?</v>
      </c>
      <c r="Z527" s="199" t="e">
        <f ca="1">_xlfn.XLOOKUP(PAA[[#This Row],[ITEM]],Contrato!A:A,Contrato!G:G,"",0)</f>
        <v>#NAME?</v>
      </c>
      <c r="AA527" s="199" t="e">
        <f ca="1">_xlfn.XLOOKUP(PAA[[#This Row],[ITEM]],Contrato!A:A,Contrato!T:T,"",0)</f>
        <v>#NAME?</v>
      </c>
      <c r="AB527" s="210" t="e">
        <f ca="1">+MAX(PAA[[#This Row],[Comprometido Contrato]],)</f>
        <v>#NAME?</v>
      </c>
      <c r="AC527" s="210" t="str">
        <f t="shared" ca="1" si="77"/>
        <v/>
      </c>
      <c r="AD527" s="210" t="e">
        <f ca="1">+MAX(PAA[[#This Row],[Pago por Contrato]],)</f>
        <v>#NAME?</v>
      </c>
      <c r="AE527" s="210" t="str">
        <f t="shared" ca="1" si="74"/>
        <v/>
      </c>
      <c r="AF527" s="199" t="e">
        <f t="shared" ca="1" si="75"/>
        <v>#NAME?</v>
      </c>
      <c r="AG527" s="199">
        <f t="shared" si="76"/>
        <v>52010802</v>
      </c>
      <c r="AH527" s="199" t="e" cm="1">
        <f t="array" aca="1" ref="AH527" ca="1">_xlfn.XLOOKUP(PAA[[#This Row],[RCP-RUBRO]],COMPROMISOS_2025[[#All],[concatenado]],COMPROMISOS_2025[[#All],[Total pagado]],"",0)</f>
        <v>#NAME?</v>
      </c>
      <c r="AI527" s="199" t="e" cm="1">
        <f t="array" aca="1" ref="AI527" ca="1">_xlfn.XLOOKUP(PAA[[#This Row],[RCP-RUBRO]],COMPROMISOS_2025[[#All],[concatenado]],COMPROMISOS_2025[[#All],[Total Comprometido]],"",0)</f>
        <v>#NAME?</v>
      </c>
    </row>
    <row r="528" spans="1:35" s="50" customFormat="1" ht="42" hidden="1" customHeight="1" x14ac:dyDescent="0.25">
      <c r="A528" s="199">
        <v>428</v>
      </c>
      <c r="B528" s="200">
        <v>80111600</v>
      </c>
      <c r="C528" s="199" t="str">
        <f>VLOOKUP(PAA[[#This Row],[PROYECTO (formulado)2]],PROYECTOS!$G$1:$L$32,6,0)</f>
        <v>SUBGERENCIA DE ALTOS LOGROS Y DEPORTE ASOCIADO</v>
      </c>
      <c r="D528" s="199" t="str">
        <f>+IF(PAA[[#This Row],[UNIDAD DE CONTRATACION (formulado)]]="Subgerencia Administrativa y Financiera","FUNCIONAMIENTO","INVERSIÓN")</f>
        <v>INVERSIÓN</v>
      </c>
      <c r="E528" s="201" t="str">
        <f>VLOOKUP(Q528,PROYECTOS!$G$1:$K$32,5,0)</f>
        <v>Apoyo técnico a atletas y para-atletas que representan en alto rendimiento deportivo al departamento de Antioquia</v>
      </c>
      <c r="F528" s="201">
        <f>VLOOKUP(E528,PROYECTOS!$K$1:$M$32,3,0)</f>
        <v>2024003050084</v>
      </c>
      <c r="G528" s="202" t="s">
        <v>450</v>
      </c>
      <c r="H528" s="202" t="str">
        <f>VLOOKUP(Q528,PROYECTOS!$V$1:$W$32,2,0)</f>
        <v>050079</v>
      </c>
      <c r="I528" s="203">
        <v>40747479</v>
      </c>
      <c r="J528" s="204" t="s">
        <v>626</v>
      </c>
      <c r="K528" s="199" t="str">
        <f t="shared" ca="1" si="71"/>
        <v>CONTRATADO</v>
      </c>
      <c r="L528" s="199" t="s">
        <v>112</v>
      </c>
      <c r="M528" s="199" t="s">
        <v>113</v>
      </c>
      <c r="N528" s="205" t="s">
        <v>452</v>
      </c>
      <c r="O528" s="204">
        <f>VLOOKUP(N528,RUBROS[#All],3,0)</f>
        <v>62</v>
      </c>
      <c r="P528" s="206" t="str">
        <f>VLOOKUP(N528,RUBROS[#All],2,0)</f>
        <v>Apoyo técnico a atletas y para-atletas que representan en alto rendimiento deportivo al departamento de Antioquia. - Servicios para la comunidad, sociales y personales</v>
      </c>
      <c r="Q528" s="199" t="str">
        <f t="shared" si="72"/>
        <v>84</v>
      </c>
      <c r="R528" s="199" t="str">
        <f t="shared" si="73"/>
        <v>0-205400</v>
      </c>
      <c r="S528" s="207">
        <v>294</v>
      </c>
      <c r="T528" s="208" t="s">
        <v>220</v>
      </c>
      <c r="U528" s="209" t="e">
        <f ca="1">_xlfn.XLOOKUP(PAA[[#This Row],[ITEM]],Contrato!A:A,Contrato!Q:Q,"",0)</f>
        <v>#NAME?</v>
      </c>
      <c r="V528" s="199" t="s">
        <v>47</v>
      </c>
      <c r="W528" s="199" t="s">
        <v>154</v>
      </c>
      <c r="X528" s="199" t="s">
        <v>154</v>
      </c>
      <c r="Y528" s="210" t="e">
        <f ca="1">_xlfn.XLOOKUP(PAA[[#This Row],[ITEM]],Contrato!A:A,Contrato!B:B,"",0)</f>
        <v>#NAME?</v>
      </c>
      <c r="Z528" s="199" t="e">
        <f ca="1">_xlfn.XLOOKUP(PAA[[#This Row],[ITEM]],Contrato!A:A,Contrato!G:G,"",0)</f>
        <v>#NAME?</v>
      </c>
      <c r="AA528" s="199" t="e">
        <f ca="1">_xlfn.XLOOKUP(PAA[[#This Row],[ITEM]],Contrato!A:A,Contrato!T:T,"",0)</f>
        <v>#NAME?</v>
      </c>
      <c r="AB528" s="210" t="e">
        <f ca="1">+MAX(PAA[[#This Row],[Comprometido Contrato]],)</f>
        <v>#NAME?</v>
      </c>
      <c r="AC528" s="210" t="str">
        <f t="shared" ca="1" si="77"/>
        <v/>
      </c>
      <c r="AD528" s="210" t="e">
        <f ca="1">+MAX(PAA[[#This Row],[Pago por Contrato]],)</f>
        <v>#NAME?</v>
      </c>
      <c r="AE528" s="210" t="str">
        <f t="shared" ca="1" si="74"/>
        <v/>
      </c>
      <c r="AF528" s="199" t="e">
        <f t="shared" ca="1" si="75"/>
        <v>#NAME?</v>
      </c>
      <c r="AG528" s="199">
        <f t="shared" si="76"/>
        <v>52010802</v>
      </c>
      <c r="AH528" s="199" t="e" cm="1">
        <f t="array" aca="1" ref="AH528" ca="1">_xlfn.XLOOKUP(PAA[[#This Row],[RCP-RUBRO]],COMPROMISOS_2025[[#All],[concatenado]],COMPROMISOS_2025[[#All],[Total pagado]],"",0)</f>
        <v>#NAME?</v>
      </c>
      <c r="AI528" s="199" t="e" cm="1">
        <f t="array" aca="1" ref="AI528" ca="1">_xlfn.XLOOKUP(PAA[[#This Row],[RCP-RUBRO]],COMPROMISOS_2025[[#All],[concatenado]],COMPROMISOS_2025[[#All],[Total Comprometido]],"",0)</f>
        <v>#NAME?</v>
      </c>
    </row>
    <row r="529" spans="1:35" s="50" customFormat="1" ht="42" hidden="1" customHeight="1" x14ac:dyDescent="0.25">
      <c r="A529" s="199">
        <v>429</v>
      </c>
      <c r="B529" s="200">
        <v>80111600</v>
      </c>
      <c r="C529" s="199" t="str">
        <f>VLOOKUP(PAA[[#This Row],[PROYECTO (formulado)2]],PROYECTOS!$G$1:$L$32,6,0)</f>
        <v>SUBGERENCIA DE ALTOS LOGROS Y DEPORTE ASOCIADO</v>
      </c>
      <c r="D529" s="199" t="str">
        <f>+IF(PAA[[#This Row],[UNIDAD DE CONTRATACION (formulado)]]="Subgerencia Administrativa y Financiera","FUNCIONAMIENTO","INVERSIÓN")</f>
        <v>INVERSIÓN</v>
      </c>
      <c r="E529" s="201" t="str">
        <f>VLOOKUP(Q529,PROYECTOS!$G$1:$K$32,5,0)</f>
        <v>Apoyo técnico a atletas y para-atletas que representan en alto rendimiento deportivo al departamento de Antioquia</v>
      </c>
      <c r="F529" s="201">
        <f>VLOOKUP(E529,PROYECTOS!$K$1:$M$32,3,0)</f>
        <v>2024003050084</v>
      </c>
      <c r="G529" s="202" t="s">
        <v>450</v>
      </c>
      <c r="H529" s="202" t="str">
        <f>VLOOKUP(Q529,PROYECTOS!$V$1:$W$32,2,0)</f>
        <v>050079</v>
      </c>
      <c r="I529" s="203">
        <v>81536206</v>
      </c>
      <c r="J529" s="204" t="s">
        <v>627</v>
      </c>
      <c r="K529" s="199" t="str">
        <f t="shared" ca="1" si="71"/>
        <v>CONTRATADO</v>
      </c>
      <c r="L529" s="199" t="s">
        <v>112</v>
      </c>
      <c r="M529" s="199" t="s">
        <v>113</v>
      </c>
      <c r="N529" s="205" t="s">
        <v>452</v>
      </c>
      <c r="O529" s="204">
        <f>VLOOKUP(N529,RUBROS[#All],3,0)</f>
        <v>62</v>
      </c>
      <c r="P529" s="206" t="str">
        <f>VLOOKUP(N529,RUBROS[#All],2,0)</f>
        <v>Apoyo técnico a atletas y para-atletas que representan en alto rendimiento deportivo al departamento de Antioquia. - Servicios para la comunidad, sociales y personales</v>
      </c>
      <c r="Q529" s="199" t="str">
        <f t="shared" si="72"/>
        <v>84</v>
      </c>
      <c r="R529" s="199" t="str">
        <f t="shared" si="73"/>
        <v>0-205400</v>
      </c>
      <c r="S529" s="207">
        <v>294</v>
      </c>
      <c r="T529" s="208" t="s">
        <v>220</v>
      </c>
      <c r="U529" s="209" t="e">
        <f ca="1">_xlfn.XLOOKUP(PAA[[#This Row],[ITEM]],Contrato!A:A,Contrato!Q:Q,"",0)</f>
        <v>#NAME?</v>
      </c>
      <c r="V529" s="199" t="s">
        <v>47</v>
      </c>
      <c r="W529" s="199" t="s">
        <v>154</v>
      </c>
      <c r="X529" s="199" t="s">
        <v>154</v>
      </c>
      <c r="Y529" s="210" t="e">
        <f ca="1">_xlfn.XLOOKUP(PAA[[#This Row],[ITEM]],Contrato!A:A,Contrato!B:B,"",0)</f>
        <v>#NAME?</v>
      </c>
      <c r="Z529" s="199" t="e">
        <f ca="1">_xlfn.XLOOKUP(PAA[[#This Row],[ITEM]],Contrato!A:A,Contrato!G:G,"",0)</f>
        <v>#NAME?</v>
      </c>
      <c r="AA529" s="199" t="e">
        <f ca="1">_xlfn.XLOOKUP(PAA[[#This Row],[ITEM]],Contrato!A:A,Contrato!T:T,"",0)</f>
        <v>#NAME?</v>
      </c>
      <c r="AB529" s="210" t="e">
        <f ca="1">+MAX(PAA[[#This Row],[Comprometido Contrato]],)</f>
        <v>#NAME?</v>
      </c>
      <c r="AC529" s="210" t="str">
        <f t="shared" ca="1" si="77"/>
        <v/>
      </c>
      <c r="AD529" s="210" t="e">
        <f ca="1">+MAX(PAA[[#This Row],[Pago por Contrato]],)</f>
        <v>#NAME?</v>
      </c>
      <c r="AE529" s="210" t="str">
        <f t="shared" ca="1" si="74"/>
        <v/>
      </c>
      <c r="AF529" s="199" t="e">
        <f t="shared" ca="1" si="75"/>
        <v>#NAME?</v>
      </c>
      <c r="AG529" s="199">
        <f t="shared" si="76"/>
        <v>52010802</v>
      </c>
      <c r="AH529" s="199" t="e" cm="1">
        <f t="array" aca="1" ref="AH529" ca="1">_xlfn.XLOOKUP(PAA[[#This Row],[RCP-RUBRO]],COMPROMISOS_2025[[#All],[concatenado]],COMPROMISOS_2025[[#All],[Total pagado]],"",0)</f>
        <v>#NAME?</v>
      </c>
      <c r="AI529" s="199" t="e" cm="1">
        <f t="array" aca="1" ref="AI529" ca="1">_xlfn.XLOOKUP(PAA[[#This Row],[RCP-RUBRO]],COMPROMISOS_2025[[#All],[concatenado]],COMPROMISOS_2025[[#All],[Total Comprometido]],"",0)</f>
        <v>#NAME?</v>
      </c>
    </row>
    <row r="530" spans="1:35" s="50" customFormat="1" ht="42" hidden="1" customHeight="1" x14ac:dyDescent="0.25">
      <c r="A530" s="199">
        <v>430</v>
      </c>
      <c r="B530" s="200">
        <v>80111600</v>
      </c>
      <c r="C530" s="199" t="str">
        <f>VLOOKUP(PAA[[#This Row],[PROYECTO (formulado)2]],PROYECTOS!$G$1:$L$32,6,0)</f>
        <v>SUBGERENCIA DE ALTOS LOGROS Y DEPORTE ASOCIADO</v>
      </c>
      <c r="D530" s="199" t="str">
        <f>+IF(PAA[[#This Row],[UNIDAD DE CONTRATACION (formulado)]]="Subgerencia Administrativa y Financiera","FUNCIONAMIENTO","INVERSIÓN")</f>
        <v>INVERSIÓN</v>
      </c>
      <c r="E530" s="201" t="str">
        <f>VLOOKUP(Q530,PROYECTOS!$G$1:$K$32,5,0)</f>
        <v>Apoyo técnico a atletas y para-atletas que representan en alto rendimiento deportivo al departamento de Antioquia</v>
      </c>
      <c r="F530" s="201">
        <f>VLOOKUP(E530,PROYECTOS!$K$1:$M$32,3,0)</f>
        <v>2024003050084</v>
      </c>
      <c r="G530" s="202" t="s">
        <v>450</v>
      </c>
      <c r="H530" s="202" t="str">
        <f>VLOOKUP(Q530,PROYECTOS!$V$1:$W$32,2,0)</f>
        <v>050079</v>
      </c>
      <c r="I530" s="203">
        <v>26545593</v>
      </c>
      <c r="J530" s="204" t="s">
        <v>628</v>
      </c>
      <c r="K530" s="199" t="str">
        <f t="shared" ca="1" si="71"/>
        <v>CONTRATADO</v>
      </c>
      <c r="L530" s="199" t="s">
        <v>112</v>
      </c>
      <c r="M530" s="199" t="s">
        <v>113</v>
      </c>
      <c r="N530" s="205" t="s">
        <v>452</v>
      </c>
      <c r="O530" s="204">
        <f>VLOOKUP(N530,RUBROS[#All],3,0)</f>
        <v>62</v>
      </c>
      <c r="P530" s="206" t="str">
        <f>VLOOKUP(N530,RUBROS[#All],2,0)</f>
        <v>Apoyo técnico a atletas y para-atletas que representan en alto rendimiento deportivo al departamento de Antioquia. - Servicios para la comunidad, sociales y personales</v>
      </c>
      <c r="Q530" s="199" t="str">
        <f t="shared" si="72"/>
        <v>84</v>
      </c>
      <c r="R530" s="199" t="str">
        <f t="shared" si="73"/>
        <v>0-205400</v>
      </c>
      <c r="S530" s="207">
        <v>294</v>
      </c>
      <c r="T530" s="208" t="s">
        <v>220</v>
      </c>
      <c r="U530" s="209" t="e">
        <f ca="1">_xlfn.XLOOKUP(PAA[[#This Row],[ITEM]],Contrato!A:A,Contrato!Q:Q,"",0)</f>
        <v>#NAME?</v>
      </c>
      <c r="V530" s="199" t="s">
        <v>47</v>
      </c>
      <c r="W530" s="199" t="s">
        <v>154</v>
      </c>
      <c r="X530" s="199" t="s">
        <v>154</v>
      </c>
      <c r="Y530" s="210" t="e">
        <f ca="1">_xlfn.XLOOKUP(PAA[[#This Row],[ITEM]],Contrato!A:A,Contrato!B:B,"",0)</f>
        <v>#NAME?</v>
      </c>
      <c r="Z530" s="199" t="e">
        <f ca="1">_xlfn.XLOOKUP(PAA[[#This Row],[ITEM]],Contrato!A:A,Contrato!G:G,"",0)</f>
        <v>#NAME?</v>
      </c>
      <c r="AA530" s="199" t="e">
        <f ca="1">_xlfn.XLOOKUP(PAA[[#This Row],[ITEM]],Contrato!A:A,Contrato!T:T,"",0)</f>
        <v>#NAME?</v>
      </c>
      <c r="AB530" s="210" t="e">
        <f ca="1">+MAX(PAA[[#This Row],[Comprometido Contrato]],)</f>
        <v>#NAME?</v>
      </c>
      <c r="AC530" s="210" t="str">
        <f t="shared" ca="1" si="77"/>
        <v/>
      </c>
      <c r="AD530" s="210" t="e">
        <f ca="1">+MAX(PAA[[#This Row],[Pago por Contrato]],)</f>
        <v>#NAME?</v>
      </c>
      <c r="AE530" s="210" t="str">
        <f t="shared" ca="1" si="74"/>
        <v/>
      </c>
      <c r="AF530" s="199" t="e">
        <f t="shared" ca="1" si="75"/>
        <v>#NAME?</v>
      </c>
      <c r="AG530" s="199">
        <f t="shared" si="76"/>
        <v>52010802</v>
      </c>
      <c r="AH530" s="199" t="e" cm="1">
        <f t="array" aca="1" ref="AH530" ca="1">_xlfn.XLOOKUP(PAA[[#This Row],[RCP-RUBRO]],COMPROMISOS_2025[[#All],[concatenado]],COMPROMISOS_2025[[#All],[Total pagado]],"",0)</f>
        <v>#NAME?</v>
      </c>
      <c r="AI530" s="199" t="e" cm="1">
        <f t="array" aca="1" ref="AI530" ca="1">_xlfn.XLOOKUP(PAA[[#This Row],[RCP-RUBRO]],COMPROMISOS_2025[[#All],[concatenado]],COMPROMISOS_2025[[#All],[Total Comprometido]],"",0)</f>
        <v>#NAME?</v>
      </c>
    </row>
    <row r="531" spans="1:35" s="50" customFormat="1" ht="42" hidden="1" customHeight="1" x14ac:dyDescent="0.25">
      <c r="A531" s="199">
        <v>431</v>
      </c>
      <c r="B531" s="200">
        <v>80111600</v>
      </c>
      <c r="C531" s="199" t="str">
        <f>VLOOKUP(PAA[[#This Row],[PROYECTO (formulado)2]],PROYECTOS!$G$1:$L$32,6,0)</f>
        <v>SUBGERENCIA DE ALTOS LOGROS Y DEPORTE ASOCIADO</v>
      </c>
      <c r="D531" s="199" t="str">
        <f>+IF(PAA[[#This Row],[UNIDAD DE CONTRATACION (formulado)]]="Subgerencia Administrativa y Financiera","FUNCIONAMIENTO","INVERSIÓN")</f>
        <v>INVERSIÓN</v>
      </c>
      <c r="E531" s="201" t="str">
        <f>VLOOKUP(Q531,PROYECTOS!$G$1:$K$32,5,0)</f>
        <v>Apoyo técnico a atletas y para-atletas que representan en alto rendimiento deportivo al departamento de Antioquia</v>
      </c>
      <c r="F531" s="201">
        <f>VLOOKUP(E531,PROYECTOS!$K$1:$M$32,3,0)</f>
        <v>2024003050084</v>
      </c>
      <c r="G531" s="202" t="s">
        <v>450</v>
      </c>
      <c r="H531" s="202" t="str">
        <f>VLOOKUP(Q531,PROYECTOS!$V$1:$W$32,2,0)</f>
        <v>050079</v>
      </c>
      <c r="I531" s="203">
        <v>40747479</v>
      </c>
      <c r="J531" s="204" t="s">
        <v>629</v>
      </c>
      <c r="K531" s="199" t="str">
        <f t="shared" ca="1" si="71"/>
        <v>CONTRATADO</v>
      </c>
      <c r="L531" s="199" t="s">
        <v>112</v>
      </c>
      <c r="M531" s="199" t="s">
        <v>113</v>
      </c>
      <c r="N531" s="205" t="s">
        <v>452</v>
      </c>
      <c r="O531" s="204">
        <f>VLOOKUP(N531,RUBROS[#All],3,0)</f>
        <v>62</v>
      </c>
      <c r="P531" s="206" t="str">
        <f>VLOOKUP(N531,RUBROS[#All],2,0)</f>
        <v>Apoyo técnico a atletas y para-atletas que representan en alto rendimiento deportivo al departamento de Antioquia. - Servicios para la comunidad, sociales y personales</v>
      </c>
      <c r="Q531" s="199" t="str">
        <f t="shared" si="72"/>
        <v>84</v>
      </c>
      <c r="R531" s="199" t="str">
        <f t="shared" si="73"/>
        <v>0-205400</v>
      </c>
      <c r="S531" s="207">
        <v>294</v>
      </c>
      <c r="T531" s="208" t="s">
        <v>220</v>
      </c>
      <c r="U531" s="209" t="e">
        <f ca="1">_xlfn.XLOOKUP(PAA[[#This Row],[ITEM]],Contrato!A:A,Contrato!Q:Q,"",0)</f>
        <v>#NAME?</v>
      </c>
      <c r="V531" s="199" t="s">
        <v>47</v>
      </c>
      <c r="W531" s="199" t="s">
        <v>154</v>
      </c>
      <c r="X531" s="199" t="s">
        <v>154</v>
      </c>
      <c r="Y531" s="210" t="e">
        <f ca="1">_xlfn.XLOOKUP(PAA[[#This Row],[ITEM]],Contrato!A:A,Contrato!B:B,"",0)</f>
        <v>#NAME?</v>
      </c>
      <c r="Z531" s="199" t="e">
        <f ca="1">_xlfn.XLOOKUP(PAA[[#This Row],[ITEM]],Contrato!A:A,Contrato!G:G,"",0)</f>
        <v>#NAME?</v>
      </c>
      <c r="AA531" s="199" t="e">
        <f ca="1">_xlfn.XLOOKUP(PAA[[#This Row],[ITEM]],Contrato!A:A,Contrato!T:T,"",0)</f>
        <v>#NAME?</v>
      </c>
      <c r="AB531" s="210" t="e">
        <f ca="1">+MAX(PAA[[#This Row],[Comprometido Contrato]],)</f>
        <v>#NAME?</v>
      </c>
      <c r="AC531" s="210" t="str">
        <f t="shared" ca="1" si="77"/>
        <v/>
      </c>
      <c r="AD531" s="210" t="e">
        <f ca="1">+MAX(PAA[[#This Row],[Pago por Contrato]],)</f>
        <v>#NAME?</v>
      </c>
      <c r="AE531" s="210" t="str">
        <f t="shared" ca="1" si="74"/>
        <v/>
      </c>
      <c r="AF531" s="199" t="e">
        <f t="shared" ca="1" si="75"/>
        <v>#NAME?</v>
      </c>
      <c r="AG531" s="199">
        <f t="shared" si="76"/>
        <v>52010802</v>
      </c>
      <c r="AH531" s="199" t="e" cm="1">
        <f t="array" aca="1" ref="AH531" ca="1">_xlfn.XLOOKUP(PAA[[#This Row],[RCP-RUBRO]],COMPROMISOS_2025[[#All],[concatenado]],COMPROMISOS_2025[[#All],[Total pagado]],"",0)</f>
        <v>#NAME?</v>
      </c>
      <c r="AI531" s="199" t="e" cm="1">
        <f t="array" aca="1" ref="AI531" ca="1">_xlfn.XLOOKUP(PAA[[#This Row],[RCP-RUBRO]],COMPROMISOS_2025[[#All],[concatenado]],COMPROMISOS_2025[[#All],[Total Comprometido]],"",0)</f>
        <v>#NAME?</v>
      </c>
    </row>
    <row r="532" spans="1:35" s="50" customFormat="1" ht="42" hidden="1" customHeight="1" x14ac:dyDescent="0.25">
      <c r="A532" s="199">
        <v>432</v>
      </c>
      <c r="B532" s="200">
        <v>80111600</v>
      </c>
      <c r="C532" s="199" t="str">
        <f>VLOOKUP(PAA[[#This Row],[PROYECTO (formulado)2]],PROYECTOS!$G$1:$L$32,6,0)</f>
        <v>SUBGERENCIA DE ALTOS LOGROS Y DEPORTE ASOCIADO</v>
      </c>
      <c r="D532" s="199" t="str">
        <f>+IF(PAA[[#This Row],[UNIDAD DE CONTRATACION (formulado)]]="Subgerencia Administrativa y Financiera","FUNCIONAMIENTO","INVERSIÓN")</f>
        <v>INVERSIÓN</v>
      </c>
      <c r="E532" s="201" t="str">
        <f>VLOOKUP(Q532,PROYECTOS!$G$1:$K$32,5,0)</f>
        <v>Apoyo técnico a atletas y para-atletas que representan en alto rendimiento deportivo al departamento de Antioquia</v>
      </c>
      <c r="F532" s="201">
        <f>VLOOKUP(E532,PROYECTOS!$K$1:$M$32,3,0)</f>
        <v>2024003050084</v>
      </c>
      <c r="G532" s="202" t="s">
        <v>450</v>
      </c>
      <c r="H532" s="202" t="str">
        <f>VLOOKUP(Q532,PROYECTOS!$V$1:$W$32,2,0)</f>
        <v>050079</v>
      </c>
      <c r="I532" s="203">
        <v>40747479</v>
      </c>
      <c r="J532" s="204" t="s">
        <v>630</v>
      </c>
      <c r="K532" s="199" t="str">
        <f t="shared" ca="1" si="71"/>
        <v>CONTRATADO</v>
      </c>
      <c r="L532" s="199" t="s">
        <v>112</v>
      </c>
      <c r="M532" s="199" t="s">
        <v>113</v>
      </c>
      <c r="N532" s="205" t="s">
        <v>452</v>
      </c>
      <c r="O532" s="204">
        <f>VLOOKUP(N532,RUBROS[#All],3,0)</f>
        <v>62</v>
      </c>
      <c r="P532" s="206" t="str">
        <f>VLOOKUP(N532,RUBROS[#All],2,0)</f>
        <v>Apoyo técnico a atletas y para-atletas que representan en alto rendimiento deportivo al departamento de Antioquia. - Servicios para la comunidad, sociales y personales</v>
      </c>
      <c r="Q532" s="199" t="str">
        <f t="shared" si="72"/>
        <v>84</v>
      </c>
      <c r="R532" s="199" t="str">
        <f t="shared" si="73"/>
        <v>0-205400</v>
      </c>
      <c r="S532" s="207">
        <v>294</v>
      </c>
      <c r="T532" s="208" t="s">
        <v>220</v>
      </c>
      <c r="U532" s="209" t="e">
        <f ca="1">_xlfn.XLOOKUP(PAA[[#This Row],[ITEM]],Contrato!A:A,Contrato!Q:Q,"",0)</f>
        <v>#NAME?</v>
      </c>
      <c r="V532" s="199" t="s">
        <v>47</v>
      </c>
      <c r="W532" s="199" t="s">
        <v>154</v>
      </c>
      <c r="X532" s="199" t="s">
        <v>154</v>
      </c>
      <c r="Y532" s="210" t="e">
        <f ca="1">_xlfn.XLOOKUP(PAA[[#This Row],[ITEM]],Contrato!A:A,Contrato!B:B,"",0)</f>
        <v>#NAME?</v>
      </c>
      <c r="Z532" s="199" t="e">
        <f ca="1">_xlfn.XLOOKUP(PAA[[#This Row],[ITEM]],Contrato!A:A,Contrato!G:G,"",0)</f>
        <v>#NAME?</v>
      </c>
      <c r="AA532" s="199" t="e">
        <f ca="1">_xlfn.XLOOKUP(PAA[[#This Row],[ITEM]],Contrato!A:A,Contrato!T:T,"",0)</f>
        <v>#NAME?</v>
      </c>
      <c r="AB532" s="210" t="e">
        <f ca="1">+MAX(PAA[[#This Row],[Comprometido Contrato]],)</f>
        <v>#NAME?</v>
      </c>
      <c r="AC532" s="210" t="str">
        <f t="shared" ca="1" si="77"/>
        <v/>
      </c>
      <c r="AD532" s="210" t="e">
        <f ca="1">+MAX(PAA[[#This Row],[Pago por Contrato]],)</f>
        <v>#NAME?</v>
      </c>
      <c r="AE532" s="210" t="str">
        <f t="shared" ca="1" si="74"/>
        <v/>
      </c>
      <c r="AF532" s="199" t="e">
        <f t="shared" ca="1" si="75"/>
        <v>#NAME?</v>
      </c>
      <c r="AG532" s="199">
        <f t="shared" si="76"/>
        <v>52010802</v>
      </c>
      <c r="AH532" s="199" t="e" cm="1">
        <f t="array" aca="1" ref="AH532" ca="1">_xlfn.XLOOKUP(PAA[[#This Row],[RCP-RUBRO]],COMPROMISOS_2025[[#All],[concatenado]],COMPROMISOS_2025[[#All],[Total pagado]],"",0)</f>
        <v>#NAME?</v>
      </c>
      <c r="AI532" s="199" t="e" cm="1">
        <f t="array" aca="1" ref="AI532" ca="1">_xlfn.XLOOKUP(PAA[[#This Row],[RCP-RUBRO]],COMPROMISOS_2025[[#All],[concatenado]],COMPROMISOS_2025[[#All],[Total Comprometido]],"",0)</f>
        <v>#NAME?</v>
      </c>
    </row>
    <row r="533" spans="1:35" s="50" customFormat="1" ht="42" hidden="1" customHeight="1" x14ac:dyDescent="0.25">
      <c r="A533" s="199">
        <v>433</v>
      </c>
      <c r="B533" s="200">
        <v>80111600</v>
      </c>
      <c r="C533" s="199" t="str">
        <f>VLOOKUP(PAA[[#This Row],[PROYECTO (formulado)2]],PROYECTOS!$G$1:$L$32,6,0)</f>
        <v>SUBGERENCIA DE ALTOS LOGROS Y DEPORTE ASOCIADO</v>
      </c>
      <c r="D533" s="199" t="str">
        <f>+IF(PAA[[#This Row],[UNIDAD DE CONTRATACION (formulado)]]="Subgerencia Administrativa y Financiera","FUNCIONAMIENTO","INVERSIÓN")</f>
        <v>INVERSIÓN</v>
      </c>
      <c r="E533" s="201" t="str">
        <f>VLOOKUP(Q533,PROYECTOS!$G$1:$K$32,5,0)</f>
        <v>Apoyo técnico a atletas y para-atletas que representan en alto rendimiento deportivo al departamento de Antioquia</v>
      </c>
      <c r="F533" s="201">
        <f>VLOOKUP(E533,PROYECTOS!$K$1:$M$32,3,0)</f>
        <v>2024003050084</v>
      </c>
      <c r="G533" s="202" t="s">
        <v>450</v>
      </c>
      <c r="H533" s="202" t="str">
        <f>VLOOKUP(Q533,PROYECTOS!$V$1:$W$32,2,0)</f>
        <v>050079</v>
      </c>
      <c r="I533" s="203">
        <v>26545593</v>
      </c>
      <c r="J533" s="204" t="s">
        <v>631</v>
      </c>
      <c r="K533" s="199" t="str">
        <f t="shared" ca="1" si="71"/>
        <v>CONTRATADO</v>
      </c>
      <c r="L533" s="199" t="s">
        <v>112</v>
      </c>
      <c r="M533" s="199" t="s">
        <v>113</v>
      </c>
      <c r="N533" s="205" t="s">
        <v>452</v>
      </c>
      <c r="O533" s="204">
        <f>VLOOKUP(N533,RUBROS[#All],3,0)</f>
        <v>62</v>
      </c>
      <c r="P533" s="206" t="str">
        <f>VLOOKUP(N533,RUBROS[#All],2,0)</f>
        <v>Apoyo técnico a atletas y para-atletas que representan en alto rendimiento deportivo al departamento de Antioquia. - Servicios para la comunidad, sociales y personales</v>
      </c>
      <c r="Q533" s="199" t="str">
        <f t="shared" si="72"/>
        <v>84</v>
      </c>
      <c r="R533" s="199" t="str">
        <f t="shared" si="73"/>
        <v>0-205400</v>
      </c>
      <c r="S533" s="207">
        <v>294</v>
      </c>
      <c r="T533" s="208" t="s">
        <v>220</v>
      </c>
      <c r="U533" s="209" t="e">
        <f ca="1">_xlfn.XLOOKUP(PAA[[#This Row],[ITEM]],Contrato!A:A,Contrato!Q:Q,"",0)</f>
        <v>#NAME?</v>
      </c>
      <c r="V533" s="199" t="s">
        <v>47</v>
      </c>
      <c r="W533" s="199" t="s">
        <v>154</v>
      </c>
      <c r="X533" s="199" t="s">
        <v>154</v>
      </c>
      <c r="Y533" s="210" t="e">
        <f ca="1">_xlfn.XLOOKUP(PAA[[#This Row],[ITEM]],Contrato!A:A,Contrato!B:B,"",0)</f>
        <v>#NAME?</v>
      </c>
      <c r="Z533" s="199" t="e">
        <f ca="1">_xlfn.XLOOKUP(PAA[[#This Row],[ITEM]],Contrato!A:A,Contrato!G:G,"",0)</f>
        <v>#NAME?</v>
      </c>
      <c r="AA533" s="199" t="e">
        <f ca="1">_xlfn.XLOOKUP(PAA[[#This Row],[ITEM]],Contrato!A:A,Contrato!T:T,"",0)</f>
        <v>#NAME?</v>
      </c>
      <c r="AB533" s="210" t="e">
        <f ca="1">+MAX(PAA[[#This Row],[Comprometido Contrato]],)</f>
        <v>#NAME?</v>
      </c>
      <c r="AC533" s="210" t="str">
        <f t="shared" ca="1" si="77"/>
        <v/>
      </c>
      <c r="AD533" s="210" t="e">
        <f ca="1">+MAX(PAA[[#This Row],[Pago por Contrato]],)</f>
        <v>#NAME?</v>
      </c>
      <c r="AE533" s="210" t="str">
        <f t="shared" ca="1" si="74"/>
        <v/>
      </c>
      <c r="AF533" s="199" t="e">
        <f t="shared" ca="1" si="75"/>
        <v>#NAME?</v>
      </c>
      <c r="AG533" s="199">
        <f t="shared" si="76"/>
        <v>52010802</v>
      </c>
      <c r="AH533" s="199" t="e" cm="1">
        <f t="array" aca="1" ref="AH533" ca="1">_xlfn.XLOOKUP(PAA[[#This Row],[RCP-RUBRO]],COMPROMISOS_2025[[#All],[concatenado]],COMPROMISOS_2025[[#All],[Total pagado]],"",0)</f>
        <v>#NAME?</v>
      </c>
      <c r="AI533" s="199" t="e" cm="1">
        <f t="array" aca="1" ref="AI533" ca="1">_xlfn.XLOOKUP(PAA[[#This Row],[RCP-RUBRO]],COMPROMISOS_2025[[#All],[concatenado]],COMPROMISOS_2025[[#All],[Total Comprometido]],"",0)</f>
        <v>#NAME?</v>
      </c>
    </row>
    <row r="534" spans="1:35" s="50" customFormat="1" ht="42" hidden="1" customHeight="1" x14ac:dyDescent="0.25">
      <c r="A534" s="199">
        <v>434</v>
      </c>
      <c r="B534" s="200">
        <v>80111600</v>
      </c>
      <c r="C534" s="199" t="str">
        <f>VLOOKUP(PAA[[#This Row],[PROYECTO (formulado)2]],PROYECTOS!$G$1:$L$32,6,0)</f>
        <v>SUBGERENCIA DE ALTOS LOGROS Y DEPORTE ASOCIADO</v>
      </c>
      <c r="D534" s="199" t="str">
        <f>+IF(PAA[[#This Row],[UNIDAD DE CONTRATACION (formulado)]]="Subgerencia Administrativa y Financiera","FUNCIONAMIENTO","INVERSIÓN")</f>
        <v>INVERSIÓN</v>
      </c>
      <c r="E534" s="201" t="str">
        <f>VLOOKUP(Q534,PROYECTOS!$G$1:$K$32,5,0)</f>
        <v>Apoyo técnico a atletas y para-atletas que representan en alto rendimiento deportivo al departamento de Antioquia</v>
      </c>
      <c r="F534" s="201">
        <f>VLOOKUP(E534,PROYECTOS!$K$1:$M$32,3,0)</f>
        <v>2024003050084</v>
      </c>
      <c r="G534" s="202" t="s">
        <v>450</v>
      </c>
      <c r="H534" s="202" t="str">
        <f>VLOOKUP(Q534,PROYECTOS!$V$1:$W$32,2,0)</f>
        <v>050079</v>
      </c>
      <c r="I534" s="203">
        <v>50609170</v>
      </c>
      <c r="J534" s="204" t="s">
        <v>632</v>
      </c>
      <c r="K534" s="199" t="str">
        <f t="shared" ca="1" si="71"/>
        <v>CONTRATADO</v>
      </c>
      <c r="L534" s="199" t="s">
        <v>112</v>
      </c>
      <c r="M534" s="199" t="s">
        <v>113</v>
      </c>
      <c r="N534" s="205" t="s">
        <v>452</v>
      </c>
      <c r="O534" s="204">
        <f>VLOOKUP(N534,RUBROS[#All],3,0)</f>
        <v>62</v>
      </c>
      <c r="P534" s="206" t="str">
        <f>VLOOKUP(N534,RUBROS[#All],2,0)</f>
        <v>Apoyo técnico a atletas y para-atletas que representan en alto rendimiento deportivo al departamento de Antioquia. - Servicios para la comunidad, sociales y personales</v>
      </c>
      <c r="Q534" s="199" t="str">
        <f t="shared" si="72"/>
        <v>84</v>
      </c>
      <c r="R534" s="199" t="str">
        <f t="shared" si="73"/>
        <v>0-205400</v>
      </c>
      <c r="S534" s="207">
        <v>294</v>
      </c>
      <c r="T534" s="208" t="s">
        <v>220</v>
      </c>
      <c r="U534" s="209" t="e">
        <f ca="1">_xlfn.XLOOKUP(PAA[[#This Row],[ITEM]],Contrato!A:A,Contrato!Q:Q,"",0)</f>
        <v>#NAME?</v>
      </c>
      <c r="V534" s="199" t="s">
        <v>47</v>
      </c>
      <c r="W534" s="199" t="s">
        <v>154</v>
      </c>
      <c r="X534" s="199" t="s">
        <v>154</v>
      </c>
      <c r="Y534" s="210" t="e">
        <f ca="1">_xlfn.XLOOKUP(PAA[[#This Row],[ITEM]],Contrato!A:A,Contrato!B:B,"",0)</f>
        <v>#NAME?</v>
      </c>
      <c r="Z534" s="199" t="e">
        <f ca="1">_xlfn.XLOOKUP(PAA[[#This Row],[ITEM]],Contrato!A:A,Contrato!G:G,"",0)</f>
        <v>#NAME?</v>
      </c>
      <c r="AA534" s="199" t="e">
        <f ca="1">_xlfn.XLOOKUP(PAA[[#This Row],[ITEM]],Contrato!A:A,Contrato!T:T,"",0)</f>
        <v>#NAME?</v>
      </c>
      <c r="AB534" s="210" t="e">
        <f ca="1">+MAX(PAA[[#This Row],[Comprometido Contrato]],)</f>
        <v>#NAME?</v>
      </c>
      <c r="AC534" s="210" t="str">
        <f t="shared" ca="1" si="77"/>
        <v/>
      </c>
      <c r="AD534" s="210" t="e">
        <f ca="1">+MAX(PAA[[#This Row],[Pago por Contrato]],)</f>
        <v>#NAME?</v>
      </c>
      <c r="AE534" s="210" t="str">
        <f t="shared" ca="1" si="74"/>
        <v/>
      </c>
      <c r="AF534" s="199" t="e">
        <f t="shared" ca="1" si="75"/>
        <v>#NAME?</v>
      </c>
      <c r="AG534" s="199">
        <f t="shared" si="76"/>
        <v>52010802</v>
      </c>
      <c r="AH534" s="199" t="e" cm="1">
        <f t="array" aca="1" ref="AH534" ca="1">_xlfn.XLOOKUP(PAA[[#This Row],[RCP-RUBRO]],COMPROMISOS_2025[[#All],[concatenado]],COMPROMISOS_2025[[#All],[Total pagado]],"",0)</f>
        <v>#NAME?</v>
      </c>
      <c r="AI534" s="199" t="e" cm="1">
        <f t="array" aca="1" ref="AI534" ca="1">_xlfn.XLOOKUP(PAA[[#This Row],[RCP-RUBRO]],COMPROMISOS_2025[[#All],[concatenado]],COMPROMISOS_2025[[#All],[Total Comprometido]],"",0)</f>
        <v>#NAME?</v>
      </c>
    </row>
    <row r="535" spans="1:35" s="50" customFormat="1" ht="42" hidden="1" customHeight="1" x14ac:dyDescent="0.25">
      <c r="A535" s="199">
        <v>435</v>
      </c>
      <c r="B535" s="200">
        <v>80111600</v>
      </c>
      <c r="C535" s="199" t="str">
        <f>VLOOKUP(PAA[[#This Row],[PROYECTO (formulado)2]],PROYECTOS!$G$1:$L$32,6,0)</f>
        <v>SUBGERENCIA DE ALTOS LOGROS Y DEPORTE ASOCIADO</v>
      </c>
      <c r="D535" s="199" t="str">
        <f>+IF(PAA[[#This Row],[UNIDAD DE CONTRATACION (formulado)]]="Subgerencia Administrativa y Financiera","FUNCIONAMIENTO","INVERSIÓN")</f>
        <v>INVERSIÓN</v>
      </c>
      <c r="E535" s="201" t="str">
        <f>VLOOKUP(Q535,PROYECTOS!$G$1:$K$32,5,0)</f>
        <v>Apoyo técnico a atletas y para-atletas que representan en alto rendimiento deportivo al departamento de Antioquia</v>
      </c>
      <c r="F535" s="201">
        <f>VLOOKUP(E535,PROYECTOS!$K$1:$M$32,3,0)</f>
        <v>2024003050084</v>
      </c>
      <c r="G535" s="202" t="s">
        <v>450</v>
      </c>
      <c r="H535" s="202" t="str">
        <f>VLOOKUP(Q535,PROYECTOS!$V$1:$W$32,2,0)</f>
        <v>050079</v>
      </c>
      <c r="I535" s="203">
        <v>61147776</v>
      </c>
      <c r="J535" s="204" t="s">
        <v>633</v>
      </c>
      <c r="K535" s="199" t="str">
        <f t="shared" ca="1" si="71"/>
        <v>CONTRATADO</v>
      </c>
      <c r="L535" s="199" t="s">
        <v>112</v>
      </c>
      <c r="M535" s="199" t="s">
        <v>113</v>
      </c>
      <c r="N535" s="205" t="s">
        <v>634</v>
      </c>
      <c r="O535" s="204">
        <f>VLOOKUP(N535,RUBROS[#All],3,0)</f>
        <v>61</v>
      </c>
      <c r="P535" s="206" t="str">
        <f>VLOOKUP(N535,RUBROS[#All],2,0)</f>
        <v>Apoyo técnico a atletas y para-atletas que representan en alto rendimiento deportivo al departamento de Antioquia. - Servicios para la comunidad, sociales y personales</v>
      </c>
      <c r="Q535" s="199" t="str">
        <f t="shared" si="72"/>
        <v>84</v>
      </c>
      <c r="R535" s="199" t="str">
        <f t="shared" si="73"/>
        <v>0-205128</v>
      </c>
      <c r="S535" s="207">
        <v>294</v>
      </c>
      <c r="T535" s="208" t="s">
        <v>220</v>
      </c>
      <c r="U535" s="209" t="e">
        <f ca="1">_xlfn.XLOOKUP(PAA[[#This Row],[ITEM]],Contrato!A:A,Contrato!Q:Q,"",0)</f>
        <v>#NAME?</v>
      </c>
      <c r="V535" s="199" t="s">
        <v>47</v>
      </c>
      <c r="W535" s="199" t="s">
        <v>154</v>
      </c>
      <c r="X535" s="199" t="s">
        <v>154</v>
      </c>
      <c r="Y535" s="210" t="e">
        <f ca="1">_xlfn.XLOOKUP(PAA[[#This Row],[ITEM]],Contrato!A:A,Contrato!B:B,"",0)</f>
        <v>#NAME?</v>
      </c>
      <c r="Z535" s="199" t="e">
        <f ca="1">_xlfn.XLOOKUP(PAA[[#This Row],[ITEM]],Contrato!A:A,Contrato!G:G,"",0)</f>
        <v>#NAME?</v>
      </c>
      <c r="AA535" s="199" t="e">
        <f ca="1">_xlfn.XLOOKUP(PAA[[#This Row],[ITEM]],Contrato!A:A,Contrato!T:T,"",0)</f>
        <v>#NAME?</v>
      </c>
      <c r="AB535" s="210" t="e">
        <f ca="1">+MAX(PAA[[#This Row],[Comprometido Contrato]],)</f>
        <v>#NAME?</v>
      </c>
      <c r="AC535" s="210" t="str">
        <f t="shared" ca="1" si="77"/>
        <v/>
      </c>
      <c r="AD535" s="210" t="e">
        <f ca="1">+MAX(PAA[[#This Row],[Pago por Contrato]],)</f>
        <v>#NAME?</v>
      </c>
      <c r="AE535" s="210" t="str">
        <f t="shared" ca="1" si="74"/>
        <v/>
      </c>
      <c r="AF535" s="199" t="e">
        <f t="shared" ca="1" si="75"/>
        <v>#NAME?</v>
      </c>
      <c r="AG535" s="199">
        <f t="shared" si="76"/>
        <v>52010802</v>
      </c>
      <c r="AH535" s="199" t="e" cm="1">
        <f t="array" aca="1" ref="AH535" ca="1">_xlfn.XLOOKUP(PAA[[#This Row],[RCP-RUBRO]],COMPROMISOS_2025[[#All],[concatenado]],COMPROMISOS_2025[[#All],[Total pagado]],"",0)</f>
        <v>#NAME?</v>
      </c>
      <c r="AI535" s="199" t="e" cm="1">
        <f t="array" aca="1" ref="AI535" ca="1">_xlfn.XLOOKUP(PAA[[#This Row],[RCP-RUBRO]],COMPROMISOS_2025[[#All],[concatenado]],COMPROMISOS_2025[[#All],[Total Comprometido]],"",0)</f>
        <v>#NAME?</v>
      </c>
    </row>
    <row r="536" spans="1:35" s="50" customFormat="1" ht="42" hidden="1" customHeight="1" x14ac:dyDescent="0.25">
      <c r="A536" s="199">
        <v>436</v>
      </c>
      <c r="B536" s="200">
        <v>80111600</v>
      </c>
      <c r="C536" s="199" t="str">
        <f>VLOOKUP(PAA[[#This Row],[PROYECTO (formulado)2]],PROYECTOS!$G$1:$L$32,6,0)</f>
        <v>SUBGERENCIA DE ALTOS LOGROS Y DEPORTE ASOCIADO</v>
      </c>
      <c r="D536" s="199" t="str">
        <f>+IF(PAA[[#This Row],[UNIDAD DE CONTRATACION (formulado)]]="Subgerencia Administrativa y Financiera","FUNCIONAMIENTO","INVERSIÓN")</f>
        <v>INVERSIÓN</v>
      </c>
      <c r="E536" s="201" t="str">
        <f>VLOOKUP(Q536,PROYECTOS!$G$1:$K$32,5,0)</f>
        <v>Apoyo técnico a atletas y para-atletas que representan en alto rendimiento deportivo al departamento de Antioquia</v>
      </c>
      <c r="F536" s="201">
        <f>VLOOKUP(E536,PROYECTOS!$K$1:$M$32,3,0)</f>
        <v>2024003050084</v>
      </c>
      <c r="G536" s="202" t="s">
        <v>450</v>
      </c>
      <c r="H536" s="202" t="str">
        <f>VLOOKUP(Q536,PROYECTOS!$V$1:$W$32,2,0)</f>
        <v>050079</v>
      </c>
      <c r="I536" s="203">
        <v>40747479</v>
      </c>
      <c r="J536" s="204" t="s">
        <v>635</v>
      </c>
      <c r="K536" s="199" t="str">
        <f t="shared" ca="1" si="71"/>
        <v>CONTRATADO</v>
      </c>
      <c r="L536" s="199" t="s">
        <v>112</v>
      </c>
      <c r="M536" s="199" t="s">
        <v>113</v>
      </c>
      <c r="N536" s="205" t="s">
        <v>634</v>
      </c>
      <c r="O536" s="204">
        <f>VLOOKUP(N536,RUBROS[#All],3,0)</f>
        <v>61</v>
      </c>
      <c r="P536" s="206" t="str">
        <f>VLOOKUP(N536,RUBROS[#All],2,0)</f>
        <v>Apoyo técnico a atletas y para-atletas que representan en alto rendimiento deportivo al departamento de Antioquia. - Servicios para la comunidad, sociales y personales</v>
      </c>
      <c r="Q536" s="199" t="str">
        <f t="shared" si="72"/>
        <v>84</v>
      </c>
      <c r="R536" s="199" t="str">
        <f t="shared" si="73"/>
        <v>0-205128</v>
      </c>
      <c r="S536" s="207">
        <v>294</v>
      </c>
      <c r="T536" s="208" t="s">
        <v>220</v>
      </c>
      <c r="U536" s="209" t="e">
        <f ca="1">_xlfn.XLOOKUP(PAA[[#This Row],[ITEM]],Contrato!A:A,Contrato!Q:Q,"",0)</f>
        <v>#NAME?</v>
      </c>
      <c r="V536" s="199" t="s">
        <v>47</v>
      </c>
      <c r="W536" s="199" t="s">
        <v>154</v>
      </c>
      <c r="X536" s="199" t="s">
        <v>154</v>
      </c>
      <c r="Y536" s="210" t="e">
        <f ca="1">_xlfn.XLOOKUP(PAA[[#This Row],[ITEM]],Contrato!A:A,Contrato!B:B,"",0)</f>
        <v>#NAME?</v>
      </c>
      <c r="Z536" s="199" t="e">
        <f ca="1">_xlfn.XLOOKUP(PAA[[#This Row],[ITEM]],Contrato!A:A,Contrato!G:G,"",0)</f>
        <v>#NAME?</v>
      </c>
      <c r="AA536" s="199" t="e">
        <f ca="1">_xlfn.XLOOKUP(PAA[[#This Row],[ITEM]],Contrato!A:A,Contrato!T:T,"",0)</f>
        <v>#NAME?</v>
      </c>
      <c r="AB536" s="210" t="e">
        <f ca="1">+MAX(PAA[[#This Row],[Comprometido Contrato]],)</f>
        <v>#NAME?</v>
      </c>
      <c r="AC536" s="210" t="str">
        <f t="shared" ca="1" si="77"/>
        <v/>
      </c>
      <c r="AD536" s="210" t="e">
        <f ca="1">+MAX(PAA[[#This Row],[Pago por Contrato]],)</f>
        <v>#NAME?</v>
      </c>
      <c r="AE536" s="210" t="str">
        <f t="shared" ca="1" si="74"/>
        <v/>
      </c>
      <c r="AF536" s="199" t="e">
        <f t="shared" ca="1" si="75"/>
        <v>#NAME?</v>
      </c>
      <c r="AG536" s="199">
        <f t="shared" si="76"/>
        <v>52010802</v>
      </c>
      <c r="AH536" s="199" t="e" cm="1">
        <f t="array" aca="1" ref="AH536" ca="1">_xlfn.XLOOKUP(PAA[[#This Row],[RCP-RUBRO]],COMPROMISOS_2025[[#All],[concatenado]],COMPROMISOS_2025[[#All],[Total pagado]],"",0)</f>
        <v>#NAME?</v>
      </c>
      <c r="AI536" s="199" t="e" cm="1">
        <f t="array" aca="1" ref="AI536" ca="1">_xlfn.XLOOKUP(PAA[[#This Row],[RCP-RUBRO]],COMPROMISOS_2025[[#All],[concatenado]],COMPROMISOS_2025[[#All],[Total Comprometido]],"",0)</f>
        <v>#NAME?</v>
      </c>
    </row>
    <row r="537" spans="1:35" s="50" customFormat="1" ht="42" hidden="1" customHeight="1" x14ac:dyDescent="0.25">
      <c r="A537" s="199">
        <v>437</v>
      </c>
      <c r="B537" s="200">
        <v>80111600</v>
      </c>
      <c r="C537" s="199" t="str">
        <f>VLOOKUP(PAA[[#This Row],[PROYECTO (formulado)2]],PROYECTOS!$G$1:$L$32,6,0)</f>
        <v>SUBGERENCIA DE ALTOS LOGROS Y DEPORTE ASOCIADO</v>
      </c>
      <c r="D537" s="199" t="str">
        <f>+IF(PAA[[#This Row],[UNIDAD DE CONTRATACION (formulado)]]="Subgerencia Administrativa y Financiera","FUNCIONAMIENTO","INVERSIÓN")</f>
        <v>INVERSIÓN</v>
      </c>
      <c r="E537" s="201" t="str">
        <f>VLOOKUP(Q537,PROYECTOS!$G$1:$K$32,5,0)</f>
        <v>Apoyo técnico a atletas y para-atletas que representan en alto rendimiento deportivo al departamento de Antioquia</v>
      </c>
      <c r="F537" s="201">
        <f>VLOOKUP(E537,PROYECTOS!$K$1:$M$32,3,0)</f>
        <v>2024003050084</v>
      </c>
      <c r="G537" s="202" t="s">
        <v>450</v>
      </c>
      <c r="H537" s="202" t="str">
        <f>VLOOKUP(Q537,PROYECTOS!$V$1:$W$32,2,0)</f>
        <v>050079</v>
      </c>
      <c r="I537" s="203">
        <v>26545593</v>
      </c>
      <c r="J537" s="204" t="s">
        <v>636</v>
      </c>
      <c r="K537" s="199" t="str">
        <f t="shared" ca="1" si="71"/>
        <v>CONTRATADO</v>
      </c>
      <c r="L537" s="199" t="s">
        <v>112</v>
      </c>
      <c r="M537" s="199" t="s">
        <v>113</v>
      </c>
      <c r="N537" s="205" t="s">
        <v>634</v>
      </c>
      <c r="O537" s="204">
        <f>VLOOKUP(N537,RUBROS[#All],3,0)</f>
        <v>61</v>
      </c>
      <c r="P537" s="206" t="str">
        <f>VLOOKUP(N537,RUBROS[#All],2,0)</f>
        <v>Apoyo técnico a atletas y para-atletas que representan en alto rendimiento deportivo al departamento de Antioquia. - Servicios para la comunidad, sociales y personales</v>
      </c>
      <c r="Q537" s="199" t="str">
        <f t="shared" si="72"/>
        <v>84</v>
      </c>
      <c r="R537" s="199" t="str">
        <f t="shared" si="73"/>
        <v>0-205128</v>
      </c>
      <c r="S537" s="207">
        <v>294</v>
      </c>
      <c r="T537" s="208" t="s">
        <v>220</v>
      </c>
      <c r="U537" s="209" t="e">
        <f ca="1">_xlfn.XLOOKUP(PAA[[#This Row],[ITEM]],Contrato!A:A,Contrato!Q:Q,"",0)</f>
        <v>#NAME?</v>
      </c>
      <c r="V537" s="199" t="s">
        <v>47</v>
      </c>
      <c r="W537" s="199" t="s">
        <v>154</v>
      </c>
      <c r="X537" s="199" t="s">
        <v>154</v>
      </c>
      <c r="Y537" s="210" t="e">
        <f ca="1">_xlfn.XLOOKUP(PAA[[#This Row],[ITEM]],Contrato!A:A,Contrato!B:B,"",0)</f>
        <v>#NAME?</v>
      </c>
      <c r="Z537" s="199" t="e">
        <f ca="1">_xlfn.XLOOKUP(PAA[[#This Row],[ITEM]],Contrato!A:A,Contrato!G:G,"",0)</f>
        <v>#NAME?</v>
      </c>
      <c r="AA537" s="199" t="e">
        <f ca="1">_xlfn.XLOOKUP(PAA[[#This Row],[ITEM]],Contrato!A:A,Contrato!T:T,"",0)</f>
        <v>#NAME?</v>
      </c>
      <c r="AB537" s="210" t="e">
        <f ca="1">+MAX(PAA[[#This Row],[Comprometido Contrato]],)</f>
        <v>#NAME?</v>
      </c>
      <c r="AC537" s="210" t="str">
        <f t="shared" ca="1" si="77"/>
        <v/>
      </c>
      <c r="AD537" s="210" t="e">
        <f ca="1">+MAX(PAA[[#This Row],[Pago por Contrato]],)</f>
        <v>#NAME?</v>
      </c>
      <c r="AE537" s="210" t="str">
        <f t="shared" ca="1" si="74"/>
        <v/>
      </c>
      <c r="AF537" s="199" t="e">
        <f t="shared" ca="1" si="75"/>
        <v>#NAME?</v>
      </c>
      <c r="AG537" s="199">
        <f t="shared" si="76"/>
        <v>52010802</v>
      </c>
      <c r="AH537" s="199" t="e" cm="1">
        <f t="array" aca="1" ref="AH537" ca="1">_xlfn.XLOOKUP(PAA[[#This Row],[RCP-RUBRO]],COMPROMISOS_2025[[#All],[concatenado]],COMPROMISOS_2025[[#All],[Total pagado]],"",0)</f>
        <v>#NAME?</v>
      </c>
      <c r="AI537" s="199" t="e" cm="1">
        <f t="array" aca="1" ref="AI537" ca="1">_xlfn.XLOOKUP(PAA[[#This Row],[RCP-RUBRO]],COMPROMISOS_2025[[#All],[concatenado]],COMPROMISOS_2025[[#All],[Total Comprometido]],"",0)</f>
        <v>#NAME?</v>
      </c>
    </row>
    <row r="538" spans="1:35" s="50" customFormat="1" ht="42" hidden="1" customHeight="1" x14ac:dyDescent="0.25">
      <c r="A538" s="199">
        <v>438</v>
      </c>
      <c r="B538" s="200">
        <v>80111600</v>
      </c>
      <c r="C538" s="199" t="str">
        <f>VLOOKUP(PAA[[#This Row],[PROYECTO (formulado)2]],PROYECTOS!$G$1:$L$32,6,0)</f>
        <v>SUBGERENCIA DE ALTOS LOGROS Y DEPORTE ASOCIADO</v>
      </c>
      <c r="D538" s="199" t="str">
        <f>+IF(PAA[[#This Row],[UNIDAD DE CONTRATACION (formulado)]]="Subgerencia Administrativa y Financiera","FUNCIONAMIENTO","INVERSIÓN")</f>
        <v>INVERSIÓN</v>
      </c>
      <c r="E538" s="201" t="str">
        <f>VLOOKUP(Q538,PROYECTOS!$G$1:$K$32,5,0)</f>
        <v>Apoyo técnico a atletas y para-atletas que representan en alto rendimiento deportivo al departamento de Antioquia</v>
      </c>
      <c r="F538" s="201">
        <f>VLOOKUP(E538,PROYECTOS!$K$1:$M$32,3,0)</f>
        <v>2024003050084</v>
      </c>
      <c r="G538" s="202" t="s">
        <v>450</v>
      </c>
      <c r="H538" s="202" t="str">
        <f>VLOOKUP(Q538,PROYECTOS!$V$1:$W$32,2,0)</f>
        <v>050079</v>
      </c>
      <c r="I538" s="203">
        <v>40747479</v>
      </c>
      <c r="J538" s="204" t="s">
        <v>637</v>
      </c>
      <c r="K538" s="199" t="str">
        <f t="shared" ca="1" si="71"/>
        <v>CONTRATADO</v>
      </c>
      <c r="L538" s="199" t="s">
        <v>112</v>
      </c>
      <c r="M538" s="199" t="s">
        <v>113</v>
      </c>
      <c r="N538" s="205" t="s">
        <v>634</v>
      </c>
      <c r="O538" s="204">
        <f>VLOOKUP(N538,RUBROS[#All],3,0)</f>
        <v>61</v>
      </c>
      <c r="P538" s="206" t="str">
        <f>VLOOKUP(N538,RUBROS[#All],2,0)</f>
        <v>Apoyo técnico a atletas y para-atletas que representan en alto rendimiento deportivo al departamento de Antioquia. - Servicios para la comunidad, sociales y personales</v>
      </c>
      <c r="Q538" s="199" t="str">
        <f t="shared" si="72"/>
        <v>84</v>
      </c>
      <c r="R538" s="199" t="str">
        <f t="shared" si="73"/>
        <v>0-205128</v>
      </c>
      <c r="S538" s="207">
        <v>294</v>
      </c>
      <c r="T538" s="208" t="s">
        <v>220</v>
      </c>
      <c r="U538" s="209" t="e">
        <f ca="1">_xlfn.XLOOKUP(PAA[[#This Row],[ITEM]],Contrato!A:A,Contrato!Q:Q,"",0)</f>
        <v>#NAME?</v>
      </c>
      <c r="V538" s="199" t="s">
        <v>47</v>
      </c>
      <c r="W538" s="199" t="s">
        <v>154</v>
      </c>
      <c r="X538" s="199" t="s">
        <v>154</v>
      </c>
      <c r="Y538" s="210" t="e">
        <f ca="1">_xlfn.XLOOKUP(PAA[[#This Row],[ITEM]],Contrato!A:A,Contrato!B:B,"",0)</f>
        <v>#NAME?</v>
      </c>
      <c r="Z538" s="199" t="e">
        <f ca="1">_xlfn.XLOOKUP(PAA[[#This Row],[ITEM]],Contrato!A:A,Contrato!G:G,"",0)</f>
        <v>#NAME?</v>
      </c>
      <c r="AA538" s="199" t="e">
        <f ca="1">_xlfn.XLOOKUP(PAA[[#This Row],[ITEM]],Contrato!A:A,Contrato!T:T,"",0)</f>
        <v>#NAME?</v>
      </c>
      <c r="AB538" s="210" t="e">
        <f ca="1">+MAX(PAA[[#This Row],[Comprometido Contrato]],)</f>
        <v>#NAME?</v>
      </c>
      <c r="AC538" s="210" t="str">
        <f t="shared" ca="1" si="77"/>
        <v/>
      </c>
      <c r="AD538" s="210" t="e">
        <f ca="1">+MAX(PAA[[#This Row],[Pago por Contrato]],)</f>
        <v>#NAME?</v>
      </c>
      <c r="AE538" s="210" t="str">
        <f t="shared" ca="1" si="74"/>
        <v/>
      </c>
      <c r="AF538" s="199" t="e">
        <f t="shared" ca="1" si="75"/>
        <v>#NAME?</v>
      </c>
      <c r="AG538" s="199">
        <f t="shared" si="76"/>
        <v>52010802</v>
      </c>
      <c r="AH538" s="199" t="e" cm="1">
        <f t="array" aca="1" ref="AH538" ca="1">_xlfn.XLOOKUP(PAA[[#This Row],[RCP-RUBRO]],COMPROMISOS_2025[[#All],[concatenado]],COMPROMISOS_2025[[#All],[Total pagado]],"",0)</f>
        <v>#NAME?</v>
      </c>
      <c r="AI538" s="199" t="e" cm="1">
        <f t="array" aca="1" ref="AI538" ca="1">_xlfn.XLOOKUP(PAA[[#This Row],[RCP-RUBRO]],COMPROMISOS_2025[[#All],[concatenado]],COMPROMISOS_2025[[#All],[Total Comprometido]],"",0)</f>
        <v>#NAME?</v>
      </c>
    </row>
    <row r="539" spans="1:35" s="50" customFormat="1" ht="42" hidden="1" customHeight="1" x14ac:dyDescent="0.25">
      <c r="A539" s="199">
        <v>439</v>
      </c>
      <c r="B539" s="200">
        <v>80111600</v>
      </c>
      <c r="C539" s="199" t="str">
        <f>VLOOKUP(PAA[[#This Row],[PROYECTO (formulado)2]],PROYECTOS!$G$1:$L$32,6,0)</f>
        <v>SUBGERENCIA DE ALTOS LOGROS Y DEPORTE ASOCIADO</v>
      </c>
      <c r="D539" s="199" t="str">
        <f>+IF(PAA[[#This Row],[UNIDAD DE CONTRATACION (formulado)]]="Subgerencia Administrativa y Financiera","FUNCIONAMIENTO","INVERSIÓN")</f>
        <v>INVERSIÓN</v>
      </c>
      <c r="E539" s="201" t="str">
        <f>VLOOKUP(Q539,PROYECTOS!$G$1:$K$32,5,0)</f>
        <v>Apoyo técnico a atletas y para-atletas que representan en alto rendimiento deportivo al departamento de Antioquia</v>
      </c>
      <c r="F539" s="201">
        <f>VLOOKUP(E539,PROYECTOS!$K$1:$M$32,3,0)</f>
        <v>2024003050084</v>
      </c>
      <c r="G539" s="202" t="s">
        <v>450</v>
      </c>
      <c r="H539" s="202" t="str">
        <f>VLOOKUP(Q539,PROYECTOS!$V$1:$W$32,2,0)</f>
        <v>050079</v>
      </c>
      <c r="I539" s="203">
        <v>61147776</v>
      </c>
      <c r="J539" s="204" t="s">
        <v>638</v>
      </c>
      <c r="K539" s="199" t="str">
        <f t="shared" ca="1" si="71"/>
        <v>CONTRATADO</v>
      </c>
      <c r="L539" s="199" t="s">
        <v>112</v>
      </c>
      <c r="M539" s="199" t="s">
        <v>113</v>
      </c>
      <c r="N539" s="205" t="s">
        <v>634</v>
      </c>
      <c r="O539" s="204">
        <f>VLOOKUP(N539,RUBROS[#All],3,0)</f>
        <v>61</v>
      </c>
      <c r="P539" s="206" t="str">
        <f>VLOOKUP(N539,RUBROS[#All],2,0)</f>
        <v>Apoyo técnico a atletas y para-atletas que representan en alto rendimiento deportivo al departamento de Antioquia. - Servicios para la comunidad, sociales y personales</v>
      </c>
      <c r="Q539" s="199" t="str">
        <f t="shared" si="72"/>
        <v>84</v>
      </c>
      <c r="R539" s="199" t="str">
        <f t="shared" si="73"/>
        <v>0-205128</v>
      </c>
      <c r="S539" s="207">
        <v>294</v>
      </c>
      <c r="T539" s="208" t="s">
        <v>220</v>
      </c>
      <c r="U539" s="209" t="e">
        <f ca="1">_xlfn.XLOOKUP(PAA[[#This Row],[ITEM]],Contrato!A:A,Contrato!Q:Q,"",0)</f>
        <v>#NAME?</v>
      </c>
      <c r="V539" s="199" t="s">
        <v>47</v>
      </c>
      <c r="W539" s="199" t="s">
        <v>154</v>
      </c>
      <c r="X539" s="199" t="s">
        <v>154</v>
      </c>
      <c r="Y539" s="210" t="e">
        <f ca="1">_xlfn.XLOOKUP(PAA[[#This Row],[ITEM]],Contrato!A:A,Contrato!B:B,"",0)</f>
        <v>#NAME?</v>
      </c>
      <c r="Z539" s="199" t="e">
        <f ca="1">_xlfn.XLOOKUP(PAA[[#This Row],[ITEM]],Contrato!A:A,Contrato!G:G,"",0)</f>
        <v>#NAME?</v>
      </c>
      <c r="AA539" s="199" t="e">
        <f ca="1">_xlfn.XLOOKUP(PAA[[#This Row],[ITEM]],Contrato!A:A,Contrato!T:T,"",0)</f>
        <v>#NAME?</v>
      </c>
      <c r="AB539" s="210" t="e">
        <f ca="1">+MAX(PAA[[#This Row],[Comprometido Contrato]],)</f>
        <v>#NAME?</v>
      </c>
      <c r="AC539" s="210" t="str">
        <f t="shared" ca="1" si="77"/>
        <v/>
      </c>
      <c r="AD539" s="210" t="e">
        <f ca="1">+MAX(PAA[[#This Row],[Pago por Contrato]],)</f>
        <v>#NAME?</v>
      </c>
      <c r="AE539" s="210" t="str">
        <f t="shared" ca="1" si="74"/>
        <v/>
      </c>
      <c r="AF539" s="199" t="e">
        <f t="shared" ca="1" si="75"/>
        <v>#NAME?</v>
      </c>
      <c r="AG539" s="199">
        <f t="shared" si="76"/>
        <v>52010802</v>
      </c>
      <c r="AH539" s="199" t="e" cm="1">
        <f t="array" aca="1" ref="AH539" ca="1">_xlfn.XLOOKUP(PAA[[#This Row],[RCP-RUBRO]],COMPROMISOS_2025[[#All],[concatenado]],COMPROMISOS_2025[[#All],[Total pagado]],"",0)</f>
        <v>#NAME?</v>
      </c>
      <c r="AI539" s="199" t="e" cm="1">
        <f t="array" aca="1" ref="AI539" ca="1">_xlfn.XLOOKUP(PAA[[#This Row],[RCP-RUBRO]],COMPROMISOS_2025[[#All],[concatenado]],COMPROMISOS_2025[[#All],[Total Comprometido]],"",0)</f>
        <v>#NAME?</v>
      </c>
    </row>
    <row r="540" spans="1:35" s="50" customFormat="1" ht="42" hidden="1" customHeight="1" x14ac:dyDescent="0.25">
      <c r="A540" s="199">
        <v>440</v>
      </c>
      <c r="B540" s="200">
        <v>80111600</v>
      </c>
      <c r="C540" s="199" t="str">
        <f>VLOOKUP(PAA[[#This Row],[PROYECTO (formulado)2]],PROYECTOS!$G$1:$L$32,6,0)</f>
        <v>SUBGERENCIA DE ALTOS LOGROS Y DEPORTE ASOCIADO</v>
      </c>
      <c r="D540" s="199" t="str">
        <f>+IF(PAA[[#This Row],[UNIDAD DE CONTRATACION (formulado)]]="Subgerencia Administrativa y Financiera","FUNCIONAMIENTO","INVERSIÓN")</f>
        <v>INVERSIÓN</v>
      </c>
      <c r="E540" s="201" t="str">
        <f>VLOOKUP(Q540,PROYECTOS!$G$1:$K$32,5,0)</f>
        <v>Apoyo técnico a atletas y para-atletas que representan en alto rendimiento deportivo al departamento de Antioquia</v>
      </c>
      <c r="F540" s="201">
        <f>VLOOKUP(E540,PROYECTOS!$K$1:$M$32,3,0)</f>
        <v>2024003050084</v>
      </c>
      <c r="G540" s="202" t="s">
        <v>450</v>
      </c>
      <c r="H540" s="202" t="str">
        <f>VLOOKUP(Q540,PROYECTOS!$V$1:$W$32,2,0)</f>
        <v>050079</v>
      </c>
      <c r="I540" s="203">
        <v>61147776</v>
      </c>
      <c r="J540" s="204" t="s">
        <v>639</v>
      </c>
      <c r="K540" s="199" t="str">
        <f t="shared" ca="1" si="71"/>
        <v>CONTRATADO</v>
      </c>
      <c r="L540" s="199" t="s">
        <v>112</v>
      </c>
      <c r="M540" s="199" t="s">
        <v>113</v>
      </c>
      <c r="N540" s="205" t="s">
        <v>634</v>
      </c>
      <c r="O540" s="204">
        <f>VLOOKUP(N540,RUBROS[#All],3,0)</f>
        <v>61</v>
      </c>
      <c r="P540" s="206" t="str">
        <f>VLOOKUP(N540,RUBROS[#All],2,0)</f>
        <v>Apoyo técnico a atletas y para-atletas que representan en alto rendimiento deportivo al departamento de Antioquia. - Servicios para la comunidad, sociales y personales</v>
      </c>
      <c r="Q540" s="199" t="str">
        <f t="shared" si="72"/>
        <v>84</v>
      </c>
      <c r="R540" s="199" t="str">
        <f t="shared" si="73"/>
        <v>0-205128</v>
      </c>
      <c r="S540" s="207">
        <v>294</v>
      </c>
      <c r="T540" s="208" t="s">
        <v>220</v>
      </c>
      <c r="U540" s="209" t="e">
        <f ca="1">_xlfn.XLOOKUP(PAA[[#This Row],[ITEM]],Contrato!A:A,Contrato!Q:Q,"",0)</f>
        <v>#NAME?</v>
      </c>
      <c r="V540" s="199" t="s">
        <v>47</v>
      </c>
      <c r="W540" s="199" t="s">
        <v>154</v>
      </c>
      <c r="X540" s="199" t="s">
        <v>154</v>
      </c>
      <c r="Y540" s="210" t="e">
        <f ca="1">_xlfn.XLOOKUP(PAA[[#This Row],[ITEM]],Contrato!A:A,Contrato!B:B,"",0)</f>
        <v>#NAME?</v>
      </c>
      <c r="Z540" s="199" t="e">
        <f ca="1">_xlfn.XLOOKUP(PAA[[#This Row],[ITEM]],Contrato!A:A,Contrato!G:G,"",0)</f>
        <v>#NAME?</v>
      </c>
      <c r="AA540" s="199" t="e">
        <f ca="1">_xlfn.XLOOKUP(PAA[[#This Row],[ITEM]],Contrato!A:A,Contrato!T:T,"",0)</f>
        <v>#NAME?</v>
      </c>
      <c r="AB540" s="210" t="e">
        <f ca="1">+MAX(PAA[[#This Row],[Comprometido Contrato]],)</f>
        <v>#NAME?</v>
      </c>
      <c r="AC540" s="210" t="str">
        <f t="shared" ca="1" si="77"/>
        <v/>
      </c>
      <c r="AD540" s="210" t="e">
        <f ca="1">+MAX(PAA[[#This Row],[Pago por Contrato]],)</f>
        <v>#NAME?</v>
      </c>
      <c r="AE540" s="210" t="str">
        <f t="shared" ca="1" si="74"/>
        <v/>
      </c>
      <c r="AF540" s="199" t="e">
        <f t="shared" ca="1" si="75"/>
        <v>#NAME?</v>
      </c>
      <c r="AG540" s="199">
        <f t="shared" si="76"/>
        <v>52010802</v>
      </c>
      <c r="AH540" s="199" t="e" cm="1">
        <f t="array" aca="1" ref="AH540" ca="1">_xlfn.XLOOKUP(PAA[[#This Row],[RCP-RUBRO]],COMPROMISOS_2025[[#All],[concatenado]],COMPROMISOS_2025[[#All],[Total pagado]],"",0)</f>
        <v>#NAME?</v>
      </c>
      <c r="AI540" s="199" t="e" cm="1">
        <f t="array" aca="1" ref="AI540" ca="1">_xlfn.XLOOKUP(PAA[[#This Row],[RCP-RUBRO]],COMPROMISOS_2025[[#All],[concatenado]],COMPROMISOS_2025[[#All],[Total Comprometido]],"",0)</f>
        <v>#NAME?</v>
      </c>
    </row>
    <row r="541" spans="1:35" s="50" customFormat="1" ht="42" hidden="1" customHeight="1" x14ac:dyDescent="0.25">
      <c r="A541" s="199">
        <v>441</v>
      </c>
      <c r="B541" s="200">
        <v>80111600</v>
      </c>
      <c r="C541" s="199" t="str">
        <f>VLOOKUP(PAA[[#This Row],[PROYECTO (formulado)2]],PROYECTOS!$G$1:$L$32,6,0)</f>
        <v>SUBGERENCIA DE ALTOS LOGROS Y DEPORTE ASOCIADO</v>
      </c>
      <c r="D541" s="199" t="str">
        <f>+IF(PAA[[#This Row],[UNIDAD DE CONTRATACION (formulado)]]="Subgerencia Administrativa y Financiera","FUNCIONAMIENTO","INVERSIÓN")</f>
        <v>INVERSIÓN</v>
      </c>
      <c r="E541" s="201" t="str">
        <f>VLOOKUP(Q541,PROYECTOS!$G$1:$K$32,5,0)</f>
        <v>Apoyo técnico a atletas y para-atletas que representan en alto rendimiento deportivo al departamento de Antioquia</v>
      </c>
      <c r="F541" s="201">
        <f>VLOOKUP(E541,PROYECTOS!$K$1:$M$32,3,0)</f>
        <v>2024003050084</v>
      </c>
      <c r="G541" s="202" t="s">
        <v>450</v>
      </c>
      <c r="H541" s="202" t="str">
        <f>VLOOKUP(Q541,PROYECTOS!$V$1:$W$32,2,0)</f>
        <v>050079</v>
      </c>
      <c r="I541" s="203">
        <v>26545593</v>
      </c>
      <c r="J541" s="204" t="s">
        <v>640</v>
      </c>
      <c r="K541" s="199" t="str">
        <f t="shared" ca="1" si="71"/>
        <v>CONTRATADO</v>
      </c>
      <c r="L541" s="199" t="s">
        <v>112</v>
      </c>
      <c r="M541" s="199" t="s">
        <v>113</v>
      </c>
      <c r="N541" s="205" t="s">
        <v>634</v>
      </c>
      <c r="O541" s="204">
        <f>VLOOKUP(N541,RUBROS[#All],3,0)</f>
        <v>61</v>
      </c>
      <c r="P541" s="206" t="str">
        <f>VLOOKUP(N541,RUBROS[#All],2,0)</f>
        <v>Apoyo técnico a atletas y para-atletas que representan en alto rendimiento deportivo al departamento de Antioquia. - Servicios para la comunidad, sociales y personales</v>
      </c>
      <c r="Q541" s="199" t="str">
        <f t="shared" si="72"/>
        <v>84</v>
      </c>
      <c r="R541" s="199" t="str">
        <f t="shared" si="73"/>
        <v>0-205128</v>
      </c>
      <c r="S541" s="207">
        <v>294</v>
      </c>
      <c r="T541" s="208" t="s">
        <v>220</v>
      </c>
      <c r="U541" s="209" t="e">
        <f ca="1">_xlfn.XLOOKUP(PAA[[#This Row],[ITEM]],Contrato!A:A,Contrato!Q:Q,"",0)</f>
        <v>#NAME?</v>
      </c>
      <c r="V541" s="199" t="s">
        <v>47</v>
      </c>
      <c r="W541" s="199" t="s">
        <v>154</v>
      </c>
      <c r="X541" s="199" t="s">
        <v>154</v>
      </c>
      <c r="Y541" s="210" t="e">
        <f ca="1">_xlfn.XLOOKUP(PAA[[#This Row],[ITEM]],Contrato!A:A,Contrato!B:B,"",0)</f>
        <v>#NAME?</v>
      </c>
      <c r="Z541" s="199" t="e">
        <f ca="1">_xlfn.XLOOKUP(PAA[[#This Row],[ITEM]],Contrato!A:A,Contrato!G:G,"",0)</f>
        <v>#NAME?</v>
      </c>
      <c r="AA541" s="199" t="e">
        <f ca="1">_xlfn.XLOOKUP(PAA[[#This Row],[ITEM]],Contrato!A:A,Contrato!T:T,"",0)</f>
        <v>#NAME?</v>
      </c>
      <c r="AB541" s="210" t="e">
        <f ca="1">+MAX(PAA[[#This Row],[Comprometido Contrato]],)</f>
        <v>#NAME?</v>
      </c>
      <c r="AC541" s="210" t="str">
        <f t="shared" ca="1" si="77"/>
        <v/>
      </c>
      <c r="AD541" s="210" t="e">
        <f ca="1">+MAX(PAA[[#This Row],[Pago por Contrato]],)</f>
        <v>#NAME?</v>
      </c>
      <c r="AE541" s="210" t="str">
        <f t="shared" ca="1" si="74"/>
        <v/>
      </c>
      <c r="AF541" s="199" t="e">
        <f t="shared" ca="1" si="75"/>
        <v>#NAME?</v>
      </c>
      <c r="AG541" s="199">
        <f t="shared" si="76"/>
        <v>52010802</v>
      </c>
      <c r="AH541" s="199" t="e" cm="1">
        <f t="array" aca="1" ref="AH541" ca="1">_xlfn.XLOOKUP(PAA[[#This Row],[RCP-RUBRO]],COMPROMISOS_2025[[#All],[concatenado]],COMPROMISOS_2025[[#All],[Total pagado]],"",0)</f>
        <v>#NAME?</v>
      </c>
      <c r="AI541" s="199" t="e" cm="1">
        <f t="array" aca="1" ref="AI541" ca="1">_xlfn.XLOOKUP(PAA[[#This Row],[RCP-RUBRO]],COMPROMISOS_2025[[#All],[concatenado]],COMPROMISOS_2025[[#All],[Total Comprometido]],"",0)</f>
        <v>#NAME?</v>
      </c>
    </row>
    <row r="542" spans="1:35" s="50" customFormat="1" ht="42" hidden="1" customHeight="1" x14ac:dyDescent="0.25">
      <c r="A542" s="199">
        <v>442</v>
      </c>
      <c r="B542" s="200">
        <v>80111600</v>
      </c>
      <c r="C542" s="199" t="str">
        <f>VLOOKUP(PAA[[#This Row],[PROYECTO (formulado)2]],PROYECTOS!$G$1:$L$32,6,0)</f>
        <v>SUBGERENCIA DE ALTOS LOGROS Y DEPORTE ASOCIADO</v>
      </c>
      <c r="D542" s="199" t="str">
        <f>+IF(PAA[[#This Row],[UNIDAD DE CONTRATACION (formulado)]]="Subgerencia Administrativa y Financiera","FUNCIONAMIENTO","INVERSIÓN")</f>
        <v>INVERSIÓN</v>
      </c>
      <c r="E542" s="201" t="str">
        <f>VLOOKUP(Q542,PROYECTOS!$G$1:$K$32,5,0)</f>
        <v>Apoyo técnico a atletas y para-atletas que representan en alto rendimiento deportivo al departamento de Antioquia</v>
      </c>
      <c r="F542" s="201">
        <f>VLOOKUP(E542,PROYECTOS!$K$1:$M$32,3,0)</f>
        <v>2024003050084</v>
      </c>
      <c r="G542" s="202" t="s">
        <v>450</v>
      </c>
      <c r="H542" s="202" t="str">
        <f>VLOOKUP(Q542,PROYECTOS!$V$1:$W$32,2,0)</f>
        <v>050079</v>
      </c>
      <c r="I542" s="203">
        <v>26545593</v>
      </c>
      <c r="J542" s="204" t="s">
        <v>641</v>
      </c>
      <c r="K542" s="199" t="str">
        <f t="shared" ca="1" si="71"/>
        <v>CONTRATADO</v>
      </c>
      <c r="L542" s="199" t="s">
        <v>112</v>
      </c>
      <c r="M542" s="199" t="s">
        <v>113</v>
      </c>
      <c r="N542" s="205" t="s">
        <v>634</v>
      </c>
      <c r="O542" s="204">
        <f>VLOOKUP(N542,RUBROS[#All],3,0)</f>
        <v>61</v>
      </c>
      <c r="P542" s="206" t="str">
        <f>VLOOKUP(N542,RUBROS[#All],2,0)</f>
        <v>Apoyo técnico a atletas y para-atletas que representan en alto rendimiento deportivo al departamento de Antioquia. - Servicios para la comunidad, sociales y personales</v>
      </c>
      <c r="Q542" s="199" t="str">
        <f t="shared" si="72"/>
        <v>84</v>
      </c>
      <c r="R542" s="199" t="str">
        <f t="shared" si="73"/>
        <v>0-205128</v>
      </c>
      <c r="S542" s="207">
        <v>294</v>
      </c>
      <c r="T542" s="208" t="s">
        <v>220</v>
      </c>
      <c r="U542" s="209" t="e">
        <f ca="1">_xlfn.XLOOKUP(PAA[[#This Row],[ITEM]],Contrato!A:A,Contrato!Q:Q,"",0)</f>
        <v>#NAME?</v>
      </c>
      <c r="V542" s="199" t="s">
        <v>47</v>
      </c>
      <c r="W542" s="199" t="s">
        <v>154</v>
      </c>
      <c r="X542" s="199" t="s">
        <v>154</v>
      </c>
      <c r="Y542" s="210" t="e">
        <f ca="1">_xlfn.XLOOKUP(PAA[[#This Row],[ITEM]],Contrato!A:A,Contrato!B:B,"",0)</f>
        <v>#NAME?</v>
      </c>
      <c r="Z542" s="199" t="e">
        <f ca="1">_xlfn.XLOOKUP(PAA[[#This Row],[ITEM]],Contrato!A:A,Contrato!G:G,"",0)</f>
        <v>#NAME?</v>
      </c>
      <c r="AA542" s="199" t="e">
        <f ca="1">_xlfn.XLOOKUP(PAA[[#This Row],[ITEM]],Contrato!A:A,Contrato!T:T,"",0)</f>
        <v>#NAME?</v>
      </c>
      <c r="AB542" s="210" t="e">
        <f ca="1">+MAX(PAA[[#This Row],[Comprometido Contrato]],)</f>
        <v>#NAME?</v>
      </c>
      <c r="AC542" s="210" t="str">
        <f t="shared" ca="1" si="77"/>
        <v/>
      </c>
      <c r="AD542" s="210" t="e">
        <f ca="1">+MAX(PAA[[#This Row],[Pago por Contrato]],)</f>
        <v>#NAME?</v>
      </c>
      <c r="AE542" s="210" t="str">
        <f t="shared" ca="1" si="74"/>
        <v/>
      </c>
      <c r="AF542" s="199" t="e">
        <f t="shared" ca="1" si="75"/>
        <v>#NAME?</v>
      </c>
      <c r="AG542" s="199">
        <f t="shared" si="76"/>
        <v>52010802</v>
      </c>
      <c r="AH542" s="199" t="e" cm="1">
        <f t="array" aca="1" ref="AH542" ca="1">_xlfn.XLOOKUP(PAA[[#This Row],[RCP-RUBRO]],COMPROMISOS_2025[[#All],[concatenado]],COMPROMISOS_2025[[#All],[Total pagado]],"",0)</f>
        <v>#NAME?</v>
      </c>
      <c r="AI542" s="199" t="e" cm="1">
        <f t="array" aca="1" ref="AI542" ca="1">_xlfn.XLOOKUP(PAA[[#This Row],[RCP-RUBRO]],COMPROMISOS_2025[[#All],[concatenado]],COMPROMISOS_2025[[#All],[Total Comprometido]],"",0)</f>
        <v>#NAME?</v>
      </c>
    </row>
    <row r="543" spans="1:35" s="50" customFormat="1" ht="42" hidden="1" customHeight="1" x14ac:dyDescent="0.25">
      <c r="A543" s="199">
        <v>443</v>
      </c>
      <c r="B543" s="200">
        <v>80111600</v>
      </c>
      <c r="C543" s="199" t="str">
        <f>VLOOKUP(PAA[[#This Row],[PROYECTO (formulado)2]],PROYECTOS!$G$1:$L$32,6,0)</f>
        <v>SUBGERENCIA DE ALTOS LOGROS Y DEPORTE ASOCIADO</v>
      </c>
      <c r="D543" s="199" t="str">
        <f>+IF(PAA[[#This Row],[UNIDAD DE CONTRATACION (formulado)]]="Subgerencia Administrativa y Financiera","FUNCIONAMIENTO","INVERSIÓN")</f>
        <v>INVERSIÓN</v>
      </c>
      <c r="E543" s="201" t="str">
        <f>VLOOKUP(Q543,PROYECTOS!$G$1:$K$32,5,0)</f>
        <v>Apoyo técnico a atletas y para-atletas que representan en alto rendimiento deportivo al departamento de Antioquia</v>
      </c>
      <c r="F543" s="201">
        <f>VLOOKUP(E543,PROYECTOS!$K$1:$M$32,3,0)</f>
        <v>2024003050084</v>
      </c>
      <c r="G543" s="202" t="s">
        <v>450</v>
      </c>
      <c r="H543" s="202" t="str">
        <f>VLOOKUP(Q543,PROYECTOS!$V$1:$W$32,2,0)</f>
        <v>050079</v>
      </c>
      <c r="I543" s="203">
        <v>81536206</v>
      </c>
      <c r="J543" s="204" t="s">
        <v>642</v>
      </c>
      <c r="K543" s="199" t="str">
        <f t="shared" ca="1" si="71"/>
        <v>CONTRATADO</v>
      </c>
      <c r="L543" s="199" t="s">
        <v>112</v>
      </c>
      <c r="M543" s="199" t="s">
        <v>113</v>
      </c>
      <c r="N543" s="205" t="s">
        <v>634</v>
      </c>
      <c r="O543" s="204">
        <f>VLOOKUP(N543,RUBROS[#All],3,0)</f>
        <v>61</v>
      </c>
      <c r="P543" s="206" t="str">
        <f>VLOOKUP(N543,RUBROS[#All],2,0)</f>
        <v>Apoyo técnico a atletas y para-atletas que representan en alto rendimiento deportivo al departamento de Antioquia. - Servicios para la comunidad, sociales y personales</v>
      </c>
      <c r="Q543" s="199" t="str">
        <f t="shared" si="72"/>
        <v>84</v>
      </c>
      <c r="R543" s="199" t="str">
        <f t="shared" si="73"/>
        <v>0-205128</v>
      </c>
      <c r="S543" s="207">
        <v>294</v>
      </c>
      <c r="T543" s="208" t="s">
        <v>220</v>
      </c>
      <c r="U543" s="209" t="e">
        <f ca="1">_xlfn.XLOOKUP(PAA[[#This Row],[ITEM]],Contrato!A:A,Contrato!Q:Q,"",0)</f>
        <v>#NAME?</v>
      </c>
      <c r="V543" s="199" t="s">
        <v>47</v>
      </c>
      <c r="W543" s="199" t="s">
        <v>154</v>
      </c>
      <c r="X543" s="199" t="s">
        <v>154</v>
      </c>
      <c r="Y543" s="210" t="e">
        <f ca="1">_xlfn.XLOOKUP(PAA[[#This Row],[ITEM]],Contrato!A:A,Contrato!B:B,"",0)</f>
        <v>#NAME?</v>
      </c>
      <c r="Z543" s="199" t="e">
        <f ca="1">_xlfn.XLOOKUP(PAA[[#This Row],[ITEM]],Contrato!A:A,Contrato!G:G,"",0)</f>
        <v>#NAME?</v>
      </c>
      <c r="AA543" s="199" t="e">
        <f ca="1">_xlfn.XLOOKUP(PAA[[#This Row],[ITEM]],Contrato!A:A,Contrato!T:T,"",0)</f>
        <v>#NAME?</v>
      </c>
      <c r="AB543" s="210" t="e">
        <f ca="1">+MAX(PAA[[#This Row],[Comprometido Contrato]],)</f>
        <v>#NAME?</v>
      </c>
      <c r="AC543" s="210" t="str">
        <f t="shared" ca="1" si="77"/>
        <v/>
      </c>
      <c r="AD543" s="210" t="e">
        <f ca="1">+MAX(PAA[[#This Row],[Pago por Contrato]],)</f>
        <v>#NAME?</v>
      </c>
      <c r="AE543" s="210" t="str">
        <f t="shared" ca="1" si="74"/>
        <v/>
      </c>
      <c r="AF543" s="199" t="e">
        <f t="shared" ca="1" si="75"/>
        <v>#NAME?</v>
      </c>
      <c r="AG543" s="199">
        <f t="shared" si="76"/>
        <v>52010802</v>
      </c>
      <c r="AH543" s="199" t="e" cm="1">
        <f t="array" aca="1" ref="AH543" ca="1">_xlfn.XLOOKUP(PAA[[#This Row],[RCP-RUBRO]],COMPROMISOS_2025[[#All],[concatenado]],COMPROMISOS_2025[[#All],[Total pagado]],"",0)</f>
        <v>#NAME?</v>
      </c>
      <c r="AI543" s="199" t="e" cm="1">
        <f t="array" aca="1" ref="AI543" ca="1">_xlfn.XLOOKUP(PAA[[#This Row],[RCP-RUBRO]],COMPROMISOS_2025[[#All],[concatenado]],COMPROMISOS_2025[[#All],[Total Comprometido]],"",0)</f>
        <v>#NAME?</v>
      </c>
    </row>
    <row r="544" spans="1:35" s="50" customFormat="1" ht="42" hidden="1" customHeight="1" x14ac:dyDescent="0.25">
      <c r="A544" s="199">
        <v>444</v>
      </c>
      <c r="B544" s="200">
        <v>80111600</v>
      </c>
      <c r="C544" s="199" t="str">
        <f>VLOOKUP(PAA[[#This Row],[PROYECTO (formulado)2]],PROYECTOS!$G$1:$L$32,6,0)</f>
        <v>SUBGERENCIA DE ALTOS LOGROS Y DEPORTE ASOCIADO</v>
      </c>
      <c r="D544" s="199" t="str">
        <f>+IF(PAA[[#This Row],[UNIDAD DE CONTRATACION (formulado)]]="Subgerencia Administrativa y Financiera","FUNCIONAMIENTO","INVERSIÓN")</f>
        <v>INVERSIÓN</v>
      </c>
      <c r="E544" s="201" t="str">
        <f>VLOOKUP(Q544,PROYECTOS!$G$1:$K$32,5,0)</f>
        <v>Apoyo técnico a atletas y para-atletas que representan en alto rendimiento deportivo al departamento de Antioquia</v>
      </c>
      <c r="F544" s="201">
        <f>VLOOKUP(E544,PROYECTOS!$K$1:$M$32,3,0)</f>
        <v>2024003050084</v>
      </c>
      <c r="G544" s="202" t="s">
        <v>450</v>
      </c>
      <c r="H544" s="202" t="str">
        <f>VLOOKUP(Q544,PROYECTOS!$V$1:$W$32,2,0)</f>
        <v>050079</v>
      </c>
      <c r="I544" s="203">
        <v>26545593</v>
      </c>
      <c r="J544" s="204" t="s">
        <v>643</v>
      </c>
      <c r="K544" s="199" t="str">
        <f t="shared" ca="1" si="71"/>
        <v>CONTRATADO</v>
      </c>
      <c r="L544" s="199" t="s">
        <v>112</v>
      </c>
      <c r="M544" s="199" t="s">
        <v>113</v>
      </c>
      <c r="N544" s="205" t="s">
        <v>634</v>
      </c>
      <c r="O544" s="204">
        <f>VLOOKUP(N544,RUBROS[#All],3,0)</f>
        <v>61</v>
      </c>
      <c r="P544" s="206" t="str">
        <f>VLOOKUP(N544,RUBROS[#All],2,0)</f>
        <v>Apoyo técnico a atletas y para-atletas que representan en alto rendimiento deportivo al departamento de Antioquia. - Servicios para la comunidad, sociales y personales</v>
      </c>
      <c r="Q544" s="199" t="str">
        <f t="shared" si="72"/>
        <v>84</v>
      </c>
      <c r="R544" s="199" t="str">
        <f t="shared" si="73"/>
        <v>0-205128</v>
      </c>
      <c r="S544" s="207">
        <v>294</v>
      </c>
      <c r="T544" s="208" t="s">
        <v>220</v>
      </c>
      <c r="U544" s="209" t="e">
        <f ca="1">_xlfn.XLOOKUP(PAA[[#This Row],[ITEM]],Contrato!A:A,Contrato!Q:Q,"",0)</f>
        <v>#NAME?</v>
      </c>
      <c r="V544" s="199" t="s">
        <v>47</v>
      </c>
      <c r="W544" s="199" t="s">
        <v>154</v>
      </c>
      <c r="X544" s="199" t="s">
        <v>154</v>
      </c>
      <c r="Y544" s="210" t="e">
        <f ca="1">_xlfn.XLOOKUP(PAA[[#This Row],[ITEM]],Contrato!A:A,Contrato!B:B,"",0)</f>
        <v>#NAME?</v>
      </c>
      <c r="Z544" s="199" t="e">
        <f ca="1">_xlfn.XLOOKUP(PAA[[#This Row],[ITEM]],Contrato!A:A,Contrato!G:G,"",0)</f>
        <v>#NAME?</v>
      </c>
      <c r="AA544" s="199" t="e">
        <f ca="1">_xlfn.XLOOKUP(PAA[[#This Row],[ITEM]],Contrato!A:A,Contrato!T:T,"",0)</f>
        <v>#NAME?</v>
      </c>
      <c r="AB544" s="210" t="e">
        <f ca="1">+MAX(PAA[[#This Row],[Comprometido Contrato]],)</f>
        <v>#NAME?</v>
      </c>
      <c r="AC544" s="210" t="str">
        <f t="shared" ca="1" si="77"/>
        <v/>
      </c>
      <c r="AD544" s="210" t="e">
        <f ca="1">+MAX(PAA[[#This Row],[Pago por Contrato]],)</f>
        <v>#NAME?</v>
      </c>
      <c r="AE544" s="210" t="str">
        <f t="shared" ca="1" si="74"/>
        <v/>
      </c>
      <c r="AF544" s="199" t="e">
        <f t="shared" ca="1" si="75"/>
        <v>#NAME?</v>
      </c>
      <c r="AG544" s="199">
        <f t="shared" si="76"/>
        <v>52010802</v>
      </c>
      <c r="AH544" s="199" t="e" cm="1">
        <f t="array" aca="1" ref="AH544" ca="1">_xlfn.XLOOKUP(PAA[[#This Row],[RCP-RUBRO]],COMPROMISOS_2025[[#All],[concatenado]],COMPROMISOS_2025[[#All],[Total pagado]],"",0)</f>
        <v>#NAME?</v>
      </c>
      <c r="AI544" s="199" t="e" cm="1">
        <f t="array" aca="1" ref="AI544" ca="1">_xlfn.XLOOKUP(PAA[[#This Row],[RCP-RUBRO]],COMPROMISOS_2025[[#All],[concatenado]],COMPROMISOS_2025[[#All],[Total Comprometido]],"",0)</f>
        <v>#NAME?</v>
      </c>
    </row>
    <row r="545" spans="1:35" s="50" customFormat="1" ht="42" hidden="1" customHeight="1" x14ac:dyDescent="0.25">
      <c r="A545" s="199">
        <v>445</v>
      </c>
      <c r="B545" s="200">
        <v>80111600</v>
      </c>
      <c r="C545" s="199" t="str">
        <f>VLOOKUP(PAA[[#This Row],[PROYECTO (formulado)2]],PROYECTOS!$G$1:$L$32,6,0)</f>
        <v>SUBGERENCIA DE ALTOS LOGROS Y DEPORTE ASOCIADO</v>
      </c>
      <c r="D545" s="199" t="str">
        <f>+IF(PAA[[#This Row],[UNIDAD DE CONTRATACION (formulado)]]="Subgerencia Administrativa y Financiera","FUNCIONAMIENTO","INVERSIÓN")</f>
        <v>INVERSIÓN</v>
      </c>
      <c r="E545" s="201" t="str">
        <f>VLOOKUP(Q545,PROYECTOS!$G$1:$K$32,5,0)</f>
        <v>Apoyo técnico a atletas y para-atletas que representan en alto rendimiento deportivo al departamento de Antioquia</v>
      </c>
      <c r="F545" s="201">
        <f>VLOOKUP(E545,PROYECTOS!$K$1:$M$32,3,0)</f>
        <v>2024003050084</v>
      </c>
      <c r="G545" s="202" t="s">
        <v>450</v>
      </c>
      <c r="H545" s="202" t="str">
        <f>VLOOKUP(Q545,PROYECTOS!$V$1:$W$32,2,0)</f>
        <v>050079</v>
      </c>
      <c r="I545" s="203">
        <v>40747479</v>
      </c>
      <c r="J545" s="204" t="s">
        <v>644</v>
      </c>
      <c r="K545" s="199" t="str">
        <f t="shared" ca="1" si="71"/>
        <v>CONTRATADO</v>
      </c>
      <c r="L545" s="199" t="s">
        <v>112</v>
      </c>
      <c r="M545" s="199" t="s">
        <v>113</v>
      </c>
      <c r="N545" s="205" t="s">
        <v>634</v>
      </c>
      <c r="O545" s="204">
        <f>VLOOKUP(N545,RUBROS[#All],3,0)</f>
        <v>61</v>
      </c>
      <c r="P545" s="206" t="str">
        <f>VLOOKUP(N545,RUBROS[#All],2,0)</f>
        <v>Apoyo técnico a atletas y para-atletas que representan en alto rendimiento deportivo al departamento de Antioquia. - Servicios para la comunidad, sociales y personales</v>
      </c>
      <c r="Q545" s="199" t="str">
        <f t="shared" si="72"/>
        <v>84</v>
      </c>
      <c r="R545" s="199" t="str">
        <f t="shared" si="73"/>
        <v>0-205128</v>
      </c>
      <c r="S545" s="207">
        <v>294</v>
      </c>
      <c r="T545" s="208" t="s">
        <v>220</v>
      </c>
      <c r="U545" s="209" t="e">
        <f ca="1">_xlfn.XLOOKUP(PAA[[#This Row],[ITEM]],Contrato!A:A,Contrato!Q:Q,"",0)</f>
        <v>#NAME?</v>
      </c>
      <c r="V545" s="199" t="s">
        <v>47</v>
      </c>
      <c r="W545" s="199" t="s">
        <v>154</v>
      </c>
      <c r="X545" s="199" t="s">
        <v>154</v>
      </c>
      <c r="Y545" s="210" t="e">
        <f ca="1">_xlfn.XLOOKUP(PAA[[#This Row],[ITEM]],Contrato!A:A,Contrato!B:B,"",0)</f>
        <v>#NAME?</v>
      </c>
      <c r="Z545" s="199" t="e">
        <f ca="1">_xlfn.XLOOKUP(PAA[[#This Row],[ITEM]],Contrato!A:A,Contrato!G:G,"",0)</f>
        <v>#NAME?</v>
      </c>
      <c r="AA545" s="199" t="e">
        <f ca="1">_xlfn.XLOOKUP(PAA[[#This Row],[ITEM]],Contrato!A:A,Contrato!T:T,"",0)</f>
        <v>#NAME?</v>
      </c>
      <c r="AB545" s="210" t="e">
        <f ca="1">+MAX(PAA[[#This Row],[Comprometido Contrato]],)</f>
        <v>#NAME?</v>
      </c>
      <c r="AC545" s="210" t="str">
        <f t="shared" ca="1" si="77"/>
        <v/>
      </c>
      <c r="AD545" s="210" t="e">
        <f ca="1">+MAX(PAA[[#This Row],[Pago por Contrato]],)</f>
        <v>#NAME?</v>
      </c>
      <c r="AE545" s="210" t="str">
        <f t="shared" ca="1" si="74"/>
        <v/>
      </c>
      <c r="AF545" s="199" t="e">
        <f t="shared" ca="1" si="75"/>
        <v>#NAME?</v>
      </c>
      <c r="AG545" s="199">
        <f t="shared" si="76"/>
        <v>52010802</v>
      </c>
      <c r="AH545" s="199" t="e" cm="1">
        <f t="array" aca="1" ref="AH545" ca="1">_xlfn.XLOOKUP(PAA[[#This Row],[RCP-RUBRO]],COMPROMISOS_2025[[#All],[concatenado]],COMPROMISOS_2025[[#All],[Total pagado]],"",0)</f>
        <v>#NAME?</v>
      </c>
      <c r="AI545" s="199" t="e" cm="1">
        <f t="array" aca="1" ref="AI545" ca="1">_xlfn.XLOOKUP(PAA[[#This Row],[RCP-RUBRO]],COMPROMISOS_2025[[#All],[concatenado]],COMPROMISOS_2025[[#All],[Total Comprometido]],"",0)</f>
        <v>#NAME?</v>
      </c>
    </row>
    <row r="546" spans="1:35" s="50" customFormat="1" ht="42" hidden="1" customHeight="1" x14ac:dyDescent="0.25">
      <c r="A546" s="199">
        <v>446</v>
      </c>
      <c r="B546" s="200">
        <v>80111600</v>
      </c>
      <c r="C546" s="199" t="str">
        <f>VLOOKUP(PAA[[#This Row],[PROYECTO (formulado)2]],PROYECTOS!$G$1:$L$32,6,0)</f>
        <v>SUBGERENCIA DE ALTOS LOGROS Y DEPORTE ASOCIADO</v>
      </c>
      <c r="D546" s="199" t="str">
        <f>+IF(PAA[[#This Row],[UNIDAD DE CONTRATACION (formulado)]]="Subgerencia Administrativa y Financiera","FUNCIONAMIENTO","INVERSIÓN")</f>
        <v>INVERSIÓN</v>
      </c>
      <c r="E546" s="201" t="str">
        <f>VLOOKUP(Q546,PROYECTOS!$G$1:$K$32,5,0)</f>
        <v>Apoyo técnico a atletas y para-atletas que representan en alto rendimiento deportivo al departamento de Antioquia</v>
      </c>
      <c r="F546" s="201">
        <f>VLOOKUP(E546,PROYECTOS!$K$1:$M$32,3,0)</f>
        <v>2024003050084</v>
      </c>
      <c r="G546" s="202" t="s">
        <v>450</v>
      </c>
      <c r="H546" s="202" t="str">
        <f>VLOOKUP(Q546,PROYECTOS!$V$1:$W$32,2,0)</f>
        <v>050079</v>
      </c>
      <c r="I546" s="203">
        <v>71344176</v>
      </c>
      <c r="J546" s="204" t="s">
        <v>645</v>
      </c>
      <c r="K546" s="199" t="str">
        <f t="shared" ca="1" si="71"/>
        <v>CONTRATADO</v>
      </c>
      <c r="L546" s="199" t="s">
        <v>112</v>
      </c>
      <c r="M546" s="199" t="s">
        <v>113</v>
      </c>
      <c r="N546" s="205" t="s">
        <v>634</v>
      </c>
      <c r="O546" s="204">
        <f>VLOOKUP(N546,RUBROS[#All],3,0)</f>
        <v>61</v>
      </c>
      <c r="P546" s="206" t="str">
        <f>VLOOKUP(N546,RUBROS[#All],2,0)</f>
        <v>Apoyo técnico a atletas y para-atletas que representan en alto rendimiento deportivo al departamento de Antioquia. - Servicios para la comunidad, sociales y personales</v>
      </c>
      <c r="Q546" s="199" t="str">
        <f t="shared" si="72"/>
        <v>84</v>
      </c>
      <c r="R546" s="199" t="str">
        <f t="shared" si="73"/>
        <v>0-205128</v>
      </c>
      <c r="S546" s="207">
        <v>294</v>
      </c>
      <c r="T546" s="208" t="s">
        <v>220</v>
      </c>
      <c r="U546" s="209" t="e">
        <f ca="1">_xlfn.XLOOKUP(PAA[[#This Row],[ITEM]],Contrato!A:A,Contrato!Q:Q,"",0)</f>
        <v>#NAME?</v>
      </c>
      <c r="V546" s="199" t="s">
        <v>47</v>
      </c>
      <c r="W546" s="199" t="s">
        <v>154</v>
      </c>
      <c r="X546" s="199" t="s">
        <v>154</v>
      </c>
      <c r="Y546" s="210" t="e">
        <f ca="1">_xlfn.XLOOKUP(PAA[[#This Row],[ITEM]],Contrato!A:A,Contrato!B:B,"",0)</f>
        <v>#NAME?</v>
      </c>
      <c r="Z546" s="199" t="e">
        <f ca="1">_xlfn.XLOOKUP(PAA[[#This Row],[ITEM]],Contrato!A:A,Contrato!G:G,"",0)</f>
        <v>#NAME?</v>
      </c>
      <c r="AA546" s="199" t="e">
        <f ca="1">_xlfn.XLOOKUP(PAA[[#This Row],[ITEM]],Contrato!A:A,Contrato!T:T,"",0)</f>
        <v>#NAME?</v>
      </c>
      <c r="AB546" s="210" t="e">
        <f ca="1">+MAX(PAA[[#This Row],[Comprometido Contrato]],)</f>
        <v>#NAME?</v>
      </c>
      <c r="AC546" s="210" t="str">
        <f t="shared" ca="1" si="77"/>
        <v/>
      </c>
      <c r="AD546" s="210" t="e">
        <f ca="1">+MAX(PAA[[#This Row],[Pago por Contrato]],)</f>
        <v>#NAME?</v>
      </c>
      <c r="AE546" s="210" t="str">
        <f t="shared" ca="1" si="74"/>
        <v/>
      </c>
      <c r="AF546" s="199" t="e">
        <f t="shared" ca="1" si="75"/>
        <v>#NAME?</v>
      </c>
      <c r="AG546" s="199">
        <f t="shared" si="76"/>
        <v>52010802</v>
      </c>
      <c r="AH546" s="199" t="e" cm="1">
        <f t="array" aca="1" ref="AH546" ca="1">_xlfn.XLOOKUP(PAA[[#This Row],[RCP-RUBRO]],COMPROMISOS_2025[[#All],[concatenado]],COMPROMISOS_2025[[#All],[Total pagado]],"",0)</f>
        <v>#NAME?</v>
      </c>
      <c r="AI546" s="199" t="e" cm="1">
        <f t="array" aca="1" ref="AI546" ca="1">_xlfn.XLOOKUP(PAA[[#This Row],[RCP-RUBRO]],COMPROMISOS_2025[[#All],[concatenado]],COMPROMISOS_2025[[#All],[Total Comprometido]],"",0)</f>
        <v>#NAME?</v>
      </c>
    </row>
    <row r="547" spans="1:35" s="50" customFormat="1" ht="42" hidden="1" customHeight="1" x14ac:dyDescent="0.25">
      <c r="A547" s="199">
        <v>447</v>
      </c>
      <c r="B547" s="200">
        <v>80111600</v>
      </c>
      <c r="C547" s="199" t="str">
        <f>VLOOKUP(PAA[[#This Row],[PROYECTO (formulado)2]],PROYECTOS!$G$1:$L$32,6,0)</f>
        <v>SUBGERENCIA DE ALTOS LOGROS Y DEPORTE ASOCIADO</v>
      </c>
      <c r="D547" s="199" t="str">
        <f>+IF(PAA[[#This Row],[UNIDAD DE CONTRATACION (formulado)]]="Subgerencia Administrativa y Financiera","FUNCIONAMIENTO","INVERSIÓN")</f>
        <v>INVERSIÓN</v>
      </c>
      <c r="E547" s="201" t="str">
        <f>VLOOKUP(Q547,PROYECTOS!$G$1:$K$32,5,0)</f>
        <v>Apoyo técnico a atletas y para-atletas que representan en alto rendimiento deportivo al departamento de Antioquia</v>
      </c>
      <c r="F547" s="201">
        <f>VLOOKUP(E547,PROYECTOS!$K$1:$M$32,3,0)</f>
        <v>2024003050084</v>
      </c>
      <c r="G547" s="202" t="s">
        <v>450</v>
      </c>
      <c r="H547" s="202" t="str">
        <f>VLOOKUP(Q547,PROYECTOS!$V$1:$W$32,2,0)</f>
        <v>050079</v>
      </c>
      <c r="I547" s="203">
        <v>40747479</v>
      </c>
      <c r="J547" s="204" t="s">
        <v>646</v>
      </c>
      <c r="K547" s="199" t="str">
        <f t="shared" ca="1" si="71"/>
        <v>CONTRATADO</v>
      </c>
      <c r="L547" s="199" t="s">
        <v>112</v>
      </c>
      <c r="M547" s="199" t="s">
        <v>113</v>
      </c>
      <c r="N547" s="205" t="s">
        <v>634</v>
      </c>
      <c r="O547" s="204">
        <f>VLOOKUP(N547,RUBROS[#All],3,0)</f>
        <v>61</v>
      </c>
      <c r="P547" s="206" t="str">
        <f>VLOOKUP(N547,RUBROS[#All],2,0)</f>
        <v>Apoyo técnico a atletas y para-atletas que representan en alto rendimiento deportivo al departamento de Antioquia. - Servicios para la comunidad, sociales y personales</v>
      </c>
      <c r="Q547" s="199" t="str">
        <f t="shared" si="72"/>
        <v>84</v>
      </c>
      <c r="R547" s="199" t="str">
        <f t="shared" si="73"/>
        <v>0-205128</v>
      </c>
      <c r="S547" s="207">
        <v>294</v>
      </c>
      <c r="T547" s="208" t="s">
        <v>220</v>
      </c>
      <c r="U547" s="209" t="e">
        <f ca="1">_xlfn.XLOOKUP(PAA[[#This Row],[ITEM]],Contrato!A:A,Contrato!Q:Q,"",0)</f>
        <v>#NAME?</v>
      </c>
      <c r="V547" s="199" t="s">
        <v>47</v>
      </c>
      <c r="W547" s="199" t="s">
        <v>154</v>
      </c>
      <c r="X547" s="199" t="s">
        <v>154</v>
      </c>
      <c r="Y547" s="210" t="e">
        <f ca="1">_xlfn.XLOOKUP(PAA[[#This Row],[ITEM]],Contrato!A:A,Contrato!B:B,"",0)</f>
        <v>#NAME?</v>
      </c>
      <c r="Z547" s="199" t="e">
        <f ca="1">_xlfn.XLOOKUP(PAA[[#This Row],[ITEM]],Contrato!A:A,Contrato!G:G,"",0)</f>
        <v>#NAME?</v>
      </c>
      <c r="AA547" s="199" t="e">
        <f ca="1">_xlfn.XLOOKUP(PAA[[#This Row],[ITEM]],Contrato!A:A,Contrato!T:T,"",0)</f>
        <v>#NAME?</v>
      </c>
      <c r="AB547" s="210" t="e">
        <f ca="1">+MAX(PAA[[#This Row],[Comprometido Contrato]],)</f>
        <v>#NAME?</v>
      </c>
      <c r="AC547" s="210" t="str">
        <f t="shared" ca="1" si="77"/>
        <v/>
      </c>
      <c r="AD547" s="210" t="e">
        <f ca="1">+MAX(PAA[[#This Row],[Pago por Contrato]],)</f>
        <v>#NAME?</v>
      </c>
      <c r="AE547" s="210" t="str">
        <f t="shared" ca="1" si="74"/>
        <v/>
      </c>
      <c r="AF547" s="199" t="e">
        <f t="shared" ca="1" si="75"/>
        <v>#NAME?</v>
      </c>
      <c r="AG547" s="199">
        <f t="shared" si="76"/>
        <v>52010802</v>
      </c>
      <c r="AH547" s="199" t="e" cm="1">
        <f t="array" aca="1" ref="AH547" ca="1">_xlfn.XLOOKUP(PAA[[#This Row],[RCP-RUBRO]],COMPROMISOS_2025[[#All],[concatenado]],COMPROMISOS_2025[[#All],[Total pagado]],"",0)</f>
        <v>#NAME?</v>
      </c>
      <c r="AI547" s="199" t="e" cm="1">
        <f t="array" aca="1" ref="AI547" ca="1">_xlfn.XLOOKUP(PAA[[#This Row],[RCP-RUBRO]],COMPROMISOS_2025[[#All],[concatenado]],COMPROMISOS_2025[[#All],[Total Comprometido]],"",0)</f>
        <v>#NAME?</v>
      </c>
    </row>
    <row r="548" spans="1:35" s="50" customFormat="1" ht="42" hidden="1" customHeight="1" x14ac:dyDescent="0.25">
      <c r="A548" s="199">
        <v>448</v>
      </c>
      <c r="B548" s="200">
        <v>80111600</v>
      </c>
      <c r="C548" s="199" t="str">
        <f>VLOOKUP(PAA[[#This Row],[PROYECTO (formulado)2]],PROYECTOS!$G$1:$L$32,6,0)</f>
        <v>SUBGERENCIA DE ALTOS LOGROS Y DEPORTE ASOCIADO</v>
      </c>
      <c r="D548" s="199" t="str">
        <f>+IF(PAA[[#This Row],[UNIDAD DE CONTRATACION (formulado)]]="Subgerencia Administrativa y Financiera","FUNCIONAMIENTO","INVERSIÓN")</f>
        <v>INVERSIÓN</v>
      </c>
      <c r="E548" s="201" t="str">
        <f>VLOOKUP(Q548,PROYECTOS!$G$1:$K$32,5,0)</f>
        <v>Apoyo técnico a atletas y para-atletas que representan en alto rendimiento deportivo al departamento de Antioquia</v>
      </c>
      <c r="F548" s="201">
        <f>VLOOKUP(E548,PROYECTOS!$K$1:$M$32,3,0)</f>
        <v>2024003050084</v>
      </c>
      <c r="G548" s="202" t="s">
        <v>450</v>
      </c>
      <c r="H548" s="202" t="str">
        <f>VLOOKUP(Q548,PROYECTOS!$V$1:$W$32,2,0)</f>
        <v>050079</v>
      </c>
      <c r="I548" s="203">
        <v>50609170</v>
      </c>
      <c r="J548" s="204" t="s">
        <v>647</v>
      </c>
      <c r="K548" s="199" t="str">
        <f t="shared" ca="1" si="71"/>
        <v>CONTRATADO</v>
      </c>
      <c r="L548" s="199" t="s">
        <v>112</v>
      </c>
      <c r="M548" s="199" t="s">
        <v>113</v>
      </c>
      <c r="N548" s="205" t="s">
        <v>634</v>
      </c>
      <c r="O548" s="204">
        <f>VLOOKUP(N548,RUBROS[#All],3,0)</f>
        <v>61</v>
      </c>
      <c r="P548" s="206" t="str">
        <f>VLOOKUP(N548,RUBROS[#All],2,0)</f>
        <v>Apoyo técnico a atletas y para-atletas que representan en alto rendimiento deportivo al departamento de Antioquia. - Servicios para la comunidad, sociales y personales</v>
      </c>
      <c r="Q548" s="199" t="str">
        <f t="shared" si="72"/>
        <v>84</v>
      </c>
      <c r="R548" s="199" t="str">
        <f t="shared" si="73"/>
        <v>0-205128</v>
      </c>
      <c r="S548" s="207">
        <v>294</v>
      </c>
      <c r="T548" s="208" t="s">
        <v>220</v>
      </c>
      <c r="U548" s="209" t="e">
        <f ca="1">_xlfn.XLOOKUP(PAA[[#This Row],[ITEM]],Contrato!A:A,Contrato!Q:Q,"",0)</f>
        <v>#NAME?</v>
      </c>
      <c r="V548" s="199" t="s">
        <v>47</v>
      </c>
      <c r="W548" s="199" t="s">
        <v>154</v>
      </c>
      <c r="X548" s="199" t="s">
        <v>154</v>
      </c>
      <c r="Y548" s="210" t="e">
        <f ca="1">_xlfn.XLOOKUP(PAA[[#This Row],[ITEM]],Contrato!A:A,Contrato!B:B,"",0)</f>
        <v>#NAME?</v>
      </c>
      <c r="Z548" s="199" t="e">
        <f ca="1">_xlfn.XLOOKUP(PAA[[#This Row],[ITEM]],Contrato!A:A,Contrato!G:G,"",0)</f>
        <v>#NAME?</v>
      </c>
      <c r="AA548" s="199" t="e">
        <f ca="1">_xlfn.XLOOKUP(PAA[[#This Row],[ITEM]],Contrato!A:A,Contrato!T:T,"",0)</f>
        <v>#NAME?</v>
      </c>
      <c r="AB548" s="210" t="e">
        <f ca="1">+MAX(PAA[[#This Row],[Comprometido Contrato]],)</f>
        <v>#NAME?</v>
      </c>
      <c r="AC548" s="210" t="str">
        <f t="shared" ca="1" si="77"/>
        <v/>
      </c>
      <c r="AD548" s="210" t="e">
        <f ca="1">+MAX(PAA[[#This Row],[Pago por Contrato]],)</f>
        <v>#NAME?</v>
      </c>
      <c r="AE548" s="210" t="str">
        <f t="shared" ca="1" si="74"/>
        <v/>
      </c>
      <c r="AF548" s="199" t="e">
        <f t="shared" ca="1" si="75"/>
        <v>#NAME?</v>
      </c>
      <c r="AG548" s="199">
        <f t="shared" si="76"/>
        <v>52010802</v>
      </c>
      <c r="AH548" s="199" t="e" cm="1">
        <f t="array" aca="1" ref="AH548" ca="1">_xlfn.XLOOKUP(PAA[[#This Row],[RCP-RUBRO]],COMPROMISOS_2025[[#All],[concatenado]],COMPROMISOS_2025[[#All],[Total pagado]],"",0)</f>
        <v>#NAME?</v>
      </c>
      <c r="AI548" s="199" t="e" cm="1">
        <f t="array" aca="1" ref="AI548" ca="1">_xlfn.XLOOKUP(PAA[[#This Row],[RCP-RUBRO]],COMPROMISOS_2025[[#All],[concatenado]],COMPROMISOS_2025[[#All],[Total Comprometido]],"",0)</f>
        <v>#NAME?</v>
      </c>
    </row>
    <row r="549" spans="1:35" s="50" customFormat="1" ht="42" hidden="1" customHeight="1" x14ac:dyDescent="0.25">
      <c r="A549" s="326">
        <v>449</v>
      </c>
      <c r="B549" s="325">
        <v>80111600</v>
      </c>
      <c r="C549" s="326" t="str">
        <f>VLOOKUP(PAA[[#This Row],[PROYECTO (formulado)2]],PROYECTOS!$G$1:$L$32,6,0)</f>
        <v>SUBGERENCIA DE ALTOS LOGROS Y DEPORTE ASOCIADO</v>
      </c>
      <c r="D549" s="326" t="str">
        <f>+IF(PAA[[#This Row],[UNIDAD DE CONTRATACION (formulado)]]="Subgerencia Administrativa y Financiera","FUNCIONAMIENTO","INVERSIÓN")</f>
        <v>INVERSIÓN</v>
      </c>
      <c r="E549" s="327" t="str">
        <f>VLOOKUP(Q549,PROYECTOS!$G$1:$K$32,5,0)</f>
        <v>Apoyo técnico a atletas y para-atletas que representan en alto rendimiento deportivo al departamento de Antioquia</v>
      </c>
      <c r="F549" s="327">
        <f>VLOOKUP(E549,PROYECTOS!$K$1:$M$32,3,0)</f>
        <v>2024003050084</v>
      </c>
      <c r="G549" s="328" t="s">
        <v>450</v>
      </c>
      <c r="H549" s="328" t="str">
        <f>VLOOKUP(Q549,PROYECTOS!$V$1:$W$32,2,0)</f>
        <v>050079</v>
      </c>
      <c r="I549" s="329">
        <v>57820006</v>
      </c>
      <c r="J549" s="330" t="s">
        <v>473</v>
      </c>
      <c r="K549" s="326" t="str">
        <f t="shared" ca="1" si="71"/>
        <v>CONTRATADO</v>
      </c>
      <c r="L549" s="326" t="s">
        <v>112</v>
      </c>
      <c r="M549" s="326" t="s">
        <v>113</v>
      </c>
      <c r="N549" s="331" t="s">
        <v>634</v>
      </c>
      <c r="O549" s="330">
        <f>VLOOKUP(N549,RUBROS[#All],3,0)</f>
        <v>61</v>
      </c>
      <c r="P549" s="332" t="str">
        <f>VLOOKUP(N549,RUBROS[#All],2,0)</f>
        <v>Apoyo técnico a atletas y para-atletas que representan en alto rendimiento deportivo al departamento de Antioquia. - Servicios para la comunidad, sociales y personales</v>
      </c>
      <c r="Q549" s="326" t="str">
        <f t="shared" si="72"/>
        <v>84</v>
      </c>
      <c r="R549" s="326" t="str">
        <f t="shared" si="73"/>
        <v>0-205128</v>
      </c>
      <c r="S549" s="333">
        <v>278</v>
      </c>
      <c r="T549" s="337" t="s">
        <v>220</v>
      </c>
      <c r="U549" s="335" t="e">
        <f ca="1">_xlfn.XLOOKUP(PAA[[#This Row],[ITEM]],Contrato!A:A,Contrato!Q:Q,"",0)</f>
        <v>#NAME?</v>
      </c>
      <c r="V549" s="326" t="s">
        <v>47</v>
      </c>
      <c r="W549" s="326" t="s">
        <v>154</v>
      </c>
      <c r="X549" s="326" t="s">
        <v>127</v>
      </c>
      <c r="Y549" s="336" t="e">
        <f ca="1">_xlfn.XLOOKUP(PAA[[#This Row],[ITEM]],Contrato!A:A,Contrato!B:B,"",0)</f>
        <v>#NAME?</v>
      </c>
      <c r="Z549" s="326" t="e">
        <f ca="1">_xlfn.XLOOKUP(PAA[[#This Row],[ITEM]],Contrato!A:A,Contrato!G:G,"",0)</f>
        <v>#NAME?</v>
      </c>
      <c r="AA549" s="326" t="e">
        <f ca="1">_xlfn.XLOOKUP(PAA[[#This Row],[ITEM]],Contrato!A:A,Contrato!T:T,"",0)</f>
        <v>#NAME?</v>
      </c>
      <c r="AB549" s="336" t="e">
        <f ca="1">+MAX(PAA[[#This Row],[Comprometido Contrato]],)</f>
        <v>#NAME?</v>
      </c>
      <c r="AC549" s="336" t="str">
        <f t="shared" ca="1" si="77"/>
        <v/>
      </c>
      <c r="AD549" s="336" t="e">
        <f ca="1">+MAX(PAA[[#This Row],[Pago por Contrato]],)</f>
        <v>#NAME?</v>
      </c>
      <c r="AE549" s="336" t="str">
        <f t="shared" ca="1" si="74"/>
        <v/>
      </c>
      <c r="AF549" s="326" t="e">
        <f t="shared" ca="1" si="75"/>
        <v>#NAME?</v>
      </c>
      <c r="AG549" s="326">
        <f t="shared" si="76"/>
        <v>52010802</v>
      </c>
      <c r="AH549" s="326" t="e" cm="1">
        <f t="array" aca="1" ref="AH549" ca="1">_xlfn.XLOOKUP(PAA[[#This Row],[RCP-RUBRO]],COMPROMISOS_2025[[#All],[concatenado]],COMPROMISOS_2025[[#All],[Total pagado]],"",0)</f>
        <v>#NAME?</v>
      </c>
      <c r="AI549" s="326" t="e" cm="1">
        <f t="array" aca="1" ref="AI549" ca="1">_xlfn.XLOOKUP(PAA[[#This Row],[RCP-RUBRO]],COMPROMISOS_2025[[#All],[concatenado]],COMPROMISOS_2025[[#All],[Total Comprometido]],"",0)</f>
        <v>#NAME?</v>
      </c>
    </row>
    <row r="550" spans="1:35" s="50" customFormat="1" ht="42" hidden="1" customHeight="1" x14ac:dyDescent="0.25">
      <c r="A550" s="326">
        <v>450</v>
      </c>
      <c r="B550" s="325">
        <v>80111600</v>
      </c>
      <c r="C550" s="326" t="str">
        <f>VLOOKUP(PAA[[#This Row],[PROYECTO (formulado)2]],PROYECTOS!$G$1:$L$32,6,0)</f>
        <v>SUBGERENCIA DE ALTOS LOGROS Y DEPORTE ASOCIADO</v>
      </c>
      <c r="D550" s="326" t="str">
        <f>+IF(PAA[[#This Row],[UNIDAD DE CONTRATACION (formulado)]]="Subgerencia Administrativa y Financiera","FUNCIONAMIENTO","INVERSIÓN")</f>
        <v>INVERSIÓN</v>
      </c>
      <c r="E550" s="327" t="str">
        <f>VLOOKUP(Q550,PROYECTOS!$G$1:$K$32,5,0)</f>
        <v>Apoyo técnico a atletas y para-atletas que representan en alto rendimiento deportivo al departamento de Antioquia</v>
      </c>
      <c r="F550" s="327">
        <f>VLOOKUP(E550,PROYECTOS!$K$1:$M$32,3,0)</f>
        <v>2024003050084</v>
      </c>
      <c r="G550" s="328" t="s">
        <v>450</v>
      </c>
      <c r="H550" s="328" t="str">
        <f>VLOOKUP(Q550,PROYECTOS!$V$1:$W$32,2,0)</f>
        <v>050079</v>
      </c>
      <c r="I550" s="329">
        <v>47854929</v>
      </c>
      <c r="J550" s="330" t="s">
        <v>648</v>
      </c>
      <c r="K550" s="326" t="str">
        <f t="shared" ca="1" si="71"/>
        <v>CONTRATADO</v>
      </c>
      <c r="L550" s="326" t="s">
        <v>112</v>
      </c>
      <c r="M550" s="326" t="s">
        <v>113</v>
      </c>
      <c r="N550" s="331" t="s">
        <v>634</v>
      </c>
      <c r="O550" s="330">
        <f>VLOOKUP(N550,RUBROS[#All],3,0)</f>
        <v>61</v>
      </c>
      <c r="P550" s="332" t="str">
        <f>VLOOKUP(N550,RUBROS[#All],2,0)</f>
        <v>Apoyo técnico a atletas y para-atletas que representan en alto rendimiento deportivo al departamento de Antioquia. - Servicios para la comunidad, sociales y personales</v>
      </c>
      <c r="Q550" s="326" t="str">
        <f t="shared" si="72"/>
        <v>84</v>
      </c>
      <c r="R550" s="326" t="str">
        <f t="shared" si="73"/>
        <v>0-205128</v>
      </c>
      <c r="S550" s="333">
        <v>278</v>
      </c>
      <c r="T550" s="337" t="s">
        <v>220</v>
      </c>
      <c r="U550" s="335" t="e">
        <f ca="1">_xlfn.XLOOKUP(PAA[[#This Row],[ITEM]],Contrato!A:A,Contrato!Q:Q,"",0)</f>
        <v>#NAME?</v>
      </c>
      <c r="V550" s="326" t="s">
        <v>47</v>
      </c>
      <c r="W550" s="326" t="s">
        <v>154</v>
      </c>
      <c r="X550" s="326" t="s">
        <v>127</v>
      </c>
      <c r="Y550" s="336" t="e">
        <f ca="1">_xlfn.XLOOKUP(PAA[[#This Row],[ITEM]],Contrato!A:A,Contrato!B:B,"",0)</f>
        <v>#NAME?</v>
      </c>
      <c r="Z550" s="326" t="e">
        <f ca="1">_xlfn.XLOOKUP(PAA[[#This Row],[ITEM]],Contrato!A:A,Contrato!G:G,"",0)</f>
        <v>#NAME?</v>
      </c>
      <c r="AA550" s="326" t="e">
        <f ca="1">_xlfn.XLOOKUP(PAA[[#This Row],[ITEM]],Contrato!A:A,Contrato!T:T,"",0)</f>
        <v>#NAME?</v>
      </c>
      <c r="AB550" s="336" t="e">
        <f ca="1">+MAX(PAA[[#This Row],[Comprometido Contrato]],)</f>
        <v>#NAME?</v>
      </c>
      <c r="AC550" s="336" t="str">
        <f t="shared" ca="1" si="77"/>
        <v/>
      </c>
      <c r="AD550" s="336" t="e">
        <f ca="1">+MAX(PAA[[#This Row],[Pago por Contrato]],)</f>
        <v>#NAME?</v>
      </c>
      <c r="AE550" s="336" t="str">
        <f t="shared" ca="1" si="74"/>
        <v/>
      </c>
      <c r="AF550" s="326" t="e">
        <f t="shared" ca="1" si="75"/>
        <v>#NAME?</v>
      </c>
      <c r="AG550" s="326">
        <f t="shared" si="76"/>
        <v>52010802</v>
      </c>
      <c r="AH550" s="326" t="e" cm="1">
        <f t="array" aca="1" ref="AH550" ca="1">_xlfn.XLOOKUP(PAA[[#This Row],[RCP-RUBRO]],COMPROMISOS_2025[[#All],[concatenado]],COMPROMISOS_2025[[#All],[Total pagado]],"",0)</f>
        <v>#NAME?</v>
      </c>
      <c r="AI550" s="326" t="e" cm="1">
        <f t="array" aca="1" ref="AI550" ca="1">_xlfn.XLOOKUP(PAA[[#This Row],[RCP-RUBRO]],COMPROMISOS_2025[[#All],[concatenado]],COMPROMISOS_2025[[#All],[Total Comprometido]],"",0)</f>
        <v>#NAME?</v>
      </c>
    </row>
    <row r="551" spans="1:35" s="50" customFormat="1" ht="42" hidden="1" customHeight="1" x14ac:dyDescent="0.25">
      <c r="A551" s="326">
        <v>451</v>
      </c>
      <c r="B551" s="325">
        <v>80111600</v>
      </c>
      <c r="C551" s="326" t="str">
        <f>VLOOKUP(PAA[[#This Row],[PROYECTO (formulado)2]],PROYECTOS!$G$1:$L$32,6,0)</f>
        <v>SUBGERENCIA DE ALTOS LOGROS Y DEPORTE ASOCIADO</v>
      </c>
      <c r="D551" s="326" t="str">
        <f>+IF(PAA[[#This Row],[UNIDAD DE CONTRATACION (formulado)]]="Subgerencia Administrativa y Financiera","FUNCIONAMIENTO","INVERSIÓN")</f>
        <v>INVERSIÓN</v>
      </c>
      <c r="E551" s="327" t="str">
        <f>VLOOKUP(Q551,PROYECTOS!$G$1:$K$32,5,0)</f>
        <v>Apoyo técnico a atletas y para-atletas que representan en alto rendimiento deportivo al departamento de Antioquia</v>
      </c>
      <c r="F551" s="327">
        <f>VLOOKUP(E551,PROYECTOS!$K$1:$M$32,3,0)</f>
        <v>2024003050084</v>
      </c>
      <c r="G551" s="328" t="s">
        <v>450</v>
      </c>
      <c r="H551" s="328" t="str">
        <f>VLOOKUP(Q551,PROYECTOS!$V$1:$W$32,2,0)</f>
        <v>050079</v>
      </c>
      <c r="I551" s="329">
        <v>38529929</v>
      </c>
      <c r="J551" s="330" t="s">
        <v>649</v>
      </c>
      <c r="K551" s="326" t="str">
        <f t="shared" ca="1" si="71"/>
        <v>CONTRATADO</v>
      </c>
      <c r="L551" s="326" t="s">
        <v>112</v>
      </c>
      <c r="M551" s="326" t="s">
        <v>113</v>
      </c>
      <c r="N551" s="331" t="s">
        <v>634</v>
      </c>
      <c r="O551" s="330">
        <f>VLOOKUP(N551,RUBROS[#All],3,0)</f>
        <v>61</v>
      </c>
      <c r="P551" s="332" t="str">
        <f>VLOOKUP(N551,RUBROS[#All],2,0)</f>
        <v>Apoyo técnico a atletas y para-atletas que representan en alto rendimiento deportivo al departamento de Antioquia. - Servicios para la comunidad, sociales y personales</v>
      </c>
      <c r="Q551" s="326" t="str">
        <f t="shared" si="72"/>
        <v>84</v>
      </c>
      <c r="R551" s="326" t="str">
        <f t="shared" si="73"/>
        <v>0-205128</v>
      </c>
      <c r="S551" s="333">
        <v>278</v>
      </c>
      <c r="T551" s="337" t="s">
        <v>220</v>
      </c>
      <c r="U551" s="335" t="e">
        <f ca="1">_xlfn.XLOOKUP(PAA[[#This Row],[ITEM]],Contrato!A:A,Contrato!Q:Q,"",0)</f>
        <v>#NAME?</v>
      </c>
      <c r="V551" s="326" t="s">
        <v>47</v>
      </c>
      <c r="W551" s="326" t="s">
        <v>154</v>
      </c>
      <c r="X551" s="326" t="s">
        <v>127</v>
      </c>
      <c r="Y551" s="336" t="e">
        <f ca="1">_xlfn.XLOOKUP(PAA[[#This Row],[ITEM]],Contrato!A:A,Contrato!B:B,"",0)</f>
        <v>#NAME?</v>
      </c>
      <c r="Z551" s="326" t="e">
        <f ca="1">_xlfn.XLOOKUP(PAA[[#This Row],[ITEM]],Contrato!A:A,Contrato!G:G,"",0)</f>
        <v>#NAME?</v>
      </c>
      <c r="AA551" s="326" t="e">
        <f ca="1">_xlfn.XLOOKUP(PAA[[#This Row],[ITEM]],Contrato!A:A,Contrato!T:T,"",0)</f>
        <v>#NAME?</v>
      </c>
      <c r="AB551" s="336" t="e">
        <f ca="1">+MAX(PAA[[#This Row],[Comprometido Contrato]],)</f>
        <v>#NAME?</v>
      </c>
      <c r="AC551" s="336" t="str">
        <f t="shared" ca="1" si="77"/>
        <v/>
      </c>
      <c r="AD551" s="336" t="e">
        <f ca="1">+MAX(PAA[[#This Row],[Pago por Contrato]],)</f>
        <v>#NAME?</v>
      </c>
      <c r="AE551" s="336" t="str">
        <f t="shared" ca="1" si="74"/>
        <v/>
      </c>
      <c r="AF551" s="326" t="e">
        <f t="shared" ca="1" si="75"/>
        <v>#NAME?</v>
      </c>
      <c r="AG551" s="326">
        <f t="shared" si="76"/>
        <v>52010802</v>
      </c>
      <c r="AH551" s="326" t="e" cm="1">
        <f t="array" aca="1" ref="AH551" ca="1">_xlfn.XLOOKUP(PAA[[#This Row],[RCP-RUBRO]],COMPROMISOS_2025[[#All],[concatenado]],COMPROMISOS_2025[[#All],[Total pagado]],"",0)</f>
        <v>#NAME?</v>
      </c>
      <c r="AI551" s="326" t="e" cm="1">
        <f t="array" aca="1" ref="AI551" ca="1">_xlfn.XLOOKUP(PAA[[#This Row],[RCP-RUBRO]],COMPROMISOS_2025[[#All],[concatenado]],COMPROMISOS_2025[[#All],[Total Comprometido]],"",0)</f>
        <v>#NAME?</v>
      </c>
    </row>
    <row r="552" spans="1:35" s="50" customFormat="1" ht="42" hidden="1" customHeight="1" x14ac:dyDescent="0.25">
      <c r="A552" s="326">
        <v>452</v>
      </c>
      <c r="B552" s="325">
        <v>80111600</v>
      </c>
      <c r="C552" s="326" t="str">
        <f>VLOOKUP(PAA[[#This Row],[PROYECTO (formulado)2]],PROYECTOS!$G$1:$L$32,6,0)</f>
        <v>SUBGERENCIA DE ALTOS LOGROS Y DEPORTE ASOCIADO</v>
      </c>
      <c r="D552" s="326" t="str">
        <f>+IF(PAA[[#This Row],[UNIDAD DE CONTRATACION (formulado)]]="Subgerencia Administrativa y Financiera","FUNCIONAMIENTO","INVERSIÓN")</f>
        <v>INVERSIÓN</v>
      </c>
      <c r="E552" s="327" t="str">
        <f>VLOOKUP(Q552,PROYECTOS!$G$1:$K$32,5,0)</f>
        <v>Apoyo técnico a atletas y para-atletas que representan en alto rendimiento deportivo al departamento de Antioquia</v>
      </c>
      <c r="F552" s="327">
        <f>VLOOKUP(E552,PROYECTOS!$K$1:$M$32,3,0)</f>
        <v>2024003050084</v>
      </c>
      <c r="G552" s="328" t="s">
        <v>450</v>
      </c>
      <c r="H552" s="328" t="str">
        <f>VLOOKUP(Q552,PROYECTOS!$V$1:$W$32,2,0)</f>
        <v>050079</v>
      </c>
      <c r="I552" s="329">
        <v>47854929</v>
      </c>
      <c r="J552" s="330" t="s">
        <v>650</v>
      </c>
      <c r="K552" s="326" t="str">
        <f t="shared" ca="1" si="71"/>
        <v>CONTRATADO</v>
      </c>
      <c r="L552" s="326" t="s">
        <v>112</v>
      </c>
      <c r="M552" s="326" t="s">
        <v>113</v>
      </c>
      <c r="N552" s="331" t="s">
        <v>634</v>
      </c>
      <c r="O552" s="330">
        <f>VLOOKUP(N552,RUBROS[#All],3,0)</f>
        <v>61</v>
      </c>
      <c r="P552" s="332" t="str">
        <f>VLOOKUP(N552,RUBROS[#All],2,0)</f>
        <v>Apoyo técnico a atletas y para-atletas que representan en alto rendimiento deportivo al departamento de Antioquia. - Servicios para la comunidad, sociales y personales</v>
      </c>
      <c r="Q552" s="326" t="str">
        <f t="shared" si="72"/>
        <v>84</v>
      </c>
      <c r="R552" s="326" t="str">
        <f t="shared" si="73"/>
        <v>0-205128</v>
      </c>
      <c r="S552" s="333">
        <v>278</v>
      </c>
      <c r="T552" s="337" t="s">
        <v>220</v>
      </c>
      <c r="U552" s="335" t="e">
        <f ca="1">_xlfn.XLOOKUP(PAA[[#This Row],[ITEM]],Contrato!A:A,Contrato!Q:Q,"",0)</f>
        <v>#NAME?</v>
      </c>
      <c r="V552" s="326" t="s">
        <v>47</v>
      </c>
      <c r="W552" s="326" t="s">
        <v>154</v>
      </c>
      <c r="X552" s="326" t="s">
        <v>127</v>
      </c>
      <c r="Y552" s="336" t="e">
        <f ca="1">_xlfn.XLOOKUP(PAA[[#This Row],[ITEM]],Contrato!A:A,Contrato!B:B,"",0)</f>
        <v>#NAME?</v>
      </c>
      <c r="Z552" s="326" t="e">
        <f ca="1">_xlfn.XLOOKUP(PAA[[#This Row],[ITEM]],Contrato!A:A,Contrato!G:G,"",0)</f>
        <v>#NAME?</v>
      </c>
      <c r="AA552" s="326" t="e">
        <f ca="1">_xlfn.XLOOKUP(PAA[[#This Row],[ITEM]],Contrato!A:A,Contrato!T:T,"",0)</f>
        <v>#NAME?</v>
      </c>
      <c r="AB552" s="336" t="e">
        <f ca="1">+MAX(PAA[[#This Row],[Comprometido Contrato]],)</f>
        <v>#NAME?</v>
      </c>
      <c r="AC552" s="336" t="str">
        <f t="shared" ca="1" si="77"/>
        <v/>
      </c>
      <c r="AD552" s="336" t="e">
        <f ca="1">+MAX(PAA[[#This Row],[Pago por Contrato]],)</f>
        <v>#NAME?</v>
      </c>
      <c r="AE552" s="336" t="str">
        <f t="shared" ca="1" si="74"/>
        <v/>
      </c>
      <c r="AF552" s="326" t="e">
        <f t="shared" ca="1" si="75"/>
        <v>#NAME?</v>
      </c>
      <c r="AG552" s="326">
        <f t="shared" si="76"/>
        <v>52010802</v>
      </c>
      <c r="AH552" s="326" t="e" cm="1">
        <f t="array" aca="1" ref="AH552" ca="1">_xlfn.XLOOKUP(PAA[[#This Row],[RCP-RUBRO]],COMPROMISOS_2025[[#All],[concatenado]],COMPROMISOS_2025[[#All],[Total pagado]],"",0)</f>
        <v>#NAME?</v>
      </c>
      <c r="AI552" s="326" t="e" cm="1">
        <f t="array" aca="1" ref="AI552" ca="1">_xlfn.XLOOKUP(PAA[[#This Row],[RCP-RUBRO]],COMPROMISOS_2025[[#All],[concatenado]],COMPROMISOS_2025[[#All],[Total Comprometido]],"",0)</f>
        <v>#NAME?</v>
      </c>
    </row>
    <row r="553" spans="1:35" s="50" customFormat="1" ht="42" hidden="1" customHeight="1" x14ac:dyDescent="0.25">
      <c r="A553" s="326">
        <v>453</v>
      </c>
      <c r="B553" s="325">
        <v>80111600</v>
      </c>
      <c r="C553" s="326" t="str">
        <f>VLOOKUP(PAA[[#This Row],[PROYECTO (formulado)2]],PROYECTOS!$G$1:$L$32,6,0)</f>
        <v>SUBGERENCIA DE ALTOS LOGROS Y DEPORTE ASOCIADO</v>
      </c>
      <c r="D553" s="326" t="str">
        <f>+IF(PAA[[#This Row],[UNIDAD DE CONTRATACION (formulado)]]="Subgerencia Administrativa y Financiera","FUNCIONAMIENTO","INVERSIÓN")</f>
        <v>INVERSIÓN</v>
      </c>
      <c r="E553" s="327" t="str">
        <f>VLOOKUP(Q553,PROYECTOS!$G$1:$K$32,5,0)</f>
        <v>Apoyo técnico a atletas y para-atletas que representan en alto rendimiento deportivo al departamento de Antioquia</v>
      </c>
      <c r="F553" s="327">
        <f>VLOOKUP(E553,PROYECTOS!$K$1:$M$32,3,0)</f>
        <v>2024003050084</v>
      </c>
      <c r="G553" s="328" t="s">
        <v>450</v>
      </c>
      <c r="H553" s="328" t="str">
        <f>VLOOKUP(Q553,PROYECTOS!$V$1:$W$32,2,0)</f>
        <v>050079</v>
      </c>
      <c r="I553" s="329">
        <v>25100935</v>
      </c>
      <c r="J553" s="330" t="s">
        <v>651</v>
      </c>
      <c r="K553" s="326" t="str">
        <f t="shared" ca="1" si="71"/>
        <v>CONTRATADO</v>
      </c>
      <c r="L553" s="326" t="s">
        <v>112</v>
      </c>
      <c r="M553" s="326" t="s">
        <v>113</v>
      </c>
      <c r="N553" s="331" t="s">
        <v>634</v>
      </c>
      <c r="O553" s="330">
        <f>VLOOKUP(N553,RUBROS[#All],3,0)</f>
        <v>61</v>
      </c>
      <c r="P553" s="332" t="str">
        <f>VLOOKUP(N553,RUBROS[#All],2,0)</f>
        <v>Apoyo técnico a atletas y para-atletas que representan en alto rendimiento deportivo al departamento de Antioquia. - Servicios para la comunidad, sociales y personales</v>
      </c>
      <c r="Q553" s="326" t="str">
        <f t="shared" si="72"/>
        <v>84</v>
      </c>
      <c r="R553" s="326" t="str">
        <f t="shared" si="73"/>
        <v>0-205128</v>
      </c>
      <c r="S553" s="333">
        <v>278</v>
      </c>
      <c r="T553" s="337" t="s">
        <v>220</v>
      </c>
      <c r="U553" s="335" t="e">
        <f ca="1">_xlfn.XLOOKUP(PAA[[#This Row],[ITEM]],Contrato!A:A,Contrato!Q:Q,"",0)</f>
        <v>#NAME?</v>
      </c>
      <c r="V553" s="326" t="s">
        <v>47</v>
      </c>
      <c r="W553" s="326" t="s">
        <v>154</v>
      </c>
      <c r="X553" s="326" t="s">
        <v>127</v>
      </c>
      <c r="Y553" s="336" t="e">
        <f ca="1">_xlfn.XLOOKUP(PAA[[#This Row],[ITEM]],Contrato!A:A,Contrato!B:B,"",0)</f>
        <v>#NAME?</v>
      </c>
      <c r="Z553" s="326" t="e">
        <f ca="1">_xlfn.XLOOKUP(PAA[[#This Row],[ITEM]],Contrato!A:A,Contrato!G:G,"",0)</f>
        <v>#NAME?</v>
      </c>
      <c r="AA553" s="326" t="e">
        <f ca="1">_xlfn.XLOOKUP(PAA[[#This Row],[ITEM]],Contrato!A:A,Contrato!T:T,"",0)</f>
        <v>#NAME?</v>
      </c>
      <c r="AB553" s="336" t="e">
        <f ca="1">+MAX(PAA[[#This Row],[Comprometido Contrato]],)</f>
        <v>#NAME?</v>
      </c>
      <c r="AC553" s="336" t="str">
        <f t="shared" ca="1" si="77"/>
        <v/>
      </c>
      <c r="AD553" s="336" t="e">
        <f ca="1">+MAX(PAA[[#This Row],[Pago por Contrato]],)</f>
        <v>#NAME?</v>
      </c>
      <c r="AE553" s="336" t="str">
        <f t="shared" ca="1" si="74"/>
        <v/>
      </c>
      <c r="AF553" s="326" t="e">
        <f t="shared" ca="1" si="75"/>
        <v>#NAME?</v>
      </c>
      <c r="AG553" s="326">
        <f t="shared" si="76"/>
        <v>52010802</v>
      </c>
      <c r="AH553" s="326" t="e" cm="1">
        <f t="array" aca="1" ref="AH553" ca="1">_xlfn.XLOOKUP(PAA[[#This Row],[RCP-RUBRO]],COMPROMISOS_2025[[#All],[concatenado]],COMPROMISOS_2025[[#All],[Total pagado]],"",0)</f>
        <v>#NAME?</v>
      </c>
      <c r="AI553" s="326" t="e" cm="1">
        <f t="array" aca="1" ref="AI553" ca="1">_xlfn.XLOOKUP(PAA[[#This Row],[RCP-RUBRO]],COMPROMISOS_2025[[#All],[concatenado]],COMPROMISOS_2025[[#All],[Total Comprometido]],"",0)</f>
        <v>#NAME?</v>
      </c>
    </row>
    <row r="554" spans="1:35" s="50" customFormat="1" ht="42" hidden="1" customHeight="1" x14ac:dyDescent="0.25">
      <c r="A554" s="326">
        <v>454</v>
      </c>
      <c r="B554" s="325">
        <v>80111600</v>
      </c>
      <c r="C554" s="326" t="str">
        <f>VLOOKUP(PAA[[#This Row],[PROYECTO (formulado)2]],PROYECTOS!$G$1:$L$32,6,0)</f>
        <v>SUBGERENCIA DE ALTOS LOGROS Y DEPORTE ASOCIADO</v>
      </c>
      <c r="D554" s="326" t="str">
        <f>+IF(PAA[[#This Row],[UNIDAD DE CONTRATACION (formulado)]]="Subgerencia Administrativa y Financiera","FUNCIONAMIENTO","INVERSIÓN")</f>
        <v>INVERSIÓN</v>
      </c>
      <c r="E554" s="327" t="str">
        <f>VLOOKUP(Q554,PROYECTOS!$G$1:$K$32,5,0)</f>
        <v>Apoyo técnico a atletas y para-atletas que representan en alto rendimiento deportivo al departamento de Antioquia</v>
      </c>
      <c r="F554" s="327">
        <f>VLOOKUP(E554,PROYECTOS!$K$1:$M$32,3,0)</f>
        <v>2024003050084</v>
      </c>
      <c r="G554" s="328" t="s">
        <v>450</v>
      </c>
      <c r="H554" s="328" t="str">
        <f>VLOOKUP(Q554,PROYECTOS!$V$1:$W$32,2,0)</f>
        <v>050079</v>
      </c>
      <c r="I554" s="329">
        <v>57820006</v>
      </c>
      <c r="J554" s="330" t="s">
        <v>652</v>
      </c>
      <c r="K554" s="326" t="str">
        <f t="shared" ca="1" si="71"/>
        <v>CONTRATADO</v>
      </c>
      <c r="L554" s="326" t="s">
        <v>112</v>
      </c>
      <c r="M554" s="326" t="s">
        <v>113</v>
      </c>
      <c r="N554" s="331" t="s">
        <v>634</v>
      </c>
      <c r="O554" s="330">
        <f>VLOOKUP(N554,RUBROS[#All],3,0)</f>
        <v>61</v>
      </c>
      <c r="P554" s="332" t="str">
        <f>VLOOKUP(N554,RUBROS[#All],2,0)</f>
        <v>Apoyo técnico a atletas y para-atletas que representan en alto rendimiento deportivo al departamento de Antioquia. - Servicios para la comunidad, sociales y personales</v>
      </c>
      <c r="Q554" s="326" t="str">
        <f t="shared" si="72"/>
        <v>84</v>
      </c>
      <c r="R554" s="326" t="str">
        <f t="shared" si="73"/>
        <v>0-205128</v>
      </c>
      <c r="S554" s="333">
        <v>278</v>
      </c>
      <c r="T554" s="337" t="s">
        <v>220</v>
      </c>
      <c r="U554" s="335" t="e">
        <f ca="1">_xlfn.XLOOKUP(PAA[[#This Row],[ITEM]],Contrato!A:A,Contrato!Q:Q,"",0)</f>
        <v>#NAME?</v>
      </c>
      <c r="V554" s="326" t="s">
        <v>47</v>
      </c>
      <c r="W554" s="326" t="s">
        <v>154</v>
      </c>
      <c r="X554" s="326" t="s">
        <v>127</v>
      </c>
      <c r="Y554" s="336" t="e">
        <f ca="1">_xlfn.XLOOKUP(PAA[[#This Row],[ITEM]],Contrato!A:A,Contrato!B:B,"",0)</f>
        <v>#NAME?</v>
      </c>
      <c r="Z554" s="326" t="e">
        <f ca="1">_xlfn.XLOOKUP(PAA[[#This Row],[ITEM]],Contrato!A:A,Contrato!G:G,"",0)</f>
        <v>#NAME?</v>
      </c>
      <c r="AA554" s="326" t="e">
        <f ca="1">_xlfn.XLOOKUP(PAA[[#This Row],[ITEM]],Contrato!A:A,Contrato!T:T,"",0)</f>
        <v>#NAME?</v>
      </c>
      <c r="AB554" s="336" t="e">
        <f ca="1">+MAX(PAA[[#This Row],[Comprometido Contrato]],)</f>
        <v>#NAME?</v>
      </c>
      <c r="AC554" s="336" t="str">
        <f t="shared" ca="1" si="77"/>
        <v/>
      </c>
      <c r="AD554" s="336" t="e">
        <f ca="1">+MAX(PAA[[#This Row],[Pago por Contrato]],)</f>
        <v>#NAME?</v>
      </c>
      <c r="AE554" s="336" t="str">
        <f t="shared" ca="1" si="74"/>
        <v/>
      </c>
      <c r="AF554" s="326" t="e">
        <f t="shared" ca="1" si="75"/>
        <v>#NAME?</v>
      </c>
      <c r="AG554" s="326">
        <f t="shared" si="76"/>
        <v>52010802</v>
      </c>
      <c r="AH554" s="326" t="e" cm="1">
        <f t="array" aca="1" ref="AH554" ca="1">_xlfn.XLOOKUP(PAA[[#This Row],[RCP-RUBRO]],COMPROMISOS_2025[[#All],[concatenado]],COMPROMISOS_2025[[#All],[Total pagado]],"",0)</f>
        <v>#NAME?</v>
      </c>
      <c r="AI554" s="326" t="e" cm="1">
        <f t="array" aca="1" ref="AI554" ca="1">_xlfn.XLOOKUP(PAA[[#This Row],[RCP-RUBRO]],COMPROMISOS_2025[[#All],[concatenado]],COMPROMISOS_2025[[#All],[Total Comprometido]],"",0)</f>
        <v>#NAME?</v>
      </c>
    </row>
    <row r="555" spans="1:35" s="50" customFormat="1" ht="42" hidden="1" customHeight="1" x14ac:dyDescent="0.25">
      <c r="A555" s="326">
        <v>455</v>
      </c>
      <c r="B555" s="325">
        <v>80111600</v>
      </c>
      <c r="C555" s="326" t="str">
        <f>VLOOKUP(PAA[[#This Row],[PROYECTO (formulado)2]],PROYECTOS!$G$1:$L$32,6,0)</f>
        <v>SUBGERENCIA DE ALTOS LOGROS Y DEPORTE ASOCIADO</v>
      </c>
      <c r="D555" s="326" t="str">
        <f>+IF(PAA[[#This Row],[UNIDAD DE CONTRATACION (formulado)]]="Subgerencia Administrativa y Financiera","FUNCIONAMIENTO","INVERSIÓN")</f>
        <v>INVERSIÓN</v>
      </c>
      <c r="E555" s="327" t="str">
        <f>VLOOKUP(Q555,PROYECTOS!$G$1:$K$32,5,0)</f>
        <v>Apoyo técnico a atletas y para-atletas que representan en alto rendimiento deportivo al departamento de Antioquia</v>
      </c>
      <c r="F555" s="327">
        <f>VLOOKUP(E555,PROYECTOS!$K$1:$M$32,3,0)</f>
        <v>2024003050084</v>
      </c>
      <c r="G555" s="328" t="s">
        <v>450</v>
      </c>
      <c r="H555" s="328" t="str">
        <f>VLOOKUP(Q555,PROYECTOS!$V$1:$W$32,2,0)</f>
        <v>050079</v>
      </c>
      <c r="I555" s="329">
        <v>47854929</v>
      </c>
      <c r="J555" s="330" t="s">
        <v>653</v>
      </c>
      <c r="K555" s="326" t="str">
        <f t="shared" ca="1" si="71"/>
        <v>CONTRATADO</v>
      </c>
      <c r="L555" s="326" t="s">
        <v>112</v>
      </c>
      <c r="M555" s="326" t="s">
        <v>113</v>
      </c>
      <c r="N555" s="331" t="s">
        <v>634</v>
      </c>
      <c r="O555" s="330">
        <f>VLOOKUP(N555,RUBROS[#All],3,0)</f>
        <v>61</v>
      </c>
      <c r="P555" s="332" t="str">
        <f>VLOOKUP(N555,RUBROS[#All],2,0)</f>
        <v>Apoyo técnico a atletas y para-atletas que representan en alto rendimiento deportivo al departamento de Antioquia. - Servicios para la comunidad, sociales y personales</v>
      </c>
      <c r="Q555" s="326" t="str">
        <f t="shared" si="72"/>
        <v>84</v>
      </c>
      <c r="R555" s="326" t="str">
        <f t="shared" si="73"/>
        <v>0-205128</v>
      </c>
      <c r="S555" s="333">
        <v>278</v>
      </c>
      <c r="T555" s="337" t="s">
        <v>220</v>
      </c>
      <c r="U555" s="335" t="e">
        <f ca="1">_xlfn.XLOOKUP(PAA[[#This Row],[ITEM]],Contrato!A:A,Contrato!Q:Q,"",0)</f>
        <v>#NAME?</v>
      </c>
      <c r="V555" s="326" t="s">
        <v>47</v>
      </c>
      <c r="W555" s="326" t="s">
        <v>154</v>
      </c>
      <c r="X555" s="326" t="s">
        <v>127</v>
      </c>
      <c r="Y555" s="336" t="e">
        <f ca="1">_xlfn.XLOOKUP(PAA[[#This Row],[ITEM]],Contrato!A:A,Contrato!B:B,"",0)</f>
        <v>#NAME?</v>
      </c>
      <c r="Z555" s="326" t="e">
        <f ca="1">_xlfn.XLOOKUP(PAA[[#This Row],[ITEM]],Contrato!A:A,Contrato!G:G,"",0)</f>
        <v>#NAME?</v>
      </c>
      <c r="AA555" s="326" t="e">
        <f ca="1">_xlfn.XLOOKUP(PAA[[#This Row],[ITEM]],Contrato!A:A,Contrato!T:T,"",0)</f>
        <v>#NAME?</v>
      </c>
      <c r="AB555" s="336" t="e">
        <f ca="1">+MAX(PAA[[#This Row],[Comprometido Contrato]],)</f>
        <v>#NAME?</v>
      </c>
      <c r="AC555" s="336" t="str">
        <f t="shared" ca="1" si="77"/>
        <v/>
      </c>
      <c r="AD555" s="336" t="e">
        <f ca="1">+MAX(PAA[[#This Row],[Pago por Contrato]],)</f>
        <v>#NAME?</v>
      </c>
      <c r="AE555" s="336" t="str">
        <f t="shared" ca="1" si="74"/>
        <v/>
      </c>
      <c r="AF555" s="326" t="e">
        <f t="shared" ca="1" si="75"/>
        <v>#NAME?</v>
      </c>
      <c r="AG555" s="326">
        <f t="shared" si="76"/>
        <v>52010802</v>
      </c>
      <c r="AH555" s="326" t="e" cm="1">
        <f t="array" aca="1" ref="AH555" ca="1">_xlfn.XLOOKUP(PAA[[#This Row],[RCP-RUBRO]],COMPROMISOS_2025[[#All],[concatenado]],COMPROMISOS_2025[[#All],[Total pagado]],"",0)</f>
        <v>#NAME?</v>
      </c>
      <c r="AI555" s="326" t="e" cm="1">
        <f t="array" aca="1" ref="AI555" ca="1">_xlfn.XLOOKUP(PAA[[#This Row],[RCP-RUBRO]],COMPROMISOS_2025[[#All],[concatenado]],COMPROMISOS_2025[[#All],[Total Comprometido]],"",0)</f>
        <v>#NAME?</v>
      </c>
    </row>
    <row r="556" spans="1:35" s="50" customFormat="1" ht="42" hidden="1" customHeight="1" x14ac:dyDescent="0.25">
      <c r="A556" s="326">
        <v>456</v>
      </c>
      <c r="B556" s="325">
        <v>80111600</v>
      </c>
      <c r="C556" s="326" t="str">
        <f>VLOOKUP(PAA[[#This Row],[PROYECTO (formulado)2]],PROYECTOS!$G$1:$L$32,6,0)</f>
        <v>SUBGERENCIA DE ALTOS LOGROS Y DEPORTE ASOCIADO</v>
      </c>
      <c r="D556" s="326" t="str">
        <f>+IF(PAA[[#This Row],[UNIDAD DE CONTRATACION (formulado)]]="Subgerencia Administrativa y Financiera","FUNCIONAMIENTO","INVERSIÓN")</f>
        <v>INVERSIÓN</v>
      </c>
      <c r="E556" s="327" t="str">
        <f>VLOOKUP(Q556,PROYECTOS!$G$1:$K$32,5,0)</f>
        <v>Apoyo técnico a atletas y para-atletas que representan en alto rendimiento deportivo al departamento de Antioquia</v>
      </c>
      <c r="F556" s="327">
        <f>VLOOKUP(E556,PROYECTOS!$K$1:$M$32,3,0)</f>
        <v>2024003050084</v>
      </c>
      <c r="G556" s="328" t="s">
        <v>450</v>
      </c>
      <c r="H556" s="328" t="str">
        <f>VLOOKUP(Q556,PROYECTOS!$V$1:$W$32,2,0)</f>
        <v>050079</v>
      </c>
      <c r="I556" s="329">
        <v>38529929</v>
      </c>
      <c r="J556" s="330" t="s">
        <v>654</v>
      </c>
      <c r="K556" s="326" t="str">
        <f t="shared" ca="1" si="71"/>
        <v>CONTRATADO</v>
      </c>
      <c r="L556" s="326" t="s">
        <v>112</v>
      </c>
      <c r="M556" s="326" t="s">
        <v>113</v>
      </c>
      <c r="N556" s="331" t="s">
        <v>634</v>
      </c>
      <c r="O556" s="330">
        <f>VLOOKUP(N556,RUBROS[#All],3,0)</f>
        <v>61</v>
      </c>
      <c r="P556" s="332" t="str">
        <f>VLOOKUP(N556,RUBROS[#All],2,0)</f>
        <v>Apoyo técnico a atletas y para-atletas que representan en alto rendimiento deportivo al departamento de Antioquia. - Servicios para la comunidad, sociales y personales</v>
      </c>
      <c r="Q556" s="326" t="str">
        <f t="shared" si="72"/>
        <v>84</v>
      </c>
      <c r="R556" s="326" t="str">
        <f t="shared" si="73"/>
        <v>0-205128</v>
      </c>
      <c r="S556" s="333">
        <v>278</v>
      </c>
      <c r="T556" s="337" t="s">
        <v>220</v>
      </c>
      <c r="U556" s="335" t="e">
        <f ca="1">_xlfn.XLOOKUP(PAA[[#This Row],[ITEM]],Contrato!A:A,Contrato!Q:Q,"",0)</f>
        <v>#NAME?</v>
      </c>
      <c r="V556" s="326" t="s">
        <v>47</v>
      </c>
      <c r="W556" s="326" t="s">
        <v>154</v>
      </c>
      <c r="X556" s="326" t="s">
        <v>127</v>
      </c>
      <c r="Y556" s="336" t="e">
        <f ca="1">_xlfn.XLOOKUP(PAA[[#This Row],[ITEM]],Contrato!A:A,Contrato!B:B,"",0)</f>
        <v>#NAME?</v>
      </c>
      <c r="Z556" s="326" t="e">
        <f ca="1">_xlfn.XLOOKUP(PAA[[#This Row],[ITEM]],Contrato!A:A,Contrato!G:G,"",0)</f>
        <v>#NAME?</v>
      </c>
      <c r="AA556" s="326" t="e">
        <f ca="1">_xlfn.XLOOKUP(PAA[[#This Row],[ITEM]],Contrato!A:A,Contrato!T:T,"",0)</f>
        <v>#NAME?</v>
      </c>
      <c r="AB556" s="336" t="e">
        <f ca="1">+MAX(PAA[[#This Row],[Comprometido Contrato]],)</f>
        <v>#NAME?</v>
      </c>
      <c r="AC556" s="336" t="str">
        <f t="shared" ca="1" si="77"/>
        <v/>
      </c>
      <c r="AD556" s="336" t="e">
        <f ca="1">+MAX(PAA[[#This Row],[Pago por Contrato]],)</f>
        <v>#NAME?</v>
      </c>
      <c r="AE556" s="336" t="str">
        <f t="shared" ca="1" si="74"/>
        <v/>
      </c>
      <c r="AF556" s="326" t="e">
        <f t="shared" ca="1" si="75"/>
        <v>#NAME?</v>
      </c>
      <c r="AG556" s="326">
        <f t="shared" si="76"/>
        <v>52010802</v>
      </c>
      <c r="AH556" s="326" t="e" cm="1">
        <f t="array" aca="1" ref="AH556" ca="1">_xlfn.XLOOKUP(PAA[[#This Row],[RCP-RUBRO]],COMPROMISOS_2025[[#All],[concatenado]],COMPROMISOS_2025[[#All],[Total pagado]],"",0)</f>
        <v>#NAME?</v>
      </c>
      <c r="AI556" s="326" t="e" cm="1">
        <f t="array" aca="1" ref="AI556" ca="1">_xlfn.XLOOKUP(PAA[[#This Row],[RCP-RUBRO]],COMPROMISOS_2025[[#All],[concatenado]],COMPROMISOS_2025[[#All],[Total Comprometido]],"",0)</f>
        <v>#NAME?</v>
      </c>
    </row>
    <row r="557" spans="1:35" s="50" customFormat="1" ht="42" hidden="1" customHeight="1" x14ac:dyDescent="0.25">
      <c r="A557" s="326">
        <v>457</v>
      </c>
      <c r="B557" s="325">
        <v>80111600</v>
      </c>
      <c r="C557" s="326" t="str">
        <f>VLOOKUP(PAA[[#This Row],[PROYECTO (formulado)2]],PROYECTOS!$G$1:$L$32,6,0)</f>
        <v>SUBGERENCIA DE ALTOS LOGROS Y DEPORTE ASOCIADO</v>
      </c>
      <c r="D557" s="326" t="str">
        <f>+IF(PAA[[#This Row],[UNIDAD DE CONTRATACION (formulado)]]="Subgerencia Administrativa y Financiera","FUNCIONAMIENTO","INVERSIÓN")</f>
        <v>INVERSIÓN</v>
      </c>
      <c r="E557" s="327" t="str">
        <f>VLOOKUP(Q557,PROYECTOS!$G$1:$K$32,5,0)</f>
        <v>Apoyo técnico a atletas y para-atletas que representan en alto rendimiento deportivo al departamento de Antioquia</v>
      </c>
      <c r="F557" s="327">
        <f>VLOOKUP(E557,PROYECTOS!$K$1:$M$32,3,0)</f>
        <v>2024003050084</v>
      </c>
      <c r="G557" s="328" t="s">
        <v>450</v>
      </c>
      <c r="H557" s="328" t="str">
        <f>VLOOKUP(Q557,PROYECTOS!$V$1:$W$32,2,0)</f>
        <v>050079</v>
      </c>
      <c r="I557" s="329">
        <v>25100935</v>
      </c>
      <c r="J557" s="330" t="s">
        <v>655</v>
      </c>
      <c r="K557" s="326" t="str">
        <f t="shared" ref="K557:K621" ca="1" si="78">IF(ISNONTEXT(Y557)=TRUE,"CONTRATADO","NO CONTRATADO")</f>
        <v>CONTRATADO</v>
      </c>
      <c r="L557" s="326" t="s">
        <v>112</v>
      </c>
      <c r="M557" s="326" t="s">
        <v>113</v>
      </c>
      <c r="N557" s="331" t="s">
        <v>634</v>
      </c>
      <c r="O557" s="330">
        <f>VLOOKUP(N557,RUBROS[#All],3,0)</f>
        <v>61</v>
      </c>
      <c r="P557" s="332" t="str">
        <f>VLOOKUP(N557,RUBROS[#All],2,0)</f>
        <v>Apoyo técnico a atletas y para-atletas que representan en alto rendimiento deportivo al departamento de Antioquia. - Servicios para la comunidad, sociales y personales</v>
      </c>
      <c r="Q557" s="326" t="str">
        <f t="shared" ref="Q557:Q621" si="79">+MID(N557,11,2)</f>
        <v>84</v>
      </c>
      <c r="R557" s="326" t="str">
        <f t="shared" ref="R557:R621" si="80">+MID(N557,14,8)</f>
        <v>0-205128</v>
      </c>
      <c r="S557" s="333">
        <v>278</v>
      </c>
      <c r="T557" s="337" t="s">
        <v>220</v>
      </c>
      <c r="U557" s="335" t="e">
        <f ca="1">_xlfn.XLOOKUP(PAA[[#This Row],[ITEM]],Contrato!A:A,Contrato!Q:Q,"",0)</f>
        <v>#NAME?</v>
      </c>
      <c r="V557" s="326" t="s">
        <v>47</v>
      </c>
      <c r="W557" s="326" t="s">
        <v>154</v>
      </c>
      <c r="X557" s="326" t="s">
        <v>127</v>
      </c>
      <c r="Y557" s="336" t="e">
        <f ca="1">_xlfn.XLOOKUP(PAA[[#This Row],[ITEM]],Contrato!A:A,Contrato!B:B,"",0)</f>
        <v>#NAME?</v>
      </c>
      <c r="Z557" s="326" t="e">
        <f ca="1">_xlfn.XLOOKUP(PAA[[#This Row],[ITEM]],Contrato!A:A,Contrato!G:G,"",0)</f>
        <v>#NAME?</v>
      </c>
      <c r="AA557" s="326" t="e">
        <f ca="1">_xlfn.XLOOKUP(PAA[[#This Row],[ITEM]],Contrato!A:A,Contrato!T:T,"",0)</f>
        <v>#NAME?</v>
      </c>
      <c r="AB557" s="336" t="e">
        <f ca="1">+MAX(PAA[[#This Row],[Comprometido Contrato]],)</f>
        <v>#NAME?</v>
      </c>
      <c r="AC557" s="336" t="str">
        <f t="shared" ca="1" si="77"/>
        <v/>
      </c>
      <c r="AD557" s="336" t="e">
        <f ca="1">+MAX(PAA[[#This Row],[Pago por Contrato]],)</f>
        <v>#NAME?</v>
      </c>
      <c r="AE557" s="336" t="str">
        <f t="shared" ref="AE557:AE621" ca="1" si="81">+IFERROR(AB557-AD557,"")</f>
        <v/>
      </c>
      <c r="AF557" s="326" t="e">
        <f t="shared" ref="AF557:AF621" ca="1" si="82">+CONCATENATE(AA557,N557)</f>
        <v>#NAME?</v>
      </c>
      <c r="AG557" s="326">
        <f t="shared" ref="AG557:AG621" si="83">IFERROR(_xlfn.NUMBERVALUE(MID(G557,1,8)),"")</f>
        <v>52010802</v>
      </c>
      <c r="AH557" s="326" t="e" cm="1">
        <f t="array" aca="1" ref="AH557" ca="1">_xlfn.XLOOKUP(PAA[[#This Row],[RCP-RUBRO]],COMPROMISOS_2025[[#All],[concatenado]],COMPROMISOS_2025[[#All],[Total pagado]],"",0)</f>
        <v>#NAME?</v>
      </c>
      <c r="AI557" s="326" t="e" cm="1">
        <f t="array" aca="1" ref="AI557" ca="1">_xlfn.XLOOKUP(PAA[[#This Row],[RCP-RUBRO]],COMPROMISOS_2025[[#All],[concatenado]],COMPROMISOS_2025[[#All],[Total Comprometido]],"",0)</f>
        <v>#NAME?</v>
      </c>
    </row>
    <row r="558" spans="1:35" s="50" customFormat="1" ht="42" hidden="1" customHeight="1" x14ac:dyDescent="0.25">
      <c r="A558" s="326">
        <v>458</v>
      </c>
      <c r="B558" s="325">
        <v>80111600</v>
      </c>
      <c r="C558" s="326" t="str">
        <f>VLOOKUP(PAA[[#This Row],[PROYECTO (formulado)2]],PROYECTOS!$G$1:$L$32,6,0)</f>
        <v>SUBGERENCIA DE ALTOS LOGROS Y DEPORTE ASOCIADO</v>
      </c>
      <c r="D558" s="326" t="str">
        <f>+IF(PAA[[#This Row],[UNIDAD DE CONTRATACION (formulado)]]="Subgerencia Administrativa y Financiera","FUNCIONAMIENTO","INVERSIÓN")</f>
        <v>INVERSIÓN</v>
      </c>
      <c r="E558" s="327" t="str">
        <f>VLOOKUP(Q558,PROYECTOS!$G$1:$K$32,5,0)</f>
        <v>Apoyo técnico a atletas y para-atletas que representan en alto rendimiento deportivo al departamento de Antioquia</v>
      </c>
      <c r="F558" s="327">
        <f>VLOOKUP(E558,PROYECTOS!$K$1:$M$32,3,0)</f>
        <v>2024003050084</v>
      </c>
      <c r="G558" s="328" t="s">
        <v>450</v>
      </c>
      <c r="H558" s="328" t="str">
        <f>VLOOKUP(Q558,PROYECTOS!$V$1:$W$32,2,0)</f>
        <v>050079</v>
      </c>
      <c r="I558" s="329">
        <v>38529929</v>
      </c>
      <c r="J558" s="330" t="s">
        <v>656</v>
      </c>
      <c r="K558" s="326" t="str">
        <f t="shared" ca="1" si="78"/>
        <v>CONTRATADO</v>
      </c>
      <c r="L558" s="326" t="s">
        <v>112</v>
      </c>
      <c r="M558" s="326" t="s">
        <v>113</v>
      </c>
      <c r="N558" s="331" t="s">
        <v>634</v>
      </c>
      <c r="O558" s="330">
        <f>VLOOKUP(N558,RUBROS[#All],3,0)</f>
        <v>61</v>
      </c>
      <c r="P558" s="332" t="str">
        <f>VLOOKUP(N558,RUBROS[#All],2,0)</f>
        <v>Apoyo técnico a atletas y para-atletas que representan en alto rendimiento deportivo al departamento de Antioquia. - Servicios para la comunidad, sociales y personales</v>
      </c>
      <c r="Q558" s="326" t="str">
        <f t="shared" si="79"/>
        <v>84</v>
      </c>
      <c r="R558" s="326" t="str">
        <f t="shared" si="80"/>
        <v>0-205128</v>
      </c>
      <c r="S558" s="333">
        <v>278</v>
      </c>
      <c r="T558" s="337" t="s">
        <v>220</v>
      </c>
      <c r="U558" s="335" t="e">
        <f ca="1">_xlfn.XLOOKUP(PAA[[#This Row],[ITEM]],Contrato!A:A,Contrato!Q:Q,"",0)</f>
        <v>#NAME?</v>
      </c>
      <c r="V558" s="326" t="s">
        <v>47</v>
      </c>
      <c r="W558" s="326" t="s">
        <v>154</v>
      </c>
      <c r="X558" s="326" t="s">
        <v>127</v>
      </c>
      <c r="Y558" s="336" t="e">
        <f ca="1">_xlfn.XLOOKUP(PAA[[#This Row],[ITEM]],Contrato!A:A,Contrato!B:B,"",0)</f>
        <v>#NAME?</v>
      </c>
      <c r="Z558" s="326" t="e">
        <f ca="1">_xlfn.XLOOKUP(PAA[[#This Row],[ITEM]],Contrato!A:A,Contrato!G:G,"",0)</f>
        <v>#NAME?</v>
      </c>
      <c r="AA558" s="326" t="e">
        <f ca="1">_xlfn.XLOOKUP(PAA[[#This Row],[ITEM]],Contrato!A:A,Contrato!T:T,"",0)</f>
        <v>#NAME?</v>
      </c>
      <c r="AB558" s="336" t="e">
        <f ca="1">+MAX(PAA[[#This Row],[Comprometido Contrato]],)</f>
        <v>#NAME?</v>
      </c>
      <c r="AC558" s="336" t="str">
        <f t="shared" ca="1" si="77"/>
        <v/>
      </c>
      <c r="AD558" s="336" t="e">
        <f ca="1">+MAX(PAA[[#This Row],[Pago por Contrato]],)</f>
        <v>#NAME?</v>
      </c>
      <c r="AE558" s="336" t="str">
        <f t="shared" ca="1" si="81"/>
        <v/>
      </c>
      <c r="AF558" s="326" t="e">
        <f t="shared" ca="1" si="82"/>
        <v>#NAME?</v>
      </c>
      <c r="AG558" s="326">
        <f t="shared" si="83"/>
        <v>52010802</v>
      </c>
      <c r="AH558" s="326" t="e" cm="1">
        <f t="array" aca="1" ref="AH558" ca="1">_xlfn.XLOOKUP(PAA[[#This Row],[RCP-RUBRO]],COMPROMISOS_2025[[#All],[concatenado]],COMPROMISOS_2025[[#All],[Total pagado]],"",0)</f>
        <v>#NAME?</v>
      </c>
      <c r="AI558" s="326" t="e" cm="1">
        <f t="array" aca="1" ref="AI558" ca="1">_xlfn.XLOOKUP(PAA[[#This Row],[RCP-RUBRO]],COMPROMISOS_2025[[#All],[concatenado]],COMPROMISOS_2025[[#All],[Total Comprometido]],"",0)</f>
        <v>#NAME?</v>
      </c>
    </row>
    <row r="559" spans="1:35" s="50" customFormat="1" ht="42" hidden="1" customHeight="1" x14ac:dyDescent="0.25">
      <c r="A559" s="326">
        <v>459</v>
      </c>
      <c r="B559" s="325">
        <v>80111600</v>
      </c>
      <c r="C559" s="326" t="str">
        <f>VLOOKUP(PAA[[#This Row],[PROYECTO (formulado)2]],PROYECTOS!$G$1:$L$32,6,0)</f>
        <v>SUBGERENCIA DE ALTOS LOGROS Y DEPORTE ASOCIADO</v>
      </c>
      <c r="D559" s="326" t="str">
        <f>+IF(PAA[[#This Row],[UNIDAD DE CONTRATACION (formulado)]]="Subgerencia Administrativa y Financiera","FUNCIONAMIENTO","INVERSIÓN")</f>
        <v>INVERSIÓN</v>
      </c>
      <c r="E559" s="327" t="str">
        <f>VLOOKUP(Q559,PROYECTOS!$G$1:$K$32,5,0)</f>
        <v>Apoyo técnico a atletas y para-atletas que representan en alto rendimiento deportivo al departamento de Antioquia</v>
      </c>
      <c r="F559" s="327">
        <f>VLOOKUP(E559,PROYECTOS!$K$1:$M$32,3,0)</f>
        <v>2024003050084</v>
      </c>
      <c r="G559" s="328" t="s">
        <v>450</v>
      </c>
      <c r="H559" s="328" t="str">
        <f>VLOOKUP(Q559,PROYECTOS!$V$1:$W$32,2,0)</f>
        <v>050079</v>
      </c>
      <c r="I559" s="329">
        <v>25100935</v>
      </c>
      <c r="J559" s="330" t="s">
        <v>657</v>
      </c>
      <c r="K559" s="326" t="str">
        <f t="shared" ca="1" si="78"/>
        <v>CONTRATADO</v>
      </c>
      <c r="L559" s="326" t="s">
        <v>112</v>
      </c>
      <c r="M559" s="326" t="s">
        <v>113</v>
      </c>
      <c r="N559" s="331" t="s">
        <v>634</v>
      </c>
      <c r="O559" s="330">
        <f>VLOOKUP(N559,RUBROS[#All],3,0)</f>
        <v>61</v>
      </c>
      <c r="P559" s="332" t="str">
        <f>VLOOKUP(N559,RUBROS[#All],2,0)</f>
        <v>Apoyo técnico a atletas y para-atletas que representan en alto rendimiento deportivo al departamento de Antioquia. - Servicios para la comunidad, sociales y personales</v>
      </c>
      <c r="Q559" s="326" t="str">
        <f t="shared" si="79"/>
        <v>84</v>
      </c>
      <c r="R559" s="326" t="str">
        <f t="shared" si="80"/>
        <v>0-205128</v>
      </c>
      <c r="S559" s="333">
        <v>278</v>
      </c>
      <c r="T559" s="337" t="s">
        <v>220</v>
      </c>
      <c r="U559" s="335" t="e">
        <f ca="1">_xlfn.XLOOKUP(PAA[[#This Row],[ITEM]],Contrato!A:A,Contrato!Q:Q,"",0)</f>
        <v>#NAME?</v>
      </c>
      <c r="V559" s="326" t="s">
        <v>47</v>
      </c>
      <c r="W559" s="326" t="s">
        <v>154</v>
      </c>
      <c r="X559" s="326" t="s">
        <v>127</v>
      </c>
      <c r="Y559" s="336" t="e">
        <f ca="1">_xlfn.XLOOKUP(PAA[[#This Row],[ITEM]],Contrato!A:A,Contrato!B:B,"",0)</f>
        <v>#NAME?</v>
      </c>
      <c r="Z559" s="326" t="e">
        <f ca="1">_xlfn.XLOOKUP(PAA[[#This Row],[ITEM]],Contrato!A:A,Contrato!G:G,"",0)</f>
        <v>#NAME?</v>
      </c>
      <c r="AA559" s="326" t="e">
        <f ca="1">_xlfn.XLOOKUP(PAA[[#This Row],[ITEM]],Contrato!A:A,Contrato!T:T,"",0)</f>
        <v>#NAME?</v>
      </c>
      <c r="AB559" s="336" t="e">
        <f ca="1">+MAX(PAA[[#This Row],[Comprometido Contrato]],)</f>
        <v>#NAME?</v>
      </c>
      <c r="AC559" s="336" t="str">
        <f t="shared" ca="1" si="77"/>
        <v/>
      </c>
      <c r="AD559" s="336" t="e">
        <f ca="1">+MAX(PAA[[#This Row],[Pago por Contrato]],)</f>
        <v>#NAME?</v>
      </c>
      <c r="AE559" s="336" t="str">
        <f t="shared" ca="1" si="81"/>
        <v/>
      </c>
      <c r="AF559" s="326" t="e">
        <f t="shared" ca="1" si="82"/>
        <v>#NAME?</v>
      </c>
      <c r="AG559" s="326">
        <f t="shared" si="83"/>
        <v>52010802</v>
      </c>
      <c r="AH559" s="326" t="e" cm="1">
        <f t="array" aca="1" ref="AH559" ca="1">_xlfn.XLOOKUP(PAA[[#This Row],[RCP-RUBRO]],COMPROMISOS_2025[[#All],[concatenado]],COMPROMISOS_2025[[#All],[Total pagado]],"",0)</f>
        <v>#NAME?</v>
      </c>
      <c r="AI559" s="326" t="e" cm="1">
        <f t="array" aca="1" ref="AI559" ca="1">_xlfn.XLOOKUP(PAA[[#This Row],[RCP-RUBRO]],COMPROMISOS_2025[[#All],[concatenado]],COMPROMISOS_2025[[#All],[Total Comprometido]],"",0)</f>
        <v>#NAME?</v>
      </c>
    </row>
    <row r="560" spans="1:35" s="50" customFormat="1" ht="42" hidden="1" customHeight="1" x14ac:dyDescent="0.25">
      <c r="A560" s="254">
        <v>460</v>
      </c>
      <c r="B560" s="255">
        <v>80111600</v>
      </c>
      <c r="C560" s="254" t="str">
        <f>VLOOKUP(PAA[[#This Row],[PROYECTO (formulado)2]],PROYECTOS!$G$1:$L$32,6,0)</f>
        <v>SUBGERENCIA DE ALTOS LOGROS Y DEPORTE ASOCIADO</v>
      </c>
      <c r="D560" s="254" t="str">
        <f>+IF(PAA[[#This Row],[UNIDAD DE CONTRATACION (formulado)]]="Subgerencia Administrativa y Financiera","FUNCIONAMIENTO","INVERSIÓN")</f>
        <v>INVERSIÓN</v>
      </c>
      <c r="E560" s="256" t="str">
        <f>VLOOKUP(Q560,PROYECTOS!$G$1:$K$32,5,0)</f>
        <v>Apoyo técnico a atletas y para-atletas que representan en alto rendimiento deportivo al departamento de Antioquia</v>
      </c>
      <c r="F560" s="256">
        <f>VLOOKUP(E560,PROYECTOS!$K$1:$M$32,3,0)</f>
        <v>2024003050084</v>
      </c>
      <c r="G560" s="256" t="s">
        <v>450</v>
      </c>
      <c r="H560" s="257" t="str">
        <f>VLOOKUP(Q560,PROYECTOS!$V$1:$W$32,2,0)</f>
        <v>050079</v>
      </c>
      <c r="I560" s="258">
        <v>95732000</v>
      </c>
      <c r="J560" s="280" t="s">
        <v>658</v>
      </c>
      <c r="K560" s="254" t="str">
        <f t="shared" ca="1" si="78"/>
        <v>CONTRATADO</v>
      </c>
      <c r="L560" s="254" t="s">
        <v>112</v>
      </c>
      <c r="M560" s="254" t="s">
        <v>113</v>
      </c>
      <c r="N560" s="254" t="s">
        <v>634</v>
      </c>
      <c r="O560" s="254">
        <f>VLOOKUP(N560,RUBROS[#All],3,0)</f>
        <v>61</v>
      </c>
      <c r="P560" s="254" t="str">
        <f>VLOOKUP(N560,RUBROS[#All],2,0)</f>
        <v>Apoyo técnico a atletas y para-atletas que representan en alto rendimiento deportivo al departamento de Antioquia. - Servicios para la comunidad, sociales y personales</v>
      </c>
      <c r="Q560" s="254" t="str">
        <f t="shared" si="79"/>
        <v>84</v>
      </c>
      <c r="R560" s="265" t="str">
        <f t="shared" si="80"/>
        <v>0-205128</v>
      </c>
      <c r="S560" s="254">
        <v>10</v>
      </c>
      <c r="T560" s="260" t="s">
        <v>46</v>
      </c>
      <c r="U560" s="261" t="e">
        <f ca="1">_xlfn.XLOOKUP(PAA[[#This Row],[ITEM]],Contrato!A:A,Contrato!Q:Q,"",0)</f>
        <v>#NAME?</v>
      </c>
      <c r="V560" s="254" t="s">
        <v>47</v>
      </c>
      <c r="W560" s="254" t="s">
        <v>154</v>
      </c>
      <c r="X560" s="254" t="s">
        <v>154</v>
      </c>
      <c r="Y560" s="262" t="e">
        <f ca="1">_xlfn.XLOOKUP(PAA[[#This Row],[ITEM]],Contrato!A:A,Contrato!B:B,"",0)</f>
        <v>#NAME?</v>
      </c>
      <c r="Z560" s="254" t="e">
        <f ca="1">_xlfn.XLOOKUP(PAA[[#This Row],[ITEM]],Contrato!A:A,Contrato!G:G,"",0)</f>
        <v>#NAME?</v>
      </c>
      <c r="AA560" s="254" t="e">
        <f ca="1">_xlfn.XLOOKUP(PAA[[#This Row],[ITEM]],Contrato!A:A,Contrato!T:T,"",0)</f>
        <v>#NAME?</v>
      </c>
      <c r="AB560" s="262" t="e">
        <f ca="1">+MAX(PAA[[#This Row],[Comprometido Contrato]],)</f>
        <v>#NAME?</v>
      </c>
      <c r="AC560" s="262" t="str">
        <f t="shared" ca="1" si="77"/>
        <v/>
      </c>
      <c r="AD560" s="262" t="e">
        <f ca="1">+MAX(PAA[[#This Row],[Pago por Contrato]],)</f>
        <v>#NAME?</v>
      </c>
      <c r="AE560" s="262" t="str">
        <f t="shared" ca="1" si="81"/>
        <v/>
      </c>
      <c r="AF560" s="254" t="e">
        <f t="shared" ca="1" si="82"/>
        <v>#NAME?</v>
      </c>
      <c r="AG560" s="254">
        <f t="shared" si="83"/>
        <v>52010802</v>
      </c>
      <c r="AH560" s="254" t="e" cm="1">
        <f t="array" aca="1" ref="AH560" ca="1">_xlfn.XLOOKUP(PAA[[#This Row],[RCP-RUBRO]],COMPROMISOS_2025[[#All],[concatenado]],COMPROMISOS_2025[[#All],[Total pagado]],"",0)</f>
        <v>#NAME?</v>
      </c>
      <c r="AI560" s="254" t="e" cm="1">
        <f t="array" aca="1" ref="AI560" ca="1">_xlfn.XLOOKUP(PAA[[#This Row],[RCP-RUBRO]],COMPROMISOS_2025[[#All],[concatenado]],COMPROMISOS_2025[[#All],[Total Comprometido]],"",0)</f>
        <v>#NAME?</v>
      </c>
    </row>
    <row r="561" spans="1:35" s="50" customFormat="1" ht="42" hidden="1" customHeight="1" x14ac:dyDescent="0.25">
      <c r="A561" s="207">
        <v>461</v>
      </c>
      <c r="B561" s="200">
        <v>80111600</v>
      </c>
      <c r="C561" s="207" t="str">
        <f>VLOOKUP(PAA[[#This Row],[PROYECTO (formulado)2]],PROYECTOS!$G$1:$L$32,6,0)</f>
        <v>SUBGERENCIA DE ALTOS LOGROS Y DEPORTE ASOCIADO</v>
      </c>
      <c r="D561" s="207" t="str">
        <f>+IF(PAA[[#This Row],[UNIDAD DE CONTRATACION (formulado)]]="Subgerencia Administrativa y Financiera","FUNCIONAMIENTO","INVERSIÓN")</f>
        <v>INVERSIÓN</v>
      </c>
      <c r="E561" s="218" t="str">
        <f>VLOOKUP(Q561,PROYECTOS!$G$1:$K$32,5,0)</f>
        <v>Apoyo técnico a atletas y para-atletas que representan en alto rendimiento deportivo al departamento de Antioquia</v>
      </c>
      <c r="F561" s="218">
        <f>VLOOKUP(E561,PROYECTOS!$K$1:$M$32,3,0)</f>
        <v>2024003050084</v>
      </c>
      <c r="G561" s="218" t="s">
        <v>450</v>
      </c>
      <c r="H561" s="251" t="str">
        <f>VLOOKUP(Q561,PROYECTOS!$V$1:$W$32,2,0)</f>
        <v>050079</v>
      </c>
      <c r="I561" s="219">
        <v>75218000</v>
      </c>
      <c r="J561" s="252" t="s">
        <v>659</v>
      </c>
      <c r="K561" s="207" t="str">
        <f t="shared" ca="1" si="78"/>
        <v>CONTRATADO</v>
      </c>
      <c r="L561" s="207" t="s">
        <v>112</v>
      </c>
      <c r="M561" s="207" t="s">
        <v>113</v>
      </c>
      <c r="N561" s="207" t="s">
        <v>634</v>
      </c>
      <c r="O561" s="207">
        <f>VLOOKUP(N561,RUBROS[#All],3,0)</f>
        <v>61</v>
      </c>
      <c r="P561" s="207" t="str">
        <f>VLOOKUP(N561,RUBROS[#All],2,0)</f>
        <v>Apoyo técnico a atletas y para-atletas que representan en alto rendimiento deportivo al departamento de Antioquia. - Servicios para la comunidad, sociales y personales</v>
      </c>
      <c r="Q561" s="207" t="str">
        <f t="shared" si="79"/>
        <v>84</v>
      </c>
      <c r="R561" s="199" t="str">
        <f t="shared" si="80"/>
        <v>0-205128</v>
      </c>
      <c r="S561" s="207">
        <v>10</v>
      </c>
      <c r="T561" s="253" t="s">
        <v>46</v>
      </c>
      <c r="U561" s="223" t="e">
        <f ca="1">_xlfn.XLOOKUP(PAA[[#This Row],[ITEM]],Contrato!A:A,Contrato!Q:Q,"",0)</f>
        <v>#NAME?</v>
      </c>
      <c r="V561" s="207" t="s">
        <v>47</v>
      </c>
      <c r="W561" s="207" t="s">
        <v>154</v>
      </c>
      <c r="X561" s="207" t="s">
        <v>154</v>
      </c>
      <c r="Y561" s="224" t="e">
        <f ca="1">_xlfn.XLOOKUP(PAA[[#This Row],[ITEM]],Contrato!A:A,Contrato!B:B,"",0)</f>
        <v>#NAME?</v>
      </c>
      <c r="Z561" s="207" t="e">
        <f ca="1">_xlfn.XLOOKUP(PAA[[#This Row],[ITEM]],Contrato!A:A,Contrato!G:G,"",0)</f>
        <v>#NAME?</v>
      </c>
      <c r="AA561" s="207" t="e">
        <f ca="1">_xlfn.XLOOKUP(PAA[[#This Row],[ITEM]],Contrato!A:A,Contrato!T:T,"",0)</f>
        <v>#NAME?</v>
      </c>
      <c r="AB561" s="224" t="e">
        <f ca="1">+MAX(PAA[[#This Row],[Comprometido Contrato]],)</f>
        <v>#NAME?</v>
      </c>
      <c r="AC561" s="224" t="str">
        <f t="shared" ca="1" si="77"/>
        <v/>
      </c>
      <c r="AD561" s="224" t="e">
        <f ca="1">+MAX(PAA[[#This Row],[Pago por Contrato]],)</f>
        <v>#NAME?</v>
      </c>
      <c r="AE561" s="224" t="str">
        <f t="shared" ca="1" si="81"/>
        <v/>
      </c>
      <c r="AF561" s="207" t="e">
        <f t="shared" ca="1" si="82"/>
        <v>#NAME?</v>
      </c>
      <c r="AG561" s="207">
        <f t="shared" si="83"/>
        <v>52010802</v>
      </c>
      <c r="AH561" s="207" t="e" cm="1">
        <f t="array" aca="1" ref="AH561" ca="1">_xlfn.XLOOKUP(PAA[[#This Row],[RCP-RUBRO]],COMPROMISOS_2025[[#All],[concatenado]],COMPROMISOS_2025[[#All],[Total pagado]],"",0)</f>
        <v>#NAME?</v>
      </c>
      <c r="AI561" s="207" t="e" cm="1">
        <f t="array" aca="1" ref="AI561" ca="1">_xlfn.XLOOKUP(PAA[[#This Row],[RCP-RUBRO]],COMPROMISOS_2025[[#All],[concatenado]],COMPROMISOS_2025[[#All],[Total Comprometido]],"",0)</f>
        <v>#NAME?</v>
      </c>
    </row>
    <row r="562" spans="1:35" s="50" customFormat="1" ht="42" customHeight="1" x14ac:dyDescent="0.25">
      <c r="A562" s="57">
        <v>462</v>
      </c>
      <c r="B562" s="188" t="s">
        <v>41</v>
      </c>
      <c r="C562" s="57" t="str">
        <f>VLOOKUP(PAA[[#This Row],[PROYECTO (formulado)2]],PROYECTOS!$G$1:$L$32,6,0)</f>
        <v>SUBGERENCIA DE ALTOS LOGROS Y DEPORTE ASOCIADO</v>
      </c>
      <c r="D562" s="57" t="str">
        <f>+IF(PAA[[#This Row],[UNIDAD DE CONTRATACION (formulado)]]="Subgerencia Administrativa y Financiera","FUNCIONAMIENTO","INVERSIÓN")</f>
        <v>INVERSIÓN</v>
      </c>
      <c r="E562" s="189" t="str">
        <f>VLOOKUP(Q562,PROYECTOS!$G$1:$K$32,5,0)</f>
        <v>Apoyo y subvención para satisfacer necesidades propias del proceso de preparación y competencia de los Atletas y Para-atletas de alto rendimiento del departamento de Antioquia</v>
      </c>
      <c r="F562" s="154">
        <f>VLOOKUP(E562,PROYECTOS!$K$1:$M$32,3,0)</f>
        <v>2024003050085</v>
      </c>
      <c r="G562" s="154" t="s">
        <v>660</v>
      </c>
      <c r="H562" s="189" t="str">
        <f>VLOOKUP(Q562,PROYECTOS!$V$1:$W$32,2,0)</f>
        <v>050077</v>
      </c>
      <c r="I562" s="143">
        <v>523524200</v>
      </c>
      <c r="J562" s="190" t="s">
        <v>661</v>
      </c>
      <c r="K562" s="57" t="str">
        <f t="shared" ca="1" si="78"/>
        <v>CONTRATADO</v>
      </c>
      <c r="L562" s="57" t="s">
        <v>44</v>
      </c>
      <c r="M562" s="57" t="s">
        <v>44</v>
      </c>
      <c r="N562" s="57" t="s">
        <v>662</v>
      </c>
      <c r="O562" s="57">
        <f>VLOOKUP(N562,RUBROS[#All],3,0)</f>
        <v>65</v>
      </c>
      <c r="P562" s="57" t="str">
        <f>VLOOKUP(N562,RUBROS[#All],2,0)</f>
        <v>Apoyo y subvención para satisfacer necesidades propias del proceso de preparación y competencia de los Atletas y Para-atletas de alto rendimiento del departamento de Antioquia-Estímulos y beneficios a los deportistas</v>
      </c>
      <c r="Q562" s="57" t="str">
        <f t="shared" si="79"/>
        <v>85</v>
      </c>
      <c r="R562" s="57" t="str">
        <f t="shared" si="80"/>
        <v>0-205128</v>
      </c>
      <c r="S562" s="57" t="s">
        <v>41</v>
      </c>
      <c r="T562" s="191" t="s">
        <v>41</v>
      </c>
      <c r="U562" s="162" t="e">
        <f ca="1">_xlfn.XLOOKUP(PAA[[#This Row],[ITEM]],Contrato!A:A,Contrato!Q:Q,"",0)</f>
        <v>#NAME?</v>
      </c>
      <c r="V562" s="57" t="s">
        <v>47</v>
      </c>
      <c r="W562" s="57" t="s">
        <v>154</v>
      </c>
      <c r="X562" s="57" t="s">
        <v>154</v>
      </c>
      <c r="Y562" s="58" t="e">
        <f ca="1">_xlfn.XLOOKUP(PAA[[#This Row],[ITEM]],Contrato!A:A,Contrato!B:B,"",0)</f>
        <v>#NAME?</v>
      </c>
      <c r="Z562" s="57" t="e">
        <f ca="1">_xlfn.XLOOKUP(PAA[[#This Row],[ITEM]],Contrato!A:A,Contrato!G:G,"",0)</f>
        <v>#NAME?</v>
      </c>
      <c r="AA562" s="57" t="e">
        <f ca="1">_xlfn.XLOOKUP(PAA[[#This Row],[ITEM]],Contrato!A:A,Contrato!T:T,"",0)</f>
        <v>#NAME?</v>
      </c>
      <c r="AB562" s="58" t="e">
        <f ca="1">+MAX(PAA[[#This Row],[Comprometido Contrato]],)</f>
        <v>#NAME?</v>
      </c>
      <c r="AC562" s="58" t="str">
        <f t="shared" ca="1" si="77"/>
        <v/>
      </c>
      <c r="AD562" s="58" t="e">
        <f ca="1">+MAX(PAA[[#This Row],[Pago por Contrato]],)</f>
        <v>#NAME?</v>
      </c>
      <c r="AE562" s="58" t="str">
        <f t="shared" ca="1" si="81"/>
        <v/>
      </c>
      <c r="AF562" s="57" t="e">
        <f t="shared" ca="1" si="82"/>
        <v>#NAME?</v>
      </c>
      <c r="AG562" s="57">
        <f t="shared" si="83"/>
        <v>52010803</v>
      </c>
      <c r="AH562" s="57" t="e" cm="1">
        <f t="array" aca="1" ref="AH562" ca="1">_xlfn.XLOOKUP(PAA[[#This Row],[RCP-RUBRO]],COMPROMISOS_2025[[#All],[concatenado]],COMPROMISOS_2025[[#All],[Total pagado]],"",0)</f>
        <v>#NAME?</v>
      </c>
      <c r="AI562" s="57" t="e" cm="1">
        <f t="array" aca="1" ref="AI562" ca="1">_xlfn.XLOOKUP(PAA[[#This Row],[RCP-RUBRO]],COMPROMISOS_2025[[#All],[concatenado]],COMPROMISOS_2025[[#All],[Total Comprometido]],"",0)</f>
        <v>#NAME?</v>
      </c>
    </row>
    <row r="563" spans="1:35" s="50" customFormat="1" ht="42" customHeight="1" x14ac:dyDescent="0.25">
      <c r="A563" s="476">
        <v>462</v>
      </c>
      <c r="B563" s="488" t="s">
        <v>41</v>
      </c>
      <c r="C563" s="476" t="str">
        <f>VLOOKUP(PAA[[#This Row],[PROYECTO (formulado)2]],PROYECTOS!$G$1:$L$32,6,0)</f>
        <v>SUBGERENCIA DE ALTOS LOGROS Y DEPORTE ASOCIADO</v>
      </c>
      <c r="D563" s="476" t="str">
        <f>+IF(PAA[[#This Row],[UNIDAD DE CONTRATACION (formulado)]]="Subgerencia Administrativa y Financiera","FUNCIONAMIENTO","INVERSIÓN")</f>
        <v>INVERSIÓN</v>
      </c>
      <c r="E563" s="489" t="str">
        <f>VLOOKUP(Q563,PROYECTOS!$G$1:$K$32,5,0)</f>
        <v>Apoyo y subvención para satisfacer necesidades propias del proceso de preparación y competencia de los Atletas y Para-atletas de alto rendimiento del departamento de Antioquia</v>
      </c>
      <c r="F563" s="479">
        <f>VLOOKUP(E563,PROYECTOS!$K$1:$M$32,3,0)</f>
        <v>2024003050085</v>
      </c>
      <c r="G563" s="479" t="s">
        <v>660</v>
      </c>
      <c r="H563" s="489" t="str">
        <f>VLOOKUP(Q563,PROYECTOS!$V$1:$W$32,2,0)</f>
        <v>050077</v>
      </c>
      <c r="I563" s="480">
        <v>252800000</v>
      </c>
      <c r="J563" s="490" t="s">
        <v>661</v>
      </c>
      <c r="K563" s="476" t="str">
        <f t="shared" ref="K563" ca="1" si="84">IF(ISNONTEXT(Y563)=TRUE,"CONTRATADO","NO CONTRATADO")</f>
        <v>CONTRATADO</v>
      </c>
      <c r="L563" s="476" t="s">
        <v>44</v>
      </c>
      <c r="M563" s="476" t="s">
        <v>44</v>
      </c>
      <c r="N563" s="476" t="s">
        <v>663</v>
      </c>
      <c r="O563" s="476">
        <f>VLOOKUP(N563,RUBROS[#All],3,0)</f>
        <v>103</v>
      </c>
      <c r="P563" s="476" t="str">
        <f>VLOOKUP(N563,RUBROS[#All],2,0)</f>
        <v>Apoyo Y Subvención Para Satisfacer Necesidades Propias Del Proceso De Preparación Y   Competencia De Los Atletas Y   Para-Atletas De Alto Rendimiento Del Departamento De Antioquia -Estímulos Y   Beneficios A Los Deportistas</v>
      </c>
      <c r="Q563" s="476" t="str">
        <f t="shared" ref="Q563" si="85">+MID(N563,11,2)</f>
        <v>85</v>
      </c>
      <c r="R563" s="476" t="str">
        <f t="shared" ref="R563" si="86">+MID(N563,14,8)</f>
        <v>0-205400</v>
      </c>
      <c r="S563" s="476" t="s">
        <v>41</v>
      </c>
      <c r="T563" s="493" t="s">
        <v>41</v>
      </c>
      <c r="U563" s="486" t="e">
        <f ca="1">_xlfn.XLOOKUP(PAA[[#This Row],[ITEM]],Contrato!A:A,Contrato!Q:Q,"",0)</f>
        <v>#NAME?</v>
      </c>
      <c r="V563" s="476" t="s">
        <v>47</v>
      </c>
      <c r="W563" s="476" t="s">
        <v>41</v>
      </c>
      <c r="X563" s="476" t="s">
        <v>41</v>
      </c>
      <c r="Y563" s="487" t="e">
        <f ca="1">_xlfn.XLOOKUP(PAA[[#This Row],[ITEM]],Contrato!A:A,Contrato!B:B,"",0)</f>
        <v>#NAME?</v>
      </c>
      <c r="Z563" s="476" t="e">
        <f ca="1">_xlfn.XLOOKUP(PAA[[#This Row],[ITEM]],Contrato!A:A,Contrato!G:G,"",0)</f>
        <v>#NAME?</v>
      </c>
      <c r="AA563" s="476" t="e">
        <f ca="1">_xlfn.XLOOKUP(PAA[[#This Row],[ITEM]],Contrato!A:A,Contrato!T:T,"",0)</f>
        <v>#NAME?</v>
      </c>
      <c r="AB563" s="487" t="e">
        <f ca="1">+MAX(PAA[[#This Row],[Comprometido Contrato]],)</f>
        <v>#NAME?</v>
      </c>
      <c r="AC563" s="487" t="str">
        <f t="shared" ref="AC563" ca="1" si="87">IFERROR(I563-AB563,"")</f>
        <v/>
      </c>
      <c r="AD563" s="487" t="e">
        <f ca="1">+MAX(PAA[[#This Row],[Pago por Contrato]],)</f>
        <v>#NAME?</v>
      </c>
      <c r="AE563" s="487" t="str">
        <f t="shared" ref="AE563" ca="1" si="88">+IFERROR(AB563-AD563,"")</f>
        <v/>
      </c>
      <c r="AF563" s="476" t="e">
        <f t="shared" ref="AF563" ca="1" si="89">+CONCATENATE(AA563,N563)</f>
        <v>#NAME?</v>
      </c>
      <c r="AG563" s="476">
        <f t="shared" ref="AG563" si="90">IFERROR(_xlfn.NUMBERVALUE(MID(G563,1,8)),"")</f>
        <v>52010803</v>
      </c>
      <c r="AH563" s="476" t="e" cm="1">
        <f t="array" aca="1" ref="AH563" ca="1">_xlfn.XLOOKUP(PAA[[#This Row],[RCP-RUBRO]],COMPROMISOS_2025[[#All],[concatenado]],COMPROMISOS_2025[[#All],[Total pagado]],"",0)</f>
        <v>#NAME?</v>
      </c>
      <c r="AI563" s="476" t="e" cm="1">
        <f t="array" aca="1" ref="AI563" ca="1">_xlfn.XLOOKUP(PAA[[#This Row],[RCP-RUBRO]],COMPROMISOS_2025[[#All],[concatenado]],COMPROMISOS_2025[[#All],[Total Comprometido]],"",0)</f>
        <v>#NAME?</v>
      </c>
    </row>
    <row r="564" spans="1:35" s="50" customFormat="1" ht="42" customHeight="1" x14ac:dyDescent="0.25">
      <c r="A564" s="57">
        <v>463</v>
      </c>
      <c r="B564" s="188" t="s">
        <v>41</v>
      </c>
      <c r="C564" s="57" t="str">
        <f>VLOOKUP(PAA[[#This Row],[PROYECTO (formulado)2]],PROYECTOS!$G$1:$L$32,6,0)</f>
        <v>SUBGERENCIA DE ALTOS LOGROS Y DEPORTE ASOCIADO</v>
      </c>
      <c r="D564" s="57" t="str">
        <f>+IF(PAA[[#This Row],[UNIDAD DE CONTRATACION (formulado)]]="Subgerencia Administrativa y Financiera","FUNCIONAMIENTO","INVERSIÓN")</f>
        <v>INVERSIÓN</v>
      </c>
      <c r="E564" s="189" t="str">
        <f>VLOOKUP(Q564,PROYECTOS!$G$1:$K$32,5,0)</f>
        <v>Apoyo y subvención para satisfacer necesidades propias del proceso de preparación y competencia de los Atletas y Para-atletas de alto rendimiento del departamento de Antioquia</v>
      </c>
      <c r="F564" s="154">
        <f>VLOOKUP(E564,PROYECTOS!$K$1:$M$32,3,0)</f>
        <v>2024003050085</v>
      </c>
      <c r="G564" s="154" t="s">
        <v>664</v>
      </c>
      <c r="H564" s="189" t="str">
        <f>VLOOKUP(Q564,PROYECTOS!$V$1:$W$32,2,0)</f>
        <v>050077</v>
      </c>
      <c r="I564" s="143">
        <v>100000000</v>
      </c>
      <c r="J564" s="190" t="s">
        <v>665</v>
      </c>
      <c r="K564" s="57" t="str">
        <f t="shared" ca="1" si="78"/>
        <v>CONTRATADO</v>
      </c>
      <c r="L564" s="57" t="s">
        <v>44</v>
      </c>
      <c r="M564" s="57" t="s">
        <v>44</v>
      </c>
      <c r="N564" s="57" t="s">
        <v>662</v>
      </c>
      <c r="O564" s="57">
        <f>VLOOKUP(N564,RUBROS[#All],3,0)</f>
        <v>65</v>
      </c>
      <c r="P564" s="57" t="str">
        <f>VLOOKUP(N564,RUBROS[#All],2,0)</f>
        <v>Apoyo y subvención para satisfacer necesidades propias del proceso de preparación y competencia de los Atletas y Para-atletas de alto rendimiento del departamento de Antioquia-Estímulos y beneficios a los deportistas</v>
      </c>
      <c r="Q564" s="57" t="str">
        <f t="shared" si="79"/>
        <v>85</v>
      </c>
      <c r="R564" s="57" t="str">
        <f t="shared" si="80"/>
        <v>0-205128</v>
      </c>
      <c r="S564" s="57" t="s">
        <v>41</v>
      </c>
      <c r="T564" s="191" t="s">
        <v>41</v>
      </c>
      <c r="U564" s="162" t="e">
        <f ca="1">_xlfn.XLOOKUP(PAA[[#This Row],[ITEM]],Contrato!A:A,Contrato!Q:Q,"",0)</f>
        <v>#NAME?</v>
      </c>
      <c r="V564" s="57" t="s">
        <v>47</v>
      </c>
      <c r="W564" s="57" t="s">
        <v>154</v>
      </c>
      <c r="X564" s="57" t="s">
        <v>154</v>
      </c>
      <c r="Y564" s="58" t="e">
        <f ca="1">_xlfn.XLOOKUP(PAA[[#This Row],[ITEM]],Contrato!A:A,Contrato!B:B,"",0)</f>
        <v>#NAME?</v>
      </c>
      <c r="Z564" s="57" t="e">
        <f ca="1">_xlfn.XLOOKUP(PAA[[#This Row],[ITEM]],Contrato!A:A,Contrato!G:G,"",0)</f>
        <v>#NAME?</v>
      </c>
      <c r="AA564" s="57" t="e">
        <f ca="1">_xlfn.XLOOKUP(PAA[[#This Row],[ITEM]],Contrato!A:A,Contrato!T:T,"",0)</f>
        <v>#NAME?</v>
      </c>
      <c r="AB564" s="58" t="e">
        <f ca="1">+MAX(PAA[[#This Row],[Comprometido Contrato]],)</f>
        <v>#NAME?</v>
      </c>
      <c r="AC564" s="58" t="str">
        <f t="shared" ca="1" si="77"/>
        <v/>
      </c>
      <c r="AD564" s="58" t="e">
        <f ca="1">+MAX(PAA[[#This Row],[Pago por Contrato]],)</f>
        <v>#NAME?</v>
      </c>
      <c r="AE564" s="58" t="str">
        <f t="shared" ca="1" si="81"/>
        <v/>
      </c>
      <c r="AF564" s="57" t="e">
        <f t="shared" ca="1" si="82"/>
        <v>#NAME?</v>
      </c>
      <c r="AG564" s="57">
        <f t="shared" si="83"/>
        <v>52010803</v>
      </c>
      <c r="AH564" s="57" t="e" cm="1">
        <f t="array" aca="1" ref="AH564" ca="1">_xlfn.XLOOKUP(PAA[[#This Row],[RCP-RUBRO]],COMPROMISOS_2025[[#All],[concatenado]],COMPROMISOS_2025[[#All],[Total pagado]],"",0)</f>
        <v>#NAME?</v>
      </c>
      <c r="AI564" s="57" t="e" cm="1">
        <f t="array" aca="1" ref="AI564" ca="1">_xlfn.XLOOKUP(PAA[[#This Row],[RCP-RUBRO]],COMPROMISOS_2025[[#All],[concatenado]],COMPROMISOS_2025[[#All],[Total Comprometido]],"",0)</f>
        <v>#NAME?</v>
      </c>
    </row>
    <row r="565" spans="1:35" s="50" customFormat="1" ht="42" hidden="1" customHeight="1" x14ac:dyDescent="0.25">
      <c r="A565" s="199">
        <v>464</v>
      </c>
      <c r="B565" s="212">
        <v>80111600</v>
      </c>
      <c r="C565" s="199" t="str">
        <f>VLOOKUP(PAA[[#This Row],[PROYECTO (formulado)2]],PROYECTOS!$G$1:$L$32,6,0)</f>
        <v>SUBGERENCIA DE ALTOS LOGROS Y DEPORTE ASOCIADO</v>
      </c>
      <c r="D565" s="199" t="str">
        <f>+IF(PAA[[#This Row],[UNIDAD DE CONTRATACION (formulado)]]="Subgerencia Administrativa y Financiera","FUNCIONAMIENTO","INVERSIÓN")</f>
        <v>INVERSIÓN</v>
      </c>
      <c r="E565" s="215" t="str">
        <f>VLOOKUP(Q565,PROYECTOS!$G$1:$K$32,5,0)</f>
        <v>Apoyo y subvención para satisfacer necesidades propias del proceso de preparación y competencia de los Atletas y Para-atletas de alto rendimiento del departamento de Antioquia</v>
      </c>
      <c r="F565" s="202">
        <f>VLOOKUP(E565,PROYECTOS!$K$1:$M$32,3,0)</f>
        <v>2024003050085</v>
      </c>
      <c r="G565" s="202" t="s">
        <v>666</v>
      </c>
      <c r="H565" s="215" t="str">
        <f>VLOOKUP(Q565,PROYECTOS!$V$1:$W$32,2,0)</f>
        <v>050077</v>
      </c>
      <c r="I565" s="203">
        <v>41028000</v>
      </c>
      <c r="J565" s="216" t="s">
        <v>667</v>
      </c>
      <c r="K565" s="199" t="str">
        <f t="shared" ca="1" si="78"/>
        <v>CONTRATADO</v>
      </c>
      <c r="L565" s="199" t="s">
        <v>112</v>
      </c>
      <c r="M565" s="199" t="s">
        <v>113</v>
      </c>
      <c r="N565" s="199" t="s">
        <v>668</v>
      </c>
      <c r="O565" s="199">
        <f>VLOOKUP(N565,RUBROS[#All],3,0)</f>
        <v>63</v>
      </c>
      <c r="P565" s="199" t="str">
        <f>VLOOKUP(N565,RUBROS[#All],2,0)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5" s="199" t="str">
        <f t="shared" si="79"/>
        <v>85</v>
      </c>
      <c r="R565" s="199" t="str">
        <f t="shared" si="80"/>
        <v>0-205128</v>
      </c>
      <c r="S565" s="207">
        <v>10</v>
      </c>
      <c r="T565" s="208" t="s">
        <v>46</v>
      </c>
      <c r="U565" s="209" t="e">
        <f ca="1">_xlfn.XLOOKUP(PAA[[#This Row],[ITEM]],Contrato!A:A,Contrato!Q:Q,"",0)</f>
        <v>#NAME?</v>
      </c>
      <c r="V565" s="199" t="s">
        <v>47</v>
      </c>
      <c r="W565" s="199" t="s">
        <v>154</v>
      </c>
      <c r="X565" s="199" t="s">
        <v>154</v>
      </c>
      <c r="Y565" s="210" t="e">
        <f ca="1">_xlfn.XLOOKUP(PAA[[#This Row],[ITEM]],Contrato!A:A,Contrato!B:B,"",0)</f>
        <v>#NAME?</v>
      </c>
      <c r="Z565" s="199" t="e">
        <f ca="1">_xlfn.XLOOKUP(PAA[[#This Row],[ITEM]],Contrato!A:A,Contrato!G:G,"",0)</f>
        <v>#NAME?</v>
      </c>
      <c r="AA565" s="199" t="e">
        <f ca="1">_xlfn.XLOOKUP(PAA[[#This Row],[ITEM]],Contrato!A:A,Contrato!T:T,"",0)</f>
        <v>#NAME?</v>
      </c>
      <c r="AB565" s="210" t="e">
        <f ca="1">+MAX(PAA[[#This Row],[Comprometido Contrato]],)</f>
        <v>#NAME?</v>
      </c>
      <c r="AC565" s="210" t="str">
        <f t="shared" ca="1" si="77"/>
        <v/>
      </c>
      <c r="AD565" s="210" t="e">
        <f ca="1">+MAX(PAA[[#This Row],[Pago por Contrato]],)</f>
        <v>#NAME?</v>
      </c>
      <c r="AE565" s="210" t="str">
        <f t="shared" ca="1" si="81"/>
        <v/>
      </c>
      <c r="AF565" s="199" t="e">
        <f t="shared" ca="1" si="82"/>
        <v>#NAME?</v>
      </c>
      <c r="AG565" s="199">
        <f t="shared" si="83"/>
        <v>52010803</v>
      </c>
      <c r="AH565" s="199" t="e" cm="1">
        <f t="array" aca="1" ref="AH565" ca="1">_xlfn.XLOOKUP(PAA[[#This Row],[RCP-RUBRO]],COMPROMISOS_2025[[#All],[concatenado]],COMPROMISOS_2025[[#All],[Total pagado]],"",0)</f>
        <v>#NAME?</v>
      </c>
      <c r="AI565" s="199" t="e" cm="1">
        <f t="array" aca="1" ref="AI565" ca="1">_xlfn.XLOOKUP(PAA[[#This Row],[RCP-RUBRO]],COMPROMISOS_2025[[#All],[concatenado]],COMPROMISOS_2025[[#All],[Total Comprometido]],"",0)</f>
        <v>#NAME?</v>
      </c>
    </row>
    <row r="566" spans="1:35" s="50" customFormat="1" ht="42" hidden="1" customHeight="1" x14ac:dyDescent="0.25">
      <c r="A566" s="199">
        <v>465</v>
      </c>
      <c r="B566" s="212">
        <v>80111600</v>
      </c>
      <c r="C566" s="199" t="str">
        <f>VLOOKUP(PAA[[#This Row],[PROYECTO (formulado)2]],PROYECTOS!$G$1:$L$32,6,0)</f>
        <v>SUBGERENCIA DE ALTOS LOGROS Y DEPORTE ASOCIADO</v>
      </c>
      <c r="D566" s="199" t="str">
        <f>+IF(PAA[[#This Row],[UNIDAD DE CONTRATACION (formulado)]]="Subgerencia Administrativa y Financiera","FUNCIONAMIENTO","INVERSIÓN")</f>
        <v>INVERSIÓN</v>
      </c>
      <c r="E566" s="215" t="str">
        <f>VLOOKUP(Q566,PROYECTOS!$G$1:$K$32,5,0)</f>
        <v>Apoyo y subvención para satisfacer necesidades propias del proceso de preparación y competencia de los Atletas y Para-atletas de alto rendimiento del departamento de Antioquia</v>
      </c>
      <c r="F566" s="202">
        <f>VLOOKUP(E566,PROYECTOS!$K$1:$M$32,3,0)</f>
        <v>2024003050085</v>
      </c>
      <c r="G566" s="202" t="s">
        <v>666</v>
      </c>
      <c r="H566" s="215" t="str">
        <f>VLOOKUP(Q566,PROYECTOS!$V$1:$W$32,2,0)</f>
        <v>050077</v>
      </c>
      <c r="I566" s="203">
        <v>47860000</v>
      </c>
      <c r="J566" s="216" t="s">
        <v>669</v>
      </c>
      <c r="K566" s="199" t="str">
        <f t="shared" ca="1" si="78"/>
        <v>CONTRATADO</v>
      </c>
      <c r="L566" s="199" t="s">
        <v>112</v>
      </c>
      <c r="M566" s="199" t="s">
        <v>113</v>
      </c>
      <c r="N566" s="199" t="s">
        <v>668</v>
      </c>
      <c r="O566" s="199">
        <f>VLOOKUP(N566,RUBROS[#All],3,0)</f>
        <v>63</v>
      </c>
      <c r="P566" s="199" t="str">
        <f>VLOOKUP(N566,RUBROS[#All],2,0)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6" s="199" t="str">
        <f t="shared" si="79"/>
        <v>85</v>
      </c>
      <c r="R566" s="199" t="str">
        <f t="shared" si="80"/>
        <v>0-205128</v>
      </c>
      <c r="S566" s="207">
        <v>10</v>
      </c>
      <c r="T566" s="208" t="s">
        <v>46</v>
      </c>
      <c r="U566" s="209" t="e">
        <f ca="1">_xlfn.XLOOKUP(PAA[[#This Row],[ITEM]],Contrato!A:A,Contrato!Q:Q,"",0)</f>
        <v>#NAME?</v>
      </c>
      <c r="V566" s="199" t="s">
        <v>47</v>
      </c>
      <c r="W566" s="199" t="s">
        <v>154</v>
      </c>
      <c r="X566" s="199" t="s">
        <v>154</v>
      </c>
      <c r="Y566" s="210" t="e">
        <f ca="1">_xlfn.XLOOKUP(PAA[[#This Row],[ITEM]],Contrato!A:A,Contrato!B:B,"",0)</f>
        <v>#NAME?</v>
      </c>
      <c r="Z566" s="199" t="e">
        <f ca="1">_xlfn.XLOOKUP(PAA[[#This Row],[ITEM]],Contrato!A:A,Contrato!G:G,"",0)</f>
        <v>#NAME?</v>
      </c>
      <c r="AA566" s="199" t="e">
        <f ca="1">_xlfn.XLOOKUP(PAA[[#This Row],[ITEM]],Contrato!A:A,Contrato!T:T,"",0)</f>
        <v>#NAME?</v>
      </c>
      <c r="AB566" s="210" t="e">
        <f ca="1">+MAX(PAA[[#This Row],[Comprometido Contrato]],)</f>
        <v>#NAME?</v>
      </c>
      <c r="AC566" s="210" t="str">
        <f t="shared" ca="1" si="77"/>
        <v/>
      </c>
      <c r="AD566" s="210" t="e">
        <f ca="1">+MAX(PAA[[#This Row],[Pago por Contrato]],)</f>
        <v>#NAME?</v>
      </c>
      <c r="AE566" s="210" t="str">
        <f t="shared" ca="1" si="81"/>
        <v/>
      </c>
      <c r="AF566" s="199" t="e">
        <f t="shared" ca="1" si="82"/>
        <v>#NAME?</v>
      </c>
      <c r="AG566" s="199">
        <f t="shared" si="83"/>
        <v>52010803</v>
      </c>
      <c r="AH566" s="199" t="e" cm="1">
        <f t="array" aca="1" ref="AH566" ca="1">_xlfn.XLOOKUP(PAA[[#This Row],[RCP-RUBRO]],COMPROMISOS_2025[[#All],[concatenado]],COMPROMISOS_2025[[#All],[Total pagado]],"",0)</f>
        <v>#NAME?</v>
      </c>
      <c r="AI566" s="199" t="e" cm="1">
        <f t="array" aca="1" ref="AI566" ca="1">_xlfn.XLOOKUP(PAA[[#This Row],[RCP-RUBRO]],COMPROMISOS_2025[[#All],[concatenado]],COMPROMISOS_2025[[#All],[Total Comprometido]],"",0)</f>
        <v>#NAME?</v>
      </c>
    </row>
    <row r="567" spans="1:35" s="50" customFormat="1" ht="42" hidden="1" customHeight="1" x14ac:dyDescent="0.25">
      <c r="A567" s="265">
        <v>466</v>
      </c>
      <c r="B567" s="281">
        <v>80111600</v>
      </c>
      <c r="C567" s="265" t="str">
        <f>VLOOKUP(PAA[[#This Row],[PROYECTO (formulado)2]],PROYECTOS!$G$1:$L$32,6,0)</f>
        <v>SUBGERENCIA DE ALTOS LOGROS Y DEPORTE ASOCIADO</v>
      </c>
      <c r="D567" s="265" t="str">
        <f>+IF(PAA[[#This Row],[UNIDAD DE CONTRATACION (formulado)]]="Subgerencia Administrativa y Financiera","FUNCIONAMIENTO","INVERSIÓN")</f>
        <v>INVERSIÓN</v>
      </c>
      <c r="E567" s="268" t="str">
        <f>VLOOKUP(Q567,PROYECTOS!$G$1:$K$32,5,0)</f>
        <v>Apoyo y subvención para satisfacer necesidades propias del proceso de preparación y competencia de los Atletas y Para-atletas de alto rendimiento del departamento de Antioquia</v>
      </c>
      <c r="F567" s="266">
        <f>VLOOKUP(E567,PROYECTOS!$K$1:$M$32,3,0)</f>
        <v>2024003050085</v>
      </c>
      <c r="G567" s="266" t="s">
        <v>666</v>
      </c>
      <c r="H567" s="268" t="str">
        <f>VLOOKUP(Q567,PROYECTOS!$V$1:$W$32,2,0)</f>
        <v>050077</v>
      </c>
      <c r="I567" s="269">
        <v>34190000</v>
      </c>
      <c r="J567" s="282" t="s">
        <v>670</v>
      </c>
      <c r="K567" s="265" t="str">
        <f t="shared" ca="1" si="78"/>
        <v>CONTRATADO</v>
      </c>
      <c r="L567" s="265" t="s">
        <v>112</v>
      </c>
      <c r="M567" s="265" t="s">
        <v>113</v>
      </c>
      <c r="N567" s="265" t="s">
        <v>668</v>
      </c>
      <c r="O567" s="265">
        <f>VLOOKUP(N567,RUBROS[#All],3,0)</f>
        <v>63</v>
      </c>
      <c r="P567" s="265" t="str">
        <f>VLOOKUP(N567,RUBROS[#All],2,0)</f>
        <v xml:space="preserve">Apoyo y subvención para satisfacer necesidades propias del proceso de preparación y competencia de los Atletas y Para-atletas de alto rendimiento del departamento de Antioquia - Servicios prestados a las empresas y servicios de producción </v>
      </c>
      <c r="Q567" s="265" t="str">
        <f t="shared" si="79"/>
        <v>85</v>
      </c>
      <c r="R567" s="265" t="str">
        <f t="shared" si="80"/>
        <v>0-205128</v>
      </c>
      <c r="S567" s="254">
        <v>10</v>
      </c>
      <c r="T567" s="260" t="s">
        <v>46</v>
      </c>
      <c r="U567" s="261" t="e">
        <f ca="1">_xlfn.XLOOKUP(PAA[[#This Row],[ITEM]],Contrato!A:A,Contrato!Q:Q,"",0)</f>
        <v>#NAME?</v>
      </c>
      <c r="V567" s="254" t="s">
        <v>47</v>
      </c>
      <c r="W567" s="254" t="s">
        <v>154</v>
      </c>
      <c r="X567" s="254" t="s">
        <v>154</v>
      </c>
      <c r="Y567" s="273" t="e">
        <f ca="1">_xlfn.XLOOKUP(PAA[[#This Row],[ITEM]],Contrato!A:A,Contrato!B:B,"",0)</f>
        <v>#NAME?</v>
      </c>
      <c r="Z567" s="265" t="e">
        <f ca="1">_xlfn.XLOOKUP(PAA[[#This Row],[ITEM]],Contrato!A:A,Contrato!G:G,"",0)</f>
        <v>#NAME?</v>
      </c>
      <c r="AA567" s="265" t="e">
        <f ca="1">_xlfn.XLOOKUP(PAA[[#This Row],[ITEM]],Contrato!A:A,Contrato!T:T,"",0)</f>
        <v>#NAME?</v>
      </c>
      <c r="AB567" s="273" t="e">
        <f ca="1">+MAX(PAA[[#This Row],[Comprometido Contrato]],)</f>
        <v>#NAME?</v>
      </c>
      <c r="AC567" s="273" t="str">
        <f t="shared" ca="1" si="77"/>
        <v/>
      </c>
      <c r="AD567" s="273" t="e">
        <f ca="1">+MAX(PAA[[#This Row],[Pago por Contrato]],)</f>
        <v>#NAME?</v>
      </c>
      <c r="AE567" s="273" t="str">
        <f t="shared" ca="1" si="81"/>
        <v/>
      </c>
      <c r="AF567" s="265" t="e">
        <f t="shared" ca="1" si="82"/>
        <v>#NAME?</v>
      </c>
      <c r="AG567" s="265">
        <f t="shared" si="83"/>
        <v>52010803</v>
      </c>
      <c r="AH567" s="265" t="e" cm="1">
        <f t="array" aca="1" ref="AH567" ca="1">_xlfn.XLOOKUP(PAA[[#This Row],[RCP-RUBRO]],COMPROMISOS_2025[[#All],[concatenado]],COMPROMISOS_2025[[#All],[Total pagado]],"",0)</f>
        <v>#NAME?</v>
      </c>
      <c r="AI567" s="265" t="e" cm="1">
        <f t="array" aca="1" ref="AI567" ca="1">_xlfn.XLOOKUP(PAA[[#This Row],[RCP-RUBRO]],COMPROMISOS_2025[[#All],[concatenado]],COMPROMISOS_2025[[#All],[Total Comprometido]],"",0)</f>
        <v>#NAME?</v>
      </c>
    </row>
    <row r="568" spans="1:35" s="50" customFormat="1" ht="42" hidden="1" customHeight="1" x14ac:dyDescent="0.25">
      <c r="A568" s="254">
        <v>467</v>
      </c>
      <c r="B568" s="255">
        <v>80111600</v>
      </c>
      <c r="C568" s="254" t="str">
        <f>VLOOKUP(PAA[[#This Row],[PROYECTO (formulado)2]],PROYECTOS!$G$1:$L$32,6,0)</f>
        <v>SUBGERENCIA DE ALTOS LOGROS Y DEPORTE ASOCIADO</v>
      </c>
      <c r="D568" s="254" t="str">
        <f>+IF(PAA[[#This Row],[UNIDAD DE CONTRATACION (formulado)]]="Subgerencia Administrativa y Financiera","FUNCIONAMIENTO","INVERSIÓN")</f>
        <v>INVERSIÓN</v>
      </c>
      <c r="E568" s="256" t="str">
        <f>VLOOKUP(Q568,PROYECTOS!$G$1:$K$32,5,0)</f>
        <v>Apoyo y subvención para satisfacer necesidades propias del proceso de preparación y competencia de los Atletas y Para-atletas de alto rendimiento del departamento de Antioquia</v>
      </c>
      <c r="F568" s="256">
        <f>VLOOKUP(E568,PROYECTOS!$K$1:$M$32,3,0)</f>
        <v>2024003050085</v>
      </c>
      <c r="G568" s="256" t="s">
        <v>666</v>
      </c>
      <c r="H568" s="257" t="str">
        <f>VLOOKUP(Q568,PROYECTOS!$V$1:$W$32,2,0)</f>
        <v>050077</v>
      </c>
      <c r="I568" s="258">
        <v>75218000</v>
      </c>
      <c r="J568" s="259" t="s">
        <v>671</v>
      </c>
      <c r="K568" s="254" t="str">
        <f t="shared" ca="1" si="78"/>
        <v>CONTRATADO</v>
      </c>
      <c r="L568" s="254" t="s">
        <v>112</v>
      </c>
      <c r="M568" s="254" t="s">
        <v>113</v>
      </c>
      <c r="N568" s="254" t="s">
        <v>672</v>
      </c>
      <c r="O568" s="254">
        <f>VLOOKUP(N568,RUBROS[#All],3,0)</f>
        <v>64</v>
      </c>
      <c r="P568" s="254" t="str">
        <f>VLOOKUP(N568,RUBROS[#All],2,0)</f>
        <v>Apoyo y subvención para satisfacer necesidades propias del proceso de preparación y competencia de los Atletas y Para-atletas de alto rendimiento del departamento de Antioquia - Servicios para la comunidad, sociales y personales</v>
      </c>
      <c r="Q568" s="254" t="str">
        <f t="shared" si="79"/>
        <v>85</v>
      </c>
      <c r="R568" s="265" t="str">
        <f t="shared" si="80"/>
        <v>0-205128</v>
      </c>
      <c r="S568" s="254">
        <v>10</v>
      </c>
      <c r="T568" s="260" t="s">
        <v>46</v>
      </c>
      <c r="U568" s="261" t="e">
        <f ca="1">_xlfn.XLOOKUP(PAA[[#This Row],[ITEM]],Contrato!A:A,Contrato!Q:Q,"",0)</f>
        <v>#NAME?</v>
      </c>
      <c r="V568" s="254" t="s">
        <v>47</v>
      </c>
      <c r="W568" s="254" t="s">
        <v>154</v>
      </c>
      <c r="X568" s="254" t="s">
        <v>154</v>
      </c>
      <c r="Y568" s="262" t="e">
        <f ca="1">_xlfn.XLOOKUP(PAA[[#This Row],[ITEM]],Contrato!A:A,Contrato!B:B,"",0)</f>
        <v>#NAME?</v>
      </c>
      <c r="Z568" s="254" t="e">
        <f ca="1">_xlfn.XLOOKUP(PAA[[#This Row],[ITEM]],Contrato!A:A,Contrato!G:G,"",0)</f>
        <v>#NAME?</v>
      </c>
      <c r="AA568" s="254" t="e">
        <f ca="1">_xlfn.XLOOKUP(PAA[[#This Row],[ITEM]],Contrato!A:A,Contrato!T:T,"",0)</f>
        <v>#NAME?</v>
      </c>
      <c r="AB568" s="262" t="e">
        <f ca="1">+MAX(PAA[[#This Row],[Comprometido Contrato]],)</f>
        <v>#NAME?</v>
      </c>
      <c r="AC568" s="262" t="str">
        <f t="shared" ca="1" si="77"/>
        <v/>
      </c>
      <c r="AD568" s="262" t="e">
        <f ca="1">+MAX(PAA[[#This Row],[Pago por Contrato]],)</f>
        <v>#NAME?</v>
      </c>
      <c r="AE568" s="262" t="str">
        <f t="shared" ca="1" si="81"/>
        <v/>
      </c>
      <c r="AF568" s="254" t="e">
        <f t="shared" ca="1" si="82"/>
        <v>#NAME?</v>
      </c>
      <c r="AG568" s="254">
        <f t="shared" si="83"/>
        <v>52010803</v>
      </c>
      <c r="AH568" s="254" t="e" cm="1">
        <f t="array" aca="1" ref="AH568" ca="1">_xlfn.XLOOKUP(PAA[[#This Row],[RCP-RUBRO]],COMPROMISOS_2025[[#All],[concatenado]],COMPROMISOS_2025[[#All],[Total pagado]],"",0)</f>
        <v>#NAME?</v>
      </c>
      <c r="AI568" s="254" t="e" cm="1">
        <f t="array" aca="1" ref="AI568" ca="1">_xlfn.XLOOKUP(PAA[[#This Row],[RCP-RUBRO]],COMPROMISOS_2025[[#All],[concatenado]],COMPROMISOS_2025[[#All],[Total Comprometido]],"",0)</f>
        <v>#NAME?</v>
      </c>
    </row>
    <row r="569" spans="1:35" s="50" customFormat="1" ht="42" hidden="1" customHeight="1" x14ac:dyDescent="0.25">
      <c r="A569" s="326">
        <v>468</v>
      </c>
      <c r="B569" s="389">
        <v>90141502</v>
      </c>
      <c r="C569" s="326" t="str">
        <f>VLOOKUP(PAA[[#This Row],[PROYECTO (formulado)2]],PROYECTOS!$G$1:$L$32,6,0)</f>
        <v>SUBGERENCIA DE ALTOS LOGROS Y DEPORTE ASOCIADO</v>
      </c>
      <c r="D569" s="326" t="str">
        <f>+IF(PAA[[#This Row],[UNIDAD DE CONTRATACION (formulado)]]="Subgerencia Administrativa y Financiera","FUNCIONAMIENTO","INVERSIÓN")</f>
        <v>INVERSIÓN</v>
      </c>
      <c r="E569" s="328" t="str">
        <f>VLOOKUP(Q569,PROYECTOS!$G$1:$K$32,5,0)</f>
        <v>Fortalecimiento del desarrollo deportivo con miras al alto rendimiento competitivo de los atletas del departamento de Antioquia</v>
      </c>
      <c r="F569" s="328">
        <f>VLOOKUP(E569,PROYECTOS!$K$1:$M$32,3,0)</f>
        <v>2024003050087</v>
      </c>
      <c r="G569" s="328" t="s">
        <v>673</v>
      </c>
      <c r="H569" s="390" t="str">
        <f>VLOOKUP(Q569,PROYECTOS!$V$1:$W$32,2,0)</f>
        <v>050078</v>
      </c>
      <c r="I569" s="329">
        <v>0</v>
      </c>
      <c r="J569" s="391" t="s">
        <v>41</v>
      </c>
      <c r="K569" s="326" t="str">
        <f t="shared" ca="1" si="78"/>
        <v>CONTRATADO</v>
      </c>
      <c r="L569" s="326" t="s">
        <v>112</v>
      </c>
      <c r="M569" s="326" t="s">
        <v>361</v>
      </c>
      <c r="N569" s="326" t="s">
        <v>674</v>
      </c>
      <c r="O569" s="326">
        <f>VLOOKUP(N569,RUBROS[#All],3,0)</f>
        <v>69</v>
      </c>
      <c r="P569" s="326" t="str">
        <f>VLOOKUP(N569,RUBROS[#All],2,0)</f>
        <v>Fortalecimiento del desarrollo deportivo con miras al alto rendimiento competitivo de los atletas del departamento de Antioquia -Actividades de promoción y desarrollo del Deporte</v>
      </c>
      <c r="Q569" s="326" t="str">
        <f t="shared" si="79"/>
        <v>87</v>
      </c>
      <c r="R569" s="326" t="str">
        <f t="shared" si="80"/>
        <v>0-205128</v>
      </c>
      <c r="S569" s="333">
        <v>9</v>
      </c>
      <c r="T569" s="337" t="s">
        <v>46</v>
      </c>
      <c r="U569" s="335" t="e">
        <f ca="1">_xlfn.XLOOKUP(PAA[[#This Row],[ITEM]],Contrato!A:A,Contrato!Q:Q,"",0)</f>
        <v>#NAME?</v>
      </c>
      <c r="V569" s="326" t="s">
        <v>47</v>
      </c>
      <c r="W569" s="326" t="s">
        <v>127</v>
      </c>
      <c r="X569" s="326" t="s">
        <v>127</v>
      </c>
      <c r="Y569" s="336" t="e">
        <f ca="1">_xlfn.XLOOKUP(PAA[[#This Row],[ITEM]],Contrato!A:A,Contrato!B:B,"",0)</f>
        <v>#NAME?</v>
      </c>
      <c r="Z569" s="326" t="e">
        <f ca="1">_xlfn.XLOOKUP(PAA[[#This Row],[ITEM]],Contrato!A:A,Contrato!G:G,"",0)</f>
        <v>#NAME?</v>
      </c>
      <c r="AA569" s="326" t="e">
        <f ca="1">_xlfn.XLOOKUP(PAA[[#This Row],[ITEM]],Contrato!A:A,Contrato!T:T,"",0)</f>
        <v>#NAME?</v>
      </c>
      <c r="AB569" s="336" t="e">
        <f ca="1">+MAX(PAA[[#This Row],[Comprometido Contrato]],)</f>
        <v>#NAME?</v>
      </c>
      <c r="AC569" s="336" t="str">
        <f t="shared" ca="1" si="77"/>
        <v/>
      </c>
      <c r="AD569" s="336" t="e">
        <f ca="1">+MAX(PAA[[#This Row],[Pago por Contrato]],)</f>
        <v>#NAME?</v>
      </c>
      <c r="AE569" s="336" t="str">
        <f t="shared" ca="1" si="81"/>
        <v/>
      </c>
      <c r="AF569" s="326" t="e">
        <f t="shared" ca="1" si="82"/>
        <v>#NAME?</v>
      </c>
      <c r="AG569" s="326">
        <f t="shared" si="83"/>
        <v>52010805</v>
      </c>
      <c r="AH569" s="326" t="e" cm="1">
        <f t="array" aca="1" ref="AH569" ca="1">_xlfn.XLOOKUP(PAA[[#This Row],[RCP-RUBRO]],COMPROMISOS_2025[[#All],[concatenado]],COMPROMISOS_2025[[#All],[Total pagado]],"",0)</f>
        <v>#NAME?</v>
      </c>
      <c r="AI569" s="326" t="e" cm="1">
        <f t="array" aca="1" ref="AI569" ca="1">_xlfn.XLOOKUP(PAA[[#This Row],[RCP-RUBRO]],COMPROMISOS_2025[[#All],[concatenado]],COMPROMISOS_2025[[#All],[Total Comprometido]],"",0)</f>
        <v>#NAME?</v>
      </c>
    </row>
    <row r="570" spans="1:35" s="50" customFormat="1" ht="42" hidden="1" customHeight="1" x14ac:dyDescent="0.25">
      <c r="A570" s="326">
        <v>469</v>
      </c>
      <c r="B570" s="389">
        <v>90141502</v>
      </c>
      <c r="C570" s="326" t="str">
        <f>VLOOKUP(PAA[[#This Row],[PROYECTO (formulado)2]],PROYECTOS!$G$1:$L$32,6,0)</f>
        <v>SUBGERENCIA DE ALTOS LOGROS Y DEPORTE ASOCIADO</v>
      </c>
      <c r="D570" s="326" t="str">
        <f>+IF(PAA[[#This Row],[UNIDAD DE CONTRATACION (formulado)]]="Subgerencia Administrativa y Financiera","FUNCIONAMIENTO","INVERSIÓN")</f>
        <v>INVERSIÓN</v>
      </c>
      <c r="E570" s="328" t="str">
        <f>VLOOKUP(Q570,PROYECTOS!$G$1:$K$32,5,0)</f>
        <v>Fortalecimiento del desarrollo deportivo con miras al alto rendimiento competitivo de los atletas del departamento de Antioquia</v>
      </c>
      <c r="F570" s="328">
        <f>VLOOKUP(E570,PROYECTOS!$K$1:$M$32,3,0)</f>
        <v>2024003050087</v>
      </c>
      <c r="G570" s="328" t="s">
        <v>673</v>
      </c>
      <c r="H570" s="390" t="str">
        <f>VLOOKUP(Q570,PROYECTOS!$V$1:$W$32,2,0)</f>
        <v>050078</v>
      </c>
      <c r="I570" s="329">
        <v>0</v>
      </c>
      <c r="J570" s="391" t="s">
        <v>41</v>
      </c>
      <c r="K570" s="326" t="str">
        <f t="shared" ca="1" si="78"/>
        <v>CONTRATADO</v>
      </c>
      <c r="L570" s="326" t="s">
        <v>112</v>
      </c>
      <c r="M570" s="326" t="s">
        <v>361</v>
      </c>
      <c r="N570" s="326" t="s">
        <v>674</v>
      </c>
      <c r="O570" s="326">
        <f>VLOOKUP(N570,RUBROS[#All],3,0)</f>
        <v>69</v>
      </c>
      <c r="P570" s="326" t="str">
        <f>VLOOKUP(N570,RUBROS[#All],2,0)</f>
        <v>Fortalecimiento del desarrollo deportivo con miras al alto rendimiento competitivo de los atletas del departamento de Antioquia -Actividades de promoción y desarrollo del Deporte</v>
      </c>
      <c r="Q570" s="326" t="str">
        <f t="shared" si="79"/>
        <v>87</v>
      </c>
      <c r="R570" s="326" t="str">
        <f t="shared" si="80"/>
        <v>0-205128</v>
      </c>
      <c r="S570" s="333">
        <v>9</v>
      </c>
      <c r="T570" s="337" t="s">
        <v>46</v>
      </c>
      <c r="U570" s="335" t="e">
        <f ca="1">_xlfn.XLOOKUP(PAA[[#This Row],[ITEM]],Contrato!A:A,Contrato!Q:Q,"",0)</f>
        <v>#NAME?</v>
      </c>
      <c r="V570" s="326" t="s">
        <v>47</v>
      </c>
      <c r="W570" s="326" t="s">
        <v>127</v>
      </c>
      <c r="X570" s="326" t="s">
        <v>127</v>
      </c>
      <c r="Y570" s="336" t="e">
        <f ca="1">_xlfn.XLOOKUP(PAA[[#This Row],[ITEM]],Contrato!A:A,Contrato!B:B,"",0)</f>
        <v>#NAME?</v>
      </c>
      <c r="Z570" s="326" t="e">
        <f ca="1">_xlfn.XLOOKUP(PAA[[#This Row],[ITEM]],Contrato!A:A,Contrato!G:G,"",0)</f>
        <v>#NAME?</v>
      </c>
      <c r="AA570" s="326" t="e">
        <f ca="1">_xlfn.XLOOKUP(PAA[[#This Row],[ITEM]],Contrato!A:A,Contrato!T:T,"",0)</f>
        <v>#NAME?</v>
      </c>
      <c r="AB570" s="336" t="e">
        <f ca="1">+MAX(PAA[[#This Row],[Comprometido Contrato]],)</f>
        <v>#NAME?</v>
      </c>
      <c r="AC570" s="336" t="str">
        <f t="shared" ca="1" si="77"/>
        <v/>
      </c>
      <c r="AD570" s="336" t="e">
        <f ca="1">+MAX(PAA[[#This Row],[Pago por Contrato]],)</f>
        <v>#NAME?</v>
      </c>
      <c r="AE570" s="336" t="str">
        <f t="shared" ca="1" si="81"/>
        <v/>
      </c>
      <c r="AF570" s="326" t="e">
        <f t="shared" ca="1" si="82"/>
        <v>#NAME?</v>
      </c>
      <c r="AG570" s="326">
        <f t="shared" si="83"/>
        <v>52010805</v>
      </c>
      <c r="AH570" s="326" t="e" cm="1">
        <f t="array" aca="1" ref="AH570" ca="1">_xlfn.XLOOKUP(PAA[[#This Row],[RCP-RUBRO]],COMPROMISOS_2025[[#All],[concatenado]],COMPROMISOS_2025[[#All],[Total pagado]],"",0)</f>
        <v>#NAME?</v>
      </c>
      <c r="AI570" s="326" t="e" cm="1">
        <f t="array" aca="1" ref="AI570" ca="1">_xlfn.XLOOKUP(PAA[[#This Row],[RCP-RUBRO]],COMPROMISOS_2025[[#All],[concatenado]],COMPROMISOS_2025[[#All],[Total Comprometido]],"",0)</f>
        <v>#NAME?</v>
      </c>
    </row>
    <row r="571" spans="1:35" s="50" customFormat="1" ht="42" hidden="1" customHeight="1" x14ac:dyDescent="0.25">
      <c r="A571" s="326">
        <v>470</v>
      </c>
      <c r="B571" s="389">
        <v>90141502</v>
      </c>
      <c r="C571" s="326" t="str">
        <f>VLOOKUP(PAA[[#This Row],[PROYECTO (formulado)2]],PROYECTOS!$G$1:$L$32,6,0)</f>
        <v>SUBGERENCIA DE ALTOS LOGROS Y DEPORTE ASOCIADO</v>
      </c>
      <c r="D571" s="326" t="str">
        <f>+IF(PAA[[#This Row],[UNIDAD DE CONTRATACION (formulado)]]="Subgerencia Administrativa y Financiera","FUNCIONAMIENTO","INVERSIÓN")</f>
        <v>INVERSIÓN</v>
      </c>
      <c r="E571" s="328" t="str">
        <f>VLOOKUP(Q571,PROYECTOS!$G$1:$K$32,5,0)</f>
        <v>Fortalecimiento del desarrollo deportivo con miras al alto rendimiento competitivo de los atletas del departamento de Antioquia</v>
      </c>
      <c r="F571" s="328">
        <f>VLOOKUP(E571,PROYECTOS!$K$1:$M$32,3,0)</f>
        <v>2024003050087</v>
      </c>
      <c r="G571" s="328" t="s">
        <v>673</v>
      </c>
      <c r="H571" s="390" t="str">
        <f>VLOOKUP(Q571,PROYECTOS!$V$1:$W$32,2,0)</f>
        <v>050078</v>
      </c>
      <c r="I571" s="329">
        <v>0</v>
      </c>
      <c r="J571" s="391" t="s">
        <v>41</v>
      </c>
      <c r="K571" s="326" t="str">
        <f t="shared" ca="1" si="78"/>
        <v>CONTRATADO</v>
      </c>
      <c r="L571" s="326" t="s">
        <v>112</v>
      </c>
      <c r="M571" s="326" t="s">
        <v>361</v>
      </c>
      <c r="N571" s="326" t="s">
        <v>674</v>
      </c>
      <c r="O571" s="326">
        <f>VLOOKUP(N571,RUBROS[#All],3,0)</f>
        <v>69</v>
      </c>
      <c r="P571" s="326" t="str">
        <f>VLOOKUP(N571,RUBROS[#All],2,0)</f>
        <v>Fortalecimiento del desarrollo deportivo con miras al alto rendimiento competitivo de los atletas del departamento de Antioquia -Actividades de promoción y desarrollo del Deporte</v>
      </c>
      <c r="Q571" s="326" t="str">
        <f t="shared" si="79"/>
        <v>87</v>
      </c>
      <c r="R571" s="326" t="str">
        <f t="shared" si="80"/>
        <v>0-205128</v>
      </c>
      <c r="S571" s="333">
        <v>9</v>
      </c>
      <c r="T571" s="337" t="s">
        <v>46</v>
      </c>
      <c r="U571" s="335" t="e">
        <f ca="1">_xlfn.XLOOKUP(PAA[[#This Row],[ITEM]],Contrato!A:A,Contrato!Q:Q,"",0)</f>
        <v>#NAME?</v>
      </c>
      <c r="V571" s="326" t="s">
        <v>47</v>
      </c>
      <c r="W571" s="326" t="s">
        <v>127</v>
      </c>
      <c r="X571" s="326" t="s">
        <v>127</v>
      </c>
      <c r="Y571" s="336" t="e">
        <f ca="1">_xlfn.XLOOKUP(PAA[[#This Row],[ITEM]],Contrato!A:A,Contrato!B:B,"",0)</f>
        <v>#NAME?</v>
      </c>
      <c r="Z571" s="326" t="e">
        <f ca="1">_xlfn.XLOOKUP(PAA[[#This Row],[ITEM]],Contrato!A:A,Contrato!G:G,"",0)</f>
        <v>#NAME?</v>
      </c>
      <c r="AA571" s="326" t="e">
        <f ca="1">_xlfn.XLOOKUP(PAA[[#This Row],[ITEM]],Contrato!A:A,Contrato!T:T,"",0)</f>
        <v>#NAME?</v>
      </c>
      <c r="AB571" s="336" t="e">
        <f ca="1">+MAX(PAA[[#This Row],[Comprometido Contrato]],)</f>
        <v>#NAME?</v>
      </c>
      <c r="AC571" s="336" t="str">
        <f t="shared" ca="1" si="77"/>
        <v/>
      </c>
      <c r="AD571" s="336" t="e">
        <f ca="1">+MAX(PAA[[#This Row],[Pago por Contrato]],)</f>
        <v>#NAME?</v>
      </c>
      <c r="AE571" s="336" t="str">
        <f t="shared" ca="1" si="81"/>
        <v/>
      </c>
      <c r="AF571" s="326" t="e">
        <f t="shared" ca="1" si="82"/>
        <v>#NAME?</v>
      </c>
      <c r="AG571" s="326">
        <f t="shared" si="83"/>
        <v>52010805</v>
      </c>
      <c r="AH571" s="326" t="e" cm="1">
        <f t="array" aca="1" ref="AH571" ca="1">_xlfn.XLOOKUP(PAA[[#This Row],[RCP-RUBRO]],COMPROMISOS_2025[[#All],[concatenado]],COMPROMISOS_2025[[#All],[Total pagado]],"",0)</f>
        <v>#NAME?</v>
      </c>
      <c r="AI571" s="326" t="e" cm="1">
        <f t="array" aca="1" ref="AI571" ca="1">_xlfn.XLOOKUP(PAA[[#This Row],[RCP-RUBRO]],COMPROMISOS_2025[[#All],[concatenado]],COMPROMISOS_2025[[#All],[Total Comprometido]],"",0)</f>
        <v>#NAME?</v>
      </c>
    </row>
    <row r="572" spans="1:35" s="50" customFormat="1" ht="42" hidden="1" customHeight="1" x14ac:dyDescent="0.25">
      <c r="A572" s="326">
        <v>471</v>
      </c>
      <c r="B572" s="389">
        <v>90141502</v>
      </c>
      <c r="C572" s="326" t="str">
        <f>VLOOKUP(PAA[[#This Row],[PROYECTO (formulado)2]],PROYECTOS!$G$1:$L$32,6,0)</f>
        <v>SUBGERENCIA DE ALTOS LOGROS Y DEPORTE ASOCIADO</v>
      </c>
      <c r="D572" s="326" t="str">
        <f>+IF(PAA[[#This Row],[UNIDAD DE CONTRATACION (formulado)]]="Subgerencia Administrativa y Financiera","FUNCIONAMIENTO","INVERSIÓN")</f>
        <v>INVERSIÓN</v>
      </c>
      <c r="E572" s="328" t="str">
        <f>VLOOKUP(Q572,PROYECTOS!$G$1:$K$32,5,0)</f>
        <v>Fortalecimiento del desarrollo deportivo con miras al alto rendimiento competitivo de los atletas del departamento de Antioquia</v>
      </c>
      <c r="F572" s="328">
        <f>VLOOKUP(E572,PROYECTOS!$K$1:$M$32,3,0)</f>
        <v>2024003050087</v>
      </c>
      <c r="G572" s="328" t="s">
        <v>673</v>
      </c>
      <c r="H572" s="390" t="str">
        <f>VLOOKUP(Q572,PROYECTOS!$V$1:$W$32,2,0)</f>
        <v>050078</v>
      </c>
      <c r="I572" s="329">
        <v>0</v>
      </c>
      <c r="J572" s="391" t="s">
        <v>41</v>
      </c>
      <c r="K572" s="326" t="str">
        <f t="shared" ca="1" si="78"/>
        <v>CONTRATADO</v>
      </c>
      <c r="L572" s="326" t="s">
        <v>112</v>
      </c>
      <c r="M572" s="326" t="s">
        <v>361</v>
      </c>
      <c r="N572" s="326" t="s">
        <v>674</v>
      </c>
      <c r="O572" s="326">
        <f>VLOOKUP(N572,RUBROS[#All],3,0)</f>
        <v>69</v>
      </c>
      <c r="P572" s="326" t="str">
        <f>VLOOKUP(N572,RUBROS[#All],2,0)</f>
        <v>Fortalecimiento del desarrollo deportivo con miras al alto rendimiento competitivo de los atletas del departamento de Antioquia -Actividades de promoción y desarrollo del Deporte</v>
      </c>
      <c r="Q572" s="326" t="str">
        <f t="shared" si="79"/>
        <v>87</v>
      </c>
      <c r="R572" s="326" t="str">
        <f t="shared" si="80"/>
        <v>0-205128</v>
      </c>
      <c r="S572" s="333">
        <v>9</v>
      </c>
      <c r="T572" s="337" t="s">
        <v>46</v>
      </c>
      <c r="U572" s="335" t="e">
        <f ca="1">_xlfn.XLOOKUP(PAA[[#This Row],[ITEM]],Contrato!A:A,Contrato!Q:Q,"",0)</f>
        <v>#NAME?</v>
      </c>
      <c r="V572" s="326" t="s">
        <v>47</v>
      </c>
      <c r="W572" s="326" t="s">
        <v>127</v>
      </c>
      <c r="X572" s="326" t="s">
        <v>127</v>
      </c>
      <c r="Y572" s="336" t="e">
        <f ca="1">_xlfn.XLOOKUP(PAA[[#This Row],[ITEM]],Contrato!A:A,Contrato!B:B,"",0)</f>
        <v>#NAME?</v>
      </c>
      <c r="Z572" s="326" t="e">
        <f ca="1">_xlfn.XLOOKUP(PAA[[#This Row],[ITEM]],Contrato!A:A,Contrato!G:G,"",0)</f>
        <v>#NAME?</v>
      </c>
      <c r="AA572" s="326" t="e">
        <f ca="1">_xlfn.XLOOKUP(PAA[[#This Row],[ITEM]],Contrato!A:A,Contrato!T:T,"",0)</f>
        <v>#NAME?</v>
      </c>
      <c r="AB572" s="336" t="e">
        <f ca="1">+MAX(PAA[[#This Row],[Comprometido Contrato]],)</f>
        <v>#NAME?</v>
      </c>
      <c r="AC572" s="336" t="str">
        <f t="shared" ca="1" si="77"/>
        <v/>
      </c>
      <c r="AD572" s="336" t="e">
        <f ca="1">+MAX(PAA[[#This Row],[Pago por Contrato]],)</f>
        <v>#NAME?</v>
      </c>
      <c r="AE572" s="336" t="str">
        <f t="shared" ca="1" si="81"/>
        <v/>
      </c>
      <c r="AF572" s="326" t="e">
        <f t="shared" ca="1" si="82"/>
        <v>#NAME?</v>
      </c>
      <c r="AG572" s="326">
        <f t="shared" si="83"/>
        <v>52010805</v>
      </c>
      <c r="AH572" s="326" t="e" cm="1">
        <f t="array" aca="1" ref="AH572" ca="1">_xlfn.XLOOKUP(PAA[[#This Row],[RCP-RUBRO]],COMPROMISOS_2025[[#All],[concatenado]],COMPROMISOS_2025[[#All],[Total pagado]],"",0)</f>
        <v>#NAME?</v>
      </c>
      <c r="AI572" s="326" t="e" cm="1">
        <f t="array" aca="1" ref="AI572" ca="1">_xlfn.XLOOKUP(PAA[[#This Row],[RCP-RUBRO]],COMPROMISOS_2025[[#All],[concatenado]],COMPROMISOS_2025[[#All],[Total Comprometido]],"",0)</f>
        <v>#NAME?</v>
      </c>
    </row>
    <row r="573" spans="1:35" s="50" customFormat="1" ht="42" hidden="1" customHeight="1" x14ac:dyDescent="0.25">
      <c r="A573" s="326">
        <v>472</v>
      </c>
      <c r="B573" s="389">
        <v>90141502</v>
      </c>
      <c r="C573" s="326" t="str">
        <f>VLOOKUP(PAA[[#This Row],[PROYECTO (formulado)2]],PROYECTOS!$G$1:$L$32,6,0)</f>
        <v>SUBGERENCIA DE ALTOS LOGROS Y DEPORTE ASOCIADO</v>
      </c>
      <c r="D573" s="326" t="str">
        <f>+IF(PAA[[#This Row],[UNIDAD DE CONTRATACION (formulado)]]="Subgerencia Administrativa y Financiera","FUNCIONAMIENTO","INVERSIÓN")</f>
        <v>INVERSIÓN</v>
      </c>
      <c r="E573" s="328" t="str">
        <f>VLOOKUP(Q573,PROYECTOS!$G$1:$K$32,5,0)</f>
        <v>Fortalecimiento del desarrollo deportivo con miras al alto rendimiento competitivo de los atletas del departamento de Antioquia</v>
      </c>
      <c r="F573" s="328">
        <f>VLOOKUP(E573,PROYECTOS!$K$1:$M$32,3,0)</f>
        <v>2024003050087</v>
      </c>
      <c r="G573" s="328" t="s">
        <v>673</v>
      </c>
      <c r="H573" s="390" t="str">
        <f>VLOOKUP(Q573,PROYECTOS!$V$1:$W$32,2,0)</f>
        <v>050078</v>
      </c>
      <c r="I573" s="329">
        <v>0</v>
      </c>
      <c r="J573" s="391" t="s">
        <v>41</v>
      </c>
      <c r="K573" s="326" t="str">
        <f t="shared" ca="1" si="78"/>
        <v>CONTRATADO</v>
      </c>
      <c r="L573" s="326" t="s">
        <v>112</v>
      </c>
      <c r="M573" s="326" t="s">
        <v>361</v>
      </c>
      <c r="N573" s="326" t="s">
        <v>675</v>
      </c>
      <c r="O573" s="326">
        <f>VLOOKUP(N573,RUBROS[#All],3,0)</f>
        <v>67</v>
      </c>
      <c r="P573" s="326" t="str">
        <f>VLOOKUP(N573,RUBROS[#All],2,0)</f>
        <v>Fortalecimiento del desarrollo deportivo con miras al alto rendimiento competitivo de los atletas del departamento de Antioquia -Actividades de promoción y desarrollo del Deporte</v>
      </c>
      <c r="Q573" s="326" t="str">
        <f t="shared" si="79"/>
        <v>87</v>
      </c>
      <c r="R573" s="326" t="str">
        <f t="shared" si="80"/>
        <v>0-101024</v>
      </c>
      <c r="S573" s="333">
        <v>9</v>
      </c>
      <c r="T573" s="337" t="s">
        <v>46</v>
      </c>
      <c r="U573" s="335" t="e">
        <f ca="1">_xlfn.XLOOKUP(PAA[[#This Row],[ITEM]],Contrato!A:A,Contrato!Q:Q,"",0)</f>
        <v>#NAME?</v>
      </c>
      <c r="V573" s="326" t="s">
        <v>47</v>
      </c>
      <c r="W573" s="326" t="s">
        <v>127</v>
      </c>
      <c r="X573" s="326" t="s">
        <v>127</v>
      </c>
      <c r="Y573" s="336" t="e">
        <f ca="1">_xlfn.XLOOKUP(PAA[[#This Row],[ITEM]],Contrato!A:A,Contrato!B:B,"",0)</f>
        <v>#NAME?</v>
      </c>
      <c r="Z573" s="326" t="e">
        <f ca="1">_xlfn.XLOOKUP(PAA[[#This Row],[ITEM]],Contrato!A:A,Contrato!G:G,"",0)</f>
        <v>#NAME?</v>
      </c>
      <c r="AA573" s="326" t="e">
        <f ca="1">_xlfn.XLOOKUP(PAA[[#This Row],[ITEM]],Contrato!A:A,Contrato!T:T,"",0)</f>
        <v>#NAME?</v>
      </c>
      <c r="AB573" s="336" t="e">
        <f ca="1">+MAX(PAA[[#This Row],[Comprometido Contrato]],)</f>
        <v>#NAME?</v>
      </c>
      <c r="AC573" s="336" t="str">
        <f t="shared" ca="1" si="77"/>
        <v/>
      </c>
      <c r="AD573" s="336" t="e">
        <f ca="1">+MAX(PAA[[#This Row],[Pago por Contrato]],)</f>
        <v>#NAME?</v>
      </c>
      <c r="AE573" s="336" t="str">
        <f t="shared" ca="1" si="81"/>
        <v/>
      </c>
      <c r="AF573" s="326" t="e">
        <f t="shared" ca="1" si="82"/>
        <v>#NAME?</v>
      </c>
      <c r="AG573" s="326">
        <f t="shared" si="83"/>
        <v>52010805</v>
      </c>
      <c r="AH573" s="326" t="e" cm="1">
        <f t="array" aca="1" ref="AH573" ca="1">_xlfn.XLOOKUP(PAA[[#This Row],[RCP-RUBRO]],COMPROMISOS_2025[[#All],[concatenado]],COMPROMISOS_2025[[#All],[Total pagado]],"",0)</f>
        <v>#NAME?</v>
      </c>
      <c r="AI573" s="326" t="e" cm="1">
        <f t="array" aca="1" ref="AI573" ca="1">_xlfn.XLOOKUP(PAA[[#This Row],[RCP-RUBRO]],COMPROMISOS_2025[[#All],[concatenado]],COMPROMISOS_2025[[#All],[Total Comprometido]],"",0)</f>
        <v>#NAME?</v>
      </c>
    </row>
    <row r="574" spans="1:35" s="50" customFormat="1" ht="42" hidden="1" customHeight="1" x14ac:dyDescent="0.25">
      <c r="A574" s="199">
        <v>473</v>
      </c>
      <c r="B574" s="212">
        <v>80111600</v>
      </c>
      <c r="C574" s="199" t="str">
        <f>VLOOKUP(PAA[[#This Row],[PROYECTO (formulado)2]],PROYECTOS!$G$1:$L$32,6,0)</f>
        <v>SUBGERENCIA DE ALTOS LOGROS Y DEPORTE ASOCIADO</v>
      </c>
      <c r="D574" s="199" t="str">
        <f>+IF(PAA[[#This Row],[UNIDAD DE CONTRATACION (formulado)]]="Subgerencia Administrativa y Financiera","FUNCIONAMIENTO","INVERSIÓN")</f>
        <v>INVERSIÓN</v>
      </c>
      <c r="E574" s="202" t="str">
        <f>VLOOKUP(Q574,PROYECTOS!$G$1:$K$32,5,0)</f>
        <v>Fortalecimiento del desarrollo deportivo con miras al alto rendimiento competitivo de los atletas del departamento de Antioquia</v>
      </c>
      <c r="F574" s="202">
        <f>VLOOKUP(E574,PROYECTOS!$K$1:$M$32,3,0)</f>
        <v>2024003050087</v>
      </c>
      <c r="G574" s="202" t="s">
        <v>396</v>
      </c>
      <c r="H574" s="215" t="str">
        <f>VLOOKUP(Q574,PROYECTOS!$V$1:$W$32,2,0)</f>
        <v>050078</v>
      </c>
      <c r="I574" s="203">
        <v>34190000</v>
      </c>
      <c r="J574" s="216" t="s">
        <v>676</v>
      </c>
      <c r="K574" s="199" t="str">
        <f t="shared" ca="1" si="78"/>
        <v>CONTRATADO</v>
      </c>
      <c r="L574" s="199" t="s">
        <v>112</v>
      </c>
      <c r="M574" s="199" t="s">
        <v>113</v>
      </c>
      <c r="N574" s="199" t="s">
        <v>398</v>
      </c>
      <c r="O574" s="199">
        <f>VLOOKUP(N574,RUBROS[#All],3,0)</f>
        <v>66</v>
      </c>
      <c r="P574" s="199" t="str">
        <f>VLOOKUP(N574,RUBROS[#All],2,0)</f>
        <v xml:space="preserve">Fortalecimiento del desarrollo deportivo con miras al alto rendimiento competitivo de los atletas del departamento de Antioquia - Servicios prestados a las empresas y servicios de producción </v>
      </c>
      <c r="Q574" s="199" t="str">
        <f t="shared" si="79"/>
        <v>87</v>
      </c>
      <c r="R574" s="199" t="str">
        <f t="shared" si="80"/>
        <v>0-101024</v>
      </c>
      <c r="S574" s="207">
        <v>10</v>
      </c>
      <c r="T574" s="208" t="s">
        <v>46</v>
      </c>
      <c r="U574" s="209" t="e">
        <f ca="1">_xlfn.XLOOKUP(PAA[[#This Row],[ITEM]],Contrato!A:A,Contrato!Q:Q,"",0)</f>
        <v>#NAME?</v>
      </c>
      <c r="V574" s="199" t="s">
        <v>47</v>
      </c>
      <c r="W574" s="199" t="s">
        <v>154</v>
      </c>
      <c r="X574" s="199" t="s">
        <v>154</v>
      </c>
      <c r="Y574" s="210" t="e">
        <f ca="1">_xlfn.XLOOKUP(PAA[[#This Row],[ITEM]],Contrato!A:A,Contrato!B:B,"",0)</f>
        <v>#NAME?</v>
      </c>
      <c r="Z574" s="199" t="e">
        <f ca="1">_xlfn.XLOOKUP(PAA[[#This Row],[ITEM]],Contrato!A:A,Contrato!G:G,"",0)</f>
        <v>#NAME?</v>
      </c>
      <c r="AA574" s="199" t="e">
        <f ca="1">_xlfn.XLOOKUP(PAA[[#This Row],[ITEM]],Contrato!A:A,Contrato!T:T,"",0)</f>
        <v>#NAME?</v>
      </c>
      <c r="AB574" s="210" t="e">
        <f ca="1">+MAX(PAA[[#This Row],[Comprometido Contrato]],)</f>
        <v>#NAME?</v>
      </c>
      <c r="AC574" s="210" t="str">
        <f t="shared" ca="1" si="77"/>
        <v/>
      </c>
      <c r="AD574" s="210" t="e">
        <f ca="1">+MAX(PAA[[#This Row],[Pago por Contrato]],)</f>
        <v>#NAME?</v>
      </c>
      <c r="AE574" s="210" t="str">
        <f t="shared" ca="1" si="81"/>
        <v/>
      </c>
      <c r="AF574" s="199" t="e">
        <f t="shared" ca="1" si="82"/>
        <v>#NAME?</v>
      </c>
      <c r="AG574" s="199">
        <f t="shared" si="83"/>
        <v>52010805</v>
      </c>
      <c r="AH574" s="199" t="e" cm="1">
        <f t="array" aca="1" ref="AH574" ca="1">_xlfn.XLOOKUP(PAA[[#This Row],[RCP-RUBRO]],COMPROMISOS_2025[[#All],[concatenado]],COMPROMISOS_2025[[#All],[Total pagado]],"",0)</f>
        <v>#NAME?</v>
      </c>
      <c r="AI574" s="199" t="e" cm="1">
        <f t="array" aca="1" ref="AI574" ca="1">_xlfn.XLOOKUP(PAA[[#This Row],[RCP-RUBRO]],COMPROMISOS_2025[[#All],[concatenado]],COMPROMISOS_2025[[#All],[Total Comprometido]],"",0)</f>
        <v>#NAME?</v>
      </c>
    </row>
    <row r="575" spans="1:35" s="50" customFormat="1" ht="42" hidden="1" customHeight="1" x14ac:dyDescent="0.25">
      <c r="A575" s="265">
        <v>474</v>
      </c>
      <c r="B575" s="281">
        <v>80111600</v>
      </c>
      <c r="C575" s="265" t="str">
        <f>VLOOKUP(PAA[[#This Row],[PROYECTO (formulado)2]],PROYECTOS!$G$1:$L$32,6,0)</f>
        <v>SUBGERENCIA DE ALTOS LOGROS Y DEPORTE ASOCIADO</v>
      </c>
      <c r="D575" s="265" t="str">
        <f>+IF(PAA[[#This Row],[UNIDAD DE CONTRATACION (formulado)]]="Subgerencia Administrativa y Financiera","FUNCIONAMIENTO","INVERSIÓN")</f>
        <v>INVERSIÓN</v>
      </c>
      <c r="E575" s="266" t="str">
        <f>VLOOKUP(Q575,PROYECTOS!$G$1:$K$32,5,0)</f>
        <v>Fortalecimiento del desarrollo deportivo con miras al alto rendimiento competitivo de los atletas del departamento de Antioquia</v>
      </c>
      <c r="F575" s="266">
        <f>VLOOKUP(E575,PROYECTOS!$K$1:$M$32,3,0)</f>
        <v>2024003050087</v>
      </c>
      <c r="G575" s="266" t="s">
        <v>396</v>
      </c>
      <c r="H575" s="268" t="str">
        <f>VLOOKUP(Q575,PROYECTOS!$V$1:$W$32,2,0)</f>
        <v>050078</v>
      </c>
      <c r="I575" s="269">
        <v>47866000</v>
      </c>
      <c r="J575" s="282" t="s">
        <v>677</v>
      </c>
      <c r="K575" s="265" t="str">
        <f t="shared" ca="1" si="78"/>
        <v>CONTRATADO</v>
      </c>
      <c r="L575" s="265" t="s">
        <v>112</v>
      </c>
      <c r="M575" s="265" t="s">
        <v>113</v>
      </c>
      <c r="N575" s="265" t="s">
        <v>398</v>
      </c>
      <c r="O575" s="265">
        <f>VLOOKUP(N575,RUBROS[#All],3,0)</f>
        <v>66</v>
      </c>
      <c r="P575" s="265" t="str">
        <f>VLOOKUP(N575,RUBROS[#All],2,0)</f>
        <v xml:space="preserve">Fortalecimiento del desarrollo deportivo con miras al alto rendimiento competitivo de los atletas del departamento de Antioquia - Servicios prestados a las empresas y servicios de producción </v>
      </c>
      <c r="Q575" s="265" t="str">
        <f t="shared" si="79"/>
        <v>87</v>
      </c>
      <c r="R575" s="265" t="str">
        <f t="shared" si="80"/>
        <v>0-101024</v>
      </c>
      <c r="S575" s="265">
        <v>10</v>
      </c>
      <c r="T575" s="271" t="s">
        <v>46</v>
      </c>
      <c r="U575" s="272" t="e">
        <f ca="1">_xlfn.XLOOKUP(PAA[[#This Row],[ITEM]],Contrato!A:A,Contrato!Q:Q,"",0)</f>
        <v>#NAME?</v>
      </c>
      <c r="V575" s="265" t="s">
        <v>47</v>
      </c>
      <c r="W575" s="265" t="s">
        <v>154</v>
      </c>
      <c r="X575" s="265" t="s">
        <v>154</v>
      </c>
      <c r="Y575" s="273" t="e">
        <f ca="1">_xlfn.XLOOKUP(PAA[[#This Row],[ITEM]],Contrato!A:A,Contrato!B:B,"",0)</f>
        <v>#NAME?</v>
      </c>
      <c r="Z575" s="265" t="e">
        <f ca="1">_xlfn.XLOOKUP(PAA[[#This Row],[ITEM]],Contrato!A:A,Contrato!G:G,"",0)</f>
        <v>#NAME?</v>
      </c>
      <c r="AA575" s="265" t="e">
        <f ca="1">_xlfn.XLOOKUP(PAA[[#This Row],[ITEM]],Contrato!A:A,Contrato!T:T,"",0)</f>
        <v>#NAME?</v>
      </c>
      <c r="AB575" s="273" t="e">
        <f ca="1">+MAX(PAA[[#This Row],[Comprometido Contrato]],)</f>
        <v>#NAME?</v>
      </c>
      <c r="AC575" s="273" t="str">
        <f t="shared" ca="1" si="77"/>
        <v/>
      </c>
      <c r="AD575" s="273" t="e">
        <f ca="1">+MAX(PAA[[#This Row],[Pago por Contrato]],)</f>
        <v>#NAME?</v>
      </c>
      <c r="AE575" s="273" t="str">
        <f t="shared" ca="1" si="81"/>
        <v/>
      </c>
      <c r="AF575" s="265" t="e">
        <f t="shared" ca="1" si="82"/>
        <v>#NAME?</v>
      </c>
      <c r="AG575" s="265">
        <f t="shared" si="83"/>
        <v>52010805</v>
      </c>
      <c r="AH575" s="265" t="e" cm="1">
        <f t="array" aca="1" ref="AH575" ca="1">_xlfn.XLOOKUP(PAA[[#This Row],[RCP-RUBRO]],COMPROMISOS_2025[[#All],[concatenado]],COMPROMISOS_2025[[#All],[Total pagado]],"",0)</f>
        <v>#NAME?</v>
      </c>
      <c r="AI575" s="265" t="e" cm="1">
        <f t="array" aca="1" ref="AI575" ca="1">_xlfn.XLOOKUP(PAA[[#This Row],[RCP-RUBRO]],COMPROMISOS_2025[[#All],[concatenado]],COMPROMISOS_2025[[#All],[Total Comprometido]],"",0)</f>
        <v>#NAME?</v>
      </c>
    </row>
    <row r="576" spans="1:35" s="50" customFormat="1" ht="42" hidden="1" customHeight="1" x14ac:dyDescent="0.25">
      <c r="A576" s="57">
        <v>475</v>
      </c>
      <c r="B576" s="188" t="s">
        <v>678</v>
      </c>
      <c r="C576" s="57" t="str">
        <f>VLOOKUP(PAA[[#This Row],[PROYECTO (formulado)2]],PROYECTOS!$G$1:$L$32,6,0)</f>
        <v>SUBGERENCIA ADMINISTRATIVA Y FINANCIERA</v>
      </c>
      <c r="D576" s="57" t="str">
        <f>+IF(PAA[[#This Row],[UNIDAD DE CONTRATACION (formulado)]]="Subgerencia Administrativa y Financiera","FUNCIONAMIENTO","INVERSIÓN")</f>
        <v>FUNCIONAMIENTO</v>
      </c>
      <c r="E576" s="189" t="str">
        <f>VLOOKUP(Q576,PROYECTOS!$G$1:$K$32,5,0)</f>
        <v>Fortalecimiento de los sistemas de información y la gestión estratégica para el deporte, la recreación y la actividad física de Antioquia</v>
      </c>
      <c r="F576" s="154">
        <f>VLOOKUP(E576,PROYECTOS!$K$1:$M$32,3,0)</f>
        <v>2024003050077</v>
      </c>
      <c r="G576" s="154" t="s">
        <v>197</v>
      </c>
      <c r="H576" s="189" t="str">
        <f>VLOOKUP(Q576,PROYECTOS!$V$1:$W$32,2,0)</f>
        <v>220387</v>
      </c>
      <c r="I576" s="143">
        <v>177246765</v>
      </c>
      <c r="J576" s="190" t="s">
        <v>679</v>
      </c>
      <c r="K576" s="57" t="str">
        <f t="shared" ca="1" si="78"/>
        <v>CONTRATADO</v>
      </c>
      <c r="L576" s="57" t="s">
        <v>112</v>
      </c>
      <c r="M576" s="57" t="s">
        <v>142</v>
      </c>
      <c r="N576" s="57" t="s">
        <v>680</v>
      </c>
      <c r="O576" s="57">
        <f>VLOOKUP(N576,RUBROS[#All],3,0)</f>
        <v>50</v>
      </c>
      <c r="P576" s="155" t="str">
        <f>VLOOKUP(N576,RUBROS[#All],2,0)</f>
        <v xml:space="preserve">Fortalecimiento de los sistemas de información y la gestión estratégica para el deporte, la recreación y la actividad física de Antioquia (sistemas) - Servicios prestados a las empresas y servicios de producción </v>
      </c>
      <c r="Q576" s="57" t="str">
        <f t="shared" si="79"/>
        <v>77</v>
      </c>
      <c r="R576" s="57" t="str">
        <f t="shared" si="80"/>
        <v>0-205128</v>
      </c>
      <c r="S576" s="57">
        <v>11</v>
      </c>
      <c r="T576" s="191" t="s">
        <v>46</v>
      </c>
      <c r="U576" s="162" t="e">
        <f ca="1">_xlfn.XLOOKUP(PAA[[#This Row],[ITEM]],Contrato!A:A,Contrato!Q:Q,"",0)</f>
        <v>#NAME?</v>
      </c>
      <c r="V576" s="57" t="s">
        <v>47</v>
      </c>
      <c r="W576" s="57" t="s">
        <v>48</v>
      </c>
      <c r="X576" s="57" t="s">
        <v>48</v>
      </c>
      <c r="Y576" s="58" t="e">
        <f ca="1">_xlfn.XLOOKUP(PAA[[#This Row],[ITEM]],Contrato!A:A,Contrato!B:B,"",0)</f>
        <v>#NAME?</v>
      </c>
      <c r="Z576" s="57" t="e">
        <f ca="1">_xlfn.XLOOKUP(PAA[[#This Row],[ITEM]],Contrato!A:A,Contrato!G:G,"",0)</f>
        <v>#NAME?</v>
      </c>
      <c r="AA576" s="57" t="e">
        <f ca="1">_xlfn.XLOOKUP(PAA[[#This Row],[ITEM]],Contrato!A:A,Contrato!T:T,"",0)</f>
        <v>#NAME?</v>
      </c>
      <c r="AB576" s="58" t="e">
        <f ca="1">+MAX(PAA[[#This Row],[Comprometido Contrato]],)</f>
        <v>#NAME?</v>
      </c>
      <c r="AC576" s="58" t="str">
        <f t="shared" ca="1" si="77"/>
        <v/>
      </c>
      <c r="AD576" s="58" t="e">
        <f ca="1">+MAX(PAA[[#This Row],[Pago por Contrato]],)</f>
        <v>#NAME?</v>
      </c>
      <c r="AE576" s="58" t="str">
        <f t="shared" ca="1" si="81"/>
        <v/>
      </c>
      <c r="AF576" s="57" t="e">
        <f t="shared" ca="1" si="82"/>
        <v>#NAME?</v>
      </c>
      <c r="AG576" s="57">
        <f t="shared" si="83"/>
        <v>52011001</v>
      </c>
      <c r="AH576" s="57" t="e" cm="1">
        <f t="array" aca="1" ref="AH576" ca="1">_xlfn.XLOOKUP(PAA[[#This Row],[RCP-RUBRO]],COMPROMISOS_2025[[#All],[concatenado]],COMPROMISOS_2025[[#All],[Total pagado]],"",0)</f>
        <v>#NAME?</v>
      </c>
      <c r="AI576" s="57" t="e" cm="1">
        <f t="array" aca="1" ref="AI576" ca="1">_xlfn.XLOOKUP(PAA[[#This Row],[RCP-RUBRO]],COMPROMISOS_2025[[#All],[concatenado]],COMPROMISOS_2025[[#All],[Total Comprometido]],"",0)</f>
        <v>#NAME?</v>
      </c>
    </row>
    <row r="577" spans="1:35" s="50" customFormat="1" ht="42" hidden="1" customHeight="1" x14ac:dyDescent="0.25">
      <c r="A577" s="199">
        <v>476</v>
      </c>
      <c r="B577" s="212" t="s">
        <v>681</v>
      </c>
      <c r="C577" s="199" t="str">
        <f>VLOOKUP(PAA[[#This Row],[PROYECTO (formulado)2]],PROYECTOS!$G$1:$L$32,6,0)</f>
        <v>SUBGERENCIA ADMINISTRATIVA Y FINANCIERA</v>
      </c>
      <c r="D577" s="199" t="str">
        <f>+IF(PAA[[#This Row],[UNIDAD DE CONTRATACION (formulado)]]="Subgerencia Administrativa y Financiera","FUNCIONAMIENTO","INVERSIÓN")</f>
        <v>FUNCIONAMIENTO</v>
      </c>
      <c r="E577" s="215" t="str">
        <f>VLOOKUP(Q577,PROYECTOS!$G$1:$K$32,5,0)</f>
        <v>Fortalecimiento de los sistemas de información y la gestión estratégica para el deporte, la recreación y la actividad física de Antioquia</v>
      </c>
      <c r="F577" s="202">
        <f>VLOOKUP(E577,PROYECTOS!$K$1:$M$32,3,0)</f>
        <v>2024003050077</v>
      </c>
      <c r="G577" s="202" t="s">
        <v>197</v>
      </c>
      <c r="H577" s="215" t="str">
        <f>VLOOKUP(Q577,PROYECTOS!$V$1:$W$32,2,0)</f>
        <v>220387</v>
      </c>
      <c r="I577" s="203">
        <v>235516324</v>
      </c>
      <c r="J577" s="216" t="s">
        <v>682</v>
      </c>
      <c r="K577" s="199" t="str">
        <f t="shared" ca="1" si="78"/>
        <v>CONTRATADO</v>
      </c>
      <c r="L577" s="199" t="s">
        <v>112</v>
      </c>
      <c r="M577" s="199" t="s">
        <v>142</v>
      </c>
      <c r="N577" s="199" t="s">
        <v>680</v>
      </c>
      <c r="O577" s="199">
        <f>VLOOKUP(N577,RUBROS[#All],3,0)</f>
        <v>50</v>
      </c>
      <c r="P577" s="204" t="str">
        <f>VLOOKUP(N577,RUBROS[#All],2,0)</f>
        <v xml:space="preserve">Fortalecimiento de los sistemas de información y la gestión estratégica para el deporte, la recreación y la actividad física de Antioquia (sistemas) - Servicios prestados a las empresas y servicios de producción </v>
      </c>
      <c r="Q577" s="199" t="str">
        <f t="shared" si="79"/>
        <v>77</v>
      </c>
      <c r="R577" s="199" t="str">
        <f t="shared" si="80"/>
        <v>0-205128</v>
      </c>
      <c r="S577" s="199">
        <v>10</v>
      </c>
      <c r="T577" s="213" t="s">
        <v>46</v>
      </c>
      <c r="U577" s="209" t="e">
        <f ca="1">_xlfn.XLOOKUP(PAA[[#This Row],[ITEM]],Contrato!A:A,Contrato!Q:Q,"",0)</f>
        <v>#NAME?</v>
      </c>
      <c r="V577" s="199" t="s">
        <v>47</v>
      </c>
      <c r="W577" s="199" t="s">
        <v>154</v>
      </c>
      <c r="X577" s="199" t="s">
        <v>154</v>
      </c>
      <c r="Y577" s="210" t="e">
        <f ca="1">_xlfn.XLOOKUP(PAA[[#This Row],[ITEM]],Contrato!A:A,Contrato!B:B,"",0)</f>
        <v>#NAME?</v>
      </c>
      <c r="Z577" s="199" t="e">
        <f ca="1">_xlfn.XLOOKUP(PAA[[#This Row],[ITEM]],Contrato!A:A,Contrato!G:G,"",0)</f>
        <v>#NAME?</v>
      </c>
      <c r="AA577" s="199" t="e">
        <f ca="1">_xlfn.XLOOKUP(PAA[[#This Row],[ITEM]],Contrato!A:A,Contrato!T:T,"",0)</f>
        <v>#NAME?</v>
      </c>
      <c r="AB577" s="210" t="e">
        <f ca="1">+MAX(PAA[[#This Row],[Comprometido Contrato]],)</f>
        <v>#NAME?</v>
      </c>
      <c r="AC577" s="210" t="str">
        <f t="shared" ca="1" si="77"/>
        <v/>
      </c>
      <c r="AD577" s="210" t="e">
        <f ca="1">+MAX(PAA[[#This Row],[Pago por Contrato]],)</f>
        <v>#NAME?</v>
      </c>
      <c r="AE577" s="210" t="str">
        <f t="shared" ca="1" si="81"/>
        <v/>
      </c>
      <c r="AF577" s="199" t="e">
        <f t="shared" ca="1" si="82"/>
        <v>#NAME?</v>
      </c>
      <c r="AG577" s="199">
        <f t="shared" si="83"/>
        <v>52011001</v>
      </c>
      <c r="AH577" s="199" t="e" cm="1">
        <f t="array" aca="1" ref="AH577" ca="1">_xlfn.XLOOKUP(PAA[[#This Row],[RCP-RUBRO]],COMPROMISOS_2025[[#All],[concatenado]],COMPROMISOS_2025[[#All],[Total pagado]],"",0)</f>
        <v>#NAME?</v>
      </c>
      <c r="AI577" s="199" t="e" cm="1">
        <f t="array" aca="1" ref="AI577" ca="1">_xlfn.XLOOKUP(PAA[[#This Row],[RCP-RUBRO]],COMPROMISOS_2025[[#All],[concatenado]],COMPROMISOS_2025[[#All],[Total Comprometido]],"",0)</f>
        <v>#NAME?</v>
      </c>
    </row>
    <row r="578" spans="1:35" s="50" customFormat="1" ht="42" hidden="1" customHeight="1" x14ac:dyDescent="0.25">
      <c r="A578" s="57">
        <v>477</v>
      </c>
      <c r="B578" s="188">
        <v>43231500</v>
      </c>
      <c r="C578" s="57" t="str">
        <f>VLOOKUP(PAA[[#This Row],[PROYECTO (formulado)2]],PROYECTOS!$G$1:$L$32,6,0)</f>
        <v>SUBGERENCIA ADMINISTRATIVA Y FINANCIERA</v>
      </c>
      <c r="D578" s="57" t="str">
        <f>+IF(PAA[[#This Row],[UNIDAD DE CONTRATACION (formulado)]]="Subgerencia Administrativa y Financiera","FUNCIONAMIENTO","INVERSIÓN")</f>
        <v>FUNCIONAMIENTO</v>
      </c>
      <c r="E578" s="189" t="str">
        <f>VLOOKUP(Q578,PROYECTOS!$G$1:$K$32,5,0)</f>
        <v>Fortalecimiento de los sistemas de información y la gestión estratégica para el deporte, la recreación y la actividad física de Antioquia</v>
      </c>
      <c r="F578" s="154">
        <f>VLOOKUP(E578,PROYECTOS!$K$1:$M$32,3,0)</f>
        <v>2024003050077</v>
      </c>
      <c r="G578" s="154" t="s">
        <v>683</v>
      </c>
      <c r="H578" s="189" t="str">
        <f>VLOOKUP(Q578,PROYECTOS!$V$1:$W$32,2,0)</f>
        <v>220387</v>
      </c>
      <c r="I578" s="143">
        <v>43109912</v>
      </c>
      <c r="J578" s="190" t="s">
        <v>684</v>
      </c>
      <c r="K578" s="57" t="str">
        <f t="shared" ca="1" si="78"/>
        <v>CONTRATADO</v>
      </c>
      <c r="L578" s="57" t="s">
        <v>112</v>
      </c>
      <c r="M578" s="57" t="s">
        <v>142</v>
      </c>
      <c r="N578" s="57" t="s">
        <v>680</v>
      </c>
      <c r="O578" s="57">
        <f>VLOOKUP(N578,RUBROS[#All],3,0)</f>
        <v>50</v>
      </c>
      <c r="P578" s="155" t="str">
        <f>VLOOKUP(N578,RUBROS[#All],2,0)</f>
        <v xml:space="preserve">Fortalecimiento de los sistemas de información y la gestión estratégica para el deporte, la recreación y la actividad física de Antioquia (sistemas) - Servicios prestados a las empresas y servicios de producción </v>
      </c>
      <c r="Q578" s="57" t="str">
        <f t="shared" si="79"/>
        <v>77</v>
      </c>
      <c r="R578" s="57" t="str">
        <f t="shared" si="80"/>
        <v>0-205128</v>
      </c>
      <c r="S578" s="57">
        <v>11</v>
      </c>
      <c r="T578" s="191" t="s">
        <v>46</v>
      </c>
      <c r="U578" s="162" t="e">
        <f ca="1">_xlfn.XLOOKUP(PAA[[#This Row],[ITEM]],Contrato!A:A,Contrato!Q:Q,"",0)</f>
        <v>#NAME?</v>
      </c>
      <c r="V578" s="57" t="s">
        <v>47</v>
      </c>
      <c r="W578" s="57" t="s">
        <v>48</v>
      </c>
      <c r="X578" s="57" t="s">
        <v>48</v>
      </c>
      <c r="Y578" s="58" t="e">
        <f ca="1">_xlfn.XLOOKUP(PAA[[#This Row],[ITEM]],Contrato!A:A,Contrato!B:B,"",0)</f>
        <v>#NAME?</v>
      </c>
      <c r="Z578" s="57" t="e">
        <f ca="1">_xlfn.XLOOKUP(PAA[[#This Row],[ITEM]],Contrato!A:A,Contrato!G:G,"",0)</f>
        <v>#NAME?</v>
      </c>
      <c r="AA578" s="57" t="e">
        <f ca="1">_xlfn.XLOOKUP(PAA[[#This Row],[ITEM]],Contrato!A:A,Contrato!T:T,"",0)</f>
        <v>#NAME?</v>
      </c>
      <c r="AB578" s="58" t="e">
        <f ca="1">+MAX(PAA[[#This Row],[Comprometido Contrato]],)</f>
        <v>#NAME?</v>
      </c>
      <c r="AC578" s="58" t="str">
        <f t="shared" ca="1" si="77"/>
        <v/>
      </c>
      <c r="AD578" s="58" t="e">
        <f ca="1">+MAX(PAA[[#This Row],[Pago por Contrato]],)</f>
        <v>#NAME?</v>
      </c>
      <c r="AE578" s="58" t="str">
        <f t="shared" ca="1" si="81"/>
        <v/>
      </c>
      <c r="AF578" s="57" t="e">
        <f t="shared" ca="1" si="82"/>
        <v>#NAME?</v>
      </c>
      <c r="AG578" s="57">
        <f t="shared" si="83"/>
        <v>52011001</v>
      </c>
      <c r="AH578" s="57" t="e" cm="1">
        <f t="array" aca="1" ref="AH578" ca="1">_xlfn.XLOOKUP(PAA[[#This Row],[RCP-RUBRO]],COMPROMISOS_2025[[#All],[concatenado]],COMPROMISOS_2025[[#All],[Total pagado]],"",0)</f>
        <v>#NAME?</v>
      </c>
      <c r="AI578" s="57" t="e" cm="1">
        <f t="array" aca="1" ref="AI578" ca="1">_xlfn.XLOOKUP(PAA[[#This Row],[RCP-RUBRO]],COMPROMISOS_2025[[#All],[concatenado]],COMPROMISOS_2025[[#All],[Total Comprometido]],"",0)</f>
        <v>#NAME?</v>
      </c>
    </row>
    <row r="579" spans="1:35" s="50" customFormat="1" ht="42" hidden="1" customHeight="1" x14ac:dyDescent="0.25">
      <c r="A579" s="436">
        <v>478</v>
      </c>
      <c r="B579" s="437" t="s">
        <v>685</v>
      </c>
      <c r="C579" s="436" t="str">
        <f>VLOOKUP(PAA[[#This Row],[PROYECTO (formulado)2]],PROYECTOS!$G$1:$L$32,6,0)</f>
        <v>SUBGERENCIA ADMINISTRATIVA Y FINANCIERA</v>
      </c>
      <c r="D579" s="436" t="str">
        <f>+IF(PAA[[#This Row],[UNIDAD DE CONTRATACION (formulado)]]="Subgerencia Administrativa y Financiera","FUNCIONAMIENTO","INVERSIÓN")</f>
        <v>FUNCIONAMIENTO</v>
      </c>
      <c r="E579" s="438" t="str">
        <f>VLOOKUP(Q579,PROYECTOS!$G$1:$K$32,5,0)</f>
        <v>Fortalecimiento de los sistemas de información y la gestión estratégica para el deporte, la recreación y la actividad física de Antioquia</v>
      </c>
      <c r="F579" s="439">
        <f>VLOOKUP(E579,PROYECTOS!$K$1:$M$32,3,0)</f>
        <v>2024003050077</v>
      </c>
      <c r="G579" s="439" t="s">
        <v>197</v>
      </c>
      <c r="H579" s="438" t="str">
        <f>VLOOKUP(Q579,PROYECTOS!$V$1:$W$32,2,0)</f>
        <v>220387</v>
      </c>
      <c r="I579" s="440">
        <v>35000000</v>
      </c>
      <c r="J579" s="441" t="s">
        <v>686</v>
      </c>
      <c r="K579" s="436" t="str">
        <f t="shared" ca="1" si="78"/>
        <v>CONTRATADO</v>
      </c>
      <c r="L579" s="436" t="s">
        <v>199</v>
      </c>
      <c r="M579" s="436" t="s">
        <v>142</v>
      </c>
      <c r="N579" s="436" t="s">
        <v>680</v>
      </c>
      <c r="O579" s="436">
        <f>VLOOKUP(N579,RUBROS[#All],3,0)</f>
        <v>50</v>
      </c>
      <c r="P579" s="442" t="str">
        <f>VLOOKUP(N579,RUBROS[#All],2,0)</f>
        <v xml:space="preserve">Fortalecimiento de los sistemas de información y la gestión estratégica para el deporte, la recreación y la actividad física de Antioquia (sistemas) - Servicios prestados a las empresas y servicios de producción </v>
      </c>
      <c r="Q579" s="436" t="str">
        <f t="shared" si="79"/>
        <v>77</v>
      </c>
      <c r="R579" s="436" t="str">
        <f t="shared" si="80"/>
        <v>0-205128</v>
      </c>
      <c r="S579" s="436">
        <v>9</v>
      </c>
      <c r="T579" s="443" t="s">
        <v>46</v>
      </c>
      <c r="U579" s="444" t="e">
        <f ca="1">_xlfn.XLOOKUP(PAA[[#This Row],[ITEM]],Contrato!A:A,Contrato!Q:Q,"",0)</f>
        <v>#NAME?</v>
      </c>
      <c r="V579" s="436" t="s">
        <v>47</v>
      </c>
      <c r="W579" s="436" t="s">
        <v>127</v>
      </c>
      <c r="X579" s="436" t="s">
        <v>127</v>
      </c>
      <c r="Y579" s="445" t="e">
        <f ca="1">_xlfn.XLOOKUP(PAA[[#This Row],[ITEM]],Contrato!A:A,Contrato!B:B,"",0)</f>
        <v>#NAME?</v>
      </c>
      <c r="Z579" s="436" t="e">
        <f ca="1">_xlfn.XLOOKUP(PAA[[#This Row],[ITEM]],Contrato!A:A,Contrato!G:G,"",0)</f>
        <v>#NAME?</v>
      </c>
      <c r="AA579" s="436" t="e">
        <f ca="1">_xlfn.XLOOKUP(PAA[[#This Row],[ITEM]],Contrato!A:A,Contrato!T:T,"",0)</f>
        <v>#NAME?</v>
      </c>
      <c r="AB579" s="445" t="e">
        <f ca="1">+MAX(PAA[[#This Row],[Comprometido Contrato]],)</f>
        <v>#NAME?</v>
      </c>
      <c r="AC579" s="445" t="str">
        <f t="shared" ca="1" si="77"/>
        <v/>
      </c>
      <c r="AD579" s="445" t="e">
        <f ca="1">+MAX(PAA[[#This Row],[Pago por Contrato]],)</f>
        <v>#NAME?</v>
      </c>
      <c r="AE579" s="445" t="str">
        <f t="shared" ca="1" si="81"/>
        <v/>
      </c>
      <c r="AF579" s="436" t="e">
        <f t="shared" ca="1" si="82"/>
        <v>#NAME?</v>
      </c>
      <c r="AG579" s="436">
        <f t="shared" si="83"/>
        <v>52011001</v>
      </c>
      <c r="AH579" s="436" t="e" cm="1">
        <f t="array" aca="1" ref="AH579" ca="1">_xlfn.XLOOKUP(PAA[[#This Row],[RCP-RUBRO]],COMPROMISOS_2025[[#All],[concatenado]],COMPROMISOS_2025[[#All],[Total pagado]],"",0)</f>
        <v>#NAME?</v>
      </c>
      <c r="AI579" s="436" t="e" cm="1">
        <f t="array" aca="1" ref="AI579" ca="1">_xlfn.XLOOKUP(PAA[[#This Row],[RCP-RUBRO]],COMPROMISOS_2025[[#All],[concatenado]],COMPROMISOS_2025[[#All],[Total Comprometido]],"",0)</f>
        <v>#NAME?</v>
      </c>
    </row>
    <row r="580" spans="1:35" s="50" customFormat="1" ht="42" hidden="1" customHeight="1" x14ac:dyDescent="0.25">
      <c r="A580" s="436">
        <v>479</v>
      </c>
      <c r="B580" s="437">
        <v>43231501</v>
      </c>
      <c r="C580" s="436" t="str">
        <f>VLOOKUP(PAA[[#This Row],[PROYECTO (formulado)2]],PROYECTOS!$G$1:$L$32,6,0)</f>
        <v>SUBGERENCIA ADMINISTRATIVA Y FINANCIERA</v>
      </c>
      <c r="D580" s="436" t="str">
        <f>+IF(PAA[[#This Row],[UNIDAD DE CONTRATACION (formulado)]]="Subgerencia Administrativa y Financiera","FUNCIONAMIENTO","INVERSIÓN")</f>
        <v>FUNCIONAMIENTO</v>
      </c>
      <c r="E580" s="438" t="str">
        <f>VLOOKUP(Q580,PROYECTOS!$G$1:$K$32,5,0)</f>
        <v>Fortalecimiento de los sistemas de información y la gestión estratégica para el deporte, la recreación y la actividad física de Antioquia</v>
      </c>
      <c r="F580" s="439">
        <f>VLOOKUP(E580,PROYECTOS!$K$1:$M$32,3,0)</f>
        <v>2024003050077</v>
      </c>
      <c r="G580" s="439" t="s">
        <v>197</v>
      </c>
      <c r="H580" s="438" t="str">
        <f>VLOOKUP(Q580,PROYECTOS!$V$1:$W$32,2,0)</f>
        <v>220387</v>
      </c>
      <c r="I580" s="440">
        <v>40000000</v>
      </c>
      <c r="J580" s="441" t="s">
        <v>687</v>
      </c>
      <c r="K580" s="436" t="str">
        <f t="shared" ca="1" si="78"/>
        <v>CONTRATADO</v>
      </c>
      <c r="L580" s="436" t="s">
        <v>153</v>
      </c>
      <c r="M580" s="436" t="s">
        <v>142</v>
      </c>
      <c r="N580" s="436" t="s">
        <v>680</v>
      </c>
      <c r="O580" s="436">
        <f>VLOOKUP(N580,RUBROS[#All],3,0)</f>
        <v>50</v>
      </c>
      <c r="P580" s="442" t="str">
        <f>VLOOKUP(N580,RUBROS[#All],2,0)</f>
        <v xml:space="preserve">Fortalecimiento de los sistemas de información y la gestión estratégica para el deporte, la recreación y la actividad física de Antioquia (sistemas) - Servicios prestados a las empresas y servicios de producción </v>
      </c>
      <c r="Q580" s="436" t="str">
        <f t="shared" si="79"/>
        <v>77</v>
      </c>
      <c r="R580" s="436" t="str">
        <f t="shared" si="80"/>
        <v>0-205128</v>
      </c>
      <c r="S580" s="436">
        <v>3</v>
      </c>
      <c r="T580" s="443" t="s">
        <v>46</v>
      </c>
      <c r="U580" s="444" t="e">
        <f ca="1">_xlfn.XLOOKUP(PAA[[#This Row],[ITEM]],Contrato!A:A,Contrato!Q:Q,"",0)</f>
        <v>#NAME?</v>
      </c>
      <c r="V580" s="436" t="s">
        <v>47</v>
      </c>
      <c r="W580" s="436" t="s">
        <v>127</v>
      </c>
      <c r="X580" s="436" t="s">
        <v>127</v>
      </c>
      <c r="Y580" s="445" t="e">
        <f ca="1">_xlfn.XLOOKUP(PAA[[#This Row],[ITEM]],Contrato!A:A,Contrato!B:B,"",0)</f>
        <v>#NAME?</v>
      </c>
      <c r="Z580" s="436" t="e">
        <f ca="1">_xlfn.XLOOKUP(PAA[[#This Row],[ITEM]],Contrato!A:A,Contrato!G:G,"",0)</f>
        <v>#NAME?</v>
      </c>
      <c r="AA580" s="436" t="e">
        <f ca="1">_xlfn.XLOOKUP(PAA[[#This Row],[ITEM]],Contrato!A:A,Contrato!T:T,"",0)</f>
        <v>#NAME?</v>
      </c>
      <c r="AB580" s="445" t="e">
        <f ca="1">+MAX(PAA[[#This Row],[Comprometido Contrato]],)</f>
        <v>#NAME?</v>
      </c>
      <c r="AC580" s="445" t="str">
        <f t="shared" ca="1" si="77"/>
        <v/>
      </c>
      <c r="AD580" s="445" t="e">
        <f ca="1">+MAX(PAA[[#This Row],[Pago por Contrato]],)</f>
        <v>#NAME?</v>
      </c>
      <c r="AE580" s="445" t="str">
        <f t="shared" ca="1" si="81"/>
        <v/>
      </c>
      <c r="AF580" s="436" t="e">
        <f t="shared" ca="1" si="82"/>
        <v>#NAME?</v>
      </c>
      <c r="AG580" s="436">
        <f t="shared" si="83"/>
        <v>52011001</v>
      </c>
      <c r="AH580" s="436" t="e" cm="1">
        <f t="array" aca="1" ref="AH580" ca="1">_xlfn.XLOOKUP(PAA[[#This Row],[RCP-RUBRO]],COMPROMISOS_2025[[#All],[concatenado]],COMPROMISOS_2025[[#All],[Total pagado]],"",0)</f>
        <v>#NAME?</v>
      </c>
      <c r="AI580" s="436" t="e" cm="1">
        <f t="array" aca="1" ref="AI580" ca="1">_xlfn.XLOOKUP(PAA[[#This Row],[RCP-RUBRO]],COMPROMISOS_2025[[#All],[concatenado]],COMPROMISOS_2025[[#All],[Total Comprometido]],"",0)</f>
        <v>#NAME?</v>
      </c>
    </row>
    <row r="581" spans="1:35" s="50" customFormat="1" ht="42" hidden="1" customHeight="1" x14ac:dyDescent="0.25">
      <c r="A581" s="57">
        <v>480</v>
      </c>
      <c r="B581" s="188" t="s">
        <v>688</v>
      </c>
      <c r="C581" s="57" t="str">
        <f>VLOOKUP(PAA[[#This Row],[PROYECTO (formulado)2]],PROYECTOS!$G$1:$L$32,6,0)</f>
        <v>SUBGERENCIA ADMINISTRATIVA Y FINANCIERA</v>
      </c>
      <c r="D581" s="57" t="str">
        <f>+IF(PAA[[#This Row],[UNIDAD DE CONTRATACION (formulado)]]="Subgerencia Administrativa y Financiera","FUNCIONAMIENTO","INVERSIÓN")</f>
        <v>FUNCIONAMIENTO</v>
      </c>
      <c r="E581" s="189" t="str">
        <f>VLOOKUP(Q581,PROYECTOS!$G$1:$K$32,5,0)</f>
        <v>Fortalecimiento de los sistemas de información y la gestión estratégica para el deporte, la recreación y la actividad física de Antioquia</v>
      </c>
      <c r="F581" s="154">
        <f>VLOOKUP(E581,PROYECTOS!$K$1:$M$32,3,0)</f>
        <v>2024003050077</v>
      </c>
      <c r="G581" s="154" t="s">
        <v>683</v>
      </c>
      <c r="H581" s="189" t="str">
        <f>VLOOKUP(Q581,PROYECTOS!$V$1:$W$32,2,0)</f>
        <v>220387</v>
      </c>
      <c r="I581" s="143">
        <v>29676184</v>
      </c>
      <c r="J581" s="190" t="s">
        <v>689</v>
      </c>
      <c r="K581" s="57" t="str">
        <f t="shared" ca="1" si="78"/>
        <v>CONTRATADO</v>
      </c>
      <c r="L581" s="57" t="s">
        <v>199</v>
      </c>
      <c r="M581" s="57" t="s">
        <v>142</v>
      </c>
      <c r="N581" s="57" t="s">
        <v>680</v>
      </c>
      <c r="O581" s="57">
        <f>VLOOKUP(N581,RUBROS[#All],3,0)</f>
        <v>50</v>
      </c>
      <c r="P581" s="155" t="str">
        <f>VLOOKUP(N581,RUBROS[#All],2,0)</f>
        <v xml:space="preserve">Fortalecimiento de los sistemas de información y la gestión estratégica para el deporte, la recreación y la actividad física de Antioquia (sistemas) - Servicios prestados a las empresas y servicios de producción </v>
      </c>
      <c r="Q581" s="57" t="str">
        <f t="shared" si="79"/>
        <v>77</v>
      </c>
      <c r="R581" s="57" t="str">
        <f t="shared" si="80"/>
        <v>0-205128</v>
      </c>
      <c r="S581" s="57">
        <v>11</v>
      </c>
      <c r="T581" s="191" t="s">
        <v>46</v>
      </c>
      <c r="U581" s="162" t="e">
        <f ca="1">_xlfn.XLOOKUP(PAA[[#This Row],[ITEM]],Contrato!A:A,Contrato!Q:Q,"",0)</f>
        <v>#NAME?</v>
      </c>
      <c r="V581" s="57" t="s">
        <v>47</v>
      </c>
      <c r="W581" s="57" t="s">
        <v>347</v>
      </c>
      <c r="X581" s="57" t="s">
        <v>347</v>
      </c>
      <c r="Y581" s="58" t="e">
        <f ca="1">_xlfn.XLOOKUP(PAA[[#This Row],[ITEM]],Contrato!A:A,Contrato!B:B,"",0)</f>
        <v>#NAME?</v>
      </c>
      <c r="Z581" s="57" t="e">
        <f ca="1">_xlfn.XLOOKUP(PAA[[#This Row],[ITEM]],Contrato!A:A,Contrato!G:G,"",0)</f>
        <v>#NAME?</v>
      </c>
      <c r="AA581" s="57" t="e">
        <f ca="1">_xlfn.XLOOKUP(PAA[[#This Row],[ITEM]],Contrato!A:A,Contrato!T:T,"",0)</f>
        <v>#NAME?</v>
      </c>
      <c r="AB581" s="58" t="e">
        <f ca="1">+MAX(PAA[[#This Row],[Comprometido Contrato]],)</f>
        <v>#NAME?</v>
      </c>
      <c r="AC581" s="58" t="str">
        <f t="shared" ca="1" si="77"/>
        <v/>
      </c>
      <c r="AD581" s="58" t="e">
        <f ca="1">+MAX(PAA[[#This Row],[Pago por Contrato]],)</f>
        <v>#NAME?</v>
      </c>
      <c r="AE581" s="58" t="str">
        <f t="shared" ca="1" si="81"/>
        <v/>
      </c>
      <c r="AF581" s="57" t="e">
        <f t="shared" ca="1" si="82"/>
        <v>#NAME?</v>
      </c>
      <c r="AG581" s="57">
        <f t="shared" si="83"/>
        <v>52011001</v>
      </c>
      <c r="AH581" s="57" t="e" cm="1">
        <f t="array" aca="1" ref="AH581" ca="1">_xlfn.XLOOKUP(PAA[[#This Row],[RCP-RUBRO]],COMPROMISOS_2025[[#All],[concatenado]],COMPROMISOS_2025[[#All],[Total pagado]],"",0)</f>
        <v>#NAME?</v>
      </c>
      <c r="AI581" s="57" t="e" cm="1">
        <f t="array" aca="1" ref="AI581" ca="1">_xlfn.XLOOKUP(PAA[[#This Row],[RCP-RUBRO]],COMPROMISOS_2025[[#All],[concatenado]],COMPROMISOS_2025[[#All],[Total Comprometido]],"",0)</f>
        <v>#NAME?</v>
      </c>
    </row>
    <row r="582" spans="1:35" s="50" customFormat="1" ht="42" hidden="1" customHeight="1" x14ac:dyDescent="0.25">
      <c r="A582" s="57">
        <v>481</v>
      </c>
      <c r="B582" s="188">
        <v>80111600</v>
      </c>
      <c r="C582" s="57" t="str">
        <f>VLOOKUP(PAA[[#This Row],[PROYECTO (formulado)2]],PROYECTOS!$G$1:$L$32,6,0)</f>
        <v>SUBGERENCIA ADMINISTRATIVA Y FINANCIERA</v>
      </c>
      <c r="D582" s="57" t="str">
        <f>+IF(PAA[[#This Row],[UNIDAD DE CONTRATACION (formulado)]]="Subgerencia Administrativa y Financiera","FUNCIONAMIENTO","INVERSIÓN")</f>
        <v>FUNCIONAMIENTO</v>
      </c>
      <c r="E582" s="189" t="str">
        <f>VLOOKUP(Q582,PROYECTOS!$G$1:$K$32,5,0)</f>
        <v>Fortalecimiento de los sistemas de información y la gestión estratégica para el deporte, la recreación y la actividad física de Antioquia</v>
      </c>
      <c r="F582" s="154">
        <f>VLOOKUP(E582,PROYECTOS!$K$1:$M$32,3,0)</f>
        <v>2024003050077</v>
      </c>
      <c r="G582" s="154" t="s">
        <v>201</v>
      </c>
      <c r="H582" s="189" t="str">
        <f>VLOOKUP(Q582,PROYECTOS!$V$1:$W$32,2,0)</f>
        <v>220387</v>
      </c>
      <c r="I582" s="143">
        <v>34797836</v>
      </c>
      <c r="J582" s="190" t="s">
        <v>690</v>
      </c>
      <c r="K582" s="57" t="str">
        <f t="shared" ca="1" si="78"/>
        <v>CONTRATADO</v>
      </c>
      <c r="L582" s="57" t="s">
        <v>112</v>
      </c>
      <c r="M582" s="57" t="s">
        <v>113</v>
      </c>
      <c r="N582" s="57" t="s">
        <v>680</v>
      </c>
      <c r="O582" s="57">
        <f>VLOOKUP(N582,RUBROS[#All],3,0)</f>
        <v>50</v>
      </c>
      <c r="P582" s="57" t="str">
        <f>VLOOKUP(N582,RUBROS[#All],2,0)</f>
        <v xml:space="preserve">Fortalecimiento de los sistemas de información y la gestión estratégica para el deporte, la recreación y la actividad física de Antioquia (sistemas) - Servicios prestados a las empresas y servicios de producción </v>
      </c>
      <c r="Q582" s="57" t="str">
        <f t="shared" si="79"/>
        <v>77</v>
      </c>
      <c r="R582" s="57" t="str">
        <f t="shared" si="80"/>
        <v>0-205128</v>
      </c>
      <c r="S582" s="57">
        <v>4.4000000000000004</v>
      </c>
      <c r="T582" s="191" t="s">
        <v>46</v>
      </c>
      <c r="U582" s="162" t="e">
        <f ca="1">_xlfn.XLOOKUP(PAA[[#This Row],[ITEM]],Contrato!A:A,Contrato!Q:Q,"",0)</f>
        <v>#NAME?</v>
      </c>
      <c r="V582" s="57" t="s">
        <v>47</v>
      </c>
      <c r="W582" s="57" t="s">
        <v>48</v>
      </c>
      <c r="X582" s="57" t="s">
        <v>48</v>
      </c>
      <c r="Y582" s="58" t="e">
        <f ca="1">_xlfn.XLOOKUP(PAA[[#This Row],[ITEM]],Contrato!A:A,Contrato!B:B,"",0)</f>
        <v>#NAME?</v>
      </c>
      <c r="Z582" s="57" t="e">
        <f ca="1">_xlfn.XLOOKUP(PAA[[#This Row],[ITEM]],Contrato!A:A,Contrato!G:G,"",0)</f>
        <v>#NAME?</v>
      </c>
      <c r="AA582" s="57" t="e">
        <f ca="1">_xlfn.XLOOKUP(PAA[[#This Row],[ITEM]],Contrato!A:A,Contrato!T:T,"",0)</f>
        <v>#NAME?</v>
      </c>
      <c r="AB582" s="58" t="e">
        <f ca="1">+MAX(PAA[[#This Row],[Comprometido Contrato]],)</f>
        <v>#NAME?</v>
      </c>
      <c r="AC582" s="58" t="str">
        <f t="shared" ref="AC582:AC645" ca="1" si="91">IFERROR(I582-AB582,"")</f>
        <v/>
      </c>
      <c r="AD582" s="58" t="e">
        <f ca="1">+MAX(PAA[[#This Row],[Pago por Contrato]],)</f>
        <v>#NAME?</v>
      </c>
      <c r="AE582" s="58" t="str">
        <f t="shared" ca="1" si="81"/>
        <v/>
      </c>
      <c r="AF582" s="57" t="e">
        <f t="shared" ca="1" si="82"/>
        <v>#NAME?</v>
      </c>
      <c r="AG582" s="57">
        <f t="shared" si="83"/>
        <v>52011001</v>
      </c>
      <c r="AH582" s="57" t="e" cm="1">
        <f t="array" aca="1" ref="AH582" ca="1">_xlfn.XLOOKUP(PAA[[#This Row],[RCP-RUBRO]],COMPROMISOS_2025[[#All],[concatenado]],COMPROMISOS_2025[[#All],[Total pagado]],"",0)</f>
        <v>#NAME?</v>
      </c>
      <c r="AI582" s="57" t="e" cm="1">
        <f t="array" aca="1" ref="AI582" ca="1">_xlfn.XLOOKUP(PAA[[#This Row],[RCP-RUBRO]],COMPROMISOS_2025[[#All],[concatenado]],COMPROMISOS_2025[[#All],[Total Comprometido]],"",0)</f>
        <v>#NAME?</v>
      </c>
    </row>
    <row r="583" spans="1:35" s="50" customFormat="1" ht="42" hidden="1" customHeight="1" x14ac:dyDescent="0.25">
      <c r="A583" s="265">
        <v>482</v>
      </c>
      <c r="B583" s="281">
        <v>80111600</v>
      </c>
      <c r="C583" s="265" t="str">
        <f>VLOOKUP(PAA[[#This Row],[PROYECTO (formulado)2]],PROYECTOS!$G$1:$L$32,6,0)</f>
        <v>SUBGERENCIA ADMINISTRATIVA Y FINANCIERA</v>
      </c>
      <c r="D583" s="265" t="str">
        <f>+IF(PAA[[#This Row],[UNIDAD DE CONTRATACION (formulado)]]="Subgerencia Administrativa y Financiera","FUNCIONAMIENTO","INVERSIÓN")</f>
        <v>FUNCIONAMIENTO</v>
      </c>
      <c r="E583" s="268" t="str">
        <f>VLOOKUP(Q583,PROYECTOS!$G$1:$K$32,5,0)</f>
        <v>Fortalecimiento de los sistemas de información y la gestión estratégica para el deporte, la recreación y la actividad física de Antioquia</v>
      </c>
      <c r="F583" s="266">
        <f>VLOOKUP(E583,PROYECTOS!$K$1:$M$32,3,0)</f>
        <v>2024003050077</v>
      </c>
      <c r="G583" s="266" t="s">
        <v>201</v>
      </c>
      <c r="H583" s="268" t="str">
        <f>VLOOKUP(Q583,PROYECTOS!$V$1:$W$32,2,0)</f>
        <v>220387</v>
      </c>
      <c r="I583" s="269">
        <v>0</v>
      </c>
      <c r="J583" s="282" t="s">
        <v>691</v>
      </c>
      <c r="K583" s="265" t="str">
        <f t="shared" ca="1" si="78"/>
        <v>CONTRATADO</v>
      </c>
      <c r="L583" s="265" t="s">
        <v>112</v>
      </c>
      <c r="M583" s="265" t="s">
        <v>113</v>
      </c>
      <c r="N583" s="265" t="s">
        <v>680</v>
      </c>
      <c r="O583" s="265">
        <f>VLOOKUP(N583,RUBROS[#All],3,0)</f>
        <v>50</v>
      </c>
      <c r="P583" s="265" t="str">
        <f>VLOOKUP(N583,RUBROS[#All],2,0)</f>
        <v xml:space="preserve">Fortalecimiento de los sistemas de información y la gestión estratégica para el deporte, la recreación y la actividad física de Antioquia (sistemas) - Servicios prestados a las empresas y servicios de producción </v>
      </c>
      <c r="Q583" s="265" t="str">
        <f t="shared" si="79"/>
        <v>77</v>
      </c>
      <c r="R583" s="265" t="str">
        <f t="shared" si="80"/>
        <v>0-205128</v>
      </c>
      <c r="S583" s="265" t="s">
        <v>41</v>
      </c>
      <c r="T583" s="265" t="s">
        <v>41</v>
      </c>
      <c r="U583" s="272" t="e">
        <f ca="1">_xlfn.XLOOKUP(PAA[[#This Row],[ITEM]],Contrato!A:A,Contrato!Q:Q,"",0)</f>
        <v>#NAME?</v>
      </c>
      <c r="V583" s="265" t="s">
        <v>47</v>
      </c>
      <c r="W583" s="265" t="s">
        <v>41</v>
      </c>
      <c r="X583" s="265" t="s">
        <v>41</v>
      </c>
      <c r="Y583" s="273" t="e">
        <f ca="1">_xlfn.XLOOKUP(PAA[[#This Row],[ITEM]],Contrato!A:A,Contrato!B:B,"",0)</f>
        <v>#NAME?</v>
      </c>
      <c r="Z583" s="265" t="e">
        <f ca="1">_xlfn.XLOOKUP(PAA[[#This Row],[ITEM]],Contrato!A:A,Contrato!G:G,"",0)</f>
        <v>#NAME?</v>
      </c>
      <c r="AA583" s="265" t="e">
        <f ca="1">_xlfn.XLOOKUP(PAA[[#This Row],[ITEM]],Contrato!A:A,Contrato!T:T,"",0)</f>
        <v>#NAME?</v>
      </c>
      <c r="AB583" s="273" t="e">
        <f ca="1">+MAX(PAA[[#This Row],[Comprometido Contrato]],)</f>
        <v>#NAME?</v>
      </c>
      <c r="AC583" s="273" t="str">
        <f t="shared" ca="1" si="91"/>
        <v/>
      </c>
      <c r="AD583" s="273" t="e">
        <f ca="1">+MAX(PAA[[#This Row],[Pago por Contrato]],)</f>
        <v>#NAME?</v>
      </c>
      <c r="AE583" s="273" t="str">
        <f t="shared" ca="1" si="81"/>
        <v/>
      </c>
      <c r="AF583" s="265" t="e">
        <f t="shared" ca="1" si="82"/>
        <v>#NAME?</v>
      </c>
      <c r="AG583" s="265">
        <f t="shared" si="83"/>
        <v>52011001</v>
      </c>
      <c r="AH583" s="265" t="e" cm="1">
        <f t="array" aca="1" ref="AH583" ca="1">_xlfn.XLOOKUP(PAA[[#This Row],[RCP-RUBRO]],COMPROMISOS_2025[[#All],[concatenado]],COMPROMISOS_2025[[#All],[Total pagado]],"",0)</f>
        <v>#NAME?</v>
      </c>
      <c r="AI583" s="265" t="e" cm="1">
        <f t="array" aca="1" ref="AI583" ca="1">_xlfn.XLOOKUP(PAA[[#This Row],[RCP-RUBRO]],COMPROMISOS_2025[[#All],[concatenado]],COMPROMISOS_2025[[#All],[Total Comprometido]],"",0)</f>
        <v>#NAME?</v>
      </c>
    </row>
    <row r="584" spans="1:35" s="50" customFormat="1" ht="42" hidden="1" customHeight="1" x14ac:dyDescent="0.25">
      <c r="A584" s="57">
        <v>483</v>
      </c>
      <c r="B584" s="188">
        <v>80111600</v>
      </c>
      <c r="C584" s="57" t="str">
        <f>VLOOKUP(PAA[[#This Row],[PROYECTO (formulado)2]],PROYECTOS!$G$1:$L$32,6,0)</f>
        <v>SUBGERENCIA ADMINISTRATIVA Y FINANCIERA</v>
      </c>
      <c r="D584" s="57" t="str">
        <f>+IF(PAA[[#This Row],[UNIDAD DE CONTRATACION (formulado)]]="Subgerencia Administrativa y Financiera","FUNCIONAMIENTO","INVERSIÓN")</f>
        <v>FUNCIONAMIENTO</v>
      </c>
      <c r="E584" s="189" t="str">
        <f>VLOOKUP(Q584,PROYECTOS!$G$1:$K$32,5,0)</f>
        <v>Fortalecimiento de los sistemas de información y la gestión estratégica para el deporte, la recreación y la actividad física de Antioquia</v>
      </c>
      <c r="F584" s="154">
        <f>VLOOKUP(E584,PROYECTOS!$K$1:$M$32,3,0)</f>
        <v>2024003050077</v>
      </c>
      <c r="G584" s="154" t="s">
        <v>201</v>
      </c>
      <c r="H584" s="189" t="str">
        <f>VLOOKUP(Q584,PROYECTOS!$V$1:$W$32,2,0)</f>
        <v>220387</v>
      </c>
      <c r="I584" s="143">
        <v>34797836</v>
      </c>
      <c r="J584" s="190" t="s">
        <v>692</v>
      </c>
      <c r="K584" s="57" t="str">
        <f t="shared" ca="1" si="78"/>
        <v>CONTRATADO</v>
      </c>
      <c r="L584" s="57" t="s">
        <v>112</v>
      </c>
      <c r="M584" s="57" t="s">
        <v>113</v>
      </c>
      <c r="N584" s="57" t="s">
        <v>680</v>
      </c>
      <c r="O584" s="57">
        <f>VLOOKUP(N584,RUBROS[#All],3,0)</f>
        <v>50</v>
      </c>
      <c r="P584" s="57" t="str">
        <f>VLOOKUP(N584,RUBROS[#All],2,0)</f>
        <v xml:space="preserve">Fortalecimiento de los sistemas de información y la gestión estratégica para el deporte, la recreación y la actividad física de Antioquia (sistemas) - Servicios prestados a las empresas y servicios de producción </v>
      </c>
      <c r="Q584" s="57" t="str">
        <f t="shared" si="79"/>
        <v>77</v>
      </c>
      <c r="R584" s="57" t="str">
        <f t="shared" si="80"/>
        <v>0-205128</v>
      </c>
      <c r="S584" s="57">
        <v>4.0999999999999996</v>
      </c>
      <c r="T584" s="191" t="s">
        <v>46</v>
      </c>
      <c r="U584" s="162" t="e">
        <f ca="1">_xlfn.XLOOKUP(PAA[[#This Row],[ITEM]],Contrato!A:A,Contrato!Q:Q,"",0)</f>
        <v>#NAME?</v>
      </c>
      <c r="V584" s="57" t="s">
        <v>47</v>
      </c>
      <c r="W584" s="57" t="s">
        <v>48</v>
      </c>
      <c r="X584" s="57" t="s">
        <v>48</v>
      </c>
      <c r="Y584" s="58" t="e">
        <f ca="1">_xlfn.XLOOKUP(PAA[[#This Row],[ITEM]],Contrato!A:A,Contrato!B:B,"",0)</f>
        <v>#NAME?</v>
      </c>
      <c r="Z584" s="57" t="e">
        <f ca="1">_xlfn.XLOOKUP(PAA[[#This Row],[ITEM]],Contrato!A:A,Contrato!G:G,"",0)</f>
        <v>#NAME?</v>
      </c>
      <c r="AA584" s="57" t="e">
        <f ca="1">_xlfn.XLOOKUP(PAA[[#This Row],[ITEM]],Contrato!A:A,Contrato!T:T,"",0)</f>
        <v>#NAME?</v>
      </c>
      <c r="AB584" s="58" t="e">
        <f ca="1">+MAX(PAA[[#This Row],[Comprometido Contrato]],)</f>
        <v>#NAME?</v>
      </c>
      <c r="AC584" s="58" t="str">
        <f t="shared" ca="1" si="91"/>
        <v/>
      </c>
      <c r="AD584" s="58" t="e">
        <f ca="1">+MAX(PAA[[#This Row],[Pago por Contrato]],)</f>
        <v>#NAME?</v>
      </c>
      <c r="AE584" s="58" t="str">
        <f t="shared" ca="1" si="81"/>
        <v/>
      </c>
      <c r="AF584" s="57" t="e">
        <f t="shared" ca="1" si="82"/>
        <v>#NAME?</v>
      </c>
      <c r="AG584" s="57">
        <f t="shared" si="83"/>
        <v>52011001</v>
      </c>
      <c r="AH584" s="57" t="e" cm="1">
        <f t="array" aca="1" ref="AH584" ca="1">_xlfn.XLOOKUP(PAA[[#This Row],[RCP-RUBRO]],COMPROMISOS_2025[[#All],[concatenado]],COMPROMISOS_2025[[#All],[Total pagado]],"",0)</f>
        <v>#NAME?</v>
      </c>
      <c r="AI584" s="57" t="e" cm="1">
        <f t="array" aca="1" ref="AI584" ca="1">_xlfn.XLOOKUP(PAA[[#This Row],[RCP-RUBRO]],COMPROMISOS_2025[[#All],[concatenado]],COMPROMISOS_2025[[#All],[Total Comprometido]],"",0)</f>
        <v>#NAME?</v>
      </c>
    </row>
    <row r="585" spans="1:35" s="50" customFormat="1" ht="42" hidden="1" customHeight="1" x14ac:dyDescent="0.25">
      <c r="A585" s="57">
        <v>484</v>
      </c>
      <c r="B585" s="188">
        <v>80111600</v>
      </c>
      <c r="C585" s="57" t="str">
        <f>VLOOKUP(PAA[[#This Row],[PROYECTO (formulado)2]],PROYECTOS!$G$1:$L$32,6,0)</f>
        <v>SUBGERENCIA ADMINISTRATIVA Y FINANCIERA</v>
      </c>
      <c r="D585" s="57" t="str">
        <f>+IF(PAA[[#This Row],[UNIDAD DE CONTRATACION (formulado)]]="Subgerencia Administrativa y Financiera","FUNCIONAMIENTO","INVERSIÓN")</f>
        <v>FUNCIONAMIENTO</v>
      </c>
      <c r="E585" s="189" t="str">
        <f>VLOOKUP(Q585,PROYECTOS!$G$1:$K$32,5,0)</f>
        <v>Fortalecimiento de los sistemas de información y la gestión estratégica para el deporte, la recreación y la actividad física de Antioquia</v>
      </c>
      <c r="F585" s="154">
        <f>VLOOKUP(E585,PROYECTOS!$K$1:$M$32,3,0)</f>
        <v>2024003050077</v>
      </c>
      <c r="G585" s="154" t="s">
        <v>201</v>
      </c>
      <c r="H585" s="189" t="str">
        <f>VLOOKUP(Q585,PROYECTOS!$V$1:$W$32,2,0)</f>
        <v>220387</v>
      </c>
      <c r="I585" s="143">
        <v>34797836</v>
      </c>
      <c r="J585" s="190" t="s">
        <v>693</v>
      </c>
      <c r="K585" s="57" t="str">
        <f t="shared" ca="1" si="78"/>
        <v>CONTRATADO</v>
      </c>
      <c r="L585" s="57" t="s">
        <v>112</v>
      </c>
      <c r="M585" s="57" t="s">
        <v>113</v>
      </c>
      <c r="N585" s="57" t="s">
        <v>680</v>
      </c>
      <c r="O585" s="57">
        <f>VLOOKUP(N585,RUBROS[#All],3,0)</f>
        <v>50</v>
      </c>
      <c r="P585" s="57" t="str">
        <f>VLOOKUP(N585,RUBROS[#All],2,0)</f>
        <v xml:space="preserve">Fortalecimiento de los sistemas de información y la gestión estratégica para el deporte, la recreación y la actividad física de Antioquia (sistemas) - Servicios prestados a las empresas y servicios de producción </v>
      </c>
      <c r="Q585" s="57" t="str">
        <f t="shared" si="79"/>
        <v>77</v>
      </c>
      <c r="R585" s="57" t="str">
        <f t="shared" si="80"/>
        <v>0-205128</v>
      </c>
      <c r="S585" s="57">
        <v>4.4000000000000004</v>
      </c>
      <c r="T585" s="191" t="s">
        <v>46</v>
      </c>
      <c r="U585" s="162" t="e">
        <f ca="1">_xlfn.XLOOKUP(PAA[[#This Row],[ITEM]],Contrato!A:A,Contrato!Q:Q,"",0)</f>
        <v>#NAME?</v>
      </c>
      <c r="V585" s="57" t="s">
        <v>47</v>
      </c>
      <c r="W585" s="57" t="s">
        <v>48</v>
      </c>
      <c r="X585" s="57" t="s">
        <v>48</v>
      </c>
      <c r="Y585" s="58" t="e">
        <f ca="1">_xlfn.XLOOKUP(PAA[[#This Row],[ITEM]],Contrato!A:A,Contrato!B:B,"",0)</f>
        <v>#NAME?</v>
      </c>
      <c r="Z585" s="57" t="e">
        <f ca="1">_xlfn.XLOOKUP(PAA[[#This Row],[ITEM]],Contrato!A:A,Contrato!G:G,"",0)</f>
        <v>#NAME?</v>
      </c>
      <c r="AA585" s="57" t="e">
        <f ca="1">_xlfn.XLOOKUP(PAA[[#This Row],[ITEM]],Contrato!A:A,Contrato!T:T,"",0)</f>
        <v>#NAME?</v>
      </c>
      <c r="AB585" s="58" t="e">
        <f ca="1">+MAX(PAA[[#This Row],[Comprometido Contrato]],)</f>
        <v>#NAME?</v>
      </c>
      <c r="AC585" s="58" t="str">
        <f t="shared" ca="1" si="91"/>
        <v/>
      </c>
      <c r="AD585" s="58" t="e">
        <f ca="1">+MAX(PAA[[#This Row],[Pago por Contrato]],)</f>
        <v>#NAME?</v>
      </c>
      <c r="AE585" s="58" t="str">
        <f t="shared" ca="1" si="81"/>
        <v/>
      </c>
      <c r="AF585" s="57" t="e">
        <f t="shared" ca="1" si="82"/>
        <v>#NAME?</v>
      </c>
      <c r="AG585" s="57">
        <f t="shared" si="83"/>
        <v>52011001</v>
      </c>
      <c r="AH585" s="57" t="e" cm="1">
        <f t="array" aca="1" ref="AH585" ca="1">_xlfn.XLOOKUP(PAA[[#This Row],[RCP-RUBRO]],COMPROMISOS_2025[[#All],[concatenado]],COMPROMISOS_2025[[#All],[Total pagado]],"",0)</f>
        <v>#NAME?</v>
      </c>
      <c r="AI585" s="57" t="e" cm="1">
        <f t="array" aca="1" ref="AI585" ca="1">_xlfn.XLOOKUP(PAA[[#This Row],[RCP-RUBRO]],COMPROMISOS_2025[[#All],[concatenado]],COMPROMISOS_2025[[#All],[Total Comprometido]],"",0)</f>
        <v>#NAME?</v>
      </c>
    </row>
    <row r="586" spans="1:35" s="50" customFormat="1" ht="42" hidden="1" customHeight="1" x14ac:dyDescent="0.25">
      <c r="A586" s="57">
        <v>485</v>
      </c>
      <c r="B586" s="188">
        <v>80111600</v>
      </c>
      <c r="C586" s="57" t="str">
        <f>VLOOKUP(PAA[[#This Row],[PROYECTO (formulado)2]],PROYECTOS!$G$1:$L$32,6,0)</f>
        <v>SUBGERENCIA ADMINISTRATIVA Y FINANCIERA</v>
      </c>
      <c r="D586" s="57" t="str">
        <f>+IF(PAA[[#This Row],[UNIDAD DE CONTRATACION (formulado)]]="Subgerencia Administrativa y Financiera","FUNCIONAMIENTO","INVERSIÓN")</f>
        <v>FUNCIONAMIENTO</v>
      </c>
      <c r="E586" s="189" t="str">
        <f>VLOOKUP(Q586,PROYECTOS!$G$1:$K$32,5,0)</f>
        <v>Fortalecimiento de los sistemas de información y la gestión estratégica para el deporte, la recreación y la actividad física de Antioquia</v>
      </c>
      <c r="F586" s="154">
        <f>VLOOKUP(E586,PROYECTOS!$K$1:$M$32,3,0)</f>
        <v>2024003050077</v>
      </c>
      <c r="G586" s="154" t="s">
        <v>201</v>
      </c>
      <c r="H586" s="189" t="str">
        <f>VLOOKUP(Q586,PROYECTOS!$V$1:$W$32,2,0)</f>
        <v>220387</v>
      </c>
      <c r="I586" s="143">
        <v>42292508</v>
      </c>
      <c r="J586" s="190" t="s">
        <v>694</v>
      </c>
      <c r="K586" s="57" t="str">
        <f t="shared" ca="1" si="78"/>
        <v>CONTRATADO</v>
      </c>
      <c r="L586" s="57" t="s">
        <v>112</v>
      </c>
      <c r="M586" s="57" t="s">
        <v>113</v>
      </c>
      <c r="N586" s="57" t="s">
        <v>680</v>
      </c>
      <c r="O586" s="57">
        <f>VLOOKUP(N586,RUBROS[#All],3,0)</f>
        <v>50</v>
      </c>
      <c r="P586" s="57" t="str">
        <f>VLOOKUP(N586,RUBROS[#All],2,0)</f>
        <v xml:space="preserve">Fortalecimiento de los sistemas de información y la gestión estratégica para el deporte, la recreación y la actividad física de Antioquia (sistemas) - Servicios prestados a las empresas y servicios de producción </v>
      </c>
      <c r="Q586" s="57" t="str">
        <f t="shared" si="79"/>
        <v>77</v>
      </c>
      <c r="R586" s="57" t="str">
        <f t="shared" si="80"/>
        <v>0-205128</v>
      </c>
      <c r="S586" s="57">
        <v>4.2</v>
      </c>
      <c r="T586" s="191" t="s">
        <v>46</v>
      </c>
      <c r="U586" s="162" t="e">
        <f ca="1">_xlfn.XLOOKUP(PAA[[#This Row],[ITEM]],Contrato!A:A,Contrato!Q:Q,"",0)</f>
        <v>#NAME?</v>
      </c>
      <c r="V586" s="57" t="s">
        <v>47</v>
      </c>
      <c r="W586" s="57" t="s">
        <v>48</v>
      </c>
      <c r="X586" s="57" t="s">
        <v>48</v>
      </c>
      <c r="Y586" s="58" t="e">
        <f ca="1">_xlfn.XLOOKUP(PAA[[#This Row],[ITEM]],Contrato!A:A,Contrato!B:B,"",0)</f>
        <v>#NAME?</v>
      </c>
      <c r="Z586" s="57" t="e">
        <f ca="1">_xlfn.XLOOKUP(PAA[[#This Row],[ITEM]],Contrato!A:A,Contrato!G:G,"",0)</f>
        <v>#NAME?</v>
      </c>
      <c r="AA586" s="57" t="e">
        <f ca="1">_xlfn.XLOOKUP(PAA[[#This Row],[ITEM]],Contrato!A:A,Contrato!T:T,"",0)</f>
        <v>#NAME?</v>
      </c>
      <c r="AB586" s="58" t="e">
        <f ca="1">+MAX(PAA[[#This Row],[Comprometido Contrato]],)</f>
        <v>#NAME?</v>
      </c>
      <c r="AC586" s="58" t="str">
        <f t="shared" ca="1" si="91"/>
        <v/>
      </c>
      <c r="AD586" s="58" t="e">
        <f ca="1">+MAX(PAA[[#This Row],[Pago por Contrato]],)</f>
        <v>#NAME?</v>
      </c>
      <c r="AE586" s="58" t="str">
        <f t="shared" ca="1" si="81"/>
        <v/>
      </c>
      <c r="AF586" s="57" t="e">
        <f t="shared" ca="1" si="82"/>
        <v>#NAME?</v>
      </c>
      <c r="AG586" s="57">
        <f t="shared" si="83"/>
        <v>52011001</v>
      </c>
      <c r="AH586" s="57" t="e" cm="1">
        <f t="array" aca="1" ref="AH586" ca="1">_xlfn.XLOOKUP(PAA[[#This Row],[RCP-RUBRO]],COMPROMISOS_2025[[#All],[concatenado]],COMPROMISOS_2025[[#All],[Total pagado]],"",0)</f>
        <v>#NAME?</v>
      </c>
      <c r="AI586" s="57" t="e" cm="1">
        <f t="array" aca="1" ref="AI586" ca="1">_xlfn.XLOOKUP(PAA[[#This Row],[RCP-RUBRO]],COMPROMISOS_2025[[#All],[concatenado]],COMPROMISOS_2025[[#All],[Total Comprometido]],"",0)</f>
        <v>#NAME?</v>
      </c>
    </row>
    <row r="587" spans="1:35" s="50" customFormat="1" ht="42" hidden="1" customHeight="1" x14ac:dyDescent="0.25">
      <c r="A587" s="57">
        <v>486</v>
      </c>
      <c r="B587" s="188">
        <v>80111600</v>
      </c>
      <c r="C587" s="57" t="str">
        <f>VLOOKUP(PAA[[#This Row],[PROYECTO (formulado)2]],PROYECTOS!$G$1:$L$32,6,0)</f>
        <v>SUBGERENCIA ADMINISTRATIVA Y FINANCIERA</v>
      </c>
      <c r="D587" s="57" t="str">
        <f>+IF(PAA[[#This Row],[UNIDAD DE CONTRATACION (formulado)]]="Subgerencia Administrativa y Financiera","FUNCIONAMIENTO","INVERSIÓN")</f>
        <v>FUNCIONAMIENTO</v>
      </c>
      <c r="E587" s="189" t="str">
        <f>VLOOKUP(Q587,PROYECTOS!$G$1:$K$32,5,0)</f>
        <v>Fortalecimiento de los sistemas de información y la gestión estratégica para el deporte, la recreación y la actividad física de Antioquia</v>
      </c>
      <c r="F587" s="154">
        <f>VLOOKUP(E587,PROYECTOS!$K$1:$M$32,3,0)</f>
        <v>2024003050077</v>
      </c>
      <c r="G587" s="154" t="s">
        <v>201</v>
      </c>
      <c r="H587" s="189" t="str">
        <f>VLOOKUP(Q587,PROYECTOS!$V$1:$W$32,2,0)</f>
        <v>220387</v>
      </c>
      <c r="I587" s="143">
        <v>20244709</v>
      </c>
      <c r="J587" s="190" t="s">
        <v>695</v>
      </c>
      <c r="K587" s="57" t="str">
        <f t="shared" ca="1" si="78"/>
        <v>CONTRATADO</v>
      </c>
      <c r="L587" s="57" t="s">
        <v>112</v>
      </c>
      <c r="M587" s="57" t="s">
        <v>113</v>
      </c>
      <c r="N587" s="57" t="s">
        <v>680</v>
      </c>
      <c r="O587" s="57">
        <f>VLOOKUP(N587,RUBROS[#All],3,0)</f>
        <v>50</v>
      </c>
      <c r="P587" s="57" t="str">
        <f>VLOOKUP(N587,RUBROS[#All],2,0)</f>
        <v xml:space="preserve">Fortalecimiento de los sistemas de información y la gestión estratégica para el deporte, la recreación y la actividad física de Antioquia (sistemas) - Servicios prestados a las empresas y servicios de producción </v>
      </c>
      <c r="Q587" s="57" t="str">
        <f t="shared" si="79"/>
        <v>77</v>
      </c>
      <c r="R587" s="57" t="str">
        <f t="shared" si="80"/>
        <v>0-205128</v>
      </c>
      <c r="S587" s="57">
        <v>4.0999999999999996</v>
      </c>
      <c r="T587" s="191" t="s">
        <v>46</v>
      </c>
      <c r="U587" s="162" t="e">
        <f ca="1">_xlfn.XLOOKUP(PAA[[#This Row],[ITEM]],Contrato!A:A,Contrato!Q:Q,"",0)</f>
        <v>#NAME?</v>
      </c>
      <c r="V587" s="57" t="s">
        <v>47</v>
      </c>
      <c r="W587" s="57" t="s">
        <v>48</v>
      </c>
      <c r="X587" s="57" t="s">
        <v>48</v>
      </c>
      <c r="Y587" s="58" t="e">
        <f ca="1">_xlfn.XLOOKUP(PAA[[#This Row],[ITEM]],Contrato!A:A,Contrato!B:B,"",0)</f>
        <v>#NAME?</v>
      </c>
      <c r="Z587" s="57" t="e">
        <f ca="1">_xlfn.XLOOKUP(PAA[[#This Row],[ITEM]],Contrato!A:A,Contrato!G:G,"",0)</f>
        <v>#NAME?</v>
      </c>
      <c r="AA587" s="57" t="e">
        <f ca="1">_xlfn.XLOOKUP(PAA[[#This Row],[ITEM]],Contrato!A:A,Contrato!T:T,"",0)</f>
        <v>#NAME?</v>
      </c>
      <c r="AB587" s="58" t="e">
        <f ca="1">+MAX(PAA[[#This Row],[Comprometido Contrato]],)</f>
        <v>#NAME?</v>
      </c>
      <c r="AC587" s="58" t="str">
        <f t="shared" ca="1" si="91"/>
        <v/>
      </c>
      <c r="AD587" s="58" t="e">
        <f ca="1">+MAX(PAA[[#This Row],[Pago por Contrato]],)</f>
        <v>#NAME?</v>
      </c>
      <c r="AE587" s="58" t="str">
        <f t="shared" ca="1" si="81"/>
        <v/>
      </c>
      <c r="AF587" s="57" t="e">
        <f t="shared" ca="1" si="82"/>
        <v>#NAME?</v>
      </c>
      <c r="AG587" s="57">
        <f t="shared" si="83"/>
        <v>52011001</v>
      </c>
      <c r="AH587" s="57" t="e" cm="1">
        <f t="array" aca="1" ref="AH587" ca="1">_xlfn.XLOOKUP(PAA[[#This Row],[RCP-RUBRO]],COMPROMISOS_2025[[#All],[concatenado]],COMPROMISOS_2025[[#All],[Total pagado]],"",0)</f>
        <v>#NAME?</v>
      </c>
      <c r="AI587" s="57" t="e" cm="1">
        <f t="array" aca="1" ref="AI587" ca="1">_xlfn.XLOOKUP(PAA[[#This Row],[RCP-RUBRO]],COMPROMISOS_2025[[#All],[concatenado]],COMPROMISOS_2025[[#All],[Total Comprometido]],"",0)</f>
        <v>#NAME?</v>
      </c>
    </row>
    <row r="588" spans="1:35" s="50" customFormat="1" ht="42" hidden="1" customHeight="1" x14ac:dyDescent="0.25">
      <c r="A588" s="265">
        <v>487</v>
      </c>
      <c r="B588" s="281">
        <v>80111600</v>
      </c>
      <c r="C588" s="265" t="str">
        <f>VLOOKUP(PAA[[#This Row],[PROYECTO (formulado)2]],PROYECTOS!$G$1:$L$32,6,0)</f>
        <v>SUBGERENCIA ADMINISTRATIVA Y FINANCIERA</v>
      </c>
      <c r="D588" s="265" t="str">
        <f>+IF(PAA[[#This Row],[UNIDAD DE CONTRATACION (formulado)]]="Subgerencia Administrativa y Financiera","FUNCIONAMIENTO","INVERSIÓN")</f>
        <v>FUNCIONAMIENTO</v>
      </c>
      <c r="E588" s="268" t="str">
        <f>VLOOKUP(Q588,PROYECTOS!$G$1:$K$32,5,0)</f>
        <v>Fortalecimiento de los sistemas de información y la gestión estratégica para el deporte, la recreación y la actividad física de Antioquia</v>
      </c>
      <c r="F588" s="266">
        <f>VLOOKUP(E588,PROYECTOS!$K$1:$M$32,3,0)</f>
        <v>2024003050077</v>
      </c>
      <c r="G588" s="266" t="s">
        <v>201</v>
      </c>
      <c r="H588" s="268" t="str">
        <f>VLOOKUP(Q588,PROYECTOS!$V$1:$W$32,2,0)</f>
        <v>220387</v>
      </c>
      <c r="I588" s="269">
        <v>52385167</v>
      </c>
      <c r="J588" s="282" t="s">
        <v>696</v>
      </c>
      <c r="K588" s="265" t="str">
        <f t="shared" ca="1" si="78"/>
        <v>CONTRATADO</v>
      </c>
      <c r="L588" s="265" t="s">
        <v>112</v>
      </c>
      <c r="M588" s="265" t="s">
        <v>113</v>
      </c>
      <c r="N588" s="265" t="s">
        <v>680</v>
      </c>
      <c r="O588" s="265">
        <f>VLOOKUP(N588,RUBROS[#All],3,0)</f>
        <v>50</v>
      </c>
      <c r="P588" s="275" t="str">
        <f>VLOOKUP(N588,RUBROS[#All],2,0)</f>
        <v xml:space="preserve">Fortalecimiento de los sistemas de información y la gestión estratégica para el deporte, la recreación y la actividad física de Antioquia (sistemas) - Servicios prestados a las empresas y servicios de producción </v>
      </c>
      <c r="Q588" s="265" t="str">
        <f t="shared" si="79"/>
        <v>77</v>
      </c>
      <c r="R588" s="265" t="str">
        <f t="shared" si="80"/>
        <v>0-205128</v>
      </c>
      <c r="S588" s="265">
        <v>6</v>
      </c>
      <c r="T588" s="271" t="s">
        <v>46</v>
      </c>
      <c r="U588" s="272" t="e">
        <f ca="1">_xlfn.XLOOKUP(PAA[[#This Row],[ITEM]],Contrato!A:A,Contrato!Q:Q,"",0)</f>
        <v>#NAME?</v>
      </c>
      <c r="V588" s="265" t="s">
        <v>47</v>
      </c>
      <c r="W588" s="265" t="s">
        <v>127</v>
      </c>
      <c r="X588" s="265" t="s">
        <v>127</v>
      </c>
      <c r="Y588" s="273" t="e">
        <f ca="1">_xlfn.XLOOKUP(PAA[[#This Row],[ITEM]],Contrato!A:A,Contrato!B:B,"",0)</f>
        <v>#NAME?</v>
      </c>
      <c r="Z588" s="265" t="e">
        <f ca="1">_xlfn.XLOOKUP(PAA[[#This Row],[ITEM]],Contrato!A:A,Contrato!G:G,"",0)</f>
        <v>#NAME?</v>
      </c>
      <c r="AA588" s="265" t="e">
        <f ca="1">_xlfn.XLOOKUP(PAA[[#This Row],[ITEM]],Contrato!A:A,Contrato!T:T,"",0)</f>
        <v>#NAME?</v>
      </c>
      <c r="AB588" s="273" t="e">
        <f ca="1">+MAX(PAA[[#This Row],[Comprometido Contrato]],)</f>
        <v>#NAME?</v>
      </c>
      <c r="AC588" s="273" t="str">
        <f t="shared" ca="1" si="91"/>
        <v/>
      </c>
      <c r="AD588" s="273" t="e">
        <f ca="1">+MAX(PAA[[#This Row],[Pago por Contrato]],)</f>
        <v>#NAME?</v>
      </c>
      <c r="AE588" s="273" t="str">
        <f t="shared" ca="1" si="81"/>
        <v/>
      </c>
      <c r="AF588" s="265" t="e">
        <f t="shared" ca="1" si="82"/>
        <v>#NAME?</v>
      </c>
      <c r="AG588" s="265">
        <f t="shared" si="83"/>
        <v>52011001</v>
      </c>
      <c r="AH588" s="265" t="e" cm="1">
        <f t="array" aca="1" ref="AH588" ca="1">_xlfn.XLOOKUP(PAA[[#This Row],[RCP-RUBRO]],COMPROMISOS_2025[[#All],[concatenado]],COMPROMISOS_2025[[#All],[Total pagado]],"",0)</f>
        <v>#NAME?</v>
      </c>
      <c r="AI588" s="265" t="e" cm="1">
        <f t="array" aca="1" ref="AI588" ca="1">_xlfn.XLOOKUP(PAA[[#This Row],[RCP-RUBRO]],COMPROMISOS_2025[[#All],[concatenado]],COMPROMISOS_2025[[#All],[Total Comprometido]],"",0)</f>
        <v>#NAME?</v>
      </c>
    </row>
    <row r="589" spans="1:35" s="50" customFormat="1" ht="42" hidden="1" customHeight="1" x14ac:dyDescent="0.25">
      <c r="A589" s="57">
        <v>488</v>
      </c>
      <c r="B589" s="188" t="s">
        <v>678</v>
      </c>
      <c r="C589" s="57" t="str">
        <f>VLOOKUP(PAA[[#This Row],[PROYECTO (formulado)2]],PROYECTOS!$G$1:$L$32,6,0)</f>
        <v>SUBGERENCIA ADMINISTRATIVA Y FINANCIERA</v>
      </c>
      <c r="D589" s="57" t="str">
        <f>+IF(PAA[[#This Row],[UNIDAD DE CONTRATACION (formulado)]]="Subgerencia Administrativa y Financiera","FUNCIONAMIENTO","INVERSIÓN")</f>
        <v>FUNCIONAMIENTO</v>
      </c>
      <c r="E589" s="189" t="str">
        <f>VLOOKUP(Q589,PROYECTOS!$G$1:$K$32,5,0)</f>
        <v>Fortalecimiento de los sistemas de información y la gestión estratégica para el deporte, la recreación y la actividad física de Antioquia</v>
      </c>
      <c r="F589" s="154">
        <f>VLOOKUP(E589,PROYECTOS!$K$1:$M$32,3,0)</f>
        <v>2024003050077</v>
      </c>
      <c r="G589" s="154" t="s">
        <v>197</v>
      </c>
      <c r="H589" s="189" t="str">
        <f>VLOOKUP(Q589,PROYECTOS!$V$1:$W$32,2,0)</f>
        <v>220387</v>
      </c>
      <c r="I589" s="143">
        <v>81847907</v>
      </c>
      <c r="J589" s="190" t="s">
        <v>697</v>
      </c>
      <c r="K589" s="57" t="str">
        <f t="shared" ca="1" si="78"/>
        <v>CONTRATADO</v>
      </c>
      <c r="L589" s="57" t="s">
        <v>112</v>
      </c>
      <c r="M589" s="57" t="s">
        <v>142</v>
      </c>
      <c r="N589" s="57" t="s">
        <v>698</v>
      </c>
      <c r="O589" s="57">
        <f>VLOOKUP(N589,RUBROS[#All],3,0)</f>
        <v>51</v>
      </c>
      <c r="P589" s="155" t="str">
        <f>VLOOKUP(N589,RUBROS[#All],2,0)</f>
        <v xml:space="preserve">VF-Fortalecimiento de los sistemas de información y la gestión estratégica para el deporte, la recreación y la actividad física de Antioquia (sistemas) -Servicios prestados a las empresas y servicios de producción </v>
      </c>
      <c r="Q589" s="57" t="str">
        <f t="shared" si="79"/>
        <v>77</v>
      </c>
      <c r="R589" s="57" t="str">
        <f t="shared" si="80"/>
        <v>0-205128</v>
      </c>
      <c r="S589" s="57">
        <v>2</v>
      </c>
      <c r="T589" s="191" t="s">
        <v>46</v>
      </c>
      <c r="U589" s="162" t="e">
        <f ca="1">_xlfn.XLOOKUP(PAA[[#This Row],[ITEM]],Contrato!A:A,Contrato!Q:Q,"",0)</f>
        <v>#NAME?</v>
      </c>
      <c r="V589" s="57" t="s">
        <v>47</v>
      </c>
      <c r="W589" s="57" t="s">
        <v>48</v>
      </c>
      <c r="X589" s="57" t="s">
        <v>48</v>
      </c>
      <c r="Y589" s="58" t="e">
        <f ca="1">_xlfn.XLOOKUP(PAA[[#This Row],[ITEM]],Contrato!A:A,Contrato!B:B,"",0)</f>
        <v>#NAME?</v>
      </c>
      <c r="Z589" s="57" t="e">
        <f ca="1">_xlfn.XLOOKUP(PAA[[#This Row],[ITEM]],Contrato!A:A,Contrato!G:G,"",0)</f>
        <v>#NAME?</v>
      </c>
      <c r="AA589" s="57" t="e">
        <f ca="1">_xlfn.XLOOKUP(PAA[[#This Row],[ITEM]],Contrato!A:A,Contrato!T:T,"",0)</f>
        <v>#NAME?</v>
      </c>
      <c r="AB589" s="58" t="e">
        <f ca="1">+MAX(PAA[[#This Row],[Comprometido Contrato]],)</f>
        <v>#NAME?</v>
      </c>
      <c r="AC589" s="58" t="str">
        <f t="shared" ca="1" si="91"/>
        <v/>
      </c>
      <c r="AD589" s="58" t="e">
        <f ca="1">+MAX(PAA[[#This Row],[Pago por Contrato]],)</f>
        <v>#NAME?</v>
      </c>
      <c r="AE589" s="58" t="str">
        <f t="shared" ca="1" si="81"/>
        <v/>
      </c>
      <c r="AF589" s="57" t="e">
        <f t="shared" ca="1" si="82"/>
        <v>#NAME?</v>
      </c>
      <c r="AG589" s="57">
        <f t="shared" si="83"/>
        <v>52011001</v>
      </c>
      <c r="AH589" s="57" t="e" cm="1">
        <f t="array" aca="1" ref="AH589" ca="1">_xlfn.XLOOKUP(PAA[[#This Row],[RCP-RUBRO]],COMPROMISOS_2025[[#All],[concatenado]],COMPROMISOS_2025[[#All],[Total pagado]],"",0)</f>
        <v>#NAME?</v>
      </c>
      <c r="AI589" s="57" t="e" cm="1">
        <f t="array" aca="1" ref="AI589" ca="1">_xlfn.XLOOKUP(PAA[[#This Row],[RCP-RUBRO]],COMPROMISOS_2025[[#All],[concatenado]],COMPROMISOS_2025[[#All],[Total Comprometido]],"",0)</f>
        <v>#NAME?</v>
      </c>
    </row>
    <row r="590" spans="1:35" s="50" customFormat="1" ht="42" hidden="1" customHeight="1" x14ac:dyDescent="0.25">
      <c r="A590" s="57">
        <v>489</v>
      </c>
      <c r="B590" s="188" t="s">
        <v>681</v>
      </c>
      <c r="C590" s="57" t="str">
        <f>VLOOKUP(PAA[[#This Row],[PROYECTO (formulado)2]],PROYECTOS!$G$1:$L$32,6,0)</f>
        <v>SUBGERENCIA ADMINISTRATIVA Y FINANCIERA</v>
      </c>
      <c r="D590" s="57" t="str">
        <f>+IF(PAA[[#This Row],[UNIDAD DE CONTRATACION (formulado)]]="Subgerencia Administrativa y Financiera","FUNCIONAMIENTO","INVERSIÓN")</f>
        <v>FUNCIONAMIENTO</v>
      </c>
      <c r="E590" s="189" t="str">
        <f>VLOOKUP(Q590,PROYECTOS!$G$1:$K$32,5,0)</f>
        <v>Fortalecimiento de los sistemas de información y la gestión estratégica para el deporte, la recreación y la actividad física de Antioquia</v>
      </c>
      <c r="F590" s="154">
        <f>VLOOKUP(E590,PROYECTOS!$K$1:$M$32,3,0)</f>
        <v>2024003050077</v>
      </c>
      <c r="G590" s="154" t="s">
        <v>197</v>
      </c>
      <c r="H590" s="189" t="str">
        <f>VLOOKUP(Q590,PROYECTOS!$V$1:$W$32,2,0)</f>
        <v>220387</v>
      </c>
      <c r="I590" s="143">
        <v>41481095</v>
      </c>
      <c r="J590" s="190" t="s">
        <v>699</v>
      </c>
      <c r="K590" s="57" t="str">
        <f t="shared" ca="1" si="78"/>
        <v>CONTRATADO</v>
      </c>
      <c r="L590" s="155" t="s">
        <v>146</v>
      </c>
      <c r="M590" s="57" t="s">
        <v>142</v>
      </c>
      <c r="N590" s="57" t="s">
        <v>698</v>
      </c>
      <c r="O590" s="57">
        <f>VLOOKUP(N590,RUBROS[#All],3,0)</f>
        <v>51</v>
      </c>
      <c r="P590" s="155" t="str">
        <f>VLOOKUP(N590,RUBROS[#All],2,0)</f>
        <v xml:space="preserve">VF-Fortalecimiento de los sistemas de información y la gestión estratégica para el deporte, la recreación y la actividad física de Antioquia (sistemas) -Servicios prestados a las empresas y servicios de producción </v>
      </c>
      <c r="Q590" s="57" t="str">
        <f t="shared" si="79"/>
        <v>77</v>
      </c>
      <c r="R590" s="57" t="str">
        <f t="shared" si="80"/>
        <v>0-205128</v>
      </c>
      <c r="S590" s="57">
        <v>2</v>
      </c>
      <c r="T590" s="191" t="s">
        <v>46</v>
      </c>
      <c r="U590" s="162" t="e">
        <f ca="1">_xlfn.XLOOKUP(PAA[[#This Row],[ITEM]],Contrato!A:A,Contrato!Q:Q,"",0)</f>
        <v>#NAME?</v>
      </c>
      <c r="V590" s="57" t="s">
        <v>47</v>
      </c>
      <c r="W590" s="57" t="s">
        <v>48</v>
      </c>
      <c r="X590" s="57" t="s">
        <v>48</v>
      </c>
      <c r="Y590" s="58" t="e">
        <f ca="1">_xlfn.XLOOKUP(PAA[[#This Row],[ITEM]],Contrato!A:A,Contrato!B:B,"",0)</f>
        <v>#NAME?</v>
      </c>
      <c r="Z590" s="57" t="e">
        <f ca="1">_xlfn.XLOOKUP(PAA[[#This Row],[ITEM]],Contrato!A:A,Contrato!G:G,"",0)</f>
        <v>#NAME?</v>
      </c>
      <c r="AA590" s="57" t="e">
        <f ca="1">_xlfn.XLOOKUP(PAA[[#This Row],[ITEM]],Contrato!A:A,Contrato!T:T,"",0)</f>
        <v>#NAME?</v>
      </c>
      <c r="AB590" s="58" t="e">
        <f ca="1">+MAX(PAA[[#This Row],[Comprometido Contrato]],)</f>
        <v>#NAME?</v>
      </c>
      <c r="AC590" s="58" t="str">
        <f t="shared" ca="1" si="91"/>
        <v/>
      </c>
      <c r="AD590" s="58" t="e">
        <f ca="1">+MAX(PAA[[#This Row],[Pago por Contrato]],)</f>
        <v>#NAME?</v>
      </c>
      <c r="AE590" s="58" t="str">
        <f t="shared" ca="1" si="81"/>
        <v/>
      </c>
      <c r="AF590" s="57" t="e">
        <f t="shared" ca="1" si="82"/>
        <v>#NAME?</v>
      </c>
      <c r="AG590" s="57">
        <f t="shared" si="83"/>
        <v>52011001</v>
      </c>
      <c r="AH590" s="57" t="e" cm="1">
        <f t="array" aca="1" ref="AH590" ca="1">_xlfn.XLOOKUP(PAA[[#This Row],[RCP-RUBRO]],COMPROMISOS_2025[[#All],[concatenado]],COMPROMISOS_2025[[#All],[Total pagado]],"",0)</f>
        <v>#NAME?</v>
      </c>
      <c r="AI590" s="57" t="e" cm="1">
        <f t="array" aca="1" ref="AI590" ca="1">_xlfn.XLOOKUP(PAA[[#This Row],[RCP-RUBRO]],COMPROMISOS_2025[[#All],[concatenado]],COMPROMISOS_2025[[#All],[Total Comprometido]],"",0)</f>
        <v>#NAME?</v>
      </c>
    </row>
    <row r="591" spans="1:35" s="50" customFormat="1" ht="42" hidden="1" customHeight="1" x14ac:dyDescent="0.25">
      <c r="A591" s="57">
        <v>490</v>
      </c>
      <c r="B591" s="186" t="s">
        <v>700</v>
      </c>
      <c r="C591" s="57" t="str">
        <f>VLOOKUP(PAA[[#This Row],[PROYECTO (formulado)2]],PROYECTOS!$G$1:$L$32,6,0)</f>
        <v>SUBGERENCIA ADMINISTRATIVA Y FINANCIERA</v>
      </c>
      <c r="D591" s="57" t="str">
        <f>+IF(PAA[[#This Row],[UNIDAD DE CONTRATACION (formulado)]]="Subgerencia Administrativa y Financiera","FUNCIONAMIENTO","INVERSIÓN")</f>
        <v>FUNCIONAMIENTO</v>
      </c>
      <c r="E591" s="153" t="str">
        <f>VLOOKUP(Q591,PROYECTOS!$G$1:$K$32,5,0)</f>
        <v>Fortalecimiento de los sistemas de información y la gestión estratégica para el deporte, la recreación y la actividad física de Antioquia</v>
      </c>
      <c r="F591" s="153">
        <f>VLOOKUP(E591,PROYECTOS!$K$1:$M$32,3,0)</f>
        <v>2024003050077</v>
      </c>
      <c r="G591" s="154" t="s">
        <v>168</v>
      </c>
      <c r="H591" s="154" t="str">
        <f>VLOOKUP(Q591,PROYECTOS!$V$1:$W$32,2,0)</f>
        <v>220387</v>
      </c>
      <c r="I591" s="143">
        <v>50000000</v>
      </c>
      <c r="J591" s="155" t="s">
        <v>701</v>
      </c>
      <c r="K591" s="57" t="str">
        <f t="shared" ca="1" si="78"/>
        <v>CONTRATADO</v>
      </c>
      <c r="L591" s="155" t="s">
        <v>112</v>
      </c>
      <c r="M591" s="155" t="s">
        <v>142</v>
      </c>
      <c r="N591" s="142" t="s">
        <v>166</v>
      </c>
      <c r="O591" s="155">
        <f>VLOOKUP(N591,RUBROS[#All],3,0)</f>
        <v>55</v>
      </c>
      <c r="P591" s="156" t="str">
        <f>VLOOKUP(N591,RUBROS[#All],2,0)</f>
        <v>Fortalecimiento de los sistemas de información y la gestión estratégica para el deporte, la recreación y la actividad física de Antioquia (comunicaciones) -Servicios para la comunidad, sociales y personales</v>
      </c>
      <c r="Q591" s="57" t="str">
        <f t="shared" si="79"/>
        <v>77</v>
      </c>
      <c r="R591" s="57" t="str">
        <f t="shared" si="80"/>
        <v>0-271130</v>
      </c>
      <c r="S591" s="152">
        <v>2</v>
      </c>
      <c r="T591" s="157" t="s">
        <v>46</v>
      </c>
      <c r="U591" s="162" t="e">
        <f ca="1">_xlfn.XLOOKUP(PAA[[#This Row],[ITEM]],Contrato!A:A,Contrato!Q:Q,"",0)</f>
        <v>#NAME?</v>
      </c>
      <c r="V591" s="57" t="s">
        <v>47</v>
      </c>
      <c r="W591" s="57" t="s">
        <v>48</v>
      </c>
      <c r="X591" s="57" t="s">
        <v>48</v>
      </c>
      <c r="Y591" s="58" t="e">
        <f ca="1">_xlfn.XLOOKUP(PAA[[#This Row],[ITEM]],Contrato!A:A,Contrato!B:B,"",0)</f>
        <v>#NAME?</v>
      </c>
      <c r="Z591" s="57" t="e">
        <f ca="1">_xlfn.XLOOKUP(PAA[[#This Row],[ITEM]],Contrato!A:A,Contrato!G:G,"",0)</f>
        <v>#NAME?</v>
      </c>
      <c r="AA591" s="57" t="e">
        <f ca="1">_xlfn.XLOOKUP(PAA[[#This Row],[ITEM]],Contrato!A:A,Contrato!T:T,"",0)</f>
        <v>#NAME?</v>
      </c>
      <c r="AB591" s="58" t="e">
        <f ca="1">+MAX(PAA[[#This Row],[Comprometido Contrato]],)</f>
        <v>#NAME?</v>
      </c>
      <c r="AC591" s="58" t="str">
        <f t="shared" ca="1" si="91"/>
        <v/>
      </c>
      <c r="AD591" s="58" t="e">
        <f ca="1">+MAX(PAA[[#This Row],[Pago por Contrato]],)</f>
        <v>#NAME?</v>
      </c>
      <c r="AE591" s="58" t="str">
        <f t="shared" ca="1" si="81"/>
        <v/>
      </c>
      <c r="AF591" s="57" t="e">
        <f t="shared" ca="1" si="82"/>
        <v>#NAME?</v>
      </c>
      <c r="AG591" s="57">
        <f t="shared" si="83"/>
        <v>52011001</v>
      </c>
      <c r="AH591" s="57" t="e" cm="1">
        <f t="array" aca="1" ref="AH591" ca="1">_xlfn.XLOOKUP(PAA[[#This Row],[RCP-RUBRO]],COMPROMISOS_2025[[#All],[concatenado]],COMPROMISOS_2025[[#All],[Total pagado]],"",0)</f>
        <v>#NAME?</v>
      </c>
      <c r="AI591" s="57" t="e" cm="1">
        <f t="array" aca="1" ref="AI591" ca="1">_xlfn.XLOOKUP(PAA[[#This Row],[RCP-RUBRO]],COMPROMISOS_2025[[#All],[concatenado]],COMPROMISOS_2025[[#All],[Total Comprometido]],"",0)</f>
        <v>#NAME?</v>
      </c>
    </row>
    <row r="592" spans="1:35" s="50" customFormat="1" ht="42" hidden="1" customHeight="1" x14ac:dyDescent="0.25">
      <c r="A592" s="207">
        <v>491</v>
      </c>
      <c r="B592" s="200">
        <v>80111600</v>
      </c>
      <c r="C592" s="207" t="str">
        <f>VLOOKUP(PAA[[#This Row],[PROYECTO (formulado)2]],PROYECTOS!$G$1:$L$32,6,0)</f>
        <v>SUBGERENCIA ADMINISTRATIVA Y FINANCIERA</v>
      </c>
      <c r="D592" s="207" t="str">
        <f>+IF(PAA[[#This Row],[UNIDAD DE CONTRATACION (formulado)]]="Subgerencia Administrativa y Financiera","FUNCIONAMIENTO","INVERSIÓN")</f>
        <v>FUNCIONAMIENTO</v>
      </c>
      <c r="E592" s="217" t="str">
        <f>VLOOKUP(Q592,PROYECTOS!$G$1:$K$32,5,0)</f>
        <v>FUNCIONAMIENTO</v>
      </c>
      <c r="F592" s="217">
        <f>VLOOKUP(E592,PROYECTOS!$K$1:$M$32,3,0)</f>
        <v>999999</v>
      </c>
      <c r="G592" s="218" t="s">
        <v>42</v>
      </c>
      <c r="H592" s="218">
        <f>VLOOKUP(Q592,PROYECTOS!$V$1:$W$32,2,0)</f>
        <v>999999</v>
      </c>
      <c r="I592" s="219">
        <v>17095000</v>
      </c>
      <c r="J592" s="220" t="s">
        <v>702</v>
      </c>
      <c r="K592" s="207" t="str">
        <f t="shared" ca="1" si="78"/>
        <v>CONTRATADO</v>
      </c>
      <c r="L592" s="220" t="s">
        <v>112</v>
      </c>
      <c r="M592" s="220" t="s">
        <v>113</v>
      </c>
      <c r="N592" s="221" t="s">
        <v>114</v>
      </c>
      <c r="O592" s="220">
        <f>VLOOKUP(N592,RUBROS[#All],3,0)</f>
        <v>30</v>
      </c>
      <c r="P592" s="207" t="str">
        <f>VLOOKUP(N592,RUBROS[#All],2,0)</f>
        <v xml:space="preserve">Servicios prestados a las empresas y servicios de producción </v>
      </c>
      <c r="Q592" s="207" t="str">
        <f t="shared" si="79"/>
        <v>00</v>
      </c>
      <c r="R592" s="199" t="str">
        <f t="shared" si="80"/>
        <v>0-205616</v>
      </c>
      <c r="S592" s="207">
        <v>5</v>
      </c>
      <c r="T592" s="222" t="s">
        <v>46</v>
      </c>
      <c r="U592" s="223" t="e">
        <f ca="1">_xlfn.XLOOKUP(PAA[[#This Row],[ITEM]],Contrato!A:A,Contrato!Q:Q,"",0)</f>
        <v>#NAME?</v>
      </c>
      <c r="V592" s="207" t="s">
        <v>47</v>
      </c>
      <c r="W592" s="207" t="s">
        <v>48</v>
      </c>
      <c r="X592" s="207" t="s">
        <v>48</v>
      </c>
      <c r="Y592" s="224" t="e">
        <f ca="1">_xlfn.XLOOKUP(PAA[[#This Row],[ITEM]],Contrato!A:A,Contrato!B:B,"",0)</f>
        <v>#NAME?</v>
      </c>
      <c r="Z592" s="207" t="e">
        <f ca="1">_xlfn.XLOOKUP(PAA[[#This Row],[ITEM]],Contrato!A:A,Contrato!G:G,"",0)</f>
        <v>#NAME?</v>
      </c>
      <c r="AA592" s="207" t="e">
        <f ca="1">_xlfn.XLOOKUP(PAA[[#This Row],[ITEM]],Contrato!A:A,Contrato!T:T,"",0)</f>
        <v>#NAME?</v>
      </c>
      <c r="AB592" s="224" t="e">
        <f ca="1">+MAX(PAA[[#This Row],[Comprometido Contrato]],)</f>
        <v>#NAME?</v>
      </c>
      <c r="AC592" s="224" t="str">
        <f t="shared" ca="1" si="91"/>
        <v/>
      </c>
      <c r="AD592" s="224" t="e">
        <f ca="1">+MAX(PAA[[#This Row],[Pago por Contrato]],)</f>
        <v>#NAME?</v>
      </c>
      <c r="AE592" s="224" t="str">
        <f t="shared" ca="1" si="81"/>
        <v/>
      </c>
      <c r="AF592" s="207" t="e">
        <f t="shared" ca="1" si="82"/>
        <v>#NAME?</v>
      </c>
      <c r="AG592" s="207" t="str">
        <f t="shared" si="83"/>
        <v/>
      </c>
      <c r="AH592" s="207" t="e" cm="1">
        <f t="array" aca="1" ref="AH592" ca="1">_xlfn.XLOOKUP(PAA[[#This Row],[RCP-RUBRO]],COMPROMISOS_2025[[#All],[concatenado]],COMPROMISOS_2025[[#All],[Total pagado]],"",0)</f>
        <v>#NAME?</v>
      </c>
      <c r="AI592" s="207" t="e" cm="1">
        <f t="array" aca="1" ref="AI592" ca="1">_xlfn.XLOOKUP(PAA[[#This Row],[RCP-RUBRO]],COMPROMISOS_2025[[#All],[concatenado]],COMPROMISOS_2025[[#All],[Total Comprometido]],"",0)</f>
        <v>#NAME?</v>
      </c>
    </row>
    <row r="593" spans="1:35" s="50" customFormat="1" ht="42" hidden="1" customHeight="1" x14ac:dyDescent="0.25">
      <c r="A593" s="207">
        <v>492</v>
      </c>
      <c r="B593" s="200">
        <v>80111600</v>
      </c>
      <c r="C593" s="207" t="str">
        <f>VLOOKUP(PAA[[#This Row],[PROYECTO (formulado)2]],PROYECTOS!$G$1:$L$32,6,0)</f>
        <v>SUBGERENCIA ADMINISTRATIVA Y FINANCIERA</v>
      </c>
      <c r="D593" s="207" t="str">
        <f>+IF(PAA[[#This Row],[UNIDAD DE CONTRATACION (formulado)]]="Subgerencia Administrativa y Financiera","FUNCIONAMIENTO","INVERSIÓN")</f>
        <v>FUNCIONAMIENTO</v>
      </c>
      <c r="E593" s="217" t="str">
        <f>VLOOKUP(Q593,PROYECTOS!$G$1:$K$32,5,0)</f>
        <v>FUNCIONAMIENTO</v>
      </c>
      <c r="F593" s="217">
        <f>VLOOKUP(E593,PROYECTOS!$K$1:$M$32,3,0)</f>
        <v>999999</v>
      </c>
      <c r="G593" s="218" t="s">
        <v>42</v>
      </c>
      <c r="H593" s="218">
        <f>VLOOKUP(Q593,PROYECTOS!$V$1:$W$32,2,0)</f>
        <v>999999</v>
      </c>
      <c r="I593" s="219">
        <v>47866000</v>
      </c>
      <c r="J593" s="220" t="s">
        <v>703</v>
      </c>
      <c r="K593" s="207" t="str">
        <f t="shared" ca="1" si="78"/>
        <v>CONTRATADO</v>
      </c>
      <c r="L593" s="220" t="s">
        <v>112</v>
      </c>
      <c r="M593" s="220" t="s">
        <v>113</v>
      </c>
      <c r="N593" s="221" t="s">
        <v>114</v>
      </c>
      <c r="O593" s="220">
        <f>VLOOKUP(N593,RUBROS[#All],3,0)</f>
        <v>30</v>
      </c>
      <c r="P593" s="207" t="str">
        <f>VLOOKUP(N593,RUBROS[#All],2,0)</f>
        <v xml:space="preserve">Servicios prestados a las empresas y servicios de producción </v>
      </c>
      <c r="Q593" s="207" t="str">
        <f t="shared" si="79"/>
        <v>00</v>
      </c>
      <c r="R593" s="199" t="str">
        <f t="shared" si="80"/>
        <v>0-205616</v>
      </c>
      <c r="S593" s="207">
        <v>5</v>
      </c>
      <c r="T593" s="222" t="s">
        <v>46</v>
      </c>
      <c r="U593" s="223" t="e">
        <f ca="1">_xlfn.XLOOKUP(PAA[[#This Row],[ITEM]],Contrato!A:A,Contrato!Q:Q,"",0)</f>
        <v>#NAME?</v>
      </c>
      <c r="V593" s="207" t="s">
        <v>47</v>
      </c>
      <c r="W593" s="207" t="s">
        <v>48</v>
      </c>
      <c r="X593" s="207" t="s">
        <v>48</v>
      </c>
      <c r="Y593" s="224" t="e">
        <f ca="1">_xlfn.XLOOKUP(PAA[[#This Row],[ITEM]],Contrato!A:A,Contrato!B:B,"",0)</f>
        <v>#NAME?</v>
      </c>
      <c r="Z593" s="207" t="e">
        <f ca="1">_xlfn.XLOOKUP(PAA[[#This Row],[ITEM]],Contrato!A:A,Contrato!G:G,"",0)</f>
        <v>#NAME?</v>
      </c>
      <c r="AA593" s="207" t="e">
        <f ca="1">_xlfn.XLOOKUP(PAA[[#This Row],[ITEM]],Contrato!A:A,Contrato!T:T,"",0)</f>
        <v>#NAME?</v>
      </c>
      <c r="AB593" s="224" t="e">
        <f ca="1">+MAX(PAA[[#This Row],[Comprometido Contrato]],)</f>
        <v>#NAME?</v>
      </c>
      <c r="AC593" s="224" t="str">
        <f t="shared" ca="1" si="91"/>
        <v/>
      </c>
      <c r="AD593" s="224" t="e">
        <f ca="1">+MAX(PAA[[#This Row],[Pago por Contrato]],)</f>
        <v>#NAME?</v>
      </c>
      <c r="AE593" s="224" t="str">
        <f t="shared" ca="1" si="81"/>
        <v/>
      </c>
      <c r="AF593" s="207" t="e">
        <f t="shared" ca="1" si="82"/>
        <v>#NAME?</v>
      </c>
      <c r="AG593" s="207" t="str">
        <f t="shared" si="83"/>
        <v/>
      </c>
      <c r="AH593" s="207" t="e" cm="1">
        <f t="array" aca="1" ref="AH593" ca="1">_xlfn.XLOOKUP(PAA[[#This Row],[RCP-RUBRO]],COMPROMISOS_2025[[#All],[concatenado]],COMPROMISOS_2025[[#All],[Total pagado]],"",0)</f>
        <v>#NAME?</v>
      </c>
      <c r="AI593" s="207" t="e" cm="1">
        <f t="array" aca="1" ref="AI593" ca="1">_xlfn.XLOOKUP(PAA[[#This Row],[RCP-RUBRO]],COMPROMISOS_2025[[#All],[concatenado]],COMPROMISOS_2025[[#All],[Total Comprometido]],"",0)</f>
        <v>#NAME?</v>
      </c>
    </row>
    <row r="594" spans="1:35" s="50" customFormat="1" ht="42" hidden="1" customHeight="1" x14ac:dyDescent="0.25">
      <c r="A594" s="207">
        <v>493</v>
      </c>
      <c r="B594" s="200">
        <v>80111600</v>
      </c>
      <c r="C594" s="207" t="str">
        <f>VLOOKUP(PAA[[#This Row],[PROYECTO (formulado)2]],PROYECTOS!$G$1:$L$32,6,0)</f>
        <v>SUBGERENCIA ADMINISTRATIVA Y FINANCIERA</v>
      </c>
      <c r="D594" s="207" t="str">
        <f>+IF(PAA[[#This Row],[UNIDAD DE CONTRATACION (formulado)]]="Subgerencia Administrativa y Financiera","FUNCIONAMIENTO","INVERSIÓN")</f>
        <v>FUNCIONAMIENTO</v>
      </c>
      <c r="E594" s="217" t="str">
        <f>VLOOKUP(Q594,PROYECTOS!$G$1:$K$32,5,0)</f>
        <v>FUNCIONAMIENTO</v>
      </c>
      <c r="F594" s="217">
        <f>VLOOKUP(E594,PROYECTOS!$K$1:$M$32,3,0)</f>
        <v>999999</v>
      </c>
      <c r="G594" s="218" t="s">
        <v>42</v>
      </c>
      <c r="H594" s="218">
        <f>VLOOKUP(Q594,PROYECTOS!$V$1:$W$32,2,0)</f>
        <v>999999</v>
      </c>
      <c r="I594" s="219">
        <v>47866000</v>
      </c>
      <c r="J594" s="220" t="s">
        <v>704</v>
      </c>
      <c r="K594" s="207" t="str">
        <f t="shared" ca="1" si="78"/>
        <v>CONTRATADO</v>
      </c>
      <c r="L594" s="220" t="s">
        <v>112</v>
      </c>
      <c r="M594" s="220" t="s">
        <v>113</v>
      </c>
      <c r="N594" s="221" t="s">
        <v>114</v>
      </c>
      <c r="O594" s="220">
        <f>VLOOKUP(N594,RUBROS[#All],3,0)</f>
        <v>30</v>
      </c>
      <c r="P594" s="207" t="str">
        <f>VLOOKUP(N594,RUBROS[#All],2,0)</f>
        <v xml:space="preserve">Servicios prestados a las empresas y servicios de producción </v>
      </c>
      <c r="Q594" s="207" t="str">
        <f t="shared" si="79"/>
        <v>00</v>
      </c>
      <c r="R594" s="199" t="str">
        <f t="shared" si="80"/>
        <v>0-205616</v>
      </c>
      <c r="S594" s="207">
        <v>5</v>
      </c>
      <c r="T594" s="222" t="s">
        <v>46</v>
      </c>
      <c r="U594" s="223" t="e">
        <f ca="1">_xlfn.XLOOKUP(PAA[[#This Row],[ITEM]],Contrato!A:A,Contrato!Q:Q,"",0)</f>
        <v>#NAME?</v>
      </c>
      <c r="V594" s="207" t="s">
        <v>47</v>
      </c>
      <c r="W594" s="207" t="s">
        <v>48</v>
      </c>
      <c r="X594" s="207" t="s">
        <v>48</v>
      </c>
      <c r="Y594" s="224" t="e">
        <f ca="1">_xlfn.XLOOKUP(PAA[[#This Row],[ITEM]],Contrato!A:A,Contrato!B:B,"",0)</f>
        <v>#NAME?</v>
      </c>
      <c r="Z594" s="207" t="e">
        <f ca="1">_xlfn.XLOOKUP(PAA[[#This Row],[ITEM]],Contrato!A:A,Contrato!G:G,"",0)</f>
        <v>#NAME?</v>
      </c>
      <c r="AA594" s="207" t="e">
        <f ca="1">_xlfn.XLOOKUP(PAA[[#This Row],[ITEM]],Contrato!A:A,Contrato!T:T,"",0)</f>
        <v>#NAME?</v>
      </c>
      <c r="AB594" s="224" t="e">
        <f ca="1">+MAX(PAA[[#This Row],[Comprometido Contrato]],)</f>
        <v>#NAME?</v>
      </c>
      <c r="AC594" s="224" t="str">
        <f t="shared" ca="1" si="91"/>
        <v/>
      </c>
      <c r="AD594" s="224" t="e">
        <f ca="1">+MAX(PAA[[#This Row],[Pago por Contrato]],)</f>
        <v>#NAME?</v>
      </c>
      <c r="AE594" s="224" t="str">
        <f t="shared" ca="1" si="81"/>
        <v/>
      </c>
      <c r="AF594" s="207" t="e">
        <f t="shared" ca="1" si="82"/>
        <v>#NAME?</v>
      </c>
      <c r="AG594" s="207" t="str">
        <f t="shared" si="83"/>
        <v/>
      </c>
      <c r="AH594" s="207" t="e" cm="1">
        <f t="array" aca="1" ref="AH594" ca="1">_xlfn.XLOOKUP(PAA[[#This Row],[RCP-RUBRO]],COMPROMISOS_2025[[#All],[concatenado]],COMPROMISOS_2025[[#All],[Total pagado]],"",0)</f>
        <v>#NAME?</v>
      </c>
      <c r="AI594" s="207" t="e" cm="1">
        <f t="array" aca="1" ref="AI594" ca="1">_xlfn.XLOOKUP(PAA[[#This Row],[RCP-RUBRO]],COMPROMISOS_2025[[#All],[concatenado]],COMPROMISOS_2025[[#All],[Total Comprometido]],"",0)</f>
        <v>#NAME?</v>
      </c>
    </row>
    <row r="595" spans="1:35" s="50" customFormat="1" ht="42" hidden="1" customHeight="1" x14ac:dyDescent="0.25">
      <c r="A595" s="207">
        <v>494</v>
      </c>
      <c r="B595" s="200">
        <v>80111600</v>
      </c>
      <c r="C595" s="207" t="str">
        <f>VLOOKUP(PAA[[#This Row],[PROYECTO (formulado)2]],PROYECTOS!$G$1:$L$32,6,0)</f>
        <v>SUBGERENCIA ADMINISTRATIVA Y FINANCIERA</v>
      </c>
      <c r="D595" s="207" t="str">
        <f>+IF(PAA[[#This Row],[UNIDAD DE CONTRATACION (formulado)]]="Subgerencia Administrativa y Financiera","FUNCIONAMIENTO","INVERSIÓN")</f>
        <v>FUNCIONAMIENTO</v>
      </c>
      <c r="E595" s="217" t="str">
        <f>VLOOKUP(Q595,PROYECTOS!$G$1:$K$32,5,0)</f>
        <v>FUNCIONAMIENTO</v>
      </c>
      <c r="F595" s="217">
        <f>VLOOKUP(E595,PROYECTOS!$K$1:$M$32,3,0)</f>
        <v>999999</v>
      </c>
      <c r="G595" s="218" t="s">
        <v>42</v>
      </c>
      <c r="H595" s="218">
        <f>VLOOKUP(Q595,PROYECTOS!$V$1:$W$32,2,0)</f>
        <v>999999</v>
      </c>
      <c r="I595" s="219">
        <v>47866000</v>
      </c>
      <c r="J595" s="220" t="s">
        <v>705</v>
      </c>
      <c r="K595" s="207" t="str">
        <f t="shared" ca="1" si="78"/>
        <v>CONTRATADO</v>
      </c>
      <c r="L595" s="220" t="s">
        <v>112</v>
      </c>
      <c r="M595" s="220" t="s">
        <v>113</v>
      </c>
      <c r="N595" s="221" t="s">
        <v>114</v>
      </c>
      <c r="O595" s="220">
        <f>VLOOKUP(N595,RUBROS[#All],3,0)</f>
        <v>30</v>
      </c>
      <c r="P595" s="207" t="str">
        <f>VLOOKUP(N595,RUBROS[#All],2,0)</f>
        <v xml:space="preserve">Servicios prestados a las empresas y servicios de producción </v>
      </c>
      <c r="Q595" s="207" t="str">
        <f t="shared" si="79"/>
        <v>00</v>
      </c>
      <c r="R595" s="199" t="str">
        <f t="shared" si="80"/>
        <v>0-205616</v>
      </c>
      <c r="S595" s="207">
        <v>5</v>
      </c>
      <c r="T595" s="222" t="s">
        <v>46</v>
      </c>
      <c r="U595" s="223" t="e">
        <f ca="1">_xlfn.XLOOKUP(PAA[[#This Row],[ITEM]],Contrato!A:A,Contrato!Q:Q,"",0)</f>
        <v>#NAME?</v>
      </c>
      <c r="V595" s="207" t="s">
        <v>47</v>
      </c>
      <c r="W595" s="207" t="s">
        <v>48</v>
      </c>
      <c r="X595" s="207" t="s">
        <v>48</v>
      </c>
      <c r="Y595" s="224" t="e">
        <f ca="1">_xlfn.XLOOKUP(PAA[[#This Row],[ITEM]],Contrato!A:A,Contrato!B:B,"",0)</f>
        <v>#NAME?</v>
      </c>
      <c r="Z595" s="207" t="e">
        <f ca="1">_xlfn.XLOOKUP(PAA[[#This Row],[ITEM]],Contrato!A:A,Contrato!G:G,"",0)</f>
        <v>#NAME?</v>
      </c>
      <c r="AA595" s="207" t="e">
        <f ca="1">_xlfn.XLOOKUP(PAA[[#This Row],[ITEM]],Contrato!A:A,Contrato!T:T,"",0)</f>
        <v>#NAME?</v>
      </c>
      <c r="AB595" s="224" t="e">
        <f ca="1">+MAX(PAA[[#This Row],[Comprometido Contrato]],)</f>
        <v>#NAME?</v>
      </c>
      <c r="AC595" s="224" t="str">
        <f t="shared" ca="1" si="91"/>
        <v/>
      </c>
      <c r="AD595" s="224" t="e">
        <f ca="1">+MAX(PAA[[#This Row],[Pago por Contrato]],)</f>
        <v>#NAME?</v>
      </c>
      <c r="AE595" s="224" t="str">
        <f t="shared" ca="1" si="81"/>
        <v/>
      </c>
      <c r="AF595" s="207" t="e">
        <f t="shared" ca="1" si="82"/>
        <v>#NAME?</v>
      </c>
      <c r="AG595" s="207" t="str">
        <f t="shared" si="83"/>
        <v/>
      </c>
      <c r="AH595" s="207" t="e" cm="1">
        <f t="array" aca="1" ref="AH595" ca="1">_xlfn.XLOOKUP(PAA[[#This Row],[RCP-RUBRO]],COMPROMISOS_2025[[#All],[concatenado]],COMPROMISOS_2025[[#All],[Total pagado]],"",0)</f>
        <v>#NAME?</v>
      </c>
      <c r="AI595" s="207" t="e" cm="1">
        <f t="array" aca="1" ref="AI595" ca="1">_xlfn.XLOOKUP(PAA[[#This Row],[RCP-RUBRO]],COMPROMISOS_2025[[#All],[concatenado]],COMPROMISOS_2025[[#All],[Total Comprometido]],"",0)</f>
        <v>#NAME?</v>
      </c>
    </row>
    <row r="596" spans="1:35" s="50" customFormat="1" ht="42" hidden="1" customHeight="1" x14ac:dyDescent="0.25">
      <c r="A596" s="207">
        <v>495</v>
      </c>
      <c r="B596" s="200">
        <v>80111600</v>
      </c>
      <c r="C596" s="207" t="str">
        <f>VLOOKUP(PAA[[#This Row],[PROYECTO (formulado)2]],PROYECTOS!$G$1:$L$32,6,0)</f>
        <v>SUBGERENCIA ADMINISTRATIVA Y FINANCIERA</v>
      </c>
      <c r="D596" s="207" t="str">
        <f>+IF(PAA[[#This Row],[UNIDAD DE CONTRATACION (formulado)]]="Subgerencia Administrativa y Financiera","FUNCIONAMIENTO","INVERSIÓN")</f>
        <v>FUNCIONAMIENTO</v>
      </c>
      <c r="E596" s="217" t="str">
        <f>VLOOKUP(Q596,PROYECTOS!$G$1:$K$32,5,0)</f>
        <v>FUNCIONAMIENTO</v>
      </c>
      <c r="F596" s="217">
        <f>VLOOKUP(E596,PROYECTOS!$K$1:$M$32,3,0)</f>
        <v>999999</v>
      </c>
      <c r="G596" s="218" t="s">
        <v>42</v>
      </c>
      <c r="H596" s="218">
        <f>VLOOKUP(Q596,PROYECTOS!$V$1:$W$32,2,0)</f>
        <v>999999</v>
      </c>
      <c r="I596" s="219">
        <v>37609000</v>
      </c>
      <c r="J596" s="220" t="s">
        <v>706</v>
      </c>
      <c r="K596" s="207" t="str">
        <f t="shared" ca="1" si="78"/>
        <v>CONTRATADO</v>
      </c>
      <c r="L596" s="220" t="s">
        <v>112</v>
      </c>
      <c r="M596" s="220" t="s">
        <v>113</v>
      </c>
      <c r="N596" s="221" t="s">
        <v>114</v>
      </c>
      <c r="O596" s="220">
        <f>VLOOKUP(N596,RUBROS[#All],3,0)</f>
        <v>30</v>
      </c>
      <c r="P596" s="207" t="str">
        <f>VLOOKUP(N596,RUBROS[#All],2,0)</f>
        <v xml:space="preserve">Servicios prestados a las empresas y servicios de producción </v>
      </c>
      <c r="Q596" s="207" t="str">
        <f t="shared" si="79"/>
        <v>00</v>
      </c>
      <c r="R596" s="199" t="str">
        <f t="shared" si="80"/>
        <v>0-205616</v>
      </c>
      <c r="S596" s="207">
        <v>5</v>
      </c>
      <c r="T596" s="222" t="s">
        <v>46</v>
      </c>
      <c r="U596" s="223" t="e">
        <f ca="1">_xlfn.XLOOKUP(PAA[[#This Row],[ITEM]],Contrato!A:A,Contrato!Q:Q,"",0)</f>
        <v>#NAME?</v>
      </c>
      <c r="V596" s="207" t="s">
        <v>47</v>
      </c>
      <c r="W596" s="207" t="s">
        <v>48</v>
      </c>
      <c r="X596" s="207" t="s">
        <v>48</v>
      </c>
      <c r="Y596" s="224" t="e">
        <f ca="1">_xlfn.XLOOKUP(PAA[[#This Row],[ITEM]],Contrato!A:A,Contrato!B:B,"",0)</f>
        <v>#NAME?</v>
      </c>
      <c r="Z596" s="207" t="e">
        <f ca="1">_xlfn.XLOOKUP(PAA[[#This Row],[ITEM]],Contrato!A:A,Contrato!G:G,"",0)</f>
        <v>#NAME?</v>
      </c>
      <c r="AA596" s="207" t="e">
        <f ca="1">_xlfn.XLOOKUP(PAA[[#This Row],[ITEM]],Contrato!A:A,Contrato!T:T,"",0)</f>
        <v>#NAME?</v>
      </c>
      <c r="AB596" s="224" t="e">
        <f ca="1">+MAX(PAA[[#This Row],[Comprometido Contrato]],)</f>
        <v>#NAME?</v>
      </c>
      <c r="AC596" s="224" t="str">
        <f t="shared" ca="1" si="91"/>
        <v/>
      </c>
      <c r="AD596" s="224" t="e">
        <f ca="1">+MAX(PAA[[#This Row],[Pago por Contrato]],)</f>
        <v>#NAME?</v>
      </c>
      <c r="AE596" s="224" t="str">
        <f t="shared" ca="1" si="81"/>
        <v/>
      </c>
      <c r="AF596" s="207" t="e">
        <f t="shared" ca="1" si="82"/>
        <v>#NAME?</v>
      </c>
      <c r="AG596" s="207" t="str">
        <f t="shared" si="83"/>
        <v/>
      </c>
      <c r="AH596" s="207" t="e" cm="1">
        <f t="array" aca="1" ref="AH596" ca="1">_xlfn.XLOOKUP(PAA[[#This Row],[RCP-RUBRO]],COMPROMISOS_2025[[#All],[concatenado]],COMPROMISOS_2025[[#All],[Total pagado]],"",0)</f>
        <v>#NAME?</v>
      </c>
      <c r="AI596" s="207" t="e" cm="1">
        <f t="array" aca="1" ref="AI596" ca="1">_xlfn.XLOOKUP(PAA[[#This Row],[RCP-RUBRO]],COMPROMISOS_2025[[#All],[concatenado]],COMPROMISOS_2025[[#All],[Total Comprometido]],"",0)</f>
        <v>#NAME?</v>
      </c>
    </row>
    <row r="597" spans="1:35" s="50" customFormat="1" ht="42" hidden="1" customHeight="1" x14ac:dyDescent="0.25">
      <c r="A597" s="207">
        <v>496</v>
      </c>
      <c r="B597" s="200">
        <v>80111600</v>
      </c>
      <c r="C597" s="207" t="str">
        <f>VLOOKUP(PAA[[#This Row],[PROYECTO (formulado)2]],PROYECTOS!$G$1:$L$32,6,0)</f>
        <v>SUBGERENCIA ADMINISTRATIVA Y FINANCIERA</v>
      </c>
      <c r="D597" s="207" t="str">
        <f>+IF(PAA[[#This Row],[UNIDAD DE CONTRATACION (formulado)]]="Subgerencia Administrativa y Financiera","FUNCIONAMIENTO","INVERSIÓN")</f>
        <v>FUNCIONAMIENTO</v>
      </c>
      <c r="E597" s="217" t="str">
        <f>VLOOKUP(Q597,PROYECTOS!$G$1:$K$32,5,0)</f>
        <v>FUNCIONAMIENTO</v>
      </c>
      <c r="F597" s="217">
        <f>VLOOKUP(E597,PROYECTOS!$K$1:$M$32,3,0)</f>
        <v>999999</v>
      </c>
      <c r="G597" s="218" t="s">
        <v>42</v>
      </c>
      <c r="H597" s="218">
        <f>VLOOKUP(Q597,PROYECTOS!$V$1:$W$32,2,0)</f>
        <v>999999</v>
      </c>
      <c r="I597" s="219">
        <v>37609000</v>
      </c>
      <c r="J597" s="220" t="s">
        <v>707</v>
      </c>
      <c r="K597" s="207" t="str">
        <f t="shared" ca="1" si="78"/>
        <v>CONTRATADO</v>
      </c>
      <c r="L597" s="220" t="s">
        <v>112</v>
      </c>
      <c r="M597" s="220" t="s">
        <v>113</v>
      </c>
      <c r="N597" s="221" t="s">
        <v>114</v>
      </c>
      <c r="O597" s="220">
        <f>VLOOKUP(N597,RUBROS[#All],3,0)</f>
        <v>30</v>
      </c>
      <c r="P597" s="207" t="str">
        <f>VLOOKUP(N597,RUBROS[#All],2,0)</f>
        <v xml:space="preserve">Servicios prestados a las empresas y servicios de producción </v>
      </c>
      <c r="Q597" s="207" t="str">
        <f t="shared" si="79"/>
        <v>00</v>
      </c>
      <c r="R597" s="199" t="str">
        <f t="shared" si="80"/>
        <v>0-205616</v>
      </c>
      <c r="S597" s="207">
        <v>5</v>
      </c>
      <c r="T597" s="222" t="s">
        <v>46</v>
      </c>
      <c r="U597" s="223" t="e">
        <f ca="1">_xlfn.XLOOKUP(PAA[[#This Row],[ITEM]],Contrato!A:A,Contrato!Q:Q,"",0)</f>
        <v>#NAME?</v>
      </c>
      <c r="V597" s="207" t="s">
        <v>47</v>
      </c>
      <c r="W597" s="207" t="s">
        <v>48</v>
      </c>
      <c r="X597" s="207" t="s">
        <v>48</v>
      </c>
      <c r="Y597" s="224" t="e">
        <f ca="1">_xlfn.XLOOKUP(PAA[[#This Row],[ITEM]],Contrato!A:A,Contrato!B:B,"",0)</f>
        <v>#NAME?</v>
      </c>
      <c r="Z597" s="207" t="e">
        <f ca="1">_xlfn.XLOOKUP(PAA[[#This Row],[ITEM]],Contrato!A:A,Contrato!G:G,"",0)</f>
        <v>#NAME?</v>
      </c>
      <c r="AA597" s="207" t="e">
        <f ca="1">_xlfn.XLOOKUP(PAA[[#This Row],[ITEM]],Contrato!A:A,Contrato!T:T,"",0)</f>
        <v>#NAME?</v>
      </c>
      <c r="AB597" s="224" t="e">
        <f ca="1">+MAX(PAA[[#This Row],[Comprometido Contrato]],)</f>
        <v>#NAME?</v>
      </c>
      <c r="AC597" s="224" t="str">
        <f t="shared" ca="1" si="91"/>
        <v/>
      </c>
      <c r="AD597" s="224" t="e">
        <f ca="1">+MAX(PAA[[#This Row],[Pago por Contrato]],)</f>
        <v>#NAME?</v>
      </c>
      <c r="AE597" s="224" t="str">
        <f t="shared" ca="1" si="81"/>
        <v/>
      </c>
      <c r="AF597" s="207" t="e">
        <f t="shared" ca="1" si="82"/>
        <v>#NAME?</v>
      </c>
      <c r="AG597" s="207" t="str">
        <f t="shared" si="83"/>
        <v/>
      </c>
      <c r="AH597" s="207" t="e" cm="1">
        <f t="array" aca="1" ref="AH597" ca="1">_xlfn.XLOOKUP(PAA[[#This Row],[RCP-RUBRO]],COMPROMISOS_2025[[#All],[concatenado]],COMPROMISOS_2025[[#All],[Total pagado]],"",0)</f>
        <v>#NAME?</v>
      </c>
      <c r="AI597" s="207" t="e" cm="1">
        <f t="array" aca="1" ref="AI597" ca="1">_xlfn.XLOOKUP(PAA[[#This Row],[RCP-RUBRO]],COMPROMISOS_2025[[#All],[concatenado]],COMPROMISOS_2025[[#All],[Total Comprometido]],"",0)</f>
        <v>#NAME?</v>
      </c>
    </row>
    <row r="598" spans="1:35" s="50" customFormat="1" ht="42" hidden="1" customHeight="1" x14ac:dyDescent="0.25">
      <c r="A598" s="207">
        <v>497</v>
      </c>
      <c r="B598" s="200">
        <v>80111600</v>
      </c>
      <c r="C598" s="207" t="str">
        <f>VLOOKUP(PAA[[#This Row],[PROYECTO (formulado)2]],PROYECTOS!$G$1:$L$32,6,0)</f>
        <v>SUBGERENCIA ADMINISTRATIVA Y FINANCIERA</v>
      </c>
      <c r="D598" s="207" t="str">
        <f>+IF(PAA[[#This Row],[UNIDAD DE CONTRATACION (formulado)]]="Subgerencia Administrativa y Financiera","FUNCIONAMIENTO","INVERSIÓN")</f>
        <v>FUNCIONAMIENTO</v>
      </c>
      <c r="E598" s="217" t="str">
        <f>VLOOKUP(Q598,PROYECTOS!$G$1:$K$32,5,0)</f>
        <v>FUNCIONAMIENTO</v>
      </c>
      <c r="F598" s="217">
        <f>VLOOKUP(E598,PROYECTOS!$K$1:$M$32,3,0)</f>
        <v>999999</v>
      </c>
      <c r="G598" s="218" t="s">
        <v>42</v>
      </c>
      <c r="H598" s="218">
        <f>VLOOKUP(Q598,PROYECTOS!$V$1:$W$32,2,0)</f>
        <v>999999</v>
      </c>
      <c r="I598" s="219">
        <v>17095000</v>
      </c>
      <c r="J598" s="220" t="s">
        <v>708</v>
      </c>
      <c r="K598" s="207" t="str">
        <f t="shared" ca="1" si="78"/>
        <v>CONTRATADO</v>
      </c>
      <c r="L598" s="220" t="s">
        <v>112</v>
      </c>
      <c r="M598" s="220" t="s">
        <v>113</v>
      </c>
      <c r="N598" s="221" t="s">
        <v>114</v>
      </c>
      <c r="O598" s="220">
        <f>VLOOKUP(N598,RUBROS[#All],3,0)</f>
        <v>30</v>
      </c>
      <c r="P598" s="207" t="str">
        <f>VLOOKUP(N598,RUBROS[#All],2,0)</f>
        <v xml:space="preserve">Servicios prestados a las empresas y servicios de producción </v>
      </c>
      <c r="Q598" s="207" t="str">
        <f t="shared" si="79"/>
        <v>00</v>
      </c>
      <c r="R598" s="199" t="str">
        <f t="shared" si="80"/>
        <v>0-205616</v>
      </c>
      <c r="S598" s="207">
        <v>5</v>
      </c>
      <c r="T598" s="222" t="s">
        <v>46</v>
      </c>
      <c r="U598" s="223" t="e">
        <f ca="1">_xlfn.XLOOKUP(PAA[[#This Row],[ITEM]],Contrato!A:A,Contrato!Q:Q,"",0)</f>
        <v>#NAME?</v>
      </c>
      <c r="V598" s="207" t="s">
        <v>47</v>
      </c>
      <c r="W598" s="207" t="s">
        <v>48</v>
      </c>
      <c r="X598" s="207" t="s">
        <v>48</v>
      </c>
      <c r="Y598" s="224" t="e">
        <f ca="1">_xlfn.XLOOKUP(PAA[[#This Row],[ITEM]],Contrato!A:A,Contrato!B:B,"",0)</f>
        <v>#NAME?</v>
      </c>
      <c r="Z598" s="207" t="e">
        <f ca="1">_xlfn.XLOOKUP(PAA[[#This Row],[ITEM]],Contrato!A:A,Contrato!G:G,"",0)</f>
        <v>#NAME?</v>
      </c>
      <c r="AA598" s="207" t="e">
        <f ca="1">_xlfn.XLOOKUP(PAA[[#This Row],[ITEM]],Contrato!A:A,Contrato!T:T,"",0)</f>
        <v>#NAME?</v>
      </c>
      <c r="AB598" s="224" t="e">
        <f ca="1">+MAX(PAA[[#This Row],[Comprometido Contrato]],)</f>
        <v>#NAME?</v>
      </c>
      <c r="AC598" s="224" t="str">
        <f t="shared" ca="1" si="91"/>
        <v/>
      </c>
      <c r="AD598" s="224" t="e">
        <f ca="1">+MAX(PAA[[#This Row],[Pago por Contrato]],)</f>
        <v>#NAME?</v>
      </c>
      <c r="AE598" s="224" t="str">
        <f t="shared" ca="1" si="81"/>
        <v/>
      </c>
      <c r="AF598" s="207" t="e">
        <f t="shared" ca="1" si="82"/>
        <v>#NAME?</v>
      </c>
      <c r="AG598" s="207" t="str">
        <f t="shared" si="83"/>
        <v/>
      </c>
      <c r="AH598" s="207" t="e" cm="1">
        <f t="array" aca="1" ref="AH598" ca="1">_xlfn.XLOOKUP(PAA[[#This Row],[RCP-RUBRO]],COMPROMISOS_2025[[#All],[concatenado]],COMPROMISOS_2025[[#All],[Total pagado]],"",0)</f>
        <v>#NAME?</v>
      </c>
      <c r="AI598" s="207" t="e" cm="1">
        <f t="array" aca="1" ref="AI598" ca="1">_xlfn.XLOOKUP(PAA[[#This Row],[RCP-RUBRO]],COMPROMISOS_2025[[#All],[concatenado]],COMPROMISOS_2025[[#All],[Total Comprometido]],"",0)</f>
        <v>#NAME?</v>
      </c>
    </row>
    <row r="599" spans="1:35" s="50" customFormat="1" ht="42" hidden="1" customHeight="1" x14ac:dyDescent="0.25">
      <c r="A599" s="152">
        <v>498</v>
      </c>
      <c r="B599" s="186">
        <v>80111600</v>
      </c>
      <c r="C599" s="152" t="str">
        <f>VLOOKUP(PAA[[#This Row],[PROYECTO (formulado)2]],PROYECTOS!$G$1:$L$32,6,0)</f>
        <v>SUBGERENCIA ADMINISTRATIVA Y FINANCIERA</v>
      </c>
      <c r="D599" s="152" t="str">
        <f>+IF(PAA[[#This Row],[UNIDAD DE CONTRATACION (formulado)]]="Subgerencia Administrativa y Financiera","FUNCIONAMIENTO","INVERSIÓN")</f>
        <v>FUNCIONAMIENTO</v>
      </c>
      <c r="E599" s="236" t="str">
        <f>VLOOKUP(Q599,PROYECTOS!$G$1:$K$32,5,0)</f>
        <v>FUNCIONAMIENTO</v>
      </c>
      <c r="F599" s="236">
        <f>VLOOKUP(E599,PROYECTOS!$K$1:$M$32,3,0)</f>
        <v>999999</v>
      </c>
      <c r="G599" s="237" t="s">
        <v>42</v>
      </c>
      <c r="H599" s="237">
        <f>VLOOKUP(Q599,PROYECTOS!$V$1:$W$32,2,0)</f>
        <v>999999</v>
      </c>
      <c r="I599" s="238">
        <v>37609000</v>
      </c>
      <c r="J599" s="187" t="s">
        <v>709</v>
      </c>
      <c r="K599" s="152" t="str">
        <f t="shared" ca="1" si="78"/>
        <v>CONTRATADO</v>
      </c>
      <c r="L599" s="187" t="s">
        <v>112</v>
      </c>
      <c r="M599" s="187" t="s">
        <v>113</v>
      </c>
      <c r="N599" s="239" t="s">
        <v>114</v>
      </c>
      <c r="O599" s="187">
        <f>VLOOKUP(N599,RUBROS[#All],3,0)</f>
        <v>30</v>
      </c>
      <c r="P599" s="152" t="str">
        <f>VLOOKUP(N599,RUBROS[#All],2,0)</f>
        <v xml:space="preserve">Servicios prestados a las empresas y servicios de producción </v>
      </c>
      <c r="Q599" s="152" t="str">
        <f t="shared" si="79"/>
        <v>00</v>
      </c>
      <c r="R599" s="57" t="str">
        <f t="shared" si="80"/>
        <v>0-205616</v>
      </c>
      <c r="S599" s="152">
        <v>5</v>
      </c>
      <c r="T599" s="240" t="s">
        <v>46</v>
      </c>
      <c r="U599" s="241" t="e">
        <f ca="1">_xlfn.XLOOKUP(PAA[[#This Row],[ITEM]],Contrato!A:A,Contrato!Q:Q,"",0)</f>
        <v>#NAME?</v>
      </c>
      <c r="V599" s="152" t="s">
        <v>47</v>
      </c>
      <c r="W599" s="152" t="s">
        <v>48</v>
      </c>
      <c r="X599" s="152" t="s">
        <v>48</v>
      </c>
      <c r="Y599" s="242" t="e">
        <f ca="1">_xlfn.XLOOKUP(PAA[[#This Row],[ITEM]],Contrato!A:A,Contrato!B:B,"",0)</f>
        <v>#NAME?</v>
      </c>
      <c r="Z599" s="152" t="e">
        <f ca="1">_xlfn.XLOOKUP(PAA[[#This Row],[ITEM]],Contrato!A:A,Contrato!G:G,"",0)</f>
        <v>#NAME?</v>
      </c>
      <c r="AA599" s="152" t="e">
        <f ca="1">_xlfn.XLOOKUP(PAA[[#This Row],[ITEM]],Contrato!A:A,Contrato!T:T,"",0)</f>
        <v>#NAME?</v>
      </c>
      <c r="AB599" s="242" t="e">
        <f ca="1">+MAX(PAA[[#This Row],[Comprometido Contrato]],)</f>
        <v>#NAME?</v>
      </c>
      <c r="AC599" s="242" t="str">
        <f t="shared" ca="1" si="91"/>
        <v/>
      </c>
      <c r="AD599" s="242" t="e">
        <f ca="1">+MAX(PAA[[#This Row],[Pago por Contrato]],)</f>
        <v>#NAME?</v>
      </c>
      <c r="AE599" s="242" t="str">
        <f t="shared" ca="1" si="81"/>
        <v/>
      </c>
      <c r="AF599" s="152" t="e">
        <f t="shared" ca="1" si="82"/>
        <v>#NAME?</v>
      </c>
      <c r="AG599" s="152" t="str">
        <f t="shared" si="83"/>
        <v/>
      </c>
      <c r="AH599" s="152" t="e" cm="1">
        <f t="array" aca="1" ref="AH599" ca="1">_xlfn.XLOOKUP(PAA[[#This Row],[RCP-RUBRO]],COMPROMISOS_2025[[#All],[concatenado]],COMPROMISOS_2025[[#All],[Total pagado]],"",0)</f>
        <v>#NAME?</v>
      </c>
      <c r="AI599" s="152" t="e" cm="1">
        <f t="array" aca="1" ref="AI599" ca="1">_xlfn.XLOOKUP(PAA[[#This Row],[RCP-RUBRO]],COMPROMISOS_2025[[#All],[concatenado]],COMPROMISOS_2025[[#All],[Total Comprometido]],"",0)</f>
        <v>#NAME?</v>
      </c>
    </row>
    <row r="600" spans="1:35" s="50" customFormat="1" ht="42" hidden="1" customHeight="1" x14ac:dyDescent="0.25">
      <c r="A600" s="207">
        <v>499</v>
      </c>
      <c r="B600" s="200">
        <v>80111600</v>
      </c>
      <c r="C600" s="207" t="str">
        <f>VLOOKUP(PAA[[#This Row],[PROYECTO (formulado)2]],PROYECTOS!$G$1:$L$32,6,0)</f>
        <v>SUBGERENCIA ADMINISTRATIVA Y FINANCIERA</v>
      </c>
      <c r="D600" s="207" t="str">
        <f>+IF(PAA[[#This Row],[UNIDAD DE CONTRATACION (formulado)]]="Subgerencia Administrativa y Financiera","FUNCIONAMIENTO","INVERSIÓN")</f>
        <v>FUNCIONAMIENTO</v>
      </c>
      <c r="E600" s="217" t="str">
        <f>VLOOKUP(Q600,PROYECTOS!$G$1:$K$32,5,0)</f>
        <v>FUNCIONAMIENTO</v>
      </c>
      <c r="F600" s="217">
        <f>VLOOKUP(E600,PROYECTOS!$K$1:$M$32,3,0)</f>
        <v>999999</v>
      </c>
      <c r="G600" s="218" t="s">
        <v>42</v>
      </c>
      <c r="H600" s="218">
        <f>VLOOKUP(Q600,PROYECTOS!$V$1:$W$32,2,0)</f>
        <v>999999</v>
      </c>
      <c r="I600" s="219">
        <v>23933000</v>
      </c>
      <c r="J600" s="220" t="s">
        <v>710</v>
      </c>
      <c r="K600" s="207" t="str">
        <f t="shared" ca="1" si="78"/>
        <v>CONTRATADO</v>
      </c>
      <c r="L600" s="220" t="s">
        <v>112</v>
      </c>
      <c r="M600" s="220" t="s">
        <v>113</v>
      </c>
      <c r="N600" s="221" t="s">
        <v>114</v>
      </c>
      <c r="O600" s="220">
        <f>VLOOKUP(N600,RUBROS[#All],3,0)</f>
        <v>30</v>
      </c>
      <c r="P600" s="207" t="str">
        <f>VLOOKUP(N600,RUBROS[#All],2,0)</f>
        <v xml:space="preserve">Servicios prestados a las empresas y servicios de producción </v>
      </c>
      <c r="Q600" s="207" t="str">
        <f t="shared" si="79"/>
        <v>00</v>
      </c>
      <c r="R600" s="199" t="str">
        <f t="shared" si="80"/>
        <v>0-205616</v>
      </c>
      <c r="S600" s="207">
        <v>5</v>
      </c>
      <c r="T600" s="222" t="s">
        <v>46</v>
      </c>
      <c r="U600" s="223" t="e">
        <f ca="1">_xlfn.XLOOKUP(PAA[[#This Row],[ITEM]],Contrato!A:A,Contrato!Q:Q,"",0)</f>
        <v>#NAME?</v>
      </c>
      <c r="V600" s="207" t="s">
        <v>47</v>
      </c>
      <c r="W600" s="207" t="s">
        <v>154</v>
      </c>
      <c r="X600" s="207" t="s">
        <v>154</v>
      </c>
      <c r="Y600" s="224" t="e">
        <f ca="1">_xlfn.XLOOKUP(PAA[[#This Row],[ITEM]],Contrato!A:A,Contrato!B:B,"",0)</f>
        <v>#NAME?</v>
      </c>
      <c r="Z600" s="207" t="e">
        <f ca="1">_xlfn.XLOOKUP(PAA[[#This Row],[ITEM]],Contrato!A:A,Contrato!G:G,"",0)</f>
        <v>#NAME?</v>
      </c>
      <c r="AA600" s="207" t="e">
        <f ca="1">_xlfn.XLOOKUP(PAA[[#This Row],[ITEM]],Contrato!A:A,Contrato!T:T,"",0)</f>
        <v>#NAME?</v>
      </c>
      <c r="AB600" s="224" t="e">
        <f ca="1">+MAX(PAA[[#This Row],[Comprometido Contrato]],)</f>
        <v>#NAME?</v>
      </c>
      <c r="AC600" s="224" t="str">
        <f t="shared" ca="1" si="91"/>
        <v/>
      </c>
      <c r="AD600" s="224" t="e">
        <f ca="1">+MAX(PAA[[#This Row],[Pago por Contrato]],)</f>
        <v>#NAME?</v>
      </c>
      <c r="AE600" s="224" t="str">
        <f t="shared" ca="1" si="81"/>
        <v/>
      </c>
      <c r="AF600" s="207" t="e">
        <f t="shared" ca="1" si="82"/>
        <v>#NAME?</v>
      </c>
      <c r="AG600" s="207" t="str">
        <f t="shared" si="83"/>
        <v/>
      </c>
      <c r="AH600" s="207" t="e" cm="1">
        <f t="array" aca="1" ref="AH600" ca="1">_xlfn.XLOOKUP(PAA[[#This Row],[RCP-RUBRO]],COMPROMISOS_2025[[#All],[concatenado]],COMPROMISOS_2025[[#All],[Total pagado]],"",0)</f>
        <v>#NAME?</v>
      </c>
      <c r="AI600" s="207" t="e" cm="1">
        <f t="array" aca="1" ref="AI600" ca="1">_xlfn.XLOOKUP(PAA[[#This Row],[RCP-RUBRO]],COMPROMISOS_2025[[#All],[concatenado]],COMPROMISOS_2025[[#All],[Total Comprometido]],"",0)</f>
        <v>#NAME?</v>
      </c>
    </row>
    <row r="601" spans="1:35" s="50" customFormat="1" ht="42" hidden="1" customHeight="1" x14ac:dyDescent="0.25">
      <c r="A601" s="333">
        <v>500</v>
      </c>
      <c r="B601" s="325">
        <v>80111600</v>
      </c>
      <c r="C601" s="333" t="str">
        <f>VLOOKUP(PAA[[#This Row],[PROYECTO (formulado)2]],PROYECTOS!$G$1:$L$32,6,0)</f>
        <v>SUBGERENCIA ADMINISTRATIVA Y FINANCIERA</v>
      </c>
      <c r="D601" s="333" t="str">
        <f>+IF(PAA[[#This Row],[UNIDAD DE CONTRATACION (formulado)]]="Subgerencia Administrativa y Financiera","FUNCIONAMIENTO","INVERSIÓN")</f>
        <v>FUNCIONAMIENTO</v>
      </c>
      <c r="E601" s="381" t="str">
        <f>VLOOKUP(Q601,PROYECTOS!$G$1:$K$32,5,0)</f>
        <v>FUNCIONAMIENTO</v>
      </c>
      <c r="F601" s="381">
        <f>VLOOKUP(E601,PROYECTOS!$K$1:$M$32,3,0)</f>
        <v>999999</v>
      </c>
      <c r="G601" s="382" t="s">
        <v>42</v>
      </c>
      <c r="H601" s="382">
        <f>VLOOKUP(Q601,PROYECTOS!$V$1:$W$32,2,0)</f>
        <v>999999</v>
      </c>
      <c r="I601" s="383">
        <v>23933000</v>
      </c>
      <c r="J601" s="384" t="s">
        <v>711</v>
      </c>
      <c r="K601" s="333" t="str">
        <f t="shared" ca="1" si="78"/>
        <v>CONTRATADO</v>
      </c>
      <c r="L601" s="384" t="s">
        <v>112</v>
      </c>
      <c r="M601" s="384" t="s">
        <v>113</v>
      </c>
      <c r="N601" s="385" t="s">
        <v>114</v>
      </c>
      <c r="O601" s="384">
        <f>VLOOKUP(N601,RUBROS[#All],3,0)</f>
        <v>30</v>
      </c>
      <c r="P601" s="333" t="str">
        <f>VLOOKUP(N601,RUBROS[#All],2,0)</f>
        <v xml:space="preserve">Servicios prestados a las empresas y servicios de producción </v>
      </c>
      <c r="Q601" s="333" t="str">
        <f t="shared" si="79"/>
        <v>00</v>
      </c>
      <c r="R601" s="333" t="str">
        <f t="shared" si="80"/>
        <v>0-205616</v>
      </c>
      <c r="S601" s="333">
        <v>5</v>
      </c>
      <c r="T601" s="334" t="s">
        <v>46</v>
      </c>
      <c r="U601" s="386" t="e">
        <f ca="1">_xlfn.XLOOKUP(PAA[[#This Row],[ITEM]],Contrato!A:A,Contrato!Q:Q,"",0)</f>
        <v>#NAME?</v>
      </c>
      <c r="V601" s="333" t="s">
        <v>47</v>
      </c>
      <c r="W601" s="333" t="s">
        <v>127</v>
      </c>
      <c r="X601" s="333" t="s">
        <v>127</v>
      </c>
      <c r="Y601" s="387" t="e">
        <f ca="1">_xlfn.XLOOKUP(PAA[[#This Row],[ITEM]],Contrato!A:A,Contrato!B:B,"",0)</f>
        <v>#NAME?</v>
      </c>
      <c r="Z601" s="333" t="e">
        <f ca="1">_xlfn.XLOOKUP(PAA[[#This Row],[ITEM]],Contrato!A:A,Contrato!G:G,"",0)</f>
        <v>#NAME?</v>
      </c>
      <c r="AA601" s="333" t="e">
        <f ca="1">_xlfn.XLOOKUP(PAA[[#This Row],[ITEM]],Contrato!A:A,Contrato!T:T,"",0)</f>
        <v>#NAME?</v>
      </c>
      <c r="AB601" s="387" t="e">
        <f ca="1">+MAX(PAA[[#This Row],[Comprometido Contrato]],)</f>
        <v>#NAME?</v>
      </c>
      <c r="AC601" s="387" t="str">
        <f t="shared" ca="1" si="91"/>
        <v/>
      </c>
      <c r="AD601" s="387" t="e">
        <f ca="1">+MAX(PAA[[#This Row],[Pago por Contrato]],)</f>
        <v>#NAME?</v>
      </c>
      <c r="AE601" s="387" t="str">
        <f t="shared" ca="1" si="81"/>
        <v/>
      </c>
      <c r="AF601" s="333" t="e">
        <f t="shared" ca="1" si="82"/>
        <v>#NAME?</v>
      </c>
      <c r="AG601" s="333" t="str">
        <f t="shared" si="83"/>
        <v/>
      </c>
      <c r="AH601" s="333" t="e" cm="1">
        <f t="array" aca="1" ref="AH601" ca="1">_xlfn.XLOOKUP(PAA[[#This Row],[RCP-RUBRO]],COMPROMISOS_2025[[#All],[concatenado]],COMPROMISOS_2025[[#All],[Total pagado]],"",0)</f>
        <v>#NAME?</v>
      </c>
      <c r="AI601" s="333" t="e" cm="1">
        <f t="array" aca="1" ref="AI601" ca="1">_xlfn.XLOOKUP(PAA[[#This Row],[RCP-RUBRO]],COMPROMISOS_2025[[#All],[concatenado]],COMPROMISOS_2025[[#All],[Total Comprometido]],"",0)</f>
        <v>#NAME?</v>
      </c>
    </row>
    <row r="602" spans="1:35" s="50" customFormat="1" ht="42" hidden="1" customHeight="1" x14ac:dyDescent="0.25">
      <c r="A602" s="207">
        <v>501</v>
      </c>
      <c r="B602" s="200">
        <v>80111600</v>
      </c>
      <c r="C602" s="207" t="str">
        <f>VLOOKUP(PAA[[#This Row],[PROYECTO (formulado)2]],PROYECTOS!$G$1:$L$32,6,0)</f>
        <v>SUBGERENCIA ADMINISTRATIVA Y FINANCIERA</v>
      </c>
      <c r="D602" s="207" t="str">
        <f>+IF(PAA[[#This Row],[UNIDAD DE CONTRATACION (formulado)]]="Subgerencia Administrativa y Financiera","FUNCIONAMIENTO","INVERSIÓN")</f>
        <v>FUNCIONAMIENTO</v>
      </c>
      <c r="E602" s="217" t="str">
        <f>VLOOKUP(Q602,PROYECTOS!$G$1:$K$32,5,0)</f>
        <v>FUNCIONAMIENTO</v>
      </c>
      <c r="F602" s="217">
        <f>VLOOKUP(E602,PROYECTOS!$K$1:$M$32,3,0)</f>
        <v>999999</v>
      </c>
      <c r="G602" s="218" t="s">
        <v>42</v>
      </c>
      <c r="H602" s="218">
        <f>VLOOKUP(Q602,PROYECTOS!$V$1:$W$32,2,0)</f>
        <v>999999</v>
      </c>
      <c r="I602" s="219">
        <v>37609000</v>
      </c>
      <c r="J602" s="220" t="s">
        <v>712</v>
      </c>
      <c r="K602" s="207" t="str">
        <f t="shared" ca="1" si="78"/>
        <v>CONTRATADO</v>
      </c>
      <c r="L602" s="220" t="s">
        <v>112</v>
      </c>
      <c r="M602" s="220" t="s">
        <v>113</v>
      </c>
      <c r="N602" s="221" t="s">
        <v>114</v>
      </c>
      <c r="O602" s="220">
        <f>VLOOKUP(N602,RUBROS[#All],3,0)</f>
        <v>30</v>
      </c>
      <c r="P602" s="207" t="str">
        <f>VLOOKUP(N602,RUBROS[#All],2,0)</f>
        <v xml:space="preserve">Servicios prestados a las empresas y servicios de producción </v>
      </c>
      <c r="Q602" s="207" t="str">
        <f t="shared" si="79"/>
        <v>00</v>
      </c>
      <c r="R602" s="199" t="str">
        <f t="shared" si="80"/>
        <v>0-205616</v>
      </c>
      <c r="S602" s="207">
        <v>5</v>
      </c>
      <c r="T602" s="222" t="s">
        <v>46</v>
      </c>
      <c r="U602" s="223" t="e">
        <f ca="1">_xlfn.XLOOKUP(PAA[[#This Row],[ITEM]],Contrato!A:A,Contrato!Q:Q,"",0)</f>
        <v>#NAME?</v>
      </c>
      <c r="V602" s="207" t="s">
        <v>47</v>
      </c>
      <c r="W602" s="207" t="s">
        <v>48</v>
      </c>
      <c r="X602" s="207" t="s">
        <v>48</v>
      </c>
      <c r="Y602" s="224" t="e">
        <f ca="1">_xlfn.XLOOKUP(PAA[[#This Row],[ITEM]],Contrato!A:A,Contrato!B:B,"",0)</f>
        <v>#NAME?</v>
      </c>
      <c r="Z602" s="207" t="e">
        <f ca="1">_xlfn.XLOOKUP(PAA[[#This Row],[ITEM]],Contrato!A:A,Contrato!G:G,"",0)</f>
        <v>#NAME?</v>
      </c>
      <c r="AA602" s="207" t="e">
        <f ca="1">_xlfn.XLOOKUP(PAA[[#This Row],[ITEM]],Contrato!A:A,Contrato!T:T,"",0)</f>
        <v>#NAME?</v>
      </c>
      <c r="AB602" s="224" t="e">
        <f ca="1">+MAX(PAA[[#This Row],[Comprometido Contrato]],)</f>
        <v>#NAME?</v>
      </c>
      <c r="AC602" s="224" t="str">
        <f t="shared" ca="1" si="91"/>
        <v/>
      </c>
      <c r="AD602" s="224" t="e">
        <f ca="1">+MAX(PAA[[#This Row],[Pago por Contrato]],)</f>
        <v>#NAME?</v>
      </c>
      <c r="AE602" s="224" t="str">
        <f t="shared" ca="1" si="81"/>
        <v/>
      </c>
      <c r="AF602" s="207" t="e">
        <f t="shared" ca="1" si="82"/>
        <v>#NAME?</v>
      </c>
      <c r="AG602" s="207" t="str">
        <f t="shared" si="83"/>
        <v/>
      </c>
      <c r="AH602" s="207" t="e" cm="1">
        <f t="array" aca="1" ref="AH602" ca="1">_xlfn.XLOOKUP(PAA[[#This Row],[RCP-RUBRO]],COMPROMISOS_2025[[#All],[concatenado]],COMPROMISOS_2025[[#All],[Total pagado]],"",0)</f>
        <v>#NAME?</v>
      </c>
      <c r="AI602" s="207" t="e" cm="1">
        <f t="array" aca="1" ref="AI602" ca="1">_xlfn.XLOOKUP(PAA[[#This Row],[RCP-RUBRO]],COMPROMISOS_2025[[#All],[concatenado]],COMPROMISOS_2025[[#All],[Total Comprometido]],"",0)</f>
        <v>#NAME?</v>
      </c>
    </row>
    <row r="603" spans="1:35" s="50" customFormat="1" ht="42" hidden="1" customHeight="1" x14ac:dyDescent="0.25">
      <c r="A603" s="207">
        <v>502</v>
      </c>
      <c r="B603" s="200">
        <v>80111600</v>
      </c>
      <c r="C603" s="207" t="str">
        <f>VLOOKUP(PAA[[#This Row],[PROYECTO (formulado)2]],PROYECTOS!$G$1:$L$32,6,0)</f>
        <v>SUBGERENCIA ADMINISTRATIVA Y FINANCIERA</v>
      </c>
      <c r="D603" s="207" t="str">
        <f>+IF(PAA[[#This Row],[UNIDAD DE CONTRATACION (formulado)]]="Subgerencia Administrativa y Financiera","FUNCIONAMIENTO","INVERSIÓN")</f>
        <v>FUNCIONAMIENTO</v>
      </c>
      <c r="E603" s="217" t="str">
        <f>VLOOKUP(Q603,PROYECTOS!$G$1:$K$32,5,0)</f>
        <v>FUNCIONAMIENTO</v>
      </c>
      <c r="F603" s="217">
        <f>VLOOKUP(E603,PROYECTOS!$K$1:$M$32,3,0)</f>
        <v>999999</v>
      </c>
      <c r="G603" s="218" t="s">
        <v>42</v>
      </c>
      <c r="H603" s="218">
        <f>VLOOKUP(Q603,PROYECTOS!$V$1:$W$32,2,0)</f>
        <v>999999</v>
      </c>
      <c r="I603" s="219">
        <v>37609000</v>
      </c>
      <c r="J603" s="220" t="s">
        <v>712</v>
      </c>
      <c r="K603" s="207" t="str">
        <f t="shared" ca="1" si="78"/>
        <v>CONTRATADO</v>
      </c>
      <c r="L603" s="220" t="s">
        <v>112</v>
      </c>
      <c r="M603" s="220" t="s">
        <v>113</v>
      </c>
      <c r="N603" s="221" t="s">
        <v>114</v>
      </c>
      <c r="O603" s="220">
        <f>VLOOKUP(N603,RUBROS[#All],3,0)</f>
        <v>30</v>
      </c>
      <c r="P603" s="207" t="str">
        <f>VLOOKUP(N603,RUBROS[#All],2,0)</f>
        <v xml:space="preserve">Servicios prestados a las empresas y servicios de producción </v>
      </c>
      <c r="Q603" s="207" t="str">
        <f t="shared" si="79"/>
        <v>00</v>
      </c>
      <c r="R603" s="199" t="str">
        <f t="shared" si="80"/>
        <v>0-205616</v>
      </c>
      <c r="S603" s="207">
        <v>5</v>
      </c>
      <c r="T603" s="222" t="s">
        <v>46</v>
      </c>
      <c r="U603" s="223" t="e">
        <f ca="1">_xlfn.XLOOKUP(PAA[[#This Row],[ITEM]],Contrato!A:A,Contrato!Q:Q,"",0)</f>
        <v>#NAME?</v>
      </c>
      <c r="V603" s="207" t="s">
        <v>47</v>
      </c>
      <c r="W603" s="207" t="s">
        <v>48</v>
      </c>
      <c r="X603" s="207" t="s">
        <v>48</v>
      </c>
      <c r="Y603" s="224" t="e">
        <f ca="1">_xlfn.XLOOKUP(PAA[[#This Row],[ITEM]],Contrato!A:A,Contrato!B:B,"",0)</f>
        <v>#NAME?</v>
      </c>
      <c r="Z603" s="207" t="e">
        <f ca="1">_xlfn.XLOOKUP(PAA[[#This Row],[ITEM]],Contrato!A:A,Contrato!G:G,"",0)</f>
        <v>#NAME?</v>
      </c>
      <c r="AA603" s="207" t="e">
        <f ca="1">_xlfn.XLOOKUP(PAA[[#This Row],[ITEM]],Contrato!A:A,Contrato!T:T,"",0)</f>
        <v>#NAME?</v>
      </c>
      <c r="AB603" s="224" t="e">
        <f ca="1">+MAX(PAA[[#This Row],[Comprometido Contrato]],)</f>
        <v>#NAME?</v>
      </c>
      <c r="AC603" s="224" t="str">
        <f t="shared" ca="1" si="91"/>
        <v/>
      </c>
      <c r="AD603" s="224" t="e">
        <f ca="1">+MAX(PAA[[#This Row],[Pago por Contrato]],)</f>
        <v>#NAME?</v>
      </c>
      <c r="AE603" s="224" t="str">
        <f t="shared" ca="1" si="81"/>
        <v/>
      </c>
      <c r="AF603" s="207" t="e">
        <f t="shared" ca="1" si="82"/>
        <v>#NAME?</v>
      </c>
      <c r="AG603" s="207" t="str">
        <f t="shared" si="83"/>
        <v/>
      </c>
      <c r="AH603" s="207" t="e" cm="1">
        <f t="array" aca="1" ref="AH603" ca="1">_xlfn.XLOOKUP(PAA[[#This Row],[RCP-RUBRO]],COMPROMISOS_2025[[#All],[concatenado]],COMPROMISOS_2025[[#All],[Total pagado]],"",0)</f>
        <v>#NAME?</v>
      </c>
      <c r="AI603" s="207" t="e" cm="1">
        <f t="array" aca="1" ref="AI603" ca="1">_xlfn.XLOOKUP(PAA[[#This Row],[RCP-RUBRO]],COMPROMISOS_2025[[#All],[concatenado]],COMPROMISOS_2025[[#All],[Total Comprometido]],"",0)</f>
        <v>#NAME?</v>
      </c>
    </row>
    <row r="604" spans="1:35" s="50" customFormat="1" ht="42" hidden="1" customHeight="1" x14ac:dyDescent="0.25">
      <c r="A604" s="207">
        <v>503</v>
      </c>
      <c r="B604" s="200">
        <v>80111600</v>
      </c>
      <c r="C604" s="207" t="str">
        <f>VLOOKUP(PAA[[#This Row],[PROYECTO (formulado)2]],PROYECTOS!$G$1:$L$32,6,0)</f>
        <v>SUBGERENCIA ADMINISTRATIVA Y FINANCIERA</v>
      </c>
      <c r="D604" s="207" t="str">
        <f>+IF(PAA[[#This Row],[UNIDAD DE CONTRATACION (formulado)]]="Subgerencia Administrativa y Financiera","FUNCIONAMIENTO","INVERSIÓN")</f>
        <v>FUNCIONAMIENTO</v>
      </c>
      <c r="E604" s="217" t="str">
        <f>VLOOKUP(Q604,PROYECTOS!$G$1:$K$32,5,0)</f>
        <v>FUNCIONAMIENTO</v>
      </c>
      <c r="F604" s="217">
        <f>VLOOKUP(E604,PROYECTOS!$K$1:$M$32,3,0)</f>
        <v>999999</v>
      </c>
      <c r="G604" s="218" t="s">
        <v>42</v>
      </c>
      <c r="H604" s="218">
        <f>VLOOKUP(Q604,PROYECTOS!$V$1:$W$32,2,0)</f>
        <v>999999</v>
      </c>
      <c r="I604" s="219">
        <v>37609000</v>
      </c>
      <c r="J604" s="220" t="s">
        <v>713</v>
      </c>
      <c r="K604" s="207" t="str">
        <f t="shared" ca="1" si="78"/>
        <v>CONTRATADO</v>
      </c>
      <c r="L604" s="220" t="s">
        <v>112</v>
      </c>
      <c r="M604" s="220" t="s">
        <v>113</v>
      </c>
      <c r="N604" s="221" t="s">
        <v>114</v>
      </c>
      <c r="O604" s="220">
        <f>VLOOKUP(N604,RUBROS[#All],3,0)</f>
        <v>30</v>
      </c>
      <c r="P604" s="207" t="str">
        <f>VLOOKUP(N604,RUBROS[#All],2,0)</f>
        <v xml:space="preserve">Servicios prestados a las empresas y servicios de producción </v>
      </c>
      <c r="Q604" s="207" t="str">
        <f t="shared" si="79"/>
        <v>00</v>
      </c>
      <c r="R604" s="199" t="str">
        <f t="shared" si="80"/>
        <v>0-205616</v>
      </c>
      <c r="S604" s="207">
        <v>5</v>
      </c>
      <c r="T604" s="222" t="s">
        <v>46</v>
      </c>
      <c r="U604" s="223" t="e">
        <f ca="1">_xlfn.XLOOKUP(PAA[[#This Row],[ITEM]],Contrato!A:A,Contrato!Q:Q,"",0)</f>
        <v>#NAME?</v>
      </c>
      <c r="V604" s="207" t="s">
        <v>47</v>
      </c>
      <c r="W604" s="207" t="s">
        <v>48</v>
      </c>
      <c r="X604" s="207" t="s">
        <v>48</v>
      </c>
      <c r="Y604" s="224" t="e">
        <f ca="1">_xlfn.XLOOKUP(PAA[[#This Row],[ITEM]],Contrato!A:A,Contrato!B:B,"",0)</f>
        <v>#NAME?</v>
      </c>
      <c r="Z604" s="207" t="e">
        <f ca="1">_xlfn.XLOOKUP(PAA[[#This Row],[ITEM]],Contrato!A:A,Contrato!G:G,"",0)</f>
        <v>#NAME?</v>
      </c>
      <c r="AA604" s="207" t="e">
        <f ca="1">_xlfn.XLOOKUP(PAA[[#This Row],[ITEM]],Contrato!A:A,Contrato!T:T,"",0)</f>
        <v>#NAME?</v>
      </c>
      <c r="AB604" s="224" t="e">
        <f ca="1">+MAX(PAA[[#This Row],[Comprometido Contrato]],)</f>
        <v>#NAME?</v>
      </c>
      <c r="AC604" s="224" t="str">
        <f t="shared" ca="1" si="91"/>
        <v/>
      </c>
      <c r="AD604" s="224" t="e">
        <f ca="1">+MAX(PAA[[#This Row],[Pago por Contrato]],)</f>
        <v>#NAME?</v>
      </c>
      <c r="AE604" s="224" t="str">
        <f t="shared" ca="1" si="81"/>
        <v/>
      </c>
      <c r="AF604" s="207" t="e">
        <f t="shared" ca="1" si="82"/>
        <v>#NAME?</v>
      </c>
      <c r="AG604" s="207" t="str">
        <f t="shared" si="83"/>
        <v/>
      </c>
      <c r="AH604" s="207" t="e" cm="1">
        <f t="array" aca="1" ref="AH604" ca="1">_xlfn.XLOOKUP(PAA[[#This Row],[RCP-RUBRO]],COMPROMISOS_2025[[#All],[concatenado]],COMPROMISOS_2025[[#All],[Total pagado]],"",0)</f>
        <v>#NAME?</v>
      </c>
      <c r="AI604" s="207" t="e" cm="1">
        <f t="array" aca="1" ref="AI604" ca="1">_xlfn.XLOOKUP(PAA[[#This Row],[RCP-RUBRO]],COMPROMISOS_2025[[#All],[concatenado]],COMPROMISOS_2025[[#All],[Total Comprometido]],"",0)</f>
        <v>#NAME?</v>
      </c>
    </row>
    <row r="605" spans="1:35" s="50" customFormat="1" ht="42" hidden="1" customHeight="1" x14ac:dyDescent="0.25">
      <c r="A605" s="207">
        <v>504</v>
      </c>
      <c r="B605" s="212">
        <v>80111600</v>
      </c>
      <c r="C605" s="199" t="str">
        <f>VLOOKUP(PAA[[#This Row],[PROYECTO (formulado)2]],PROYECTOS!$G$1:$L$32,6,0)</f>
        <v>SUBGERENCIA ADMINISTRATIVA Y FINANCIERA</v>
      </c>
      <c r="D605" s="199" t="str">
        <f>+IF(PAA[[#This Row],[UNIDAD DE CONTRATACION (formulado)]]="Subgerencia Administrativa y Financiera","FUNCIONAMIENTO","INVERSIÓN")</f>
        <v>FUNCIONAMIENTO</v>
      </c>
      <c r="E605" s="201" t="str">
        <f>VLOOKUP(Q605,PROYECTOS!$G$1:$K$32,5,0)</f>
        <v>FUNCIONAMIENTO</v>
      </c>
      <c r="F605" s="201">
        <f>VLOOKUP(E605,PROYECTOS!$K$1:$M$32,3,0)</f>
        <v>999999</v>
      </c>
      <c r="G605" s="202" t="s">
        <v>42</v>
      </c>
      <c r="H605" s="202">
        <f>VLOOKUP(Q605,PROYECTOS!$V$1:$W$32,2,0)</f>
        <v>999999</v>
      </c>
      <c r="I605" s="203">
        <v>47866000</v>
      </c>
      <c r="J605" s="204" t="s">
        <v>714</v>
      </c>
      <c r="K605" s="199" t="str">
        <f t="shared" ca="1" si="78"/>
        <v>CONTRATADO</v>
      </c>
      <c r="L605" s="204" t="s">
        <v>112</v>
      </c>
      <c r="M605" s="204" t="s">
        <v>113</v>
      </c>
      <c r="N605" s="205" t="s">
        <v>114</v>
      </c>
      <c r="O605" s="204">
        <f>VLOOKUP(N605,RUBROS[#All],3,0)</f>
        <v>30</v>
      </c>
      <c r="P605" s="199" t="str">
        <f>VLOOKUP(N605,RUBROS[#All],2,0)</f>
        <v xml:space="preserve">Servicios prestados a las empresas y servicios de producción </v>
      </c>
      <c r="Q605" s="199" t="str">
        <f t="shared" si="79"/>
        <v>00</v>
      </c>
      <c r="R605" s="199" t="str">
        <f t="shared" si="80"/>
        <v>0-205616</v>
      </c>
      <c r="S605" s="207">
        <v>5</v>
      </c>
      <c r="T605" s="213" t="s">
        <v>46</v>
      </c>
      <c r="U605" s="209" t="e">
        <f ca="1">_xlfn.XLOOKUP(PAA[[#This Row],[ITEM]],Contrato!A:A,Contrato!Q:Q,"",0)</f>
        <v>#NAME?</v>
      </c>
      <c r="V605" s="199" t="s">
        <v>47</v>
      </c>
      <c r="W605" s="199" t="s">
        <v>48</v>
      </c>
      <c r="X605" s="199" t="s">
        <v>48</v>
      </c>
      <c r="Y605" s="210" t="e">
        <f ca="1">_xlfn.XLOOKUP(PAA[[#This Row],[ITEM]],Contrato!A:A,Contrato!B:B,"",0)</f>
        <v>#NAME?</v>
      </c>
      <c r="Z605" s="199" t="e">
        <f ca="1">_xlfn.XLOOKUP(PAA[[#This Row],[ITEM]],Contrato!A:A,Contrato!G:G,"",0)</f>
        <v>#NAME?</v>
      </c>
      <c r="AA605" s="199" t="e">
        <f ca="1">_xlfn.XLOOKUP(PAA[[#This Row],[ITEM]],Contrato!A:A,Contrato!T:T,"",0)</f>
        <v>#NAME?</v>
      </c>
      <c r="AB605" s="210" t="e">
        <f ca="1">+MAX(PAA[[#This Row],[Comprometido Contrato]],)</f>
        <v>#NAME?</v>
      </c>
      <c r="AC605" s="210" t="str">
        <f t="shared" ca="1" si="91"/>
        <v/>
      </c>
      <c r="AD605" s="210" t="e">
        <f ca="1">+MAX(PAA[[#This Row],[Pago por Contrato]],)</f>
        <v>#NAME?</v>
      </c>
      <c r="AE605" s="210" t="str">
        <f t="shared" ca="1" si="81"/>
        <v/>
      </c>
      <c r="AF605" s="199" t="e">
        <f t="shared" ca="1" si="82"/>
        <v>#NAME?</v>
      </c>
      <c r="AG605" s="199" t="str">
        <f t="shared" si="83"/>
        <v/>
      </c>
      <c r="AH605" s="199" t="e" cm="1">
        <f t="array" aca="1" ref="AH605" ca="1">_xlfn.XLOOKUP(PAA[[#This Row],[RCP-RUBRO]],COMPROMISOS_2025[[#All],[concatenado]],COMPROMISOS_2025[[#All],[Total pagado]],"",0)</f>
        <v>#NAME?</v>
      </c>
      <c r="AI605" s="199" t="e" cm="1">
        <f t="array" aca="1" ref="AI605" ca="1">_xlfn.XLOOKUP(PAA[[#This Row],[RCP-RUBRO]],COMPROMISOS_2025[[#All],[concatenado]],COMPROMISOS_2025[[#All],[Total Comprometido]],"",0)</f>
        <v>#NAME?</v>
      </c>
    </row>
    <row r="606" spans="1:35" s="50" customFormat="1" ht="42" hidden="1" customHeight="1" x14ac:dyDescent="0.25">
      <c r="A606" s="199">
        <v>505</v>
      </c>
      <c r="B606" s="200">
        <v>80111600</v>
      </c>
      <c r="C606" s="199" t="str">
        <f>VLOOKUP(PAA[[#This Row],[PROYECTO (formulado)2]],PROYECTOS!$G$1:$L$32,6,0)</f>
        <v>SUBGERENCIA ESCENARIOS DEPORTIVOS Y EQUIPAMIENTOS</v>
      </c>
      <c r="D606" s="199" t="str">
        <f>+IF(PAA[[#This Row],[UNIDAD DE CONTRATACION (formulado)]]="Subgerencia Administrativa y Financiera","FUNCIONAMIENTO","INVERSIÓN")</f>
        <v>INVERSIÓN</v>
      </c>
      <c r="E606" s="201" t="str">
        <f>VLOOKUP(Q606,PROYECTOS!$G$1:$K$32,5,0)</f>
        <v>Mantenimiento, adecuación, mejoras de escenarios deportivos o equipamientos en el departamento de Antioquia</v>
      </c>
      <c r="F606" s="201">
        <f>VLOOKUP(E606,PROYECTOS!$K$1:$M$32,3,0)</f>
        <v>2024003050075</v>
      </c>
      <c r="G606" s="202" t="s">
        <v>245</v>
      </c>
      <c r="H606" s="202" t="str">
        <f>VLOOKUP(Q606,PROYECTOS!$V$1:$W$32,2,0)</f>
        <v>050070</v>
      </c>
      <c r="I606" s="203">
        <v>50418853</v>
      </c>
      <c r="J606" s="204" t="s">
        <v>715</v>
      </c>
      <c r="K606" s="199" t="str">
        <f t="shared" ca="1" si="78"/>
        <v>CONTRATADO</v>
      </c>
      <c r="L606" s="204" t="s">
        <v>112</v>
      </c>
      <c r="M606" s="204" t="s">
        <v>113</v>
      </c>
      <c r="N606" s="205" t="s">
        <v>249</v>
      </c>
      <c r="O606" s="204">
        <f>VLOOKUP(N606,RUBROS[#All],3,0)</f>
        <v>87</v>
      </c>
      <c r="P606" s="206" t="str">
        <f>VLOOKUP(N606,RUBROS[#All],2,0)</f>
        <v xml:space="preserve">Mantenimiento, adecuación, mejoras de escenarios deportivos o equipamientos en el departamento de Antioquia.. - Servicios prestados a las empresas y servicios de producción </v>
      </c>
      <c r="Q606" s="199" t="str">
        <f t="shared" si="79"/>
        <v>75</v>
      </c>
      <c r="R606" s="199" t="str">
        <f t="shared" si="80"/>
        <v>0-101024</v>
      </c>
      <c r="S606" s="207">
        <v>5</v>
      </c>
      <c r="T606" s="208" t="s">
        <v>46</v>
      </c>
      <c r="U606" s="209" t="e">
        <f ca="1">_xlfn.XLOOKUP(PAA[[#This Row],[ITEM]],Contrato!A:A,Contrato!Q:Q,"",0)</f>
        <v>#NAME?</v>
      </c>
      <c r="V606" s="199" t="s">
        <v>47</v>
      </c>
      <c r="W606" s="199" t="s">
        <v>48</v>
      </c>
      <c r="X606" s="199" t="s">
        <v>48</v>
      </c>
      <c r="Y606" s="210" t="e">
        <f ca="1">_xlfn.XLOOKUP(PAA[[#This Row],[ITEM]],Contrato!A:A,Contrato!B:B,"",0)</f>
        <v>#NAME?</v>
      </c>
      <c r="Z606" s="199" t="e">
        <f ca="1">_xlfn.XLOOKUP(PAA[[#This Row],[ITEM]],Contrato!A:A,Contrato!G:G,"",0)</f>
        <v>#NAME?</v>
      </c>
      <c r="AA606" s="199" t="e">
        <f ca="1">_xlfn.XLOOKUP(PAA[[#This Row],[ITEM]],Contrato!A:A,Contrato!T:T,"",0)</f>
        <v>#NAME?</v>
      </c>
      <c r="AB606" s="210" t="e">
        <f ca="1">+MAX(PAA[[#This Row],[Comprometido Contrato]],)</f>
        <v>#NAME?</v>
      </c>
      <c r="AC606" s="210" t="str">
        <f t="shared" ca="1" si="91"/>
        <v/>
      </c>
      <c r="AD606" s="210" t="e">
        <f ca="1">+MAX(PAA[[#This Row],[Pago por Contrato]],)</f>
        <v>#NAME?</v>
      </c>
      <c r="AE606" s="210" t="str">
        <f t="shared" ca="1" si="81"/>
        <v/>
      </c>
      <c r="AF606" s="199" t="e">
        <f t="shared" ca="1" si="82"/>
        <v>#NAME?</v>
      </c>
      <c r="AG606" s="199">
        <f t="shared" si="83"/>
        <v>52010902</v>
      </c>
      <c r="AH606" s="199" t="e" cm="1">
        <f t="array" aca="1" ref="AH606" ca="1">_xlfn.XLOOKUP(PAA[[#This Row],[RCP-RUBRO]],COMPROMISOS_2025[[#All],[concatenado]],COMPROMISOS_2025[[#All],[Total pagado]],"",0)</f>
        <v>#NAME?</v>
      </c>
      <c r="AI606" s="199" t="e" cm="1">
        <f t="array" aca="1" ref="AI606" ca="1">_xlfn.XLOOKUP(PAA[[#This Row],[RCP-RUBRO]],COMPROMISOS_2025[[#All],[concatenado]],COMPROMISOS_2025[[#All],[Total Comprometido]],"",0)</f>
        <v>#NAME?</v>
      </c>
    </row>
    <row r="607" spans="1:35" s="50" customFormat="1" ht="42" hidden="1" customHeight="1" x14ac:dyDescent="0.25">
      <c r="A607" s="199">
        <v>506</v>
      </c>
      <c r="B607" s="200">
        <v>80111600</v>
      </c>
      <c r="C607" s="199" t="str">
        <f>VLOOKUP(PAA[[#This Row],[PROYECTO (formulado)2]],PROYECTOS!$G$1:$L$32,6,0)</f>
        <v>SUBGERENCIA ESCENARIOS DEPORTIVOS Y EQUIPAMIENTOS</v>
      </c>
      <c r="D607" s="199" t="str">
        <f>+IF(PAA[[#This Row],[UNIDAD DE CONTRATACION (formulado)]]="Subgerencia Administrativa y Financiera","FUNCIONAMIENTO","INVERSIÓN")</f>
        <v>INVERSIÓN</v>
      </c>
      <c r="E607" s="201" t="str">
        <f>VLOOKUP(Q607,PROYECTOS!$G$1:$K$32,5,0)</f>
        <v>Mantenimiento, adecuación, mejoras de escenarios deportivos o equipamientos en el departamento de Antioquia</v>
      </c>
      <c r="F607" s="201">
        <f>VLOOKUP(E607,PROYECTOS!$K$1:$M$32,3,0)</f>
        <v>2024003050075</v>
      </c>
      <c r="G607" s="202" t="s">
        <v>245</v>
      </c>
      <c r="H607" s="202" t="str">
        <f>VLOOKUP(Q607,PROYECTOS!$V$1:$W$32,2,0)</f>
        <v>050070</v>
      </c>
      <c r="I607" s="203">
        <v>39614813</v>
      </c>
      <c r="J607" s="204" t="s">
        <v>716</v>
      </c>
      <c r="K607" s="199" t="str">
        <f t="shared" ca="1" si="78"/>
        <v>CONTRATADO</v>
      </c>
      <c r="L607" s="204" t="s">
        <v>112</v>
      </c>
      <c r="M607" s="204" t="s">
        <v>113</v>
      </c>
      <c r="N607" s="205" t="s">
        <v>249</v>
      </c>
      <c r="O607" s="204">
        <f>VLOOKUP(N607,RUBROS[#All],3,0)</f>
        <v>87</v>
      </c>
      <c r="P607" s="206" t="str">
        <f>VLOOKUP(N607,RUBROS[#All],2,0)</f>
        <v xml:space="preserve">Mantenimiento, adecuación, mejoras de escenarios deportivos o equipamientos en el departamento de Antioquia.. - Servicios prestados a las empresas y servicios de producción </v>
      </c>
      <c r="Q607" s="199" t="str">
        <f t="shared" si="79"/>
        <v>75</v>
      </c>
      <c r="R607" s="199" t="str">
        <f t="shared" si="80"/>
        <v>0-101024</v>
      </c>
      <c r="S607" s="207">
        <v>5</v>
      </c>
      <c r="T607" s="208" t="s">
        <v>46</v>
      </c>
      <c r="U607" s="209" t="e">
        <f ca="1">_xlfn.XLOOKUP(PAA[[#This Row],[ITEM]],Contrato!A:A,Contrato!Q:Q,"",0)</f>
        <v>#NAME?</v>
      </c>
      <c r="V607" s="199" t="s">
        <v>47</v>
      </c>
      <c r="W607" s="199" t="s">
        <v>48</v>
      </c>
      <c r="X607" s="199" t="s">
        <v>48</v>
      </c>
      <c r="Y607" s="210" t="e">
        <f ca="1">_xlfn.XLOOKUP(PAA[[#This Row],[ITEM]],Contrato!A:A,Contrato!B:B,"",0)</f>
        <v>#NAME?</v>
      </c>
      <c r="Z607" s="199" t="e">
        <f ca="1">_xlfn.XLOOKUP(PAA[[#This Row],[ITEM]],Contrato!A:A,Contrato!G:G,"",0)</f>
        <v>#NAME?</v>
      </c>
      <c r="AA607" s="199" t="e">
        <f ca="1">_xlfn.XLOOKUP(PAA[[#This Row],[ITEM]],Contrato!A:A,Contrato!T:T,"",0)</f>
        <v>#NAME?</v>
      </c>
      <c r="AB607" s="210" t="e">
        <f ca="1">+MAX(PAA[[#This Row],[Comprometido Contrato]],)</f>
        <v>#NAME?</v>
      </c>
      <c r="AC607" s="210" t="str">
        <f t="shared" ca="1" si="91"/>
        <v/>
      </c>
      <c r="AD607" s="210" t="e">
        <f ca="1">+MAX(PAA[[#This Row],[Pago por Contrato]],)</f>
        <v>#NAME?</v>
      </c>
      <c r="AE607" s="210" t="str">
        <f t="shared" ca="1" si="81"/>
        <v/>
      </c>
      <c r="AF607" s="199" t="e">
        <f t="shared" ca="1" si="82"/>
        <v>#NAME?</v>
      </c>
      <c r="AG607" s="199">
        <f t="shared" si="83"/>
        <v>52010902</v>
      </c>
      <c r="AH607" s="199" t="e" cm="1">
        <f t="array" aca="1" ref="AH607" ca="1">_xlfn.XLOOKUP(PAA[[#This Row],[RCP-RUBRO]],COMPROMISOS_2025[[#All],[concatenado]],COMPROMISOS_2025[[#All],[Total pagado]],"",0)</f>
        <v>#NAME?</v>
      </c>
      <c r="AI607" s="199" t="e" cm="1">
        <f t="array" aca="1" ref="AI607" ca="1">_xlfn.XLOOKUP(PAA[[#This Row],[RCP-RUBRO]],COMPROMISOS_2025[[#All],[concatenado]],COMPROMISOS_2025[[#All],[Total Comprometido]],"",0)</f>
        <v>#NAME?</v>
      </c>
    </row>
    <row r="608" spans="1:35" s="50" customFormat="1" ht="42" hidden="1" customHeight="1" x14ac:dyDescent="0.25">
      <c r="A608" s="199">
        <v>507</v>
      </c>
      <c r="B608" s="200">
        <v>80111600</v>
      </c>
      <c r="C608" s="199" t="str">
        <f>VLOOKUP(PAA[[#This Row],[PROYECTO (formulado)2]],PROYECTOS!$G$1:$L$32,6,0)</f>
        <v>SUBGERENCIA ESCENARIOS DEPORTIVOS Y EQUIPAMIENTOS</v>
      </c>
      <c r="D608" s="199" t="str">
        <f>+IF(PAA[[#This Row],[UNIDAD DE CONTRATACION (formulado)]]="Subgerencia Administrativa y Financiera","FUNCIONAMIENTO","INVERSIÓN")</f>
        <v>INVERSIÓN</v>
      </c>
      <c r="E608" s="201" t="str">
        <f>VLOOKUP(Q608,PROYECTOS!$G$1:$K$32,5,0)</f>
        <v>Construcción de escenarios deportivos en el departamento de Antioquia</v>
      </c>
      <c r="F608" s="201">
        <f>VLOOKUP(E608,PROYECTOS!$K$1:$M$32,3,0)</f>
        <v>2024003050076</v>
      </c>
      <c r="G608" s="202" t="s">
        <v>258</v>
      </c>
      <c r="H608" s="202" t="str">
        <f>VLOOKUP(Q608,PROYECTOS!$V$1:$W$32,2,0)</f>
        <v>050074</v>
      </c>
      <c r="I608" s="203">
        <v>39614813</v>
      </c>
      <c r="J608" s="204" t="s">
        <v>717</v>
      </c>
      <c r="K608" s="199" t="str">
        <f t="shared" ca="1" si="78"/>
        <v>CONTRATADO</v>
      </c>
      <c r="L608" s="204" t="s">
        <v>112</v>
      </c>
      <c r="M608" s="204" t="s">
        <v>113</v>
      </c>
      <c r="N608" s="205" t="s">
        <v>259</v>
      </c>
      <c r="O608" s="204">
        <f>VLOOKUP(N608,RUBROS[#All],3,0)</f>
        <v>92</v>
      </c>
      <c r="P608" s="206" t="str">
        <f>VLOOKUP(N608,RUBROS[#All],2,0)</f>
        <v xml:space="preserve">Construcción de escenarios deportivos en el departamento de Antioquia - Servicios prestados a las empresas y servicios de producción </v>
      </c>
      <c r="Q608" s="199" t="str">
        <f t="shared" si="79"/>
        <v>76</v>
      </c>
      <c r="R608" s="199" t="str">
        <f t="shared" si="80"/>
        <v>0-205128</v>
      </c>
      <c r="S608" s="207">
        <v>5</v>
      </c>
      <c r="T608" s="208" t="s">
        <v>46</v>
      </c>
      <c r="U608" s="209" t="e">
        <f ca="1">_xlfn.XLOOKUP(PAA[[#This Row],[ITEM]],Contrato!A:A,Contrato!Q:Q,"",0)</f>
        <v>#NAME?</v>
      </c>
      <c r="V608" s="199" t="s">
        <v>47</v>
      </c>
      <c r="W608" s="199" t="s">
        <v>48</v>
      </c>
      <c r="X608" s="199" t="s">
        <v>48</v>
      </c>
      <c r="Y608" s="210" t="e">
        <f ca="1">_xlfn.XLOOKUP(PAA[[#This Row],[ITEM]],Contrato!A:A,Contrato!B:B,"",0)</f>
        <v>#NAME?</v>
      </c>
      <c r="Z608" s="199" t="e">
        <f ca="1">_xlfn.XLOOKUP(PAA[[#This Row],[ITEM]],Contrato!A:A,Contrato!G:G,"",0)</f>
        <v>#NAME?</v>
      </c>
      <c r="AA608" s="199" t="e">
        <f ca="1">_xlfn.XLOOKUP(PAA[[#This Row],[ITEM]],Contrato!A:A,Contrato!T:T,"",0)</f>
        <v>#NAME?</v>
      </c>
      <c r="AB608" s="210" t="e">
        <f ca="1">+MAX(PAA[[#This Row],[Comprometido Contrato]],)</f>
        <v>#NAME?</v>
      </c>
      <c r="AC608" s="210" t="str">
        <f t="shared" ca="1" si="91"/>
        <v/>
      </c>
      <c r="AD608" s="210" t="e">
        <f ca="1">+MAX(PAA[[#This Row],[Pago por Contrato]],)</f>
        <v>#NAME?</v>
      </c>
      <c r="AE608" s="210" t="str">
        <f t="shared" ca="1" si="81"/>
        <v/>
      </c>
      <c r="AF608" s="199" t="e">
        <f t="shared" ca="1" si="82"/>
        <v>#NAME?</v>
      </c>
      <c r="AG608" s="199">
        <f t="shared" si="83"/>
        <v>52010901</v>
      </c>
      <c r="AH608" s="199" t="e" cm="1">
        <f t="array" aca="1" ref="AH608" ca="1">_xlfn.XLOOKUP(PAA[[#This Row],[RCP-RUBRO]],COMPROMISOS_2025[[#All],[concatenado]],COMPROMISOS_2025[[#All],[Total pagado]],"",0)</f>
        <v>#NAME?</v>
      </c>
      <c r="AI608" s="199" t="e" cm="1">
        <f t="array" aca="1" ref="AI608" ca="1">_xlfn.XLOOKUP(PAA[[#This Row],[RCP-RUBRO]],COMPROMISOS_2025[[#All],[concatenado]],COMPROMISOS_2025[[#All],[Total Comprometido]],"",0)</f>
        <v>#NAME?</v>
      </c>
    </row>
    <row r="609" spans="1:35" s="50" customFormat="1" ht="42" hidden="1" customHeight="1" x14ac:dyDescent="0.25">
      <c r="A609" s="199">
        <v>508</v>
      </c>
      <c r="B609" s="200">
        <v>80111600</v>
      </c>
      <c r="C609" s="199" t="str">
        <f>VLOOKUP(PAA[[#This Row],[PROYECTO (formulado)2]],PROYECTOS!$G$1:$L$32,6,0)</f>
        <v>SUBGERENCIA ESCENARIOS DEPORTIVOS Y EQUIPAMIENTOS</v>
      </c>
      <c r="D609" s="199" t="str">
        <f>+IF(PAA[[#This Row],[UNIDAD DE CONTRATACION (formulado)]]="Subgerencia Administrativa y Financiera","FUNCIONAMIENTO","INVERSIÓN")</f>
        <v>INVERSIÓN</v>
      </c>
      <c r="E609" s="201" t="str">
        <f>VLOOKUP(Q609,PROYECTOS!$G$1:$K$32,5,0)</f>
        <v>Construcción de escenarios deportivos en el departamento de Antioquia</v>
      </c>
      <c r="F609" s="201">
        <f>VLOOKUP(E609,PROYECTOS!$K$1:$M$32,3,0)</f>
        <v>2024003050076</v>
      </c>
      <c r="G609" s="202" t="s">
        <v>258</v>
      </c>
      <c r="H609" s="202" t="str">
        <f>VLOOKUP(Q609,PROYECTOS!$V$1:$W$32,2,0)</f>
        <v>050074</v>
      </c>
      <c r="I609" s="203">
        <v>39614813</v>
      </c>
      <c r="J609" s="204" t="s">
        <v>717</v>
      </c>
      <c r="K609" s="199" t="str">
        <f t="shared" ca="1" si="78"/>
        <v>CONTRATADO</v>
      </c>
      <c r="L609" s="204" t="s">
        <v>112</v>
      </c>
      <c r="M609" s="204" t="s">
        <v>113</v>
      </c>
      <c r="N609" s="205" t="s">
        <v>259</v>
      </c>
      <c r="O609" s="204">
        <f>VLOOKUP(N609,RUBROS[#All],3,0)</f>
        <v>92</v>
      </c>
      <c r="P609" s="206" t="str">
        <f>VLOOKUP(N609,RUBROS[#All],2,0)</f>
        <v xml:space="preserve">Construcción de escenarios deportivos en el departamento de Antioquia - Servicios prestados a las empresas y servicios de producción </v>
      </c>
      <c r="Q609" s="199" t="str">
        <f t="shared" si="79"/>
        <v>76</v>
      </c>
      <c r="R609" s="199" t="str">
        <f t="shared" si="80"/>
        <v>0-205128</v>
      </c>
      <c r="S609" s="207">
        <v>5</v>
      </c>
      <c r="T609" s="208" t="s">
        <v>46</v>
      </c>
      <c r="U609" s="209" t="e">
        <f ca="1">_xlfn.XLOOKUP(PAA[[#This Row],[ITEM]],Contrato!A:A,Contrato!Q:Q,"",0)</f>
        <v>#NAME?</v>
      </c>
      <c r="V609" s="199" t="s">
        <v>47</v>
      </c>
      <c r="W609" s="199" t="s">
        <v>48</v>
      </c>
      <c r="X609" s="199" t="s">
        <v>48</v>
      </c>
      <c r="Y609" s="210" t="e">
        <f ca="1">_xlfn.XLOOKUP(PAA[[#This Row],[ITEM]],Contrato!A:A,Contrato!B:B,"",0)</f>
        <v>#NAME?</v>
      </c>
      <c r="Z609" s="199" t="e">
        <f ca="1">_xlfn.XLOOKUP(PAA[[#This Row],[ITEM]],Contrato!A:A,Contrato!G:G,"",0)</f>
        <v>#NAME?</v>
      </c>
      <c r="AA609" s="199" t="e">
        <f ca="1">_xlfn.XLOOKUP(PAA[[#This Row],[ITEM]],Contrato!A:A,Contrato!T:T,"",0)</f>
        <v>#NAME?</v>
      </c>
      <c r="AB609" s="210" t="e">
        <f ca="1">+MAX(PAA[[#This Row],[Comprometido Contrato]],)</f>
        <v>#NAME?</v>
      </c>
      <c r="AC609" s="210" t="str">
        <f t="shared" ca="1" si="91"/>
        <v/>
      </c>
      <c r="AD609" s="210" t="e">
        <f ca="1">+MAX(PAA[[#This Row],[Pago por Contrato]],)</f>
        <v>#NAME?</v>
      </c>
      <c r="AE609" s="210" t="str">
        <f t="shared" ca="1" si="81"/>
        <v/>
      </c>
      <c r="AF609" s="199" t="e">
        <f t="shared" ca="1" si="82"/>
        <v>#NAME?</v>
      </c>
      <c r="AG609" s="199">
        <f t="shared" si="83"/>
        <v>52010901</v>
      </c>
      <c r="AH609" s="199" t="e" cm="1">
        <f t="array" aca="1" ref="AH609" ca="1">_xlfn.XLOOKUP(PAA[[#This Row],[RCP-RUBRO]],COMPROMISOS_2025[[#All],[concatenado]],COMPROMISOS_2025[[#All],[Total pagado]],"",0)</f>
        <v>#NAME?</v>
      </c>
      <c r="AI609" s="199" t="e" cm="1">
        <f t="array" aca="1" ref="AI609" ca="1">_xlfn.XLOOKUP(PAA[[#This Row],[RCP-RUBRO]],COMPROMISOS_2025[[#All],[concatenado]],COMPROMISOS_2025[[#All],[Total Comprometido]],"",0)</f>
        <v>#NAME?</v>
      </c>
    </row>
    <row r="610" spans="1:35" s="50" customFormat="1" ht="42" hidden="1" customHeight="1" x14ac:dyDescent="0.25">
      <c r="A610" s="199">
        <v>509</v>
      </c>
      <c r="B610" s="200">
        <v>80111600</v>
      </c>
      <c r="C610" s="199" t="str">
        <f>VLOOKUP(PAA[[#This Row],[PROYECTO (formulado)2]],PROYECTOS!$G$1:$L$32,6,0)</f>
        <v>SUBGERENCIA ESCENARIOS DEPORTIVOS Y EQUIPAMIENTOS</v>
      </c>
      <c r="D610" s="199" t="str">
        <f>+IF(PAA[[#This Row],[UNIDAD DE CONTRATACION (formulado)]]="Subgerencia Administrativa y Financiera","FUNCIONAMIENTO","INVERSIÓN")</f>
        <v>INVERSIÓN</v>
      </c>
      <c r="E610" s="201" t="str">
        <f>VLOOKUP(Q610,PROYECTOS!$G$1:$K$32,5,0)</f>
        <v>Construcción de escenarios deportivos en el departamento de Antioquia</v>
      </c>
      <c r="F610" s="201">
        <f>VLOOKUP(E610,PROYECTOS!$K$1:$M$32,3,0)</f>
        <v>2024003050076</v>
      </c>
      <c r="G610" s="202" t="s">
        <v>258</v>
      </c>
      <c r="H610" s="202" t="str">
        <f>VLOOKUP(Q610,PROYECTOS!$V$1:$W$32,2,0)</f>
        <v>050074</v>
      </c>
      <c r="I610" s="203">
        <v>39614813</v>
      </c>
      <c r="J610" s="204" t="s">
        <v>717</v>
      </c>
      <c r="K610" s="199" t="str">
        <f t="shared" ca="1" si="78"/>
        <v>CONTRATADO</v>
      </c>
      <c r="L610" s="204" t="s">
        <v>112</v>
      </c>
      <c r="M610" s="204" t="s">
        <v>113</v>
      </c>
      <c r="N610" s="205" t="s">
        <v>259</v>
      </c>
      <c r="O610" s="204">
        <f>VLOOKUP(N610,RUBROS[#All],3,0)</f>
        <v>92</v>
      </c>
      <c r="P610" s="206" t="str">
        <f>VLOOKUP(N610,RUBROS[#All],2,0)</f>
        <v xml:space="preserve">Construcción de escenarios deportivos en el departamento de Antioquia - Servicios prestados a las empresas y servicios de producción </v>
      </c>
      <c r="Q610" s="199" t="str">
        <f t="shared" si="79"/>
        <v>76</v>
      </c>
      <c r="R610" s="199" t="str">
        <f t="shared" si="80"/>
        <v>0-205128</v>
      </c>
      <c r="S610" s="207">
        <v>5</v>
      </c>
      <c r="T610" s="208" t="s">
        <v>46</v>
      </c>
      <c r="U610" s="209" t="e">
        <f ca="1">_xlfn.XLOOKUP(PAA[[#This Row],[ITEM]],Contrato!A:A,Contrato!Q:Q,"",0)</f>
        <v>#NAME?</v>
      </c>
      <c r="V610" s="199" t="s">
        <v>47</v>
      </c>
      <c r="W610" s="199" t="s">
        <v>48</v>
      </c>
      <c r="X610" s="199" t="s">
        <v>48</v>
      </c>
      <c r="Y610" s="210" t="e">
        <f ca="1">_xlfn.XLOOKUP(PAA[[#This Row],[ITEM]],Contrato!A:A,Contrato!B:B,"",0)</f>
        <v>#NAME?</v>
      </c>
      <c r="Z610" s="199" t="e">
        <f ca="1">_xlfn.XLOOKUP(PAA[[#This Row],[ITEM]],Contrato!A:A,Contrato!G:G,"",0)</f>
        <v>#NAME?</v>
      </c>
      <c r="AA610" s="199" t="e">
        <f ca="1">_xlfn.XLOOKUP(PAA[[#This Row],[ITEM]],Contrato!A:A,Contrato!T:T,"",0)</f>
        <v>#NAME?</v>
      </c>
      <c r="AB610" s="210" t="e">
        <f ca="1">+MAX(PAA[[#This Row],[Comprometido Contrato]],)</f>
        <v>#NAME?</v>
      </c>
      <c r="AC610" s="210" t="str">
        <f t="shared" ca="1" si="91"/>
        <v/>
      </c>
      <c r="AD610" s="210" t="e">
        <f ca="1">+MAX(PAA[[#This Row],[Pago por Contrato]],)</f>
        <v>#NAME?</v>
      </c>
      <c r="AE610" s="210" t="str">
        <f t="shared" ca="1" si="81"/>
        <v/>
      </c>
      <c r="AF610" s="199" t="e">
        <f t="shared" ca="1" si="82"/>
        <v>#NAME?</v>
      </c>
      <c r="AG610" s="199">
        <f t="shared" si="83"/>
        <v>52010901</v>
      </c>
      <c r="AH610" s="199" t="e" cm="1">
        <f t="array" aca="1" ref="AH610" ca="1">_xlfn.XLOOKUP(PAA[[#This Row],[RCP-RUBRO]],COMPROMISOS_2025[[#All],[concatenado]],COMPROMISOS_2025[[#All],[Total pagado]],"",0)</f>
        <v>#NAME?</v>
      </c>
      <c r="AI610" s="199" t="e" cm="1">
        <f t="array" aca="1" ref="AI610" ca="1">_xlfn.XLOOKUP(PAA[[#This Row],[RCP-RUBRO]],COMPROMISOS_2025[[#All],[concatenado]],COMPROMISOS_2025[[#All],[Total Comprometido]],"",0)</f>
        <v>#NAME?</v>
      </c>
    </row>
    <row r="611" spans="1:35" s="50" customFormat="1" ht="42" hidden="1" customHeight="1" x14ac:dyDescent="0.25">
      <c r="A611" s="199">
        <v>510</v>
      </c>
      <c r="B611" s="200">
        <v>80111600</v>
      </c>
      <c r="C611" s="199" t="str">
        <f>VLOOKUP(PAA[[#This Row],[PROYECTO (formulado)2]],PROYECTOS!$G$1:$L$32,6,0)</f>
        <v>SUBGERENCIA ESCENARIOS DEPORTIVOS Y EQUIPAMIENTOS</v>
      </c>
      <c r="D611" s="199" t="str">
        <f>+IF(PAA[[#This Row],[UNIDAD DE CONTRATACION (formulado)]]="Subgerencia Administrativa y Financiera","FUNCIONAMIENTO","INVERSIÓN")</f>
        <v>INVERSIÓN</v>
      </c>
      <c r="E611" s="201" t="str">
        <f>VLOOKUP(Q611,PROYECTOS!$G$1:$K$32,5,0)</f>
        <v>Construcción de escenarios deportivos en el departamento de Antioquia</v>
      </c>
      <c r="F611" s="201">
        <f>VLOOKUP(E611,PROYECTOS!$K$1:$M$32,3,0)</f>
        <v>2024003050076</v>
      </c>
      <c r="G611" s="202" t="s">
        <v>258</v>
      </c>
      <c r="H611" s="202" t="str">
        <f>VLOOKUP(Q611,PROYECTOS!$V$1:$W$32,2,0)</f>
        <v>050074</v>
      </c>
      <c r="I611" s="203">
        <v>39614813</v>
      </c>
      <c r="J611" s="204" t="s">
        <v>717</v>
      </c>
      <c r="K611" s="199" t="str">
        <f t="shared" ca="1" si="78"/>
        <v>CONTRATADO</v>
      </c>
      <c r="L611" s="204" t="s">
        <v>112</v>
      </c>
      <c r="M611" s="204" t="s">
        <v>113</v>
      </c>
      <c r="N611" s="205" t="s">
        <v>259</v>
      </c>
      <c r="O611" s="204">
        <f>VLOOKUP(N611,RUBROS[#All],3,0)</f>
        <v>92</v>
      </c>
      <c r="P611" s="206" t="str">
        <f>VLOOKUP(N611,RUBROS[#All],2,0)</f>
        <v xml:space="preserve">Construcción de escenarios deportivos en el departamento de Antioquia - Servicios prestados a las empresas y servicios de producción </v>
      </c>
      <c r="Q611" s="199" t="str">
        <f t="shared" si="79"/>
        <v>76</v>
      </c>
      <c r="R611" s="199" t="str">
        <f t="shared" si="80"/>
        <v>0-205128</v>
      </c>
      <c r="S611" s="207">
        <v>5</v>
      </c>
      <c r="T611" s="208" t="s">
        <v>46</v>
      </c>
      <c r="U611" s="209" t="e">
        <f ca="1">_xlfn.XLOOKUP(PAA[[#This Row],[ITEM]],Contrato!A:A,Contrato!Q:Q,"",0)</f>
        <v>#NAME?</v>
      </c>
      <c r="V611" s="199" t="s">
        <v>47</v>
      </c>
      <c r="W611" s="199" t="s">
        <v>48</v>
      </c>
      <c r="X611" s="199" t="s">
        <v>48</v>
      </c>
      <c r="Y611" s="210" t="e">
        <f ca="1">_xlfn.XLOOKUP(PAA[[#This Row],[ITEM]],Contrato!A:A,Contrato!B:B,"",0)</f>
        <v>#NAME?</v>
      </c>
      <c r="Z611" s="199" t="e">
        <f ca="1">_xlfn.XLOOKUP(PAA[[#This Row],[ITEM]],Contrato!A:A,Contrato!G:G,"",0)</f>
        <v>#NAME?</v>
      </c>
      <c r="AA611" s="199" t="e">
        <f ca="1">_xlfn.XLOOKUP(PAA[[#This Row],[ITEM]],Contrato!A:A,Contrato!T:T,"",0)</f>
        <v>#NAME?</v>
      </c>
      <c r="AB611" s="210" t="e">
        <f ca="1">+MAX(PAA[[#This Row],[Comprometido Contrato]],)</f>
        <v>#NAME?</v>
      </c>
      <c r="AC611" s="210" t="str">
        <f t="shared" ca="1" si="91"/>
        <v/>
      </c>
      <c r="AD611" s="210" t="e">
        <f ca="1">+MAX(PAA[[#This Row],[Pago por Contrato]],)</f>
        <v>#NAME?</v>
      </c>
      <c r="AE611" s="210" t="str">
        <f t="shared" ca="1" si="81"/>
        <v/>
      </c>
      <c r="AF611" s="199" t="e">
        <f t="shared" ca="1" si="82"/>
        <v>#NAME?</v>
      </c>
      <c r="AG611" s="199">
        <f t="shared" si="83"/>
        <v>52010901</v>
      </c>
      <c r="AH611" s="199" t="e" cm="1">
        <f t="array" aca="1" ref="AH611" ca="1">_xlfn.XLOOKUP(PAA[[#This Row],[RCP-RUBRO]],COMPROMISOS_2025[[#All],[concatenado]],COMPROMISOS_2025[[#All],[Total pagado]],"",0)</f>
        <v>#NAME?</v>
      </c>
      <c r="AI611" s="199" t="e" cm="1">
        <f t="array" aca="1" ref="AI611" ca="1">_xlfn.XLOOKUP(PAA[[#This Row],[RCP-RUBRO]],COMPROMISOS_2025[[#All],[concatenado]],COMPROMISOS_2025[[#All],[Total Comprometido]],"",0)</f>
        <v>#NAME?</v>
      </c>
    </row>
    <row r="612" spans="1:35" s="50" customFormat="1" ht="42" hidden="1" customHeight="1" x14ac:dyDescent="0.25">
      <c r="A612" s="199">
        <v>511</v>
      </c>
      <c r="B612" s="200">
        <v>80111600</v>
      </c>
      <c r="C612" s="199" t="str">
        <f>VLOOKUP(PAA[[#This Row],[PROYECTO (formulado)2]],PROYECTOS!$G$1:$L$32,6,0)</f>
        <v>SUBGERENCIA ESCENARIOS DEPORTIVOS Y EQUIPAMIENTOS</v>
      </c>
      <c r="D612" s="199" t="str">
        <f>+IF(PAA[[#This Row],[UNIDAD DE CONTRATACION (formulado)]]="Subgerencia Administrativa y Financiera","FUNCIONAMIENTO","INVERSIÓN")</f>
        <v>INVERSIÓN</v>
      </c>
      <c r="E612" s="201" t="str">
        <f>VLOOKUP(Q612,PROYECTOS!$G$1:$K$32,5,0)</f>
        <v>Construcción de escenarios deportivos en el departamento de Antioquia</v>
      </c>
      <c r="F612" s="201">
        <f>VLOOKUP(E612,PROYECTOS!$K$1:$M$32,3,0)</f>
        <v>2024003050076</v>
      </c>
      <c r="G612" s="202" t="s">
        <v>258</v>
      </c>
      <c r="H612" s="202" t="str">
        <f>VLOOKUP(Q612,PROYECTOS!$V$1:$W$32,2,0)</f>
        <v>050074</v>
      </c>
      <c r="I612" s="203">
        <v>39614813</v>
      </c>
      <c r="J612" s="204" t="s">
        <v>717</v>
      </c>
      <c r="K612" s="199" t="str">
        <f t="shared" ca="1" si="78"/>
        <v>CONTRATADO</v>
      </c>
      <c r="L612" s="204" t="s">
        <v>112</v>
      </c>
      <c r="M612" s="204" t="s">
        <v>113</v>
      </c>
      <c r="N612" s="205" t="s">
        <v>259</v>
      </c>
      <c r="O612" s="204">
        <f>VLOOKUP(N612,RUBROS[#All],3,0)</f>
        <v>92</v>
      </c>
      <c r="P612" s="206" t="str">
        <f>VLOOKUP(N612,RUBROS[#All],2,0)</f>
        <v xml:space="preserve">Construcción de escenarios deportivos en el departamento de Antioquia - Servicios prestados a las empresas y servicios de producción </v>
      </c>
      <c r="Q612" s="199" t="str">
        <f t="shared" si="79"/>
        <v>76</v>
      </c>
      <c r="R612" s="199" t="str">
        <f t="shared" si="80"/>
        <v>0-205128</v>
      </c>
      <c r="S612" s="207">
        <v>5</v>
      </c>
      <c r="T612" s="208" t="s">
        <v>46</v>
      </c>
      <c r="U612" s="209" t="e">
        <f ca="1">_xlfn.XLOOKUP(PAA[[#This Row],[ITEM]],Contrato!A:A,Contrato!Q:Q,"",0)</f>
        <v>#NAME?</v>
      </c>
      <c r="V612" s="199" t="s">
        <v>47</v>
      </c>
      <c r="W612" s="199" t="s">
        <v>48</v>
      </c>
      <c r="X612" s="199" t="s">
        <v>48</v>
      </c>
      <c r="Y612" s="210" t="e">
        <f ca="1">_xlfn.XLOOKUP(PAA[[#This Row],[ITEM]],Contrato!A:A,Contrato!B:B,"",0)</f>
        <v>#NAME?</v>
      </c>
      <c r="Z612" s="199" t="e">
        <f ca="1">_xlfn.XLOOKUP(PAA[[#This Row],[ITEM]],Contrato!A:A,Contrato!G:G,"",0)</f>
        <v>#NAME?</v>
      </c>
      <c r="AA612" s="199" t="e">
        <f ca="1">_xlfn.XLOOKUP(PAA[[#This Row],[ITEM]],Contrato!A:A,Contrato!T:T,"",0)</f>
        <v>#NAME?</v>
      </c>
      <c r="AB612" s="210" t="e">
        <f ca="1">+MAX(PAA[[#This Row],[Comprometido Contrato]],)</f>
        <v>#NAME?</v>
      </c>
      <c r="AC612" s="210" t="str">
        <f t="shared" ca="1" si="91"/>
        <v/>
      </c>
      <c r="AD612" s="210" t="e">
        <f ca="1">+MAX(PAA[[#This Row],[Pago por Contrato]],)</f>
        <v>#NAME?</v>
      </c>
      <c r="AE612" s="210" t="str">
        <f t="shared" ca="1" si="81"/>
        <v/>
      </c>
      <c r="AF612" s="199" t="e">
        <f t="shared" ca="1" si="82"/>
        <v>#NAME?</v>
      </c>
      <c r="AG612" s="199">
        <f t="shared" si="83"/>
        <v>52010901</v>
      </c>
      <c r="AH612" s="199" t="e" cm="1">
        <f t="array" aca="1" ref="AH612" ca="1">_xlfn.XLOOKUP(PAA[[#This Row],[RCP-RUBRO]],COMPROMISOS_2025[[#All],[concatenado]],COMPROMISOS_2025[[#All],[Total pagado]],"",0)</f>
        <v>#NAME?</v>
      </c>
      <c r="AI612" s="199" t="e" cm="1">
        <f t="array" aca="1" ref="AI612" ca="1">_xlfn.XLOOKUP(PAA[[#This Row],[RCP-RUBRO]],COMPROMISOS_2025[[#All],[concatenado]],COMPROMISOS_2025[[#All],[Total Comprometido]],"",0)</f>
        <v>#NAME?</v>
      </c>
    </row>
    <row r="613" spans="1:35" s="50" customFormat="1" ht="42" hidden="1" customHeight="1" x14ac:dyDescent="0.25">
      <c r="A613" s="199">
        <v>512</v>
      </c>
      <c r="B613" s="200">
        <v>80111600</v>
      </c>
      <c r="C613" s="199" t="str">
        <f>VLOOKUP(PAA[[#This Row],[PROYECTO (formulado)2]],PROYECTOS!$G$1:$L$32,6,0)</f>
        <v>SUBGERENCIA ESCENARIOS DEPORTIVOS Y EQUIPAMIENTOS</v>
      </c>
      <c r="D613" s="199" t="str">
        <f>+IF(PAA[[#This Row],[UNIDAD DE CONTRATACION (formulado)]]="Subgerencia Administrativa y Financiera","FUNCIONAMIENTO","INVERSIÓN")</f>
        <v>INVERSIÓN</v>
      </c>
      <c r="E613" s="201" t="str">
        <f>VLOOKUP(Q613,PROYECTOS!$G$1:$K$32,5,0)</f>
        <v>Construcción de escenarios deportivos en el departamento de Antioquia</v>
      </c>
      <c r="F613" s="201">
        <f>VLOOKUP(E613,PROYECTOS!$K$1:$M$32,3,0)</f>
        <v>2024003050076</v>
      </c>
      <c r="G613" s="202" t="s">
        <v>258</v>
      </c>
      <c r="H613" s="202" t="str">
        <f>VLOOKUP(Q613,PROYECTOS!$V$1:$W$32,2,0)</f>
        <v>050074</v>
      </c>
      <c r="I613" s="203">
        <v>39614813</v>
      </c>
      <c r="J613" s="204" t="s">
        <v>717</v>
      </c>
      <c r="K613" s="199" t="str">
        <f t="shared" ca="1" si="78"/>
        <v>CONTRATADO</v>
      </c>
      <c r="L613" s="204" t="s">
        <v>112</v>
      </c>
      <c r="M613" s="204" t="s">
        <v>113</v>
      </c>
      <c r="N613" s="205" t="s">
        <v>259</v>
      </c>
      <c r="O613" s="204">
        <f>VLOOKUP(N613,RUBROS[#All],3,0)</f>
        <v>92</v>
      </c>
      <c r="P613" s="206" t="str">
        <f>VLOOKUP(N613,RUBROS[#All],2,0)</f>
        <v xml:space="preserve">Construcción de escenarios deportivos en el departamento de Antioquia - Servicios prestados a las empresas y servicios de producción </v>
      </c>
      <c r="Q613" s="199" t="str">
        <f t="shared" si="79"/>
        <v>76</v>
      </c>
      <c r="R613" s="199" t="str">
        <f t="shared" si="80"/>
        <v>0-205128</v>
      </c>
      <c r="S613" s="207">
        <v>5</v>
      </c>
      <c r="T613" s="208" t="s">
        <v>46</v>
      </c>
      <c r="U613" s="209" t="e">
        <f ca="1">_xlfn.XLOOKUP(PAA[[#This Row],[ITEM]],Contrato!A:A,Contrato!Q:Q,"",0)</f>
        <v>#NAME?</v>
      </c>
      <c r="V613" s="199" t="s">
        <v>47</v>
      </c>
      <c r="W613" s="199" t="s">
        <v>48</v>
      </c>
      <c r="X613" s="199" t="s">
        <v>48</v>
      </c>
      <c r="Y613" s="210" t="e">
        <f ca="1">_xlfn.XLOOKUP(PAA[[#This Row],[ITEM]],Contrato!A:A,Contrato!B:B,"",0)</f>
        <v>#NAME?</v>
      </c>
      <c r="Z613" s="199" t="e">
        <f ca="1">_xlfn.XLOOKUP(PAA[[#This Row],[ITEM]],Contrato!A:A,Contrato!G:G,"",0)</f>
        <v>#NAME?</v>
      </c>
      <c r="AA613" s="199" t="e">
        <f ca="1">_xlfn.XLOOKUP(PAA[[#This Row],[ITEM]],Contrato!A:A,Contrato!T:T,"",0)</f>
        <v>#NAME?</v>
      </c>
      <c r="AB613" s="210" t="e">
        <f ca="1">+MAX(PAA[[#This Row],[Comprometido Contrato]],)</f>
        <v>#NAME?</v>
      </c>
      <c r="AC613" s="210" t="str">
        <f t="shared" ca="1" si="91"/>
        <v/>
      </c>
      <c r="AD613" s="210" t="e">
        <f ca="1">+MAX(PAA[[#This Row],[Pago por Contrato]],)</f>
        <v>#NAME?</v>
      </c>
      <c r="AE613" s="210" t="str">
        <f t="shared" ca="1" si="81"/>
        <v/>
      </c>
      <c r="AF613" s="199" t="e">
        <f t="shared" ca="1" si="82"/>
        <v>#NAME?</v>
      </c>
      <c r="AG613" s="199">
        <f t="shared" si="83"/>
        <v>52010901</v>
      </c>
      <c r="AH613" s="199" t="e" cm="1">
        <f t="array" aca="1" ref="AH613" ca="1">_xlfn.XLOOKUP(PAA[[#This Row],[RCP-RUBRO]],COMPROMISOS_2025[[#All],[concatenado]],COMPROMISOS_2025[[#All],[Total pagado]],"",0)</f>
        <v>#NAME?</v>
      </c>
      <c r="AI613" s="199" t="e" cm="1">
        <f t="array" aca="1" ref="AI613" ca="1">_xlfn.XLOOKUP(PAA[[#This Row],[RCP-RUBRO]],COMPROMISOS_2025[[#All],[concatenado]],COMPROMISOS_2025[[#All],[Total Comprometido]],"",0)</f>
        <v>#NAME?</v>
      </c>
    </row>
    <row r="614" spans="1:35" s="50" customFormat="1" ht="42" hidden="1" customHeight="1" x14ac:dyDescent="0.25">
      <c r="A614" s="199">
        <v>513</v>
      </c>
      <c r="B614" s="200">
        <v>80111600</v>
      </c>
      <c r="C614" s="199" t="str">
        <f>VLOOKUP(PAA[[#This Row],[PROYECTO (formulado)2]],PROYECTOS!$G$1:$L$32,6,0)</f>
        <v>SUBGERENCIA ADMINISTRATIVA Y FINANCIERA</v>
      </c>
      <c r="D614" s="199" t="str">
        <f>+IF(PAA[[#This Row],[UNIDAD DE CONTRATACION (formulado)]]="Subgerencia Administrativa y Financiera","FUNCIONAMIENTO","INVERSIÓN")</f>
        <v>FUNCIONAMIENTO</v>
      </c>
      <c r="E614" s="201" t="str">
        <f>VLOOKUP(Q614,PROYECTOS!$G$1:$K$32,5,0)</f>
        <v>FUNCIONAMIENTO</v>
      </c>
      <c r="F614" s="201">
        <f>VLOOKUP(E614,PROYECTOS!$K$1:$M$32,3,0)</f>
        <v>999999</v>
      </c>
      <c r="G614" s="202" t="s">
        <v>42</v>
      </c>
      <c r="H614" s="202">
        <f>VLOOKUP(Q614,PROYECTOS!$V$1:$W$32,2,0)</f>
        <v>999999</v>
      </c>
      <c r="I614" s="203">
        <v>17095000</v>
      </c>
      <c r="J614" s="204" t="s">
        <v>718</v>
      </c>
      <c r="K614" s="199" t="str">
        <f t="shared" ca="1" si="78"/>
        <v>CONTRATADO</v>
      </c>
      <c r="L614" s="204" t="s">
        <v>112</v>
      </c>
      <c r="M614" s="204" t="s">
        <v>113</v>
      </c>
      <c r="N614" s="205" t="s">
        <v>114</v>
      </c>
      <c r="O614" s="204">
        <f>VLOOKUP(N614,RUBROS[#All],3,0)</f>
        <v>30</v>
      </c>
      <c r="P614" s="206" t="str">
        <f>VLOOKUP(N614,RUBROS[#All],2,0)</f>
        <v xml:space="preserve">Servicios prestados a las empresas y servicios de producción </v>
      </c>
      <c r="Q614" s="199" t="str">
        <f t="shared" si="79"/>
        <v>00</v>
      </c>
      <c r="R614" s="199" t="str">
        <f t="shared" si="80"/>
        <v>0-205616</v>
      </c>
      <c r="S614" s="207">
        <v>5</v>
      </c>
      <c r="T614" s="208" t="s">
        <v>46</v>
      </c>
      <c r="U614" s="209" t="e">
        <f ca="1">_xlfn.XLOOKUP(PAA[[#This Row],[ITEM]],Contrato!A:A,Contrato!Q:Q,"",0)</f>
        <v>#NAME?</v>
      </c>
      <c r="V614" s="199" t="s">
        <v>47</v>
      </c>
      <c r="W614" s="199" t="s">
        <v>48</v>
      </c>
      <c r="X614" s="199" t="s">
        <v>48</v>
      </c>
      <c r="Y614" s="210" t="e">
        <f ca="1">_xlfn.XLOOKUP(PAA[[#This Row],[ITEM]],Contrato!A:A,Contrato!B:B,"",0)</f>
        <v>#NAME?</v>
      </c>
      <c r="Z614" s="199" t="e">
        <f ca="1">_xlfn.XLOOKUP(PAA[[#This Row],[ITEM]],Contrato!A:A,Contrato!G:G,"",0)</f>
        <v>#NAME?</v>
      </c>
      <c r="AA614" s="199" t="e">
        <f ca="1">_xlfn.XLOOKUP(PAA[[#This Row],[ITEM]],Contrato!A:A,Contrato!T:T,"",0)</f>
        <v>#NAME?</v>
      </c>
      <c r="AB614" s="210" t="e">
        <f ca="1">+MAX(PAA[[#This Row],[Comprometido Contrato]],)</f>
        <v>#NAME?</v>
      </c>
      <c r="AC614" s="210" t="str">
        <f t="shared" ca="1" si="91"/>
        <v/>
      </c>
      <c r="AD614" s="210" t="e">
        <f ca="1">+MAX(PAA[[#This Row],[Pago por Contrato]],)</f>
        <v>#NAME?</v>
      </c>
      <c r="AE614" s="210" t="str">
        <f t="shared" ca="1" si="81"/>
        <v/>
      </c>
      <c r="AF614" s="199" t="e">
        <f t="shared" ca="1" si="82"/>
        <v>#NAME?</v>
      </c>
      <c r="AG614" s="199" t="str">
        <f t="shared" si="83"/>
        <v/>
      </c>
      <c r="AH614" s="199" t="e" cm="1">
        <f t="array" aca="1" ref="AH614" ca="1">_xlfn.XLOOKUP(PAA[[#This Row],[RCP-RUBRO]],COMPROMISOS_2025[[#All],[concatenado]],COMPROMISOS_2025[[#All],[Total pagado]],"",0)</f>
        <v>#NAME?</v>
      </c>
      <c r="AI614" s="199" t="e" cm="1">
        <f t="array" aca="1" ref="AI614" ca="1">_xlfn.XLOOKUP(PAA[[#This Row],[RCP-RUBRO]],COMPROMISOS_2025[[#All],[concatenado]],COMPROMISOS_2025[[#All],[Total Comprometido]],"",0)</f>
        <v>#NAME?</v>
      </c>
    </row>
    <row r="615" spans="1:35" s="50" customFormat="1" ht="42" hidden="1" customHeight="1" x14ac:dyDescent="0.25">
      <c r="A615" s="199">
        <v>514</v>
      </c>
      <c r="B615" s="200">
        <v>80111600</v>
      </c>
      <c r="C615" s="199" t="str">
        <f>VLOOKUP(PAA[[#This Row],[PROYECTO (formulado)2]],PROYECTOS!$G$1:$L$32,6,0)</f>
        <v>SUBGERENCIA ADMINISTRATIVA Y FINANCIERA</v>
      </c>
      <c r="D615" s="199" t="str">
        <f>+IF(PAA[[#This Row],[UNIDAD DE CONTRATACION (formulado)]]="Subgerencia Administrativa y Financiera","FUNCIONAMIENTO","INVERSIÓN")</f>
        <v>FUNCIONAMIENTO</v>
      </c>
      <c r="E615" s="201" t="str">
        <f>VLOOKUP(Q615,PROYECTOS!$G$1:$K$32,5,0)</f>
        <v>FUNCIONAMIENTO</v>
      </c>
      <c r="F615" s="201">
        <f>VLOOKUP(E615,PROYECTOS!$K$1:$M$32,3,0)</f>
        <v>999999</v>
      </c>
      <c r="G615" s="202" t="s">
        <v>42</v>
      </c>
      <c r="H615" s="202">
        <f>VLOOKUP(Q615,PROYECTOS!$V$1:$W$32,2,0)</f>
        <v>999999</v>
      </c>
      <c r="I615" s="203">
        <v>40609000</v>
      </c>
      <c r="J615" s="204" t="s">
        <v>719</v>
      </c>
      <c r="K615" s="199" t="str">
        <f t="shared" ca="1" si="78"/>
        <v>CONTRATADO</v>
      </c>
      <c r="L615" s="204" t="s">
        <v>112</v>
      </c>
      <c r="M615" s="204" t="s">
        <v>113</v>
      </c>
      <c r="N615" s="205" t="s">
        <v>114</v>
      </c>
      <c r="O615" s="204">
        <f>VLOOKUP(N615,RUBROS[#All],3,0)</f>
        <v>30</v>
      </c>
      <c r="P615" s="206" t="str">
        <f>VLOOKUP(N615,RUBROS[#All],2,0)</f>
        <v xml:space="preserve">Servicios prestados a las empresas y servicios de producción </v>
      </c>
      <c r="Q615" s="199" t="str">
        <f t="shared" si="79"/>
        <v>00</v>
      </c>
      <c r="R615" s="199" t="str">
        <f t="shared" si="80"/>
        <v>0-205616</v>
      </c>
      <c r="S615" s="207">
        <v>5</v>
      </c>
      <c r="T615" s="208" t="s">
        <v>46</v>
      </c>
      <c r="U615" s="209" t="e">
        <f ca="1">_xlfn.XLOOKUP(PAA[[#This Row],[ITEM]],Contrato!A:A,Contrato!Q:Q,"",0)</f>
        <v>#NAME?</v>
      </c>
      <c r="V615" s="199" t="s">
        <v>47</v>
      </c>
      <c r="W615" s="199" t="s">
        <v>48</v>
      </c>
      <c r="X615" s="199" t="s">
        <v>48</v>
      </c>
      <c r="Y615" s="210" t="e">
        <f ca="1">_xlfn.XLOOKUP(PAA[[#This Row],[ITEM]],Contrato!A:A,Contrato!B:B,"",0)</f>
        <v>#NAME?</v>
      </c>
      <c r="Z615" s="199" t="e">
        <f ca="1">_xlfn.XLOOKUP(PAA[[#This Row],[ITEM]],Contrato!A:A,Contrato!G:G,"",0)</f>
        <v>#NAME?</v>
      </c>
      <c r="AA615" s="199" t="e">
        <f ca="1">_xlfn.XLOOKUP(PAA[[#This Row],[ITEM]],Contrato!A:A,Contrato!T:T,"",0)</f>
        <v>#NAME?</v>
      </c>
      <c r="AB615" s="210" t="e">
        <f ca="1">+MAX(PAA[[#This Row],[Comprometido Contrato]],)</f>
        <v>#NAME?</v>
      </c>
      <c r="AC615" s="210" t="str">
        <f t="shared" ca="1" si="91"/>
        <v/>
      </c>
      <c r="AD615" s="210" t="e">
        <f ca="1">+MAX(PAA[[#This Row],[Pago por Contrato]],)</f>
        <v>#NAME?</v>
      </c>
      <c r="AE615" s="210" t="str">
        <f t="shared" ca="1" si="81"/>
        <v/>
      </c>
      <c r="AF615" s="199" t="e">
        <f t="shared" ca="1" si="82"/>
        <v>#NAME?</v>
      </c>
      <c r="AG615" s="199" t="str">
        <f t="shared" si="83"/>
        <v/>
      </c>
      <c r="AH615" s="199" t="e" cm="1">
        <f t="array" aca="1" ref="AH615" ca="1">_xlfn.XLOOKUP(PAA[[#This Row],[RCP-RUBRO]],COMPROMISOS_2025[[#All],[concatenado]],COMPROMISOS_2025[[#All],[Total pagado]],"",0)</f>
        <v>#NAME?</v>
      </c>
      <c r="AI615" s="199" t="e" cm="1">
        <f t="array" aca="1" ref="AI615" ca="1">_xlfn.XLOOKUP(PAA[[#This Row],[RCP-RUBRO]],COMPROMISOS_2025[[#All],[concatenado]],COMPROMISOS_2025[[#All],[Total Comprometido]],"",0)</f>
        <v>#NAME?</v>
      </c>
    </row>
    <row r="616" spans="1:35" s="50" customFormat="1" ht="42" hidden="1" customHeight="1" x14ac:dyDescent="0.25">
      <c r="A616" s="199">
        <v>515</v>
      </c>
      <c r="B616" s="200">
        <v>80111600</v>
      </c>
      <c r="C616" s="199" t="str">
        <f>VLOOKUP(PAA[[#This Row],[PROYECTO (formulado)2]],PROYECTOS!$G$1:$L$32,6,0)</f>
        <v>SUBGERENCIA ADMINISTRATIVA Y FINANCIERA</v>
      </c>
      <c r="D616" s="199" t="str">
        <f>+IF(PAA[[#This Row],[UNIDAD DE CONTRATACION (formulado)]]="Subgerencia Administrativa y Financiera","FUNCIONAMIENTO","INVERSIÓN")</f>
        <v>FUNCIONAMIENTO</v>
      </c>
      <c r="E616" s="201" t="str">
        <f>VLOOKUP(Q616,PROYECTOS!$G$1:$K$32,5,0)</f>
        <v>Fortalecimiento de los sistemas de información y la gestión estratégica para el deporte, la recreación y la actividad física de Antioquia</v>
      </c>
      <c r="F616" s="201">
        <f>VLOOKUP(E616,PROYECTOS!$K$1:$M$32,3,0)</f>
        <v>2024003050077</v>
      </c>
      <c r="G616" s="202" t="s">
        <v>170</v>
      </c>
      <c r="H616" s="202" t="str">
        <f>VLOOKUP(Q616,PROYECTOS!$V$1:$W$32,2,0)</f>
        <v>220387</v>
      </c>
      <c r="I616" s="203">
        <v>42609000</v>
      </c>
      <c r="J616" s="204" t="s">
        <v>720</v>
      </c>
      <c r="K616" s="199" t="str">
        <f t="shared" ca="1" si="78"/>
        <v>CONTRATADO</v>
      </c>
      <c r="L616" s="204" t="s">
        <v>112</v>
      </c>
      <c r="M616" s="204" t="s">
        <v>113</v>
      </c>
      <c r="N616" s="205" t="s">
        <v>207</v>
      </c>
      <c r="O616" s="204">
        <f>VLOOKUP(N616,RUBROS[#All],3,0)</f>
        <v>54</v>
      </c>
      <c r="P616" s="206" t="str">
        <f>VLOOKUP(N616,RUBROS[#All],2,0)</f>
        <v xml:space="preserve">Fortalecimiento de los sistemas de información y la gestión estratégica para el deporte, la recreación y la actividad física de Antioquia (Comunicaciones) -Servicios prestados a las empresas y servicios de producción </v>
      </c>
      <c r="Q616" s="199" t="str">
        <f t="shared" si="79"/>
        <v>77</v>
      </c>
      <c r="R616" s="199" t="str">
        <f t="shared" si="80"/>
        <v>0-271130</v>
      </c>
      <c r="S616" s="207">
        <v>5</v>
      </c>
      <c r="T616" s="208" t="s">
        <v>46</v>
      </c>
      <c r="U616" s="209" t="e">
        <f ca="1">_xlfn.XLOOKUP(PAA[[#This Row],[ITEM]],Contrato!A:A,Contrato!Q:Q,"",0)</f>
        <v>#NAME?</v>
      </c>
      <c r="V616" s="199" t="s">
        <v>47</v>
      </c>
      <c r="W616" s="199" t="s">
        <v>154</v>
      </c>
      <c r="X616" s="199" t="s">
        <v>154</v>
      </c>
      <c r="Y616" s="210" t="e">
        <f ca="1">_xlfn.XLOOKUP(PAA[[#This Row],[ITEM]],Contrato!A:A,Contrato!B:B,"",0)</f>
        <v>#NAME?</v>
      </c>
      <c r="Z616" s="199" t="e">
        <f ca="1">_xlfn.XLOOKUP(PAA[[#This Row],[ITEM]],Contrato!A:A,Contrato!G:G,"",0)</f>
        <v>#NAME?</v>
      </c>
      <c r="AA616" s="199" t="e">
        <f ca="1">_xlfn.XLOOKUP(PAA[[#This Row],[ITEM]],Contrato!A:A,Contrato!T:T,"",0)</f>
        <v>#NAME?</v>
      </c>
      <c r="AB616" s="210" t="e">
        <f ca="1">+MAX(PAA[[#This Row],[Comprometido Contrato]],)</f>
        <v>#NAME?</v>
      </c>
      <c r="AC616" s="210" t="str">
        <f t="shared" ca="1" si="91"/>
        <v/>
      </c>
      <c r="AD616" s="210" t="e">
        <f ca="1">+MAX(PAA[[#This Row],[Pago por Contrato]],)</f>
        <v>#NAME?</v>
      </c>
      <c r="AE616" s="210" t="str">
        <f t="shared" ca="1" si="81"/>
        <v/>
      </c>
      <c r="AF616" s="199" t="e">
        <f t="shared" ca="1" si="82"/>
        <v>#NAME?</v>
      </c>
      <c r="AG616" s="199">
        <f t="shared" si="83"/>
        <v>52011001</v>
      </c>
      <c r="AH616" s="199" t="e" cm="1">
        <f t="array" aca="1" ref="AH616" ca="1">_xlfn.XLOOKUP(PAA[[#This Row],[RCP-RUBRO]],COMPROMISOS_2025[[#All],[concatenado]],COMPROMISOS_2025[[#All],[Total pagado]],"",0)</f>
        <v>#NAME?</v>
      </c>
      <c r="AI616" s="199" t="e" cm="1">
        <f t="array" aca="1" ref="AI616" ca="1">_xlfn.XLOOKUP(PAA[[#This Row],[RCP-RUBRO]],COMPROMISOS_2025[[#All],[concatenado]],COMPROMISOS_2025[[#All],[Total Comprometido]],"",0)</f>
        <v>#NAME?</v>
      </c>
    </row>
    <row r="617" spans="1:35" s="50" customFormat="1" ht="42" hidden="1" customHeight="1" x14ac:dyDescent="0.25">
      <c r="A617" s="199">
        <v>516</v>
      </c>
      <c r="B617" s="200">
        <v>80111600</v>
      </c>
      <c r="C617" s="199" t="str">
        <f>VLOOKUP(PAA[[#This Row],[PROYECTO (formulado)2]],PROYECTOS!$G$1:$L$32,6,0)</f>
        <v>SUBGERENCIA ADMINISTRATIVA Y FINANCIERA</v>
      </c>
      <c r="D617" s="199" t="str">
        <f>+IF(PAA[[#This Row],[UNIDAD DE CONTRATACION (formulado)]]="Subgerencia Administrativa y Financiera","FUNCIONAMIENTO","INVERSIÓN")</f>
        <v>FUNCIONAMIENTO</v>
      </c>
      <c r="E617" s="201" t="str">
        <f>VLOOKUP(Q617,PROYECTOS!$G$1:$K$32,5,0)</f>
        <v>Fortalecimiento de los sistemas de información y la gestión estratégica para el deporte, la recreación y la actividad física de Antioquia</v>
      </c>
      <c r="F617" s="201">
        <f>VLOOKUP(E617,PROYECTOS!$K$1:$M$32,3,0)</f>
        <v>2024003050077</v>
      </c>
      <c r="G617" s="202" t="s">
        <v>170</v>
      </c>
      <c r="H617" s="202" t="str">
        <f>VLOOKUP(Q617,PROYECTOS!$V$1:$W$32,2,0)</f>
        <v>220387</v>
      </c>
      <c r="I617" s="203">
        <v>20514000</v>
      </c>
      <c r="J617" s="204" t="s">
        <v>721</v>
      </c>
      <c r="K617" s="199" t="str">
        <f t="shared" ca="1" si="78"/>
        <v>CONTRATADO</v>
      </c>
      <c r="L617" s="204" t="s">
        <v>112</v>
      </c>
      <c r="M617" s="204" t="s">
        <v>113</v>
      </c>
      <c r="N617" s="205" t="s">
        <v>207</v>
      </c>
      <c r="O617" s="204">
        <f>VLOOKUP(N617,RUBROS[#All],3,0)</f>
        <v>54</v>
      </c>
      <c r="P617" s="206" t="str">
        <f>VLOOKUP(N617,RUBROS[#All],2,0)</f>
        <v xml:space="preserve">Fortalecimiento de los sistemas de información y la gestión estratégica para el deporte, la recreación y la actividad física de Antioquia (Comunicaciones) -Servicios prestados a las empresas y servicios de producción </v>
      </c>
      <c r="Q617" s="199" t="str">
        <f t="shared" si="79"/>
        <v>77</v>
      </c>
      <c r="R617" s="199" t="str">
        <f t="shared" si="80"/>
        <v>0-271130</v>
      </c>
      <c r="S617" s="207">
        <v>5</v>
      </c>
      <c r="T617" s="208" t="s">
        <v>46</v>
      </c>
      <c r="U617" s="209" t="e">
        <f ca="1">_xlfn.XLOOKUP(PAA[[#This Row],[ITEM]],Contrato!A:A,Contrato!Q:Q,"",0)</f>
        <v>#NAME?</v>
      </c>
      <c r="V617" s="199" t="s">
        <v>47</v>
      </c>
      <c r="W617" s="199" t="s">
        <v>154</v>
      </c>
      <c r="X617" s="199" t="s">
        <v>154</v>
      </c>
      <c r="Y617" s="210" t="e">
        <f ca="1">_xlfn.XLOOKUP(PAA[[#This Row],[ITEM]],Contrato!A:A,Contrato!B:B,"",0)</f>
        <v>#NAME?</v>
      </c>
      <c r="Z617" s="199" t="e">
        <f ca="1">_xlfn.XLOOKUP(PAA[[#This Row],[ITEM]],Contrato!A:A,Contrato!G:G,"",0)</f>
        <v>#NAME?</v>
      </c>
      <c r="AA617" s="199" t="e">
        <f ca="1">_xlfn.XLOOKUP(PAA[[#This Row],[ITEM]],Contrato!A:A,Contrato!T:T,"",0)</f>
        <v>#NAME?</v>
      </c>
      <c r="AB617" s="210" t="e">
        <f ca="1">+MAX(PAA[[#This Row],[Comprometido Contrato]],)</f>
        <v>#NAME?</v>
      </c>
      <c r="AC617" s="210" t="str">
        <f t="shared" ca="1" si="91"/>
        <v/>
      </c>
      <c r="AD617" s="210" t="e">
        <f ca="1">+MAX(PAA[[#This Row],[Pago por Contrato]],)</f>
        <v>#NAME?</v>
      </c>
      <c r="AE617" s="210" t="str">
        <f t="shared" ca="1" si="81"/>
        <v/>
      </c>
      <c r="AF617" s="199" t="e">
        <f t="shared" ca="1" si="82"/>
        <v>#NAME?</v>
      </c>
      <c r="AG617" s="199">
        <f t="shared" si="83"/>
        <v>52011001</v>
      </c>
      <c r="AH617" s="199" t="e" cm="1">
        <f t="array" aca="1" ref="AH617" ca="1">_xlfn.XLOOKUP(PAA[[#This Row],[RCP-RUBRO]],COMPROMISOS_2025[[#All],[concatenado]],COMPROMISOS_2025[[#All],[Total pagado]],"",0)</f>
        <v>#NAME?</v>
      </c>
      <c r="AI617" s="199" t="e" cm="1">
        <f t="array" aca="1" ref="AI617" ca="1">_xlfn.XLOOKUP(PAA[[#This Row],[RCP-RUBRO]],COMPROMISOS_2025[[#All],[concatenado]],COMPROMISOS_2025[[#All],[Total Comprometido]],"",0)</f>
        <v>#NAME?</v>
      </c>
    </row>
    <row r="618" spans="1:35" s="50" customFormat="1" ht="42" hidden="1" customHeight="1" x14ac:dyDescent="0.25">
      <c r="A618" s="199">
        <v>517</v>
      </c>
      <c r="B618" s="212">
        <v>80111600</v>
      </c>
      <c r="C618" s="199" t="str">
        <f>VLOOKUP(PAA[[#This Row],[PROYECTO (formulado)2]],PROYECTOS!$G$1:$L$32,6,0)</f>
        <v>SUBGERENCIA ESCENARIOS DEPORTIVOS Y EQUIPAMIENTOS</v>
      </c>
      <c r="D618" s="199" t="str">
        <f>+IF(PAA[[#This Row],[UNIDAD DE CONTRATACION (formulado)]]="Subgerencia Administrativa y Financiera","FUNCIONAMIENTO","INVERSIÓN")</f>
        <v>INVERSIÓN</v>
      </c>
      <c r="E618" s="201" t="str">
        <f>VLOOKUP(Q618,PROYECTOS!$G$1:$K$32,5,0)</f>
        <v>Mantenimiento, adecuación, mejoras de escenarios deportivos o equipamientos en el departamento de Antioquia</v>
      </c>
      <c r="F618" s="201">
        <f>VLOOKUP(E618,PROYECTOS!$K$1:$M$32,3,0)</f>
        <v>2024003050075</v>
      </c>
      <c r="G618" s="202" t="s">
        <v>245</v>
      </c>
      <c r="H618" s="202" t="str">
        <f>VLOOKUP(Q618,PROYECTOS!$V$1:$W$32,2,0)</f>
        <v>050070</v>
      </c>
      <c r="I618" s="203">
        <f>48823320+27762280</f>
        <v>76585600</v>
      </c>
      <c r="J618" s="204" t="s">
        <v>722</v>
      </c>
      <c r="K618" s="199" t="str">
        <f t="shared" ca="1" si="78"/>
        <v>CONTRATADO</v>
      </c>
      <c r="L618" s="204" t="s">
        <v>112</v>
      </c>
      <c r="M618" s="204" t="s">
        <v>113</v>
      </c>
      <c r="N618" s="205" t="s">
        <v>249</v>
      </c>
      <c r="O618" s="204">
        <f>VLOOKUP(N618,RUBROS[#All],3,0)</f>
        <v>87</v>
      </c>
      <c r="P618" s="199" t="str">
        <f>VLOOKUP(N618,RUBROS[#All],2,0)</f>
        <v xml:space="preserve">Mantenimiento, adecuación, mejoras de escenarios deportivos o equipamientos en el departamento de Antioquia.. - Servicios prestados a las empresas y servicios de producción </v>
      </c>
      <c r="Q618" s="199" t="str">
        <f t="shared" si="79"/>
        <v>75</v>
      </c>
      <c r="R618" s="199" t="str">
        <f t="shared" si="80"/>
        <v>0-101024</v>
      </c>
      <c r="S618" s="207">
        <v>8</v>
      </c>
      <c r="T618" s="213" t="s">
        <v>46</v>
      </c>
      <c r="U618" s="209" t="e">
        <f ca="1">_xlfn.XLOOKUP(PAA[[#This Row],[ITEM]],Contrato!A:A,Contrato!Q:Q,"",0)</f>
        <v>#NAME?</v>
      </c>
      <c r="V618" s="199" t="s">
        <v>47</v>
      </c>
      <c r="W618" s="199" t="s">
        <v>48</v>
      </c>
      <c r="X618" s="199" t="s">
        <v>48</v>
      </c>
      <c r="Y618" s="210" t="e">
        <f ca="1">_xlfn.XLOOKUP(PAA[[#This Row],[ITEM]],Contrato!A:A,Contrato!B:B,"",0)</f>
        <v>#NAME?</v>
      </c>
      <c r="Z618" s="199" t="e">
        <f ca="1">_xlfn.XLOOKUP(PAA[[#This Row],[ITEM]],Contrato!A:A,Contrato!G:G,"",0)</f>
        <v>#NAME?</v>
      </c>
      <c r="AA618" s="199" t="e">
        <f ca="1">_xlfn.XLOOKUP(PAA[[#This Row],[ITEM]],Contrato!A:A,Contrato!T:T,"",0)</f>
        <v>#NAME?</v>
      </c>
      <c r="AB618" s="210" t="e">
        <f ca="1">+MAX(PAA[[#This Row],[Comprometido Contrato]],)</f>
        <v>#NAME?</v>
      </c>
      <c r="AC618" s="210" t="str">
        <f t="shared" ca="1" si="91"/>
        <v/>
      </c>
      <c r="AD618" s="210" t="e">
        <f ca="1">+MAX(PAA[[#This Row],[Pago por Contrato]],)</f>
        <v>#NAME?</v>
      </c>
      <c r="AE618" s="210" t="str">
        <f t="shared" ca="1" si="81"/>
        <v/>
      </c>
      <c r="AF618" s="199" t="e">
        <f t="shared" ca="1" si="82"/>
        <v>#NAME?</v>
      </c>
      <c r="AG618" s="199">
        <f t="shared" si="83"/>
        <v>52010902</v>
      </c>
      <c r="AH618" s="199" t="e" cm="1">
        <f t="array" aca="1" ref="AH618" ca="1">_xlfn.XLOOKUP(PAA[[#This Row],[RCP-RUBRO]],COMPROMISOS_2025[[#All],[concatenado]],COMPROMISOS_2025[[#All],[Total pagado]],"",0)</f>
        <v>#NAME?</v>
      </c>
      <c r="AI618" s="199" t="e" cm="1">
        <f t="array" aca="1" ref="AI618" ca="1">_xlfn.XLOOKUP(PAA[[#This Row],[RCP-RUBRO]],COMPROMISOS_2025[[#All],[concatenado]],COMPROMISOS_2025[[#All],[Total Comprometido]],"",0)</f>
        <v>#NAME?</v>
      </c>
    </row>
    <row r="619" spans="1:35" s="50" customFormat="1" ht="42" hidden="1" customHeight="1" x14ac:dyDescent="0.25">
      <c r="A619" s="199">
        <v>518</v>
      </c>
      <c r="B619" s="212">
        <v>80111600</v>
      </c>
      <c r="C619" s="199" t="str">
        <f>VLOOKUP(PAA[[#This Row],[PROYECTO (formulado)2]],PROYECTOS!$G$1:$L$32,6,0)</f>
        <v>SUBGERENCIA DE FOMENTO Y DESARROLLO</v>
      </c>
      <c r="D619" s="199" t="str">
        <f>+IF(PAA[[#This Row],[UNIDAD DE CONTRATACION (formulado)]]="Subgerencia Administrativa y Financiera","FUNCIONAMIENTO","INVERSIÓN")</f>
        <v>INVERSIÓN</v>
      </c>
      <c r="E619" s="201" t="str">
        <f>VLOOKUP(Q619,PROYECTOS!$G$1:$K$32,5,0)</f>
        <v>Desarrollo y promoción del deporte formativo, la recreación y la actividad física en el departamento Antioquia</v>
      </c>
      <c r="F619" s="201">
        <f>VLOOKUP(E619,PROYECTOS!$K$1:$M$32,3,0)</f>
        <v>2024003050101</v>
      </c>
      <c r="G619" s="202" t="s">
        <v>264</v>
      </c>
      <c r="H619" s="202" t="str">
        <f>VLOOKUP(Q619,PROYECTOS!$V$1:$W$32,2,0)</f>
        <v>050075</v>
      </c>
      <c r="I619" s="203">
        <v>7270400</v>
      </c>
      <c r="J619" s="204" t="s">
        <v>723</v>
      </c>
      <c r="K619" s="199" t="str">
        <f t="shared" ca="1" si="78"/>
        <v>CONTRATADO</v>
      </c>
      <c r="L619" s="204" t="s">
        <v>112</v>
      </c>
      <c r="M619" s="204" t="s">
        <v>113</v>
      </c>
      <c r="N619" s="205" t="s">
        <v>266</v>
      </c>
      <c r="O619" s="204">
        <f>VLOOKUP(N619,RUBROS[#All],3,0)</f>
        <v>70</v>
      </c>
      <c r="P619" s="199" t="str">
        <f>VLOOKUP(N619,RUBROS[#All],2,0)</f>
        <v xml:space="preserve">Desarrollo y promoción del deporte formativo, la recreación y la actividad física en el departamento Antioquia - Servicios prestados a las empresas y servicios de producción </v>
      </c>
      <c r="Q619" s="199" t="str">
        <f t="shared" si="79"/>
        <v>01</v>
      </c>
      <c r="R619" s="199" t="str">
        <f t="shared" si="80"/>
        <v>0-205128</v>
      </c>
      <c r="S619" s="207">
        <v>8</v>
      </c>
      <c r="T619" s="208" t="s">
        <v>46</v>
      </c>
      <c r="U619" s="209" t="e">
        <f ca="1">_xlfn.XLOOKUP(PAA[[#This Row],[ITEM]],Contrato!A:A,Contrato!Q:Q,"",0)</f>
        <v>#NAME?</v>
      </c>
      <c r="V619" s="199" t="s">
        <v>47</v>
      </c>
      <c r="W619" s="199" t="s">
        <v>48</v>
      </c>
      <c r="X619" s="199" t="s">
        <v>48</v>
      </c>
      <c r="Y619" s="210" t="e">
        <f ca="1">_xlfn.XLOOKUP(PAA[[#This Row],[ITEM]],Contrato!A:A,Contrato!B:B,"",0)</f>
        <v>#NAME?</v>
      </c>
      <c r="Z619" s="199" t="e">
        <f ca="1">_xlfn.XLOOKUP(PAA[[#This Row],[ITEM]],Contrato!A:A,Contrato!G:G,"",0)</f>
        <v>#NAME?</v>
      </c>
      <c r="AA619" s="199" t="e">
        <f ca="1">_xlfn.XLOOKUP(PAA[[#This Row],[ITEM]],Contrato!A:A,Contrato!T:T,"",0)</f>
        <v>#NAME?</v>
      </c>
      <c r="AB619" s="210" t="e">
        <f ca="1">+MAX(PAA[[#This Row],[Comprometido Contrato]],)</f>
        <v>#NAME?</v>
      </c>
      <c r="AC619" s="210" t="str">
        <f t="shared" ca="1" si="91"/>
        <v/>
      </c>
      <c r="AD619" s="210" t="e">
        <f ca="1">+MAX(PAA[[#This Row],[Pago por Contrato]],)</f>
        <v>#NAME?</v>
      </c>
      <c r="AE619" s="210" t="str">
        <f t="shared" ca="1" si="81"/>
        <v/>
      </c>
      <c r="AF619" s="199" t="e">
        <f t="shared" ca="1" si="82"/>
        <v>#NAME?</v>
      </c>
      <c r="AG619" s="199">
        <f t="shared" si="83"/>
        <v>52010702</v>
      </c>
      <c r="AH619" s="199" t="e" cm="1">
        <f t="array" aca="1" ref="AH619" ca="1">_xlfn.XLOOKUP(PAA[[#This Row],[RCP-RUBRO]],COMPROMISOS_2025[[#All],[concatenado]],COMPROMISOS_2025[[#All],[Total pagado]],"",0)</f>
        <v>#NAME?</v>
      </c>
      <c r="AI619" s="199" t="e" cm="1">
        <f t="array" aca="1" ref="AI619" ca="1">_xlfn.XLOOKUP(PAA[[#This Row],[RCP-RUBRO]],COMPROMISOS_2025[[#All],[concatenado]],COMPROMISOS_2025[[#All],[Total Comprometido]],"",0)</f>
        <v>#NAME?</v>
      </c>
    </row>
    <row r="620" spans="1:35" s="50" customFormat="1" ht="42" hidden="1" customHeight="1" x14ac:dyDescent="0.25">
      <c r="A620" s="199">
        <v>518</v>
      </c>
      <c r="B620" s="212">
        <v>80111600</v>
      </c>
      <c r="C620" s="199" t="str">
        <f>VLOOKUP(PAA[[#This Row],[PROYECTO (formulado)2]],PROYECTOS!$G$1:$L$32,6,0)</f>
        <v>SUBGERENCIA DE FOMENTO Y DESARROLLO</v>
      </c>
      <c r="D620" s="199" t="str">
        <f>+IF(PAA[[#This Row],[UNIDAD DE CONTRATACION (formulado)]]="Subgerencia Administrativa y Financiera","FUNCIONAMIENTO","INVERSIÓN")</f>
        <v>INVERSIÓN</v>
      </c>
      <c r="E620" s="201" t="str">
        <f>VLOOKUP(Q620,PROYECTOS!$G$1:$K$32,5,0)</f>
        <v>Asesoria y acompañamiento institucional para el deporte formativo, la recreación y la actividad física en el departamento de Antioquia</v>
      </c>
      <c r="F620" s="201">
        <f>VLOOKUP(E620,PROYECTOS!$K$1:$M$32,3,0)</f>
        <v>2024003050100</v>
      </c>
      <c r="G620" s="202" t="s">
        <v>267</v>
      </c>
      <c r="H620" s="202" t="str">
        <f>VLOOKUP(Q620,PROYECTOS!$V$1:$W$32,2,0)</f>
        <v>050071</v>
      </c>
      <c r="I620" s="203">
        <v>7270400</v>
      </c>
      <c r="J620" s="204" t="s">
        <v>723</v>
      </c>
      <c r="K620" s="199" t="str">
        <f t="shared" ca="1" si="78"/>
        <v>CONTRATADO</v>
      </c>
      <c r="L620" s="204" t="s">
        <v>112</v>
      </c>
      <c r="M620" s="204" t="s">
        <v>113</v>
      </c>
      <c r="N620" s="205" t="s">
        <v>268</v>
      </c>
      <c r="O620" s="204">
        <f>VLOOKUP(N620,RUBROS[#All],3,0)</f>
        <v>74</v>
      </c>
      <c r="P620" s="199" t="str">
        <f>VLOOKUP(N620,RUBROS[#All],2,0)</f>
        <v xml:space="preserve">Asesoria y acompañamiento institucional para el deporte formativo, la recreación y la actividad física en el departamento de Antioquia. - Servicios prestados a las empresas y servicios de producción </v>
      </c>
      <c r="Q620" s="199" t="str">
        <f t="shared" si="79"/>
        <v>10</v>
      </c>
      <c r="R620" s="199" t="str">
        <f t="shared" si="80"/>
        <v>0-101024</v>
      </c>
      <c r="S620" s="207">
        <v>8</v>
      </c>
      <c r="T620" s="208" t="s">
        <v>46</v>
      </c>
      <c r="U620" s="209" t="e">
        <f ca="1">_xlfn.XLOOKUP(PAA[[#This Row],[ITEM]],Contrato!A:A,Contrato!Q:Q,"",0)</f>
        <v>#NAME?</v>
      </c>
      <c r="V620" s="199" t="s">
        <v>47</v>
      </c>
      <c r="W620" s="199" t="s">
        <v>48</v>
      </c>
      <c r="X620" s="199" t="s">
        <v>48</v>
      </c>
      <c r="Y620" s="210" t="e">
        <f ca="1">_xlfn.XLOOKUP(PAA[[#This Row],[ITEM]],Contrato!A:A,Contrato!B:B,"",0)</f>
        <v>#NAME?</v>
      </c>
      <c r="Z620" s="199" t="e">
        <f ca="1">_xlfn.XLOOKUP(PAA[[#This Row],[ITEM]],Contrato!A:A,Contrato!G:G,"",0)</f>
        <v>#NAME?</v>
      </c>
      <c r="AA620" s="199" t="e">
        <f ca="1">_xlfn.XLOOKUP(PAA[[#This Row],[ITEM]],Contrato!A:A,Contrato!T:T,"",0)</f>
        <v>#NAME?</v>
      </c>
      <c r="AB620" s="210" t="e">
        <f ca="1">+MAX(PAA[[#This Row],[Comprometido Contrato]],)</f>
        <v>#NAME?</v>
      </c>
      <c r="AC620" s="210" t="str">
        <f t="shared" ca="1" si="91"/>
        <v/>
      </c>
      <c r="AD620" s="210" t="e">
        <f ca="1">+MAX(PAA[[#This Row],[Pago por Contrato]],)</f>
        <v>#NAME?</v>
      </c>
      <c r="AE620" s="210" t="str">
        <f t="shared" ca="1" si="81"/>
        <v/>
      </c>
      <c r="AF620" s="199" t="e">
        <f t="shared" ca="1" si="82"/>
        <v>#NAME?</v>
      </c>
      <c r="AG620" s="199">
        <f t="shared" si="83"/>
        <v>52010705</v>
      </c>
      <c r="AH620" s="199" t="e" cm="1">
        <f t="array" aca="1" ref="AH620" ca="1">_xlfn.XLOOKUP(PAA[[#This Row],[RCP-RUBRO]],COMPROMISOS_2025[[#All],[concatenado]],COMPROMISOS_2025[[#All],[Total pagado]],"",0)</f>
        <v>#NAME?</v>
      </c>
      <c r="AI620" s="199" t="e" cm="1">
        <f t="array" aca="1" ref="AI620" ca="1">_xlfn.XLOOKUP(PAA[[#This Row],[RCP-RUBRO]],COMPROMISOS_2025[[#All],[concatenado]],COMPROMISOS_2025[[#All],[Total Comprometido]],"",0)</f>
        <v>#NAME?</v>
      </c>
    </row>
    <row r="621" spans="1:35" s="50" customFormat="1" ht="42" hidden="1" customHeight="1" x14ac:dyDescent="0.25">
      <c r="A621" s="199">
        <v>518</v>
      </c>
      <c r="B621" s="212">
        <v>80111600</v>
      </c>
      <c r="C621" s="199" t="str">
        <f>VLOOKUP(PAA[[#This Row],[PROYECTO (formulado)2]],PROYECTOS!$G$1:$L$32,6,0)</f>
        <v>SUBGERENCIA DE FOMENTO Y DESARROLLO</v>
      </c>
      <c r="D621" s="199" t="str">
        <f>+IF(PAA[[#This Row],[UNIDAD DE CONTRATACION (formulado)]]="Subgerencia Administrativa y Financiera","FUNCIONAMIENTO","INVERSIÓN")</f>
        <v>INVERSIÓN</v>
      </c>
      <c r="E621" s="201" t="str">
        <f>VLOOKUP(Q621,PROYECTOS!$G$1:$K$32,5,0)</f>
        <v>Capacitación para el sector del deporte, la recreación y la actividad física en el Departamento de   Antioquia</v>
      </c>
      <c r="F621" s="201">
        <f>VLOOKUP(E621,PROYECTOS!$K$1:$M$32,3,0)</f>
        <v>2024003050072</v>
      </c>
      <c r="G621" s="202" t="s">
        <v>269</v>
      </c>
      <c r="H621" s="202" t="str">
        <f>VLOOKUP(Q621,PROYECTOS!$V$1:$W$32,2,0)</f>
        <v>050072</v>
      </c>
      <c r="I621" s="203">
        <v>7270400</v>
      </c>
      <c r="J621" s="204" t="s">
        <v>723</v>
      </c>
      <c r="K621" s="199" t="str">
        <f t="shared" ca="1" si="78"/>
        <v>CONTRATADO</v>
      </c>
      <c r="L621" s="204" t="s">
        <v>112</v>
      </c>
      <c r="M621" s="204" t="s">
        <v>113</v>
      </c>
      <c r="N621" s="205" t="s">
        <v>270</v>
      </c>
      <c r="O621" s="204">
        <f>VLOOKUP(N621,RUBROS[#All],3,0)</f>
        <v>78</v>
      </c>
      <c r="P621" s="199" t="str">
        <f>VLOOKUP(N621,RUBROS[#All],2,0)</f>
        <v xml:space="preserve">Capacitación para el sector del deporte, la recreación y la actividad física en el Departamento de   Antioquia - Servicios prestados a las empresas y servicios de producción </v>
      </c>
      <c r="Q621" s="199" t="str">
        <f t="shared" si="79"/>
        <v>72</v>
      </c>
      <c r="R621" s="199" t="str">
        <f t="shared" si="80"/>
        <v>0-205128</v>
      </c>
      <c r="S621" s="207">
        <v>8</v>
      </c>
      <c r="T621" s="208" t="s">
        <v>46</v>
      </c>
      <c r="U621" s="209" t="e">
        <f ca="1">_xlfn.XLOOKUP(PAA[[#This Row],[ITEM]],Contrato!A:A,Contrato!Q:Q,"",0)</f>
        <v>#NAME?</v>
      </c>
      <c r="V621" s="199" t="s">
        <v>47</v>
      </c>
      <c r="W621" s="199" t="s">
        <v>48</v>
      </c>
      <c r="X621" s="199" t="s">
        <v>48</v>
      </c>
      <c r="Y621" s="210" t="e">
        <f ca="1">_xlfn.XLOOKUP(PAA[[#This Row],[ITEM]],Contrato!A:A,Contrato!B:B,"",0)</f>
        <v>#NAME?</v>
      </c>
      <c r="Z621" s="199" t="e">
        <f ca="1">_xlfn.XLOOKUP(PAA[[#This Row],[ITEM]],Contrato!A:A,Contrato!G:G,"",0)</f>
        <v>#NAME?</v>
      </c>
      <c r="AA621" s="199" t="e">
        <f ca="1">_xlfn.XLOOKUP(PAA[[#This Row],[ITEM]],Contrato!A:A,Contrato!T:T,"",0)</f>
        <v>#NAME?</v>
      </c>
      <c r="AB621" s="210" t="e">
        <f ca="1">+MAX(PAA[[#This Row],[Comprometido Contrato]],)</f>
        <v>#NAME?</v>
      </c>
      <c r="AC621" s="210" t="str">
        <f t="shared" ca="1" si="91"/>
        <v/>
      </c>
      <c r="AD621" s="210" t="e">
        <f ca="1">+MAX(PAA[[#This Row],[Pago por Contrato]],)</f>
        <v>#NAME?</v>
      </c>
      <c r="AE621" s="210" t="str">
        <f t="shared" ca="1" si="81"/>
        <v/>
      </c>
      <c r="AF621" s="199" t="e">
        <f t="shared" ca="1" si="82"/>
        <v>#NAME?</v>
      </c>
      <c r="AG621" s="199">
        <f t="shared" si="83"/>
        <v>52010704</v>
      </c>
      <c r="AH621" s="199" t="e" cm="1">
        <f t="array" aca="1" ref="AH621" ca="1">_xlfn.XLOOKUP(PAA[[#This Row],[RCP-RUBRO]],COMPROMISOS_2025[[#All],[concatenado]],COMPROMISOS_2025[[#All],[Total pagado]],"",0)</f>
        <v>#NAME?</v>
      </c>
      <c r="AI621" s="199" t="e" cm="1">
        <f t="array" aca="1" ref="AI621" ca="1">_xlfn.XLOOKUP(PAA[[#This Row],[RCP-RUBRO]],COMPROMISOS_2025[[#All],[concatenado]],COMPROMISOS_2025[[#All],[Total Comprometido]],"",0)</f>
        <v>#NAME?</v>
      </c>
    </row>
    <row r="622" spans="1:35" s="50" customFormat="1" ht="42" hidden="1" customHeight="1" x14ac:dyDescent="0.25">
      <c r="A622" s="199">
        <v>518</v>
      </c>
      <c r="B622" s="212">
        <v>80111600</v>
      </c>
      <c r="C622" s="199" t="str">
        <f>VLOOKUP(PAA[[#This Row],[PROYECTO (formulado)2]],PROYECTOS!$G$1:$L$32,6,0)</f>
        <v>SUBGERENCIA DE FOMENTO Y DESARROLLO</v>
      </c>
      <c r="D622" s="199" t="str">
        <f>+IF(PAA[[#This Row],[UNIDAD DE CONTRATACION (formulado)]]="Subgerencia Administrativa y Financiera","FUNCIONAMIENTO","INVERSIÓN")</f>
        <v>INVERSIÓN</v>
      </c>
      <c r="E622" s="201" t="str">
        <f>VLOOKUP(Q622,PROYECTOS!$G$1:$K$32,5,0)</f>
        <v>Fortalecimiento de los juegos deportivos institucionales en los municipios del departamento de Antioquia</v>
      </c>
      <c r="F622" s="201">
        <f>VLOOKUP(E622,PROYECTOS!$K$1:$M$32,3,0)</f>
        <v>2024003050073</v>
      </c>
      <c r="G622" s="202" t="s">
        <v>271</v>
      </c>
      <c r="H622" s="202" t="str">
        <f>VLOOKUP(Q622,PROYECTOS!$V$1:$W$32,2,0)</f>
        <v>050081</v>
      </c>
      <c r="I622" s="203">
        <v>7270400</v>
      </c>
      <c r="J622" s="204" t="s">
        <v>723</v>
      </c>
      <c r="K622" s="199" t="str">
        <f t="shared" ref="K622:K685" ca="1" si="92">IF(ISNONTEXT(Y622)=TRUE,"CONTRATADO","NO CONTRATADO")</f>
        <v>CONTRATADO</v>
      </c>
      <c r="L622" s="204" t="s">
        <v>112</v>
      </c>
      <c r="M622" s="204" t="s">
        <v>113</v>
      </c>
      <c r="N622" s="205" t="s">
        <v>272</v>
      </c>
      <c r="O622" s="204">
        <f>VLOOKUP(N622,RUBROS[#All],3,0)</f>
        <v>81</v>
      </c>
      <c r="P622" s="199" t="str">
        <f>VLOOKUP(N622,RUBROS[#All],2,0)</f>
        <v xml:space="preserve">Fortalecimiento de los juegos deportivos institucionales en los municipios del departamento de Antioquia - Servicios prestados a las empresas y servicios de producción </v>
      </c>
      <c r="Q622" s="199" t="str">
        <f t="shared" ref="Q622:Q685" si="93">+MID(N622,11,2)</f>
        <v>73</v>
      </c>
      <c r="R622" s="199" t="str">
        <f t="shared" ref="R622:R685" si="94">+MID(N622,14,8)</f>
        <v>0-205128</v>
      </c>
      <c r="S622" s="207">
        <v>8</v>
      </c>
      <c r="T622" s="208" t="s">
        <v>46</v>
      </c>
      <c r="U622" s="209" t="e">
        <f ca="1">_xlfn.XLOOKUP(PAA[[#This Row],[ITEM]],Contrato!A:A,Contrato!Q:Q,"",0)</f>
        <v>#NAME?</v>
      </c>
      <c r="V622" s="199" t="s">
        <v>47</v>
      </c>
      <c r="W622" s="199" t="s">
        <v>48</v>
      </c>
      <c r="X622" s="199" t="s">
        <v>48</v>
      </c>
      <c r="Y622" s="210" t="e">
        <f ca="1">_xlfn.XLOOKUP(PAA[[#This Row],[ITEM]],Contrato!A:A,Contrato!B:B,"",0)</f>
        <v>#NAME?</v>
      </c>
      <c r="Z622" s="199" t="e">
        <f ca="1">_xlfn.XLOOKUP(PAA[[#This Row],[ITEM]],Contrato!A:A,Contrato!G:G,"",0)</f>
        <v>#NAME?</v>
      </c>
      <c r="AA622" s="199" t="e">
        <f ca="1">_xlfn.XLOOKUP(PAA[[#This Row],[ITEM]],Contrato!A:A,Contrato!T:T,"",0)</f>
        <v>#NAME?</v>
      </c>
      <c r="AB622" s="210" t="e">
        <f ca="1">+MAX(PAA[[#This Row],[Comprometido Contrato]],)</f>
        <v>#NAME?</v>
      </c>
      <c r="AC622" s="210" t="str">
        <f t="shared" ca="1" si="91"/>
        <v/>
      </c>
      <c r="AD622" s="210" t="e">
        <f ca="1">+MAX(PAA[[#This Row],[Pago por Contrato]],)</f>
        <v>#NAME?</v>
      </c>
      <c r="AE622" s="210" t="str">
        <f t="shared" ref="AE622:AE685" ca="1" si="95">+IFERROR(AB622-AD622,"")</f>
        <v/>
      </c>
      <c r="AF622" s="199" t="e">
        <f t="shared" ref="AF622:AF685" ca="1" si="96">+CONCATENATE(AA622,N622)</f>
        <v>#NAME?</v>
      </c>
      <c r="AG622" s="199">
        <f t="shared" ref="AG622:AG685" si="97">IFERROR(_xlfn.NUMBERVALUE(MID(G622,1,8)),"")</f>
        <v>52010703</v>
      </c>
      <c r="AH622" s="199" t="e" cm="1">
        <f t="array" aca="1" ref="AH622" ca="1">_xlfn.XLOOKUP(PAA[[#This Row],[RCP-RUBRO]],COMPROMISOS_2025[[#All],[concatenado]],COMPROMISOS_2025[[#All],[Total pagado]],"",0)</f>
        <v>#NAME?</v>
      </c>
      <c r="AI622" s="199" t="e" cm="1">
        <f t="array" aca="1" ref="AI622" ca="1">_xlfn.XLOOKUP(PAA[[#This Row],[RCP-RUBRO]],COMPROMISOS_2025[[#All],[concatenado]],COMPROMISOS_2025[[#All],[Total Comprometido]],"",0)</f>
        <v>#NAME?</v>
      </c>
    </row>
    <row r="623" spans="1:35" s="50" customFormat="1" ht="42" hidden="1" customHeight="1" x14ac:dyDescent="0.25">
      <c r="A623" s="199">
        <v>518</v>
      </c>
      <c r="B623" s="212">
        <v>80111600</v>
      </c>
      <c r="C623" s="199" t="str">
        <f>VLOOKUP(PAA[[#This Row],[PROYECTO (formulado)2]],PROYECTOS!$G$1:$L$32,6,0)</f>
        <v>SUBGERENCIA DE FOMENTO Y DESARROLLO</v>
      </c>
      <c r="D623" s="199" t="str">
        <f>+IF(PAA[[#This Row],[UNIDAD DE CONTRATACION (formulado)]]="Subgerencia Administrativa y Financiera","FUNCIONAMIENTO","INVERSIÓN")</f>
        <v>INVERSIÓN</v>
      </c>
      <c r="E623" s="201" t="str">
        <f>VLOOKUP(Q623,PROYECTOS!$G$1:$K$32,5,0)</f>
        <v>Cofinanciación de dotación de implementación para el deporte la recreación y a la actividad física en el departamento de Antioquia</v>
      </c>
      <c r="F623" s="201">
        <f>VLOOKUP(E623,PROYECTOS!$K$1:$M$32,3,0)</f>
        <v>2024003050074</v>
      </c>
      <c r="G623" s="202" t="s">
        <v>273</v>
      </c>
      <c r="H623" s="202" t="str">
        <f>VLOOKUP(Q623,PROYECTOS!$V$1:$W$32,2,0)</f>
        <v>050073</v>
      </c>
      <c r="I623" s="203">
        <v>7270400</v>
      </c>
      <c r="J623" s="204" t="s">
        <v>723</v>
      </c>
      <c r="K623" s="199" t="str">
        <f t="shared" ca="1" si="92"/>
        <v>CONTRATADO</v>
      </c>
      <c r="L623" s="204" t="s">
        <v>112</v>
      </c>
      <c r="M623" s="204" t="s">
        <v>113</v>
      </c>
      <c r="N623" s="205" t="s">
        <v>274</v>
      </c>
      <c r="O623" s="204">
        <f>VLOOKUP(N623,RUBROS[#All],3,0)</f>
        <v>85</v>
      </c>
      <c r="P623" s="199" t="str">
        <f>VLOOKUP(N623,RUBROS[#All],2,0)</f>
        <v xml:space="preserve">Cofinanciación de dotación de implementación para el deporte la recreación y a la actividad física en el departamento de Antioquia - Servicios prestados a las empresas y servicios de producción </v>
      </c>
      <c r="Q623" s="199" t="str">
        <f t="shared" si="93"/>
        <v>74</v>
      </c>
      <c r="R623" s="199" t="str">
        <f t="shared" si="94"/>
        <v>0-101024</v>
      </c>
      <c r="S623" s="207">
        <v>8</v>
      </c>
      <c r="T623" s="208" t="s">
        <v>46</v>
      </c>
      <c r="U623" s="209" t="e">
        <f ca="1">_xlfn.XLOOKUP(PAA[[#This Row],[ITEM]],Contrato!A:A,Contrato!Q:Q,"",0)</f>
        <v>#NAME?</v>
      </c>
      <c r="V623" s="199" t="s">
        <v>47</v>
      </c>
      <c r="W623" s="199" t="s">
        <v>48</v>
      </c>
      <c r="X623" s="199" t="s">
        <v>48</v>
      </c>
      <c r="Y623" s="210" t="e">
        <f ca="1">_xlfn.XLOOKUP(PAA[[#This Row],[ITEM]],Contrato!A:A,Contrato!B:B,"",0)</f>
        <v>#NAME?</v>
      </c>
      <c r="Z623" s="199" t="e">
        <f ca="1">_xlfn.XLOOKUP(PAA[[#This Row],[ITEM]],Contrato!A:A,Contrato!G:G,"",0)</f>
        <v>#NAME?</v>
      </c>
      <c r="AA623" s="199" t="e">
        <f ca="1">_xlfn.XLOOKUP(PAA[[#This Row],[ITEM]],Contrato!A:A,Contrato!T:T,"",0)</f>
        <v>#NAME?</v>
      </c>
      <c r="AB623" s="210" t="e">
        <f ca="1">+MAX(PAA[[#This Row],[Comprometido Contrato]],)</f>
        <v>#NAME?</v>
      </c>
      <c r="AC623" s="210" t="str">
        <f t="shared" ca="1" si="91"/>
        <v/>
      </c>
      <c r="AD623" s="210" t="e">
        <f ca="1">+MAX(PAA[[#This Row],[Pago por Contrato]],)</f>
        <v>#NAME?</v>
      </c>
      <c r="AE623" s="210" t="str">
        <f t="shared" ca="1" si="95"/>
        <v/>
      </c>
      <c r="AF623" s="199" t="e">
        <f t="shared" ca="1" si="96"/>
        <v>#NAME?</v>
      </c>
      <c r="AG623" s="199">
        <f t="shared" si="97"/>
        <v>52010701</v>
      </c>
      <c r="AH623" s="199" t="e" cm="1">
        <f t="array" aca="1" ref="AH623" ca="1">_xlfn.XLOOKUP(PAA[[#This Row],[RCP-RUBRO]],COMPROMISOS_2025[[#All],[concatenado]],COMPROMISOS_2025[[#All],[Total pagado]],"",0)</f>
        <v>#NAME?</v>
      </c>
      <c r="AI623" s="199" t="e" cm="1">
        <f t="array" aca="1" ref="AI623" ca="1">_xlfn.XLOOKUP(PAA[[#This Row],[RCP-RUBRO]],COMPROMISOS_2025[[#All],[concatenado]],COMPROMISOS_2025[[#All],[Total Comprometido]],"",0)</f>
        <v>#NAME?</v>
      </c>
    </row>
    <row r="624" spans="1:35" s="50" customFormat="1" ht="42" hidden="1" customHeight="1" x14ac:dyDescent="0.25">
      <c r="A624" s="199">
        <v>519</v>
      </c>
      <c r="B624" s="212">
        <v>80111600</v>
      </c>
      <c r="C624" s="199" t="str">
        <f>VLOOKUP(PAA[[#This Row],[PROYECTO (formulado)2]],PROYECTOS!$G$1:$L$32,6,0)</f>
        <v>SUBGERENCIA DE FOMENTO Y DESARROLLO</v>
      </c>
      <c r="D624" s="199" t="str">
        <f>+IF(PAA[[#This Row],[UNIDAD DE CONTRATACION (formulado)]]="Subgerencia Administrativa y Financiera","FUNCIONAMIENTO","INVERSIÓN")</f>
        <v>INVERSIÓN</v>
      </c>
      <c r="E624" s="201" t="str">
        <f>VLOOKUP(Q624,PROYECTOS!$G$1:$K$32,5,0)</f>
        <v>Desarrollo y promoción del deporte formativo, la recreación y la actividad física en el departamento Antioquia</v>
      </c>
      <c r="F624" s="201">
        <f>VLOOKUP(E624,PROYECTOS!$K$1:$M$32,3,0)</f>
        <v>2024003050101</v>
      </c>
      <c r="G624" s="202" t="s">
        <v>264</v>
      </c>
      <c r="H624" s="202" t="str">
        <f>VLOOKUP(Q624,PROYECTOS!$V$1:$W$32,2,0)</f>
        <v>050075</v>
      </c>
      <c r="I624" s="203">
        <v>12034880</v>
      </c>
      <c r="J624" s="204" t="s">
        <v>724</v>
      </c>
      <c r="K624" s="199" t="str">
        <f t="shared" ca="1" si="92"/>
        <v>CONTRATADO</v>
      </c>
      <c r="L624" s="204" t="s">
        <v>112</v>
      </c>
      <c r="M624" s="204" t="s">
        <v>113</v>
      </c>
      <c r="N624" s="205" t="s">
        <v>266</v>
      </c>
      <c r="O624" s="204">
        <f>VLOOKUP(N624,RUBROS[#All],3,0)</f>
        <v>70</v>
      </c>
      <c r="P624" s="199" t="str">
        <f>VLOOKUP(N624,RUBROS[#All],2,0)</f>
        <v xml:space="preserve">Desarrollo y promoción del deporte formativo, la recreación y la actividad física en el departamento Antioquia - Servicios prestados a las empresas y servicios de producción </v>
      </c>
      <c r="Q624" s="199" t="str">
        <f t="shared" si="93"/>
        <v>01</v>
      </c>
      <c r="R624" s="199" t="str">
        <f t="shared" si="94"/>
        <v>0-205128</v>
      </c>
      <c r="S624" s="207">
        <v>8</v>
      </c>
      <c r="T624" s="208" t="s">
        <v>46</v>
      </c>
      <c r="U624" s="209" t="e">
        <f ca="1">_xlfn.XLOOKUP(PAA[[#This Row],[ITEM]],Contrato!A:A,Contrato!Q:Q,"",0)</f>
        <v>#NAME?</v>
      </c>
      <c r="V624" s="199" t="s">
        <v>47</v>
      </c>
      <c r="W624" s="199" t="s">
        <v>48</v>
      </c>
      <c r="X624" s="199" t="s">
        <v>48</v>
      </c>
      <c r="Y624" s="210" t="e">
        <f ca="1">_xlfn.XLOOKUP(PAA[[#This Row],[ITEM]],Contrato!A:A,Contrato!B:B,"",0)</f>
        <v>#NAME?</v>
      </c>
      <c r="Z624" s="199" t="e">
        <f ca="1">_xlfn.XLOOKUP(PAA[[#This Row],[ITEM]],Contrato!A:A,Contrato!G:G,"",0)</f>
        <v>#NAME?</v>
      </c>
      <c r="AA624" s="199" t="e">
        <f ca="1">_xlfn.XLOOKUP(PAA[[#This Row],[ITEM]],Contrato!A:A,Contrato!T:T,"",0)</f>
        <v>#NAME?</v>
      </c>
      <c r="AB624" s="210" t="e">
        <f ca="1">+MAX(PAA[[#This Row],[Comprometido Contrato]],)</f>
        <v>#NAME?</v>
      </c>
      <c r="AC624" s="210" t="str">
        <f t="shared" ca="1" si="91"/>
        <v/>
      </c>
      <c r="AD624" s="210" t="e">
        <f ca="1">+MAX(PAA[[#This Row],[Pago por Contrato]],)</f>
        <v>#NAME?</v>
      </c>
      <c r="AE624" s="210" t="str">
        <f t="shared" ca="1" si="95"/>
        <v/>
      </c>
      <c r="AF624" s="199" t="e">
        <f t="shared" ca="1" si="96"/>
        <v>#NAME?</v>
      </c>
      <c r="AG624" s="199">
        <f t="shared" si="97"/>
        <v>52010702</v>
      </c>
      <c r="AH624" s="199" t="e" cm="1">
        <f t="array" aca="1" ref="AH624" ca="1">_xlfn.XLOOKUP(PAA[[#This Row],[RCP-RUBRO]],COMPROMISOS_2025[[#All],[concatenado]],COMPROMISOS_2025[[#All],[Total pagado]],"",0)</f>
        <v>#NAME?</v>
      </c>
      <c r="AI624" s="199" t="e" cm="1">
        <f t="array" aca="1" ref="AI624" ca="1">_xlfn.XLOOKUP(PAA[[#This Row],[RCP-RUBRO]],COMPROMISOS_2025[[#All],[concatenado]],COMPROMISOS_2025[[#All],[Total Comprometido]],"",0)</f>
        <v>#NAME?</v>
      </c>
    </row>
    <row r="625" spans="1:35" s="50" customFormat="1" ht="42" hidden="1" customHeight="1" x14ac:dyDescent="0.25">
      <c r="A625" s="199">
        <v>519</v>
      </c>
      <c r="B625" s="212">
        <v>80111600</v>
      </c>
      <c r="C625" s="199" t="str">
        <f>VLOOKUP(PAA[[#This Row],[PROYECTO (formulado)2]],PROYECTOS!$G$1:$L$32,6,0)</f>
        <v>SUBGERENCIA DE FOMENTO Y DESARROLLO</v>
      </c>
      <c r="D625" s="199" t="str">
        <f>+IF(PAA[[#This Row],[UNIDAD DE CONTRATACION (formulado)]]="Subgerencia Administrativa y Financiera","FUNCIONAMIENTO","INVERSIÓN")</f>
        <v>INVERSIÓN</v>
      </c>
      <c r="E625" s="201" t="str">
        <f>VLOOKUP(Q625,PROYECTOS!$G$1:$K$32,5,0)</f>
        <v>Asesoria y acompañamiento institucional para el deporte formativo, la recreación y la actividad física en el departamento de Antioquia</v>
      </c>
      <c r="F625" s="201">
        <f>VLOOKUP(E625,PROYECTOS!$K$1:$M$32,3,0)</f>
        <v>2024003050100</v>
      </c>
      <c r="G625" s="202" t="s">
        <v>267</v>
      </c>
      <c r="H625" s="202" t="str">
        <f>VLOOKUP(Q625,PROYECTOS!$V$1:$W$32,2,0)</f>
        <v>050071</v>
      </c>
      <c r="I625" s="203">
        <v>12034880</v>
      </c>
      <c r="J625" s="204" t="s">
        <v>724</v>
      </c>
      <c r="K625" s="199" t="str">
        <f t="shared" ca="1" si="92"/>
        <v>CONTRATADO</v>
      </c>
      <c r="L625" s="204" t="s">
        <v>112</v>
      </c>
      <c r="M625" s="204" t="s">
        <v>113</v>
      </c>
      <c r="N625" s="205" t="s">
        <v>268</v>
      </c>
      <c r="O625" s="204">
        <f>VLOOKUP(N625,RUBROS[#All],3,0)</f>
        <v>74</v>
      </c>
      <c r="P625" s="199" t="str">
        <f>VLOOKUP(N625,RUBROS[#All],2,0)</f>
        <v xml:space="preserve">Asesoria y acompañamiento institucional para el deporte formativo, la recreación y la actividad física en el departamento de Antioquia. - Servicios prestados a las empresas y servicios de producción </v>
      </c>
      <c r="Q625" s="199" t="str">
        <f t="shared" si="93"/>
        <v>10</v>
      </c>
      <c r="R625" s="199" t="str">
        <f t="shared" si="94"/>
        <v>0-101024</v>
      </c>
      <c r="S625" s="207">
        <v>8</v>
      </c>
      <c r="T625" s="208" t="s">
        <v>46</v>
      </c>
      <c r="U625" s="209" t="e">
        <f ca="1">_xlfn.XLOOKUP(PAA[[#This Row],[ITEM]],Contrato!A:A,Contrato!Q:Q,"",0)</f>
        <v>#NAME?</v>
      </c>
      <c r="V625" s="199" t="s">
        <v>47</v>
      </c>
      <c r="W625" s="199" t="s">
        <v>48</v>
      </c>
      <c r="X625" s="199" t="s">
        <v>48</v>
      </c>
      <c r="Y625" s="210" t="e">
        <f ca="1">_xlfn.XLOOKUP(PAA[[#This Row],[ITEM]],Contrato!A:A,Contrato!B:B,"",0)</f>
        <v>#NAME?</v>
      </c>
      <c r="Z625" s="199" t="e">
        <f ca="1">_xlfn.XLOOKUP(PAA[[#This Row],[ITEM]],Contrato!A:A,Contrato!G:G,"",0)</f>
        <v>#NAME?</v>
      </c>
      <c r="AA625" s="199" t="e">
        <f ca="1">_xlfn.XLOOKUP(PAA[[#This Row],[ITEM]],Contrato!A:A,Contrato!T:T,"",0)</f>
        <v>#NAME?</v>
      </c>
      <c r="AB625" s="210" t="e">
        <f ca="1">+MAX(PAA[[#This Row],[Comprometido Contrato]],)</f>
        <v>#NAME?</v>
      </c>
      <c r="AC625" s="210" t="str">
        <f t="shared" ca="1" si="91"/>
        <v/>
      </c>
      <c r="AD625" s="210" t="e">
        <f ca="1">+MAX(PAA[[#This Row],[Pago por Contrato]],)</f>
        <v>#NAME?</v>
      </c>
      <c r="AE625" s="210" t="str">
        <f t="shared" ca="1" si="95"/>
        <v/>
      </c>
      <c r="AF625" s="199" t="e">
        <f t="shared" ca="1" si="96"/>
        <v>#NAME?</v>
      </c>
      <c r="AG625" s="199">
        <f t="shared" si="97"/>
        <v>52010705</v>
      </c>
      <c r="AH625" s="199" t="e" cm="1">
        <f t="array" aca="1" ref="AH625" ca="1">_xlfn.XLOOKUP(PAA[[#This Row],[RCP-RUBRO]],COMPROMISOS_2025[[#All],[concatenado]],COMPROMISOS_2025[[#All],[Total pagado]],"",0)</f>
        <v>#NAME?</v>
      </c>
      <c r="AI625" s="199" t="e" cm="1">
        <f t="array" aca="1" ref="AI625" ca="1">_xlfn.XLOOKUP(PAA[[#This Row],[RCP-RUBRO]],COMPROMISOS_2025[[#All],[concatenado]],COMPROMISOS_2025[[#All],[Total Comprometido]],"",0)</f>
        <v>#NAME?</v>
      </c>
    </row>
    <row r="626" spans="1:35" s="50" customFormat="1" ht="42" hidden="1" customHeight="1" x14ac:dyDescent="0.25">
      <c r="A626" s="199">
        <v>519</v>
      </c>
      <c r="B626" s="212">
        <v>80111600</v>
      </c>
      <c r="C626" s="199" t="str">
        <f>VLOOKUP(PAA[[#This Row],[PROYECTO (formulado)2]],PROYECTOS!$G$1:$L$32,6,0)</f>
        <v>SUBGERENCIA DE FOMENTO Y DESARROLLO</v>
      </c>
      <c r="D626" s="199" t="str">
        <f>+IF(PAA[[#This Row],[UNIDAD DE CONTRATACION (formulado)]]="Subgerencia Administrativa y Financiera","FUNCIONAMIENTO","INVERSIÓN")</f>
        <v>INVERSIÓN</v>
      </c>
      <c r="E626" s="201" t="str">
        <f>VLOOKUP(Q626,PROYECTOS!$G$1:$K$32,5,0)</f>
        <v>Capacitación para el sector del deporte, la recreación y la actividad física en el Departamento de   Antioquia</v>
      </c>
      <c r="F626" s="201">
        <f>VLOOKUP(E626,PROYECTOS!$K$1:$M$32,3,0)</f>
        <v>2024003050072</v>
      </c>
      <c r="G626" s="202" t="s">
        <v>269</v>
      </c>
      <c r="H626" s="202" t="str">
        <f>VLOOKUP(Q626,PROYECTOS!$V$1:$W$32,2,0)</f>
        <v>050072</v>
      </c>
      <c r="I626" s="203">
        <v>12034880</v>
      </c>
      <c r="J626" s="204" t="s">
        <v>724</v>
      </c>
      <c r="K626" s="199" t="str">
        <f t="shared" ca="1" si="92"/>
        <v>CONTRATADO</v>
      </c>
      <c r="L626" s="204" t="s">
        <v>112</v>
      </c>
      <c r="M626" s="204" t="s">
        <v>113</v>
      </c>
      <c r="N626" s="205" t="s">
        <v>270</v>
      </c>
      <c r="O626" s="204">
        <f>VLOOKUP(N626,RUBROS[#All],3,0)</f>
        <v>78</v>
      </c>
      <c r="P626" s="199" t="str">
        <f>VLOOKUP(N626,RUBROS[#All],2,0)</f>
        <v xml:space="preserve">Capacitación para el sector del deporte, la recreación y la actividad física en el Departamento de   Antioquia - Servicios prestados a las empresas y servicios de producción </v>
      </c>
      <c r="Q626" s="199" t="str">
        <f t="shared" si="93"/>
        <v>72</v>
      </c>
      <c r="R626" s="199" t="str">
        <f t="shared" si="94"/>
        <v>0-205128</v>
      </c>
      <c r="S626" s="207">
        <v>8</v>
      </c>
      <c r="T626" s="208" t="s">
        <v>46</v>
      </c>
      <c r="U626" s="209" t="e">
        <f ca="1">_xlfn.XLOOKUP(PAA[[#This Row],[ITEM]],Contrato!A:A,Contrato!Q:Q,"",0)</f>
        <v>#NAME?</v>
      </c>
      <c r="V626" s="199" t="s">
        <v>47</v>
      </c>
      <c r="W626" s="199" t="s">
        <v>48</v>
      </c>
      <c r="X626" s="199" t="s">
        <v>48</v>
      </c>
      <c r="Y626" s="210" t="e">
        <f ca="1">_xlfn.XLOOKUP(PAA[[#This Row],[ITEM]],Contrato!A:A,Contrato!B:B,"",0)</f>
        <v>#NAME?</v>
      </c>
      <c r="Z626" s="199" t="e">
        <f ca="1">_xlfn.XLOOKUP(PAA[[#This Row],[ITEM]],Contrato!A:A,Contrato!G:G,"",0)</f>
        <v>#NAME?</v>
      </c>
      <c r="AA626" s="199" t="e">
        <f ca="1">_xlfn.XLOOKUP(PAA[[#This Row],[ITEM]],Contrato!A:A,Contrato!T:T,"",0)</f>
        <v>#NAME?</v>
      </c>
      <c r="AB626" s="210" t="e">
        <f ca="1">+MAX(PAA[[#This Row],[Comprometido Contrato]],)</f>
        <v>#NAME?</v>
      </c>
      <c r="AC626" s="210" t="str">
        <f t="shared" ca="1" si="91"/>
        <v/>
      </c>
      <c r="AD626" s="210" t="e">
        <f ca="1">+MAX(PAA[[#This Row],[Pago por Contrato]],)</f>
        <v>#NAME?</v>
      </c>
      <c r="AE626" s="210" t="str">
        <f t="shared" ca="1" si="95"/>
        <v/>
      </c>
      <c r="AF626" s="199" t="e">
        <f t="shared" ca="1" si="96"/>
        <v>#NAME?</v>
      </c>
      <c r="AG626" s="199">
        <f t="shared" si="97"/>
        <v>52010704</v>
      </c>
      <c r="AH626" s="199" t="e" cm="1">
        <f t="array" aca="1" ref="AH626" ca="1">_xlfn.XLOOKUP(PAA[[#This Row],[RCP-RUBRO]],COMPROMISOS_2025[[#All],[concatenado]],COMPROMISOS_2025[[#All],[Total pagado]],"",0)</f>
        <v>#NAME?</v>
      </c>
      <c r="AI626" s="199" t="e" cm="1">
        <f t="array" aca="1" ref="AI626" ca="1">_xlfn.XLOOKUP(PAA[[#This Row],[RCP-RUBRO]],COMPROMISOS_2025[[#All],[concatenado]],COMPROMISOS_2025[[#All],[Total Comprometido]],"",0)</f>
        <v>#NAME?</v>
      </c>
    </row>
    <row r="627" spans="1:35" s="50" customFormat="1" ht="42" hidden="1" customHeight="1" x14ac:dyDescent="0.25">
      <c r="A627" s="199">
        <v>519</v>
      </c>
      <c r="B627" s="212">
        <v>80111600</v>
      </c>
      <c r="C627" s="199" t="str">
        <f>VLOOKUP(PAA[[#This Row],[PROYECTO (formulado)2]],PROYECTOS!$G$1:$L$32,6,0)</f>
        <v>SUBGERENCIA DE FOMENTO Y DESARROLLO</v>
      </c>
      <c r="D627" s="199" t="str">
        <f>+IF(PAA[[#This Row],[UNIDAD DE CONTRATACION (formulado)]]="Subgerencia Administrativa y Financiera","FUNCIONAMIENTO","INVERSIÓN")</f>
        <v>INVERSIÓN</v>
      </c>
      <c r="E627" s="201" t="str">
        <f>VLOOKUP(Q627,PROYECTOS!$G$1:$K$32,5,0)</f>
        <v>Fortalecimiento de los juegos deportivos institucionales en los municipios del departamento de Antioquia</v>
      </c>
      <c r="F627" s="201">
        <f>VLOOKUP(E627,PROYECTOS!$K$1:$M$32,3,0)</f>
        <v>2024003050073</v>
      </c>
      <c r="G627" s="202" t="s">
        <v>271</v>
      </c>
      <c r="H627" s="202" t="str">
        <f>VLOOKUP(Q627,PROYECTOS!$V$1:$W$32,2,0)</f>
        <v>050081</v>
      </c>
      <c r="I627" s="203">
        <v>12034880</v>
      </c>
      <c r="J627" s="204" t="s">
        <v>724</v>
      </c>
      <c r="K627" s="199" t="str">
        <f t="shared" ca="1" si="92"/>
        <v>CONTRATADO</v>
      </c>
      <c r="L627" s="204" t="s">
        <v>112</v>
      </c>
      <c r="M627" s="204" t="s">
        <v>113</v>
      </c>
      <c r="N627" s="205" t="s">
        <v>272</v>
      </c>
      <c r="O627" s="204">
        <f>VLOOKUP(N627,RUBROS[#All],3,0)</f>
        <v>81</v>
      </c>
      <c r="P627" s="199" t="str">
        <f>VLOOKUP(N627,RUBROS[#All],2,0)</f>
        <v xml:space="preserve">Fortalecimiento de los juegos deportivos institucionales en los municipios del departamento de Antioquia - Servicios prestados a las empresas y servicios de producción </v>
      </c>
      <c r="Q627" s="199" t="str">
        <f t="shared" si="93"/>
        <v>73</v>
      </c>
      <c r="R627" s="199" t="str">
        <f t="shared" si="94"/>
        <v>0-205128</v>
      </c>
      <c r="S627" s="207">
        <v>8</v>
      </c>
      <c r="T627" s="208" t="s">
        <v>46</v>
      </c>
      <c r="U627" s="209" t="e">
        <f ca="1">_xlfn.XLOOKUP(PAA[[#This Row],[ITEM]],Contrato!A:A,Contrato!Q:Q,"",0)</f>
        <v>#NAME?</v>
      </c>
      <c r="V627" s="199" t="s">
        <v>47</v>
      </c>
      <c r="W627" s="199" t="s">
        <v>48</v>
      </c>
      <c r="X627" s="199" t="s">
        <v>48</v>
      </c>
      <c r="Y627" s="210" t="e">
        <f ca="1">_xlfn.XLOOKUP(PAA[[#This Row],[ITEM]],Contrato!A:A,Contrato!B:B,"",0)</f>
        <v>#NAME?</v>
      </c>
      <c r="Z627" s="199" t="e">
        <f ca="1">_xlfn.XLOOKUP(PAA[[#This Row],[ITEM]],Contrato!A:A,Contrato!G:G,"",0)</f>
        <v>#NAME?</v>
      </c>
      <c r="AA627" s="199" t="e">
        <f ca="1">_xlfn.XLOOKUP(PAA[[#This Row],[ITEM]],Contrato!A:A,Contrato!T:T,"",0)</f>
        <v>#NAME?</v>
      </c>
      <c r="AB627" s="210" t="e">
        <f ca="1">+MAX(PAA[[#This Row],[Comprometido Contrato]],)</f>
        <v>#NAME?</v>
      </c>
      <c r="AC627" s="210" t="str">
        <f t="shared" ca="1" si="91"/>
        <v/>
      </c>
      <c r="AD627" s="210" t="e">
        <f ca="1">+MAX(PAA[[#This Row],[Pago por Contrato]],)</f>
        <v>#NAME?</v>
      </c>
      <c r="AE627" s="210" t="str">
        <f t="shared" ca="1" si="95"/>
        <v/>
      </c>
      <c r="AF627" s="199" t="e">
        <f t="shared" ca="1" si="96"/>
        <v>#NAME?</v>
      </c>
      <c r="AG627" s="199">
        <f t="shared" si="97"/>
        <v>52010703</v>
      </c>
      <c r="AH627" s="199" t="e" cm="1">
        <f t="array" aca="1" ref="AH627" ca="1">_xlfn.XLOOKUP(PAA[[#This Row],[RCP-RUBRO]],COMPROMISOS_2025[[#All],[concatenado]],COMPROMISOS_2025[[#All],[Total pagado]],"",0)</f>
        <v>#NAME?</v>
      </c>
      <c r="AI627" s="199" t="e" cm="1">
        <f t="array" aca="1" ref="AI627" ca="1">_xlfn.XLOOKUP(PAA[[#This Row],[RCP-RUBRO]],COMPROMISOS_2025[[#All],[concatenado]],COMPROMISOS_2025[[#All],[Total Comprometido]],"",0)</f>
        <v>#NAME?</v>
      </c>
    </row>
    <row r="628" spans="1:35" s="50" customFormat="1" ht="42" hidden="1" customHeight="1" x14ac:dyDescent="0.25">
      <c r="A628" s="199">
        <v>519</v>
      </c>
      <c r="B628" s="212">
        <v>80111600</v>
      </c>
      <c r="C628" s="199" t="str">
        <f>VLOOKUP(PAA[[#This Row],[PROYECTO (formulado)2]],PROYECTOS!$G$1:$L$32,6,0)</f>
        <v>SUBGERENCIA DE FOMENTO Y DESARROLLO</v>
      </c>
      <c r="D628" s="199" t="str">
        <f>+IF(PAA[[#This Row],[UNIDAD DE CONTRATACION (formulado)]]="Subgerencia Administrativa y Financiera","FUNCIONAMIENTO","INVERSIÓN")</f>
        <v>INVERSIÓN</v>
      </c>
      <c r="E628" s="201" t="str">
        <f>VLOOKUP(Q628,PROYECTOS!$G$1:$K$32,5,0)</f>
        <v>Cofinanciación de dotación de implementación para el deporte la recreación y a la actividad física en el departamento de Antioquia</v>
      </c>
      <c r="F628" s="201">
        <f>VLOOKUP(E628,PROYECTOS!$K$1:$M$32,3,0)</f>
        <v>2024003050074</v>
      </c>
      <c r="G628" s="202" t="s">
        <v>273</v>
      </c>
      <c r="H628" s="202" t="str">
        <f>VLOOKUP(Q628,PROYECTOS!$V$1:$W$32,2,0)</f>
        <v>050073</v>
      </c>
      <c r="I628" s="203">
        <v>12034880</v>
      </c>
      <c r="J628" s="204" t="s">
        <v>724</v>
      </c>
      <c r="K628" s="199" t="str">
        <f t="shared" ca="1" si="92"/>
        <v>CONTRATADO</v>
      </c>
      <c r="L628" s="204" t="s">
        <v>112</v>
      </c>
      <c r="M628" s="204" t="s">
        <v>113</v>
      </c>
      <c r="N628" s="205" t="s">
        <v>274</v>
      </c>
      <c r="O628" s="204">
        <f>VLOOKUP(N628,RUBROS[#All],3,0)</f>
        <v>85</v>
      </c>
      <c r="P628" s="199" t="str">
        <f>VLOOKUP(N628,RUBROS[#All],2,0)</f>
        <v xml:space="preserve">Cofinanciación de dotación de implementación para el deporte la recreación y a la actividad física en el departamento de Antioquia - Servicios prestados a las empresas y servicios de producción </v>
      </c>
      <c r="Q628" s="199" t="str">
        <f t="shared" si="93"/>
        <v>74</v>
      </c>
      <c r="R628" s="199" t="str">
        <f t="shared" si="94"/>
        <v>0-101024</v>
      </c>
      <c r="S628" s="207">
        <v>8</v>
      </c>
      <c r="T628" s="208" t="s">
        <v>46</v>
      </c>
      <c r="U628" s="209" t="e">
        <f ca="1">_xlfn.XLOOKUP(PAA[[#This Row],[ITEM]],Contrato!A:A,Contrato!Q:Q,"",0)</f>
        <v>#NAME?</v>
      </c>
      <c r="V628" s="199" t="s">
        <v>47</v>
      </c>
      <c r="W628" s="199" t="s">
        <v>48</v>
      </c>
      <c r="X628" s="199" t="s">
        <v>48</v>
      </c>
      <c r="Y628" s="210" t="e">
        <f ca="1">_xlfn.XLOOKUP(PAA[[#This Row],[ITEM]],Contrato!A:A,Contrato!B:B,"",0)</f>
        <v>#NAME?</v>
      </c>
      <c r="Z628" s="199" t="e">
        <f ca="1">_xlfn.XLOOKUP(PAA[[#This Row],[ITEM]],Contrato!A:A,Contrato!G:G,"",0)</f>
        <v>#NAME?</v>
      </c>
      <c r="AA628" s="199" t="e">
        <f ca="1">_xlfn.XLOOKUP(PAA[[#This Row],[ITEM]],Contrato!A:A,Contrato!T:T,"",0)</f>
        <v>#NAME?</v>
      </c>
      <c r="AB628" s="210" t="e">
        <f ca="1">+MAX(PAA[[#This Row],[Comprometido Contrato]],)</f>
        <v>#NAME?</v>
      </c>
      <c r="AC628" s="210" t="str">
        <f t="shared" ca="1" si="91"/>
        <v/>
      </c>
      <c r="AD628" s="210" t="e">
        <f ca="1">+MAX(PAA[[#This Row],[Pago por Contrato]],)</f>
        <v>#NAME?</v>
      </c>
      <c r="AE628" s="210" t="str">
        <f t="shared" ca="1" si="95"/>
        <v/>
      </c>
      <c r="AF628" s="199" t="e">
        <f t="shared" ca="1" si="96"/>
        <v>#NAME?</v>
      </c>
      <c r="AG628" s="199">
        <f t="shared" si="97"/>
        <v>52010701</v>
      </c>
      <c r="AH628" s="199" t="e" cm="1">
        <f t="array" aca="1" ref="AH628" ca="1">_xlfn.XLOOKUP(PAA[[#This Row],[RCP-RUBRO]],COMPROMISOS_2025[[#All],[concatenado]],COMPROMISOS_2025[[#All],[Total pagado]],"",0)</f>
        <v>#NAME?</v>
      </c>
      <c r="AI628" s="199" t="e" cm="1">
        <f t="array" aca="1" ref="AI628" ca="1">_xlfn.XLOOKUP(PAA[[#This Row],[RCP-RUBRO]],COMPROMISOS_2025[[#All],[concatenado]],COMPROMISOS_2025[[#All],[Total Comprometido]],"",0)</f>
        <v>#NAME?</v>
      </c>
    </row>
    <row r="629" spans="1:35" s="50" customFormat="1" ht="42" hidden="1" customHeight="1" x14ac:dyDescent="0.25">
      <c r="A629" s="199">
        <v>520</v>
      </c>
      <c r="B629" s="212" t="s">
        <v>312</v>
      </c>
      <c r="C629" s="199" t="str">
        <f>VLOOKUP(PAA[[#This Row],[PROYECTO (formulado)2]],PROYECTOS!$G$1:$L$32,6,0)</f>
        <v>SUBGERENCIA DE FOMENTO Y DESARROLLO</v>
      </c>
      <c r="D629" s="199" t="str">
        <f>+IF(PAA[[#This Row],[UNIDAD DE CONTRATACION (formulado)]]="Subgerencia Administrativa y Financiera","FUNCIONAMIENTO","INVERSIÓN")</f>
        <v>INVERSIÓN</v>
      </c>
      <c r="E629" s="201" t="str">
        <f>VLOOKUP(Q629,PROYECTOS!$G$1:$K$32,5,0)</f>
        <v>Fortalecimiento de los juegos deportivos institucionales en los municipios del departamento de Antioquia</v>
      </c>
      <c r="F629" s="201">
        <f>VLOOKUP(E629,PROYECTOS!$K$1:$M$32,3,0)</f>
        <v>2024003050073</v>
      </c>
      <c r="G629" s="202" t="s">
        <v>345</v>
      </c>
      <c r="H629" s="202" t="str">
        <f>VLOOKUP(Q629,PROYECTOS!$V$1:$W$32,2,0)</f>
        <v>050081</v>
      </c>
      <c r="I629" s="203">
        <v>237637776</v>
      </c>
      <c r="J629" s="204" t="s">
        <v>725</v>
      </c>
      <c r="K629" s="199" t="str">
        <f t="shared" ca="1" si="92"/>
        <v>CONTRATADO</v>
      </c>
      <c r="L629" s="204" t="s">
        <v>112</v>
      </c>
      <c r="M629" s="204" t="s">
        <v>241</v>
      </c>
      <c r="N629" s="205" t="s">
        <v>317</v>
      </c>
      <c r="O629" s="204">
        <f>VLOOKUP(N629,RUBROS[#All],3,0)</f>
        <v>83</v>
      </c>
      <c r="P629" s="199" t="str">
        <f>VLOOKUP(N629,RUBROS[#All],2,0)</f>
        <v>Fortalecimiento de los juegos deportivos institucionales en los municipios del departamento de Antioquia - Servicios para la comunidad, sociales y personales</v>
      </c>
      <c r="Q629" s="199" t="str">
        <f t="shared" si="93"/>
        <v>73</v>
      </c>
      <c r="R629" s="199" t="str">
        <f t="shared" si="94"/>
        <v>0-205400</v>
      </c>
      <c r="S629" s="207"/>
      <c r="T629" s="249"/>
      <c r="U629" s="209" t="e">
        <f ca="1">_xlfn.XLOOKUP(PAA[[#This Row],[ITEM]],Contrato!A:A,Contrato!Q:Q,"",0)</f>
        <v>#NAME?</v>
      </c>
      <c r="V629" s="199" t="s">
        <v>47</v>
      </c>
      <c r="W629" s="199" t="s">
        <v>48</v>
      </c>
      <c r="X629" s="199" t="s">
        <v>48</v>
      </c>
      <c r="Y629" s="210" t="e">
        <f ca="1">_xlfn.XLOOKUP(PAA[[#This Row],[ITEM]],Contrato!A:A,Contrato!B:B,"",0)</f>
        <v>#NAME?</v>
      </c>
      <c r="Z629" s="199" t="e">
        <f ca="1">_xlfn.XLOOKUP(PAA[[#This Row],[ITEM]],Contrato!A:A,Contrato!G:G,"",0)</f>
        <v>#NAME?</v>
      </c>
      <c r="AA629" s="199" t="e">
        <f ca="1">_xlfn.XLOOKUP(PAA[[#This Row],[ITEM]],Contrato!A:A,Contrato!T:T,"",0)</f>
        <v>#NAME?</v>
      </c>
      <c r="AB629" s="210" t="e">
        <f ca="1">+MAX(PAA[[#This Row],[Comprometido Contrato]],)</f>
        <v>#NAME?</v>
      </c>
      <c r="AC629" s="210" t="str">
        <f t="shared" ca="1" si="91"/>
        <v/>
      </c>
      <c r="AD629" s="210" t="e">
        <f ca="1">+MAX(PAA[[#This Row],[Pago por Contrato]],)</f>
        <v>#NAME?</v>
      </c>
      <c r="AE629" s="210" t="str">
        <f t="shared" ca="1" si="95"/>
        <v/>
      </c>
      <c r="AF629" s="199" t="e">
        <f t="shared" ca="1" si="96"/>
        <v>#NAME?</v>
      </c>
      <c r="AG629" s="199">
        <f t="shared" si="97"/>
        <v>52010703</v>
      </c>
      <c r="AH629" s="199" t="e" cm="1">
        <f t="array" aca="1" ref="AH629" ca="1">_xlfn.XLOOKUP(PAA[[#This Row],[RCP-RUBRO]],COMPROMISOS_2025[[#All],[concatenado]],COMPROMISOS_2025[[#All],[Total pagado]],"",0)</f>
        <v>#NAME?</v>
      </c>
      <c r="AI629" s="199" t="e" cm="1">
        <f t="array" aca="1" ref="AI629" ca="1">_xlfn.XLOOKUP(PAA[[#This Row],[RCP-RUBRO]],COMPROMISOS_2025[[#All],[concatenado]],COMPROMISOS_2025[[#All],[Total Comprometido]],"",0)</f>
        <v>#NAME?</v>
      </c>
    </row>
    <row r="630" spans="1:35" s="50" customFormat="1" ht="42" hidden="1" customHeight="1" x14ac:dyDescent="0.25">
      <c r="A630" s="199">
        <v>521</v>
      </c>
      <c r="B630" s="200">
        <v>80111600</v>
      </c>
      <c r="C630" s="199" t="str">
        <f>VLOOKUP(PAA[[#This Row],[PROYECTO (formulado)2]],PROYECTOS!$G$1:$L$32,6,0)</f>
        <v>SUBGERENCIA DE FOMENTO Y DESARROLLO</v>
      </c>
      <c r="D630" s="199" t="str">
        <f>+IF(PAA[[#This Row],[UNIDAD DE CONTRATACION (formulado)]]="Subgerencia Administrativa y Financiera","FUNCIONAMIENTO","INVERSIÓN")</f>
        <v>INVERSIÓN</v>
      </c>
      <c r="E630" s="201" t="str">
        <f>VLOOKUP(Q630,PROYECTOS!$G$1:$K$32,5,0)</f>
        <v>Capacitación para el sector del deporte, la recreación y la actividad física en el Departamento de   Antioquia</v>
      </c>
      <c r="F630" s="201">
        <f>VLOOKUP(E630,PROYECTOS!$K$1:$M$32,3,0)</f>
        <v>2024003050072</v>
      </c>
      <c r="G630" s="202" t="s">
        <v>307</v>
      </c>
      <c r="H630" s="202" t="str">
        <f>VLOOKUP(Q630,PROYECTOS!$V$1:$W$32,2,0)</f>
        <v>050072</v>
      </c>
      <c r="I630" s="203">
        <v>85843000</v>
      </c>
      <c r="J630" s="204" t="s">
        <v>726</v>
      </c>
      <c r="K630" s="199" t="str">
        <f t="shared" ca="1" si="92"/>
        <v>CONTRATADO</v>
      </c>
      <c r="L630" s="204" t="s">
        <v>112</v>
      </c>
      <c r="M630" s="204" t="s">
        <v>113</v>
      </c>
      <c r="N630" s="205" t="s">
        <v>308</v>
      </c>
      <c r="O630" s="204">
        <f>VLOOKUP(N630,RUBROS[#All],3,0)</f>
        <v>79</v>
      </c>
      <c r="P630" s="206" t="str">
        <f>VLOOKUP(N630,RUBROS[#All],2,0)</f>
        <v>Capacitación para el sector del deporte, la recreación y la actividad física en el Departamento de   Antioquia -Servicios para la comunidad, sociales y personales</v>
      </c>
      <c r="Q630" s="199" t="str">
        <f t="shared" si="93"/>
        <v>72</v>
      </c>
      <c r="R630" s="199" t="str">
        <f t="shared" si="94"/>
        <v>0-205128</v>
      </c>
      <c r="S630" s="207">
        <v>10</v>
      </c>
      <c r="T630" s="208" t="s">
        <v>46</v>
      </c>
      <c r="U630" s="209" t="e">
        <f ca="1">_xlfn.XLOOKUP(PAA[[#This Row],[ITEM]],Contrato!A:A,Contrato!Q:Q,"",0)</f>
        <v>#NAME?</v>
      </c>
      <c r="V630" s="199" t="s">
        <v>47</v>
      </c>
      <c r="W630" s="199" t="s">
        <v>154</v>
      </c>
      <c r="X630" s="199" t="s">
        <v>154</v>
      </c>
      <c r="Y630" s="210" t="e">
        <f ca="1">_xlfn.XLOOKUP(PAA[[#This Row],[ITEM]],Contrato!A:A,Contrato!B:B,"",0)</f>
        <v>#NAME?</v>
      </c>
      <c r="Z630" s="199" t="e">
        <f ca="1">_xlfn.XLOOKUP(PAA[[#This Row],[ITEM]],Contrato!A:A,Contrato!G:G,"",0)</f>
        <v>#NAME?</v>
      </c>
      <c r="AA630" s="199" t="e">
        <f ca="1">_xlfn.XLOOKUP(PAA[[#This Row],[ITEM]],Contrato!A:A,Contrato!T:T,"",0)</f>
        <v>#NAME?</v>
      </c>
      <c r="AB630" s="210" t="e">
        <f ca="1">+MAX(PAA[[#This Row],[Comprometido Contrato]],)</f>
        <v>#NAME?</v>
      </c>
      <c r="AC630" s="210" t="str">
        <f t="shared" ca="1" si="91"/>
        <v/>
      </c>
      <c r="AD630" s="210" t="e">
        <f ca="1">+MAX(PAA[[#This Row],[Pago por Contrato]],)</f>
        <v>#NAME?</v>
      </c>
      <c r="AE630" s="210" t="str">
        <f t="shared" ca="1" si="95"/>
        <v/>
      </c>
      <c r="AF630" s="199" t="e">
        <f t="shared" ca="1" si="96"/>
        <v>#NAME?</v>
      </c>
      <c r="AG630" s="199">
        <f t="shared" si="97"/>
        <v>52010704</v>
      </c>
      <c r="AH630" s="199" t="e" cm="1">
        <f t="array" aca="1" ref="AH630" ca="1">_xlfn.XLOOKUP(PAA[[#This Row],[RCP-RUBRO]],COMPROMISOS_2025[[#All],[concatenado]],COMPROMISOS_2025[[#All],[Total pagado]],"",0)</f>
        <v>#NAME?</v>
      </c>
      <c r="AI630" s="199" t="e" cm="1">
        <f t="array" aca="1" ref="AI630" ca="1">_xlfn.XLOOKUP(PAA[[#This Row],[RCP-RUBRO]],COMPROMISOS_2025[[#All],[concatenado]],COMPROMISOS_2025[[#All],[Total Comprometido]],"",0)</f>
        <v>#NAME?</v>
      </c>
    </row>
    <row r="631" spans="1:35" s="50" customFormat="1" ht="42" hidden="1" customHeight="1" x14ac:dyDescent="0.25">
      <c r="A631" s="199">
        <v>522</v>
      </c>
      <c r="B631" s="200">
        <v>80111600</v>
      </c>
      <c r="C631" s="199" t="str">
        <f>VLOOKUP(PAA[[#This Row],[PROYECTO (formulado)2]],PROYECTOS!$G$1:$L$32,6,0)</f>
        <v>SUBGERENCIA DE FOMENTO Y DESARROLLO</v>
      </c>
      <c r="D631" s="199" t="str">
        <f>+IF(PAA[[#This Row],[UNIDAD DE CONTRATACION (formulado)]]="Subgerencia Administrativa y Financiera","FUNCIONAMIENTO","INVERSIÓN")</f>
        <v>INVERSIÓN</v>
      </c>
      <c r="E631" s="201" t="str">
        <f>VLOOKUP(Q631,PROYECTOS!$G$1:$K$32,5,0)</f>
        <v>Capacitación para el sector del deporte, la recreación y la actividad física en el Departamento de   Antioquia</v>
      </c>
      <c r="F631" s="201">
        <f>VLOOKUP(E631,PROYECTOS!$K$1:$M$32,3,0)</f>
        <v>2024003050072</v>
      </c>
      <c r="G631" s="202" t="s">
        <v>307</v>
      </c>
      <c r="H631" s="202" t="str">
        <f>VLOOKUP(Q631,PROYECTOS!$V$1:$W$32,2,0)</f>
        <v>050072</v>
      </c>
      <c r="I631" s="203">
        <v>87093000</v>
      </c>
      <c r="J631" s="204" t="s">
        <v>727</v>
      </c>
      <c r="K631" s="199" t="str">
        <f t="shared" ca="1" si="92"/>
        <v>CONTRATADO</v>
      </c>
      <c r="L631" s="204" t="s">
        <v>112</v>
      </c>
      <c r="M631" s="204" t="s">
        <v>113</v>
      </c>
      <c r="N631" s="205" t="s">
        <v>308</v>
      </c>
      <c r="O631" s="204">
        <f>VLOOKUP(N631,RUBROS[#All],3,0)</f>
        <v>79</v>
      </c>
      <c r="P631" s="206" t="str">
        <f>VLOOKUP(N631,RUBROS[#All],2,0)</f>
        <v>Capacitación para el sector del deporte, la recreación y la actividad física en el Departamento de   Antioquia -Servicios para la comunidad, sociales y personales</v>
      </c>
      <c r="Q631" s="199" t="str">
        <f t="shared" si="93"/>
        <v>72</v>
      </c>
      <c r="R631" s="199" t="str">
        <f t="shared" si="94"/>
        <v>0-205128</v>
      </c>
      <c r="S631" s="207">
        <v>10</v>
      </c>
      <c r="T631" s="208" t="s">
        <v>46</v>
      </c>
      <c r="U631" s="209" t="e">
        <f ca="1">_xlfn.XLOOKUP(PAA[[#This Row],[ITEM]],Contrato!A:A,Contrato!Q:Q,"",0)</f>
        <v>#NAME?</v>
      </c>
      <c r="V631" s="199" t="s">
        <v>47</v>
      </c>
      <c r="W631" s="199" t="s">
        <v>154</v>
      </c>
      <c r="X631" s="199" t="s">
        <v>154</v>
      </c>
      <c r="Y631" s="210" t="e">
        <f ca="1">_xlfn.XLOOKUP(PAA[[#This Row],[ITEM]],Contrato!A:A,Contrato!B:B,"",0)</f>
        <v>#NAME?</v>
      </c>
      <c r="Z631" s="199" t="e">
        <f ca="1">_xlfn.XLOOKUP(PAA[[#This Row],[ITEM]],Contrato!A:A,Contrato!G:G,"",0)</f>
        <v>#NAME?</v>
      </c>
      <c r="AA631" s="199" t="e">
        <f ca="1">_xlfn.XLOOKUP(PAA[[#This Row],[ITEM]],Contrato!A:A,Contrato!T:T,"",0)</f>
        <v>#NAME?</v>
      </c>
      <c r="AB631" s="210" t="e">
        <f ca="1">+MAX(PAA[[#This Row],[Comprometido Contrato]],)</f>
        <v>#NAME?</v>
      </c>
      <c r="AC631" s="210" t="str">
        <f t="shared" ca="1" si="91"/>
        <v/>
      </c>
      <c r="AD631" s="210" t="e">
        <f ca="1">+MAX(PAA[[#This Row],[Pago por Contrato]],)</f>
        <v>#NAME?</v>
      </c>
      <c r="AE631" s="210" t="str">
        <f t="shared" ca="1" si="95"/>
        <v/>
      </c>
      <c r="AF631" s="199" t="e">
        <f t="shared" ca="1" si="96"/>
        <v>#NAME?</v>
      </c>
      <c r="AG631" s="199">
        <f t="shared" si="97"/>
        <v>52010704</v>
      </c>
      <c r="AH631" s="199" t="e" cm="1">
        <f t="array" aca="1" ref="AH631" ca="1">_xlfn.XLOOKUP(PAA[[#This Row],[RCP-RUBRO]],COMPROMISOS_2025[[#All],[concatenado]],COMPROMISOS_2025[[#All],[Total pagado]],"",0)</f>
        <v>#NAME?</v>
      </c>
      <c r="AI631" s="199" t="e" cm="1">
        <f t="array" aca="1" ref="AI631" ca="1">_xlfn.XLOOKUP(PAA[[#This Row],[RCP-RUBRO]],COMPROMISOS_2025[[#All],[concatenado]],COMPROMISOS_2025[[#All],[Total Comprometido]],"",0)</f>
        <v>#NAME?</v>
      </c>
    </row>
    <row r="632" spans="1:35" s="50" customFormat="1" ht="42" hidden="1" customHeight="1" x14ac:dyDescent="0.25">
      <c r="A632" s="199">
        <v>523</v>
      </c>
      <c r="B632" s="200">
        <v>80111600</v>
      </c>
      <c r="C632" s="199" t="str">
        <f>VLOOKUP(PAA[[#This Row],[PROYECTO (formulado)2]],PROYECTOS!$G$1:$L$32,6,0)</f>
        <v>SUBGERENCIA DE FOMENTO Y DESARROLLO</v>
      </c>
      <c r="D632" s="199" t="str">
        <f>+IF(PAA[[#This Row],[UNIDAD DE CONTRATACION (formulado)]]="Subgerencia Administrativa y Financiera","FUNCIONAMIENTO","INVERSIÓN")</f>
        <v>INVERSIÓN</v>
      </c>
      <c r="E632" s="201" t="str">
        <f>VLOOKUP(Q632,PROYECTOS!$G$1:$K$32,5,0)</f>
        <v>Capacitación para el sector del deporte, la recreación y la actividad física en el Departamento de   Antioquia</v>
      </c>
      <c r="F632" s="201">
        <f>VLOOKUP(E632,PROYECTOS!$K$1:$M$32,3,0)</f>
        <v>2024003050072</v>
      </c>
      <c r="G632" s="202" t="s">
        <v>307</v>
      </c>
      <c r="H632" s="202" t="str">
        <f>VLOOKUP(Q632,PROYECTOS!$V$1:$W$32,2,0)</f>
        <v>050072</v>
      </c>
      <c r="I632" s="203">
        <v>85843000</v>
      </c>
      <c r="J632" s="204" t="s">
        <v>728</v>
      </c>
      <c r="K632" s="199" t="str">
        <f t="shared" ca="1" si="92"/>
        <v>CONTRATADO</v>
      </c>
      <c r="L632" s="204" t="s">
        <v>112</v>
      </c>
      <c r="M632" s="204" t="s">
        <v>113</v>
      </c>
      <c r="N632" s="205" t="s">
        <v>308</v>
      </c>
      <c r="O632" s="204">
        <f>VLOOKUP(N632,RUBROS[#All],3,0)</f>
        <v>79</v>
      </c>
      <c r="P632" s="206" t="str">
        <f>VLOOKUP(N632,RUBROS[#All],2,0)</f>
        <v>Capacitación para el sector del deporte, la recreación y la actividad física en el Departamento de   Antioquia -Servicios para la comunidad, sociales y personales</v>
      </c>
      <c r="Q632" s="199" t="str">
        <f t="shared" si="93"/>
        <v>72</v>
      </c>
      <c r="R632" s="199" t="str">
        <f t="shared" si="94"/>
        <v>0-205128</v>
      </c>
      <c r="S632" s="207">
        <v>10</v>
      </c>
      <c r="T632" s="208" t="s">
        <v>46</v>
      </c>
      <c r="U632" s="209" t="e">
        <f ca="1">_xlfn.XLOOKUP(PAA[[#This Row],[ITEM]],Contrato!A:A,Contrato!Q:Q,"",0)</f>
        <v>#NAME?</v>
      </c>
      <c r="V632" s="199" t="s">
        <v>47</v>
      </c>
      <c r="W632" s="199" t="s">
        <v>154</v>
      </c>
      <c r="X632" s="199" t="s">
        <v>154</v>
      </c>
      <c r="Y632" s="210" t="e">
        <f ca="1">_xlfn.XLOOKUP(PAA[[#This Row],[ITEM]],Contrato!A:A,Contrato!B:B,"",0)</f>
        <v>#NAME?</v>
      </c>
      <c r="Z632" s="199" t="e">
        <f ca="1">_xlfn.XLOOKUP(PAA[[#This Row],[ITEM]],Contrato!A:A,Contrato!G:G,"",0)</f>
        <v>#NAME?</v>
      </c>
      <c r="AA632" s="199" t="e">
        <f ca="1">_xlfn.XLOOKUP(PAA[[#This Row],[ITEM]],Contrato!A:A,Contrato!T:T,"",0)</f>
        <v>#NAME?</v>
      </c>
      <c r="AB632" s="210" t="e">
        <f ca="1">+MAX(PAA[[#This Row],[Comprometido Contrato]],)</f>
        <v>#NAME?</v>
      </c>
      <c r="AC632" s="210" t="str">
        <f t="shared" ca="1" si="91"/>
        <v/>
      </c>
      <c r="AD632" s="210" t="e">
        <f ca="1">+MAX(PAA[[#This Row],[Pago por Contrato]],)</f>
        <v>#NAME?</v>
      </c>
      <c r="AE632" s="210" t="str">
        <f t="shared" ca="1" si="95"/>
        <v/>
      </c>
      <c r="AF632" s="199" t="e">
        <f t="shared" ca="1" si="96"/>
        <v>#NAME?</v>
      </c>
      <c r="AG632" s="199">
        <f t="shared" si="97"/>
        <v>52010704</v>
      </c>
      <c r="AH632" s="199" t="e" cm="1">
        <f t="array" aca="1" ref="AH632" ca="1">_xlfn.XLOOKUP(PAA[[#This Row],[RCP-RUBRO]],COMPROMISOS_2025[[#All],[concatenado]],COMPROMISOS_2025[[#All],[Total pagado]],"",0)</f>
        <v>#NAME?</v>
      </c>
      <c r="AI632" s="199" t="e" cm="1">
        <f t="array" aca="1" ref="AI632" ca="1">_xlfn.XLOOKUP(PAA[[#This Row],[RCP-RUBRO]],COMPROMISOS_2025[[#All],[concatenado]],COMPROMISOS_2025[[#All],[Total Comprometido]],"",0)</f>
        <v>#NAME?</v>
      </c>
    </row>
    <row r="633" spans="1:35" s="50" customFormat="1" ht="42" hidden="1" customHeight="1" x14ac:dyDescent="0.25">
      <c r="A633" s="199">
        <v>524</v>
      </c>
      <c r="B633" s="200">
        <v>80111600</v>
      </c>
      <c r="C633" s="199" t="str">
        <f>VLOOKUP(PAA[[#This Row],[PROYECTO (formulado)2]],PROYECTOS!$G$1:$L$32,6,0)</f>
        <v>SUBGERENCIA DE FOMENTO Y DESARROLLO</v>
      </c>
      <c r="D633" s="199" t="str">
        <f>+IF(PAA[[#This Row],[UNIDAD DE CONTRATACION (formulado)]]="Subgerencia Administrativa y Financiera","FUNCIONAMIENTO","INVERSIÓN")</f>
        <v>INVERSIÓN</v>
      </c>
      <c r="E633" s="201" t="str">
        <f>VLOOKUP(Q633,PROYECTOS!$G$1:$K$32,5,0)</f>
        <v>Desarrollo y promoción del deporte formativo, la recreación y la actividad física en el departamento Antioquia</v>
      </c>
      <c r="F633" s="201">
        <f>VLOOKUP(E633,PROYECTOS!$K$1:$M$32,3,0)</f>
        <v>2024003050101</v>
      </c>
      <c r="G633" s="202" t="s">
        <v>295</v>
      </c>
      <c r="H633" s="202" t="str">
        <f>VLOOKUP(Q633,PROYECTOS!$V$1:$W$32,2,0)</f>
        <v>050075</v>
      </c>
      <c r="I633" s="203">
        <v>85218000</v>
      </c>
      <c r="J633" s="204" t="s">
        <v>729</v>
      </c>
      <c r="K633" s="199" t="str">
        <f t="shared" ca="1" si="92"/>
        <v>CONTRATADO</v>
      </c>
      <c r="L633" s="204" t="s">
        <v>112</v>
      </c>
      <c r="M633" s="204" t="s">
        <v>113</v>
      </c>
      <c r="N633" s="205" t="s">
        <v>284</v>
      </c>
      <c r="O633" s="204">
        <f>VLOOKUP(N633,RUBROS[#All],3,0)</f>
        <v>73</v>
      </c>
      <c r="P633" s="206" t="str">
        <f>VLOOKUP(N633,RUBROS[#All],2,0)</f>
        <v>Desarrollo y promoción del deporte formativo, la recreación y la actividad física en el departamento Antioquia. - Servicios para la comunidad, sociales y personales</v>
      </c>
      <c r="Q633" s="199" t="str">
        <f t="shared" si="93"/>
        <v>01</v>
      </c>
      <c r="R633" s="199" t="str">
        <f t="shared" si="94"/>
        <v>0-205400</v>
      </c>
      <c r="S633" s="207">
        <v>10</v>
      </c>
      <c r="T633" s="208" t="s">
        <v>46</v>
      </c>
      <c r="U633" s="209" t="e">
        <f ca="1">_xlfn.XLOOKUP(PAA[[#This Row],[ITEM]],Contrato!A:A,Contrato!Q:Q,"",0)</f>
        <v>#NAME?</v>
      </c>
      <c r="V633" s="199" t="s">
        <v>47</v>
      </c>
      <c r="W633" s="199" t="s">
        <v>154</v>
      </c>
      <c r="X633" s="199" t="s">
        <v>154</v>
      </c>
      <c r="Y633" s="210" t="e">
        <f ca="1">_xlfn.XLOOKUP(PAA[[#This Row],[ITEM]],Contrato!A:A,Contrato!B:B,"",0)</f>
        <v>#NAME?</v>
      </c>
      <c r="Z633" s="199" t="e">
        <f ca="1">_xlfn.XLOOKUP(PAA[[#This Row],[ITEM]],Contrato!A:A,Contrato!G:G,"",0)</f>
        <v>#NAME?</v>
      </c>
      <c r="AA633" s="199" t="e">
        <f ca="1">_xlfn.XLOOKUP(PAA[[#This Row],[ITEM]],Contrato!A:A,Contrato!T:T,"",0)</f>
        <v>#NAME?</v>
      </c>
      <c r="AB633" s="210" t="e">
        <f ca="1">+MAX(PAA[[#This Row],[Comprometido Contrato]],)</f>
        <v>#NAME?</v>
      </c>
      <c r="AC633" s="210" t="str">
        <f t="shared" ca="1" si="91"/>
        <v/>
      </c>
      <c r="AD633" s="210" t="e">
        <f ca="1">+MAX(PAA[[#This Row],[Pago por Contrato]],)</f>
        <v>#NAME?</v>
      </c>
      <c r="AE633" s="210" t="str">
        <f t="shared" ca="1" si="95"/>
        <v/>
      </c>
      <c r="AF633" s="199" t="e">
        <f t="shared" ca="1" si="96"/>
        <v>#NAME?</v>
      </c>
      <c r="AG633" s="199">
        <f t="shared" si="97"/>
        <v>52010702</v>
      </c>
      <c r="AH633" s="199" t="e" cm="1">
        <f t="array" aca="1" ref="AH633" ca="1">_xlfn.XLOOKUP(PAA[[#This Row],[RCP-RUBRO]],COMPROMISOS_2025[[#All],[concatenado]],COMPROMISOS_2025[[#All],[Total pagado]],"",0)</f>
        <v>#NAME?</v>
      </c>
      <c r="AI633" s="199" t="e" cm="1">
        <f t="array" aca="1" ref="AI633" ca="1">_xlfn.XLOOKUP(PAA[[#This Row],[RCP-RUBRO]],COMPROMISOS_2025[[#All],[concatenado]],COMPROMISOS_2025[[#All],[Total Comprometido]],"",0)</f>
        <v>#NAME?</v>
      </c>
    </row>
    <row r="634" spans="1:35" s="50" customFormat="1" ht="42" hidden="1" customHeight="1" x14ac:dyDescent="0.25">
      <c r="A634" s="199">
        <v>525</v>
      </c>
      <c r="B634" s="200">
        <v>80111600</v>
      </c>
      <c r="C634" s="199" t="str">
        <f>VLOOKUP(PAA[[#This Row],[PROYECTO (formulado)2]],PROYECTOS!$G$1:$L$32,6,0)</f>
        <v>SUBGERENCIA DE FOMENTO Y DESARROLLO</v>
      </c>
      <c r="D634" s="199" t="str">
        <f>+IF(PAA[[#This Row],[UNIDAD DE CONTRATACION (formulado)]]="Subgerencia Administrativa y Financiera","FUNCIONAMIENTO","INVERSIÓN")</f>
        <v>INVERSIÓN</v>
      </c>
      <c r="E634" s="201" t="str">
        <f>VLOOKUP(Q634,PROYECTOS!$G$1:$K$32,5,0)</f>
        <v>Desarrollo y promoción del deporte formativo, la recreación y la actividad física en el departamento Antioquia</v>
      </c>
      <c r="F634" s="201">
        <f>VLOOKUP(E634,PROYECTOS!$K$1:$M$32,3,0)</f>
        <v>2024003050101</v>
      </c>
      <c r="G634" s="202" t="s">
        <v>295</v>
      </c>
      <c r="H634" s="202" t="str">
        <f>VLOOKUP(Q634,PROYECTOS!$V$1:$W$32,2,0)</f>
        <v>050075</v>
      </c>
      <c r="I634" s="203">
        <v>108232000</v>
      </c>
      <c r="J634" s="204" t="s">
        <v>730</v>
      </c>
      <c r="K634" s="199" t="str">
        <f t="shared" ca="1" si="92"/>
        <v>CONTRATADO</v>
      </c>
      <c r="L634" s="204" t="s">
        <v>112</v>
      </c>
      <c r="M634" s="204" t="s">
        <v>113</v>
      </c>
      <c r="N634" s="205" t="s">
        <v>284</v>
      </c>
      <c r="O634" s="204">
        <f>VLOOKUP(N634,RUBROS[#All],3,0)</f>
        <v>73</v>
      </c>
      <c r="P634" s="206" t="str">
        <f>VLOOKUP(N634,RUBROS[#All],2,0)</f>
        <v>Desarrollo y promoción del deporte formativo, la recreación y la actividad física en el departamento Antioquia. - Servicios para la comunidad, sociales y personales</v>
      </c>
      <c r="Q634" s="199" t="str">
        <f t="shared" si="93"/>
        <v>01</v>
      </c>
      <c r="R634" s="199" t="str">
        <f t="shared" si="94"/>
        <v>0-205400</v>
      </c>
      <c r="S634" s="207">
        <v>10</v>
      </c>
      <c r="T634" s="208" t="s">
        <v>46</v>
      </c>
      <c r="U634" s="209" t="e">
        <f ca="1">_xlfn.XLOOKUP(PAA[[#This Row],[ITEM]],Contrato!A:A,Contrato!Q:Q,"",0)</f>
        <v>#NAME?</v>
      </c>
      <c r="V634" s="199" t="s">
        <v>47</v>
      </c>
      <c r="W634" s="199" t="s">
        <v>154</v>
      </c>
      <c r="X634" s="199" t="s">
        <v>154</v>
      </c>
      <c r="Y634" s="210" t="e">
        <f ca="1">_xlfn.XLOOKUP(PAA[[#This Row],[ITEM]],Contrato!A:A,Contrato!B:B,"",0)</f>
        <v>#NAME?</v>
      </c>
      <c r="Z634" s="199" t="e">
        <f ca="1">_xlfn.XLOOKUP(PAA[[#This Row],[ITEM]],Contrato!A:A,Contrato!G:G,"",0)</f>
        <v>#NAME?</v>
      </c>
      <c r="AA634" s="199" t="e">
        <f ca="1">_xlfn.XLOOKUP(PAA[[#This Row],[ITEM]],Contrato!A:A,Contrato!T:T,"",0)</f>
        <v>#NAME?</v>
      </c>
      <c r="AB634" s="210" t="e">
        <f ca="1">+MAX(PAA[[#This Row],[Comprometido Contrato]],)</f>
        <v>#NAME?</v>
      </c>
      <c r="AC634" s="210" t="str">
        <f t="shared" ca="1" si="91"/>
        <v/>
      </c>
      <c r="AD634" s="210" t="e">
        <f ca="1">+MAX(PAA[[#This Row],[Pago por Contrato]],)</f>
        <v>#NAME?</v>
      </c>
      <c r="AE634" s="210" t="str">
        <f t="shared" ca="1" si="95"/>
        <v/>
      </c>
      <c r="AF634" s="199" t="e">
        <f t="shared" ca="1" si="96"/>
        <v>#NAME?</v>
      </c>
      <c r="AG634" s="199">
        <f t="shared" si="97"/>
        <v>52010702</v>
      </c>
      <c r="AH634" s="199" t="e" cm="1">
        <f t="array" aca="1" ref="AH634" ca="1">_xlfn.XLOOKUP(PAA[[#This Row],[RCP-RUBRO]],COMPROMISOS_2025[[#All],[concatenado]],COMPROMISOS_2025[[#All],[Total pagado]],"",0)</f>
        <v>#NAME?</v>
      </c>
      <c r="AI634" s="199" t="e" cm="1">
        <f t="array" aca="1" ref="AI634" ca="1">_xlfn.XLOOKUP(PAA[[#This Row],[RCP-RUBRO]],COMPROMISOS_2025[[#All],[concatenado]],COMPROMISOS_2025[[#All],[Total Comprometido]],"",0)</f>
        <v>#NAME?</v>
      </c>
    </row>
    <row r="635" spans="1:35" s="50" customFormat="1" ht="42" hidden="1" customHeight="1" x14ac:dyDescent="0.25">
      <c r="A635" s="199">
        <v>526</v>
      </c>
      <c r="B635" s="200">
        <v>80111600</v>
      </c>
      <c r="C635" s="199" t="str">
        <f>VLOOKUP(PAA[[#This Row],[PROYECTO (formulado)2]],PROYECTOS!$G$1:$L$32,6,0)</f>
        <v>SUBGERENCIA DE FOMENTO Y DESARROLLO</v>
      </c>
      <c r="D635" s="199" t="str">
        <f>+IF(PAA[[#This Row],[UNIDAD DE CONTRATACION (formulado)]]="Subgerencia Administrativa y Financiera","FUNCIONAMIENTO","INVERSIÓN")</f>
        <v>INVERSIÓN</v>
      </c>
      <c r="E635" s="201" t="str">
        <f>VLOOKUP(Q635,PROYECTOS!$G$1:$K$32,5,0)</f>
        <v>Desarrollo y promoción del deporte formativo, la recreación y la actividad física en el departamento Antioquia</v>
      </c>
      <c r="F635" s="201">
        <f>VLOOKUP(E635,PROYECTOS!$K$1:$M$32,3,0)</f>
        <v>2024003050101</v>
      </c>
      <c r="G635" s="202" t="s">
        <v>289</v>
      </c>
      <c r="H635" s="202" t="str">
        <f>VLOOKUP(Q635,PROYECTOS!$V$1:$W$32,2,0)</f>
        <v>050075</v>
      </c>
      <c r="I635" s="203">
        <v>83968000</v>
      </c>
      <c r="J635" s="204" t="s">
        <v>294</v>
      </c>
      <c r="K635" s="199" t="str">
        <f t="shared" ca="1" si="92"/>
        <v>CONTRATADO</v>
      </c>
      <c r="L635" s="204" t="s">
        <v>112</v>
      </c>
      <c r="M635" s="204" t="s">
        <v>113</v>
      </c>
      <c r="N635" s="205" t="s">
        <v>284</v>
      </c>
      <c r="O635" s="204">
        <f>VLOOKUP(N635,RUBROS[#All],3,0)</f>
        <v>73</v>
      </c>
      <c r="P635" s="206" t="str">
        <f>VLOOKUP(N635,RUBROS[#All],2,0)</f>
        <v>Desarrollo y promoción del deporte formativo, la recreación y la actividad física en el departamento Antioquia. - Servicios para la comunidad, sociales y personales</v>
      </c>
      <c r="Q635" s="199" t="str">
        <f t="shared" si="93"/>
        <v>01</v>
      </c>
      <c r="R635" s="199" t="str">
        <f t="shared" si="94"/>
        <v>0-205400</v>
      </c>
      <c r="S635" s="207">
        <v>10</v>
      </c>
      <c r="T635" s="208" t="s">
        <v>46</v>
      </c>
      <c r="U635" s="209" t="e">
        <f ca="1">_xlfn.XLOOKUP(PAA[[#This Row],[ITEM]],Contrato!A:A,Contrato!Q:Q,"",0)</f>
        <v>#NAME?</v>
      </c>
      <c r="V635" s="199" t="s">
        <v>47</v>
      </c>
      <c r="W635" s="199" t="s">
        <v>154</v>
      </c>
      <c r="X635" s="199" t="s">
        <v>154</v>
      </c>
      <c r="Y635" s="210" t="e">
        <f ca="1">_xlfn.XLOOKUP(PAA[[#This Row],[ITEM]],Contrato!A:A,Contrato!B:B,"",0)</f>
        <v>#NAME?</v>
      </c>
      <c r="Z635" s="199" t="e">
        <f ca="1">_xlfn.XLOOKUP(PAA[[#This Row],[ITEM]],Contrato!A:A,Contrato!G:G,"",0)</f>
        <v>#NAME?</v>
      </c>
      <c r="AA635" s="199" t="e">
        <f ca="1">_xlfn.XLOOKUP(PAA[[#This Row],[ITEM]],Contrato!A:A,Contrato!T:T,"",0)</f>
        <v>#NAME?</v>
      </c>
      <c r="AB635" s="210" t="e">
        <f ca="1">+MAX(PAA[[#This Row],[Comprometido Contrato]],)</f>
        <v>#NAME?</v>
      </c>
      <c r="AC635" s="210" t="str">
        <f t="shared" ca="1" si="91"/>
        <v/>
      </c>
      <c r="AD635" s="210" t="e">
        <f ca="1">+MAX(PAA[[#This Row],[Pago por Contrato]],)</f>
        <v>#NAME?</v>
      </c>
      <c r="AE635" s="210" t="str">
        <f t="shared" ca="1" si="95"/>
        <v/>
      </c>
      <c r="AF635" s="199" t="e">
        <f t="shared" ca="1" si="96"/>
        <v>#NAME?</v>
      </c>
      <c r="AG635" s="199">
        <f t="shared" si="97"/>
        <v>52010702</v>
      </c>
      <c r="AH635" s="199" t="e" cm="1">
        <f t="array" aca="1" ref="AH635" ca="1">_xlfn.XLOOKUP(PAA[[#This Row],[RCP-RUBRO]],COMPROMISOS_2025[[#All],[concatenado]],COMPROMISOS_2025[[#All],[Total pagado]],"",0)</f>
        <v>#NAME?</v>
      </c>
      <c r="AI635" s="199" t="e" cm="1">
        <f t="array" aca="1" ref="AI635" ca="1">_xlfn.XLOOKUP(PAA[[#This Row],[RCP-RUBRO]],COMPROMISOS_2025[[#All],[concatenado]],COMPROMISOS_2025[[#All],[Total Comprometido]],"",0)</f>
        <v>#NAME?</v>
      </c>
    </row>
    <row r="636" spans="1:35" s="50" customFormat="1" ht="42" hidden="1" customHeight="1" x14ac:dyDescent="0.25">
      <c r="A636" s="199">
        <v>527</v>
      </c>
      <c r="B636" s="200">
        <v>80111600</v>
      </c>
      <c r="C636" s="199" t="str">
        <f>VLOOKUP(PAA[[#This Row],[PROYECTO (formulado)2]],PROYECTOS!$G$1:$L$32,6,0)</f>
        <v>SUBGERENCIA DE FOMENTO Y DESARROLLO</v>
      </c>
      <c r="D636" s="199" t="str">
        <f>+IF(PAA[[#This Row],[UNIDAD DE CONTRATACION (formulado)]]="Subgerencia Administrativa y Financiera","FUNCIONAMIENTO","INVERSIÓN")</f>
        <v>INVERSIÓN</v>
      </c>
      <c r="E636" s="201" t="str">
        <f>VLOOKUP(Q636,PROYECTOS!$G$1:$K$32,5,0)</f>
        <v>Desarrollo y promoción del deporte formativo, la recreación y la actividad física en el departamento Antioquia</v>
      </c>
      <c r="F636" s="201">
        <f>VLOOKUP(E636,PROYECTOS!$K$1:$M$32,3,0)</f>
        <v>2024003050101</v>
      </c>
      <c r="G636" s="202" t="s">
        <v>289</v>
      </c>
      <c r="H636" s="202" t="str">
        <f>VLOOKUP(Q636,PROYECTOS!$V$1:$W$32,2,0)</f>
        <v>050075</v>
      </c>
      <c r="I636" s="203">
        <v>42940000</v>
      </c>
      <c r="J636" s="204" t="s">
        <v>731</v>
      </c>
      <c r="K636" s="199" t="str">
        <f t="shared" ca="1" si="92"/>
        <v>CONTRATADO</v>
      </c>
      <c r="L636" s="204" t="s">
        <v>112</v>
      </c>
      <c r="M636" s="204" t="s">
        <v>113</v>
      </c>
      <c r="N636" s="205" t="s">
        <v>284</v>
      </c>
      <c r="O636" s="204">
        <f>VLOOKUP(N636,RUBROS[#All],3,0)</f>
        <v>73</v>
      </c>
      <c r="P636" s="206" t="str">
        <f>VLOOKUP(N636,RUBROS[#All],2,0)</f>
        <v>Desarrollo y promoción del deporte formativo, la recreación y la actividad física en el departamento Antioquia. - Servicios para la comunidad, sociales y personales</v>
      </c>
      <c r="Q636" s="199" t="str">
        <f t="shared" si="93"/>
        <v>01</v>
      </c>
      <c r="R636" s="199" t="str">
        <f t="shared" si="94"/>
        <v>0-205400</v>
      </c>
      <c r="S636" s="207">
        <v>10</v>
      </c>
      <c r="T636" s="208" t="s">
        <v>46</v>
      </c>
      <c r="U636" s="209" t="e">
        <f ca="1">_xlfn.XLOOKUP(PAA[[#This Row],[ITEM]],Contrato!A:A,Contrato!Q:Q,"",0)</f>
        <v>#NAME?</v>
      </c>
      <c r="V636" s="199" t="s">
        <v>47</v>
      </c>
      <c r="W636" s="199" t="s">
        <v>154</v>
      </c>
      <c r="X636" s="199" t="s">
        <v>154</v>
      </c>
      <c r="Y636" s="210" t="e">
        <f ca="1">_xlfn.XLOOKUP(PAA[[#This Row],[ITEM]],Contrato!A:A,Contrato!B:B,"",0)</f>
        <v>#NAME?</v>
      </c>
      <c r="Z636" s="199" t="e">
        <f ca="1">_xlfn.XLOOKUP(PAA[[#This Row],[ITEM]],Contrato!A:A,Contrato!G:G,"",0)</f>
        <v>#NAME?</v>
      </c>
      <c r="AA636" s="199" t="e">
        <f ca="1">_xlfn.XLOOKUP(PAA[[#This Row],[ITEM]],Contrato!A:A,Contrato!T:T,"",0)</f>
        <v>#NAME?</v>
      </c>
      <c r="AB636" s="210" t="e">
        <f ca="1">+MAX(PAA[[#This Row],[Comprometido Contrato]],)</f>
        <v>#NAME?</v>
      </c>
      <c r="AC636" s="210" t="str">
        <f t="shared" ca="1" si="91"/>
        <v/>
      </c>
      <c r="AD636" s="210" t="e">
        <f ca="1">+MAX(PAA[[#This Row],[Pago por Contrato]],)</f>
        <v>#NAME?</v>
      </c>
      <c r="AE636" s="210" t="str">
        <f t="shared" ca="1" si="95"/>
        <v/>
      </c>
      <c r="AF636" s="199" t="e">
        <f t="shared" ca="1" si="96"/>
        <v>#NAME?</v>
      </c>
      <c r="AG636" s="199">
        <f t="shared" si="97"/>
        <v>52010702</v>
      </c>
      <c r="AH636" s="199" t="e" cm="1">
        <f t="array" aca="1" ref="AH636" ca="1">_xlfn.XLOOKUP(PAA[[#This Row],[RCP-RUBRO]],COMPROMISOS_2025[[#All],[concatenado]],COMPROMISOS_2025[[#All],[Total pagado]],"",0)</f>
        <v>#NAME?</v>
      </c>
      <c r="AI636" s="199" t="e" cm="1">
        <f t="array" aca="1" ref="AI636" ca="1">_xlfn.XLOOKUP(PAA[[#This Row],[RCP-RUBRO]],COMPROMISOS_2025[[#All],[concatenado]],COMPROMISOS_2025[[#All],[Total Comprometido]],"",0)</f>
        <v>#NAME?</v>
      </c>
    </row>
    <row r="637" spans="1:35" s="50" customFormat="1" ht="42" hidden="1" customHeight="1" x14ac:dyDescent="0.25">
      <c r="A637" s="199">
        <v>528</v>
      </c>
      <c r="B637" s="200">
        <v>80111600</v>
      </c>
      <c r="C637" s="199" t="str">
        <f>VLOOKUP(PAA[[#This Row],[PROYECTO (formulado)2]],PROYECTOS!$G$1:$L$32,6,0)</f>
        <v>SUBGERENCIA DE FOMENTO Y DESARROLLO</v>
      </c>
      <c r="D637" s="199" t="str">
        <f>+IF(PAA[[#This Row],[UNIDAD DE CONTRATACION (formulado)]]="Subgerencia Administrativa y Financiera","FUNCIONAMIENTO","INVERSIÓN")</f>
        <v>INVERSIÓN</v>
      </c>
      <c r="E637" s="201" t="str">
        <f>VLOOKUP(Q637,PROYECTOS!$G$1:$K$32,5,0)</f>
        <v>Fortalecimiento de los juegos deportivos institucionales en los municipios del departamento de Antioquia</v>
      </c>
      <c r="F637" s="201">
        <f>VLOOKUP(E637,PROYECTOS!$K$1:$M$32,3,0)</f>
        <v>2024003050073</v>
      </c>
      <c r="G637" s="202" t="s">
        <v>335</v>
      </c>
      <c r="H637" s="202" t="str">
        <f>VLOOKUP(Q637,PROYECTOS!$V$1:$W$32,2,0)</f>
        <v>050081</v>
      </c>
      <c r="I637" s="203">
        <v>93968000</v>
      </c>
      <c r="J637" s="204" t="s">
        <v>732</v>
      </c>
      <c r="K637" s="199" t="str">
        <f t="shared" ca="1" si="92"/>
        <v>CONTRATADO</v>
      </c>
      <c r="L637" s="204" t="s">
        <v>112</v>
      </c>
      <c r="M637" s="204" t="s">
        <v>113</v>
      </c>
      <c r="N637" s="205" t="s">
        <v>315</v>
      </c>
      <c r="O637" s="204">
        <f>VLOOKUP(N637,RUBROS[#All],3,0)</f>
        <v>82</v>
      </c>
      <c r="P637" s="206" t="str">
        <f>VLOOKUP(N637,RUBROS[#All],2,0)</f>
        <v>Fortalecimiento de los juegos deportivos institucionales en los municipios del departamento de Antioquia - Servicios para la comunidad, sociales y personales</v>
      </c>
      <c r="Q637" s="199" t="str">
        <f t="shared" si="93"/>
        <v>73</v>
      </c>
      <c r="R637" s="199" t="str">
        <f t="shared" si="94"/>
        <v>0-205128</v>
      </c>
      <c r="S637" s="207">
        <v>10</v>
      </c>
      <c r="T637" s="208" t="s">
        <v>46</v>
      </c>
      <c r="U637" s="209" t="e">
        <f ca="1">_xlfn.XLOOKUP(PAA[[#This Row],[ITEM]],Contrato!A:A,Contrato!Q:Q,"",0)</f>
        <v>#NAME?</v>
      </c>
      <c r="V637" s="199" t="s">
        <v>47</v>
      </c>
      <c r="W637" s="199" t="s">
        <v>154</v>
      </c>
      <c r="X637" s="199" t="s">
        <v>154</v>
      </c>
      <c r="Y637" s="210" t="e">
        <f ca="1">_xlfn.XLOOKUP(PAA[[#This Row],[ITEM]],Contrato!A:A,Contrato!B:B,"",0)</f>
        <v>#NAME?</v>
      </c>
      <c r="Z637" s="199" t="e">
        <f ca="1">_xlfn.XLOOKUP(PAA[[#This Row],[ITEM]],Contrato!A:A,Contrato!G:G,"",0)</f>
        <v>#NAME?</v>
      </c>
      <c r="AA637" s="199" t="e">
        <f ca="1">_xlfn.XLOOKUP(PAA[[#This Row],[ITEM]],Contrato!A:A,Contrato!T:T,"",0)</f>
        <v>#NAME?</v>
      </c>
      <c r="AB637" s="210" t="e">
        <f ca="1">+MAX(PAA[[#This Row],[Comprometido Contrato]],)</f>
        <v>#NAME?</v>
      </c>
      <c r="AC637" s="210" t="str">
        <f t="shared" ca="1" si="91"/>
        <v/>
      </c>
      <c r="AD637" s="210" t="e">
        <f ca="1">+MAX(PAA[[#This Row],[Pago por Contrato]],)</f>
        <v>#NAME?</v>
      </c>
      <c r="AE637" s="210" t="str">
        <f t="shared" ca="1" si="95"/>
        <v/>
      </c>
      <c r="AF637" s="199" t="e">
        <f t="shared" ca="1" si="96"/>
        <v>#NAME?</v>
      </c>
      <c r="AG637" s="199">
        <f t="shared" si="97"/>
        <v>52010703</v>
      </c>
      <c r="AH637" s="199" t="e" cm="1">
        <f t="array" aca="1" ref="AH637" ca="1">_xlfn.XLOOKUP(PAA[[#This Row],[RCP-RUBRO]],COMPROMISOS_2025[[#All],[concatenado]],COMPROMISOS_2025[[#All],[Total pagado]],"",0)</f>
        <v>#NAME?</v>
      </c>
      <c r="AI637" s="199" t="e" cm="1">
        <f t="array" aca="1" ref="AI637" ca="1">_xlfn.XLOOKUP(PAA[[#This Row],[RCP-RUBRO]],COMPROMISOS_2025[[#All],[concatenado]],COMPROMISOS_2025[[#All],[Total Comprometido]],"",0)</f>
        <v>#NAME?</v>
      </c>
    </row>
    <row r="638" spans="1:35" s="50" customFormat="1" ht="42" hidden="1" customHeight="1" x14ac:dyDescent="0.25">
      <c r="A638" s="199">
        <v>529</v>
      </c>
      <c r="B638" s="200">
        <v>80111600</v>
      </c>
      <c r="C638" s="199" t="str">
        <f>VLOOKUP(PAA[[#This Row],[PROYECTO (formulado)2]],PROYECTOS!$G$1:$L$32,6,0)</f>
        <v>SUBGERENCIA DE FOMENTO Y DESARROLLO</v>
      </c>
      <c r="D638" s="199" t="str">
        <f>+IF(PAA[[#This Row],[UNIDAD DE CONTRATACION (formulado)]]="Subgerencia Administrativa y Financiera","FUNCIONAMIENTO","INVERSIÓN")</f>
        <v>INVERSIÓN</v>
      </c>
      <c r="E638" s="201" t="str">
        <f>VLOOKUP(Q638,PROYECTOS!$G$1:$K$32,5,0)</f>
        <v>Fortalecimiento de los juegos deportivos institucionales en los municipios del departamento de Antioquia</v>
      </c>
      <c r="F638" s="201">
        <f>VLOOKUP(E638,PROYECTOS!$K$1:$M$32,3,0)</f>
        <v>2024003050073</v>
      </c>
      <c r="G638" s="202" t="s">
        <v>335</v>
      </c>
      <c r="H638" s="202" t="str">
        <f>VLOOKUP(Q638,PROYECTOS!$V$1:$W$32,2,0)</f>
        <v>050081</v>
      </c>
      <c r="I638" s="203">
        <v>93968000</v>
      </c>
      <c r="J638" s="204" t="s">
        <v>733</v>
      </c>
      <c r="K638" s="199" t="str">
        <f t="shared" ca="1" si="92"/>
        <v>CONTRATADO</v>
      </c>
      <c r="L638" s="204" t="s">
        <v>112</v>
      </c>
      <c r="M638" s="204" t="s">
        <v>113</v>
      </c>
      <c r="N638" s="205" t="s">
        <v>315</v>
      </c>
      <c r="O638" s="204">
        <f>VLOOKUP(N638,RUBROS[#All],3,0)</f>
        <v>82</v>
      </c>
      <c r="P638" s="206" t="str">
        <f>VLOOKUP(N638,RUBROS[#All],2,0)</f>
        <v>Fortalecimiento de los juegos deportivos institucionales en los municipios del departamento de Antioquia - Servicios para la comunidad, sociales y personales</v>
      </c>
      <c r="Q638" s="199" t="str">
        <f t="shared" si="93"/>
        <v>73</v>
      </c>
      <c r="R638" s="199" t="str">
        <f t="shared" si="94"/>
        <v>0-205128</v>
      </c>
      <c r="S638" s="207">
        <v>10</v>
      </c>
      <c r="T638" s="208" t="s">
        <v>46</v>
      </c>
      <c r="U638" s="209" t="e">
        <f ca="1">_xlfn.XLOOKUP(PAA[[#This Row],[ITEM]],Contrato!A:A,Contrato!Q:Q,"",0)</f>
        <v>#NAME?</v>
      </c>
      <c r="V638" s="199" t="s">
        <v>47</v>
      </c>
      <c r="W638" s="199" t="s">
        <v>154</v>
      </c>
      <c r="X638" s="199" t="s">
        <v>154</v>
      </c>
      <c r="Y638" s="210" t="e">
        <f ca="1">_xlfn.XLOOKUP(PAA[[#This Row],[ITEM]],Contrato!A:A,Contrato!B:B,"",0)</f>
        <v>#NAME?</v>
      </c>
      <c r="Z638" s="199" t="e">
        <f ca="1">_xlfn.XLOOKUP(PAA[[#This Row],[ITEM]],Contrato!A:A,Contrato!G:G,"",0)</f>
        <v>#NAME?</v>
      </c>
      <c r="AA638" s="199" t="e">
        <f ca="1">_xlfn.XLOOKUP(PAA[[#This Row],[ITEM]],Contrato!A:A,Contrato!T:T,"",0)</f>
        <v>#NAME?</v>
      </c>
      <c r="AB638" s="210" t="e">
        <f ca="1">+MAX(PAA[[#This Row],[Comprometido Contrato]],)</f>
        <v>#NAME?</v>
      </c>
      <c r="AC638" s="210" t="str">
        <f t="shared" ca="1" si="91"/>
        <v/>
      </c>
      <c r="AD638" s="210" t="e">
        <f ca="1">+MAX(PAA[[#This Row],[Pago por Contrato]],)</f>
        <v>#NAME?</v>
      </c>
      <c r="AE638" s="210" t="str">
        <f t="shared" ca="1" si="95"/>
        <v/>
      </c>
      <c r="AF638" s="199" t="e">
        <f t="shared" ca="1" si="96"/>
        <v>#NAME?</v>
      </c>
      <c r="AG638" s="199">
        <f t="shared" si="97"/>
        <v>52010703</v>
      </c>
      <c r="AH638" s="199" t="e" cm="1">
        <f t="array" aca="1" ref="AH638" ca="1">_xlfn.XLOOKUP(PAA[[#This Row],[RCP-RUBRO]],COMPROMISOS_2025[[#All],[concatenado]],COMPROMISOS_2025[[#All],[Total pagado]],"",0)</f>
        <v>#NAME?</v>
      </c>
      <c r="AI638" s="199" t="e" cm="1">
        <f t="array" aca="1" ref="AI638" ca="1">_xlfn.XLOOKUP(PAA[[#This Row],[RCP-RUBRO]],COMPROMISOS_2025[[#All],[concatenado]],COMPROMISOS_2025[[#All],[Total Comprometido]],"",0)</f>
        <v>#NAME?</v>
      </c>
    </row>
    <row r="639" spans="1:35" s="50" customFormat="1" ht="42" hidden="1" customHeight="1" x14ac:dyDescent="0.25">
      <c r="A639" s="199">
        <v>530</v>
      </c>
      <c r="B639" s="200">
        <v>80111600</v>
      </c>
      <c r="C639" s="199" t="str">
        <f>VLOOKUP(PAA[[#This Row],[PROYECTO (formulado)2]],PROYECTOS!$G$1:$L$32,6,0)</f>
        <v>SUBGERENCIA DE FOMENTO Y DESARROLLO</v>
      </c>
      <c r="D639" s="199" t="str">
        <f>+IF(PAA[[#This Row],[UNIDAD DE CONTRATACION (formulado)]]="Subgerencia Administrativa y Financiera","FUNCIONAMIENTO","INVERSIÓN")</f>
        <v>INVERSIÓN</v>
      </c>
      <c r="E639" s="201" t="str">
        <f>VLOOKUP(Q639,PROYECTOS!$G$1:$K$32,5,0)</f>
        <v>Fortalecimiento de los juegos deportivos institucionales en los municipios del departamento de Antioquia</v>
      </c>
      <c r="F639" s="201">
        <f>VLOOKUP(E639,PROYECTOS!$K$1:$M$32,3,0)</f>
        <v>2024003050073</v>
      </c>
      <c r="G639" s="202" t="s">
        <v>335</v>
      </c>
      <c r="H639" s="202" t="str">
        <f>VLOOKUP(Q639,PROYECTOS!$V$1:$W$32,2,0)</f>
        <v>050081</v>
      </c>
      <c r="I639" s="203">
        <v>93968000</v>
      </c>
      <c r="J639" s="204" t="s">
        <v>734</v>
      </c>
      <c r="K639" s="199" t="str">
        <f t="shared" ca="1" si="92"/>
        <v>CONTRATADO</v>
      </c>
      <c r="L639" s="204" t="s">
        <v>112</v>
      </c>
      <c r="M639" s="204" t="s">
        <v>113</v>
      </c>
      <c r="N639" s="205" t="s">
        <v>315</v>
      </c>
      <c r="O639" s="204">
        <f>VLOOKUP(N639,RUBROS[#All],3,0)</f>
        <v>82</v>
      </c>
      <c r="P639" s="206" t="str">
        <f>VLOOKUP(N639,RUBROS[#All],2,0)</f>
        <v>Fortalecimiento de los juegos deportivos institucionales en los municipios del departamento de Antioquia - Servicios para la comunidad, sociales y personales</v>
      </c>
      <c r="Q639" s="199" t="str">
        <f t="shared" si="93"/>
        <v>73</v>
      </c>
      <c r="R639" s="199" t="str">
        <f t="shared" si="94"/>
        <v>0-205128</v>
      </c>
      <c r="S639" s="207">
        <v>10</v>
      </c>
      <c r="T639" s="208" t="s">
        <v>46</v>
      </c>
      <c r="U639" s="209" t="e">
        <f ca="1">_xlfn.XLOOKUP(PAA[[#This Row],[ITEM]],Contrato!A:A,Contrato!Q:Q,"",0)</f>
        <v>#NAME?</v>
      </c>
      <c r="V639" s="199" t="s">
        <v>47</v>
      </c>
      <c r="W639" s="199" t="s">
        <v>154</v>
      </c>
      <c r="X639" s="199" t="s">
        <v>154</v>
      </c>
      <c r="Y639" s="210" t="e">
        <f ca="1">_xlfn.XLOOKUP(PAA[[#This Row],[ITEM]],Contrato!A:A,Contrato!B:B,"",0)</f>
        <v>#NAME?</v>
      </c>
      <c r="Z639" s="199" t="e">
        <f ca="1">_xlfn.XLOOKUP(PAA[[#This Row],[ITEM]],Contrato!A:A,Contrato!G:G,"",0)</f>
        <v>#NAME?</v>
      </c>
      <c r="AA639" s="199" t="e">
        <f ca="1">_xlfn.XLOOKUP(PAA[[#This Row],[ITEM]],Contrato!A:A,Contrato!T:T,"",0)</f>
        <v>#NAME?</v>
      </c>
      <c r="AB639" s="210" t="e">
        <f ca="1">+MAX(PAA[[#This Row],[Comprometido Contrato]],)</f>
        <v>#NAME?</v>
      </c>
      <c r="AC639" s="210" t="str">
        <f t="shared" ca="1" si="91"/>
        <v/>
      </c>
      <c r="AD639" s="210" t="e">
        <f ca="1">+MAX(PAA[[#This Row],[Pago por Contrato]],)</f>
        <v>#NAME?</v>
      </c>
      <c r="AE639" s="210" t="str">
        <f t="shared" ca="1" si="95"/>
        <v/>
      </c>
      <c r="AF639" s="199" t="e">
        <f t="shared" ca="1" si="96"/>
        <v>#NAME?</v>
      </c>
      <c r="AG639" s="199">
        <f t="shared" si="97"/>
        <v>52010703</v>
      </c>
      <c r="AH639" s="199" t="e" cm="1">
        <f t="array" aca="1" ref="AH639" ca="1">_xlfn.XLOOKUP(PAA[[#This Row],[RCP-RUBRO]],COMPROMISOS_2025[[#All],[concatenado]],COMPROMISOS_2025[[#All],[Total pagado]],"",0)</f>
        <v>#NAME?</v>
      </c>
      <c r="AI639" s="199" t="e" cm="1">
        <f t="array" aca="1" ref="AI639" ca="1">_xlfn.XLOOKUP(PAA[[#This Row],[RCP-RUBRO]],COMPROMISOS_2025[[#All],[concatenado]],COMPROMISOS_2025[[#All],[Total Comprometido]],"",0)</f>
        <v>#NAME?</v>
      </c>
    </row>
    <row r="640" spans="1:35" s="50" customFormat="1" ht="42" hidden="1" customHeight="1" x14ac:dyDescent="0.25">
      <c r="A640" s="199">
        <v>531</v>
      </c>
      <c r="B640" s="200">
        <v>80111600</v>
      </c>
      <c r="C640" s="199" t="str">
        <f>VLOOKUP(PAA[[#This Row],[PROYECTO (formulado)2]],PROYECTOS!$G$1:$L$32,6,0)</f>
        <v>SUBGERENCIA DE FOMENTO Y DESARROLLO</v>
      </c>
      <c r="D640" s="199" t="str">
        <f>+IF(PAA[[#This Row],[UNIDAD DE CONTRATACION (formulado)]]="Subgerencia Administrativa y Financiera","FUNCIONAMIENTO","INVERSIÓN")</f>
        <v>INVERSIÓN</v>
      </c>
      <c r="E640" s="201" t="str">
        <f>VLOOKUP(Q640,PROYECTOS!$G$1:$K$32,5,0)</f>
        <v>Fortalecimiento de los juegos deportivos institucionales en los municipios del departamento de Antioquia</v>
      </c>
      <c r="F640" s="201">
        <f>VLOOKUP(E640,PROYECTOS!$K$1:$M$32,3,0)</f>
        <v>2024003050073</v>
      </c>
      <c r="G640" s="202" t="s">
        <v>335</v>
      </c>
      <c r="H640" s="202" t="str">
        <f>VLOOKUP(Q640,PROYECTOS!$V$1:$W$32,2,0)</f>
        <v>050081</v>
      </c>
      <c r="I640" s="203">
        <v>93968000</v>
      </c>
      <c r="J640" s="204" t="s">
        <v>735</v>
      </c>
      <c r="K640" s="199" t="str">
        <f t="shared" ca="1" si="92"/>
        <v>CONTRATADO</v>
      </c>
      <c r="L640" s="204" t="s">
        <v>112</v>
      </c>
      <c r="M640" s="204" t="s">
        <v>113</v>
      </c>
      <c r="N640" s="205" t="s">
        <v>315</v>
      </c>
      <c r="O640" s="204">
        <f>VLOOKUP(N640,RUBROS[#All],3,0)</f>
        <v>82</v>
      </c>
      <c r="P640" s="206" t="str">
        <f>VLOOKUP(N640,RUBROS[#All],2,0)</f>
        <v>Fortalecimiento de los juegos deportivos institucionales en los municipios del departamento de Antioquia - Servicios para la comunidad, sociales y personales</v>
      </c>
      <c r="Q640" s="199" t="str">
        <f t="shared" si="93"/>
        <v>73</v>
      </c>
      <c r="R640" s="199" t="str">
        <f t="shared" si="94"/>
        <v>0-205128</v>
      </c>
      <c r="S640" s="207">
        <v>10</v>
      </c>
      <c r="T640" s="208" t="s">
        <v>46</v>
      </c>
      <c r="U640" s="209" t="e">
        <f ca="1">_xlfn.XLOOKUP(PAA[[#This Row],[ITEM]],Contrato!A:A,Contrato!Q:Q,"",0)</f>
        <v>#NAME?</v>
      </c>
      <c r="V640" s="199" t="s">
        <v>47</v>
      </c>
      <c r="W640" s="199" t="s">
        <v>154</v>
      </c>
      <c r="X640" s="199" t="s">
        <v>154</v>
      </c>
      <c r="Y640" s="210" t="e">
        <f ca="1">_xlfn.XLOOKUP(PAA[[#This Row],[ITEM]],Contrato!A:A,Contrato!B:B,"",0)</f>
        <v>#NAME?</v>
      </c>
      <c r="Z640" s="199" t="e">
        <f ca="1">_xlfn.XLOOKUP(PAA[[#This Row],[ITEM]],Contrato!A:A,Contrato!G:G,"",0)</f>
        <v>#NAME?</v>
      </c>
      <c r="AA640" s="199" t="e">
        <f ca="1">_xlfn.XLOOKUP(PAA[[#This Row],[ITEM]],Contrato!A:A,Contrato!T:T,"",0)</f>
        <v>#NAME?</v>
      </c>
      <c r="AB640" s="210" t="e">
        <f ca="1">+MAX(PAA[[#This Row],[Comprometido Contrato]],)</f>
        <v>#NAME?</v>
      </c>
      <c r="AC640" s="210" t="str">
        <f t="shared" ca="1" si="91"/>
        <v/>
      </c>
      <c r="AD640" s="210" t="e">
        <f ca="1">+MAX(PAA[[#This Row],[Pago por Contrato]],)</f>
        <v>#NAME?</v>
      </c>
      <c r="AE640" s="210" t="str">
        <f t="shared" ca="1" si="95"/>
        <v/>
      </c>
      <c r="AF640" s="199" t="e">
        <f t="shared" ca="1" si="96"/>
        <v>#NAME?</v>
      </c>
      <c r="AG640" s="199">
        <f t="shared" si="97"/>
        <v>52010703</v>
      </c>
      <c r="AH640" s="199" t="e" cm="1">
        <f t="array" aca="1" ref="AH640" ca="1">_xlfn.XLOOKUP(PAA[[#This Row],[RCP-RUBRO]],COMPROMISOS_2025[[#All],[concatenado]],COMPROMISOS_2025[[#All],[Total pagado]],"",0)</f>
        <v>#NAME?</v>
      </c>
      <c r="AI640" s="199" t="e" cm="1">
        <f t="array" aca="1" ref="AI640" ca="1">_xlfn.XLOOKUP(PAA[[#This Row],[RCP-RUBRO]],COMPROMISOS_2025[[#All],[concatenado]],COMPROMISOS_2025[[#All],[Total Comprometido]],"",0)</f>
        <v>#NAME?</v>
      </c>
    </row>
    <row r="641" spans="1:35" s="50" customFormat="1" ht="42" hidden="1" customHeight="1" x14ac:dyDescent="0.25">
      <c r="A641" s="199">
        <v>532</v>
      </c>
      <c r="B641" s="200">
        <v>80111600</v>
      </c>
      <c r="C641" s="199" t="str">
        <f>VLOOKUP(PAA[[#This Row],[PROYECTO (formulado)2]],PROYECTOS!$G$1:$L$32,6,0)</f>
        <v>SUBGERENCIA DE FOMENTO Y DESARROLLO</v>
      </c>
      <c r="D641" s="199" t="str">
        <f>+IF(PAA[[#This Row],[UNIDAD DE CONTRATACION (formulado)]]="Subgerencia Administrativa y Financiera","FUNCIONAMIENTO","INVERSIÓN")</f>
        <v>INVERSIÓN</v>
      </c>
      <c r="E641" s="201" t="str">
        <f>VLOOKUP(Q641,PROYECTOS!$G$1:$K$32,5,0)</f>
        <v>Fortalecimiento de los juegos deportivos institucionales en los municipios del departamento de Antioquia</v>
      </c>
      <c r="F641" s="201">
        <f>VLOOKUP(E641,PROYECTOS!$K$1:$M$32,3,0)</f>
        <v>2024003050073</v>
      </c>
      <c r="G641" s="202" t="s">
        <v>335</v>
      </c>
      <c r="H641" s="202" t="str">
        <f>VLOOKUP(Q641,PROYECTOS!$V$1:$W$32,2,0)</f>
        <v>050081</v>
      </c>
      <c r="I641" s="203">
        <v>44190000</v>
      </c>
      <c r="J641" s="204" t="s">
        <v>340</v>
      </c>
      <c r="K641" s="199" t="str">
        <f t="shared" ca="1" si="92"/>
        <v>CONTRATADO</v>
      </c>
      <c r="L641" s="204" t="s">
        <v>112</v>
      </c>
      <c r="M641" s="204" t="s">
        <v>113</v>
      </c>
      <c r="N641" s="205" t="s">
        <v>315</v>
      </c>
      <c r="O641" s="204">
        <f>VLOOKUP(N641,RUBROS[#All],3,0)</f>
        <v>82</v>
      </c>
      <c r="P641" s="206" t="str">
        <f>VLOOKUP(N641,RUBROS[#All],2,0)</f>
        <v>Fortalecimiento de los juegos deportivos institucionales en los municipios del departamento de Antioquia - Servicios para la comunidad, sociales y personales</v>
      </c>
      <c r="Q641" s="199" t="str">
        <f t="shared" si="93"/>
        <v>73</v>
      </c>
      <c r="R641" s="199" t="str">
        <f t="shared" si="94"/>
        <v>0-205128</v>
      </c>
      <c r="S641" s="207">
        <v>10</v>
      </c>
      <c r="T641" s="208" t="s">
        <v>46</v>
      </c>
      <c r="U641" s="209" t="e">
        <f ca="1">_xlfn.XLOOKUP(PAA[[#This Row],[ITEM]],Contrato!A:A,Contrato!Q:Q,"",0)</f>
        <v>#NAME?</v>
      </c>
      <c r="V641" s="199" t="s">
        <v>47</v>
      </c>
      <c r="W641" s="199" t="s">
        <v>154</v>
      </c>
      <c r="X641" s="199" t="s">
        <v>154</v>
      </c>
      <c r="Y641" s="210" t="e">
        <f ca="1">_xlfn.XLOOKUP(PAA[[#This Row],[ITEM]],Contrato!A:A,Contrato!B:B,"",0)</f>
        <v>#NAME?</v>
      </c>
      <c r="Z641" s="199" t="e">
        <f ca="1">_xlfn.XLOOKUP(PAA[[#This Row],[ITEM]],Contrato!A:A,Contrato!G:G,"",0)</f>
        <v>#NAME?</v>
      </c>
      <c r="AA641" s="199" t="e">
        <f ca="1">_xlfn.XLOOKUP(PAA[[#This Row],[ITEM]],Contrato!A:A,Contrato!T:T,"",0)</f>
        <v>#NAME?</v>
      </c>
      <c r="AB641" s="210" t="e">
        <f ca="1">+MAX(PAA[[#This Row],[Comprometido Contrato]],)</f>
        <v>#NAME?</v>
      </c>
      <c r="AC641" s="210" t="str">
        <f t="shared" ca="1" si="91"/>
        <v/>
      </c>
      <c r="AD641" s="210" t="e">
        <f ca="1">+MAX(PAA[[#This Row],[Pago por Contrato]],)</f>
        <v>#NAME?</v>
      </c>
      <c r="AE641" s="210" t="str">
        <f t="shared" ca="1" si="95"/>
        <v/>
      </c>
      <c r="AF641" s="199" t="e">
        <f t="shared" ca="1" si="96"/>
        <v>#NAME?</v>
      </c>
      <c r="AG641" s="199">
        <f t="shared" si="97"/>
        <v>52010703</v>
      </c>
      <c r="AH641" s="199" t="e" cm="1">
        <f t="array" aca="1" ref="AH641" ca="1">_xlfn.XLOOKUP(PAA[[#This Row],[RCP-RUBRO]],COMPROMISOS_2025[[#All],[concatenado]],COMPROMISOS_2025[[#All],[Total pagado]],"",0)</f>
        <v>#NAME?</v>
      </c>
      <c r="AI641" s="199" t="e" cm="1">
        <f t="array" aca="1" ref="AI641" ca="1">_xlfn.XLOOKUP(PAA[[#This Row],[RCP-RUBRO]],COMPROMISOS_2025[[#All],[concatenado]],COMPROMISOS_2025[[#All],[Total Comprometido]],"",0)</f>
        <v>#NAME?</v>
      </c>
    </row>
    <row r="642" spans="1:35" s="50" customFormat="1" ht="42" hidden="1" customHeight="1" x14ac:dyDescent="0.25">
      <c r="A642" s="199">
        <v>533</v>
      </c>
      <c r="B642" s="200">
        <v>80111600</v>
      </c>
      <c r="C642" s="199" t="str">
        <f>VLOOKUP(PAA[[#This Row],[PROYECTO (formulado)2]],PROYECTOS!$G$1:$L$32,6,0)</f>
        <v>SUBGERENCIA DE FOMENTO Y DESARROLLO</v>
      </c>
      <c r="D642" s="199" t="str">
        <f>+IF(PAA[[#This Row],[UNIDAD DE CONTRATACION (formulado)]]="Subgerencia Administrativa y Financiera","FUNCIONAMIENTO","INVERSIÓN")</f>
        <v>INVERSIÓN</v>
      </c>
      <c r="E642" s="201" t="str">
        <f>VLOOKUP(Q642,PROYECTOS!$G$1:$K$32,5,0)</f>
        <v>Fortalecimiento de los juegos deportivos institucionales en los municipios del departamento de Antioquia</v>
      </c>
      <c r="F642" s="201">
        <f>VLOOKUP(E642,PROYECTOS!$K$1:$M$32,3,0)</f>
        <v>2024003050073</v>
      </c>
      <c r="G642" s="202" t="s">
        <v>335</v>
      </c>
      <c r="H642" s="202" t="str">
        <f>VLOOKUP(Q642,PROYECTOS!$V$1:$W$32,2,0)</f>
        <v>050081</v>
      </c>
      <c r="I642" s="203">
        <v>44190000</v>
      </c>
      <c r="J642" s="204" t="s">
        <v>736</v>
      </c>
      <c r="K642" s="199" t="str">
        <f t="shared" ca="1" si="92"/>
        <v>CONTRATADO</v>
      </c>
      <c r="L642" s="204" t="s">
        <v>112</v>
      </c>
      <c r="M642" s="204" t="s">
        <v>113</v>
      </c>
      <c r="N642" s="205" t="s">
        <v>315</v>
      </c>
      <c r="O642" s="204">
        <f>VLOOKUP(N642,RUBROS[#All],3,0)</f>
        <v>82</v>
      </c>
      <c r="P642" s="206" t="str">
        <f>VLOOKUP(N642,RUBROS[#All],2,0)</f>
        <v>Fortalecimiento de los juegos deportivos institucionales en los municipios del departamento de Antioquia - Servicios para la comunidad, sociales y personales</v>
      </c>
      <c r="Q642" s="199" t="str">
        <f t="shared" si="93"/>
        <v>73</v>
      </c>
      <c r="R642" s="199" t="str">
        <f t="shared" si="94"/>
        <v>0-205128</v>
      </c>
      <c r="S642" s="207">
        <v>10</v>
      </c>
      <c r="T642" s="208" t="s">
        <v>46</v>
      </c>
      <c r="U642" s="209" t="e">
        <f ca="1">_xlfn.XLOOKUP(PAA[[#This Row],[ITEM]],Contrato!A:A,Contrato!Q:Q,"",0)</f>
        <v>#NAME?</v>
      </c>
      <c r="V642" s="199" t="s">
        <v>47</v>
      </c>
      <c r="W642" s="199" t="s">
        <v>154</v>
      </c>
      <c r="X642" s="199" t="s">
        <v>154</v>
      </c>
      <c r="Y642" s="210" t="e">
        <f ca="1">_xlfn.XLOOKUP(PAA[[#This Row],[ITEM]],Contrato!A:A,Contrato!B:B,"",0)</f>
        <v>#NAME?</v>
      </c>
      <c r="Z642" s="199" t="e">
        <f ca="1">_xlfn.XLOOKUP(PAA[[#This Row],[ITEM]],Contrato!A:A,Contrato!G:G,"",0)</f>
        <v>#NAME?</v>
      </c>
      <c r="AA642" s="199" t="e">
        <f ca="1">_xlfn.XLOOKUP(PAA[[#This Row],[ITEM]],Contrato!A:A,Contrato!T:T,"",0)</f>
        <v>#NAME?</v>
      </c>
      <c r="AB642" s="210" t="e">
        <f ca="1">+MAX(PAA[[#This Row],[Comprometido Contrato]],)</f>
        <v>#NAME?</v>
      </c>
      <c r="AC642" s="210" t="str">
        <f t="shared" ca="1" si="91"/>
        <v/>
      </c>
      <c r="AD642" s="210" t="e">
        <f ca="1">+MAX(PAA[[#This Row],[Pago por Contrato]],)</f>
        <v>#NAME?</v>
      </c>
      <c r="AE642" s="210" t="str">
        <f t="shared" ca="1" si="95"/>
        <v/>
      </c>
      <c r="AF642" s="199" t="e">
        <f t="shared" ca="1" si="96"/>
        <v>#NAME?</v>
      </c>
      <c r="AG642" s="199">
        <f t="shared" si="97"/>
        <v>52010703</v>
      </c>
      <c r="AH642" s="199" t="e" cm="1">
        <f t="array" aca="1" ref="AH642" ca="1">_xlfn.XLOOKUP(PAA[[#This Row],[RCP-RUBRO]],COMPROMISOS_2025[[#All],[concatenado]],COMPROMISOS_2025[[#All],[Total pagado]],"",0)</f>
        <v>#NAME?</v>
      </c>
      <c r="AI642" s="199" t="e" cm="1">
        <f t="array" aca="1" ref="AI642" ca="1">_xlfn.XLOOKUP(PAA[[#This Row],[RCP-RUBRO]],COMPROMISOS_2025[[#All],[concatenado]],COMPROMISOS_2025[[#All],[Total Comprometido]],"",0)</f>
        <v>#NAME?</v>
      </c>
    </row>
    <row r="643" spans="1:35" s="50" customFormat="1" ht="42" hidden="1" customHeight="1" x14ac:dyDescent="0.25">
      <c r="A643" s="199">
        <v>534</v>
      </c>
      <c r="B643" s="200">
        <v>80111600</v>
      </c>
      <c r="C643" s="199" t="str">
        <f>VLOOKUP(PAA[[#This Row],[PROYECTO (formulado)2]],PROYECTOS!$G$1:$L$32,6,0)</f>
        <v>SUBGERENCIA DE FOMENTO Y DESARROLLO</v>
      </c>
      <c r="D643" s="199" t="str">
        <f>+IF(PAA[[#This Row],[UNIDAD DE CONTRATACION (formulado)]]="Subgerencia Administrativa y Financiera","FUNCIONAMIENTO","INVERSIÓN")</f>
        <v>INVERSIÓN</v>
      </c>
      <c r="E643" s="201" t="str">
        <f>VLOOKUP(Q643,PROYECTOS!$G$1:$K$32,5,0)</f>
        <v>Fortalecimiento de los juegos deportivos institucionales en los municipios del departamento de Antioquia</v>
      </c>
      <c r="F643" s="201">
        <f>VLOOKUP(E643,PROYECTOS!$K$1:$M$32,3,0)</f>
        <v>2024003050073</v>
      </c>
      <c r="G643" s="202" t="s">
        <v>335</v>
      </c>
      <c r="H643" s="202" t="str">
        <f>VLOOKUP(Q643,PROYECTOS!$V$1:$W$32,2,0)</f>
        <v>050081</v>
      </c>
      <c r="I643" s="203">
        <v>44190000</v>
      </c>
      <c r="J643" s="204" t="s">
        <v>341</v>
      </c>
      <c r="K643" s="199" t="str">
        <f t="shared" ca="1" si="92"/>
        <v>CONTRATADO</v>
      </c>
      <c r="L643" s="204" t="s">
        <v>112</v>
      </c>
      <c r="M643" s="204" t="s">
        <v>113</v>
      </c>
      <c r="N643" s="205" t="s">
        <v>315</v>
      </c>
      <c r="O643" s="204">
        <f>VLOOKUP(N643,RUBROS[#All],3,0)</f>
        <v>82</v>
      </c>
      <c r="P643" s="206" t="str">
        <f>VLOOKUP(N643,RUBROS[#All],2,0)</f>
        <v>Fortalecimiento de los juegos deportivos institucionales en los municipios del departamento de Antioquia - Servicios para la comunidad, sociales y personales</v>
      </c>
      <c r="Q643" s="199" t="str">
        <f t="shared" si="93"/>
        <v>73</v>
      </c>
      <c r="R643" s="199" t="str">
        <f t="shared" si="94"/>
        <v>0-205128</v>
      </c>
      <c r="S643" s="207">
        <v>10</v>
      </c>
      <c r="T643" s="208" t="s">
        <v>46</v>
      </c>
      <c r="U643" s="209" t="e">
        <f ca="1">_xlfn.XLOOKUP(PAA[[#This Row],[ITEM]],Contrato!A:A,Contrato!Q:Q,"",0)</f>
        <v>#NAME?</v>
      </c>
      <c r="V643" s="199" t="s">
        <v>47</v>
      </c>
      <c r="W643" s="199" t="s">
        <v>154</v>
      </c>
      <c r="X643" s="199" t="s">
        <v>154</v>
      </c>
      <c r="Y643" s="210" t="e">
        <f ca="1">_xlfn.XLOOKUP(PAA[[#This Row],[ITEM]],Contrato!A:A,Contrato!B:B,"",0)</f>
        <v>#NAME?</v>
      </c>
      <c r="Z643" s="199" t="e">
        <f ca="1">_xlfn.XLOOKUP(PAA[[#This Row],[ITEM]],Contrato!A:A,Contrato!G:G,"",0)</f>
        <v>#NAME?</v>
      </c>
      <c r="AA643" s="199" t="e">
        <f ca="1">_xlfn.XLOOKUP(PAA[[#This Row],[ITEM]],Contrato!A:A,Contrato!T:T,"",0)</f>
        <v>#NAME?</v>
      </c>
      <c r="AB643" s="210" t="e">
        <f ca="1">+MAX(PAA[[#This Row],[Comprometido Contrato]],)</f>
        <v>#NAME?</v>
      </c>
      <c r="AC643" s="210" t="str">
        <f t="shared" ca="1" si="91"/>
        <v/>
      </c>
      <c r="AD643" s="210" t="e">
        <f ca="1">+MAX(PAA[[#This Row],[Pago por Contrato]],)</f>
        <v>#NAME?</v>
      </c>
      <c r="AE643" s="210" t="str">
        <f t="shared" ca="1" si="95"/>
        <v/>
      </c>
      <c r="AF643" s="199" t="e">
        <f t="shared" ca="1" si="96"/>
        <v>#NAME?</v>
      </c>
      <c r="AG643" s="199">
        <f t="shared" si="97"/>
        <v>52010703</v>
      </c>
      <c r="AH643" s="199" t="e" cm="1">
        <f t="array" aca="1" ref="AH643" ca="1">_xlfn.XLOOKUP(PAA[[#This Row],[RCP-RUBRO]],COMPROMISOS_2025[[#All],[concatenado]],COMPROMISOS_2025[[#All],[Total pagado]],"",0)</f>
        <v>#NAME?</v>
      </c>
      <c r="AI643" s="199" t="e" cm="1">
        <f t="array" aca="1" ref="AI643" ca="1">_xlfn.XLOOKUP(PAA[[#This Row],[RCP-RUBRO]],COMPROMISOS_2025[[#All],[concatenado]],COMPROMISOS_2025[[#All],[Total Comprometido]],"",0)</f>
        <v>#NAME?</v>
      </c>
    </row>
    <row r="644" spans="1:35" s="50" customFormat="1" ht="42" hidden="1" customHeight="1" x14ac:dyDescent="0.25">
      <c r="A644" s="199">
        <v>535</v>
      </c>
      <c r="B644" s="200">
        <v>80111600</v>
      </c>
      <c r="C644" s="199" t="str">
        <f>VLOOKUP(PAA[[#This Row],[PROYECTO (formulado)2]],PROYECTOS!$G$1:$L$32,6,0)</f>
        <v>SUBGERENCIA DE FOMENTO Y DESARROLLO</v>
      </c>
      <c r="D644" s="199" t="str">
        <f>+IF(PAA[[#This Row],[UNIDAD DE CONTRATACION (formulado)]]="Subgerencia Administrativa y Financiera","FUNCIONAMIENTO","INVERSIÓN")</f>
        <v>INVERSIÓN</v>
      </c>
      <c r="E644" s="201" t="str">
        <f>VLOOKUP(Q644,PROYECTOS!$G$1:$K$32,5,0)</f>
        <v>Asesoria y acompañamiento institucional para el deporte formativo, la recreación y la actividad física en el departamento de Antioquia</v>
      </c>
      <c r="F644" s="201">
        <f>VLOOKUP(E644,PROYECTOS!$K$1:$M$32,3,0)</f>
        <v>2024003050100</v>
      </c>
      <c r="G644" s="202" t="s">
        <v>267</v>
      </c>
      <c r="H644" s="202" t="str">
        <f>VLOOKUP(Q644,PROYECTOS!$V$1:$W$32,2,0)</f>
        <v>050071</v>
      </c>
      <c r="I644" s="203">
        <v>56616000</v>
      </c>
      <c r="J644" s="204" t="s">
        <v>737</v>
      </c>
      <c r="K644" s="199" t="str">
        <f t="shared" ca="1" si="92"/>
        <v>CONTRATADO</v>
      </c>
      <c r="L644" s="204" t="s">
        <v>112</v>
      </c>
      <c r="M644" s="204" t="s">
        <v>113</v>
      </c>
      <c r="N644" s="205" t="s">
        <v>306</v>
      </c>
      <c r="O644" s="204">
        <f>VLOOKUP(N644,RUBROS[#All],3,0)</f>
        <v>75</v>
      </c>
      <c r="P644" s="206" t="str">
        <f>VLOOKUP(N644,RUBROS[#All],2,0)</f>
        <v>Asesoria y acompañamiento institucional para el deporte formativo, la recreación y la actividad física en el departamento de Antioquia. - Servicios para la comunidad, sociales y personales</v>
      </c>
      <c r="Q644" s="199" t="str">
        <f t="shared" si="93"/>
        <v>10</v>
      </c>
      <c r="R644" s="199" t="str">
        <f t="shared" si="94"/>
        <v>0-101024</v>
      </c>
      <c r="S644" s="207">
        <v>10</v>
      </c>
      <c r="T644" s="208" t="s">
        <v>46</v>
      </c>
      <c r="U644" s="209" t="e">
        <f ca="1">_xlfn.XLOOKUP(PAA[[#This Row],[ITEM]],Contrato!A:A,Contrato!Q:Q,"",0)</f>
        <v>#NAME?</v>
      </c>
      <c r="V644" s="199" t="s">
        <v>47</v>
      </c>
      <c r="W644" s="199" t="s">
        <v>154</v>
      </c>
      <c r="X644" s="199" t="s">
        <v>154</v>
      </c>
      <c r="Y644" s="210" t="e">
        <f ca="1">_xlfn.XLOOKUP(PAA[[#This Row],[ITEM]],Contrato!A:A,Contrato!B:B,"",0)</f>
        <v>#NAME?</v>
      </c>
      <c r="Z644" s="199" t="e">
        <f ca="1">_xlfn.XLOOKUP(PAA[[#This Row],[ITEM]],Contrato!A:A,Contrato!G:G,"",0)</f>
        <v>#NAME?</v>
      </c>
      <c r="AA644" s="199" t="e">
        <f ca="1">_xlfn.XLOOKUP(PAA[[#This Row],[ITEM]],Contrato!A:A,Contrato!T:T,"",0)</f>
        <v>#NAME?</v>
      </c>
      <c r="AB644" s="210" t="e">
        <f ca="1">+MAX(PAA[[#This Row],[Comprometido Contrato]],)</f>
        <v>#NAME?</v>
      </c>
      <c r="AC644" s="210" t="str">
        <f t="shared" ca="1" si="91"/>
        <v/>
      </c>
      <c r="AD644" s="210" t="e">
        <f ca="1">+MAX(PAA[[#This Row],[Pago por Contrato]],)</f>
        <v>#NAME?</v>
      </c>
      <c r="AE644" s="210" t="str">
        <f t="shared" ca="1" si="95"/>
        <v/>
      </c>
      <c r="AF644" s="199" t="e">
        <f t="shared" ca="1" si="96"/>
        <v>#NAME?</v>
      </c>
      <c r="AG644" s="199">
        <f t="shared" si="97"/>
        <v>52010705</v>
      </c>
      <c r="AH644" s="199" t="e" cm="1">
        <f t="array" aca="1" ref="AH644" ca="1">_xlfn.XLOOKUP(PAA[[#This Row],[RCP-RUBRO]],COMPROMISOS_2025[[#All],[concatenado]],COMPROMISOS_2025[[#All],[Total pagado]],"",0)</f>
        <v>#NAME?</v>
      </c>
      <c r="AI644" s="199" t="e" cm="1">
        <f t="array" aca="1" ref="AI644" ca="1">_xlfn.XLOOKUP(PAA[[#This Row],[RCP-RUBRO]],COMPROMISOS_2025[[#All],[concatenado]],COMPROMISOS_2025[[#All],[Total Comprometido]],"",0)</f>
        <v>#NAME?</v>
      </c>
    </row>
    <row r="645" spans="1:35" s="50" customFormat="1" ht="42" hidden="1" customHeight="1" x14ac:dyDescent="0.25">
      <c r="A645" s="211">
        <v>536</v>
      </c>
      <c r="B645" s="228">
        <v>80111600</v>
      </c>
      <c r="C645" s="227" t="str">
        <f>VLOOKUP(PAA[[#This Row],[PROYECTO (formulado)2]],PROYECTOS!$G$1:$L$32,6,0)</f>
        <v>SUBGERENCIA ADMINISTRATIVA Y FINANCIERA</v>
      </c>
      <c r="D645" s="227" t="str">
        <f>+IF(PAA[[#This Row],[UNIDAD DE CONTRATACION (formulado)]]="Subgerencia Administrativa y Financiera","FUNCIONAMIENTO","INVERSIÓN")</f>
        <v>FUNCIONAMIENTO</v>
      </c>
      <c r="E645" s="229" t="str">
        <f>VLOOKUP(Q645,PROYECTOS!$G$1:$K$32,5,0)</f>
        <v>FUNCIONAMIENTO</v>
      </c>
      <c r="F645" s="229">
        <f>VLOOKUP(E645,PROYECTOS!$K$1:$M$32,3,0)</f>
        <v>999999</v>
      </c>
      <c r="G645" s="218" t="s">
        <v>42</v>
      </c>
      <c r="H645" s="230">
        <f>VLOOKUP(Q645,PROYECTOS!$V$1:$W$32,2,0)</f>
        <v>999999</v>
      </c>
      <c r="I645" s="231">
        <v>37609000</v>
      </c>
      <c r="J645" s="232" t="s">
        <v>738</v>
      </c>
      <c r="K645" s="227" t="str">
        <f t="shared" ca="1" si="92"/>
        <v>CONTRATADO</v>
      </c>
      <c r="L645" s="220" t="s">
        <v>112</v>
      </c>
      <c r="M645" s="220" t="s">
        <v>113</v>
      </c>
      <c r="N645" s="205" t="s">
        <v>114</v>
      </c>
      <c r="O645" s="232">
        <f>VLOOKUP(N645,RUBROS[#All],3,0)</f>
        <v>30</v>
      </c>
      <c r="P645" s="227" t="str">
        <f>VLOOKUP(N645,RUBROS[#All],2,0)</f>
        <v xml:space="preserve">Servicios prestados a las empresas y servicios de producción </v>
      </c>
      <c r="Q645" s="227" t="str">
        <f t="shared" si="93"/>
        <v>00</v>
      </c>
      <c r="R645" s="199" t="str">
        <f t="shared" si="94"/>
        <v>0-205616</v>
      </c>
      <c r="S645" s="211">
        <v>5</v>
      </c>
      <c r="T645" s="413" t="s">
        <v>46</v>
      </c>
      <c r="U645" s="234" t="e">
        <f ca="1">_xlfn.XLOOKUP(PAA[[#This Row],[ITEM]],Contrato!A:A,Contrato!Q:Q,"",0)</f>
        <v>#NAME?</v>
      </c>
      <c r="V645" s="207" t="s">
        <v>47</v>
      </c>
      <c r="W645" s="207" t="s">
        <v>154</v>
      </c>
      <c r="X645" s="207" t="s">
        <v>154</v>
      </c>
      <c r="Y645" s="235" t="e">
        <f ca="1">_xlfn.XLOOKUP(PAA[[#This Row],[ITEM]],Contrato!A:A,Contrato!B:B,"",0)</f>
        <v>#NAME?</v>
      </c>
      <c r="Z645" s="227" t="e">
        <f ca="1">_xlfn.XLOOKUP(PAA[[#This Row],[ITEM]],Contrato!A:A,Contrato!G:G,"",0)</f>
        <v>#NAME?</v>
      </c>
      <c r="AA645" s="227" t="e">
        <f ca="1">_xlfn.XLOOKUP(PAA[[#This Row],[ITEM]],Contrato!A:A,Contrato!T:T,"",0)</f>
        <v>#NAME?</v>
      </c>
      <c r="AB645" s="235" t="e">
        <f ca="1">+MAX(PAA[[#This Row],[Comprometido Contrato]],)</f>
        <v>#NAME?</v>
      </c>
      <c r="AC645" s="235" t="str">
        <f t="shared" ca="1" si="91"/>
        <v/>
      </c>
      <c r="AD645" s="235" t="e">
        <f ca="1">+MAX(PAA[[#This Row],[Pago por Contrato]],)</f>
        <v>#NAME?</v>
      </c>
      <c r="AE645" s="235" t="str">
        <f t="shared" ca="1" si="95"/>
        <v/>
      </c>
      <c r="AF645" s="227" t="e">
        <f t="shared" ca="1" si="96"/>
        <v>#NAME?</v>
      </c>
      <c r="AG645" s="227" t="str">
        <f t="shared" si="97"/>
        <v/>
      </c>
      <c r="AH645" s="227" t="e" cm="1">
        <f t="array" aca="1" ref="AH645" ca="1">_xlfn.XLOOKUP(PAA[[#This Row],[RCP-RUBRO]],COMPROMISOS_2025[[#All],[concatenado]],COMPROMISOS_2025[[#All],[Total pagado]],"",0)</f>
        <v>#NAME?</v>
      </c>
      <c r="AI645" s="227" t="e" cm="1">
        <f t="array" aca="1" ref="AI645" ca="1">_xlfn.XLOOKUP(PAA[[#This Row],[RCP-RUBRO]],COMPROMISOS_2025[[#All],[concatenado]],COMPROMISOS_2025[[#All],[Total Comprometido]],"",0)</f>
        <v>#NAME?</v>
      </c>
    </row>
    <row r="646" spans="1:35" s="50" customFormat="1" ht="42" hidden="1" customHeight="1" x14ac:dyDescent="0.25">
      <c r="A646" s="227">
        <v>537</v>
      </c>
      <c r="B646" s="225">
        <v>80111600</v>
      </c>
      <c r="C646" s="227" t="str">
        <f>VLOOKUP(PAA[[#This Row],[PROYECTO (formulado)2]],PROYECTOS!$G$1:$L$32,6,0)</f>
        <v>SUBGERENCIA DE FOMENTO Y DESARROLLO</v>
      </c>
      <c r="D646" s="227" t="str">
        <f>+IF(PAA[[#This Row],[UNIDAD DE CONTRATACION (formulado)]]="Subgerencia Administrativa y Financiera","FUNCIONAMIENTO","INVERSIÓN")</f>
        <v>INVERSIÓN</v>
      </c>
      <c r="E646" s="229" t="str">
        <f>VLOOKUP(Q646,PROYECTOS!$G$1:$K$32,5,0)</f>
        <v>Desarrollo y promoción del deporte formativo, la recreación y la actividad física en el departamento Antioquia</v>
      </c>
      <c r="F646" s="229">
        <f>VLOOKUP(E646,PROYECTOS!$K$1:$M$32,3,0)</f>
        <v>2024003050101</v>
      </c>
      <c r="G646" s="202" t="s">
        <v>297</v>
      </c>
      <c r="H646" s="230" t="str">
        <f>VLOOKUP(Q646,PROYECTOS!$V$1:$W$32,2,0)</f>
        <v>050075</v>
      </c>
      <c r="I646" s="231">
        <v>83968000</v>
      </c>
      <c r="J646" s="232" t="s">
        <v>739</v>
      </c>
      <c r="K646" s="227" t="str">
        <f t="shared" ca="1" si="92"/>
        <v>CONTRATADO</v>
      </c>
      <c r="L646" s="204" t="s">
        <v>112</v>
      </c>
      <c r="M646" s="204" t="s">
        <v>113</v>
      </c>
      <c r="N646" s="205" t="s">
        <v>296</v>
      </c>
      <c r="O646" s="232">
        <f>VLOOKUP(N646,RUBROS[#All],3,0)</f>
        <v>71</v>
      </c>
      <c r="P646" s="248" t="str">
        <f>VLOOKUP(N646,RUBROS[#All],2,0)</f>
        <v>Desarrollo y promoción del deporte formativo, la recreación y la actividad física en el departamento Antioquia-Servicios para la comunidad, sociales y personales</v>
      </c>
      <c r="Q646" s="227" t="str">
        <f t="shared" si="93"/>
        <v>01</v>
      </c>
      <c r="R646" s="199" t="str">
        <f t="shared" si="94"/>
        <v>0-205128</v>
      </c>
      <c r="S646" s="211">
        <v>10</v>
      </c>
      <c r="T646" s="250" t="s">
        <v>46</v>
      </c>
      <c r="U646" s="234" t="e">
        <f ca="1">_xlfn.XLOOKUP(PAA[[#This Row],[ITEM]],Contrato!A:A,Contrato!Q:Q,"",0)</f>
        <v>#NAME?</v>
      </c>
      <c r="V646" s="199" t="s">
        <v>47</v>
      </c>
      <c r="W646" s="199" t="s">
        <v>154</v>
      </c>
      <c r="X646" s="199" t="s">
        <v>154</v>
      </c>
      <c r="Y646" s="235" t="e">
        <f ca="1">_xlfn.XLOOKUP(PAA[[#This Row],[ITEM]],Contrato!A:A,Contrato!B:B,"",0)</f>
        <v>#NAME?</v>
      </c>
      <c r="Z646" s="227" t="e">
        <f ca="1">_xlfn.XLOOKUP(PAA[[#This Row],[ITEM]],Contrato!A:A,Contrato!G:G,"",0)</f>
        <v>#NAME?</v>
      </c>
      <c r="AA646" s="227" t="e">
        <f ca="1">_xlfn.XLOOKUP(PAA[[#This Row],[ITEM]],Contrato!A:A,Contrato!T:T,"",0)</f>
        <v>#NAME?</v>
      </c>
      <c r="AB646" s="235" t="e">
        <f ca="1">+MAX(PAA[[#This Row],[Comprometido Contrato]],)</f>
        <v>#NAME?</v>
      </c>
      <c r="AC646" s="235" t="str">
        <f t="shared" ref="AC646:AC712" ca="1" si="98">IFERROR(I646-AB646,"")</f>
        <v/>
      </c>
      <c r="AD646" s="235" t="e">
        <f ca="1">+MAX(PAA[[#This Row],[Pago por Contrato]],)</f>
        <v>#NAME?</v>
      </c>
      <c r="AE646" s="235" t="str">
        <f t="shared" ca="1" si="95"/>
        <v/>
      </c>
      <c r="AF646" s="227" t="e">
        <f t="shared" ca="1" si="96"/>
        <v>#NAME?</v>
      </c>
      <c r="AG646" s="227">
        <f t="shared" si="97"/>
        <v>52010702</v>
      </c>
      <c r="AH646" s="227" t="e" cm="1">
        <f t="array" aca="1" ref="AH646" ca="1">_xlfn.XLOOKUP(PAA[[#This Row],[RCP-RUBRO]],COMPROMISOS_2025[[#All],[concatenado]],COMPROMISOS_2025[[#All],[Total pagado]],"",0)</f>
        <v>#NAME?</v>
      </c>
      <c r="AI646" s="227" t="e" cm="1">
        <f t="array" aca="1" ref="AI646" ca="1">_xlfn.XLOOKUP(PAA[[#This Row],[RCP-RUBRO]],COMPROMISOS_2025[[#All],[concatenado]],COMPROMISOS_2025[[#All],[Total Comprometido]],"",0)</f>
        <v>#NAME?</v>
      </c>
    </row>
    <row r="647" spans="1:35" s="50" customFormat="1" ht="42" hidden="1" customHeight="1" x14ac:dyDescent="0.25">
      <c r="A647" s="227">
        <v>538</v>
      </c>
      <c r="B647" s="225">
        <v>80111600</v>
      </c>
      <c r="C647" s="227" t="str">
        <f>VLOOKUP(PAA[[#This Row],[PROYECTO (formulado)2]],PROYECTOS!$G$1:$L$32,6,0)</f>
        <v>SUBGERENCIA DE FOMENTO Y DESARROLLO</v>
      </c>
      <c r="D647" s="227" t="str">
        <f>+IF(PAA[[#This Row],[UNIDAD DE CONTRATACION (formulado)]]="Subgerencia Administrativa y Financiera","FUNCIONAMIENTO","INVERSIÓN")</f>
        <v>INVERSIÓN</v>
      </c>
      <c r="E647" s="229" t="str">
        <f>VLOOKUP(Q647,PROYECTOS!$G$1:$K$32,5,0)</f>
        <v>Desarrollo y promoción del deporte formativo, la recreación y la actividad física en el departamento Antioquia</v>
      </c>
      <c r="F647" s="229">
        <f>VLOOKUP(E647,PROYECTOS!$K$1:$M$32,3,0)</f>
        <v>2024003050101</v>
      </c>
      <c r="G647" s="202" t="s">
        <v>297</v>
      </c>
      <c r="H647" s="230" t="str">
        <f>VLOOKUP(Q647,PROYECTOS!$V$1:$W$32,2,0)</f>
        <v>050075</v>
      </c>
      <c r="I647" s="231">
        <v>83968000</v>
      </c>
      <c r="J647" s="232" t="s">
        <v>740</v>
      </c>
      <c r="K647" s="227" t="str">
        <f t="shared" ca="1" si="92"/>
        <v>CONTRATADO</v>
      </c>
      <c r="L647" s="204" t="s">
        <v>112</v>
      </c>
      <c r="M647" s="204" t="s">
        <v>113</v>
      </c>
      <c r="N647" s="205" t="s">
        <v>296</v>
      </c>
      <c r="O647" s="232">
        <f>VLOOKUP(N647,RUBROS[#All],3,0)</f>
        <v>71</v>
      </c>
      <c r="P647" s="248" t="str">
        <f>VLOOKUP(N647,RUBROS[#All],2,0)</f>
        <v>Desarrollo y promoción del deporte formativo, la recreación y la actividad física en el departamento Antioquia-Servicios para la comunidad, sociales y personales</v>
      </c>
      <c r="Q647" s="227" t="str">
        <f t="shared" si="93"/>
        <v>01</v>
      </c>
      <c r="R647" s="199" t="str">
        <f t="shared" si="94"/>
        <v>0-205128</v>
      </c>
      <c r="S647" s="211">
        <v>10</v>
      </c>
      <c r="T647" s="250" t="s">
        <v>46</v>
      </c>
      <c r="U647" s="234" t="e">
        <f ca="1">_xlfn.XLOOKUP(PAA[[#This Row],[ITEM]],Contrato!A:A,Contrato!Q:Q,"",0)</f>
        <v>#NAME?</v>
      </c>
      <c r="V647" s="199" t="s">
        <v>47</v>
      </c>
      <c r="W647" s="199" t="s">
        <v>154</v>
      </c>
      <c r="X647" s="199" t="s">
        <v>154</v>
      </c>
      <c r="Y647" s="235" t="e">
        <f ca="1">_xlfn.XLOOKUP(PAA[[#This Row],[ITEM]],Contrato!A:A,Contrato!B:B,"",0)</f>
        <v>#NAME?</v>
      </c>
      <c r="Z647" s="227" t="e">
        <f ca="1">_xlfn.XLOOKUP(PAA[[#This Row],[ITEM]],Contrato!A:A,Contrato!G:G,"",0)</f>
        <v>#NAME?</v>
      </c>
      <c r="AA647" s="227" t="e">
        <f ca="1">_xlfn.XLOOKUP(PAA[[#This Row],[ITEM]],Contrato!A:A,Contrato!T:T,"",0)</f>
        <v>#NAME?</v>
      </c>
      <c r="AB647" s="235" t="e">
        <f ca="1">+MAX(PAA[[#This Row],[Comprometido Contrato]],)</f>
        <v>#NAME?</v>
      </c>
      <c r="AC647" s="235" t="str">
        <f t="shared" ca="1" si="98"/>
        <v/>
      </c>
      <c r="AD647" s="235" t="e">
        <f ca="1">+MAX(PAA[[#This Row],[Pago por Contrato]],)</f>
        <v>#NAME?</v>
      </c>
      <c r="AE647" s="235" t="str">
        <f t="shared" ca="1" si="95"/>
        <v/>
      </c>
      <c r="AF647" s="227" t="e">
        <f t="shared" ca="1" si="96"/>
        <v>#NAME?</v>
      </c>
      <c r="AG647" s="227">
        <f t="shared" si="97"/>
        <v>52010702</v>
      </c>
      <c r="AH647" s="227" t="e" cm="1">
        <f t="array" aca="1" ref="AH647" ca="1">_xlfn.XLOOKUP(PAA[[#This Row],[RCP-RUBRO]],COMPROMISOS_2025[[#All],[concatenado]],COMPROMISOS_2025[[#All],[Total pagado]],"",0)</f>
        <v>#NAME?</v>
      </c>
      <c r="AI647" s="227" t="e" cm="1">
        <f t="array" aca="1" ref="AI647" ca="1">_xlfn.XLOOKUP(PAA[[#This Row],[RCP-RUBRO]],COMPROMISOS_2025[[#All],[concatenado]],COMPROMISOS_2025[[#All],[Total Comprometido]],"",0)</f>
        <v>#NAME?</v>
      </c>
    </row>
    <row r="648" spans="1:35" s="50" customFormat="1" ht="42" hidden="1" customHeight="1" x14ac:dyDescent="0.25">
      <c r="A648" s="199">
        <v>539</v>
      </c>
      <c r="B648" s="200">
        <v>80111600</v>
      </c>
      <c r="C648" s="199" t="str">
        <f>VLOOKUP(PAA[[#This Row],[PROYECTO (formulado)2]],PROYECTOS!$G$1:$L$32,6,0)</f>
        <v>SUBGERENCIA DE FOMENTO Y DESARROLLO</v>
      </c>
      <c r="D648" s="199" t="str">
        <f>+IF(PAA[[#This Row],[UNIDAD DE CONTRATACION (formulado)]]="Subgerencia Administrativa y Financiera","FUNCIONAMIENTO","INVERSIÓN")</f>
        <v>INVERSIÓN</v>
      </c>
      <c r="E648" s="201" t="str">
        <f>VLOOKUP(Q648,PROYECTOS!$G$1:$K$32,5,0)</f>
        <v>Desarrollo y promoción del deporte formativo, la recreación y la actividad física en el departamento Antioquia</v>
      </c>
      <c r="F648" s="201">
        <f>VLOOKUP(E648,PROYECTOS!$K$1:$M$32,3,0)</f>
        <v>2024003050101</v>
      </c>
      <c r="G648" s="202" t="s">
        <v>264</v>
      </c>
      <c r="H648" s="202" t="str">
        <f>VLOOKUP(Q648,PROYECTOS!$V$1:$W$32,2,0)</f>
        <v>050075</v>
      </c>
      <c r="I648" s="203">
        <v>83968000</v>
      </c>
      <c r="J648" s="204" t="s">
        <v>741</v>
      </c>
      <c r="K648" s="199" t="str">
        <f t="shared" ca="1" si="92"/>
        <v>CONTRATADO</v>
      </c>
      <c r="L648" s="204" t="s">
        <v>112</v>
      </c>
      <c r="M648" s="204" t="s">
        <v>113</v>
      </c>
      <c r="N648" s="205" t="s">
        <v>296</v>
      </c>
      <c r="O648" s="204">
        <f>VLOOKUP(N648,RUBROS[#All],3,0)</f>
        <v>71</v>
      </c>
      <c r="P648" s="206" t="str">
        <f>VLOOKUP(N648,RUBROS[#All],2,0)</f>
        <v>Desarrollo y promoción del deporte formativo, la recreación y la actividad física en el departamento Antioquia-Servicios para la comunidad, sociales y personales</v>
      </c>
      <c r="Q648" s="199" t="str">
        <f t="shared" si="93"/>
        <v>01</v>
      </c>
      <c r="R648" s="199" t="str">
        <f t="shared" si="94"/>
        <v>0-205128</v>
      </c>
      <c r="S648" s="207">
        <v>10</v>
      </c>
      <c r="T648" s="208" t="s">
        <v>46</v>
      </c>
      <c r="U648" s="209" t="e">
        <f ca="1">_xlfn.XLOOKUP(PAA[[#This Row],[ITEM]],Contrato!A:A,Contrato!Q:Q,"",0)</f>
        <v>#NAME?</v>
      </c>
      <c r="V648" s="199" t="s">
        <v>47</v>
      </c>
      <c r="W648" s="199" t="s">
        <v>154</v>
      </c>
      <c r="X648" s="199" t="s">
        <v>154</v>
      </c>
      <c r="Y648" s="210" t="e">
        <f ca="1">_xlfn.XLOOKUP(PAA[[#This Row],[ITEM]],Contrato!A:A,Contrato!B:B,"",0)</f>
        <v>#NAME?</v>
      </c>
      <c r="Z648" s="199" t="e">
        <f ca="1">_xlfn.XLOOKUP(PAA[[#This Row],[ITEM]],Contrato!A:A,Contrato!G:G,"",0)</f>
        <v>#NAME?</v>
      </c>
      <c r="AA648" s="199" t="e">
        <f ca="1">_xlfn.XLOOKUP(PAA[[#This Row],[ITEM]],Contrato!A:A,Contrato!T:T,"",0)</f>
        <v>#NAME?</v>
      </c>
      <c r="AB648" s="210" t="e">
        <f ca="1">+MAX(PAA[[#This Row],[Comprometido Contrato]],)</f>
        <v>#NAME?</v>
      </c>
      <c r="AC648" s="210" t="str">
        <f t="shared" ca="1" si="98"/>
        <v/>
      </c>
      <c r="AD648" s="210" t="e">
        <f ca="1">+MAX(PAA[[#This Row],[Pago por Contrato]],)</f>
        <v>#NAME?</v>
      </c>
      <c r="AE648" s="210" t="str">
        <f t="shared" ca="1" si="95"/>
        <v/>
      </c>
      <c r="AF648" s="199" t="e">
        <f t="shared" ca="1" si="96"/>
        <v>#NAME?</v>
      </c>
      <c r="AG648" s="199">
        <f t="shared" si="97"/>
        <v>52010702</v>
      </c>
      <c r="AH648" s="199" t="e" cm="1">
        <f t="array" aca="1" ref="AH648" ca="1">_xlfn.XLOOKUP(PAA[[#This Row],[RCP-RUBRO]],COMPROMISOS_2025[[#All],[concatenado]],COMPROMISOS_2025[[#All],[Total pagado]],"",0)</f>
        <v>#NAME?</v>
      </c>
      <c r="AI648" s="199" t="e" cm="1">
        <f t="array" aca="1" ref="AI648" ca="1">_xlfn.XLOOKUP(PAA[[#This Row],[RCP-RUBRO]],COMPROMISOS_2025[[#All],[concatenado]],COMPROMISOS_2025[[#All],[Total Comprometido]],"",0)</f>
        <v>#NAME?</v>
      </c>
    </row>
    <row r="649" spans="1:35" s="50" customFormat="1" ht="42" hidden="1" customHeight="1" x14ac:dyDescent="0.25">
      <c r="A649" s="227">
        <v>540</v>
      </c>
      <c r="B649" s="225">
        <v>80111600</v>
      </c>
      <c r="C649" s="227" t="str">
        <f>VLOOKUP(PAA[[#This Row],[PROYECTO (formulado)2]],PROYECTOS!$G$1:$L$32,6,0)</f>
        <v>SUBGERENCIA DE FOMENTO Y DESARROLLO</v>
      </c>
      <c r="D649" s="227" t="str">
        <f>+IF(PAA[[#This Row],[UNIDAD DE CONTRATACION (formulado)]]="Subgerencia Administrativa y Financiera","FUNCIONAMIENTO","INVERSIÓN")</f>
        <v>INVERSIÓN</v>
      </c>
      <c r="E649" s="229" t="str">
        <f>VLOOKUP(Q649,PROYECTOS!$G$1:$K$32,5,0)</f>
        <v>Desarrollo y promoción del deporte formativo, la recreación y la actividad física en el departamento Antioquia</v>
      </c>
      <c r="F649" s="229">
        <f>VLOOKUP(E649,PROYECTOS!$K$1:$M$32,3,0)</f>
        <v>2024003050101</v>
      </c>
      <c r="G649" s="202" t="s">
        <v>289</v>
      </c>
      <c r="H649" s="230" t="str">
        <f>VLOOKUP(Q649,PROYECTOS!$V$1:$W$32,2,0)</f>
        <v>050075</v>
      </c>
      <c r="I649" s="231">
        <v>42940000</v>
      </c>
      <c r="J649" s="232" t="s">
        <v>731</v>
      </c>
      <c r="K649" s="227" t="str">
        <f t="shared" ca="1" si="92"/>
        <v>CONTRATADO</v>
      </c>
      <c r="L649" s="204" t="s">
        <v>112</v>
      </c>
      <c r="M649" s="204" t="s">
        <v>113</v>
      </c>
      <c r="N649" s="205" t="s">
        <v>296</v>
      </c>
      <c r="O649" s="232">
        <f>VLOOKUP(N649,RUBROS[#All],3,0)</f>
        <v>71</v>
      </c>
      <c r="P649" s="248" t="str">
        <f>VLOOKUP(N649,RUBROS[#All],2,0)</f>
        <v>Desarrollo y promoción del deporte formativo, la recreación y la actividad física en el departamento Antioquia-Servicios para la comunidad, sociales y personales</v>
      </c>
      <c r="Q649" s="227" t="str">
        <f t="shared" si="93"/>
        <v>01</v>
      </c>
      <c r="R649" s="199" t="str">
        <f t="shared" si="94"/>
        <v>0-205128</v>
      </c>
      <c r="S649" s="211">
        <v>10</v>
      </c>
      <c r="T649" s="250" t="s">
        <v>46</v>
      </c>
      <c r="U649" s="234" t="e">
        <f ca="1">_xlfn.XLOOKUP(PAA[[#This Row],[ITEM]],Contrato!A:A,Contrato!Q:Q,"",0)</f>
        <v>#NAME?</v>
      </c>
      <c r="V649" s="199" t="s">
        <v>47</v>
      </c>
      <c r="W649" s="199" t="s">
        <v>154</v>
      </c>
      <c r="X649" s="199" t="s">
        <v>154</v>
      </c>
      <c r="Y649" s="235" t="e">
        <f ca="1">_xlfn.XLOOKUP(PAA[[#This Row],[ITEM]],Contrato!A:A,Contrato!B:B,"",0)</f>
        <v>#NAME?</v>
      </c>
      <c r="Z649" s="227" t="e">
        <f ca="1">_xlfn.XLOOKUP(PAA[[#This Row],[ITEM]],Contrato!A:A,Contrato!G:G,"",0)</f>
        <v>#NAME?</v>
      </c>
      <c r="AA649" s="227" t="e">
        <f ca="1">_xlfn.XLOOKUP(PAA[[#This Row],[ITEM]],Contrato!A:A,Contrato!T:T,"",0)</f>
        <v>#NAME?</v>
      </c>
      <c r="AB649" s="235" t="e">
        <f ca="1">+MAX(PAA[[#This Row],[Comprometido Contrato]],)</f>
        <v>#NAME?</v>
      </c>
      <c r="AC649" s="235" t="str">
        <f t="shared" ca="1" si="98"/>
        <v/>
      </c>
      <c r="AD649" s="235" t="e">
        <f ca="1">+MAX(PAA[[#This Row],[Pago por Contrato]],)</f>
        <v>#NAME?</v>
      </c>
      <c r="AE649" s="235" t="str">
        <f t="shared" ca="1" si="95"/>
        <v/>
      </c>
      <c r="AF649" s="227" t="e">
        <f t="shared" ca="1" si="96"/>
        <v>#NAME?</v>
      </c>
      <c r="AG649" s="227">
        <f t="shared" si="97"/>
        <v>52010702</v>
      </c>
      <c r="AH649" s="227" t="e" cm="1">
        <f t="array" aca="1" ref="AH649" ca="1">_xlfn.XLOOKUP(PAA[[#This Row],[RCP-RUBRO]],COMPROMISOS_2025[[#All],[concatenado]],COMPROMISOS_2025[[#All],[Total pagado]],"",0)</f>
        <v>#NAME?</v>
      </c>
      <c r="AI649" s="227" t="e" cm="1">
        <f t="array" aca="1" ref="AI649" ca="1">_xlfn.XLOOKUP(PAA[[#This Row],[RCP-RUBRO]],COMPROMISOS_2025[[#All],[concatenado]],COMPROMISOS_2025[[#All],[Total Comprometido]],"",0)</f>
        <v>#NAME?</v>
      </c>
    </row>
    <row r="650" spans="1:35" s="50" customFormat="1" ht="42" hidden="1" customHeight="1" x14ac:dyDescent="0.25">
      <c r="A650" s="199">
        <v>541</v>
      </c>
      <c r="B650" s="200">
        <v>80111600</v>
      </c>
      <c r="C650" s="199" t="str">
        <f>VLOOKUP(PAA[[#This Row],[PROYECTO (formulado)2]],PROYECTOS!$G$1:$L$32,6,0)</f>
        <v>SUBGERENCIA DE FOMENTO Y DESARROLLO</v>
      </c>
      <c r="D650" s="199" t="str">
        <f>+IF(PAA[[#This Row],[UNIDAD DE CONTRATACION (formulado)]]="Subgerencia Administrativa y Financiera","FUNCIONAMIENTO","INVERSIÓN")</f>
        <v>INVERSIÓN</v>
      </c>
      <c r="E650" s="201" t="str">
        <f>VLOOKUP(Q650,PROYECTOS!$G$1:$K$32,5,0)</f>
        <v>Fortalecimiento de los juegos deportivos institucionales en los municipios del departamento de Antioquia</v>
      </c>
      <c r="F650" s="201">
        <f>VLOOKUP(E650,PROYECTOS!$K$1:$M$32,3,0)</f>
        <v>2024003050073</v>
      </c>
      <c r="G650" s="202" t="s">
        <v>335</v>
      </c>
      <c r="H650" s="202" t="str">
        <f>VLOOKUP(Q650,PROYECTOS!$V$1:$W$32,2,0)</f>
        <v>050081</v>
      </c>
      <c r="I650" s="203">
        <v>87718000</v>
      </c>
      <c r="J650" s="204" t="s">
        <v>742</v>
      </c>
      <c r="K650" s="199" t="str">
        <f t="shared" ca="1" si="92"/>
        <v>CONTRATADO</v>
      </c>
      <c r="L650" s="204" t="s">
        <v>112</v>
      </c>
      <c r="M650" s="204" t="s">
        <v>113</v>
      </c>
      <c r="N650" s="205" t="s">
        <v>315</v>
      </c>
      <c r="O650" s="204">
        <f>VLOOKUP(N650,RUBROS[#All],3,0)</f>
        <v>82</v>
      </c>
      <c r="P650" s="206" t="str">
        <f>VLOOKUP(N650,RUBROS[#All],2,0)</f>
        <v>Fortalecimiento de los juegos deportivos institucionales en los municipios del departamento de Antioquia - Servicios para la comunidad, sociales y personales</v>
      </c>
      <c r="Q650" s="199" t="str">
        <f t="shared" si="93"/>
        <v>73</v>
      </c>
      <c r="R650" s="199" t="str">
        <f t="shared" si="94"/>
        <v>0-205128</v>
      </c>
      <c r="S650" s="207">
        <v>10</v>
      </c>
      <c r="T650" s="208" t="s">
        <v>46</v>
      </c>
      <c r="U650" s="209" t="e">
        <f ca="1">_xlfn.XLOOKUP(PAA[[#This Row],[ITEM]],Contrato!A:A,Contrato!Q:Q,"",0)</f>
        <v>#NAME?</v>
      </c>
      <c r="V650" s="199" t="s">
        <v>47</v>
      </c>
      <c r="W650" s="199" t="s">
        <v>154</v>
      </c>
      <c r="X650" s="199" t="s">
        <v>154</v>
      </c>
      <c r="Y650" s="210" t="e">
        <f ca="1">_xlfn.XLOOKUP(PAA[[#This Row],[ITEM]],Contrato!A:A,Contrato!B:B,"",0)</f>
        <v>#NAME?</v>
      </c>
      <c r="Z650" s="199" t="e">
        <f ca="1">_xlfn.XLOOKUP(PAA[[#This Row],[ITEM]],Contrato!A:A,Contrato!G:G,"",0)</f>
        <v>#NAME?</v>
      </c>
      <c r="AA650" s="199" t="e">
        <f ca="1">_xlfn.XLOOKUP(PAA[[#This Row],[ITEM]],Contrato!A:A,Contrato!T:T,"",0)</f>
        <v>#NAME?</v>
      </c>
      <c r="AB650" s="210" t="e">
        <f ca="1">+MAX(PAA[[#This Row],[Comprometido Contrato]],)</f>
        <v>#NAME?</v>
      </c>
      <c r="AC650" s="210" t="str">
        <f t="shared" ca="1" si="98"/>
        <v/>
      </c>
      <c r="AD650" s="210" t="e">
        <f ca="1">+MAX(PAA[[#This Row],[Pago por Contrato]],)</f>
        <v>#NAME?</v>
      </c>
      <c r="AE650" s="210" t="str">
        <f t="shared" ca="1" si="95"/>
        <v/>
      </c>
      <c r="AF650" s="199" t="e">
        <f t="shared" ca="1" si="96"/>
        <v>#NAME?</v>
      </c>
      <c r="AG650" s="199">
        <f t="shared" si="97"/>
        <v>52010703</v>
      </c>
      <c r="AH650" s="199" t="e" cm="1">
        <f t="array" aca="1" ref="AH650" ca="1">_xlfn.XLOOKUP(PAA[[#This Row],[RCP-RUBRO]],COMPROMISOS_2025[[#All],[concatenado]],COMPROMISOS_2025[[#All],[Total pagado]],"",0)</f>
        <v>#NAME?</v>
      </c>
      <c r="AI650" s="199" t="e" cm="1">
        <f t="array" aca="1" ref="AI650" ca="1">_xlfn.XLOOKUP(PAA[[#This Row],[RCP-RUBRO]],COMPROMISOS_2025[[#All],[concatenado]],COMPROMISOS_2025[[#All],[Total Comprometido]],"",0)</f>
        <v>#NAME?</v>
      </c>
    </row>
    <row r="651" spans="1:35" s="50" customFormat="1" ht="42" hidden="1" customHeight="1" x14ac:dyDescent="0.25">
      <c r="A651" s="199">
        <v>542</v>
      </c>
      <c r="B651" s="200">
        <v>80111600</v>
      </c>
      <c r="C651" s="199" t="str">
        <f>VLOOKUP(PAA[[#This Row],[PROYECTO (formulado)2]],PROYECTOS!$G$1:$L$32,6,0)</f>
        <v>SUBGERENCIA DE FOMENTO Y DESARROLLO</v>
      </c>
      <c r="D651" s="199" t="str">
        <f>+IF(PAA[[#This Row],[UNIDAD DE CONTRATACION (formulado)]]="Subgerencia Administrativa y Financiera","FUNCIONAMIENTO","INVERSIÓN")</f>
        <v>INVERSIÓN</v>
      </c>
      <c r="E651" s="201" t="str">
        <f>VLOOKUP(Q651,PROYECTOS!$G$1:$K$32,5,0)</f>
        <v>Desarrollo y promoción del deporte formativo, la recreación y la actividad física en el departamento Antioquia</v>
      </c>
      <c r="F651" s="201">
        <f>VLOOKUP(E651,PROYECTOS!$K$1:$M$32,3,0)</f>
        <v>2024003050101</v>
      </c>
      <c r="G651" s="202" t="s">
        <v>299</v>
      </c>
      <c r="H651" s="202" t="str">
        <f>VLOOKUP(Q651,PROYECTOS!$V$1:$W$32,2,0)</f>
        <v>050075</v>
      </c>
      <c r="I651" s="203">
        <v>85218000</v>
      </c>
      <c r="J651" s="204" t="s">
        <v>743</v>
      </c>
      <c r="K651" s="199" t="str">
        <f t="shared" ca="1" si="92"/>
        <v>CONTRATADO</v>
      </c>
      <c r="L651" s="204" t="s">
        <v>112</v>
      </c>
      <c r="M651" s="204" t="s">
        <v>113</v>
      </c>
      <c r="N651" s="205" t="s">
        <v>296</v>
      </c>
      <c r="O651" s="204">
        <f>VLOOKUP(N651,RUBROS[#All],3,0)</f>
        <v>71</v>
      </c>
      <c r="P651" s="206" t="str">
        <f>VLOOKUP(N651,RUBROS[#All],2,0)</f>
        <v>Desarrollo y promoción del deporte formativo, la recreación y la actividad física en el departamento Antioquia-Servicios para la comunidad, sociales y personales</v>
      </c>
      <c r="Q651" s="199" t="str">
        <f t="shared" si="93"/>
        <v>01</v>
      </c>
      <c r="R651" s="199" t="str">
        <f t="shared" si="94"/>
        <v>0-205128</v>
      </c>
      <c r="S651" s="207">
        <v>10</v>
      </c>
      <c r="T651" s="208" t="s">
        <v>46</v>
      </c>
      <c r="U651" s="209" t="e">
        <f ca="1">_xlfn.XLOOKUP(PAA[[#This Row],[ITEM]],Contrato!A:A,Contrato!Q:Q,"",0)</f>
        <v>#NAME?</v>
      </c>
      <c r="V651" s="199" t="s">
        <v>47</v>
      </c>
      <c r="W651" s="199" t="s">
        <v>154</v>
      </c>
      <c r="X651" s="199" t="s">
        <v>154</v>
      </c>
      <c r="Y651" s="210" t="e">
        <f ca="1">_xlfn.XLOOKUP(PAA[[#This Row],[ITEM]],Contrato!A:A,Contrato!B:B,"",0)</f>
        <v>#NAME?</v>
      </c>
      <c r="Z651" s="199" t="e">
        <f ca="1">_xlfn.XLOOKUP(PAA[[#This Row],[ITEM]],Contrato!A:A,Contrato!G:G,"",0)</f>
        <v>#NAME?</v>
      </c>
      <c r="AA651" s="199" t="e">
        <f ca="1">_xlfn.XLOOKUP(PAA[[#This Row],[ITEM]],Contrato!A:A,Contrato!T:T,"",0)</f>
        <v>#NAME?</v>
      </c>
      <c r="AB651" s="210" t="e">
        <f ca="1">+MAX(PAA[[#This Row],[Comprometido Contrato]],)</f>
        <v>#NAME?</v>
      </c>
      <c r="AC651" s="210" t="str">
        <f t="shared" ca="1" si="98"/>
        <v/>
      </c>
      <c r="AD651" s="210" t="e">
        <f ca="1">+MAX(PAA[[#This Row],[Pago por Contrato]],)</f>
        <v>#NAME?</v>
      </c>
      <c r="AE651" s="210" t="str">
        <f t="shared" ca="1" si="95"/>
        <v/>
      </c>
      <c r="AF651" s="199" t="e">
        <f t="shared" ca="1" si="96"/>
        <v>#NAME?</v>
      </c>
      <c r="AG651" s="199">
        <f t="shared" si="97"/>
        <v>52010702</v>
      </c>
      <c r="AH651" s="199" t="e" cm="1">
        <f t="array" aca="1" ref="AH651" ca="1">_xlfn.XLOOKUP(PAA[[#This Row],[RCP-RUBRO]],COMPROMISOS_2025[[#All],[concatenado]],COMPROMISOS_2025[[#All],[Total pagado]],"",0)</f>
        <v>#NAME?</v>
      </c>
      <c r="AI651" s="199" t="e" cm="1">
        <f t="array" aca="1" ref="AI651" ca="1">_xlfn.XLOOKUP(PAA[[#This Row],[RCP-RUBRO]],COMPROMISOS_2025[[#All],[concatenado]],COMPROMISOS_2025[[#All],[Total Comprometido]],"",0)</f>
        <v>#NAME?</v>
      </c>
    </row>
    <row r="652" spans="1:35" s="50" customFormat="1" ht="42" hidden="1" customHeight="1" x14ac:dyDescent="0.25">
      <c r="A652" s="199">
        <v>543</v>
      </c>
      <c r="B652" s="200">
        <v>80111600</v>
      </c>
      <c r="C652" s="199" t="str">
        <f>VLOOKUP(PAA[[#This Row],[PROYECTO (formulado)2]],PROYECTOS!$G$1:$L$32,6,0)</f>
        <v>SUBGERENCIA DE FOMENTO Y DESARROLLO</v>
      </c>
      <c r="D652" s="199" t="str">
        <f>+IF(PAA[[#This Row],[UNIDAD DE CONTRATACION (formulado)]]="Subgerencia Administrativa y Financiera","FUNCIONAMIENTO","INVERSIÓN")</f>
        <v>INVERSIÓN</v>
      </c>
      <c r="E652" s="201" t="str">
        <f>VLOOKUP(Q652,PROYECTOS!$G$1:$K$32,5,0)</f>
        <v>Desarrollo y promoción del deporte formativo, la recreación y la actividad física en el departamento Antioquia</v>
      </c>
      <c r="F652" s="201">
        <f>VLOOKUP(E652,PROYECTOS!$K$1:$M$32,3,0)</f>
        <v>2024003050101</v>
      </c>
      <c r="G652" s="202" t="s">
        <v>295</v>
      </c>
      <c r="H652" s="202" t="str">
        <f>VLOOKUP(Q652,PROYECTOS!$V$1:$W$32,2,0)</f>
        <v>050075</v>
      </c>
      <c r="I652" s="203">
        <v>85218000</v>
      </c>
      <c r="J652" s="204" t="s">
        <v>729</v>
      </c>
      <c r="K652" s="199" t="str">
        <f t="shared" ca="1" si="92"/>
        <v>CONTRATADO</v>
      </c>
      <c r="L652" s="204" t="s">
        <v>112</v>
      </c>
      <c r="M652" s="204" t="s">
        <v>113</v>
      </c>
      <c r="N652" s="205" t="s">
        <v>296</v>
      </c>
      <c r="O652" s="204">
        <f>VLOOKUP(N652,RUBROS[#All],3,0)</f>
        <v>71</v>
      </c>
      <c r="P652" s="206" t="str">
        <f>VLOOKUP(N652,RUBROS[#All],2,0)</f>
        <v>Desarrollo y promoción del deporte formativo, la recreación y la actividad física en el departamento Antioquia-Servicios para la comunidad, sociales y personales</v>
      </c>
      <c r="Q652" s="199" t="str">
        <f t="shared" si="93"/>
        <v>01</v>
      </c>
      <c r="R652" s="199" t="str">
        <f t="shared" si="94"/>
        <v>0-205128</v>
      </c>
      <c r="S652" s="207">
        <v>10</v>
      </c>
      <c r="T652" s="208" t="s">
        <v>46</v>
      </c>
      <c r="U652" s="209" t="e">
        <f ca="1">_xlfn.XLOOKUP(PAA[[#This Row],[ITEM]],Contrato!A:A,Contrato!Q:Q,"",0)</f>
        <v>#NAME?</v>
      </c>
      <c r="V652" s="199" t="s">
        <v>47</v>
      </c>
      <c r="W652" s="199" t="s">
        <v>154</v>
      </c>
      <c r="X652" s="199" t="s">
        <v>154</v>
      </c>
      <c r="Y652" s="210" t="e">
        <f ca="1">_xlfn.XLOOKUP(PAA[[#This Row],[ITEM]],Contrato!A:A,Contrato!B:B,"",0)</f>
        <v>#NAME?</v>
      </c>
      <c r="Z652" s="199" t="e">
        <f ca="1">_xlfn.XLOOKUP(PAA[[#This Row],[ITEM]],Contrato!A:A,Contrato!G:G,"",0)</f>
        <v>#NAME?</v>
      </c>
      <c r="AA652" s="199" t="e">
        <f ca="1">_xlfn.XLOOKUP(PAA[[#This Row],[ITEM]],Contrato!A:A,Contrato!T:T,"",0)</f>
        <v>#NAME?</v>
      </c>
      <c r="AB652" s="210" t="e">
        <f ca="1">+MAX(PAA[[#This Row],[Comprometido Contrato]],)</f>
        <v>#NAME?</v>
      </c>
      <c r="AC652" s="210" t="str">
        <f t="shared" ca="1" si="98"/>
        <v/>
      </c>
      <c r="AD652" s="210" t="e">
        <f ca="1">+MAX(PAA[[#This Row],[Pago por Contrato]],)</f>
        <v>#NAME?</v>
      </c>
      <c r="AE652" s="210" t="str">
        <f t="shared" ca="1" si="95"/>
        <v/>
      </c>
      <c r="AF652" s="199" t="e">
        <f t="shared" ca="1" si="96"/>
        <v>#NAME?</v>
      </c>
      <c r="AG652" s="199">
        <f t="shared" si="97"/>
        <v>52010702</v>
      </c>
      <c r="AH652" s="199" t="e" cm="1">
        <f t="array" aca="1" ref="AH652" ca="1">_xlfn.XLOOKUP(PAA[[#This Row],[RCP-RUBRO]],COMPROMISOS_2025[[#All],[concatenado]],COMPROMISOS_2025[[#All],[Total pagado]],"",0)</f>
        <v>#NAME?</v>
      </c>
      <c r="AI652" s="199" t="e" cm="1">
        <f t="array" aca="1" ref="AI652" ca="1">_xlfn.XLOOKUP(PAA[[#This Row],[RCP-RUBRO]],COMPROMISOS_2025[[#All],[concatenado]],COMPROMISOS_2025[[#All],[Total Comprometido]],"",0)</f>
        <v>#NAME?</v>
      </c>
    </row>
    <row r="653" spans="1:35" s="50" customFormat="1" ht="42" hidden="1" customHeight="1" x14ac:dyDescent="0.25">
      <c r="A653" s="199">
        <v>544</v>
      </c>
      <c r="B653" s="200">
        <v>80111600</v>
      </c>
      <c r="C653" s="199" t="str">
        <f>VLOOKUP(PAA[[#This Row],[PROYECTO (formulado)2]],PROYECTOS!$G$1:$L$32,6,0)</f>
        <v>SUBGERENCIA DE FOMENTO Y DESARROLLO</v>
      </c>
      <c r="D653" s="199" t="str">
        <f>+IF(PAA[[#This Row],[UNIDAD DE CONTRATACION (formulado)]]="Subgerencia Administrativa y Financiera","FUNCIONAMIENTO","INVERSIÓN")</f>
        <v>INVERSIÓN</v>
      </c>
      <c r="E653" s="201" t="str">
        <f>VLOOKUP(Q653,PROYECTOS!$G$1:$K$32,5,0)</f>
        <v>Desarrollo y promoción del deporte formativo, la recreación y la actividad física en el departamento Antioquia</v>
      </c>
      <c r="F653" s="201">
        <f>VLOOKUP(E653,PROYECTOS!$K$1:$M$32,3,0)</f>
        <v>2024003050101</v>
      </c>
      <c r="G653" s="202" t="s">
        <v>264</v>
      </c>
      <c r="H653" s="202" t="str">
        <f>VLOOKUP(Q653,PROYECTOS!$V$1:$W$32,2,0)</f>
        <v>050075</v>
      </c>
      <c r="I653" s="203">
        <v>18293600</v>
      </c>
      <c r="J653" s="204" t="s">
        <v>744</v>
      </c>
      <c r="K653" s="199" t="str">
        <f t="shared" ca="1" si="92"/>
        <v>CONTRATADO</v>
      </c>
      <c r="L653" s="204" t="s">
        <v>112</v>
      </c>
      <c r="M653" s="204" t="s">
        <v>113</v>
      </c>
      <c r="N653" s="205" t="s">
        <v>266</v>
      </c>
      <c r="O653" s="204">
        <f>VLOOKUP(N653,RUBROS[#All],3,0)</f>
        <v>70</v>
      </c>
      <c r="P653" s="206" t="str">
        <f>VLOOKUP(N653,RUBROS[#All],2,0)</f>
        <v xml:space="preserve">Desarrollo y promoción del deporte formativo, la recreación y la actividad física en el departamento Antioquia - Servicios prestados a las empresas y servicios de producción </v>
      </c>
      <c r="Q653" s="199" t="str">
        <f t="shared" si="93"/>
        <v>01</v>
      </c>
      <c r="R653" s="199" t="str">
        <f t="shared" si="94"/>
        <v>0-205128</v>
      </c>
      <c r="S653" s="207">
        <v>10</v>
      </c>
      <c r="T653" s="208" t="s">
        <v>46</v>
      </c>
      <c r="U653" s="209" t="e">
        <f ca="1">_xlfn.XLOOKUP(PAA[[#This Row],[ITEM]],Contrato!A:A,Contrato!Q:Q,"",0)</f>
        <v>#NAME?</v>
      </c>
      <c r="V653" s="199" t="s">
        <v>47</v>
      </c>
      <c r="W653" s="199" t="s">
        <v>154</v>
      </c>
      <c r="X653" s="199" t="s">
        <v>154</v>
      </c>
      <c r="Y653" s="210" t="e">
        <f ca="1">_xlfn.XLOOKUP(PAA[[#This Row],[ITEM]],Contrato!A:A,Contrato!B:B,"",0)</f>
        <v>#NAME?</v>
      </c>
      <c r="Z653" s="199" t="e">
        <f ca="1">_xlfn.XLOOKUP(PAA[[#This Row],[ITEM]],Contrato!A:A,Contrato!G:G,"",0)</f>
        <v>#NAME?</v>
      </c>
      <c r="AA653" s="199" t="e">
        <f ca="1">_xlfn.XLOOKUP(PAA[[#This Row],[ITEM]],Contrato!A:A,Contrato!T:T,"",0)</f>
        <v>#NAME?</v>
      </c>
      <c r="AB653" s="210" t="e">
        <f ca="1">+MAX(PAA[[#This Row],[Comprometido Contrato]],)</f>
        <v>#NAME?</v>
      </c>
      <c r="AC653" s="210" t="str">
        <f t="shared" ca="1" si="98"/>
        <v/>
      </c>
      <c r="AD653" s="210" t="e">
        <f ca="1">+MAX(PAA[[#This Row],[Pago por Contrato]],)</f>
        <v>#NAME?</v>
      </c>
      <c r="AE653" s="210" t="str">
        <f t="shared" ca="1" si="95"/>
        <v/>
      </c>
      <c r="AF653" s="199" t="e">
        <f t="shared" ca="1" si="96"/>
        <v>#NAME?</v>
      </c>
      <c r="AG653" s="199">
        <f t="shared" si="97"/>
        <v>52010702</v>
      </c>
      <c r="AH653" s="199" t="e" cm="1">
        <f t="array" aca="1" ref="AH653" ca="1">_xlfn.XLOOKUP(PAA[[#This Row],[RCP-RUBRO]],COMPROMISOS_2025[[#All],[concatenado]],COMPROMISOS_2025[[#All],[Total pagado]],"",0)</f>
        <v>#NAME?</v>
      </c>
      <c r="AI653" s="199" t="e" cm="1">
        <f t="array" aca="1" ref="AI653" ca="1">_xlfn.XLOOKUP(PAA[[#This Row],[RCP-RUBRO]],COMPROMISOS_2025[[#All],[concatenado]],COMPROMISOS_2025[[#All],[Total Comprometido]],"",0)</f>
        <v>#NAME?</v>
      </c>
    </row>
    <row r="654" spans="1:35" s="50" customFormat="1" ht="42" hidden="1" customHeight="1" x14ac:dyDescent="0.25">
      <c r="A654" s="199">
        <v>544</v>
      </c>
      <c r="B654" s="200">
        <v>80111600</v>
      </c>
      <c r="C654" s="199" t="str">
        <f>VLOOKUP(PAA[[#This Row],[PROYECTO (formulado)2]],PROYECTOS!$G$1:$L$32,6,0)</f>
        <v>SUBGERENCIA DE FOMENTO Y DESARROLLO</v>
      </c>
      <c r="D654" s="199" t="str">
        <f>+IF(PAA[[#This Row],[UNIDAD DE CONTRATACION (formulado)]]="Subgerencia Administrativa y Financiera","FUNCIONAMIENTO","INVERSIÓN")</f>
        <v>INVERSIÓN</v>
      </c>
      <c r="E654" s="201" t="str">
        <f>VLOOKUP(Q654,PROYECTOS!$G$1:$K$32,5,0)</f>
        <v>Asesoria y acompañamiento institucional para el deporte formativo, la recreación y la actividad física en el departamento de Antioquia</v>
      </c>
      <c r="F654" s="201">
        <f>VLOOKUP(E654,PROYECTOS!$K$1:$M$32,3,0)</f>
        <v>2024003050100</v>
      </c>
      <c r="G654" s="202" t="s">
        <v>267</v>
      </c>
      <c r="H654" s="202" t="str">
        <f>VLOOKUP(Q654,PROYECTOS!$V$1:$W$32,2,0)</f>
        <v>050071</v>
      </c>
      <c r="I654" s="203">
        <v>18293600</v>
      </c>
      <c r="J654" s="204" t="s">
        <v>744</v>
      </c>
      <c r="K654" s="199" t="str">
        <f t="shared" ca="1" si="92"/>
        <v>CONTRATADO</v>
      </c>
      <c r="L654" s="204" t="s">
        <v>112</v>
      </c>
      <c r="M654" s="204" t="s">
        <v>113</v>
      </c>
      <c r="N654" s="205" t="s">
        <v>268</v>
      </c>
      <c r="O654" s="204">
        <f>VLOOKUP(N654,RUBROS[#All],3,0)</f>
        <v>74</v>
      </c>
      <c r="P654" s="206" t="str">
        <f>VLOOKUP(N654,RUBROS[#All],2,0)</f>
        <v xml:space="preserve">Asesoria y acompañamiento institucional para el deporte formativo, la recreación y la actividad física en el departamento de Antioquia. - Servicios prestados a las empresas y servicios de producción </v>
      </c>
      <c r="Q654" s="199" t="str">
        <f t="shared" si="93"/>
        <v>10</v>
      </c>
      <c r="R654" s="199" t="str">
        <f t="shared" si="94"/>
        <v>0-101024</v>
      </c>
      <c r="S654" s="207">
        <v>10</v>
      </c>
      <c r="T654" s="208" t="s">
        <v>46</v>
      </c>
      <c r="U654" s="209" t="e">
        <f ca="1">_xlfn.XLOOKUP(PAA[[#This Row],[ITEM]],Contrato!A:A,Contrato!Q:Q,"",0)</f>
        <v>#NAME?</v>
      </c>
      <c r="V654" s="199" t="s">
        <v>47</v>
      </c>
      <c r="W654" s="199" t="s">
        <v>154</v>
      </c>
      <c r="X654" s="199" t="s">
        <v>154</v>
      </c>
      <c r="Y654" s="210" t="e">
        <f ca="1">_xlfn.XLOOKUP(PAA[[#This Row],[ITEM]],Contrato!A:A,Contrato!B:B,"",0)</f>
        <v>#NAME?</v>
      </c>
      <c r="Z654" s="199" t="e">
        <f ca="1">_xlfn.XLOOKUP(PAA[[#This Row],[ITEM]],Contrato!A:A,Contrato!G:G,"",0)</f>
        <v>#NAME?</v>
      </c>
      <c r="AA654" s="199" t="e">
        <f ca="1">_xlfn.XLOOKUP(PAA[[#This Row],[ITEM]],Contrato!A:A,Contrato!T:T,"",0)</f>
        <v>#NAME?</v>
      </c>
      <c r="AB654" s="210" t="e">
        <f ca="1">+MAX(PAA[[#This Row],[Comprometido Contrato]],)</f>
        <v>#NAME?</v>
      </c>
      <c r="AC654" s="210" t="str">
        <f t="shared" ca="1" si="98"/>
        <v/>
      </c>
      <c r="AD654" s="210" t="e">
        <f ca="1">+MAX(PAA[[#This Row],[Pago por Contrato]],)</f>
        <v>#NAME?</v>
      </c>
      <c r="AE654" s="210" t="str">
        <f t="shared" ca="1" si="95"/>
        <v/>
      </c>
      <c r="AF654" s="199" t="e">
        <f t="shared" ca="1" si="96"/>
        <v>#NAME?</v>
      </c>
      <c r="AG654" s="199">
        <f t="shared" si="97"/>
        <v>52010705</v>
      </c>
      <c r="AH654" s="199" t="e" cm="1">
        <f t="array" aca="1" ref="AH654" ca="1">_xlfn.XLOOKUP(PAA[[#This Row],[RCP-RUBRO]],COMPROMISOS_2025[[#All],[concatenado]],COMPROMISOS_2025[[#All],[Total pagado]],"",0)</f>
        <v>#NAME?</v>
      </c>
      <c r="AI654" s="199" t="e" cm="1">
        <f t="array" aca="1" ref="AI654" ca="1">_xlfn.XLOOKUP(PAA[[#This Row],[RCP-RUBRO]],COMPROMISOS_2025[[#All],[concatenado]],COMPROMISOS_2025[[#All],[Total Comprometido]],"",0)</f>
        <v>#NAME?</v>
      </c>
    </row>
    <row r="655" spans="1:35" s="59" customFormat="1" ht="42" hidden="1" customHeight="1" x14ac:dyDescent="0.25">
      <c r="A655" s="199">
        <v>544</v>
      </c>
      <c r="B655" s="200">
        <v>80111600</v>
      </c>
      <c r="C655" s="199" t="str">
        <f>VLOOKUP(PAA[[#This Row],[PROYECTO (formulado)2]],PROYECTOS!$G$1:$L$32,6,0)</f>
        <v>SUBGERENCIA DE FOMENTO Y DESARROLLO</v>
      </c>
      <c r="D655" s="199" t="str">
        <f>+IF(PAA[[#This Row],[UNIDAD DE CONTRATACION (formulado)]]="Subgerencia Administrativa y Financiera","FUNCIONAMIENTO","INVERSIÓN")</f>
        <v>INVERSIÓN</v>
      </c>
      <c r="E655" s="201" t="str">
        <f>VLOOKUP(Q655,PROYECTOS!$G$1:$K$32,5,0)</f>
        <v>Capacitación para el sector del deporte, la recreación y la actividad física en el Departamento de   Antioquia</v>
      </c>
      <c r="F655" s="201">
        <f>VLOOKUP(E655,PROYECTOS!$K$1:$M$32,3,0)</f>
        <v>2024003050072</v>
      </c>
      <c r="G655" s="202" t="s">
        <v>269</v>
      </c>
      <c r="H655" s="202" t="str">
        <f>VLOOKUP(Q655,PROYECTOS!$V$1:$W$32,2,0)</f>
        <v>050072</v>
      </c>
      <c r="I655" s="203">
        <v>18293600</v>
      </c>
      <c r="J655" s="204" t="s">
        <v>744</v>
      </c>
      <c r="K655" s="199" t="str">
        <f t="shared" ca="1" si="92"/>
        <v>CONTRATADO</v>
      </c>
      <c r="L655" s="204" t="s">
        <v>112</v>
      </c>
      <c r="M655" s="204" t="s">
        <v>113</v>
      </c>
      <c r="N655" s="205" t="s">
        <v>270</v>
      </c>
      <c r="O655" s="204">
        <f>VLOOKUP(N655,RUBROS[#All],3,0)</f>
        <v>78</v>
      </c>
      <c r="P655" s="206" t="str">
        <f>VLOOKUP(N655,RUBROS[#All],2,0)</f>
        <v xml:space="preserve">Capacitación para el sector del deporte, la recreación y la actividad física en el Departamento de   Antioquia - Servicios prestados a las empresas y servicios de producción </v>
      </c>
      <c r="Q655" s="199" t="str">
        <f t="shared" si="93"/>
        <v>72</v>
      </c>
      <c r="R655" s="199" t="str">
        <f t="shared" si="94"/>
        <v>0-205128</v>
      </c>
      <c r="S655" s="207">
        <v>10</v>
      </c>
      <c r="T655" s="208" t="s">
        <v>46</v>
      </c>
      <c r="U655" s="209" t="e">
        <f ca="1">_xlfn.XLOOKUP(PAA[[#This Row],[ITEM]],Contrato!A:A,Contrato!Q:Q,"",0)</f>
        <v>#NAME?</v>
      </c>
      <c r="V655" s="199" t="s">
        <v>47</v>
      </c>
      <c r="W655" s="199" t="s">
        <v>154</v>
      </c>
      <c r="X655" s="199" t="s">
        <v>154</v>
      </c>
      <c r="Y655" s="210" t="e">
        <f ca="1">_xlfn.XLOOKUP(PAA[[#This Row],[ITEM]],Contrato!A:A,Contrato!B:B,"",0)</f>
        <v>#NAME?</v>
      </c>
      <c r="Z655" s="199" t="e">
        <f ca="1">_xlfn.XLOOKUP(PAA[[#This Row],[ITEM]],Contrato!A:A,Contrato!G:G,"",0)</f>
        <v>#NAME?</v>
      </c>
      <c r="AA655" s="199" t="e">
        <f ca="1">_xlfn.XLOOKUP(PAA[[#This Row],[ITEM]],Contrato!A:A,Contrato!T:T,"",0)</f>
        <v>#NAME?</v>
      </c>
      <c r="AB655" s="210" t="e">
        <f ca="1">+MAX(PAA[[#This Row],[Comprometido Contrato]],)</f>
        <v>#NAME?</v>
      </c>
      <c r="AC655" s="210" t="str">
        <f t="shared" ca="1" si="98"/>
        <v/>
      </c>
      <c r="AD655" s="210" t="e">
        <f ca="1">+MAX(PAA[[#This Row],[Pago por Contrato]],)</f>
        <v>#NAME?</v>
      </c>
      <c r="AE655" s="210" t="str">
        <f t="shared" ca="1" si="95"/>
        <v/>
      </c>
      <c r="AF655" s="199" t="e">
        <f t="shared" ca="1" si="96"/>
        <v>#NAME?</v>
      </c>
      <c r="AG655" s="199">
        <f t="shared" si="97"/>
        <v>52010704</v>
      </c>
      <c r="AH655" s="199" t="e" cm="1">
        <f t="array" aca="1" ref="AH655" ca="1">_xlfn.XLOOKUP(PAA[[#This Row],[RCP-RUBRO]],COMPROMISOS_2025[[#All],[concatenado]],COMPROMISOS_2025[[#All],[Total pagado]],"",0)</f>
        <v>#NAME?</v>
      </c>
      <c r="AI655" s="199" t="e" cm="1">
        <f t="array" aca="1" ref="AI655" ca="1">_xlfn.XLOOKUP(PAA[[#This Row],[RCP-RUBRO]],COMPROMISOS_2025[[#All],[concatenado]],COMPROMISOS_2025[[#All],[Total Comprometido]],"",0)</f>
        <v>#NAME?</v>
      </c>
    </row>
    <row r="656" spans="1:35" s="59" customFormat="1" ht="42" hidden="1" customHeight="1" x14ac:dyDescent="0.25">
      <c r="A656" s="199">
        <v>544</v>
      </c>
      <c r="B656" s="200">
        <v>80111600</v>
      </c>
      <c r="C656" s="199" t="str">
        <f>VLOOKUP(PAA[[#This Row],[PROYECTO (formulado)2]],PROYECTOS!$G$1:$L$32,6,0)</f>
        <v>SUBGERENCIA DE FOMENTO Y DESARROLLO</v>
      </c>
      <c r="D656" s="199" t="str">
        <f>+IF(PAA[[#This Row],[UNIDAD DE CONTRATACION (formulado)]]="Subgerencia Administrativa y Financiera","FUNCIONAMIENTO","INVERSIÓN")</f>
        <v>INVERSIÓN</v>
      </c>
      <c r="E656" s="201" t="str">
        <f>VLOOKUP(Q656,PROYECTOS!$G$1:$K$32,5,0)</f>
        <v>Fortalecimiento de los juegos deportivos institucionales en los municipios del departamento de Antioquia</v>
      </c>
      <c r="F656" s="201">
        <f>VLOOKUP(E656,PROYECTOS!$K$1:$M$32,3,0)</f>
        <v>2024003050073</v>
      </c>
      <c r="G656" s="202" t="s">
        <v>271</v>
      </c>
      <c r="H656" s="202" t="str">
        <f>VLOOKUP(Q656,PROYECTOS!$V$1:$W$32,2,0)</f>
        <v>050081</v>
      </c>
      <c r="I656" s="203">
        <v>18293600</v>
      </c>
      <c r="J656" s="204" t="s">
        <v>744</v>
      </c>
      <c r="K656" s="199" t="str">
        <f t="shared" ca="1" si="92"/>
        <v>CONTRATADO</v>
      </c>
      <c r="L656" s="204" t="s">
        <v>112</v>
      </c>
      <c r="M656" s="204" t="s">
        <v>113</v>
      </c>
      <c r="N656" s="205" t="s">
        <v>272</v>
      </c>
      <c r="O656" s="204">
        <f>VLOOKUP(N656,RUBROS[#All],3,0)</f>
        <v>81</v>
      </c>
      <c r="P656" s="206" t="str">
        <f>VLOOKUP(N656,RUBROS[#All],2,0)</f>
        <v xml:space="preserve">Fortalecimiento de los juegos deportivos institucionales en los municipios del departamento de Antioquia - Servicios prestados a las empresas y servicios de producción </v>
      </c>
      <c r="Q656" s="199" t="str">
        <f t="shared" si="93"/>
        <v>73</v>
      </c>
      <c r="R656" s="199" t="str">
        <f t="shared" si="94"/>
        <v>0-205128</v>
      </c>
      <c r="S656" s="207">
        <v>10</v>
      </c>
      <c r="T656" s="208" t="s">
        <v>46</v>
      </c>
      <c r="U656" s="209" t="e">
        <f ca="1">_xlfn.XLOOKUP(PAA[[#This Row],[ITEM]],Contrato!A:A,Contrato!Q:Q,"",0)</f>
        <v>#NAME?</v>
      </c>
      <c r="V656" s="199" t="s">
        <v>47</v>
      </c>
      <c r="W656" s="199" t="s">
        <v>154</v>
      </c>
      <c r="X656" s="199" t="s">
        <v>154</v>
      </c>
      <c r="Y656" s="210" t="e">
        <f ca="1">_xlfn.XLOOKUP(PAA[[#This Row],[ITEM]],Contrato!A:A,Contrato!B:B,"",0)</f>
        <v>#NAME?</v>
      </c>
      <c r="Z656" s="199" t="e">
        <f ca="1">_xlfn.XLOOKUP(PAA[[#This Row],[ITEM]],Contrato!A:A,Contrato!G:G,"",0)</f>
        <v>#NAME?</v>
      </c>
      <c r="AA656" s="199" t="e">
        <f ca="1">_xlfn.XLOOKUP(PAA[[#This Row],[ITEM]],Contrato!A:A,Contrato!T:T,"",0)</f>
        <v>#NAME?</v>
      </c>
      <c r="AB656" s="210" t="e">
        <f ca="1">+MAX(PAA[[#This Row],[Comprometido Contrato]],)</f>
        <v>#NAME?</v>
      </c>
      <c r="AC656" s="210" t="str">
        <f t="shared" ca="1" si="98"/>
        <v/>
      </c>
      <c r="AD656" s="210" t="e">
        <f ca="1">+MAX(PAA[[#This Row],[Pago por Contrato]],)</f>
        <v>#NAME?</v>
      </c>
      <c r="AE656" s="210" t="str">
        <f t="shared" ca="1" si="95"/>
        <v/>
      </c>
      <c r="AF656" s="199" t="e">
        <f t="shared" ca="1" si="96"/>
        <v>#NAME?</v>
      </c>
      <c r="AG656" s="199">
        <f t="shared" si="97"/>
        <v>52010703</v>
      </c>
      <c r="AH656" s="199" t="e" cm="1">
        <f t="array" aca="1" ref="AH656" ca="1">_xlfn.XLOOKUP(PAA[[#This Row],[RCP-RUBRO]],COMPROMISOS_2025[[#All],[concatenado]],COMPROMISOS_2025[[#All],[Total pagado]],"",0)</f>
        <v>#NAME?</v>
      </c>
      <c r="AI656" s="199" t="e" cm="1">
        <f t="array" aca="1" ref="AI656" ca="1">_xlfn.XLOOKUP(PAA[[#This Row],[RCP-RUBRO]],COMPROMISOS_2025[[#All],[concatenado]],COMPROMISOS_2025[[#All],[Total Comprometido]],"",0)</f>
        <v>#NAME?</v>
      </c>
    </row>
    <row r="657" spans="1:35" s="50" customFormat="1" ht="42" hidden="1" customHeight="1" x14ac:dyDescent="0.25">
      <c r="A657" s="199">
        <v>544</v>
      </c>
      <c r="B657" s="200">
        <v>80111600</v>
      </c>
      <c r="C657" s="199" t="str">
        <f>VLOOKUP(PAA[[#This Row],[PROYECTO (formulado)2]],PROYECTOS!$G$1:$L$32,6,0)</f>
        <v>SUBGERENCIA DE FOMENTO Y DESARROLLO</v>
      </c>
      <c r="D657" s="199" t="str">
        <f>+IF(PAA[[#This Row],[UNIDAD DE CONTRATACION (formulado)]]="Subgerencia Administrativa y Financiera","FUNCIONAMIENTO","INVERSIÓN")</f>
        <v>INVERSIÓN</v>
      </c>
      <c r="E657" s="201" t="str">
        <f>VLOOKUP(Q657,PROYECTOS!$G$1:$K$32,5,0)</f>
        <v>Cofinanciación de dotación de implementación para el deporte la recreación y a la actividad física en el departamento de Antioquia</v>
      </c>
      <c r="F657" s="201">
        <f>VLOOKUP(E657,PROYECTOS!$K$1:$M$32,3,0)</f>
        <v>2024003050074</v>
      </c>
      <c r="G657" s="202" t="s">
        <v>273</v>
      </c>
      <c r="H657" s="202" t="str">
        <f>VLOOKUP(Q657,PROYECTOS!$V$1:$W$32,2,0)</f>
        <v>050073</v>
      </c>
      <c r="I657" s="203">
        <v>18293600</v>
      </c>
      <c r="J657" s="204" t="s">
        <v>744</v>
      </c>
      <c r="K657" s="199" t="str">
        <f t="shared" ca="1" si="92"/>
        <v>CONTRATADO</v>
      </c>
      <c r="L657" s="204" t="s">
        <v>112</v>
      </c>
      <c r="M657" s="204" t="s">
        <v>113</v>
      </c>
      <c r="N657" s="205" t="s">
        <v>274</v>
      </c>
      <c r="O657" s="204">
        <f>VLOOKUP(N657,RUBROS[#All],3,0)</f>
        <v>85</v>
      </c>
      <c r="P657" s="206" t="str">
        <f>VLOOKUP(N657,RUBROS[#All],2,0)</f>
        <v xml:space="preserve">Cofinanciación de dotación de implementación para el deporte la recreación y a la actividad física en el departamento de Antioquia - Servicios prestados a las empresas y servicios de producción </v>
      </c>
      <c r="Q657" s="199" t="str">
        <f t="shared" si="93"/>
        <v>74</v>
      </c>
      <c r="R657" s="199" t="str">
        <f t="shared" si="94"/>
        <v>0-101024</v>
      </c>
      <c r="S657" s="207">
        <v>10</v>
      </c>
      <c r="T657" s="208" t="s">
        <v>46</v>
      </c>
      <c r="U657" s="209" t="e">
        <f ca="1">_xlfn.XLOOKUP(PAA[[#This Row],[ITEM]],Contrato!A:A,Contrato!Q:Q,"",0)</f>
        <v>#NAME?</v>
      </c>
      <c r="V657" s="199" t="s">
        <v>47</v>
      </c>
      <c r="W657" s="199" t="s">
        <v>154</v>
      </c>
      <c r="X657" s="199" t="s">
        <v>154</v>
      </c>
      <c r="Y657" s="210" t="e">
        <f ca="1">_xlfn.XLOOKUP(PAA[[#This Row],[ITEM]],Contrato!A:A,Contrato!B:B,"",0)</f>
        <v>#NAME?</v>
      </c>
      <c r="Z657" s="199" t="e">
        <f ca="1">_xlfn.XLOOKUP(PAA[[#This Row],[ITEM]],Contrato!A:A,Contrato!G:G,"",0)</f>
        <v>#NAME?</v>
      </c>
      <c r="AA657" s="199" t="e">
        <f ca="1">_xlfn.XLOOKUP(PAA[[#This Row],[ITEM]],Contrato!A:A,Contrato!T:T,"",0)</f>
        <v>#NAME?</v>
      </c>
      <c r="AB657" s="210" t="e">
        <f ca="1">+MAX(PAA[[#This Row],[Comprometido Contrato]],)</f>
        <v>#NAME?</v>
      </c>
      <c r="AC657" s="210" t="str">
        <f t="shared" ca="1" si="98"/>
        <v/>
      </c>
      <c r="AD657" s="210" t="e">
        <f ca="1">+MAX(PAA[[#This Row],[Pago por Contrato]],)</f>
        <v>#NAME?</v>
      </c>
      <c r="AE657" s="210" t="str">
        <f t="shared" ca="1" si="95"/>
        <v/>
      </c>
      <c r="AF657" s="199" t="e">
        <f t="shared" ca="1" si="96"/>
        <v>#NAME?</v>
      </c>
      <c r="AG657" s="199">
        <f t="shared" si="97"/>
        <v>52010701</v>
      </c>
      <c r="AH657" s="199" t="e" cm="1">
        <f t="array" aca="1" ref="AH657" ca="1">_xlfn.XLOOKUP(PAA[[#This Row],[RCP-RUBRO]],COMPROMISOS_2025[[#All],[concatenado]],COMPROMISOS_2025[[#All],[Total pagado]],"",0)</f>
        <v>#NAME?</v>
      </c>
      <c r="AI657" s="199" t="e" cm="1">
        <f t="array" aca="1" ref="AI657" ca="1">_xlfn.XLOOKUP(PAA[[#This Row],[RCP-RUBRO]],COMPROMISOS_2025[[#All],[concatenado]],COMPROMISOS_2025[[#All],[Total Comprometido]],"",0)</f>
        <v>#NAME?</v>
      </c>
    </row>
    <row r="658" spans="1:35" s="50" customFormat="1" ht="42" hidden="1" customHeight="1" x14ac:dyDescent="0.25">
      <c r="A658" s="207">
        <v>545</v>
      </c>
      <c r="B658" s="200">
        <v>80111600</v>
      </c>
      <c r="C658" s="199" t="str">
        <f>VLOOKUP(PAA[[#This Row],[PROYECTO (formulado)2]],PROYECTOS!$G$1:$L$32,6,0)</f>
        <v>SUBGERENCIA DE ALTOS LOGROS Y DEPORTE ASOCIADO</v>
      </c>
      <c r="D658" s="199" t="str">
        <f>+IF(PAA[[#This Row],[UNIDAD DE CONTRATACION (formulado)]]="Subgerencia Administrativa y Financiera","FUNCIONAMIENTO","INVERSIÓN")</f>
        <v>INVERSIÓN</v>
      </c>
      <c r="E658" s="201" t="str">
        <f>VLOOKUP(Q658,PROYECTOS!$G$1:$K$32,5,0)</f>
        <v>Fortalecimiento del desarrollo deportivo con miras al alto rendimiento competitivo de los atletas del departamento de Antioquia</v>
      </c>
      <c r="F658" s="201">
        <f>VLOOKUP(E658,PROYECTOS!$K$1:$M$32,3,0)</f>
        <v>2024003050087</v>
      </c>
      <c r="G658" s="202" t="s">
        <v>396</v>
      </c>
      <c r="H658" s="202" t="str">
        <f>VLOOKUP(Q658,PROYECTOS!$V$1:$W$32,2,0)</f>
        <v>050078</v>
      </c>
      <c r="I658" s="203">
        <v>38292800</v>
      </c>
      <c r="J658" s="204" t="s">
        <v>745</v>
      </c>
      <c r="K658" s="199" t="str">
        <f t="shared" ca="1" si="92"/>
        <v>CONTRATADO</v>
      </c>
      <c r="L658" s="207" t="s">
        <v>112</v>
      </c>
      <c r="M658" s="207" t="s">
        <v>113</v>
      </c>
      <c r="N658" s="205" t="s">
        <v>398</v>
      </c>
      <c r="O658" s="204">
        <f>VLOOKUP(N658,RUBROS[#All],3,0)</f>
        <v>66</v>
      </c>
      <c r="P658" s="206" t="str">
        <f>VLOOKUP(N658,RUBROS[#All],2,0)</f>
        <v xml:space="preserve">Fortalecimiento del desarrollo deportivo con miras al alto rendimiento competitivo de los atletas del departamento de Antioquia - Servicios prestados a las empresas y servicios de producción </v>
      </c>
      <c r="Q658" s="199" t="str">
        <f t="shared" si="93"/>
        <v>87</v>
      </c>
      <c r="R658" s="199" t="str">
        <f t="shared" si="94"/>
        <v>0-101024</v>
      </c>
      <c r="S658" s="207">
        <v>8</v>
      </c>
      <c r="T658" s="253" t="s">
        <v>46</v>
      </c>
      <c r="U658" s="209" t="e">
        <f ca="1">_xlfn.XLOOKUP(PAA[[#This Row],[ITEM]],Contrato!A:A,Contrato!Q:Q,"",0)</f>
        <v>#NAME?</v>
      </c>
      <c r="V658" s="207" t="s">
        <v>47</v>
      </c>
      <c r="W658" s="207" t="s">
        <v>154</v>
      </c>
      <c r="X658" s="207" t="s">
        <v>154</v>
      </c>
      <c r="Y658" s="210" t="e">
        <f ca="1">_xlfn.XLOOKUP(PAA[[#This Row],[ITEM]],Contrato!A:A,Contrato!B:B,"",0)</f>
        <v>#NAME?</v>
      </c>
      <c r="Z658" s="199" t="e">
        <f ca="1">_xlfn.XLOOKUP(PAA[[#This Row],[ITEM]],Contrato!A:A,Contrato!G:G,"",0)</f>
        <v>#NAME?</v>
      </c>
      <c r="AA658" s="199" t="e">
        <f ca="1">_xlfn.XLOOKUP(PAA[[#This Row],[ITEM]],Contrato!A:A,Contrato!T:T,"",0)</f>
        <v>#NAME?</v>
      </c>
      <c r="AB658" s="210" t="e">
        <f ca="1">+MAX(PAA[[#This Row],[Comprometido Contrato]],)</f>
        <v>#NAME?</v>
      </c>
      <c r="AC658" s="210" t="str">
        <f t="shared" ca="1" si="98"/>
        <v/>
      </c>
      <c r="AD658" s="210" t="e">
        <f ca="1">+MAX(PAA[[#This Row],[Pago por Contrato]],)</f>
        <v>#NAME?</v>
      </c>
      <c r="AE658" s="210" t="str">
        <f t="shared" ca="1" si="95"/>
        <v/>
      </c>
      <c r="AF658" s="199" t="e">
        <f t="shared" ca="1" si="96"/>
        <v>#NAME?</v>
      </c>
      <c r="AG658" s="199">
        <f t="shared" si="97"/>
        <v>52010805</v>
      </c>
      <c r="AH658" s="199" t="e" cm="1">
        <f t="array" aca="1" ref="AH658" ca="1">_xlfn.XLOOKUP(PAA[[#This Row],[RCP-RUBRO]],COMPROMISOS_2025[[#All],[concatenado]],COMPROMISOS_2025[[#All],[Total pagado]],"",0)</f>
        <v>#NAME?</v>
      </c>
      <c r="AI658" s="199" t="e" cm="1">
        <f t="array" aca="1" ref="AI658" ca="1">_xlfn.XLOOKUP(PAA[[#This Row],[RCP-RUBRO]],COMPROMISOS_2025[[#All],[concatenado]],COMPROMISOS_2025[[#All],[Total Comprometido]],"",0)</f>
        <v>#NAME?</v>
      </c>
    </row>
    <row r="659" spans="1:35" s="50" customFormat="1" ht="42" hidden="1" customHeight="1" x14ac:dyDescent="0.25">
      <c r="A659" s="207">
        <v>545</v>
      </c>
      <c r="B659" s="200">
        <v>80111600</v>
      </c>
      <c r="C659" s="199" t="str">
        <f>VLOOKUP(PAA[[#This Row],[PROYECTO (formulado)2]],PROYECTOS!$G$1:$L$32,6,0)</f>
        <v>SUBGERENCIA DE ALTOS LOGROS Y DEPORTE ASOCIADO</v>
      </c>
      <c r="D659" s="199" t="str">
        <f>+IF(PAA[[#This Row],[UNIDAD DE CONTRATACION (formulado)]]="Subgerencia Administrativa y Financiera","FUNCIONAMIENTO","INVERSIÓN")</f>
        <v>INVERSIÓN</v>
      </c>
      <c r="E659" s="201" t="str">
        <f>VLOOKUP(Q659,PROYECTOS!$G$1:$K$32,5,0)</f>
        <v>Apoyo económico a las organizaciones deportivas que representan en competencias al departamento de Antioquia</v>
      </c>
      <c r="F659" s="201">
        <f>VLOOKUP(E659,PROYECTOS!$K$1:$M$32,3,0)</f>
        <v>2024003050102</v>
      </c>
      <c r="G659" s="202" t="s">
        <v>399</v>
      </c>
      <c r="H659" s="202" t="str">
        <f>VLOOKUP(Q659,PROYECTOS!$V$1:$W$32,2,0)</f>
        <v>050076</v>
      </c>
      <c r="I659" s="203">
        <v>38292800</v>
      </c>
      <c r="J659" s="204" t="s">
        <v>745</v>
      </c>
      <c r="K659" s="199" t="str">
        <f t="shared" ca="1" si="92"/>
        <v>CONTRATADO</v>
      </c>
      <c r="L659" s="207" t="s">
        <v>112</v>
      </c>
      <c r="M659" s="207" t="s">
        <v>113</v>
      </c>
      <c r="N659" s="205" t="s">
        <v>400</v>
      </c>
      <c r="O659" s="204">
        <f>VLOOKUP(N659,RUBROS[#All],3,0)</f>
        <v>56</v>
      </c>
      <c r="P659" s="206" t="str">
        <f>VLOOKUP(N659,RUBROS[#All],2,0)</f>
        <v xml:space="preserve">Apoyo económico a las organizaciones deportivas que representan en competencias al departamento de Antioquia - Servicios prestados a las empresas y servicios de producción </v>
      </c>
      <c r="Q659" s="199" t="str">
        <f t="shared" si="93"/>
        <v>02</v>
      </c>
      <c r="R659" s="199" t="str">
        <f t="shared" si="94"/>
        <v>0-205128</v>
      </c>
      <c r="S659" s="207">
        <v>8</v>
      </c>
      <c r="T659" s="253" t="s">
        <v>46</v>
      </c>
      <c r="U659" s="209" t="e">
        <f ca="1">_xlfn.XLOOKUP(PAA[[#This Row],[ITEM]],Contrato!A:A,Contrato!Q:Q,"",0)</f>
        <v>#NAME?</v>
      </c>
      <c r="V659" s="207" t="s">
        <v>47</v>
      </c>
      <c r="W659" s="207" t="s">
        <v>154</v>
      </c>
      <c r="X659" s="207" t="s">
        <v>154</v>
      </c>
      <c r="Y659" s="210" t="e">
        <f ca="1">_xlfn.XLOOKUP(PAA[[#This Row],[ITEM]],Contrato!A:A,Contrato!B:B,"",0)</f>
        <v>#NAME?</v>
      </c>
      <c r="Z659" s="199" t="e">
        <f ca="1">_xlfn.XLOOKUP(PAA[[#This Row],[ITEM]],Contrato!A:A,Contrato!G:G,"",0)</f>
        <v>#NAME?</v>
      </c>
      <c r="AA659" s="199" t="e">
        <f ca="1">_xlfn.XLOOKUP(PAA[[#This Row],[ITEM]],Contrato!A:A,Contrato!T:T,"",0)</f>
        <v>#NAME?</v>
      </c>
      <c r="AB659" s="210" t="e">
        <f ca="1">+MAX(PAA[[#This Row],[Comprometido Contrato]],)</f>
        <v>#NAME?</v>
      </c>
      <c r="AC659" s="210" t="str">
        <f t="shared" ca="1" si="98"/>
        <v/>
      </c>
      <c r="AD659" s="210" t="e">
        <f ca="1">+MAX(PAA[[#This Row],[Pago por Contrato]],)</f>
        <v>#NAME?</v>
      </c>
      <c r="AE659" s="210" t="str">
        <f t="shared" ca="1" si="95"/>
        <v/>
      </c>
      <c r="AF659" s="199" t="e">
        <f t="shared" ca="1" si="96"/>
        <v>#NAME?</v>
      </c>
      <c r="AG659" s="199">
        <f t="shared" si="97"/>
        <v>52010801</v>
      </c>
      <c r="AH659" s="199" t="e" cm="1">
        <f t="array" aca="1" ref="AH659" ca="1">_xlfn.XLOOKUP(PAA[[#This Row],[RCP-RUBRO]],COMPROMISOS_2025[[#All],[concatenado]],COMPROMISOS_2025[[#All],[Total pagado]],"",0)</f>
        <v>#NAME?</v>
      </c>
      <c r="AI659" s="199" t="e" cm="1">
        <f t="array" aca="1" ref="AI659" ca="1">_xlfn.XLOOKUP(PAA[[#This Row],[RCP-RUBRO]],COMPROMISOS_2025[[#All],[concatenado]],COMPROMISOS_2025[[#All],[Total Comprometido]],"",0)</f>
        <v>#NAME?</v>
      </c>
    </row>
    <row r="660" spans="1:35" s="50" customFormat="1" ht="42" hidden="1" customHeight="1" x14ac:dyDescent="0.25">
      <c r="A660" s="199">
        <v>546</v>
      </c>
      <c r="B660" s="200">
        <v>80111600</v>
      </c>
      <c r="C660" s="199" t="str">
        <f>VLOOKUP(PAA[[#This Row],[PROYECTO (formulado)2]],PROYECTOS!$G$1:$L$32,6,0)</f>
        <v>SUBGERENCIA ADMINISTRATIVA Y FINANCIERA</v>
      </c>
      <c r="D660" s="199" t="str">
        <f>+IF(PAA[[#This Row],[UNIDAD DE CONTRATACION (formulado)]]="Subgerencia Administrativa y Financiera","FUNCIONAMIENTO","INVERSIÓN")</f>
        <v>FUNCIONAMIENTO</v>
      </c>
      <c r="E660" s="201" t="str">
        <f>VLOOKUP(Q660,PROYECTOS!$G$1:$K$32,5,0)</f>
        <v>FUNCIONAMIENTO</v>
      </c>
      <c r="F660" s="201">
        <f>VLOOKUP(E660,PROYECTOS!$K$1:$M$32,3,0)</f>
        <v>999999</v>
      </c>
      <c r="G660" s="202" t="s">
        <v>42</v>
      </c>
      <c r="H660" s="202">
        <f>VLOOKUP(Q660,PROYECTOS!$V$1:$W$32,2,0)</f>
        <v>999999</v>
      </c>
      <c r="I660" s="203">
        <v>17095000</v>
      </c>
      <c r="J660" s="204" t="s">
        <v>746</v>
      </c>
      <c r="K660" s="199" t="str">
        <f t="shared" ca="1" si="92"/>
        <v>CONTRATADO</v>
      </c>
      <c r="L660" s="204" t="s">
        <v>112</v>
      </c>
      <c r="M660" s="204" t="s">
        <v>113</v>
      </c>
      <c r="N660" s="205" t="s">
        <v>114</v>
      </c>
      <c r="O660" s="204">
        <f>VLOOKUP(N660,RUBROS[#All],3,0)</f>
        <v>30</v>
      </c>
      <c r="P660" s="206" t="str">
        <f>VLOOKUP(N660,RUBROS[#All],2,0)</f>
        <v xml:space="preserve">Servicios prestados a las empresas y servicios de producción </v>
      </c>
      <c r="Q660" s="199" t="str">
        <f t="shared" si="93"/>
        <v>00</v>
      </c>
      <c r="R660" s="199" t="str">
        <f t="shared" si="94"/>
        <v>0-205616</v>
      </c>
      <c r="S660" s="207">
        <v>5</v>
      </c>
      <c r="T660" s="213" t="s">
        <v>46</v>
      </c>
      <c r="U660" s="209" t="e">
        <f ca="1">_xlfn.XLOOKUP(PAA[[#This Row],[ITEM]],Contrato!A:A,Contrato!Q:Q,"",0)</f>
        <v>#NAME?</v>
      </c>
      <c r="V660" s="199" t="s">
        <v>47</v>
      </c>
      <c r="W660" s="199" t="s">
        <v>154</v>
      </c>
      <c r="X660" s="199" t="s">
        <v>154</v>
      </c>
      <c r="Y660" s="210" t="e">
        <f ca="1">_xlfn.XLOOKUP(PAA[[#This Row],[ITEM]],Contrato!A:A,Contrato!B:B,"",0)</f>
        <v>#NAME?</v>
      </c>
      <c r="Z660" s="199" t="e">
        <f ca="1">_xlfn.XLOOKUP(PAA[[#This Row],[ITEM]],Contrato!A:A,Contrato!G:G,"",0)</f>
        <v>#NAME?</v>
      </c>
      <c r="AA660" s="199" t="e">
        <f ca="1">_xlfn.XLOOKUP(PAA[[#This Row],[ITEM]],Contrato!A:A,Contrato!T:T,"",0)</f>
        <v>#NAME?</v>
      </c>
      <c r="AB660" s="210" t="e">
        <f ca="1">+MAX(PAA[[#This Row],[Comprometido Contrato]],)</f>
        <v>#NAME?</v>
      </c>
      <c r="AC660" s="210" t="str">
        <f t="shared" ca="1" si="98"/>
        <v/>
      </c>
      <c r="AD660" s="210" t="e">
        <f ca="1">+MAX(PAA[[#This Row],[Pago por Contrato]],)</f>
        <v>#NAME?</v>
      </c>
      <c r="AE660" s="210" t="str">
        <f t="shared" ca="1" si="95"/>
        <v/>
      </c>
      <c r="AF660" s="199" t="e">
        <f t="shared" ca="1" si="96"/>
        <v>#NAME?</v>
      </c>
      <c r="AG660" s="199" t="str">
        <f t="shared" si="97"/>
        <v/>
      </c>
      <c r="AH660" s="199" t="e" cm="1">
        <f t="array" aca="1" ref="AH660" ca="1">_xlfn.XLOOKUP(PAA[[#This Row],[RCP-RUBRO]],COMPROMISOS_2025[[#All],[concatenado]],COMPROMISOS_2025[[#All],[Total pagado]],"",0)</f>
        <v>#NAME?</v>
      </c>
      <c r="AI660" s="199" t="e" cm="1">
        <f t="array" aca="1" ref="AI660" ca="1">_xlfn.XLOOKUP(PAA[[#This Row],[RCP-RUBRO]],COMPROMISOS_2025[[#All],[concatenado]],COMPROMISOS_2025[[#All],[Total Comprometido]],"",0)</f>
        <v>#NAME?</v>
      </c>
    </row>
    <row r="661" spans="1:35" s="50" customFormat="1" ht="42" hidden="1" customHeight="1" x14ac:dyDescent="0.25">
      <c r="A661" s="199">
        <v>547</v>
      </c>
      <c r="B661" s="200">
        <v>80111600</v>
      </c>
      <c r="C661" s="199" t="str">
        <f>VLOOKUP(PAA[[#This Row],[PROYECTO (formulado)2]],PROYECTOS!$G$1:$L$32,6,0)</f>
        <v>SUBGERENCIA ADMINISTRATIVA Y FINANCIERA</v>
      </c>
      <c r="D661" s="199" t="str">
        <f>+IF(PAA[[#This Row],[UNIDAD DE CONTRATACION (formulado)]]="Subgerencia Administrativa y Financiera","FUNCIONAMIENTO","INVERSIÓN")</f>
        <v>FUNCIONAMIENTO</v>
      </c>
      <c r="E661" s="201" t="str">
        <f>VLOOKUP(Q661,PROYECTOS!$G$1:$K$32,5,0)</f>
        <v>FUNCIONAMIENTO</v>
      </c>
      <c r="F661" s="201">
        <f>VLOOKUP(E661,PROYECTOS!$K$1:$M$32,3,0)</f>
        <v>999999</v>
      </c>
      <c r="G661" s="202" t="s">
        <v>42</v>
      </c>
      <c r="H661" s="202">
        <f>VLOOKUP(Q661,PROYECTOS!$V$1:$W$32,2,0)</f>
        <v>999999</v>
      </c>
      <c r="I661" s="203">
        <v>37609000</v>
      </c>
      <c r="J661" s="204" t="s">
        <v>747</v>
      </c>
      <c r="K661" s="199" t="str">
        <f t="shared" ca="1" si="92"/>
        <v>CONTRATADO</v>
      </c>
      <c r="L661" s="204" t="s">
        <v>112</v>
      </c>
      <c r="M661" s="204" t="s">
        <v>113</v>
      </c>
      <c r="N661" s="205" t="s">
        <v>114</v>
      </c>
      <c r="O661" s="204">
        <f>VLOOKUP(N661,RUBROS[#All],3,0)</f>
        <v>30</v>
      </c>
      <c r="P661" s="206" t="str">
        <f>VLOOKUP(N661,RUBROS[#All],2,0)</f>
        <v xml:space="preserve">Servicios prestados a las empresas y servicios de producción </v>
      </c>
      <c r="Q661" s="199" t="str">
        <f t="shared" si="93"/>
        <v>00</v>
      </c>
      <c r="R661" s="199" t="str">
        <f t="shared" si="94"/>
        <v>0-205616</v>
      </c>
      <c r="S661" s="207">
        <v>5</v>
      </c>
      <c r="T661" s="213" t="s">
        <v>46</v>
      </c>
      <c r="U661" s="209" t="e">
        <f ca="1">_xlfn.XLOOKUP(PAA[[#This Row],[ITEM]],Contrato!A:A,Contrato!Q:Q,"",0)</f>
        <v>#NAME?</v>
      </c>
      <c r="V661" s="199" t="s">
        <v>47</v>
      </c>
      <c r="W661" s="199" t="s">
        <v>154</v>
      </c>
      <c r="X661" s="199" t="s">
        <v>154</v>
      </c>
      <c r="Y661" s="210" t="e">
        <f ca="1">_xlfn.XLOOKUP(PAA[[#This Row],[ITEM]],Contrato!A:A,Contrato!B:B,"",0)</f>
        <v>#NAME?</v>
      </c>
      <c r="Z661" s="199" t="e">
        <f ca="1">_xlfn.XLOOKUP(PAA[[#This Row],[ITEM]],Contrato!A:A,Contrato!G:G,"",0)</f>
        <v>#NAME?</v>
      </c>
      <c r="AA661" s="199" t="e">
        <f ca="1">_xlfn.XLOOKUP(PAA[[#This Row],[ITEM]],Contrato!A:A,Contrato!T:T,"",0)</f>
        <v>#NAME?</v>
      </c>
      <c r="AB661" s="210" t="e">
        <f ca="1">+MAX(PAA[[#This Row],[Comprometido Contrato]],)</f>
        <v>#NAME?</v>
      </c>
      <c r="AC661" s="210" t="str">
        <f t="shared" ca="1" si="98"/>
        <v/>
      </c>
      <c r="AD661" s="210" t="e">
        <f ca="1">+MAX(PAA[[#This Row],[Pago por Contrato]],)</f>
        <v>#NAME?</v>
      </c>
      <c r="AE661" s="210" t="str">
        <f t="shared" ca="1" si="95"/>
        <v/>
      </c>
      <c r="AF661" s="199" t="e">
        <f t="shared" ca="1" si="96"/>
        <v>#NAME?</v>
      </c>
      <c r="AG661" s="199" t="str">
        <f t="shared" si="97"/>
        <v/>
      </c>
      <c r="AH661" s="199" t="e" cm="1">
        <f t="array" aca="1" ref="AH661" ca="1">_xlfn.XLOOKUP(PAA[[#This Row],[RCP-RUBRO]],COMPROMISOS_2025[[#All],[concatenado]],COMPROMISOS_2025[[#All],[Total pagado]],"",0)</f>
        <v>#NAME?</v>
      </c>
      <c r="AI661" s="199" t="e" cm="1">
        <f t="array" aca="1" ref="AI661" ca="1">_xlfn.XLOOKUP(PAA[[#This Row],[RCP-RUBRO]],COMPROMISOS_2025[[#All],[concatenado]],COMPROMISOS_2025[[#All],[Total Comprometido]],"",0)</f>
        <v>#NAME?</v>
      </c>
    </row>
    <row r="662" spans="1:35" s="50" customFormat="1" ht="42" hidden="1" customHeight="1" x14ac:dyDescent="0.25">
      <c r="A662" s="199">
        <v>548</v>
      </c>
      <c r="B662" s="200">
        <v>80111600</v>
      </c>
      <c r="C662" s="199" t="str">
        <f>VLOOKUP(PAA[[#This Row],[PROYECTO (formulado)2]],PROYECTOS!$G$1:$L$32,6,0)</f>
        <v>SUBGERENCIA ADMINISTRATIVA Y FINANCIERA</v>
      </c>
      <c r="D662" s="199" t="str">
        <f>+IF(PAA[[#This Row],[UNIDAD DE CONTRATACION (formulado)]]="Subgerencia Administrativa y Financiera","FUNCIONAMIENTO","INVERSIÓN")</f>
        <v>FUNCIONAMIENTO</v>
      </c>
      <c r="E662" s="201" t="str">
        <f>VLOOKUP(Q662,PROYECTOS!$G$1:$K$32,5,0)</f>
        <v>FUNCIONAMIENTO</v>
      </c>
      <c r="F662" s="201">
        <f>VLOOKUP(E662,PROYECTOS!$K$1:$M$32,3,0)</f>
        <v>999999</v>
      </c>
      <c r="G662" s="202" t="s">
        <v>42</v>
      </c>
      <c r="H662" s="202">
        <f>VLOOKUP(Q662,PROYECTOS!$V$1:$W$32,2,0)</f>
        <v>999999</v>
      </c>
      <c r="I662" s="203">
        <v>37609000</v>
      </c>
      <c r="J662" s="204" t="s">
        <v>748</v>
      </c>
      <c r="K662" s="199" t="str">
        <f t="shared" ca="1" si="92"/>
        <v>CONTRATADO</v>
      </c>
      <c r="L662" s="204" t="s">
        <v>112</v>
      </c>
      <c r="M662" s="204" t="s">
        <v>113</v>
      </c>
      <c r="N662" s="205" t="s">
        <v>114</v>
      </c>
      <c r="O662" s="204">
        <f>VLOOKUP(N662,RUBROS[#All],3,0)</f>
        <v>30</v>
      </c>
      <c r="P662" s="206" t="str">
        <f>VLOOKUP(N662,RUBROS[#All],2,0)</f>
        <v xml:space="preserve">Servicios prestados a las empresas y servicios de producción </v>
      </c>
      <c r="Q662" s="199" t="str">
        <f t="shared" si="93"/>
        <v>00</v>
      </c>
      <c r="R662" s="199" t="str">
        <f t="shared" si="94"/>
        <v>0-205616</v>
      </c>
      <c r="S662" s="207">
        <v>5</v>
      </c>
      <c r="T662" s="213" t="s">
        <v>46</v>
      </c>
      <c r="U662" s="209" t="e">
        <f ca="1">_xlfn.XLOOKUP(PAA[[#This Row],[ITEM]],Contrato!A:A,Contrato!Q:Q,"",0)</f>
        <v>#NAME?</v>
      </c>
      <c r="V662" s="199" t="s">
        <v>47</v>
      </c>
      <c r="W662" s="199" t="s">
        <v>154</v>
      </c>
      <c r="X662" s="199" t="s">
        <v>154</v>
      </c>
      <c r="Y662" s="210" t="e">
        <f ca="1">_xlfn.XLOOKUP(PAA[[#This Row],[ITEM]],Contrato!A:A,Contrato!B:B,"",0)</f>
        <v>#NAME?</v>
      </c>
      <c r="Z662" s="199" t="e">
        <f ca="1">_xlfn.XLOOKUP(PAA[[#This Row],[ITEM]],Contrato!A:A,Contrato!G:G,"",0)</f>
        <v>#NAME?</v>
      </c>
      <c r="AA662" s="199" t="e">
        <f ca="1">_xlfn.XLOOKUP(PAA[[#This Row],[ITEM]],Contrato!A:A,Contrato!T:T,"",0)</f>
        <v>#NAME?</v>
      </c>
      <c r="AB662" s="210" t="e">
        <f ca="1">+MAX(PAA[[#This Row],[Comprometido Contrato]],)</f>
        <v>#NAME?</v>
      </c>
      <c r="AC662" s="210" t="str">
        <f t="shared" ca="1" si="98"/>
        <v/>
      </c>
      <c r="AD662" s="210" t="e">
        <f ca="1">+MAX(PAA[[#This Row],[Pago por Contrato]],)</f>
        <v>#NAME?</v>
      </c>
      <c r="AE662" s="210" t="str">
        <f t="shared" ca="1" si="95"/>
        <v/>
      </c>
      <c r="AF662" s="199" t="e">
        <f t="shared" ca="1" si="96"/>
        <v>#NAME?</v>
      </c>
      <c r="AG662" s="199" t="str">
        <f t="shared" si="97"/>
        <v/>
      </c>
      <c r="AH662" s="199" t="e" cm="1">
        <f t="array" aca="1" ref="AH662" ca="1">_xlfn.XLOOKUP(PAA[[#This Row],[RCP-RUBRO]],COMPROMISOS_2025[[#All],[concatenado]],COMPROMISOS_2025[[#All],[Total pagado]],"",0)</f>
        <v>#NAME?</v>
      </c>
      <c r="AI662" s="199" t="e" cm="1">
        <f t="array" aca="1" ref="AI662" ca="1">_xlfn.XLOOKUP(PAA[[#This Row],[RCP-RUBRO]],COMPROMISOS_2025[[#All],[concatenado]],COMPROMISOS_2025[[#All],[Total Comprometido]],"",0)</f>
        <v>#NAME?</v>
      </c>
    </row>
    <row r="663" spans="1:35" s="50" customFormat="1" ht="42" hidden="1" customHeight="1" x14ac:dyDescent="0.25">
      <c r="A663" s="265">
        <v>549</v>
      </c>
      <c r="B663" s="255">
        <v>80111600</v>
      </c>
      <c r="C663" s="265" t="str">
        <f>VLOOKUP(PAA[[#This Row],[PROYECTO (formulado)2]],PROYECTOS!$G$1:$L$32,6,0)</f>
        <v>SUBGERENCIA ADMINISTRATIVA Y FINANCIERA</v>
      </c>
      <c r="D663" s="265" t="str">
        <f>+IF(PAA[[#This Row],[UNIDAD DE CONTRATACION (formulado)]]="Subgerencia Administrativa y Financiera","FUNCIONAMIENTO","INVERSIÓN")</f>
        <v>FUNCIONAMIENTO</v>
      </c>
      <c r="E663" s="274" t="str">
        <f>VLOOKUP(Q663,PROYECTOS!$G$1:$K$32,5,0)</f>
        <v>FUNCIONAMIENTO</v>
      </c>
      <c r="F663" s="274">
        <f>VLOOKUP(E663,PROYECTOS!$K$1:$M$32,3,0)</f>
        <v>999999</v>
      </c>
      <c r="G663" s="266" t="s">
        <v>42</v>
      </c>
      <c r="H663" s="266">
        <f>VLOOKUP(Q663,PROYECTOS!$V$1:$W$32,2,0)</f>
        <v>999999</v>
      </c>
      <c r="I663" s="269">
        <v>17095000</v>
      </c>
      <c r="J663" s="275" t="s">
        <v>749</v>
      </c>
      <c r="K663" s="265" t="str">
        <f t="shared" ca="1" si="92"/>
        <v>CONTRATADO</v>
      </c>
      <c r="L663" s="275" t="s">
        <v>112</v>
      </c>
      <c r="M663" s="275" t="s">
        <v>113</v>
      </c>
      <c r="N663" s="276" t="s">
        <v>114</v>
      </c>
      <c r="O663" s="275">
        <f>VLOOKUP(N663,RUBROS[#All],3,0)</f>
        <v>30</v>
      </c>
      <c r="P663" s="277" t="str">
        <f>VLOOKUP(N663,RUBROS[#All],2,0)</f>
        <v xml:space="preserve">Servicios prestados a las empresas y servicios de producción </v>
      </c>
      <c r="Q663" s="265" t="str">
        <f t="shared" si="93"/>
        <v>00</v>
      </c>
      <c r="R663" s="265" t="str">
        <f t="shared" si="94"/>
        <v>0-205616</v>
      </c>
      <c r="S663" s="254">
        <v>5</v>
      </c>
      <c r="T663" s="271" t="s">
        <v>46</v>
      </c>
      <c r="U663" s="272" t="e">
        <f ca="1">_xlfn.XLOOKUP(PAA[[#This Row],[ITEM]],Contrato!A:A,Contrato!Q:Q,"",0)</f>
        <v>#NAME?</v>
      </c>
      <c r="V663" s="265" t="s">
        <v>47</v>
      </c>
      <c r="W663" s="265" t="s">
        <v>154</v>
      </c>
      <c r="X663" s="265" t="s">
        <v>154</v>
      </c>
      <c r="Y663" s="273" t="e">
        <f ca="1">_xlfn.XLOOKUP(PAA[[#This Row],[ITEM]],Contrato!A:A,Contrato!B:B,"",0)</f>
        <v>#NAME?</v>
      </c>
      <c r="Z663" s="265" t="e">
        <f ca="1">_xlfn.XLOOKUP(PAA[[#This Row],[ITEM]],Contrato!A:A,Contrato!G:G,"",0)</f>
        <v>#NAME?</v>
      </c>
      <c r="AA663" s="265" t="e">
        <f ca="1">_xlfn.XLOOKUP(PAA[[#This Row],[ITEM]],Contrato!A:A,Contrato!T:T,"",0)</f>
        <v>#NAME?</v>
      </c>
      <c r="AB663" s="273" t="e">
        <f ca="1">+MAX(PAA[[#This Row],[Comprometido Contrato]],)</f>
        <v>#NAME?</v>
      </c>
      <c r="AC663" s="273" t="str">
        <f t="shared" ca="1" si="98"/>
        <v/>
      </c>
      <c r="AD663" s="273" t="e">
        <f ca="1">+MAX(PAA[[#This Row],[Pago por Contrato]],)</f>
        <v>#NAME?</v>
      </c>
      <c r="AE663" s="273" t="str">
        <f t="shared" ca="1" si="95"/>
        <v/>
      </c>
      <c r="AF663" s="265" t="e">
        <f t="shared" ca="1" si="96"/>
        <v>#NAME?</v>
      </c>
      <c r="AG663" s="265" t="str">
        <f t="shared" si="97"/>
        <v/>
      </c>
      <c r="AH663" s="265" t="e" cm="1">
        <f t="array" aca="1" ref="AH663" ca="1">_xlfn.XLOOKUP(PAA[[#This Row],[RCP-RUBRO]],COMPROMISOS_2025[[#All],[concatenado]],COMPROMISOS_2025[[#All],[Total pagado]],"",0)</f>
        <v>#NAME?</v>
      </c>
      <c r="AI663" s="265" t="e" cm="1">
        <f t="array" aca="1" ref="AI663" ca="1">_xlfn.XLOOKUP(PAA[[#This Row],[RCP-RUBRO]],COMPROMISOS_2025[[#All],[concatenado]],COMPROMISOS_2025[[#All],[Total Comprometido]],"",0)</f>
        <v>#NAME?</v>
      </c>
    </row>
    <row r="664" spans="1:35" s="50" customFormat="1" ht="42" hidden="1" customHeight="1" x14ac:dyDescent="0.25">
      <c r="A664" s="265">
        <v>550</v>
      </c>
      <c r="B664" s="255">
        <v>80111600</v>
      </c>
      <c r="C664" s="265" t="str">
        <f>VLOOKUP(PAA[[#This Row],[PROYECTO (formulado)2]],PROYECTOS!$G$1:$L$32,6,0)</f>
        <v>SUBGERENCIA ADMINISTRATIVA Y FINANCIERA</v>
      </c>
      <c r="D664" s="265" t="str">
        <f>+IF(PAA[[#This Row],[UNIDAD DE CONTRATACION (formulado)]]="Subgerencia Administrativa y Financiera","FUNCIONAMIENTO","INVERSIÓN")</f>
        <v>FUNCIONAMIENTO</v>
      </c>
      <c r="E664" s="274" t="str">
        <f>VLOOKUP(Q664,PROYECTOS!$G$1:$K$32,5,0)</f>
        <v>FUNCIONAMIENTO</v>
      </c>
      <c r="F664" s="274">
        <f>VLOOKUP(E664,PROYECTOS!$K$1:$M$32,3,0)</f>
        <v>999999</v>
      </c>
      <c r="G664" s="266" t="s">
        <v>42</v>
      </c>
      <c r="H664" s="266">
        <f>VLOOKUP(Q664,PROYECTOS!$V$1:$W$32,2,0)</f>
        <v>999999</v>
      </c>
      <c r="I664" s="269">
        <v>73780000</v>
      </c>
      <c r="J664" s="275" t="s">
        <v>750</v>
      </c>
      <c r="K664" s="265" t="str">
        <f t="shared" ca="1" si="92"/>
        <v>CONTRATADO</v>
      </c>
      <c r="L664" s="275" t="s">
        <v>112</v>
      </c>
      <c r="M664" s="275" t="s">
        <v>751</v>
      </c>
      <c r="N664" s="276" t="s">
        <v>114</v>
      </c>
      <c r="O664" s="275">
        <f>VLOOKUP(N664,RUBROS[#All],3,0)</f>
        <v>30</v>
      </c>
      <c r="P664" s="277" t="str">
        <f>VLOOKUP(N664,RUBROS[#All],2,0)</f>
        <v xml:space="preserve">Servicios prestados a las empresas y servicios de producción </v>
      </c>
      <c r="Q664" s="265" t="str">
        <f t="shared" si="93"/>
        <v>00</v>
      </c>
      <c r="R664" s="265" t="str">
        <f t="shared" si="94"/>
        <v>0-205616</v>
      </c>
      <c r="S664" s="254">
        <v>4</v>
      </c>
      <c r="T664" s="271" t="s">
        <v>46</v>
      </c>
      <c r="U664" s="272" t="e">
        <f ca="1">_xlfn.XLOOKUP(PAA[[#This Row],[ITEM]],Contrato!A:A,Contrato!Q:Q,"",0)</f>
        <v>#NAME?</v>
      </c>
      <c r="V664" s="265" t="s">
        <v>47</v>
      </c>
      <c r="W664" s="265" t="s">
        <v>154</v>
      </c>
      <c r="X664" s="265" t="s">
        <v>154</v>
      </c>
      <c r="Y664" s="273" t="e">
        <f ca="1">_xlfn.XLOOKUP(PAA[[#This Row],[ITEM]],Contrato!A:A,Contrato!B:B,"",0)</f>
        <v>#NAME?</v>
      </c>
      <c r="Z664" s="265" t="e">
        <f ca="1">_xlfn.XLOOKUP(PAA[[#This Row],[ITEM]],Contrato!A:A,Contrato!G:G,"",0)</f>
        <v>#NAME?</v>
      </c>
      <c r="AA664" s="265" t="e">
        <f ca="1">_xlfn.XLOOKUP(PAA[[#This Row],[ITEM]],Contrato!A:A,Contrato!T:T,"",0)</f>
        <v>#NAME?</v>
      </c>
      <c r="AB664" s="273" t="e">
        <f ca="1">+MAX(PAA[[#This Row],[Comprometido Contrato]],)</f>
        <v>#NAME?</v>
      </c>
      <c r="AC664" s="273" t="str">
        <f t="shared" ca="1" si="98"/>
        <v/>
      </c>
      <c r="AD664" s="273" t="e">
        <f ca="1">+MAX(PAA[[#This Row],[Pago por Contrato]],)</f>
        <v>#NAME?</v>
      </c>
      <c r="AE664" s="273" t="str">
        <f t="shared" ca="1" si="95"/>
        <v/>
      </c>
      <c r="AF664" s="265" t="e">
        <f t="shared" ca="1" si="96"/>
        <v>#NAME?</v>
      </c>
      <c r="AG664" s="265" t="str">
        <f t="shared" si="97"/>
        <v/>
      </c>
      <c r="AH664" s="265" t="e" cm="1">
        <f t="array" aca="1" ref="AH664" ca="1">_xlfn.XLOOKUP(PAA[[#This Row],[RCP-RUBRO]],COMPROMISOS_2025[[#All],[concatenado]],COMPROMISOS_2025[[#All],[Total pagado]],"",0)</f>
        <v>#NAME?</v>
      </c>
      <c r="AI664" s="265" t="e" cm="1">
        <f t="array" aca="1" ref="AI664" ca="1">_xlfn.XLOOKUP(PAA[[#This Row],[RCP-RUBRO]],COMPROMISOS_2025[[#All],[concatenado]],COMPROMISOS_2025[[#All],[Total Comprometido]],"",0)</f>
        <v>#NAME?</v>
      </c>
    </row>
    <row r="665" spans="1:35" s="50" customFormat="1" ht="42" hidden="1" customHeight="1" x14ac:dyDescent="0.25">
      <c r="A665" s="265">
        <v>551</v>
      </c>
      <c r="B665" s="281">
        <v>80111600</v>
      </c>
      <c r="C665" s="265" t="str">
        <f>VLOOKUP(PAA[[#This Row],[PROYECTO (formulado)2]],PROYECTOS!$G$1:$L$32,6,0)</f>
        <v>SUBGERENCIA DE ALTOS LOGROS Y DEPORTE ASOCIADO</v>
      </c>
      <c r="D665" s="265" t="str">
        <f>+IF(PAA[[#This Row],[UNIDAD DE CONTRATACION (formulado)]]="Subgerencia Administrativa y Financiera","FUNCIONAMIENTO","INVERSIÓN")</f>
        <v>INVERSIÓN</v>
      </c>
      <c r="E665" s="268" t="str">
        <f>VLOOKUP(Q665,PROYECTOS!$G$1:$K$32,5,0)</f>
        <v>Fortalecimiento del desarrollo deportivo con miras al alto rendimiento competitivo de los atletas del departamento de Antioquia</v>
      </c>
      <c r="F665" s="266">
        <f>VLOOKUP(E665,PROYECTOS!$K$1:$M$32,3,0)</f>
        <v>2024003050087</v>
      </c>
      <c r="G665" s="266" t="s">
        <v>396</v>
      </c>
      <c r="H665" s="268" t="str">
        <f>VLOOKUP(Q665,PROYECTOS!$V$1:$W$32,2,0)</f>
        <v>050078</v>
      </c>
      <c r="I665" s="269">
        <v>34190000</v>
      </c>
      <c r="J665" s="282" t="s">
        <v>752</v>
      </c>
      <c r="K665" s="265" t="str">
        <f t="shared" ca="1" si="92"/>
        <v>CONTRATADO</v>
      </c>
      <c r="L665" s="254" t="s">
        <v>112</v>
      </c>
      <c r="M665" s="254" t="s">
        <v>113</v>
      </c>
      <c r="N665" s="265" t="s">
        <v>406</v>
      </c>
      <c r="O665" s="265">
        <f>VLOOKUP(N665,RUBROS[#All],3,0)</f>
        <v>68</v>
      </c>
      <c r="P665" s="265" t="str">
        <f>VLOOKUP(N665,RUBROS[#All],2,0)</f>
        <v xml:space="preserve">Fortalecimiento del desarrollo deportivo con miras al alto rendimiento competitivo de los atletas del departamento de Antioquia - Servicios prestados a las empresas y servicios de producción </v>
      </c>
      <c r="Q665" s="265" t="str">
        <f t="shared" si="93"/>
        <v>87</v>
      </c>
      <c r="R665" s="265" t="str">
        <f t="shared" si="94"/>
        <v>0-205128</v>
      </c>
      <c r="S665" s="254">
        <v>10</v>
      </c>
      <c r="T665" s="260" t="s">
        <v>46</v>
      </c>
      <c r="U665" s="261" t="e">
        <f ca="1">_xlfn.XLOOKUP(PAA[[#This Row],[ITEM]],Contrato!A:A,Contrato!Q:Q,"",0)</f>
        <v>#NAME?</v>
      </c>
      <c r="V665" s="254" t="s">
        <v>47</v>
      </c>
      <c r="W665" s="254" t="s">
        <v>154</v>
      </c>
      <c r="X665" s="254" t="s">
        <v>154</v>
      </c>
      <c r="Y665" s="273" t="e">
        <f ca="1">_xlfn.XLOOKUP(PAA[[#This Row],[ITEM]],Contrato!A:A,Contrato!B:B,"",0)</f>
        <v>#NAME?</v>
      </c>
      <c r="Z665" s="265" t="e">
        <f ca="1">_xlfn.XLOOKUP(PAA[[#This Row],[ITEM]],Contrato!A:A,Contrato!G:G,"",0)</f>
        <v>#NAME?</v>
      </c>
      <c r="AA665" s="265" t="e">
        <f ca="1">_xlfn.XLOOKUP(PAA[[#This Row],[ITEM]],Contrato!A:A,Contrato!T:T,"",0)</f>
        <v>#NAME?</v>
      </c>
      <c r="AB665" s="273" t="e">
        <f ca="1">+MAX(PAA[[#This Row],[Comprometido Contrato]],)</f>
        <v>#NAME?</v>
      </c>
      <c r="AC665" s="273" t="str">
        <f t="shared" ca="1" si="98"/>
        <v/>
      </c>
      <c r="AD665" s="273" t="e">
        <f ca="1">+MAX(PAA[[#This Row],[Pago por Contrato]],)</f>
        <v>#NAME?</v>
      </c>
      <c r="AE665" s="273" t="str">
        <f t="shared" ca="1" si="95"/>
        <v/>
      </c>
      <c r="AF665" s="265" t="e">
        <f t="shared" ca="1" si="96"/>
        <v>#NAME?</v>
      </c>
      <c r="AG665" s="265">
        <f t="shared" si="97"/>
        <v>52010805</v>
      </c>
      <c r="AH665" s="265" t="e" cm="1">
        <f t="array" aca="1" ref="AH665" ca="1">_xlfn.XLOOKUP(PAA[[#This Row],[RCP-RUBRO]],COMPROMISOS_2025[[#All],[concatenado]],COMPROMISOS_2025[[#All],[Total pagado]],"",0)</f>
        <v>#NAME?</v>
      </c>
      <c r="AI665" s="265" t="e" cm="1">
        <f t="array" aca="1" ref="AI665" ca="1">_xlfn.XLOOKUP(PAA[[#This Row],[RCP-RUBRO]],COMPROMISOS_2025[[#All],[concatenado]],COMPROMISOS_2025[[#All],[Total Comprometido]],"",0)</f>
        <v>#NAME?</v>
      </c>
    </row>
    <row r="666" spans="1:35" s="50" customFormat="1" ht="42" hidden="1" customHeight="1" x14ac:dyDescent="0.25">
      <c r="A666" s="265">
        <v>552</v>
      </c>
      <c r="B666" s="255">
        <v>86111602</v>
      </c>
      <c r="C666" s="265" t="str">
        <f>VLOOKUP(PAA[[#This Row],[PROYECTO (formulado)2]],PROYECTOS!$G$1:$L$32,6,0)</f>
        <v>SUBGERENCIA DE FOMENTO Y DESARROLLO</v>
      </c>
      <c r="D666" s="265" t="str">
        <f>+IF(PAA[[#This Row],[UNIDAD DE CONTRATACION (formulado)]]="Subgerencia Administrativa y Financiera","FUNCIONAMIENTO","INVERSIÓN")</f>
        <v>INVERSIÓN</v>
      </c>
      <c r="E666" s="274" t="str">
        <f>VLOOKUP(Q666,PROYECTOS!$G$1:$K$32,5,0)</f>
        <v>Capacitación para el sector del deporte, la recreación y la actividad física en el Departamento de   Antioquia</v>
      </c>
      <c r="F666" s="274">
        <f>VLOOKUP(E666,PROYECTOS!$K$1:$M$32,3,0)</f>
        <v>2024003050072</v>
      </c>
      <c r="G666" s="266" t="s">
        <v>310</v>
      </c>
      <c r="H666" s="266" t="str">
        <f>VLOOKUP(Q666,PROYECTOS!$V$1:$W$32,2,0)</f>
        <v>050072</v>
      </c>
      <c r="I666" s="269">
        <v>129600000</v>
      </c>
      <c r="J666" s="275" t="s">
        <v>753</v>
      </c>
      <c r="K666" s="265" t="str">
        <f t="shared" ca="1" si="92"/>
        <v>CONTRATADO</v>
      </c>
      <c r="L666" s="275" t="s">
        <v>112</v>
      </c>
      <c r="M666" s="275" t="s">
        <v>142</v>
      </c>
      <c r="N666" s="276" t="s">
        <v>308</v>
      </c>
      <c r="O666" s="275">
        <f>VLOOKUP(N666,RUBROS[#All],3,0)</f>
        <v>79</v>
      </c>
      <c r="P666" s="277" t="str">
        <f>VLOOKUP(N666,RUBROS[#All],2,0)</f>
        <v>Capacitación para el sector del deporte, la recreación y la actividad física en el Departamento de   Antioquia -Servicios para la comunidad, sociales y personales</v>
      </c>
      <c r="Q666" s="265" t="str">
        <f t="shared" si="93"/>
        <v>72</v>
      </c>
      <c r="R666" s="265" t="str">
        <f t="shared" si="94"/>
        <v>0-205128</v>
      </c>
      <c r="S666" s="254">
        <v>10</v>
      </c>
      <c r="T666" s="278" t="s">
        <v>46</v>
      </c>
      <c r="U666" s="272" t="e">
        <f ca="1">_xlfn.XLOOKUP(PAA[[#This Row],[ITEM]],Contrato!A:A,Contrato!Q:Q,"",0)</f>
        <v>#NAME?</v>
      </c>
      <c r="V666" s="265" t="s">
        <v>47</v>
      </c>
      <c r="W666" s="265" t="s">
        <v>154</v>
      </c>
      <c r="X666" s="265" t="s">
        <v>154</v>
      </c>
      <c r="Y666" s="273" t="e">
        <f ca="1">_xlfn.XLOOKUP(PAA[[#This Row],[ITEM]],Contrato!A:A,Contrato!B:B,"",0)</f>
        <v>#NAME?</v>
      </c>
      <c r="Z666" s="265" t="e">
        <f ca="1">_xlfn.XLOOKUP(PAA[[#This Row],[ITEM]],Contrato!A:A,Contrato!G:G,"",0)</f>
        <v>#NAME?</v>
      </c>
      <c r="AA666" s="265" t="e">
        <f ca="1">_xlfn.XLOOKUP(PAA[[#This Row],[ITEM]],Contrato!A:A,Contrato!T:T,"",0)</f>
        <v>#NAME?</v>
      </c>
      <c r="AB666" s="273" t="e">
        <f ca="1">+MAX(PAA[[#This Row],[Comprometido Contrato]],)</f>
        <v>#NAME?</v>
      </c>
      <c r="AC666" s="273" t="str">
        <f t="shared" ca="1" si="98"/>
        <v/>
      </c>
      <c r="AD666" s="273" t="e">
        <f ca="1">+MAX(PAA[[#This Row],[Pago por Contrato]],)</f>
        <v>#NAME?</v>
      </c>
      <c r="AE666" s="273" t="str">
        <f t="shared" ca="1" si="95"/>
        <v/>
      </c>
      <c r="AF666" s="265" t="e">
        <f t="shared" ca="1" si="96"/>
        <v>#NAME?</v>
      </c>
      <c r="AG666" s="265">
        <f t="shared" si="97"/>
        <v>52010704</v>
      </c>
      <c r="AH666" s="265" t="e" cm="1">
        <f t="array" aca="1" ref="AH666" ca="1">_xlfn.XLOOKUP(PAA[[#This Row],[RCP-RUBRO]],COMPROMISOS_2025[[#All],[concatenado]],COMPROMISOS_2025[[#All],[Total pagado]],"",0)</f>
        <v>#NAME?</v>
      </c>
      <c r="AI666" s="265" t="e" cm="1">
        <f t="array" aca="1" ref="AI666" ca="1">_xlfn.XLOOKUP(PAA[[#This Row],[RCP-RUBRO]],COMPROMISOS_2025[[#All],[concatenado]],COMPROMISOS_2025[[#All],[Total Comprometido]],"",0)</f>
        <v>#NAME?</v>
      </c>
    </row>
    <row r="667" spans="1:35" s="50" customFormat="1" ht="42" hidden="1" customHeight="1" x14ac:dyDescent="0.25">
      <c r="A667" s="265">
        <v>553</v>
      </c>
      <c r="B667" s="255">
        <v>86111602</v>
      </c>
      <c r="C667" s="265" t="str">
        <f>VLOOKUP(PAA[[#This Row],[PROYECTO (formulado)2]],PROYECTOS!$G$1:$L$32,6,0)</f>
        <v>SUBGERENCIA DE FOMENTO Y DESARROLLO</v>
      </c>
      <c r="D667" s="265" t="str">
        <f>+IF(PAA[[#This Row],[UNIDAD DE CONTRATACION (formulado)]]="Subgerencia Administrativa y Financiera","FUNCIONAMIENTO","INVERSIÓN")</f>
        <v>INVERSIÓN</v>
      </c>
      <c r="E667" s="274" t="str">
        <f>VLOOKUP(Q667,PROYECTOS!$G$1:$K$32,5,0)</f>
        <v>Capacitación para el sector del deporte, la recreación y la actividad física en el Departamento de   Antioquia</v>
      </c>
      <c r="F667" s="274">
        <f>VLOOKUP(E667,PROYECTOS!$K$1:$M$32,3,0)</f>
        <v>2024003050072</v>
      </c>
      <c r="G667" s="266" t="s">
        <v>310</v>
      </c>
      <c r="H667" s="266" t="str">
        <f>VLOOKUP(Q667,PROYECTOS!$V$1:$W$32,2,0)</f>
        <v>050072</v>
      </c>
      <c r="I667" s="269">
        <v>88935122</v>
      </c>
      <c r="J667" s="275" t="s">
        <v>754</v>
      </c>
      <c r="K667" s="265" t="str">
        <f t="shared" ca="1" si="92"/>
        <v>CONTRATADO</v>
      </c>
      <c r="L667" s="275" t="s">
        <v>112</v>
      </c>
      <c r="M667" s="275" t="s">
        <v>142</v>
      </c>
      <c r="N667" s="276" t="s">
        <v>308</v>
      </c>
      <c r="O667" s="275">
        <f>VLOOKUP(N667,RUBROS[#All],3,0)</f>
        <v>79</v>
      </c>
      <c r="P667" s="277" t="str">
        <f>VLOOKUP(N667,RUBROS[#All],2,0)</f>
        <v>Capacitación para el sector del deporte, la recreación y la actividad física en el Departamento de   Antioquia -Servicios para la comunidad, sociales y personales</v>
      </c>
      <c r="Q667" s="265" t="str">
        <f t="shared" si="93"/>
        <v>72</v>
      </c>
      <c r="R667" s="265" t="str">
        <f t="shared" si="94"/>
        <v>0-205128</v>
      </c>
      <c r="S667" s="254">
        <v>10</v>
      </c>
      <c r="T667" s="278" t="s">
        <v>46</v>
      </c>
      <c r="U667" s="272" t="e">
        <f ca="1">_xlfn.XLOOKUP(PAA[[#This Row],[ITEM]],Contrato!A:A,Contrato!Q:Q,"",0)</f>
        <v>#NAME?</v>
      </c>
      <c r="V667" s="265" t="s">
        <v>47</v>
      </c>
      <c r="W667" s="265" t="s">
        <v>154</v>
      </c>
      <c r="X667" s="265" t="s">
        <v>154</v>
      </c>
      <c r="Y667" s="273" t="e">
        <f ca="1">_xlfn.XLOOKUP(PAA[[#This Row],[ITEM]],Contrato!A:A,Contrato!B:B,"",0)</f>
        <v>#NAME?</v>
      </c>
      <c r="Z667" s="265" t="e">
        <f ca="1">_xlfn.XLOOKUP(PAA[[#This Row],[ITEM]],Contrato!A:A,Contrato!G:G,"",0)</f>
        <v>#NAME?</v>
      </c>
      <c r="AA667" s="265" t="e">
        <f ca="1">_xlfn.XLOOKUP(PAA[[#This Row],[ITEM]],Contrato!A:A,Contrato!T:T,"",0)</f>
        <v>#NAME?</v>
      </c>
      <c r="AB667" s="273" t="e">
        <f ca="1">+MAX(PAA[[#This Row],[Comprometido Contrato]],)</f>
        <v>#NAME?</v>
      </c>
      <c r="AC667" s="273" t="str">
        <f t="shared" ca="1" si="98"/>
        <v/>
      </c>
      <c r="AD667" s="273" t="e">
        <f ca="1">+MAX(PAA[[#This Row],[Pago por Contrato]],)</f>
        <v>#NAME?</v>
      </c>
      <c r="AE667" s="273" t="str">
        <f t="shared" ca="1" si="95"/>
        <v/>
      </c>
      <c r="AF667" s="265" t="e">
        <f t="shared" ca="1" si="96"/>
        <v>#NAME?</v>
      </c>
      <c r="AG667" s="265">
        <f t="shared" si="97"/>
        <v>52010704</v>
      </c>
      <c r="AH667" s="265" t="e" cm="1">
        <f t="array" aca="1" ref="AH667" ca="1">_xlfn.XLOOKUP(PAA[[#This Row],[RCP-RUBRO]],COMPROMISOS_2025[[#All],[concatenado]],COMPROMISOS_2025[[#All],[Total pagado]],"",0)</f>
        <v>#NAME?</v>
      </c>
      <c r="AI667" s="265" t="e" cm="1">
        <f t="array" aca="1" ref="AI667" ca="1">_xlfn.XLOOKUP(PAA[[#This Row],[RCP-RUBRO]],COMPROMISOS_2025[[#All],[concatenado]],COMPROMISOS_2025[[#All],[Total Comprometido]],"",0)</f>
        <v>#NAME?</v>
      </c>
    </row>
    <row r="668" spans="1:35" s="50" customFormat="1" ht="42" hidden="1" customHeight="1" x14ac:dyDescent="0.25">
      <c r="A668" s="265">
        <v>554</v>
      </c>
      <c r="B668" s="255">
        <v>86111602</v>
      </c>
      <c r="C668" s="265" t="str">
        <f>VLOOKUP(PAA[[#This Row],[PROYECTO (formulado)2]],PROYECTOS!$G$1:$L$32,6,0)</f>
        <v>SUBGERENCIA DE FOMENTO Y DESARROLLO</v>
      </c>
      <c r="D668" s="265" t="str">
        <f>+IF(PAA[[#This Row],[UNIDAD DE CONTRATACION (formulado)]]="Subgerencia Administrativa y Financiera","FUNCIONAMIENTO","INVERSIÓN")</f>
        <v>INVERSIÓN</v>
      </c>
      <c r="E668" s="274" t="str">
        <f>VLOOKUP(Q668,PROYECTOS!$G$1:$K$32,5,0)</f>
        <v>Capacitación para el sector del deporte, la recreación y la actividad física en el Departamento de   Antioquia</v>
      </c>
      <c r="F668" s="274">
        <f>VLOOKUP(E668,PROYECTOS!$K$1:$M$32,3,0)</f>
        <v>2024003050072</v>
      </c>
      <c r="G668" s="266" t="s">
        <v>310</v>
      </c>
      <c r="H668" s="266" t="str">
        <f>VLOOKUP(Q668,PROYECTOS!$V$1:$W$32,2,0)</f>
        <v>050072</v>
      </c>
      <c r="I668" s="269">
        <v>222478000</v>
      </c>
      <c r="J668" s="275" t="s">
        <v>755</v>
      </c>
      <c r="K668" s="265" t="str">
        <f t="shared" ca="1" si="92"/>
        <v>CONTRATADO</v>
      </c>
      <c r="L668" s="275" t="s">
        <v>112</v>
      </c>
      <c r="M668" s="275" t="s">
        <v>142</v>
      </c>
      <c r="N668" s="276" t="s">
        <v>308</v>
      </c>
      <c r="O668" s="275">
        <f>VLOOKUP(N668,RUBROS[#All],3,0)</f>
        <v>79</v>
      </c>
      <c r="P668" s="277" t="str">
        <f>VLOOKUP(N668,RUBROS[#All],2,0)</f>
        <v>Capacitación para el sector del deporte, la recreación y la actividad física en el Departamento de   Antioquia -Servicios para la comunidad, sociales y personales</v>
      </c>
      <c r="Q668" s="265" t="str">
        <f t="shared" si="93"/>
        <v>72</v>
      </c>
      <c r="R668" s="265" t="str">
        <f t="shared" si="94"/>
        <v>0-205128</v>
      </c>
      <c r="S668" s="254">
        <v>10</v>
      </c>
      <c r="T668" s="260" t="s">
        <v>46</v>
      </c>
      <c r="U668" s="272" t="e">
        <f ca="1">_xlfn.XLOOKUP(PAA[[#This Row],[ITEM]],Contrato!A:A,Contrato!Q:Q,"",0)</f>
        <v>#NAME?</v>
      </c>
      <c r="V668" s="265" t="s">
        <v>47</v>
      </c>
      <c r="W668" s="265" t="s">
        <v>154</v>
      </c>
      <c r="X668" s="265" t="s">
        <v>154</v>
      </c>
      <c r="Y668" s="273" t="e">
        <f ca="1">_xlfn.XLOOKUP(PAA[[#This Row],[ITEM]],Contrato!A:A,Contrato!B:B,"",0)</f>
        <v>#NAME?</v>
      </c>
      <c r="Z668" s="265" t="e">
        <f ca="1">_xlfn.XLOOKUP(PAA[[#This Row],[ITEM]],Contrato!A:A,Contrato!G:G,"",0)</f>
        <v>#NAME?</v>
      </c>
      <c r="AA668" s="265" t="e">
        <f ca="1">_xlfn.XLOOKUP(PAA[[#This Row],[ITEM]],Contrato!A:A,Contrato!T:T,"",0)</f>
        <v>#NAME?</v>
      </c>
      <c r="AB668" s="273" t="e">
        <f ca="1">+MAX(PAA[[#This Row],[Comprometido Contrato]],)</f>
        <v>#NAME?</v>
      </c>
      <c r="AC668" s="273" t="str">
        <f t="shared" ca="1" si="98"/>
        <v/>
      </c>
      <c r="AD668" s="273" t="e">
        <f ca="1">+MAX(PAA[[#This Row],[Pago por Contrato]],)</f>
        <v>#NAME?</v>
      </c>
      <c r="AE668" s="273" t="str">
        <f t="shared" ca="1" si="95"/>
        <v/>
      </c>
      <c r="AF668" s="265" t="e">
        <f t="shared" ca="1" si="96"/>
        <v>#NAME?</v>
      </c>
      <c r="AG668" s="265">
        <f t="shared" si="97"/>
        <v>52010704</v>
      </c>
      <c r="AH668" s="265" t="e" cm="1">
        <f t="array" aca="1" ref="AH668" ca="1">_xlfn.XLOOKUP(PAA[[#This Row],[RCP-RUBRO]],COMPROMISOS_2025[[#All],[concatenado]],COMPROMISOS_2025[[#All],[Total pagado]],"",0)</f>
        <v>#NAME?</v>
      </c>
      <c r="AI668" s="265" t="e" cm="1">
        <f t="array" aca="1" ref="AI668" ca="1">_xlfn.XLOOKUP(PAA[[#This Row],[RCP-RUBRO]],COMPROMISOS_2025[[#All],[concatenado]],COMPROMISOS_2025[[#All],[Total Comprometido]],"",0)</f>
        <v>#NAME?</v>
      </c>
    </row>
    <row r="669" spans="1:35" s="50" customFormat="1" ht="42" hidden="1" customHeight="1" x14ac:dyDescent="0.25">
      <c r="A669" s="265">
        <v>555</v>
      </c>
      <c r="B669" s="255">
        <v>84101600</v>
      </c>
      <c r="C669" s="265" t="str">
        <f>VLOOKUP(PAA[[#This Row],[PROYECTO (formulado)2]],PROYECTOS!$G$1:$L$32,6,0)</f>
        <v>SUBGERENCIA DE FOMENTO Y DESARROLLO</v>
      </c>
      <c r="D669" s="265" t="str">
        <f>+IF(PAA[[#This Row],[UNIDAD DE CONTRATACION (formulado)]]="Subgerencia Administrativa y Financiera","FUNCIONAMIENTO","INVERSIÓN")</f>
        <v>INVERSIÓN</v>
      </c>
      <c r="E669" s="274" t="str">
        <f>VLOOKUP(Q669,PROYECTOS!$G$1:$K$32,5,0)</f>
        <v>Desarrollo y promoción del deporte formativo, la recreación y la actividad física en el departamento Antioquia</v>
      </c>
      <c r="F669" s="274">
        <f>VLOOKUP(E669,PROYECTOS!$K$1:$M$32,3,0)</f>
        <v>2024003050101</v>
      </c>
      <c r="G669" s="266" t="s">
        <v>756</v>
      </c>
      <c r="H669" s="266" t="str">
        <f>VLOOKUP(Q669,PROYECTOS!$V$1:$W$32,2,0)</f>
        <v>050075</v>
      </c>
      <c r="I669" s="269">
        <v>100000000</v>
      </c>
      <c r="J669" s="275" t="s">
        <v>757</v>
      </c>
      <c r="K669" s="265" t="str">
        <f t="shared" ca="1" si="92"/>
        <v>CONTRATADO</v>
      </c>
      <c r="L669" s="275" t="s">
        <v>112</v>
      </c>
      <c r="M669" s="275" t="s">
        <v>125</v>
      </c>
      <c r="N669" s="276" t="s">
        <v>284</v>
      </c>
      <c r="O669" s="275">
        <f>VLOOKUP(N669,RUBROS[#All],3,0)</f>
        <v>73</v>
      </c>
      <c r="P669" s="277" t="str">
        <f>VLOOKUP(N669,RUBROS[#All],2,0)</f>
        <v>Desarrollo y promoción del deporte formativo, la recreación y la actividad física en el departamento Antioquia. - Servicios para la comunidad, sociales y personales</v>
      </c>
      <c r="Q669" s="265" t="str">
        <f t="shared" si="93"/>
        <v>01</v>
      </c>
      <c r="R669" s="265" t="str">
        <f t="shared" si="94"/>
        <v>0-205400</v>
      </c>
      <c r="S669" s="254">
        <v>10</v>
      </c>
      <c r="T669" s="278" t="s">
        <v>46</v>
      </c>
      <c r="U669" s="272" t="e">
        <f ca="1">_xlfn.XLOOKUP(PAA[[#This Row],[ITEM]],Contrato!A:A,Contrato!Q:Q,"",0)</f>
        <v>#NAME?</v>
      </c>
      <c r="V669" s="265" t="s">
        <v>47</v>
      </c>
      <c r="W669" s="265" t="s">
        <v>154</v>
      </c>
      <c r="X669" s="265" t="s">
        <v>154</v>
      </c>
      <c r="Y669" s="273" t="e">
        <f ca="1">_xlfn.XLOOKUP(PAA[[#This Row],[ITEM]],Contrato!A:A,Contrato!B:B,"",0)</f>
        <v>#NAME?</v>
      </c>
      <c r="Z669" s="265" t="e">
        <f ca="1">_xlfn.XLOOKUP(PAA[[#This Row],[ITEM]],Contrato!A:A,Contrato!G:G,"",0)</f>
        <v>#NAME?</v>
      </c>
      <c r="AA669" s="265" t="e">
        <f ca="1">_xlfn.XLOOKUP(PAA[[#This Row],[ITEM]],Contrato!A:A,Contrato!T:T,"",0)</f>
        <v>#NAME?</v>
      </c>
      <c r="AB669" s="273" t="e">
        <f ca="1">+MAX(PAA[[#This Row],[Comprometido Contrato]],)</f>
        <v>#NAME?</v>
      </c>
      <c r="AC669" s="273" t="str">
        <f t="shared" ca="1" si="98"/>
        <v/>
      </c>
      <c r="AD669" s="273" t="e">
        <f ca="1">+MAX(PAA[[#This Row],[Pago por Contrato]],)</f>
        <v>#NAME?</v>
      </c>
      <c r="AE669" s="273" t="str">
        <f t="shared" ca="1" si="95"/>
        <v/>
      </c>
      <c r="AF669" s="265" t="e">
        <f t="shared" ca="1" si="96"/>
        <v>#NAME?</v>
      </c>
      <c r="AG669" s="265">
        <f t="shared" si="97"/>
        <v>52010702</v>
      </c>
      <c r="AH669" s="265" t="e" cm="1">
        <f t="array" aca="1" ref="AH669" ca="1">_xlfn.XLOOKUP(PAA[[#This Row],[RCP-RUBRO]],COMPROMISOS_2025[[#All],[concatenado]],COMPROMISOS_2025[[#All],[Total pagado]],"",0)</f>
        <v>#NAME?</v>
      </c>
      <c r="AI669" s="265" t="e" cm="1">
        <f t="array" aca="1" ref="AI669" ca="1">_xlfn.XLOOKUP(PAA[[#This Row],[RCP-RUBRO]],COMPROMISOS_2025[[#All],[concatenado]],COMPROMISOS_2025[[#All],[Total Comprometido]],"",0)</f>
        <v>#NAME?</v>
      </c>
    </row>
    <row r="670" spans="1:35" s="50" customFormat="1" ht="42" hidden="1" customHeight="1" x14ac:dyDescent="0.25">
      <c r="A670" s="265">
        <v>556</v>
      </c>
      <c r="B670" s="255">
        <v>80111600</v>
      </c>
      <c r="C670" s="265" t="str">
        <f>VLOOKUP(PAA[[#This Row],[PROYECTO (formulado)2]],PROYECTOS!$G$1:$L$32,6,0)</f>
        <v>SUBGERENCIA ESCENARIOS DEPORTIVOS Y EQUIPAMIENTOS</v>
      </c>
      <c r="D670" s="265" t="str">
        <f>+IF(PAA[[#This Row],[UNIDAD DE CONTRATACION (formulado)]]="Subgerencia Administrativa y Financiera","FUNCIONAMIENTO","INVERSIÓN")</f>
        <v>INVERSIÓN</v>
      </c>
      <c r="E670" s="274" t="str">
        <f>VLOOKUP(Q670,PROYECTOS!$G$1:$K$32,5,0)</f>
        <v>Mantenimiento, adecuación, mejoras de escenarios deportivos o equipamientos en el departamento de Antioquia</v>
      </c>
      <c r="F670" s="274">
        <f>VLOOKUP(E670,PROYECTOS!$K$1:$M$32,3,0)</f>
        <v>2024003050075</v>
      </c>
      <c r="G670" s="266" t="s">
        <v>245</v>
      </c>
      <c r="H670" s="266" t="str">
        <f>VLOOKUP(Q670,PROYECTOS!$V$1:$W$32,2,0)</f>
        <v>050070</v>
      </c>
      <c r="I670" s="269">
        <v>37609000</v>
      </c>
      <c r="J670" s="275" t="s">
        <v>758</v>
      </c>
      <c r="K670" s="265" t="str">
        <f t="shared" ca="1" si="92"/>
        <v>CONTRATADO</v>
      </c>
      <c r="L670" s="275" t="s">
        <v>112</v>
      </c>
      <c r="M670" s="275" t="s">
        <v>113</v>
      </c>
      <c r="N670" s="276" t="s">
        <v>249</v>
      </c>
      <c r="O670" s="275">
        <f>VLOOKUP(N670,RUBROS[#All],3,0)</f>
        <v>87</v>
      </c>
      <c r="P670" s="277" t="str">
        <f>VLOOKUP(N670,RUBROS[#All],2,0)</f>
        <v xml:space="preserve">Mantenimiento, adecuación, mejoras de escenarios deportivos o equipamientos en el departamento de Antioquia.. - Servicios prestados a las empresas y servicios de producción </v>
      </c>
      <c r="Q670" s="265" t="str">
        <f t="shared" si="93"/>
        <v>75</v>
      </c>
      <c r="R670" s="265" t="str">
        <f t="shared" si="94"/>
        <v>0-101024</v>
      </c>
      <c r="S670" s="254">
        <v>5</v>
      </c>
      <c r="T670" s="278" t="s">
        <v>46</v>
      </c>
      <c r="U670" s="272" t="e">
        <f ca="1">_xlfn.XLOOKUP(PAA[[#This Row],[ITEM]],Contrato!A:A,Contrato!Q:Q,"",0)</f>
        <v>#NAME?</v>
      </c>
      <c r="V670" s="265" t="s">
        <v>47</v>
      </c>
      <c r="W670" s="265" t="s">
        <v>154</v>
      </c>
      <c r="X670" s="265" t="s">
        <v>154</v>
      </c>
      <c r="Y670" s="273" t="e">
        <f ca="1">_xlfn.XLOOKUP(PAA[[#This Row],[ITEM]],Contrato!A:A,Contrato!B:B,"",0)</f>
        <v>#NAME?</v>
      </c>
      <c r="Z670" s="265" t="e">
        <f ca="1">_xlfn.XLOOKUP(PAA[[#This Row],[ITEM]],Contrato!A:A,Contrato!G:G,"",0)</f>
        <v>#NAME?</v>
      </c>
      <c r="AA670" s="265" t="e">
        <f ca="1">_xlfn.XLOOKUP(PAA[[#This Row],[ITEM]],Contrato!A:A,Contrato!T:T,"",0)</f>
        <v>#NAME?</v>
      </c>
      <c r="AB670" s="273" t="e">
        <f ca="1">+MAX(PAA[[#This Row],[Comprometido Contrato]],)</f>
        <v>#NAME?</v>
      </c>
      <c r="AC670" s="273" t="str">
        <f t="shared" ca="1" si="98"/>
        <v/>
      </c>
      <c r="AD670" s="273" t="e">
        <f ca="1">+MAX(PAA[[#This Row],[Pago por Contrato]],)</f>
        <v>#NAME?</v>
      </c>
      <c r="AE670" s="273" t="str">
        <f t="shared" ca="1" si="95"/>
        <v/>
      </c>
      <c r="AF670" s="265" t="e">
        <f t="shared" ca="1" si="96"/>
        <v>#NAME?</v>
      </c>
      <c r="AG670" s="265">
        <f t="shared" si="97"/>
        <v>52010902</v>
      </c>
      <c r="AH670" s="265" t="e" cm="1">
        <f t="array" aca="1" ref="AH670" ca="1">_xlfn.XLOOKUP(PAA[[#This Row],[RCP-RUBRO]],COMPROMISOS_2025[[#All],[concatenado]],COMPROMISOS_2025[[#All],[Total pagado]],"",0)</f>
        <v>#NAME?</v>
      </c>
      <c r="AI670" s="265" t="e" cm="1">
        <f t="array" aca="1" ref="AI670" ca="1">_xlfn.XLOOKUP(PAA[[#This Row],[RCP-RUBRO]],COMPROMISOS_2025[[#All],[concatenado]],COMPROMISOS_2025[[#All],[Total Comprometido]],"",0)</f>
        <v>#NAME?</v>
      </c>
    </row>
    <row r="671" spans="1:35" s="50" customFormat="1" ht="42" hidden="1" customHeight="1" x14ac:dyDescent="0.25">
      <c r="A671" s="265">
        <v>557</v>
      </c>
      <c r="B671" s="255">
        <v>72101500</v>
      </c>
      <c r="C671" s="265" t="str">
        <f>VLOOKUP(PAA[[#This Row],[PROYECTO (formulado)2]],PROYECTOS!$G$1:$L$32,6,0)</f>
        <v>SUBGERENCIA ESCENARIOS DEPORTIVOS Y EQUIPAMIENTOS</v>
      </c>
      <c r="D671" s="265" t="str">
        <f>+IF(PAA[[#This Row],[UNIDAD DE CONTRATACION (formulado)]]="Subgerencia Administrativa y Financiera","FUNCIONAMIENTO","INVERSIÓN")</f>
        <v>INVERSIÓN</v>
      </c>
      <c r="E671" s="274" t="str">
        <f>VLOOKUP(Q671,PROYECTOS!$G$1:$K$32,5,0)</f>
        <v>Mantenimiento, adecuación, mejoras de escenarios deportivos o equipamientos en el departamento de Antioquia</v>
      </c>
      <c r="F671" s="274">
        <f>VLOOKUP(E671,PROYECTOS!$K$1:$M$32,3,0)</f>
        <v>2024003050075</v>
      </c>
      <c r="G671" s="266" t="s">
        <v>239</v>
      </c>
      <c r="H671" s="266" t="str">
        <f>VLOOKUP(Q671,PROYECTOS!$V$1:$W$32,2,0)</f>
        <v>050070</v>
      </c>
      <c r="I671" s="269">
        <v>374209826</v>
      </c>
      <c r="J671" s="275" t="s">
        <v>759</v>
      </c>
      <c r="K671" s="265" t="str">
        <f t="shared" ca="1" si="92"/>
        <v>CONTRATADO</v>
      </c>
      <c r="L671" s="275" t="s">
        <v>146</v>
      </c>
      <c r="M671" s="275" t="s">
        <v>760</v>
      </c>
      <c r="N671" s="276" t="s">
        <v>242</v>
      </c>
      <c r="O671" s="275">
        <f>VLOOKUP(N671,RUBROS[#All],3,0)</f>
        <v>89</v>
      </c>
      <c r="P671" s="277" t="str">
        <f>VLOOKUP(N671,RUBROS[#All],2,0)</f>
        <v>Mantenimiento, adecuación, mejoras de escenarios deportivos o equipamientos en el departamento de Antioquia -Construcción y servicios de la construcción</v>
      </c>
      <c r="Q671" s="265" t="str">
        <f t="shared" si="93"/>
        <v>75</v>
      </c>
      <c r="R671" s="265" t="str">
        <f t="shared" si="94"/>
        <v>0-205128</v>
      </c>
      <c r="S671" s="254">
        <v>5</v>
      </c>
      <c r="T671" s="271" t="s">
        <v>46</v>
      </c>
      <c r="U671" s="272" t="e">
        <f ca="1">_xlfn.XLOOKUP(PAA[[#This Row],[ITEM]],Contrato!A:A,Contrato!Q:Q,"",0)</f>
        <v>#NAME?</v>
      </c>
      <c r="V671" s="265" t="s">
        <v>47</v>
      </c>
      <c r="W671" s="265" t="s">
        <v>154</v>
      </c>
      <c r="X671" s="265" t="s">
        <v>154</v>
      </c>
      <c r="Y671" s="273" t="e">
        <f ca="1">_xlfn.XLOOKUP(PAA[[#This Row],[ITEM]],Contrato!A:A,Contrato!B:B,"",0)</f>
        <v>#NAME?</v>
      </c>
      <c r="Z671" s="265" t="e">
        <f ca="1">_xlfn.XLOOKUP(PAA[[#This Row],[ITEM]],Contrato!A:A,Contrato!G:G,"",0)</f>
        <v>#NAME?</v>
      </c>
      <c r="AA671" s="265" t="e">
        <f ca="1">_xlfn.XLOOKUP(PAA[[#This Row],[ITEM]],Contrato!A:A,Contrato!T:T,"",0)</f>
        <v>#NAME?</v>
      </c>
      <c r="AB671" s="273" t="e">
        <f ca="1">+MAX(PAA[[#This Row],[Comprometido Contrato]],)</f>
        <v>#NAME?</v>
      </c>
      <c r="AC671" s="273" t="str">
        <f t="shared" ca="1" si="98"/>
        <v/>
      </c>
      <c r="AD671" s="273" t="e">
        <f ca="1">+MAX(PAA[[#This Row],[Pago por Contrato]],)</f>
        <v>#NAME?</v>
      </c>
      <c r="AE671" s="273" t="str">
        <f t="shared" ca="1" si="95"/>
        <v/>
      </c>
      <c r="AF671" s="265" t="e">
        <f t="shared" ca="1" si="96"/>
        <v>#NAME?</v>
      </c>
      <c r="AG671" s="265">
        <f t="shared" si="97"/>
        <v>52010902</v>
      </c>
      <c r="AH671" s="265" t="e" cm="1">
        <f t="array" aca="1" ref="AH671" ca="1">_xlfn.XLOOKUP(PAA[[#This Row],[RCP-RUBRO]],COMPROMISOS_2025[[#All],[concatenado]],COMPROMISOS_2025[[#All],[Total pagado]],"",0)</f>
        <v>#NAME?</v>
      </c>
      <c r="AI671" s="265" t="e" cm="1">
        <f t="array" aca="1" ref="AI671" ca="1">_xlfn.XLOOKUP(PAA[[#This Row],[RCP-RUBRO]],COMPROMISOS_2025[[#All],[concatenado]],COMPROMISOS_2025[[#All],[Total Comprometido]],"",0)</f>
        <v>#NAME?</v>
      </c>
    </row>
    <row r="672" spans="1:35" s="50" customFormat="1" ht="42" hidden="1" customHeight="1" x14ac:dyDescent="0.25">
      <c r="A672" s="265">
        <v>558</v>
      </c>
      <c r="B672" s="255">
        <v>80111600</v>
      </c>
      <c r="C672" s="265" t="str">
        <f>VLOOKUP(PAA[[#This Row],[PROYECTO (formulado)2]],PROYECTOS!$G$1:$L$32,6,0)</f>
        <v>SUBGERENCIA DE FOMENTO Y DESARROLLO</v>
      </c>
      <c r="D672" s="265" t="str">
        <f>+IF(PAA[[#This Row],[UNIDAD DE CONTRATACION (formulado)]]="Subgerencia Administrativa y Financiera","FUNCIONAMIENTO","INVERSIÓN")</f>
        <v>INVERSIÓN</v>
      </c>
      <c r="E672" s="274" t="str">
        <f>VLOOKUP(Q672,PROYECTOS!$G$1:$K$32,5,0)</f>
        <v>Desarrollo y promoción del deporte formativo, la recreación y la actividad física en el departamento Antioquia</v>
      </c>
      <c r="F672" s="274">
        <f>VLOOKUP(E672,PROYECTOS!$K$1:$M$32,3,0)</f>
        <v>2024003050101</v>
      </c>
      <c r="G672" s="266" t="s">
        <v>297</v>
      </c>
      <c r="H672" s="266" t="str">
        <f>VLOOKUP(Q672,PROYECTOS!$V$1:$W$32,2,0)</f>
        <v>050075</v>
      </c>
      <c r="I672" s="269">
        <v>67112743</v>
      </c>
      <c r="J672" s="275" t="s">
        <v>761</v>
      </c>
      <c r="K672" s="265" t="str">
        <f t="shared" ca="1" si="92"/>
        <v>CONTRATADO</v>
      </c>
      <c r="L672" s="275" t="s">
        <v>112</v>
      </c>
      <c r="M672" s="275" t="s">
        <v>113</v>
      </c>
      <c r="N672" s="276" t="s">
        <v>296</v>
      </c>
      <c r="O672" s="275">
        <f>VLOOKUP(N672,RUBROS[#All],3,0)</f>
        <v>71</v>
      </c>
      <c r="P672" s="277" t="str">
        <f>VLOOKUP(N672,RUBROS[#All],2,0)</f>
        <v>Desarrollo y promoción del deporte formativo, la recreación y la actividad física en el departamento Antioquia-Servicios para la comunidad, sociales y personales</v>
      </c>
      <c r="Q672" s="265" t="str">
        <f t="shared" si="93"/>
        <v>01</v>
      </c>
      <c r="R672" s="265" t="str">
        <f t="shared" si="94"/>
        <v>0-205128</v>
      </c>
      <c r="S672" s="254">
        <v>10</v>
      </c>
      <c r="T672" s="278" t="s">
        <v>46</v>
      </c>
      <c r="U672" s="272" t="e">
        <f ca="1">_xlfn.XLOOKUP(PAA[[#This Row],[ITEM]],Contrato!A:A,Contrato!Q:Q,"",0)</f>
        <v>#NAME?</v>
      </c>
      <c r="V672" s="265" t="s">
        <v>47</v>
      </c>
      <c r="W672" s="265" t="s">
        <v>154</v>
      </c>
      <c r="X672" s="265" t="s">
        <v>154</v>
      </c>
      <c r="Y672" s="273" t="e">
        <f ca="1">_xlfn.XLOOKUP(PAA[[#This Row],[ITEM]],Contrato!A:A,Contrato!B:B,"",0)</f>
        <v>#NAME?</v>
      </c>
      <c r="Z672" s="265" t="e">
        <f ca="1">_xlfn.XLOOKUP(PAA[[#This Row],[ITEM]],Contrato!A:A,Contrato!G:G,"",0)</f>
        <v>#NAME?</v>
      </c>
      <c r="AA672" s="265" t="e">
        <f ca="1">_xlfn.XLOOKUP(PAA[[#This Row],[ITEM]],Contrato!A:A,Contrato!T:T,"",0)</f>
        <v>#NAME?</v>
      </c>
      <c r="AB672" s="273" t="e">
        <f ca="1">+MAX(PAA[[#This Row],[Comprometido Contrato]],)</f>
        <v>#NAME?</v>
      </c>
      <c r="AC672" s="273" t="str">
        <f t="shared" ca="1" si="98"/>
        <v/>
      </c>
      <c r="AD672" s="273" t="e">
        <f ca="1">+MAX(PAA[[#This Row],[Pago por Contrato]],)</f>
        <v>#NAME?</v>
      </c>
      <c r="AE672" s="273" t="str">
        <f t="shared" ca="1" si="95"/>
        <v/>
      </c>
      <c r="AF672" s="265" t="e">
        <f t="shared" ca="1" si="96"/>
        <v>#NAME?</v>
      </c>
      <c r="AG672" s="265">
        <f t="shared" si="97"/>
        <v>52010702</v>
      </c>
      <c r="AH672" s="265" t="e" cm="1">
        <f t="array" aca="1" ref="AH672" ca="1">_xlfn.XLOOKUP(PAA[[#This Row],[RCP-RUBRO]],COMPROMISOS_2025[[#All],[concatenado]],COMPROMISOS_2025[[#All],[Total pagado]],"",0)</f>
        <v>#NAME?</v>
      </c>
      <c r="AI672" s="265" t="e" cm="1">
        <f t="array" aca="1" ref="AI672" ca="1">_xlfn.XLOOKUP(PAA[[#This Row],[RCP-RUBRO]],COMPROMISOS_2025[[#All],[concatenado]],COMPROMISOS_2025[[#All],[Total Comprometido]],"",0)</f>
        <v>#NAME?</v>
      </c>
    </row>
    <row r="673" spans="1:35" s="50" customFormat="1" ht="42" hidden="1" customHeight="1" x14ac:dyDescent="0.25">
      <c r="A673" s="265">
        <v>558</v>
      </c>
      <c r="B673" s="255">
        <v>80111600</v>
      </c>
      <c r="C673" s="265" t="str">
        <f>VLOOKUP(PAA[[#This Row],[PROYECTO (formulado)2]],PROYECTOS!$G$1:$L$32,6,0)</f>
        <v>SUBGERENCIA DE FOMENTO Y DESARROLLO</v>
      </c>
      <c r="D673" s="265" t="str">
        <f>+IF(PAA[[#This Row],[UNIDAD DE CONTRATACION (formulado)]]="Subgerencia Administrativa y Financiera","FUNCIONAMIENTO","INVERSIÓN")</f>
        <v>INVERSIÓN</v>
      </c>
      <c r="E673" s="274" t="str">
        <f>VLOOKUP(Q673,PROYECTOS!$G$1:$K$32,5,0)</f>
        <v>Desarrollo y promoción del deporte formativo, la recreación y la actividad física en el departamento Antioquia</v>
      </c>
      <c r="F673" s="274">
        <f>VLOOKUP(E673,PROYECTOS!$K$1:$M$32,3,0)</f>
        <v>2024003050101</v>
      </c>
      <c r="G673" s="266" t="s">
        <v>297</v>
      </c>
      <c r="H673" s="266" t="str">
        <f>VLOOKUP(Q673,PROYECTOS!$V$1:$W$32,2,0)</f>
        <v>050075</v>
      </c>
      <c r="I673" s="269">
        <v>16855257</v>
      </c>
      <c r="J673" s="275" t="s">
        <v>761</v>
      </c>
      <c r="K673" s="265" t="str">
        <f t="shared" ca="1" si="92"/>
        <v>CONTRATADO</v>
      </c>
      <c r="L673" s="275" t="s">
        <v>112</v>
      </c>
      <c r="M673" s="275" t="s">
        <v>113</v>
      </c>
      <c r="N673" s="276" t="s">
        <v>284</v>
      </c>
      <c r="O673" s="275">
        <f>VLOOKUP(N673,RUBROS[#All],3,0)</f>
        <v>73</v>
      </c>
      <c r="P673" s="277" t="str">
        <f>VLOOKUP(N673,RUBROS[#All],2,0)</f>
        <v>Desarrollo y promoción del deporte formativo, la recreación y la actividad física en el departamento Antioquia. - Servicios para la comunidad, sociales y personales</v>
      </c>
      <c r="Q673" s="265" t="str">
        <f t="shared" si="93"/>
        <v>01</v>
      </c>
      <c r="R673" s="265" t="str">
        <f t="shared" si="94"/>
        <v>0-205400</v>
      </c>
      <c r="S673" s="254">
        <v>10</v>
      </c>
      <c r="T673" s="278" t="s">
        <v>46</v>
      </c>
      <c r="U673" s="272" t="e">
        <f ca="1">_xlfn.XLOOKUP(PAA[[#This Row],[ITEM]],Contrato!A:A,Contrato!Q:Q,"",0)</f>
        <v>#NAME?</v>
      </c>
      <c r="V673" s="265" t="s">
        <v>47</v>
      </c>
      <c r="W673" s="265" t="s">
        <v>154</v>
      </c>
      <c r="X673" s="265" t="s">
        <v>154</v>
      </c>
      <c r="Y673" s="273" t="e">
        <f ca="1">_xlfn.XLOOKUP(PAA[[#This Row],[ITEM]],Contrato!A:A,Contrato!B:B,"",0)</f>
        <v>#NAME?</v>
      </c>
      <c r="Z673" s="265" t="e">
        <f ca="1">_xlfn.XLOOKUP(PAA[[#This Row],[ITEM]],Contrato!A:A,Contrato!G:G,"",0)</f>
        <v>#NAME?</v>
      </c>
      <c r="AA673" s="265" t="e">
        <f ca="1">_xlfn.XLOOKUP(PAA[[#This Row],[ITEM]],Contrato!A:A,Contrato!T:T,"",0)</f>
        <v>#NAME?</v>
      </c>
      <c r="AB673" s="273" t="e">
        <f ca="1">+MAX(PAA[[#This Row],[Comprometido Contrato]],)</f>
        <v>#NAME?</v>
      </c>
      <c r="AC673" s="273" t="str">
        <f t="shared" ca="1" si="98"/>
        <v/>
      </c>
      <c r="AD673" s="273" t="e">
        <f ca="1">+MAX(PAA[[#This Row],[Pago por Contrato]],)</f>
        <v>#NAME?</v>
      </c>
      <c r="AE673" s="273" t="str">
        <f t="shared" ca="1" si="95"/>
        <v/>
      </c>
      <c r="AF673" s="265" t="e">
        <f t="shared" ca="1" si="96"/>
        <v>#NAME?</v>
      </c>
      <c r="AG673" s="265">
        <f t="shared" si="97"/>
        <v>52010702</v>
      </c>
      <c r="AH673" s="265" t="e" cm="1">
        <f t="array" aca="1" ref="AH673" ca="1">_xlfn.XLOOKUP(PAA[[#This Row],[RCP-RUBRO]],COMPROMISOS_2025[[#All],[concatenado]],COMPROMISOS_2025[[#All],[Total pagado]],"",0)</f>
        <v>#NAME?</v>
      </c>
      <c r="AI673" s="265" t="e" cm="1">
        <f t="array" aca="1" ref="AI673" ca="1">_xlfn.XLOOKUP(PAA[[#This Row],[RCP-RUBRO]],COMPROMISOS_2025[[#All],[concatenado]],COMPROMISOS_2025[[#All],[Total Comprometido]],"",0)</f>
        <v>#NAME?</v>
      </c>
    </row>
    <row r="674" spans="1:35" s="50" customFormat="1" ht="42" hidden="1" customHeight="1" x14ac:dyDescent="0.25">
      <c r="A674" s="265">
        <v>559</v>
      </c>
      <c r="B674" s="255">
        <v>80111600</v>
      </c>
      <c r="C674" s="265" t="str">
        <f>VLOOKUP(PAA[[#This Row],[PROYECTO (formulado)2]],PROYECTOS!$G$1:$L$32,6,0)</f>
        <v>SUBGERENCIA DE FOMENTO Y DESARROLLO</v>
      </c>
      <c r="D674" s="265" t="str">
        <f>+IF(PAA[[#This Row],[UNIDAD DE CONTRATACION (formulado)]]="Subgerencia Administrativa y Financiera","FUNCIONAMIENTO","INVERSIÓN")</f>
        <v>INVERSIÓN</v>
      </c>
      <c r="E674" s="274" t="str">
        <f>VLOOKUP(Q674,PROYECTOS!$G$1:$K$32,5,0)</f>
        <v>Desarrollo y promoción del deporte formativo, la recreación y la actividad física en el departamento Antioquia</v>
      </c>
      <c r="F674" s="274">
        <f>VLOOKUP(E674,PROYECTOS!$K$1:$M$32,3,0)</f>
        <v>2024003050101</v>
      </c>
      <c r="G674" s="266" t="s">
        <v>299</v>
      </c>
      <c r="H674" s="266" t="str">
        <f>VLOOKUP(Q674,PROYECTOS!$V$1:$W$32,2,0)</f>
        <v>050075</v>
      </c>
      <c r="I674" s="269">
        <v>44190000</v>
      </c>
      <c r="J674" s="275" t="s">
        <v>762</v>
      </c>
      <c r="K674" s="265" t="str">
        <f t="shared" ca="1" si="92"/>
        <v>CONTRATADO</v>
      </c>
      <c r="L674" s="275" t="s">
        <v>112</v>
      </c>
      <c r="M674" s="275" t="s">
        <v>113</v>
      </c>
      <c r="N674" s="276" t="s">
        <v>296</v>
      </c>
      <c r="O674" s="275">
        <f>VLOOKUP(N674,RUBROS[#All],3,0)</f>
        <v>71</v>
      </c>
      <c r="P674" s="277" t="str">
        <f>VLOOKUP(N674,RUBROS[#All],2,0)</f>
        <v>Desarrollo y promoción del deporte formativo, la recreación y la actividad física en el departamento Antioquia-Servicios para la comunidad, sociales y personales</v>
      </c>
      <c r="Q674" s="265" t="str">
        <f t="shared" si="93"/>
        <v>01</v>
      </c>
      <c r="R674" s="265" t="str">
        <f t="shared" si="94"/>
        <v>0-205128</v>
      </c>
      <c r="S674" s="254">
        <v>10</v>
      </c>
      <c r="T674" s="278" t="s">
        <v>46</v>
      </c>
      <c r="U674" s="272" t="e">
        <f ca="1">_xlfn.XLOOKUP(PAA[[#This Row],[ITEM]],Contrato!A:A,Contrato!Q:Q,"",0)</f>
        <v>#NAME?</v>
      </c>
      <c r="V674" s="265" t="s">
        <v>47</v>
      </c>
      <c r="W674" s="265" t="s">
        <v>154</v>
      </c>
      <c r="X674" s="265" t="s">
        <v>154</v>
      </c>
      <c r="Y674" s="273" t="e">
        <f ca="1">_xlfn.XLOOKUP(PAA[[#This Row],[ITEM]],Contrato!A:A,Contrato!B:B,"",0)</f>
        <v>#NAME?</v>
      </c>
      <c r="Z674" s="265" t="e">
        <f ca="1">_xlfn.XLOOKUP(PAA[[#This Row],[ITEM]],Contrato!A:A,Contrato!G:G,"",0)</f>
        <v>#NAME?</v>
      </c>
      <c r="AA674" s="265" t="e">
        <f ca="1">_xlfn.XLOOKUP(PAA[[#This Row],[ITEM]],Contrato!A:A,Contrato!T:T,"",0)</f>
        <v>#NAME?</v>
      </c>
      <c r="AB674" s="273" t="e">
        <f ca="1">+MAX(PAA[[#This Row],[Comprometido Contrato]],)</f>
        <v>#NAME?</v>
      </c>
      <c r="AC674" s="273" t="str">
        <f t="shared" ca="1" si="98"/>
        <v/>
      </c>
      <c r="AD674" s="273" t="e">
        <f ca="1">+MAX(PAA[[#This Row],[Pago por Contrato]],)</f>
        <v>#NAME?</v>
      </c>
      <c r="AE674" s="273" t="str">
        <f t="shared" ca="1" si="95"/>
        <v/>
      </c>
      <c r="AF674" s="265" t="e">
        <f t="shared" ca="1" si="96"/>
        <v>#NAME?</v>
      </c>
      <c r="AG674" s="265">
        <f t="shared" si="97"/>
        <v>52010702</v>
      </c>
      <c r="AH674" s="265" t="e" cm="1">
        <f t="array" aca="1" ref="AH674" ca="1">_xlfn.XLOOKUP(PAA[[#This Row],[RCP-RUBRO]],COMPROMISOS_2025[[#All],[concatenado]],COMPROMISOS_2025[[#All],[Total pagado]],"",0)</f>
        <v>#NAME?</v>
      </c>
      <c r="AI674" s="265" t="e" cm="1">
        <f t="array" aca="1" ref="AI674" ca="1">_xlfn.XLOOKUP(PAA[[#This Row],[RCP-RUBRO]],COMPROMISOS_2025[[#All],[concatenado]],COMPROMISOS_2025[[#All],[Total Comprometido]],"",0)</f>
        <v>#NAME?</v>
      </c>
    </row>
    <row r="675" spans="1:35" s="50" customFormat="1" ht="42" hidden="1" customHeight="1" x14ac:dyDescent="0.25">
      <c r="A675" s="265">
        <v>560</v>
      </c>
      <c r="B675" s="255">
        <v>8011600</v>
      </c>
      <c r="C675" s="265" t="str">
        <f>VLOOKUP(PAA[[#This Row],[PROYECTO (formulado)2]],PROYECTOS!$G$1:$L$32,6,0)</f>
        <v>SUBGERENCIA ADMINISTRATIVA Y FINANCIERA</v>
      </c>
      <c r="D675" s="265" t="str">
        <f>+IF(PAA[[#This Row],[UNIDAD DE CONTRATACION (formulado)]]="Subgerencia Administrativa y Financiera","FUNCIONAMIENTO","INVERSIÓN")</f>
        <v>FUNCIONAMIENTO</v>
      </c>
      <c r="E675" s="274" t="str">
        <f>VLOOKUP(Q675,PROYECTOS!$G$1:$K$32,5,0)</f>
        <v>Fortalecimiento de los sistemas de información y la gestión estratégica para el deporte, la recreación y la actividad física de Antioquia</v>
      </c>
      <c r="F675" s="274">
        <f>VLOOKUP(E675,PROYECTOS!$K$1:$M$32,3,0)</f>
        <v>2024003050077</v>
      </c>
      <c r="G675" s="266" t="s">
        <v>763</v>
      </c>
      <c r="H675" s="266" t="str">
        <f>VLOOKUP(Q675,PROYECTOS!$V$1:$W$32,2,0)</f>
        <v>220387</v>
      </c>
      <c r="I675" s="269">
        <v>75218000</v>
      </c>
      <c r="J675" s="275" t="s">
        <v>764</v>
      </c>
      <c r="K675" s="265" t="str">
        <f t="shared" ca="1" si="92"/>
        <v>CONTRATADO</v>
      </c>
      <c r="L675" s="275" t="s">
        <v>112</v>
      </c>
      <c r="M675" s="275" t="s">
        <v>113</v>
      </c>
      <c r="N675" s="276" t="s">
        <v>207</v>
      </c>
      <c r="O675" s="275">
        <f>VLOOKUP(N675,RUBROS[#All],3,0)</f>
        <v>54</v>
      </c>
      <c r="P675" s="277" t="str">
        <f>VLOOKUP(N675,RUBROS[#All],2,0)</f>
        <v xml:space="preserve">Fortalecimiento de los sistemas de información y la gestión estratégica para el deporte, la recreación y la actividad física de Antioquia (Comunicaciones) -Servicios prestados a las empresas y servicios de producción </v>
      </c>
      <c r="Q675" s="265" t="str">
        <f t="shared" si="93"/>
        <v>77</v>
      </c>
      <c r="R675" s="265" t="str">
        <f t="shared" si="94"/>
        <v>0-271130</v>
      </c>
      <c r="S675" s="254">
        <v>10</v>
      </c>
      <c r="T675" s="271" t="s">
        <v>46</v>
      </c>
      <c r="U675" s="272" t="e">
        <f ca="1">_xlfn.XLOOKUP(PAA[[#This Row],[ITEM]],Contrato!A:A,Contrato!Q:Q,"",0)</f>
        <v>#NAME?</v>
      </c>
      <c r="V675" s="265" t="s">
        <v>47</v>
      </c>
      <c r="W675" s="265" t="s">
        <v>154</v>
      </c>
      <c r="X675" s="265" t="s">
        <v>154</v>
      </c>
      <c r="Y675" s="273" t="e">
        <f ca="1">_xlfn.XLOOKUP(PAA[[#This Row],[ITEM]],Contrato!A:A,Contrato!B:B,"",0)</f>
        <v>#NAME?</v>
      </c>
      <c r="Z675" s="265" t="e">
        <f ca="1">_xlfn.XLOOKUP(PAA[[#This Row],[ITEM]],Contrato!A:A,Contrato!G:G,"",0)</f>
        <v>#NAME?</v>
      </c>
      <c r="AA675" s="265" t="e">
        <f ca="1">_xlfn.XLOOKUP(PAA[[#This Row],[ITEM]],Contrato!A:A,Contrato!T:T,"",0)</f>
        <v>#NAME?</v>
      </c>
      <c r="AB675" s="273" t="e">
        <f ca="1">+MAX(PAA[[#This Row],[Comprometido Contrato]],)</f>
        <v>#NAME?</v>
      </c>
      <c r="AC675" s="273" t="str">
        <f t="shared" ca="1" si="98"/>
        <v/>
      </c>
      <c r="AD675" s="273" t="e">
        <f ca="1">+MAX(PAA[[#This Row],[Pago por Contrato]],)</f>
        <v>#NAME?</v>
      </c>
      <c r="AE675" s="273" t="str">
        <f t="shared" ca="1" si="95"/>
        <v/>
      </c>
      <c r="AF675" s="265" t="e">
        <f t="shared" ca="1" si="96"/>
        <v>#NAME?</v>
      </c>
      <c r="AG675" s="265">
        <f t="shared" si="97"/>
        <v>52011001</v>
      </c>
      <c r="AH675" s="265" t="e" cm="1">
        <f t="array" aca="1" ref="AH675" ca="1">_xlfn.XLOOKUP(PAA[[#This Row],[RCP-RUBRO]],COMPROMISOS_2025[[#All],[concatenado]],COMPROMISOS_2025[[#All],[Total pagado]],"",0)</f>
        <v>#NAME?</v>
      </c>
      <c r="AI675" s="265" t="e" cm="1">
        <f t="array" aca="1" ref="AI675" ca="1">_xlfn.XLOOKUP(PAA[[#This Row],[RCP-RUBRO]],COMPROMISOS_2025[[#All],[concatenado]],COMPROMISOS_2025[[#All],[Total Comprometido]],"",0)</f>
        <v>#NAME?</v>
      </c>
    </row>
    <row r="676" spans="1:35" s="50" customFormat="1" ht="42" hidden="1" customHeight="1" x14ac:dyDescent="0.25">
      <c r="A676" s="265">
        <v>561</v>
      </c>
      <c r="B676" s="255">
        <v>78111800</v>
      </c>
      <c r="C676" s="265" t="str">
        <f>VLOOKUP(PAA[[#This Row],[PROYECTO (formulado)2]],PROYECTOS!$G$1:$L$32,6,0)</f>
        <v>SUBGERENCIA ESCENARIOS DEPORTIVOS Y EQUIPAMIENTOS</v>
      </c>
      <c r="D676" s="265" t="str">
        <f>+IF(PAA[[#This Row],[UNIDAD DE CONTRATACION (formulado)]]="Subgerencia Administrativa y Financiera","FUNCIONAMIENTO","INVERSIÓN")</f>
        <v>INVERSIÓN</v>
      </c>
      <c r="E676" s="274" t="str">
        <f>VLOOKUP(Q676,PROYECTOS!$G$1:$K$32,5,0)</f>
        <v>Mantenimiento, adecuación, mejoras de escenarios deportivos o equipamientos en el departamento de Antioquia</v>
      </c>
      <c r="F676" s="274">
        <f>VLOOKUP(E676,PROYECTOS!$K$1:$M$32,3,0)</f>
        <v>2024003050075</v>
      </c>
      <c r="G676" s="266" t="s">
        <v>245</v>
      </c>
      <c r="H676" s="266" t="str">
        <f>VLOOKUP(Q676,PROYECTOS!$V$1:$W$32,2,0)</f>
        <v>050070</v>
      </c>
      <c r="I676" s="269">
        <v>302240700</v>
      </c>
      <c r="J676" s="275" t="s">
        <v>765</v>
      </c>
      <c r="K676" s="265" t="str">
        <f t="shared" ca="1" si="92"/>
        <v>CONTRATADO</v>
      </c>
      <c r="L676" s="275" t="s">
        <v>112</v>
      </c>
      <c r="M676" s="275" t="s">
        <v>241</v>
      </c>
      <c r="N676" s="276" t="s">
        <v>766</v>
      </c>
      <c r="O676" s="275">
        <f>VLOOKUP(N676,RUBROS[#All],3,0)</f>
        <v>94</v>
      </c>
      <c r="P676" s="277" t="str">
        <f>VLOOKUP(N676,RUBROS[#All],2,0)</f>
        <v>Mantenimiento, Adecuación, Mejoras De Escenarios   Deportivos O Equipamientos En El Departamento De Antioquia - Comercio Y Distribución; Alojamiento; Servicios De Suministro De Comidas Y   Bebidas; Servicios De Transporte; Y   Servicios De Distribución De Electricidad, Gas Y Agua.</v>
      </c>
      <c r="Q676" s="265" t="str">
        <f t="shared" si="93"/>
        <v>75</v>
      </c>
      <c r="R676" s="265" t="str">
        <f t="shared" si="94"/>
        <v>0-205128</v>
      </c>
      <c r="S676" s="254">
        <v>10</v>
      </c>
      <c r="T676" s="278" t="s">
        <v>46</v>
      </c>
      <c r="U676" s="272" t="e">
        <f ca="1">_xlfn.XLOOKUP(PAA[[#This Row],[ITEM]],Contrato!A:A,Contrato!Q:Q,"",0)</f>
        <v>#NAME?</v>
      </c>
      <c r="V676" s="265" t="s">
        <v>47</v>
      </c>
      <c r="W676" s="265" t="s">
        <v>154</v>
      </c>
      <c r="X676" s="265" t="s">
        <v>154</v>
      </c>
      <c r="Y676" s="273" t="e">
        <f ca="1">_xlfn.XLOOKUP(PAA[[#This Row],[ITEM]],Contrato!A:A,Contrato!B:B,"",0)</f>
        <v>#NAME?</v>
      </c>
      <c r="Z676" s="265" t="e">
        <f ca="1">_xlfn.XLOOKUP(PAA[[#This Row],[ITEM]],Contrato!A:A,Contrato!G:G,"",0)</f>
        <v>#NAME?</v>
      </c>
      <c r="AA676" s="265" t="e">
        <f ca="1">_xlfn.XLOOKUP(PAA[[#This Row],[ITEM]],Contrato!A:A,Contrato!T:T,"",0)</f>
        <v>#NAME?</v>
      </c>
      <c r="AB676" s="273" t="e">
        <f ca="1">+MAX(PAA[[#This Row],[Comprometido Contrato]],)</f>
        <v>#NAME?</v>
      </c>
      <c r="AC676" s="273" t="str">
        <f t="shared" ca="1" si="98"/>
        <v/>
      </c>
      <c r="AD676" s="273" t="e">
        <f ca="1">+MAX(PAA[[#This Row],[Pago por Contrato]],)</f>
        <v>#NAME?</v>
      </c>
      <c r="AE676" s="273" t="str">
        <f t="shared" ca="1" si="95"/>
        <v/>
      </c>
      <c r="AF676" s="265" t="e">
        <f t="shared" ca="1" si="96"/>
        <v>#NAME?</v>
      </c>
      <c r="AG676" s="265">
        <f t="shared" si="97"/>
        <v>52010902</v>
      </c>
      <c r="AH676" s="265" t="e" cm="1">
        <f t="array" aca="1" ref="AH676" ca="1">_xlfn.XLOOKUP(PAA[[#This Row],[RCP-RUBRO]],COMPROMISOS_2025[[#All],[concatenado]],COMPROMISOS_2025[[#All],[Total pagado]],"",0)</f>
        <v>#NAME?</v>
      </c>
      <c r="AI676" s="265" t="e" cm="1">
        <f t="array" aca="1" ref="AI676" ca="1">_xlfn.XLOOKUP(PAA[[#This Row],[RCP-RUBRO]],COMPROMISOS_2025[[#All],[concatenado]],COMPROMISOS_2025[[#All],[Total Comprometido]],"",0)</f>
        <v>#NAME?</v>
      </c>
    </row>
    <row r="677" spans="1:35" s="50" customFormat="1" ht="42" hidden="1" customHeight="1" x14ac:dyDescent="0.25">
      <c r="A677" s="265">
        <v>561</v>
      </c>
      <c r="B677" s="255">
        <v>78111800</v>
      </c>
      <c r="C677" s="265" t="str">
        <f>VLOOKUP(PAA[[#This Row],[PROYECTO (formulado)2]],PROYECTOS!$G$1:$L$32,6,0)</f>
        <v>SUBGERENCIA ADMINISTRATIVA Y FINANCIERA</v>
      </c>
      <c r="D677" s="265" t="str">
        <f>+IF(PAA[[#This Row],[UNIDAD DE CONTRATACION (formulado)]]="Subgerencia Administrativa y Financiera","FUNCIONAMIENTO","INVERSIÓN")</f>
        <v>FUNCIONAMIENTO</v>
      </c>
      <c r="E677" s="274" t="str">
        <f>VLOOKUP(Q677,PROYECTOS!$G$1:$K$32,5,0)</f>
        <v>FUNCIONAMIENTO</v>
      </c>
      <c r="F677" s="274">
        <f>VLOOKUP(E677,PROYECTOS!$K$1:$M$32,3,0)</f>
        <v>999999</v>
      </c>
      <c r="G677" s="266" t="s">
        <v>42</v>
      </c>
      <c r="H677" s="266">
        <f>VLOOKUP(Q677,PROYECTOS!$V$1:$W$32,2,0)</f>
        <v>999999</v>
      </c>
      <c r="I677" s="269">
        <v>130213545</v>
      </c>
      <c r="J677" s="275" t="s">
        <v>767</v>
      </c>
      <c r="K677" s="265" t="str">
        <f t="shared" ca="1" si="92"/>
        <v>CONTRATADO</v>
      </c>
      <c r="L677" s="275" t="s">
        <v>112</v>
      </c>
      <c r="M677" s="275" t="s">
        <v>125</v>
      </c>
      <c r="N677" s="276" t="s">
        <v>140</v>
      </c>
      <c r="O677" s="275">
        <f>VLOOKUP(N677,RUBROS[#All],3,0)</f>
        <v>27</v>
      </c>
      <c r="P677" s="277" t="str">
        <f>VLOOKUP(N677,RUBROS[#All],2,0)</f>
        <v>Servicios de alojamiento; servicios de suministro de comidas y bebidas; servicios de transporte; y servicios de distribución de electricidad, gas y agua</v>
      </c>
      <c r="Q677" s="265" t="str">
        <f t="shared" si="93"/>
        <v>00</v>
      </c>
      <c r="R677" s="265" t="str">
        <f t="shared" si="94"/>
        <v>0-205616</v>
      </c>
      <c r="S677" s="254">
        <v>10</v>
      </c>
      <c r="T677" s="278" t="s">
        <v>46</v>
      </c>
      <c r="U677" s="272" t="e">
        <f ca="1">_xlfn.XLOOKUP(PAA[[#This Row],[ITEM]],Contrato!A:A,Contrato!Q:Q,"",0)</f>
        <v>#NAME?</v>
      </c>
      <c r="V677" s="265" t="s">
        <v>47</v>
      </c>
      <c r="W677" s="265" t="s">
        <v>154</v>
      </c>
      <c r="X677" s="265" t="s">
        <v>154</v>
      </c>
      <c r="Y677" s="273" t="e">
        <f ca="1">_xlfn.XLOOKUP(PAA[[#This Row],[ITEM]],Contrato!A:A,Contrato!B:B,"",0)</f>
        <v>#NAME?</v>
      </c>
      <c r="Z677" s="265" t="e">
        <f ca="1">_xlfn.XLOOKUP(PAA[[#This Row],[ITEM]],Contrato!A:A,Contrato!G:G,"",0)</f>
        <v>#NAME?</v>
      </c>
      <c r="AA677" s="265" t="e">
        <f ca="1">_xlfn.XLOOKUP(PAA[[#This Row],[ITEM]],Contrato!A:A,Contrato!T:T,"",0)</f>
        <v>#NAME?</v>
      </c>
      <c r="AB677" s="273" t="e">
        <f ca="1">+MAX(PAA[[#This Row],[Comprometido Contrato]],)</f>
        <v>#NAME?</v>
      </c>
      <c r="AC677" s="273" t="str">
        <f t="shared" ca="1" si="98"/>
        <v/>
      </c>
      <c r="AD677" s="273" t="e">
        <f ca="1">+MAX(PAA[[#This Row],[Pago por Contrato]],)</f>
        <v>#NAME?</v>
      </c>
      <c r="AE677" s="273" t="str">
        <f t="shared" ca="1" si="95"/>
        <v/>
      </c>
      <c r="AF677" s="265" t="e">
        <f t="shared" ca="1" si="96"/>
        <v>#NAME?</v>
      </c>
      <c r="AG677" s="265" t="str">
        <f t="shared" si="97"/>
        <v/>
      </c>
      <c r="AH677" s="265" t="e" cm="1">
        <f t="array" aca="1" ref="AH677" ca="1">_xlfn.XLOOKUP(PAA[[#This Row],[RCP-RUBRO]],COMPROMISOS_2025[[#All],[concatenado]],COMPROMISOS_2025[[#All],[Total pagado]],"",0)</f>
        <v>#NAME?</v>
      </c>
      <c r="AI677" s="265" t="e" cm="1">
        <f t="array" aca="1" ref="AI677" ca="1">_xlfn.XLOOKUP(PAA[[#This Row],[RCP-RUBRO]],COMPROMISOS_2025[[#All],[concatenado]],COMPROMISOS_2025[[#All],[Total Comprometido]],"",0)</f>
        <v>#NAME?</v>
      </c>
    </row>
    <row r="678" spans="1:35" s="50" customFormat="1" ht="42" hidden="1" customHeight="1" x14ac:dyDescent="0.25">
      <c r="A678" s="265">
        <v>561</v>
      </c>
      <c r="B678" s="255">
        <v>78111800</v>
      </c>
      <c r="C678" s="265" t="str">
        <f>VLOOKUP(PAA[[#This Row],[PROYECTO (formulado)2]],PROYECTOS!$G$1:$L$32,6,0)</f>
        <v>SUBGERENCIA DE FOMENTO Y DESARROLLO</v>
      </c>
      <c r="D678" s="265" t="str">
        <f>+IF(PAA[[#This Row],[UNIDAD DE CONTRATACION (formulado)]]="Subgerencia Administrativa y Financiera","FUNCIONAMIENTO","INVERSIÓN")</f>
        <v>INVERSIÓN</v>
      </c>
      <c r="E678" s="274" t="str">
        <f>VLOOKUP(Q678,PROYECTOS!$G$1:$K$32,5,0)</f>
        <v>Desarrollo y promoción del deporte formativo, la recreación y la actividad física en el departamento Antioquia</v>
      </c>
      <c r="F678" s="274">
        <f>VLOOKUP(E678,PROYECTOS!$K$1:$M$32,3,0)</f>
        <v>2024003050101</v>
      </c>
      <c r="G678" s="266" t="s">
        <v>768</v>
      </c>
      <c r="H678" s="266" t="str">
        <f>VLOOKUP(Q678,PROYECTOS!$V$1:$W$32,2,0)</f>
        <v>050075</v>
      </c>
      <c r="I678" s="269">
        <v>132000000</v>
      </c>
      <c r="J678" s="275" t="s">
        <v>767</v>
      </c>
      <c r="K678" s="265" t="str">
        <f t="shared" ca="1" si="92"/>
        <v>CONTRATADO</v>
      </c>
      <c r="L678" s="275" t="s">
        <v>112</v>
      </c>
      <c r="M678" s="275" t="s">
        <v>125</v>
      </c>
      <c r="N678" s="276" t="s">
        <v>769</v>
      </c>
      <c r="O678" s="275">
        <f>VLOOKUP(N678,RUBROS[#All],3,0)</f>
        <v>72</v>
      </c>
      <c r="P678" s="277" t="str">
        <f>VLOOKUP(N678,RUBROS[#All],2,0)</f>
        <v>Desarrollo y promoción del deporte formativo, la recreación y la actividad física en el departamento Antioquia - Comercio y distribución; alojamiento; servicios de suministro de comidas y bebidas; servicios de transporte; y servicios de distribución de electricidad, gas y agua</v>
      </c>
      <c r="Q678" s="265" t="str">
        <f t="shared" si="93"/>
        <v>01</v>
      </c>
      <c r="R678" s="265" t="str">
        <f t="shared" si="94"/>
        <v>0-205400</v>
      </c>
      <c r="S678" s="254">
        <v>10</v>
      </c>
      <c r="T678" s="278" t="s">
        <v>46</v>
      </c>
      <c r="U678" s="272" t="e">
        <f ca="1">_xlfn.XLOOKUP(PAA[[#This Row],[ITEM]],Contrato!A:A,Contrato!Q:Q,"",0)</f>
        <v>#NAME?</v>
      </c>
      <c r="V678" s="265" t="s">
        <v>47</v>
      </c>
      <c r="W678" s="265" t="s">
        <v>154</v>
      </c>
      <c r="X678" s="265" t="s">
        <v>154</v>
      </c>
      <c r="Y678" s="273" t="e">
        <f ca="1">_xlfn.XLOOKUP(PAA[[#This Row],[ITEM]],Contrato!A:A,Contrato!B:B,"",0)</f>
        <v>#NAME?</v>
      </c>
      <c r="Z678" s="265" t="e">
        <f ca="1">_xlfn.XLOOKUP(PAA[[#This Row],[ITEM]],Contrato!A:A,Contrato!G:G,"",0)</f>
        <v>#NAME?</v>
      </c>
      <c r="AA678" s="265" t="e">
        <f ca="1">_xlfn.XLOOKUP(PAA[[#This Row],[ITEM]],Contrato!A:A,Contrato!T:T,"",0)</f>
        <v>#NAME?</v>
      </c>
      <c r="AB678" s="273" t="e">
        <f ca="1">+MAX(PAA[[#This Row],[Comprometido Contrato]],)</f>
        <v>#NAME?</v>
      </c>
      <c r="AC678" s="273" t="str">
        <f t="shared" ca="1" si="98"/>
        <v/>
      </c>
      <c r="AD678" s="273" t="e">
        <f ca="1">+MAX(PAA[[#This Row],[Pago por Contrato]],)</f>
        <v>#NAME?</v>
      </c>
      <c r="AE678" s="273" t="str">
        <f t="shared" ca="1" si="95"/>
        <v/>
      </c>
      <c r="AF678" s="265" t="e">
        <f t="shared" ca="1" si="96"/>
        <v>#NAME?</v>
      </c>
      <c r="AG678" s="265">
        <f t="shared" si="97"/>
        <v>52010702</v>
      </c>
      <c r="AH678" s="265" t="e" cm="1">
        <f t="array" aca="1" ref="AH678" ca="1">_xlfn.XLOOKUP(PAA[[#This Row],[RCP-RUBRO]],COMPROMISOS_2025[[#All],[concatenado]],COMPROMISOS_2025[[#All],[Total pagado]],"",0)</f>
        <v>#NAME?</v>
      </c>
      <c r="AI678" s="265" t="e" cm="1">
        <f t="array" aca="1" ref="AI678" ca="1">_xlfn.XLOOKUP(PAA[[#This Row],[RCP-RUBRO]],COMPROMISOS_2025[[#All],[concatenado]],COMPROMISOS_2025[[#All],[Total Comprometido]],"",0)</f>
        <v>#NAME?</v>
      </c>
    </row>
    <row r="679" spans="1:35" s="50" customFormat="1" ht="42" hidden="1" customHeight="1" x14ac:dyDescent="0.25">
      <c r="A679" s="265">
        <v>561</v>
      </c>
      <c r="B679" s="255">
        <v>78111800</v>
      </c>
      <c r="C679" s="265" t="str">
        <f>VLOOKUP(PAA[[#This Row],[PROYECTO (formulado)2]],PROYECTOS!$G$1:$L$32,6,0)</f>
        <v>SUBGERENCIA DE FOMENTO Y DESARROLLO</v>
      </c>
      <c r="D679" s="265" t="str">
        <f>+IF(PAA[[#This Row],[UNIDAD DE CONTRATACION (formulado)]]="Subgerencia Administrativa y Financiera","FUNCIONAMIENTO","INVERSIÓN")</f>
        <v>INVERSIÓN</v>
      </c>
      <c r="E679" s="274" t="str">
        <f>VLOOKUP(Q679,PROYECTOS!$G$1:$K$32,5,0)</f>
        <v>Capacitación para el sector del deporte, la recreación y la actividad física en el Departamento de   Antioquia</v>
      </c>
      <c r="F679" s="274">
        <f>VLOOKUP(E679,PROYECTOS!$K$1:$M$32,3,0)</f>
        <v>2024003050072</v>
      </c>
      <c r="G679" s="266" t="s">
        <v>770</v>
      </c>
      <c r="H679" s="266" t="str">
        <f>VLOOKUP(Q679,PROYECTOS!$V$1:$W$32,2,0)</f>
        <v>050072</v>
      </c>
      <c r="I679" s="269">
        <v>16217719</v>
      </c>
      <c r="J679" s="275" t="s">
        <v>767</v>
      </c>
      <c r="K679" s="265" t="str">
        <f t="shared" ca="1" si="92"/>
        <v>CONTRATADO</v>
      </c>
      <c r="L679" s="275" t="s">
        <v>112</v>
      </c>
      <c r="M679" s="275" t="s">
        <v>125</v>
      </c>
      <c r="N679" s="276" t="s">
        <v>771</v>
      </c>
      <c r="O679" s="275">
        <f>VLOOKUP(N679,RUBROS[#All],3,0)</f>
        <v>77</v>
      </c>
      <c r="P679" s="277" t="str">
        <f>VLOOKUP(N679,RUBROS[#All],2,0)</f>
        <v>Capacitación para el sector del deporte, la recreación y la actividad física en el Departamento de   Antioquia -Comercio y distribución; alojamiento; servicios de suministro de comidas y bebidas; servicios de transporte; y servicios de distribución de electricidad, gas y agua</v>
      </c>
      <c r="Q679" s="265" t="str">
        <f t="shared" si="93"/>
        <v>72</v>
      </c>
      <c r="R679" s="265" t="str">
        <f t="shared" si="94"/>
        <v>0-205128</v>
      </c>
      <c r="S679" s="254">
        <v>10</v>
      </c>
      <c r="T679" s="278" t="s">
        <v>46</v>
      </c>
      <c r="U679" s="272" t="e">
        <f ca="1">_xlfn.XLOOKUP(PAA[[#This Row],[ITEM]],Contrato!A:A,Contrato!Q:Q,"",0)</f>
        <v>#NAME?</v>
      </c>
      <c r="V679" s="265" t="s">
        <v>47</v>
      </c>
      <c r="W679" s="265" t="s">
        <v>154</v>
      </c>
      <c r="X679" s="265" t="s">
        <v>154</v>
      </c>
      <c r="Y679" s="273" t="e">
        <f ca="1">_xlfn.XLOOKUP(PAA[[#This Row],[ITEM]],Contrato!A:A,Contrato!B:B,"",0)</f>
        <v>#NAME?</v>
      </c>
      <c r="Z679" s="265" t="e">
        <f ca="1">_xlfn.XLOOKUP(PAA[[#This Row],[ITEM]],Contrato!A:A,Contrato!G:G,"",0)</f>
        <v>#NAME?</v>
      </c>
      <c r="AA679" s="265" t="e">
        <f ca="1">_xlfn.XLOOKUP(PAA[[#This Row],[ITEM]],Contrato!A:A,Contrato!T:T,"",0)</f>
        <v>#NAME?</v>
      </c>
      <c r="AB679" s="273" t="e">
        <f ca="1">+MAX(PAA[[#This Row],[Comprometido Contrato]],)</f>
        <v>#NAME?</v>
      </c>
      <c r="AC679" s="273" t="str">
        <f t="shared" ca="1" si="98"/>
        <v/>
      </c>
      <c r="AD679" s="273" t="e">
        <f ca="1">+MAX(PAA[[#This Row],[Pago por Contrato]],)</f>
        <v>#NAME?</v>
      </c>
      <c r="AE679" s="273" t="str">
        <f t="shared" ca="1" si="95"/>
        <v/>
      </c>
      <c r="AF679" s="265" t="e">
        <f t="shared" ca="1" si="96"/>
        <v>#NAME?</v>
      </c>
      <c r="AG679" s="265">
        <f t="shared" si="97"/>
        <v>52010704</v>
      </c>
      <c r="AH679" s="265" t="e" cm="1">
        <f t="array" aca="1" ref="AH679" ca="1">_xlfn.XLOOKUP(PAA[[#This Row],[RCP-RUBRO]],COMPROMISOS_2025[[#All],[concatenado]],COMPROMISOS_2025[[#All],[Total pagado]],"",0)</f>
        <v>#NAME?</v>
      </c>
      <c r="AI679" s="265" t="e" cm="1">
        <f t="array" aca="1" ref="AI679" ca="1">_xlfn.XLOOKUP(PAA[[#This Row],[RCP-RUBRO]],COMPROMISOS_2025[[#All],[concatenado]],COMPROMISOS_2025[[#All],[Total Comprometido]],"",0)</f>
        <v>#NAME?</v>
      </c>
    </row>
    <row r="680" spans="1:35" s="50" customFormat="1" ht="42" hidden="1" customHeight="1" x14ac:dyDescent="0.25">
      <c r="A680" s="265">
        <v>561</v>
      </c>
      <c r="B680" s="255">
        <v>78111800</v>
      </c>
      <c r="C680" s="265" t="str">
        <f>VLOOKUP(PAA[[#This Row],[PROYECTO (formulado)2]],PROYECTOS!$G$1:$L$32,6,0)</f>
        <v>SUBGERENCIA DE FOMENTO Y DESARROLLO</v>
      </c>
      <c r="D680" s="265" t="str">
        <f>+IF(PAA[[#This Row],[UNIDAD DE CONTRATACION (formulado)]]="Subgerencia Administrativa y Financiera","FUNCIONAMIENTO","INVERSIÓN")</f>
        <v>INVERSIÓN</v>
      </c>
      <c r="E680" s="274" t="str">
        <f>VLOOKUP(Q680,PROYECTOS!$G$1:$K$32,5,0)</f>
        <v>Fortalecimiento de los juegos deportivos institucionales en los municipios del departamento de Antioquia</v>
      </c>
      <c r="F680" s="274">
        <f>VLOOKUP(E680,PROYECTOS!$K$1:$M$32,3,0)</f>
        <v>2024003050073</v>
      </c>
      <c r="G680" s="266" t="s">
        <v>772</v>
      </c>
      <c r="H680" s="266" t="str">
        <f>VLOOKUP(Q680,PROYECTOS!$V$1:$W$32,2,0)</f>
        <v>050081</v>
      </c>
      <c r="I680" s="269">
        <v>306983638</v>
      </c>
      <c r="J680" s="275" t="s">
        <v>767</v>
      </c>
      <c r="K680" s="265" t="str">
        <f t="shared" ca="1" si="92"/>
        <v>CONTRATADO</v>
      </c>
      <c r="L680" s="275" t="s">
        <v>112</v>
      </c>
      <c r="M680" s="275" t="s">
        <v>125</v>
      </c>
      <c r="N680" s="276" t="s">
        <v>773</v>
      </c>
      <c r="O680" s="275">
        <f>VLOOKUP(N680,RUBROS[#All],3,0)</f>
        <v>80</v>
      </c>
      <c r="P680" s="277" t="str">
        <f>VLOOKUP(N680,RUBROS[#All],2,0)</f>
        <v>Fortalecimiento de los juegos deportivos institucionales en los municipios del departamento de Antioquia -Comercio y distribución; alojamiento; servicios de suministro de comidas y bebidas; servicios de transporte; y servicios de distribución de electricidad, gas y agua</v>
      </c>
      <c r="Q680" s="265" t="str">
        <f t="shared" si="93"/>
        <v>73</v>
      </c>
      <c r="R680" s="265" t="str">
        <f t="shared" si="94"/>
        <v>0-205128</v>
      </c>
      <c r="S680" s="254">
        <v>10</v>
      </c>
      <c r="T680" s="278" t="s">
        <v>46</v>
      </c>
      <c r="U680" s="272" t="e">
        <f ca="1">_xlfn.XLOOKUP(PAA[[#This Row],[ITEM]],Contrato!A:A,Contrato!Q:Q,"",0)</f>
        <v>#NAME?</v>
      </c>
      <c r="V680" s="265" t="s">
        <v>47</v>
      </c>
      <c r="W680" s="265" t="s">
        <v>154</v>
      </c>
      <c r="X680" s="265" t="s">
        <v>154</v>
      </c>
      <c r="Y680" s="273" t="e">
        <f ca="1">_xlfn.XLOOKUP(PAA[[#This Row],[ITEM]],Contrato!A:A,Contrato!B:B,"",0)</f>
        <v>#NAME?</v>
      </c>
      <c r="Z680" s="265" t="e">
        <f ca="1">_xlfn.XLOOKUP(PAA[[#This Row],[ITEM]],Contrato!A:A,Contrato!G:G,"",0)</f>
        <v>#NAME?</v>
      </c>
      <c r="AA680" s="265" t="e">
        <f ca="1">_xlfn.XLOOKUP(PAA[[#This Row],[ITEM]],Contrato!A:A,Contrato!T:T,"",0)</f>
        <v>#NAME?</v>
      </c>
      <c r="AB680" s="273" t="e">
        <f ca="1">+MAX(PAA[[#This Row],[Comprometido Contrato]],)</f>
        <v>#NAME?</v>
      </c>
      <c r="AC680" s="273" t="str">
        <f t="shared" ca="1" si="98"/>
        <v/>
      </c>
      <c r="AD680" s="273" t="e">
        <f ca="1">+MAX(PAA[[#This Row],[Pago por Contrato]],)</f>
        <v>#NAME?</v>
      </c>
      <c r="AE680" s="273" t="str">
        <f t="shared" ca="1" si="95"/>
        <v/>
      </c>
      <c r="AF680" s="265" t="e">
        <f t="shared" ca="1" si="96"/>
        <v>#NAME?</v>
      </c>
      <c r="AG680" s="265">
        <f t="shared" si="97"/>
        <v>52010703</v>
      </c>
      <c r="AH680" s="265" t="e" cm="1">
        <f t="array" aca="1" ref="AH680" ca="1">_xlfn.XLOOKUP(PAA[[#This Row],[RCP-RUBRO]],COMPROMISOS_2025[[#All],[concatenado]],COMPROMISOS_2025[[#All],[Total pagado]],"",0)</f>
        <v>#NAME?</v>
      </c>
      <c r="AI680" s="265" t="e" cm="1">
        <f t="array" aca="1" ref="AI680" ca="1">_xlfn.XLOOKUP(PAA[[#This Row],[RCP-RUBRO]],COMPROMISOS_2025[[#All],[concatenado]],COMPROMISOS_2025[[#All],[Total Comprometido]],"",0)</f>
        <v>#NAME?</v>
      </c>
    </row>
    <row r="681" spans="1:35" s="50" customFormat="1" ht="42" hidden="1" customHeight="1" x14ac:dyDescent="0.25">
      <c r="A681" s="265">
        <v>562</v>
      </c>
      <c r="B681" s="255">
        <v>84101600</v>
      </c>
      <c r="C681" s="265" t="str">
        <f>VLOOKUP(PAA[[#This Row],[PROYECTO (formulado)2]],PROYECTOS!$G$1:$L$32,6,0)</f>
        <v>SUBGERENCIA DE FOMENTO Y DESARROLLO</v>
      </c>
      <c r="D681" s="265" t="str">
        <f>+IF(PAA[[#This Row],[UNIDAD DE CONTRATACION (formulado)]]="Subgerencia Administrativa y Financiera","FUNCIONAMIENTO","INVERSIÓN")</f>
        <v>INVERSIÓN</v>
      </c>
      <c r="E681" s="274" t="str">
        <f>VLOOKUP(Q681,PROYECTOS!$G$1:$K$32,5,0)</f>
        <v>Desarrollo y promoción del deporte formativo, la recreación y la actividad física en el departamento Antioquia</v>
      </c>
      <c r="F681" s="274">
        <f>VLOOKUP(E681,PROYECTOS!$K$1:$M$32,3,0)</f>
        <v>2024003050101</v>
      </c>
      <c r="G681" s="266" t="s">
        <v>774</v>
      </c>
      <c r="H681" s="266" t="str">
        <f>VLOOKUP(Q681,PROYECTOS!$V$1:$W$32,2,0)</f>
        <v>050075</v>
      </c>
      <c r="I681" s="269">
        <v>50000000</v>
      </c>
      <c r="J681" s="275" t="s">
        <v>775</v>
      </c>
      <c r="K681" s="265" t="str">
        <f t="shared" ca="1" si="92"/>
        <v>CONTRATADO</v>
      </c>
      <c r="L681" s="275" t="s">
        <v>112</v>
      </c>
      <c r="M681" s="275" t="s">
        <v>241</v>
      </c>
      <c r="N681" s="276" t="s">
        <v>284</v>
      </c>
      <c r="O681" s="275">
        <f>VLOOKUP(N681,RUBROS[#All],3,0)</f>
        <v>73</v>
      </c>
      <c r="P681" s="277" t="str">
        <f>VLOOKUP(N681,RUBROS[#All],2,0)</f>
        <v>Desarrollo y promoción del deporte formativo, la recreación y la actividad física en el departamento Antioquia. - Servicios para la comunidad, sociales y personales</v>
      </c>
      <c r="Q681" s="265" t="str">
        <f t="shared" si="93"/>
        <v>01</v>
      </c>
      <c r="R681" s="265" t="str">
        <f t="shared" si="94"/>
        <v>0-205400</v>
      </c>
      <c r="S681" s="254">
        <v>10</v>
      </c>
      <c r="T681" s="271" t="s">
        <v>46</v>
      </c>
      <c r="U681" s="272" t="e">
        <f ca="1">_xlfn.XLOOKUP(PAA[[#This Row],[ITEM]],Contrato!A:A,Contrato!Q:Q,"",0)</f>
        <v>#NAME?</v>
      </c>
      <c r="V681" s="265" t="s">
        <v>47</v>
      </c>
      <c r="W681" s="265" t="s">
        <v>154</v>
      </c>
      <c r="X681" s="265" t="s">
        <v>154</v>
      </c>
      <c r="Y681" s="273" t="e">
        <f ca="1">_xlfn.XLOOKUP(PAA[[#This Row],[ITEM]],Contrato!A:A,Contrato!B:B,"",0)</f>
        <v>#NAME?</v>
      </c>
      <c r="Z681" s="265" t="e">
        <f ca="1">_xlfn.XLOOKUP(PAA[[#This Row],[ITEM]],Contrato!A:A,Contrato!G:G,"",0)</f>
        <v>#NAME?</v>
      </c>
      <c r="AA681" s="265" t="e">
        <f ca="1">_xlfn.XLOOKUP(PAA[[#This Row],[ITEM]],Contrato!A:A,Contrato!T:T,"",0)</f>
        <v>#NAME?</v>
      </c>
      <c r="AB681" s="273" t="e">
        <f ca="1">+MAX(PAA[[#This Row],[Comprometido Contrato]],)</f>
        <v>#NAME?</v>
      </c>
      <c r="AC681" s="273" t="str">
        <f t="shared" ca="1" si="98"/>
        <v/>
      </c>
      <c r="AD681" s="273" t="e">
        <f ca="1">+MAX(PAA[[#This Row],[Pago por Contrato]],)</f>
        <v>#NAME?</v>
      </c>
      <c r="AE681" s="273" t="str">
        <f t="shared" ca="1" si="95"/>
        <v/>
      </c>
      <c r="AF681" s="265" t="e">
        <f t="shared" ca="1" si="96"/>
        <v>#NAME?</v>
      </c>
      <c r="AG681" s="265">
        <f t="shared" si="97"/>
        <v>52010702</v>
      </c>
      <c r="AH681" s="265" t="e" cm="1">
        <f t="array" aca="1" ref="AH681" ca="1">_xlfn.XLOOKUP(PAA[[#This Row],[RCP-RUBRO]],COMPROMISOS_2025[[#All],[concatenado]],COMPROMISOS_2025[[#All],[Total pagado]],"",0)</f>
        <v>#NAME?</v>
      </c>
      <c r="AI681" s="265" t="e" cm="1">
        <f t="array" aca="1" ref="AI681" ca="1">_xlfn.XLOOKUP(PAA[[#This Row],[RCP-RUBRO]],COMPROMISOS_2025[[#All],[concatenado]],COMPROMISOS_2025[[#All],[Total Comprometido]],"",0)</f>
        <v>#NAME?</v>
      </c>
    </row>
    <row r="682" spans="1:35" s="50" customFormat="1" ht="42" hidden="1" customHeight="1" x14ac:dyDescent="0.25">
      <c r="A682" s="339">
        <v>563</v>
      </c>
      <c r="B682" s="401">
        <v>80111600</v>
      </c>
      <c r="C682" s="339" t="str">
        <f>VLOOKUP(PAA[[#This Row],[PROYECTO (formulado)2]],PROYECTOS!$G$1:$L$32,6,0)</f>
        <v>SUBGERENCIA DE ALTOS LOGROS Y DEPORTE ASOCIADO</v>
      </c>
      <c r="D682" s="339" t="str">
        <f>+IF(PAA[[#This Row],[UNIDAD DE CONTRATACION (formulado)]]="Subgerencia Administrativa y Financiera","FUNCIONAMIENTO","INVERSIÓN")</f>
        <v>INVERSIÓN</v>
      </c>
      <c r="E682" s="402" t="str">
        <f>VLOOKUP(Q682,PROYECTOS!$G$1:$K$32,5,0)</f>
        <v>Apoyo técnico a atletas y para-atletas que representan en alto rendimiento deportivo al departamento de Antioquia</v>
      </c>
      <c r="F682" s="402">
        <f>VLOOKUP(E682,PROYECTOS!$K$1:$M$32,3,0)</f>
        <v>2024003050084</v>
      </c>
      <c r="G682" s="340" t="s">
        <v>450</v>
      </c>
      <c r="H682" s="340" t="str">
        <f>VLOOKUP(Q682,PROYECTOS!$V$1:$W$32,2,0)</f>
        <v>050079</v>
      </c>
      <c r="I682" s="341">
        <v>38529929</v>
      </c>
      <c r="J682" s="403" t="s">
        <v>776</v>
      </c>
      <c r="K682" s="339" t="str">
        <f t="shared" ca="1" si="92"/>
        <v>CONTRATADO</v>
      </c>
      <c r="L682" s="326" t="s">
        <v>112</v>
      </c>
      <c r="M682" s="326" t="s">
        <v>113</v>
      </c>
      <c r="N682" s="404" t="s">
        <v>634</v>
      </c>
      <c r="O682" s="403">
        <f>VLOOKUP(N682,RUBROS[#All],3,0)</f>
        <v>61</v>
      </c>
      <c r="P682" s="405" t="str">
        <f>VLOOKUP(N682,RUBROS[#All],2,0)</f>
        <v>Apoyo técnico a atletas y para-atletas que representan en alto rendimiento deportivo al departamento de Antioquia. - Servicios para la comunidad, sociales y personales</v>
      </c>
      <c r="Q682" s="339" t="str">
        <f t="shared" si="93"/>
        <v>84</v>
      </c>
      <c r="R682" s="326" t="str">
        <f t="shared" si="94"/>
        <v>0-205128</v>
      </c>
      <c r="S682" s="406">
        <v>278</v>
      </c>
      <c r="T682" s="412" t="s">
        <v>220</v>
      </c>
      <c r="U682" s="343" t="e">
        <f ca="1">_xlfn.XLOOKUP(PAA[[#This Row],[ITEM]],Contrato!A:A,Contrato!Q:Q,"",0)</f>
        <v>#NAME?</v>
      </c>
      <c r="V682" s="326" t="s">
        <v>47</v>
      </c>
      <c r="W682" s="326" t="s">
        <v>154</v>
      </c>
      <c r="X682" s="326" t="s">
        <v>127</v>
      </c>
      <c r="Y682" s="344" t="e">
        <f ca="1">_xlfn.XLOOKUP(PAA[[#This Row],[ITEM]],Contrato!A:A,Contrato!B:B,"",0)</f>
        <v>#NAME?</v>
      </c>
      <c r="Z682" s="339" t="e">
        <f ca="1">_xlfn.XLOOKUP(PAA[[#This Row],[ITEM]],Contrato!A:A,Contrato!G:G,"",0)</f>
        <v>#NAME?</v>
      </c>
      <c r="AA682" s="339" t="e">
        <f ca="1">_xlfn.XLOOKUP(PAA[[#This Row],[ITEM]],Contrato!A:A,Contrato!T:T,"",0)</f>
        <v>#NAME?</v>
      </c>
      <c r="AB682" s="344" t="e">
        <f ca="1">+MAX(PAA[[#This Row],[Comprometido Contrato]],)</f>
        <v>#NAME?</v>
      </c>
      <c r="AC682" s="344" t="str">
        <f t="shared" ca="1" si="98"/>
        <v/>
      </c>
      <c r="AD682" s="344" t="e">
        <f ca="1">+MAX(PAA[[#This Row],[Pago por Contrato]],)</f>
        <v>#NAME?</v>
      </c>
      <c r="AE682" s="344" t="str">
        <f t="shared" ca="1" si="95"/>
        <v/>
      </c>
      <c r="AF682" s="339" t="e">
        <f t="shared" ca="1" si="96"/>
        <v>#NAME?</v>
      </c>
      <c r="AG682" s="339">
        <f t="shared" si="97"/>
        <v>52010802</v>
      </c>
      <c r="AH682" s="339" t="e" cm="1">
        <f t="array" aca="1" ref="AH682" ca="1">_xlfn.XLOOKUP(PAA[[#This Row],[RCP-RUBRO]],COMPROMISOS_2025[[#All],[concatenado]],COMPROMISOS_2025[[#All],[Total pagado]],"",0)</f>
        <v>#NAME?</v>
      </c>
      <c r="AI682" s="339" t="e" cm="1">
        <f t="array" aca="1" ref="AI682" ca="1">_xlfn.XLOOKUP(PAA[[#This Row],[RCP-RUBRO]],COMPROMISOS_2025[[#All],[concatenado]],COMPROMISOS_2025[[#All],[Total Comprometido]],"",0)</f>
        <v>#NAME?</v>
      </c>
    </row>
    <row r="683" spans="1:35" s="50" customFormat="1" ht="42" hidden="1" customHeight="1" x14ac:dyDescent="0.25">
      <c r="A683" s="339">
        <v>564</v>
      </c>
      <c r="B683" s="401">
        <v>80111600</v>
      </c>
      <c r="C683" s="339" t="str">
        <f>VLOOKUP(PAA[[#This Row],[PROYECTO (formulado)2]],PROYECTOS!$G$1:$L$32,6,0)</f>
        <v>SUBGERENCIA DE ALTOS LOGROS Y DEPORTE ASOCIADO</v>
      </c>
      <c r="D683" s="339" t="str">
        <f>+IF(PAA[[#This Row],[UNIDAD DE CONTRATACION (formulado)]]="Subgerencia Administrativa y Financiera","FUNCIONAMIENTO","INVERSIÓN")</f>
        <v>INVERSIÓN</v>
      </c>
      <c r="E683" s="402" t="str">
        <f>VLOOKUP(Q683,PROYECTOS!$G$1:$K$32,5,0)</f>
        <v>Apoyo técnico a atletas y para-atletas que representan en alto rendimiento deportivo al departamento de Antioquia</v>
      </c>
      <c r="F683" s="402">
        <f>VLOOKUP(E683,PROYECTOS!$K$1:$M$32,3,0)</f>
        <v>2024003050084</v>
      </c>
      <c r="G683" s="340" t="s">
        <v>450</v>
      </c>
      <c r="H683" s="340" t="str">
        <f>VLOOKUP(Q683,PROYECTOS!$V$1:$W$32,2,0)</f>
        <v>050079</v>
      </c>
      <c r="I683" s="341">
        <v>47854929</v>
      </c>
      <c r="J683" s="403" t="s">
        <v>777</v>
      </c>
      <c r="K683" s="339" t="str">
        <f t="shared" ca="1" si="92"/>
        <v>CONTRATADO</v>
      </c>
      <c r="L683" s="326" t="s">
        <v>112</v>
      </c>
      <c r="M683" s="326" t="s">
        <v>113</v>
      </c>
      <c r="N683" s="404" t="s">
        <v>634</v>
      </c>
      <c r="O683" s="403">
        <f>VLOOKUP(N683,RUBROS[#All],3,0)</f>
        <v>61</v>
      </c>
      <c r="P683" s="405" t="str">
        <f>VLOOKUP(N683,RUBROS[#All],2,0)</f>
        <v>Apoyo técnico a atletas y para-atletas que representan en alto rendimiento deportivo al departamento de Antioquia. - Servicios para la comunidad, sociales y personales</v>
      </c>
      <c r="Q683" s="339" t="str">
        <f t="shared" si="93"/>
        <v>84</v>
      </c>
      <c r="R683" s="326" t="str">
        <f t="shared" si="94"/>
        <v>0-205128</v>
      </c>
      <c r="S683" s="406">
        <v>278</v>
      </c>
      <c r="T683" s="337" t="s">
        <v>220</v>
      </c>
      <c r="U683" s="343" t="e">
        <f ca="1">_xlfn.XLOOKUP(PAA[[#This Row],[ITEM]],Contrato!A:A,Contrato!Q:Q,"",0)</f>
        <v>#NAME?</v>
      </c>
      <c r="V683" s="326" t="s">
        <v>47</v>
      </c>
      <c r="W683" s="326" t="s">
        <v>154</v>
      </c>
      <c r="X683" s="326" t="s">
        <v>127</v>
      </c>
      <c r="Y683" s="344" t="e">
        <f ca="1">_xlfn.XLOOKUP(PAA[[#This Row],[ITEM]],Contrato!A:A,Contrato!B:B,"",0)</f>
        <v>#NAME?</v>
      </c>
      <c r="Z683" s="339" t="e">
        <f ca="1">_xlfn.XLOOKUP(PAA[[#This Row],[ITEM]],Contrato!A:A,Contrato!G:G,"",0)</f>
        <v>#NAME?</v>
      </c>
      <c r="AA683" s="339" t="e">
        <f ca="1">_xlfn.XLOOKUP(PAA[[#This Row],[ITEM]],Contrato!A:A,Contrato!T:T,"",0)</f>
        <v>#NAME?</v>
      </c>
      <c r="AB683" s="344" t="e">
        <f ca="1">+MAX(PAA[[#This Row],[Comprometido Contrato]],)</f>
        <v>#NAME?</v>
      </c>
      <c r="AC683" s="344" t="str">
        <f t="shared" ca="1" si="98"/>
        <v/>
      </c>
      <c r="AD683" s="344" t="e">
        <f ca="1">+MAX(PAA[[#This Row],[Pago por Contrato]],)</f>
        <v>#NAME?</v>
      </c>
      <c r="AE683" s="344" t="str">
        <f t="shared" ca="1" si="95"/>
        <v/>
      </c>
      <c r="AF683" s="339" t="e">
        <f t="shared" ca="1" si="96"/>
        <v>#NAME?</v>
      </c>
      <c r="AG683" s="339">
        <f t="shared" si="97"/>
        <v>52010802</v>
      </c>
      <c r="AH683" s="339" t="e" cm="1">
        <f t="array" aca="1" ref="AH683" ca="1">_xlfn.XLOOKUP(PAA[[#This Row],[RCP-RUBRO]],COMPROMISOS_2025[[#All],[concatenado]],COMPROMISOS_2025[[#All],[Total pagado]],"",0)</f>
        <v>#NAME?</v>
      </c>
      <c r="AI683" s="339" t="e" cm="1">
        <f t="array" aca="1" ref="AI683" ca="1">_xlfn.XLOOKUP(PAA[[#This Row],[RCP-RUBRO]],COMPROMISOS_2025[[#All],[concatenado]],COMPROMISOS_2025[[#All],[Total Comprometido]],"",0)</f>
        <v>#NAME?</v>
      </c>
    </row>
    <row r="684" spans="1:35" s="50" customFormat="1" ht="42" hidden="1" customHeight="1" x14ac:dyDescent="0.25">
      <c r="A684" s="339">
        <v>565</v>
      </c>
      <c r="B684" s="325">
        <v>80111600</v>
      </c>
      <c r="C684" s="326" t="str">
        <f>VLOOKUP(PAA[[#This Row],[PROYECTO (formulado)2]],PROYECTOS!$G$1:$L$32,6,0)</f>
        <v>SUBGERENCIA DE ALTOS LOGROS Y DEPORTE ASOCIADO</v>
      </c>
      <c r="D684" s="326" t="str">
        <f>+IF(PAA[[#This Row],[UNIDAD DE CONTRATACION (formulado)]]="Subgerencia Administrativa y Financiera","FUNCIONAMIENTO","INVERSIÓN")</f>
        <v>INVERSIÓN</v>
      </c>
      <c r="E684" s="327" t="str">
        <f>VLOOKUP(Q684,PROYECTOS!$G$1:$K$32,5,0)</f>
        <v>Apoyo técnico a atletas y para-atletas que representan en alto rendimiento deportivo al departamento de Antioquia</v>
      </c>
      <c r="F684" s="327">
        <f>VLOOKUP(E684,PROYECTOS!$K$1:$M$32,3,0)</f>
        <v>2024003050084</v>
      </c>
      <c r="G684" s="328" t="s">
        <v>450</v>
      </c>
      <c r="H684" s="328" t="str">
        <f>VLOOKUP(Q684,PROYECTOS!$V$1:$W$32,2,0)</f>
        <v>050079</v>
      </c>
      <c r="I684" s="329">
        <v>57820006</v>
      </c>
      <c r="J684" s="330" t="s">
        <v>778</v>
      </c>
      <c r="K684" s="326" t="str">
        <f t="shared" ca="1" si="92"/>
        <v>CONTRATADO</v>
      </c>
      <c r="L684" s="326" t="s">
        <v>112</v>
      </c>
      <c r="M684" s="326" t="s">
        <v>113</v>
      </c>
      <c r="N684" s="331" t="s">
        <v>634</v>
      </c>
      <c r="O684" s="330">
        <f>VLOOKUP(N684,RUBROS[#All],3,0)</f>
        <v>61</v>
      </c>
      <c r="P684" s="332" t="str">
        <f>VLOOKUP(N684,RUBROS[#All],2,0)</f>
        <v>Apoyo técnico a atletas y para-atletas que representan en alto rendimiento deportivo al departamento de Antioquia. - Servicios para la comunidad, sociales y personales</v>
      </c>
      <c r="Q684" s="326" t="str">
        <f t="shared" si="93"/>
        <v>84</v>
      </c>
      <c r="R684" s="326" t="str">
        <f t="shared" si="94"/>
        <v>0-205128</v>
      </c>
      <c r="S684" s="333">
        <v>278</v>
      </c>
      <c r="T684" s="337" t="s">
        <v>220</v>
      </c>
      <c r="U684" s="335" t="e">
        <f ca="1">_xlfn.XLOOKUP(PAA[[#This Row],[ITEM]],Contrato!A:A,Contrato!Q:Q,"",0)</f>
        <v>#NAME?</v>
      </c>
      <c r="V684" s="326" t="s">
        <v>47</v>
      </c>
      <c r="W684" s="326" t="s">
        <v>154</v>
      </c>
      <c r="X684" s="326" t="s">
        <v>127</v>
      </c>
      <c r="Y684" s="336" t="e">
        <f ca="1">_xlfn.XLOOKUP(PAA[[#This Row],[ITEM]],Contrato!A:A,Contrato!B:B,"",0)</f>
        <v>#NAME?</v>
      </c>
      <c r="Z684" s="326" t="e">
        <f ca="1">_xlfn.XLOOKUP(PAA[[#This Row],[ITEM]],Contrato!A:A,Contrato!G:G,"",0)</f>
        <v>#NAME?</v>
      </c>
      <c r="AA684" s="326" t="e">
        <f ca="1">_xlfn.XLOOKUP(PAA[[#This Row],[ITEM]],Contrato!A:A,Contrato!T:T,"",0)</f>
        <v>#NAME?</v>
      </c>
      <c r="AB684" s="336" t="e">
        <f ca="1">+MAX(PAA[[#This Row],[Comprometido Contrato]],)</f>
        <v>#NAME?</v>
      </c>
      <c r="AC684" s="336" t="str">
        <f t="shared" ca="1" si="98"/>
        <v/>
      </c>
      <c r="AD684" s="336" t="e">
        <f ca="1">+MAX(PAA[[#This Row],[Pago por Contrato]],)</f>
        <v>#NAME?</v>
      </c>
      <c r="AE684" s="336" t="str">
        <f t="shared" ca="1" si="95"/>
        <v/>
      </c>
      <c r="AF684" s="326" t="e">
        <f t="shared" ca="1" si="96"/>
        <v>#NAME?</v>
      </c>
      <c r="AG684" s="326">
        <f t="shared" si="97"/>
        <v>52010802</v>
      </c>
      <c r="AH684" s="326" t="e" cm="1">
        <f t="array" aca="1" ref="AH684" ca="1">_xlfn.XLOOKUP(PAA[[#This Row],[RCP-RUBRO]],COMPROMISOS_2025[[#All],[concatenado]],COMPROMISOS_2025[[#All],[Total pagado]],"",0)</f>
        <v>#NAME?</v>
      </c>
      <c r="AI684" s="326" t="e" cm="1">
        <f t="array" aca="1" ref="AI684" ca="1">_xlfn.XLOOKUP(PAA[[#This Row],[RCP-RUBRO]],COMPROMISOS_2025[[#All],[concatenado]],COMPROMISOS_2025[[#All],[Total Comprometido]],"",0)</f>
        <v>#NAME?</v>
      </c>
    </row>
    <row r="685" spans="1:35" s="50" customFormat="1" ht="42" hidden="1" customHeight="1" x14ac:dyDescent="0.25">
      <c r="A685" s="227">
        <v>566</v>
      </c>
      <c r="B685" s="200">
        <v>80111600</v>
      </c>
      <c r="C685" s="199" t="str">
        <f>VLOOKUP(PAA[[#This Row],[PROYECTO (formulado)2]],PROYECTOS!$G$1:$L$32,6,0)</f>
        <v>SUBGERENCIA DE FOMENTO Y DESARROLLO</v>
      </c>
      <c r="D685" s="199" t="str">
        <f>+IF(PAA[[#This Row],[UNIDAD DE CONTRATACION (formulado)]]="Subgerencia Administrativa y Financiera","FUNCIONAMIENTO","INVERSIÓN")</f>
        <v>INVERSIÓN</v>
      </c>
      <c r="E685" s="201" t="str">
        <f>VLOOKUP(Q685,PROYECTOS!$G$1:$K$32,5,0)</f>
        <v>Desarrollo y promoción del deporte formativo, la recreación y la actividad física en el departamento Antioquia</v>
      </c>
      <c r="F685" s="201">
        <f>VLOOKUP(E685,PROYECTOS!$K$1:$M$32,3,0)</f>
        <v>2024003050101</v>
      </c>
      <c r="G685" s="202" t="s">
        <v>295</v>
      </c>
      <c r="H685" s="202" t="str">
        <f>VLOOKUP(Q685,PROYECTOS!$V$1:$W$32,2,0)</f>
        <v>050075</v>
      </c>
      <c r="I685" s="203">
        <v>80957100</v>
      </c>
      <c r="J685" s="204" t="s">
        <v>729</v>
      </c>
      <c r="K685" s="199" t="str">
        <f t="shared" ca="1" si="92"/>
        <v>CONTRATADO</v>
      </c>
      <c r="L685" s="204" t="s">
        <v>112</v>
      </c>
      <c r="M685" s="204" t="s">
        <v>779</v>
      </c>
      <c r="N685" s="205" t="s">
        <v>284</v>
      </c>
      <c r="O685" s="204">
        <f>VLOOKUP(N685,RUBROS[#All],3,0)</f>
        <v>73</v>
      </c>
      <c r="P685" s="206" t="str">
        <f>VLOOKUP(N685,RUBROS[#All],2,0)</f>
        <v>Desarrollo y promoción del deporte formativo, la recreación y la actividad física en el departamento Antioquia. - Servicios para la comunidad, sociales y personales</v>
      </c>
      <c r="Q685" s="199" t="str">
        <f t="shared" si="93"/>
        <v>01</v>
      </c>
      <c r="R685" s="199" t="str">
        <f t="shared" si="94"/>
        <v>0-205400</v>
      </c>
      <c r="S685" s="207">
        <v>9.5</v>
      </c>
      <c r="T685" s="213" t="s">
        <v>46</v>
      </c>
      <c r="U685" s="209" t="e">
        <f ca="1">_xlfn.XLOOKUP(PAA[[#This Row],[ITEM]],Contrato!A:A,Contrato!Q:Q,"",0)</f>
        <v>#NAME?</v>
      </c>
      <c r="V685" s="199" t="s">
        <v>47</v>
      </c>
      <c r="W685" s="199" t="s">
        <v>154</v>
      </c>
      <c r="X685" s="199" t="s">
        <v>154</v>
      </c>
      <c r="Y685" s="210" t="e">
        <f ca="1">_xlfn.XLOOKUP(PAA[[#This Row],[ITEM]],Contrato!A:A,Contrato!B:B,"",0)</f>
        <v>#NAME?</v>
      </c>
      <c r="Z685" s="199" t="e">
        <f ca="1">_xlfn.XLOOKUP(PAA[[#This Row],[ITEM]],Contrato!A:A,Contrato!G:G,"",0)</f>
        <v>#NAME?</v>
      </c>
      <c r="AA685" s="199" t="e">
        <f ca="1">_xlfn.XLOOKUP(PAA[[#This Row],[ITEM]],Contrato!A:A,Contrato!T:T,"",0)</f>
        <v>#NAME?</v>
      </c>
      <c r="AB685" s="210" t="e">
        <f ca="1">+MAX(PAA[[#This Row],[Comprometido Contrato]],)</f>
        <v>#NAME?</v>
      </c>
      <c r="AC685" s="210" t="str">
        <f t="shared" ca="1" si="98"/>
        <v/>
      </c>
      <c r="AD685" s="210" t="e">
        <f ca="1">+MAX(PAA[[#This Row],[Pago por Contrato]],)</f>
        <v>#NAME?</v>
      </c>
      <c r="AE685" s="210" t="str">
        <f t="shared" ca="1" si="95"/>
        <v/>
      </c>
      <c r="AF685" s="199" t="e">
        <f t="shared" ca="1" si="96"/>
        <v>#NAME?</v>
      </c>
      <c r="AG685" s="199">
        <f t="shared" si="97"/>
        <v>52010702</v>
      </c>
      <c r="AH685" s="199" t="e" cm="1">
        <f t="array" aca="1" ref="AH685" ca="1">_xlfn.XLOOKUP(PAA[[#This Row],[RCP-RUBRO]],COMPROMISOS_2025[[#All],[concatenado]],COMPROMISOS_2025[[#All],[Total pagado]],"",0)</f>
        <v>#NAME?</v>
      </c>
      <c r="AI685" s="199" t="e" cm="1">
        <f t="array" aca="1" ref="AI685" ca="1">_xlfn.XLOOKUP(PAA[[#This Row],[RCP-RUBRO]],COMPROMISOS_2025[[#All],[concatenado]],COMPROMISOS_2025[[#All],[Total Comprometido]],"",0)</f>
        <v>#NAME?</v>
      </c>
    </row>
    <row r="686" spans="1:35" s="50" customFormat="1" ht="42" hidden="1" customHeight="1" x14ac:dyDescent="0.25">
      <c r="A686" s="227">
        <v>567</v>
      </c>
      <c r="B686" s="200">
        <v>80111600</v>
      </c>
      <c r="C686" s="199" t="str">
        <f>VLOOKUP(PAA[[#This Row],[PROYECTO (formulado)2]],PROYECTOS!$G$1:$L$32,6,0)</f>
        <v>SUBGERENCIA ADMINISTRATIVA Y FINANCIERA</v>
      </c>
      <c r="D686" s="199" t="str">
        <f>+IF(PAA[[#This Row],[UNIDAD DE CONTRATACION (formulado)]]="Subgerencia Administrativa y Financiera","FUNCIONAMIENTO","INVERSIÓN")</f>
        <v>FUNCIONAMIENTO</v>
      </c>
      <c r="E686" s="201" t="str">
        <f>VLOOKUP(Q686,PROYECTOS!$G$1:$K$32,5,0)</f>
        <v>FUNCIONAMIENTO</v>
      </c>
      <c r="F686" s="201">
        <f>VLOOKUP(E686,PROYECTOS!$K$1:$M$32,3,0)</f>
        <v>999999</v>
      </c>
      <c r="G686" s="202" t="s">
        <v>42</v>
      </c>
      <c r="H686" s="202">
        <f>VLOOKUP(Q686,PROYECTOS!$V$1:$W$32,2,0)</f>
        <v>999999</v>
      </c>
      <c r="I686" s="203">
        <v>17095000</v>
      </c>
      <c r="J686" s="204" t="s">
        <v>780</v>
      </c>
      <c r="K686" s="199" t="str">
        <f t="shared" ref="K686:K754" ca="1" si="99">IF(ISNONTEXT(Y686)=TRUE,"CONTRATADO","NO CONTRATADO")</f>
        <v>CONTRATADO</v>
      </c>
      <c r="L686" s="204" t="s">
        <v>112</v>
      </c>
      <c r="M686" s="204" t="s">
        <v>113</v>
      </c>
      <c r="N686" s="204" t="s">
        <v>114</v>
      </c>
      <c r="O686" s="204">
        <f>VLOOKUP(N686,RUBROS[#All],3,0)</f>
        <v>30</v>
      </c>
      <c r="P686" s="206" t="str">
        <f>VLOOKUP(N686,RUBROS[#All],2,0)</f>
        <v xml:space="preserve">Servicios prestados a las empresas y servicios de producción </v>
      </c>
      <c r="Q686" s="199" t="str">
        <f t="shared" ref="Q686:Q754" si="100">+MID(N686,11,2)</f>
        <v>00</v>
      </c>
      <c r="R686" s="199" t="str">
        <f t="shared" ref="R686:R754" si="101">+MID(N686,14,8)</f>
        <v>0-205616</v>
      </c>
      <c r="S686" s="220">
        <v>5</v>
      </c>
      <c r="T686" s="213" t="s">
        <v>46</v>
      </c>
      <c r="U686" s="209" t="e">
        <f ca="1">_xlfn.XLOOKUP(PAA[[#This Row],[ITEM]],Contrato!A:A,Contrato!Q:Q,"",0)</f>
        <v>#NAME?</v>
      </c>
      <c r="V686" s="199" t="s">
        <v>47</v>
      </c>
      <c r="W686" s="199" t="s">
        <v>154</v>
      </c>
      <c r="X686" s="199" t="s">
        <v>154</v>
      </c>
      <c r="Y686" s="210" t="e">
        <f ca="1">_xlfn.XLOOKUP(PAA[[#This Row],[ITEM]],Contrato!A:A,Contrato!B:B,"",0)</f>
        <v>#NAME?</v>
      </c>
      <c r="Z686" s="199" t="e">
        <f ca="1">_xlfn.XLOOKUP(PAA[[#This Row],[ITEM]],Contrato!A:A,Contrato!G:G,"",0)</f>
        <v>#NAME?</v>
      </c>
      <c r="AA686" s="199" t="e">
        <f ca="1">_xlfn.XLOOKUP(PAA[[#This Row],[ITEM]],Contrato!A:A,Contrato!T:T,"",0)</f>
        <v>#NAME?</v>
      </c>
      <c r="AB686" s="210" t="e">
        <f ca="1">+MAX(PAA[[#This Row],[Comprometido Contrato]],)</f>
        <v>#NAME?</v>
      </c>
      <c r="AC686" s="210" t="str">
        <f t="shared" ca="1" si="98"/>
        <v/>
      </c>
      <c r="AD686" s="210" t="e">
        <f ca="1">+MAX(PAA[[#This Row],[Pago por Contrato]],)</f>
        <v>#NAME?</v>
      </c>
      <c r="AE686" s="210" t="str">
        <f t="shared" ref="AE686:AE754" ca="1" si="102">+IFERROR(AB686-AD686,"")</f>
        <v/>
      </c>
      <c r="AF686" s="199" t="e">
        <f t="shared" ref="AF686:AF754" ca="1" si="103">+CONCATENATE(AA686,N686)</f>
        <v>#NAME?</v>
      </c>
      <c r="AG686" s="199" t="str">
        <f t="shared" ref="AG686:AG754" si="104">IFERROR(_xlfn.NUMBERVALUE(MID(G686,1,8)),"")</f>
        <v/>
      </c>
      <c r="AH686" s="199" t="e" cm="1">
        <f t="array" aca="1" ref="AH686" ca="1">_xlfn.XLOOKUP(PAA[[#This Row],[RCP-RUBRO]],COMPROMISOS_2025[[#All],[concatenado]],COMPROMISOS_2025[[#All],[Total pagado]],"",0)</f>
        <v>#NAME?</v>
      </c>
      <c r="AI686" s="199" t="e" cm="1">
        <f t="array" aca="1" ref="AI686" ca="1">_xlfn.XLOOKUP(PAA[[#This Row],[RCP-RUBRO]],COMPROMISOS_2025[[#All],[concatenado]],COMPROMISOS_2025[[#All],[Total Comprometido]],"",0)</f>
        <v>#NAME?</v>
      </c>
    </row>
    <row r="687" spans="1:35" s="50" customFormat="1" ht="42" hidden="1" customHeight="1" x14ac:dyDescent="0.25">
      <c r="A687" s="254">
        <v>568</v>
      </c>
      <c r="B687" s="255">
        <v>80111600</v>
      </c>
      <c r="C687" s="265" t="str">
        <f>VLOOKUP(PAA[[#This Row],[PROYECTO (formulado)2]],PROYECTOS!$G$1:$L$32,6,0)</f>
        <v>SUBGERENCIA DE ALTOS LOGROS Y DEPORTE ASOCIADO</v>
      </c>
      <c r="D687" s="265" t="str">
        <f>+IF(PAA[[#This Row],[UNIDAD DE CONTRATACION (formulado)]]="Subgerencia Administrativa y Financiera","FUNCIONAMIENTO","INVERSIÓN")</f>
        <v>INVERSIÓN</v>
      </c>
      <c r="E687" s="274" t="str">
        <f>VLOOKUP(Q687,PROYECTOS!$G$1:$K$32,5,0)</f>
        <v>Apoyo económico a las organizaciones deportivas que representan en competencias al departamento de Antioquia</v>
      </c>
      <c r="F687" s="274">
        <f>VLOOKUP(E687,PROYECTOS!$K$1:$M$32,3,0)</f>
        <v>2024003050102</v>
      </c>
      <c r="G687" s="266" t="s">
        <v>399</v>
      </c>
      <c r="H687" s="266" t="str">
        <f>VLOOKUP(Q687,PROYECTOS!$V$1:$W$32,2,0)</f>
        <v>050076</v>
      </c>
      <c r="I687" s="269">
        <v>9000000</v>
      </c>
      <c r="J687" s="275" t="s">
        <v>781</v>
      </c>
      <c r="K687" s="265" t="str">
        <f t="shared" ca="1" si="99"/>
        <v>CONTRATADO</v>
      </c>
      <c r="L687" s="254" t="s">
        <v>112</v>
      </c>
      <c r="M687" s="280" t="s">
        <v>113</v>
      </c>
      <c r="N687" s="276" t="s">
        <v>400</v>
      </c>
      <c r="O687" s="275">
        <f>VLOOKUP(N687,RUBROS[#All],3,0)</f>
        <v>56</v>
      </c>
      <c r="P687" s="277" t="str">
        <f>VLOOKUP(N687,RUBROS[#All],2,0)</f>
        <v xml:space="preserve">Apoyo económico a las organizaciones deportivas que representan en competencias al departamento de Antioquia - Servicios prestados a las empresas y servicios de producción </v>
      </c>
      <c r="Q687" s="265" t="str">
        <f t="shared" si="100"/>
        <v>02</v>
      </c>
      <c r="R687" s="265" t="str">
        <f t="shared" si="101"/>
        <v>0-205128</v>
      </c>
      <c r="S687" s="254">
        <v>7</v>
      </c>
      <c r="T687" s="271" t="s">
        <v>46</v>
      </c>
      <c r="U687" s="272" t="e">
        <f ca="1">_xlfn.XLOOKUP(PAA[[#This Row],[ITEM]],Contrato!A:A,Contrato!Q:Q,"",0)</f>
        <v>#NAME?</v>
      </c>
      <c r="V687" s="254" t="s">
        <v>47</v>
      </c>
      <c r="W687" s="254" t="s">
        <v>127</v>
      </c>
      <c r="X687" s="254" t="s">
        <v>127</v>
      </c>
      <c r="Y687" s="273" t="e">
        <f ca="1">_xlfn.XLOOKUP(PAA[[#This Row],[ITEM]],Contrato!A:A,Contrato!B:B,"",0)</f>
        <v>#NAME?</v>
      </c>
      <c r="Z687" s="265" t="e">
        <f ca="1">_xlfn.XLOOKUP(PAA[[#This Row],[ITEM]],Contrato!A:A,Contrato!G:G,"",0)</f>
        <v>#NAME?</v>
      </c>
      <c r="AA687" s="265" t="e">
        <f ca="1">_xlfn.XLOOKUP(PAA[[#This Row],[ITEM]],Contrato!A:A,Contrato!T:T,"",0)</f>
        <v>#NAME?</v>
      </c>
      <c r="AB687" s="273" t="e">
        <f ca="1">+MAX(PAA[[#This Row],[Comprometido Contrato]],)</f>
        <v>#NAME?</v>
      </c>
      <c r="AC687" s="273" t="str">
        <f t="shared" ca="1" si="98"/>
        <v/>
      </c>
      <c r="AD687" s="273" t="e">
        <f ca="1">+MAX(PAA[[#This Row],[Pago por Contrato]],)</f>
        <v>#NAME?</v>
      </c>
      <c r="AE687" s="273" t="str">
        <f t="shared" ca="1" si="102"/>
        <v/>
      </c>
      <c r="AF687" s="265" t="e">
        <f t="shared" ca="1" si="103"/>
        <v>#NAME?</v>
      </c>
      <c r="AG687" s="265">
        <f t="shared" si="104"/>
        <v>52010801</v>
      </c>
      <c r="AH687" s="265" t="e" cm="1">
        <f t="array" aca="1" ref="AH687" ca="1">_xlfn.XLOOKUP(PAA[[#This Row],[RCP-RUBRO]],COMPROMISOS_2025[[#All],[concatenado]],COMPROMISOS_2025[[#All],[Total pagado]],"",0)</f>
        <v>#NAME?</v>
      </c>
      <c r="AI687" s="265" t="e" cm="1">
        <f t="array" aca="1" ref="AI687" ca="1">_xlfn.XLOOKUP(PAA[[#This Row],[RCP-RUBRO]],COMPROMISOS_2025[[#All],[concatenado]],COMPROMISOS_2025[[#All],[Total Comprometido]],"",0)</f>
        <v>#NAME?</v>
      </c>
    </row>
    <row r="688" spans="1:35" s="50" customFormat="1" ht="42" hidden="1" customHeight="1" x14ac:dyDescent="0.25">
      <c r="A688" s="254">
        <v>568</v>
      </c>
      <c r="B688" s="255">
        <v>80111600</v>
      </c>
      <c r="C688" s="265" t="str">
        <f>VLOOKUP(PAA[[#This Row],[PROYECTO (formulado)2]],PROYECTOS!$G$1:$L$32,6,0)</f>
        <v>SUBGERENCIA DE ALTOS LOGROS Y DEPORTE ASOCIADO</v>
      </c>
      <c r="D688" s="265" t="str">
        <f>+IF(PAA[[#This Row],[UNIDAD DE CONTRATACION (formulado)]]="Subgerencia Administrativa y Financiera","FUNCIONAMIENTO","INVERSIÓN")</f>
        <v>INVERSIÓN</v>
      </c>
      <c r="E688" s="274" t="str">
        <f>VLOOKUP(Q688,PROYECTOS!$G$1:$K$32,5,0)</f>
        <v>Fortalecimiento del desarrollo deportivo con miras al alto rendimiento competitivo de los atletas del departamento de Antioquia</v>
      </c>
      <c r="F688" s="274">
        <f>VLOOKUP(E688,PROYECTOS!$K$1:$M$32,3,0)</f>
        <v>2024003050087</v>
      </c>
      <c r="G688" s="266" t="s">
        <v>396</v>
      </c>
      <c r="H688" s="266" t="str">
        <f>VLOOKUP(Q688,PROYECTOS!$V$1:$W$32,2,0)</f>
        <v>050078</v>
      </c>
      <c r="I688" s="269">
        <v>9000000</v>
      </c>
      <c r="J688" s="275" t="s">
        <v>781</v>
      </c>
      <c r="K688" s="265" t="str">
        <f t="shared" ca="1" si="99"/>
        <v>CONTRATADO</v>
      </c>
      <c r="L688" s="254" t="s">
        <v>112</v>
      </c>
      <c r="M688" s="280" t="s">
        <v>113</v>
      </c>
      <c r="N688" s="276" t="s">
        <v>398</v>
      </c>
      <c r="O688" s="275">
        <f>VLOOKUP(N688,RUBROS[#All],3,0)</f>
        <v>66</v>
      </c>
      <c r="P688" s="277" t="str">
        <f>VLOOKUP(N688,RUBROS[#All],2,0)</f>
        <v xml:space="preserve">Fortalecimiento del desarrollo deportivo con miras al alto rendimiento competitivo de los atletas del departamento de Antioquia - Servicios prestados a las empresas y servicios de producción </v>
      </c>
      <c r="Q688" s="265" t="str">
        <f t="shared" si="100"/>
        <v>87</v>
      </c>
      <c r="R688" s="265" t="str">
        <f t="shared" si="101"/>
        <v>0-101024</v>
      </c>
      <c r="S688" s="254">
        <v>7</v>
      </c>
      <c r="T688" s="271" t="s">
        <v>46</v>
      </c>
      <c r="U688" s="272" t="e">
        <f ca="1">_xlfn.XLOOKUP(PAA[[#This Row],[ITEM]],Contrato!A:A,Contrato!Q:Q,"",0)</f>
        <v>#NAME?</v>
      </c>
      <c r="V688" s="254" t="s">
        <v>47</v>
      </c>
      <c r="W688" s="254" t="s">
        <v>127</v>
      </c>
      <c r="X688" s="254" t="s">
        <v>127</v>
      </c>
      <c r="Y688" s="273" t="e">
        <f ca="1">_xlfn.XLOOKUP(PAA[[#This Row],[ITEM]],Contrato!A:A,Contrato!B:B,"",0)</f>
        <v>#NAME?</v>
      </c>
      <c r="Z688" s="265" t="e">
        <f ca="1">_xlfn.XLOOKUP(PAA[[#This Row],[ITEM]],Contrato!A:A,Contrato!G:G,"",0)</f>
        <v>#NAME?</v>
      </c>
      <c r="AA688" s="265" t="e">
        <f ca="1">_xlfn.XLOOKUP(PAA[[#This Row],[ITEM]],Contrato!A:A,Contrato!T:T,"",0)</f>
        <v>#NAME?</v>
      </c>
      <c r="AB688" s="273" t="e">
        <f ca="1">+MAX(PAA[[#This Row],[Comprometido Contrato]],)</f>
        <v>#NAME?</v>
      </c>
      <c r="AC688" s="273" t="str">
        <f t="shared" ca="1" si="98"/>
        <v/>
      </c>
      <c r="AD688" s="273" t="e">
        <f ca="1">+MAX(PAA[[#This Row],[Pago por Contrato]],)</f>
        <v>#NAME?</v>
      </c>
      <c r="AE688" s="273" t="str">
        <f t="shared" ca="1" si="102"/>
        <v/>
      </c>
      <c r="AF688" s="265" t="e">
        <f t="shared" ca="1" si="103"/>
        <v>#NAME?</v>
      </c>
      <c r="AG688" s="265">
        <f t="shared" si="104"/>
        <v>52010805</v>
      </c>
      <c r="AH688" s="265" t="e" cm="1">
        <f t="array" aca="1" ref="AH688" ca="1">_xlfn.XLOOKUP(PAA[[#This Row],[RCP-RUBRO]],COMPROMISOS_2025[[#All],[concatenado]],COMPROMISOS_2025[[#All],[Total pagado]],"",0)</f>
        <v>#NAME?</v>
      </c>
      <c r="AI688" s="265" t="e" cm="1">
        <f t="array" aca="1" ref="AI688" ca="1">_xlfn.XLOOKUP(PAA[[#This Row],[RCP-RUBRO]],COMPROMISOS_2025[[#All],[concatenado]],COMPROMISOS_2025[[#All],[Total Comprometido]],"",0)</f>
        <v>#NAME?</v>
      </c>
    </row>
    <row r="689" spans="1:35" s="50" customFormat="1" ht="42" hidden="1" customHeight="1" x14ac:dyDescent="0.25">
      <c r="A689" s="339">
        <v>569</v>
      </c>
      <c r="B689" s="325">
        <v>80111600</v>
      </c>
      <c r="C689" s="326" t="str">
        <f>VLOOKUP(PAA[[#This Row],[PROYECTO (formulado)2]],PROYECTOS!$G$1:$L$32,6,0)</f>
        <v>SUBGERENCIA DE FOMENTO Y DESARROLLO</v>
      </c>
      <c r="D689" s="326" t="str">
        <f>+IF(PAA[[#This Row],[UNIDAD DE CONTRATACION (formulado)]]="Subgerencia Administrativa y Financiera","FUNCIONAMIENTO","INVERSIÓN")</f>
        <v>INVERSIÓN</v>
      </c>
      <c r="E689" s="327" t="str">
        <f>VLOOKUP(Q689,PROYECTOS!$G$1:$K$32,5,0)</f>
        <v>Desarrollo y promoción del deporte formativo, la recreación y la actividad física en el departamento Antioquia</v>
      </c>
      <c r="F689" s="327">
        <f>VLOOKUP(E689,PROYECTOS!$K$1:$M$32,3,0)</f>
        <v>2024003050101</v>
      </c>
      <c r="G689" s="328" t="s">
        <v>289</v>
      </c>
      <c r="H689" s="328" t="str">
        <f>VLOOKUP(Q689,PROYECTOS!$V$1:$W$32,2,0)</f>
        <v>050075</v>
      </c>
      <c r="I689" s="329">
        <v>38646000</v>
      </c>
      <c r="J689" s="330" t="s">
        <v>731</v>
      </c>
      <c r="K689" s="326" t="str">
        <f t="shared" ca="1" si="99"/>
        <v>CONTRATADO</v>
      </c>
      <c r="L689" s="330" t="s">
        <v>112</v>
      </c>
      <c r="M689" s="330" t="s">
        <v>291</v>
      </c>
      <c r="N689" s="331" t="s">
        <v>284</v>
      </c>
      <c r="O689" s="330">
        <f>VLOOKUP(N689,RUBROS[#All],3,0)</f>
        <v>73</v>
      </c>
      <c r="P689" s="332" t="str">
        <f>VLOOKUP(N689,RUBROS[#All],2,0)</f>
        <v>Desarrollo y promoción del deporte formativo, la recreación y la actividad física en el departamento Antioquia. - Servicios para la comunidad, sociales y personales</v>
      </c>
      <c r="Q689" s="326" t="str">
        <f t="shared" si="100"/>
        <v>01</v>
      </c>
      <c r="R689" s="326" t="str">
        <f t="shared" si="101"/>
        <v>0-205400</v>
      </c>
      <c r="S689" s="333">
        <v>9.5</v>
      </c>
      <c r="T689" s="342" t="s">
        <v>46</v>
      </c>
      <c r="U689" s="335" t="e">
        <f ca="1">_xlfn.XLOOKUP(PAA[[#This Row],[ITEM]],Contrato!A:A,Contrato!Q:Q,"",0)</f>
        <v>#NAME?</v>
      </c>
      <c r="V689" s="326" t="s">
        <v>47</v>
      </c>
      <c r="W689" s="326" t="s">
        <v>127</v>
      </c>
      <c r="X689" s="326" t="s">
        <v>127</v>
      </c>
      <c r="Y689" s="336" t="e">
        <f ca="1">_xlfn.XLOOKUP(PAA[[#This Row],[ITEM]],Contrato!A:A,Contrato!B:B,"",0)</f>
        <v>#NAME?</v>
      </c>
      <c r="Z689" s="326" t="e">
        <f ca="1">_xlfn.XLOOKUP(PAA[[#This Row],[ITEM]],Contrato!A:A,Contrato!G:G,"",0)</f>
        <v>#NAME?</v>
      </c>
      <c r="AA689" s="326" t="e">
        <f ca="1">_xlfn.XLOOKUP(PAA[[#This Row],[ITEM]],Contrato!A:A,Contrato!T:T,"",0)</f>
        <v>#NAME?</v>
      </c>
      <c r="AB689" s="336" t="e">
        <f ca="1">+MAX(PAA[[#This Row],[Comprometido Contrato]],)</f>
        <v>#NAME?</v>
      </c>
      <c r="AC689" s="336" t="str">
        <f t="shared" ca="1" si="98"/>
        <v/>
      </c>
      <c r="AD689" s="336" t="e">
        <f ca="1">+MAX(PAA[[#This Row],[Pago por Contrato]],)</f>
        <v>#NAME?</v>
      </c>
      <c r="AE689" s="336" t="str">
        <f t="shared" ca="1" si="102"/>
        <v/>
      </c>
      <c r="AF689" s="326" t="e">
        <f t="shared" ca="1" si="103"/>
        <v>#NAME?</v>
      </c>
      <c r="AG689" s="326">
        <f t="shared" si="104"/>
        <v>52010702</v>
      </c>
      <c r="AH689" s="326" t="e" cm="1">
        <f t="array" aca="1" ref="AH689" ca="1">_xlfn.XLOOKUP(PAA[[#This Row],[RCP-RUBRO]],COMPROMISOS_2025[[#All],[concatenado]],COMPROMISOS_2025[[#All],[Total pagado]],"",0)</f>
        <v>#NAME?</v>
      </c>
      <c r="AI689" s="326" t="e" cm="1">
        <f t="array" aca="1" ref="AI689" ca="1">_xlfn.XLOOKUP(PAA[[#This Row],[RCP-RUBRO]],COMPROMISOS_2025[[#All],[concatenado]],COMPROMISOS_2025[[#All],[Total Comprometido]],"",0)</f>
        <v>#NAME?</v>
      </c>
    </row>
    <row r="690" spans="1:35" s="50" customFormat="1" ht="42" hidden="1" customHeight="1" x14ac:dyDescent="0.25">
      <c r="A690" s="339">
        <v>570</v>
      </c>
      <c r="B690" s="401">
        <v>80141607</v>
      </c>
      <c r="C690" s="339" t="str">
        <f>VLOOKUP(PAA[[#This Row],[PROYECTO (formulado)2]],PROYECTOS!$G$1:$L$32,6,0)</f>
        <v>SUBGERENCIA DE FOMENTO Y DESARROLLO</v>
      </c>
      <c r="D690" s="339" t="str">
        <f>+IF(PAA[[#This Row],[UNIDAD DE CONTRATACION (formulado)]]="Subgerencia Administrativa y Financiera","FUNCIONAMIENTO","INVERSIÓN")</f>
        <v>INVERSIÓN</v>
      </c>
      <c r="E690" s="402" t="str">
        <f>VLOOKUP(Q690,PROYECTOS!$G$1:$K$32,5,0)</f>
        <v>Fortalecimiento de los juegos deportivos institucionales en los municipios del departamento de Antioquia</v>
      </c>
      <c r="F690" s="402">
        <f>VLOOKUP(E690,PROYECTOS!$K$1:$M$32,3,0)</f>
        <v>2024003050073</v>
      </c>
      <c r="G690" s="340" t="s">
        <v>782</v>
      </c>
      <c r="H690" s="340" t="str">
        <f>VLOOKUP(Q690,PROYECTOS!$V$1:$W$32,2,0)</f>
        <v>050081</v>
      </c>
      <c r="I690" s="341">
        <v>500000000</v>
      </c>
      <c r="J690" s="403" t="s">
        <v>783</v>
      </c>
      <c r="K690" s="339" t="str">
        <f t="shared" ca="1" si="99"/>
        <v>CONTRATADO</v>
      </c>
      <c r="L690" s="330" t="s">
        <v>112</v>
      </c>
      <c r="M690" s="330" t="s">
        <v>125</v>
      </c>
      <c r="N690" s="404" t="s">
        <v>315</v>
      </c>
      <c r="O690" s="403">
        <f>VLOOKUP(N690,RUBROS[#All],3,0)</f>
        <v>82</v>
      </c>
      <c r="P690" s="405" t="str">
        <f>VLOOKUP(N690,RUBROS[#All],2,0)</f>
        <v>Fortalecimiento de los juegos deportivos institucionales en los municipios del departamento de Antioquia - Servicios para la comunidad, sociales y personales</v>
      </c>
      <c r="Q690" s="339" t="str">
        <f t="shared" si="100"/>
        <v>73</v>
      </c>
      <c r="R690" s="326" t="str">
        <f t="shared" si="101"/>
        <v>0-205128</v>
      </c>
      <c r="S690" s="406">
        <v>4</v>
      </c>
      <c r="T690" s="342" t="s">
        <v>46</v>
      </c>
      <c r="U690" s="343" t="e">
        <f ca="1">_xlfn.XLOOKUP(PAA[[#This Row],[ITEM]],Contrato!A:A,Contrato!Q:Q,"",0)</f>
        <v>#NAME?</v>
      </c>
      <c r="V690" s="326" t="s">
        <v>47</v>
      </c>
      <c r="W690" s="326" t="s">
        <v>127</v>
      </c>
      <c r="X690" s="326" t="s">
        <v>127</v>
      </c>
      <c r="Y690" s="344" t="e">
        <f ca="1">_xlfn.XLOOKUP(PAA[[#This Row],[ITEM]],Contrato!A:A,Contrato!B:B,"",0)</f>
        <v>#NAME?</v>
      </c>
      <c r="Z690" s="339" t="e">
        <f ca="1">_xlfn.XLOOKUP(PAA[[#This Row],[ITEM]],Contrato!A:A,Contrato!G:G,"",0)</f>
        <v>#NAME?</v>
      </c>
      <c r="AA690" s="339" t="e">
        <f ca="1">_xlfn.XLOOKUP(PAA[[#This Row],[ITEM]],Contrato!A:A,Contrato!T:T,"",0)</f>
        <v>#NAME?</v>
      </c>
      <c r="AB690" s="344" t="e">
        <f ca="1">+MAX(PAA[[#This Row],[Comprometido Contrato]],)</f>
        <v>#NAME?</v>
      </c>
      <c r="AC690" s="344" t="str">
        <f t="shared" ca="1" si="98"/>
        <v/>
      </c>
      <c r="AD690" s="344" t="e">
        <f ca="1">+MAX(PAA[[#This Row],[Pago por Contrato]],)</f>
        <v>#NAME?</v>
      </c>
      <c r="AE690" s="344" t="str">
        <f t="shared" ca="1" si="102"/>
        <v/>
      </c>
      <c r="AF690" s="339" t="e">
        <f t="shared" ca="1" si="103"/>
        <v>#NAME?</v>
      </c>
      <c r="AG690" s="339">
        <f t="shared" si="104"/>
        <v>52010703</v>
      </c>
      <c r="AH690" s="339" t="e" cm="1">
        <f t="array" aca="1" ref="AH690" ca="1">_xlfn.XLOOKUP(PAA[[#This Row],[RCP-RUBRO]],COMPROMISOS_2025[[#All],[concatenado]],COMPROMISOS_2025[[#All],[Total pagado]],"",0)</f>
        <v>#NAME?</v>
      </c>
      <c r="AI690" s="339" t="e" cm="1">
        <f t="array" aca="1" ref="AI690" ca="1">_xlfn.XLOOKUP(PAA[[#This Row],[RCP-RUBRO]],COMPROMISOS_2025[[#All],[concatenado]],COMPROMISOS_2025[[#All],[Total Comprometido]],"",0)</f>
        <v>#NAME?</v>
      </c>
    </row>
    <row r="691" spans="1:35" s="50" customFormat="1" ht="42" hidden="1" customHeight="1" x14ac:dyDescent="0.25">
      <c r="A691" s="339">
        <v>571</v>
      </c>
      <c r="B691" s="325">
        <v>80111600</v>
      </c>
      <c r="C691" s="326" t="str">
        <f>VLOOKUP(PAA[[#This Row],[PROYECTO (formulado)2]],PROYECTOS!$G$1:$L$32,6,0)</f>
        <v>SUBGERENCIA ADMINISTRATIVA Y FINANCIERA</v>
      </c>
      <c r="D691" s="326" t="str">
        <f>+IF(PAA[[#This Row],[UNIDAD DE CONTRATACION (formulado)]]="Subgerencia Administrativa y Financiera","FUNCIONAMIENTO","INVERSIÓN")</f>
        <v>FUNCIONAMIENTO</v>
      </c>
      <c r="E691" s="327" t="str">
        <f>VLOOKUP(Q691,PROYECTOS!$G$1:$K$32,5,0)</f>
        <v>FUNCIONAMIENTO</v>
      </c>
      <c r="F691" s="327">
        <f>VLOOKUP(E691,PROYECTOS!$K$1:$M$32,3,0)</f>
        <v>999999</v>
      </c>
      <c r="G691" s="328" t="s">
        <v>42</v>
      </c>
      <c r="H691" s="328">
        <f>VLOOKUP(Q691,PROYECTOS!$V$1:$W$32,2,0)</f>
        <v>999999</v>
      </c>
      <c r="I691" s="329">
        <v>17095000</v>
      </c>
      <c r="J691" s="330" t="s">
        <v>784</v>
      </c>
      <c r="K691" s="326" t="str">
        <f t="shared" ca="1" si="99"/>
        <v>CONTRATADO</v>
      </c>
      <c r="L691" s="330" t="s">
        <v>112</v>
      </c>
      <c r="M691" s="330" t="s">
        <v>113</v>
      </c>
      <c r="N691" s="331" t="s">
        <v>114</v>
      </c>
      <c r="O691" s="330">
        <f>VLOOKUP(N691,RUBROS[#All],3,0)</f>
        <v>30</v>
      </c>
      <c r="P691" s="332" t="str">
        <f>VLOOKUP(N691,RUBROS[#All],2,0)</f>
        <v xml:space="preserve">Servicios prestados a las empresas y servicios de producción </v>
      </c>
      <c r="Q691" s="326" t="str">
        <f t="shared" si="100"/>
        <v>00</v>
      </c>
      <c r="R691" s="326" t="str">
        <f t="shared" si="101"/>
        <v>0-205616</v>
      </c>
      <c r="S691" s="333">
        <v>5</v>
      </c>
      <c r="T691" s="342" t="s">
        <v>46</v>
      </c>
      <c r="U691" s="335" t="e">
        <f ca="1">_xlfn.XLOOKUP(PAA[[#This Row],[ITEM]],Contrato!A:A,Contrato!Q:Q,"",0)</f>
        <v>#NAME?</v>
      </c>
      <c r="V691" s="326" t="s">
        <v>47</v>
      </c>
      <c r="W691" s="326" t="s">
        <v>127</v>
      </c>
      <c r="X691" s="326" t="s">
        <v>127</v>
      </c>
      <c r="Y691" s="336" t="e">
        <f ca="1">_xlfn.XLOOKUP(PAA[[#This Row],[ITEM]],Contrato!A:A,Contrato!B:B,"",0)</f>
        <v>#NAME?</v>
      </c>
      <c r="Z691" s="326" t="e">
        <f ca="1">_xlfn.XLOOKUP(PAA[[#This Row],[ITEM]],Contrato!A:A,Contrato!G:G,"",0)</f>
        <v>#NAME?</v>
      </c>
      <c r="AA691" s="326" t="e">
        <f ca="1">_xlfn.XLOOKUP(PAA[[#This Row],[ITEM]],Contrato!A:A,Contrato!T:T,"",0)</f>
        <v>#NAME?</v>
      </c>
      <c r="AB691" s="336" t="e">
        <f ca="1">+MAX(PAA[[#This Row],[Comprometido Contrato]],)</f>
        <v>#NAME?</v>
      </c>
      <c r="AC691" s="336" t="str">
        <f t="shared" ca="1" si="98"/>
        <v/>
      </c>
      <c r="AD691" s="336" t="e">
        <f ca="1">+MAX(PAA[[#This Row],[Pago por Contrato]],)</f>
        <v>#NAME?</v>
      </c>
      <c r="AE691" s="336" t="str">
        <f t="shared" ca="1" si="102"/>
        <v/>
      </c>
      <c r="AF691" s="326" t="e">
        <f t="shared" ca="1" si="103"/>
        <v>#NAME?</v>
      </c>
      <c r="AG691" s="326" t="str">
        <f t="shared" si="104"/>
        <v/>
      </c>
      <c r="AH691" s="326" t="e" cm="1">
        <f t="array" aca="1" ref="AH691" ca="1">_xlfn.XLOOKUP(PAA[[#This Row],[RCP-RUBRO]],COMPROMISOS_2025[[#All],[concatenado]],COMPROMISOS_2025[[#All],[Total pagado]],"",0)</f>
        <v>#NAME?</v>
      </c>
      <c r="AI691" s="326" t="e" cm="1">
        <f t="array" aca="1" ref="AI691" ca="1">_xlfn.XLOOKUP(PAA[[#This Row],[RCP-RUBRO]],COMPROMISOS_2025[[#All],[concatenado]],COMPROMISOS_2025[[#All],[Total Comprometido]],"",0)</f>
        <v>#NAME?</v>
      </c>
    </row>
    <row r="692" spans="1:35" s="50" customFormat="1" ht="42" hidden="1" customHeight="1" x14ac:dyDescent="0.25">
      <c r="A692" s="339">
        <v>572</v>
      </c>
      <c r="B692" s="325">
        <v>80111600</v>
      </c>
      <c r="C692" s="326" t="str">
        <f>VLOOKUP(PAA[[#This Row],[PROYECTO (formulado)2]],PROYECTOS!$G$1:$L$32,6,0)</f>
        <v>SUBGERENCIA ADMINISTRATIVA Y FINANCIERA</v>
      </c>
      <c r="D692" s="326" t="str">
        <f>+IF(PAA[[#This Row],[UNIDAD DE CONTRATACION (formulado)]]="Subgerencia Administrativa y Financiera","FUNCIONAMIENTO","INVERSIÓN")</f>
        <v>FUNCIONAMIENTO</v>
      </c>
      <c r="E692" s="327" t="str">
        <f>VLOOKUP(Q692,PROYECTOS!$G$1:$K$32,5,0)</f>
        <v>FUNCIONAMIENTO</v>
      </c>
      <c r="F692" s="327">
        <f>VLOOKUP(E692,PROYECTOS!$K$1:$M$32,3,0)</f>
        <v>999999</v>
      </c>
      <c r="G692" s="328" t="s">
        <v>42</v>
      </c>
      <c r="H692" s="328">
        <f>VLOOKUP(Q692,PROYECTOS!$V$1:$W$32,2,0)</f>
        <v>999999</v>
      </c>
      <c r="I692" s="329">
        <v>37609000</v>
      </c>
      <c r="J692" s="330" t="s">
        <v>785</v>
      </c>
      <c r="K692" s="326" t="str">
        <f t="shared" ca="1" si="99"/>
        <v>CONTRATADO</v>
      </c>
      <c r="L692" s="330" t="s">
        <v>112</v>
      </c>
      <c r="M692" s="330" t="s">
        <v>113</v>
      </c>
      <c r="N692" s="331" t="s">
        <v>114</v>
      </c>
      <c r="O692" s="330">
        <f>VLOOKUP(N692,RUBROS[#All],3,0)</f>
        <v>30</v>
      </c>
      <c r="P692" s="332" t="str">
        <f>VLOOKUP(N692,RUBROS[#All],2,0)</f>
        <v xml:space="preserve">Servicios prestados a las empresas y servicios de producción </v>
      </c>
      <c r="Q692" s="326" t="str">
        <f t="shared" si="100"/>
        <v>00</v>
      </c>
      <c r="R692" s="326" t="str">
        <f t="shared" si="101"/>
        <v>0-205616</v>
      </c>
      <c r="S692" s="333">
        <v>5</v>
      </c>
      <c r="T692" s="342" t="s">
        <v>46</v>
      </c>
      <c r="U692" s="335" t="e">
        <f ca="1">_xlfn.XLOOKUP(PAA[[#This Row],[ITEM]],Contrato!A:A,Contrato!Q:Q,"",0)</f>
        <v>#NAME?</v>
      </c>
      <c r="V692" s="326" t="s">
        <v>47</v>
      </c>
      <c r="W692" s="326" t="s">
        <v>127</v>
      </c>
      <c r="X692" s="326" t="s">
        <v>127</v>
      </c>
      <c r="Y692" s="336" t="e">
        <f ca="1">_xlfn.XLOOKUP(PAA[[#This Row],[ITEM]],Contrato!A:A,Contrato!B:B,"",0)</f>
        <v>#NAME?</v>
      </c>
      <c r="Z692" s="326" t="e">
        <f ca="1">_xlfn.XLOOKUP(PAA[[#This Row],[ITEM]],Contrato!A:A,Contrato!G:G,"",0)</f>
        <v>#NAME?</v>
      </c>
      <c r="AA692" s="326" t="e">
        <f ca="1">_xlfn.XLOOKUP(PAA[[#This Row],[ITEM]],Contrato!A:A,Contrato!T:T,"",0)</f>
        <v>#NAME?</v>
      </c>
      <c r="AB692" s="336" t="e">
        <f ca="1">+MAX(PAA[[#This Row],[Comprometido Contrato]],)</f>
        <v>#NAME?</v>
      </c>
      <c r="AC692" s="336" t="str">
        <f t="shared" ca="1" si="98"/>
        <v/>
      </c>
      <c r="AD692" s="336" t="e">
        <f ca="1">+MAX(PAA[[#This Row],[Pago por Contrato]],)</f>
        <v>#NAME?</v>
      </c>
      <c r="AE692" s="336" t="str">
        <f t="shared" ca="1" si="102"/>
        <v/>
      </c>
      <c r="AF692" s="326" t="e">
        <f t="shared" ca="1" si="103"/>
        <v>#NAME?</v>
      </c>
      <c r="AG692" s="326" t="str">
        <f t="shared" si="104"/>
        <v/>
      </c>
      <c r="AH692" s="326" t="e" cm="1">
        <f t="array" aca="1" ref="AH692" ca="1">_xlfn.XLOOKUP(PAA[[#This Row],[RCP-RUBRO]],COMPROMISOS_2025[[#All],[concatenado]],COMPROMISOS_2025[[#All],[Total pagado]],"",0)</f>
        <v>#NAME?</v>
      </c>
      <c r="AI692" s="326" t="e" cm="1">
        <f t="array" aca="1" ref="AI692" ca="1">_xlfn.XLOOKUP(PAA[[#This Row],[RCP-RUBRO]],COMPROMISOS_2025[[#All],[concatenado]],COMPROMISOS_2025[[#All],[Total Comprometido]],"",0)</f>
        <v>#NAME?</v>
      </c>
    </row>
    <row r="693" spans="1:35" s="50" customFormat="1" ht="42" customHeight="1" x14ac:dyDescent="0.25">
      <c r="A693" s="339">
        <v>573</v>
      </c>
      <c r="B693" s="389" t="s">
        <v>41</v>
      </c>
      <c r="C693" s="326" t="str">
        <f>VLOOKUP(PAA[[#This Row],[PROYECTO (formulado)2]],PROYECTOS!$G$1:$L$32,6,0)</f>
        <v>SUBGERENCIA DE ALTOS LOGROS Y DEPORTE ASOCIADO</v>
      </c>
      <c r="D693" s="326" t="str">
        <f>+IF(PAA[[#This Row],[UNIDAD DE CONTRATACION (formulado)]]="Subgerencia Administrativa y Financiera","FUNCIONAMIENTO","INVERSIÓN")</f>
        <v>INVERSIÓN</v>
      </c>
      <c r="E693" s="328" t="str">
        <f>VLOOKUP(Q693,PROYECTOS!$G$1:$K$32,5,0)</f>
        <v>Apoyo y subvención para satisfacer necesidades propias del proceso de preparación y competencia de los Atletas y Para-atletas de alto rendimiento del departamento de Antioquia</v>
      </c>
      <c r="F693" s="328">
        <f>VLOOKUP(E693,PROYECTOS!$K$1:$M$32,3,0)</f>
        <v>2024003050085</v>
      </c>
      <c r="G693" s="328" t="s">
        <v>786</v>
      </c>
      <c r="H693" s="390" t="str">
        <f>VLOOKUP(Q693,PROYECTOS!$V$1:$W$32,2,0)</f>
        <v>050077</v>
      </c>
      <c r="I693" s="329">
        <v>2056386278</v>
      </c>
      <c r="J693" s="391" t="s">
        <v>787</v>
      </c>
      <c r="K693" s="326" t="str">
        <f t="shared" ca="1" si="99"/>
        <v>CONTRATADO</v>
      </c>
      <c r="L693" s="326" t="s">
        <v>44</v>
      </c>
      <c r="M693" s="326" t="s">
        <v>44</v>
      </c>
      <c r="N693" s="326" t="s">
        <v>662</v>
      </c>
      <c r="O693" s="326">
        <f>VLOOKUP(N693,RUBROS[#All],3,0)</f>
        <v>65</v>
      </c>
      <c r="P693" s="326" t="str">
        <f>VLOOKUP(N693,RUBROS[#All],2,0)</f>
        <v>Apoyo y subvención para satisfacer necesidades propias del proceso de preparación y competencia de los Atletas y Para-atletas de alto rendimiento del departamento de Antioquia-Estímulos y beneficios a los deportistas</v>
      </c>
      <c r="Q693" s="326" t="str">
        <f t="shared" si="100"/>
        <v>85</v>
      </c>
      <c r="R693" s="326" t="str">
        <f t="shared" si="101"/>
        <v>0-205128</v>
      </c>
      <c r="S693" s="333" t="s">
        <v>41</v>
      </c>
      <c r="T693" s="380" t="s">
        <v>41</v>
      </c>
      <c r="U693" s="335" t="e">
        <f ca="1">_xlfn.XLOOKUP(PAA[[#This Row],[ITEM]],Contrato!A:A,Contrato!Q:Q,"",0)</f>
        <v>#NAME?</v>
      </c>
      <c r="V693" s="326" t="s">
        <v>47</v>
      </c>
      <c r="W693" s="326" t="s">
        <v>127</v>
      </c>
      <c r="X693" s="326" t="s">
        <v>127</v>
      </c>
      <c r="Y693" s="336" t="e">
        <f ca="1">_xlfn.XLOOKUP(PAA[[#This Row],[ITEM]],Contrato!A:A,Contrato!B:B,"",0)</f>
        <v>#NAME?</v>
      </c>
      <c r="Z693" s="326" t="e">
        <f ca="1">_xlfn.XLOOKUP(PAA[[#This Row],[ITEM]],Contrato!A:A,Contrato!G:G,"",0)</f>
        <v>#NAME?</v>
      </c>
      <c r="AA693" s="326" t="e">
        <f ca="1">_xlfn.XLOOKUP(PAA[[#This Row],[ITEM]],Contrato!A:A,Contrato!T:T,"",0)</f>
        <v>#NAME?</v>
      </c>
      <c r="AB693" s="336" t="e">
        <f ca="1">+MAX(PAA[[#This Row],[Comprometido Contrato]],)</f>
        <v>#NAME?</v>
      </c>
      <c r="AC693" s="336" t="str">
        <f t="shared" ca="1" si="98"/>
        <v/>
      </c>
      <c r="AD693" s="336" t="e">
        <f ca="1">+MAX(PAA[[#This Row],[Pago por Contrato]],)</f>
        <v>#NAME?</v>
      </c>
      <c r="AE693" s="336" t="str">
        <f t="shared" ca="1" si="102"/>
        <v/>
      </c>
      <c r="AF693" s="326" t="e">
        <f t="shared" ca="1" si="103"/>
        <v>#NAME?</v>
      </c>
      <c r="AG693" s="326">
        <f t="shared" si="104"/>
        <v>52010803</v>
      </c>
      <c r="AH693" s="326" t="e" cm="1">
        <f t="array" aca="1" ref="AH693" ca="1">_xlfn.XLOOKUP(PAA[[#This Row],[RCP-RUBRO]],COMPROMISOS_2025[[#All],[concatenado]],COMPROMISOS_2025[[#All],[Total pagado]],"",0)</f>
        <v>#NAME?</v>
      </c>
      <c r="AI693" s="326" t="e" cm="1">
        <f t="array" aca="1" ref="AI693" ca="1">_xlfn.XLOOKUP(PAA[[#This Row],[RCP-RUBRO]],COMPROMISOS_2025[[#All],[concatenado]],COMPROMISOS_2025[[#All],[Total Comprometido]],"",0)</f>
        <v>#NAME?</v>
      </c>
    </row>
    <row r="694" spans="1:35" s="50" customFormat="1" ht="42" customHeight="1" x14ac:dyDescent="0.25">
      <c r="A694" s="339">
        <v>573</v>
      </c>
      <c r="B694" s="389" t="s">
        <v>41</v>
      </c>
      <c r="C694" s="326" t="str">
        <f>VLOOKUP(PAA[[#This Row],[PROYECTO (formulado)2]],PROYECTOS!$G$1:$L$32,6,0)</f>
        <v>SUBGERENCIA DE ALTOS LOGROS Y DEPORTE ASOCIADO</v>
      </c>
      <c r="D694" s="326" t="str">
        <f>+IF(PAA[[#This Row],[UNIDAD DE CONTRATACION (formulado)]]="Subgerencia Administrativa y Financiera","FUNCIONAMIENTO","INVERSIÓN")</f>
        <v>INVERSIÓN</v>
      </c>
      <c r="E694" s="328" t="str">
        <f>VLOOKUP(Q694,PROYECTOS!$G$1:$K$32,5,0)</f>
        <v>Apoyo y subvención para satisfacer necesidades propias del proceso de preparación y competencia de los Atletas y Para-atletas de alto rendimiento del departamento de Antioquia</v>
      </c>
      <c r="F694" s="328">
        <f>VLOOKUP(E694,PROYECTOS!$K$1:$M$32,3,0)</f>
        <v>2024003050085</v>
      </c>
      <c r="G694" s="328" t="s">
        <v>788</v>
      </c>
      <c r="H694" s="390" t="str">
        <f>VLOOKUP(Q694,PROYECTOS!$V$1:$W$32,2,0)</f>
        <v>050077</v>
      </c>
      <c r="I694" s="329">
        <v>543613722</v>
      </c>
      <c r="J694" s="391" t="s">
        <v>787</v>
      </c>
      <c r="K694" s="326" t="str">
        <f t="shared" ca="1" si="99"/>
        <v>CONTRATADO</v>
      </c>
      <c r="L694" s="326" t="s">
        <v>44</v>
      </c>
      <c r="M694" s="326" t="s">
        <v>44</v>
      </c>
      <c r="N694" s="326" t="s">
        <v>789</v>
      </c>
      <c r="O694" s="326">
        <f>VLOOKUP(N694,RUBROS[#All],3,0)</f>
        <v>96</v>
      </c>
      <c r="P694" s="326" t="str">
        <f>VLOOKUP(N694,RUBROS[#All],2,0)</f>
        <v xml:space="preserve">Apoyo Y   Subvención Para Satisfacer Necesidades Propias Del Proceso De Preparación Y   Competencia De Los Atletas Y   Para-Atletas De Alto Rendimiento Del Departamento De Antioquia-Estímulos Y   Beneficios A Los Deportistas </v>
      </c>
      <c r="Q694" s="326" t="str">
        <f t="shared" si="100"/>
        <v>85</v>
      </c>
      <c r="R694" s="326" t="str">
        <f t="shared" si="101"/>
        <v>0-101024</v>
      </c>
      <c r="S694" s="333" t="s">
        <v>41</v>
      </c>
      <c r="T694" s="380" t="s">
        <v>41</v>
      </c>
      <c r="U694" s="335" t="e">
        <f ca="1">_xlfn.XLOOKUP(PAA[[#This Row],[ITEM]],Contrato!A:A,Contrato!Q:Q,"",0)</f>
        <v>#NAME?</v>
      </c>
      <c r="V694" s="326" t="s">
        <v>47</v>
      </c>
      <c r="W694" s="326" t="s">
        <v>127</v>
      </c>
      <c r="X694" s="326" t="s">
        <v>127</v>
      </c>
      <c r="Y694" s="336" t="e">
        <f ca="1">_xlfn.XLOOKUP(PAA[[#This Row],[ITEM]],Contrato!A:A,Contrato!B:B,"",0)</f>
        <v>#NAME?</v>
      </c>
      <c r="Z694" s="326" t="e">
        <f ca="1">_xlfn.XLOOKUP(PAA[[#This Row],[ITEM]],Contrato!A:A,Contrato!G:G,"",0)</f>
        <v>#NAME?</v>
      </c>
      <c r="AA694" s="326" t="e">
        <f ca="1">_xlfn.XLOOKUP(PAA[[#This Row],[ITEM]],Contrato!A:A,Contrato!T:T,"",0)</f>
        <v>#NAME?</v>
      </c>
      <c r="AB694" s="336" t="e">
        <f ca="1">+MAX(PAA[[#This Row],[Comprometido Contrato]],)</f>
        <v>#NAME?</v>
      </c>
      <c r="AC694" s="336" t="str">
        <f t="shared" ca="1" si="98"/>
        <v/>
      </c>
      <c r="AD694" s="336" t="e">
        <f ca="1">+MAX(PAA[[#This Row],[Pago por Contrato]],)</f>
        <v>#NAME?</v>
      </c>
      <c r="AE694" s="336" t="str">
        <f t="shared" ca="1" si="102"/>
        <v/>
      </c>
      <c r="AF694" s="326" t="e">
        <f t="shared" ca="1" si="103"/>
        <v>#NAME?</v>
      </c>
      <c r="AG694" s="326">
        <f t="shared" si="104"/>
        <v>52010803</v>
      </c>
      <c r="AH694" s="326" t="e" cm="1">
        <f t="array" aca="1" ref="AH694" ca="1">_xlfn.XLOOKUP(PAA[[#This Row],[RCP-RUBRO]],COMPROMISOS_2025[[#All],[concatenado]],COMPROMISOS_2025[[#All],[Total pagado]],"",0)</f>
        <v>#NAME?</v>
      </c>
      <c r="AI694" s="326" t="e" cm="1">
        <f t="array" aca="1" ref="AI694" ca="1">_xlfn.XLOOKUP(PAA[[#This Row],[RCP-RUBRO]],COMPROMISOS_2025[[#All],[concatenado]],COMPROMISOS_2025[[#All],[Total Comprometido]],"",0)</f>
        <v>#NAME?</v>
      </c>
    </row>
    <row r="695" spans="1:35" s="50" customFormat="1" ht="42" hidden="1" customHeight="1" x14ac:dyDescent="0.25">
      <c r="A695" s="339">
        <v>574</v>
      </c>
      <c r="B695" s="401" t="s">
        <v>790</v>
      </c>
      <c r="C695" s="339" t="str">
        <f>VLOOKUP(PAA[[#This Row],[PROYECTO (formulado)2]],PROYECTOS!$G$1:$L$32,6,0)</f>
        <v>SUBGERENCIA ADMINISTRATIVA Y FINANCIERA</v>
      </c>
      <c r="D695" s="339" t="str">
        <f>+IF(PAA[[#This Row],[UNIDAD DE CONTRATACION (formulado)]]="Subgerencia Administrativa y Financiera","FUNCIONAMIENTO","INVERSIÓN")</f>
        <v>FUNCIONAMIENTO</v>
      </c>
      <c r="E695" s="402" t="str">
        <f>VLOOKUP(Q695,PROYECTOS!$G$1:$K$32,5,0)</f>
        <v>FUNCIONAMIENTO</v>
      </c>
      <c r="F695" s="402">
        <f>VLOOKUP(E695,PROYECTOS!$K$1:$M$32,3,0)</f>
        <v>999999</v>
      </c>
      <c r="G695" s="340" t="s">
        <v>42</v>
      </c>
      <c r="H695" s="340">
        <f>VLOOKUP(Q695,PROYECTOS!$V$1:$W$32,2,0)</f>
        <v>999999</v>
      </c>
      <c r="I695" s="341">
        <v>15000000</v>
      </c>
      <c r="J695" s="403" t="s">
        <v>791</v>
      </c>
      <c r="K695" s="339" t="str">
        <f t="shared" ca="1" si="99"/>
        <v>CONTRATADO</v>
      </c>
      <c r="L695" s="330" t="s">
        <v>153</v>
      </c>
      <c r="M695" s="330" t="s">
        <v>142</v>
      </c>
      <c r="N695" s="404" t="s">
        <v>792</v>
      </c>
      <c r="O695" s="403">
        <f>VLOOKUP(N695,RUBROS[#All],3,0)</f>
        <v>97</v>
      </c>
      <c r="P695" s="405" t="str">
        <f>VLOOKUP(N695,RUBROS[#All],2,0)</f>
        <v>SERVICIO DE EMERGENCIA MÉDICA- SERVICIOS PARA LA COMUNIDAD, SOCIALES Y PERSONALES</v>
      </c>
      <c r="Q695" s="339" t="str">
        <f t="shared" si="100"/>
        <v>00</v>
      </c>
      <c r="R695" s="326" t="str">
        <f t="shared" si="101"/>
        <v>0-205616</v>
      </c>
      <c r="S695" s="406">
        <v>1</v>
      </c>
      <c r="T695" s="342" t="s">
        <v>793</v>
      </c>
      <c r="U695" s="343" t="e">
        <f ca="1">_xlfn.XLOOKUP(PAA[[#This Row],[ITEM]],Contrato!A:A,Contrato!Q:Q,"",0)</f>
        <v>#NAME?</v>
      </c>
      <c r="V695" s="326" t="s">
        <v>47</v>
      </c>
      <c r="W695" s="326" t="s">
        <v>127</v>
      </c>
      <c r="X695" s="326" t="s">
        <v>127</v>
      </c>
      <c r="Y695" s="344" t="e">
        <f ca="1">_xlfn.XLOOKUP(PAA[[#This Row],[ITEM]],Contrato!A:A,Contrato!B:B,"",0)</f>
        <v>#NAME?</v>
      </c>
      <c r="Z695" s="339" t="e">
        <f ca="1">_xlfn.XLOOKUP(PAA[[#This Row],[ITEM]],Contrato!A:A,Contrato!G:G,"",0)</f>
        <v>#NAME?</v>
      </c>
      <c r="AA695" s="339" t="e">
        <f ca="1">_xlfn.XLOOKUP(PAA[[#This Row],[ITEM]],Contrato!A:A,Contrato!T:T,"",0)</f>
        <v>#NAME?</v>
      </c>
      <c r="AB695" s="344" t="e">
        <f ca="1">+MAX(PAA[[#This Row],[Comprometido Contrato]],)</f>
        <v>#NAME?</v>
      </c>
      <c r="AC695" s="344" t="str">
        <f t="shared" ca="1" si="98"/>
        <v/>
      </c>
      <c r="AD695" s="344" t="e">
        <f ca="1">+MAX(PAA[[#This Row],[Pago por Contrato]],)</f>
        <v>#NAME?</v>
      </c>
      <c r="AE695" s="344" t="str">
        <f t="shared" ca="1" si="102"/>
        <v/>
      </c>
      <c r="AF695" s="339" t="e">
        <f t="shared" ca="1" si="103"/>
        <v>#NAME?</v>
      </c>
      <c r="AG695" s="339" t="str">
        <f t="shared" si="104"/>
        <v/>
      </c>
      <c r="AH695" s="339" t="e" cm="1">
        <f t="array" aca="1" ref="AH695" ca="1">_xlfn.XLOOKUP(PAA[[#This Row],[RCP-RUBRO]],COMPROMISOS_2025[[#All],[concatenado]],COMPROMISOS_2025[[#All],[Total pagado]],"",0)</f>
        <v>#NAME?</v>
      </c>
      <c r="AI695" s="339" t="e" cm="1">
        <f t="array" aca="1" ref="AI695" ca="1">_xlfn.XLOOKUP(PAA[[#This Row],[RCP-RUBRO]],COMPROMISOS_2025[[#All],[concatenado]],COMPROMISOS_2025[[#All],[Total Comprometido]],"",0)</f>
        <v>#NAME?</v>
      </c>
    </row>
    <row r="696" spans="1:35" s="50" customFormat="1" ht="42" hidden="1" customHeight="1" x14ac:dyDescent="0.25">
      <c r="A696" s="326">
        <v>575</v>
      </c>
      <c r="B696" s="325">
        <v>81112501</v>
      </c>
      <c r="C696" s="326" t="str">
        <f>VLOOKUP(PAA[[#This Row],[PROYECTO (formulado)2]],PROYECTOS!$G$1:$L$32,6,0)</f>
        <v>SUBGERENCIA ESCENARIOS DEPORTIVOS Y EQUIPAMIENTOS</v>
      </c>
      <c r="D696" s="326" t="str">
        <f>+IF(PAA[[#This Row],[UNIDAD DE CONTRATACION (formulado)]]="Subgerencia Administrativa y Financiera","FUNCIONAMIENTO","INVERSIÓN")</f>
        <v>INVERSIÓN</v>
      </c>
      <c r="E696" s="327" t="str">
        <f>VLOOKUP(Q696,PROYECTOS!$G$1:$K$32,5,0)</f>
        <v>Mantenimiento, adecuación, mejoras de escenarios deportivos o equipamientos en el departamento de Antioquia</v>
      </c>
      <c r="F696" s="327">
        <f>VLOOKUP(E696,PROYECTOS!$K$1:$M$32,3,0)</f>
        <v>2024003050075</v>
      </c>
      <c r="G696" s="328" t="s">
        <v>245</v>
      </c>
      <c r="H696" s="328" t="str">
        <f>VLOOKUP(Q696,PROYECTOS!$V$1:$W$32,2,0)</f>
        <v>050070</v>
      </c>
      <c r="I696" s="329">
        <v>4043676</v>
      </c>
      <c r="J696" s="330" t="s">
        <v>794</v>
      </c>
      <c r="K696" s="326" t="str">
        <f t="shared" ca="1" si="99"/>
        <v>CONTRATADO</v>
      </c>
      <c r="L696" s="330" t="s">
        <v>175</v>
      </c>
      <c r="M696" s="330" t="s">
        <v>132</v>
      </c>
      <c r="N696" s="331" t="s">
        <v>247</v>
      </c>
      <c r="O696" s="330">
        <f>VLOOKUP(N696,RUBROS[#All],3,0)</f>
        <v>90</v>
      </c>
      <c r="P696" s="332" t="str">
        <f>VLOOKUP(N696,RUBROS[#All],2,0)</f>
        <v xml:space="preserve">Mantenimiento, adecuación, mejoras de escenarios deportivos o equipamientos en el departamento de Antioquia.. - Servicios prestados a las empresas y servicios de producción </v>
      </c>
      <c r="Q696" s="326" t="str">
        <f t="shared" si="100"/>
        <v>75</v>
      </c>
      <c r="R696" s="326" t="str">
        <f t="shared" si="101"/>
        <v>0-205128</v>
      </c>
      <c r="S696" s="333">
        <v>10</v>
      </c>
      <c r="T696" s="337" t="s">
        <v>46</v>
      </c>
      <c r="U696" s="335" t="e">
        <f ca="1">_xlfn.XLOOKUP(PAA[[#This Row],[ITEM]],Contrato!A:A,Contrato!Q:Q,"",0)</f>
        <v>#NAME?</v>
      </c>
      <c r="V696" s="326" t="s">
        <v>47</v>
      </c>
      <c r="W696" s="326" t="s">
        <v>127</v>
      </c>
      <c r="X696" s="326" t="s">
        <v>127</v>
      </c>
      <c r="Y696" s="336" t="e">
        <f ca="1">_xlfn.XLOOKUP(PAA[[#This Row],[ITEM]],Contrato!A:A,Contrato!B:B,"",0)</f>
        <v>#NAME?</v>
      </c>
      <c r="Z696" s="326" t="e">
        <f ca="1">_xlfn.XLOOKUP(PAA[[#This Row],[ITEM]],Contrato!A:A,Contrato!G:G,"",0)</f>
        <v>#NAME?</v>
      </c>
      <c r="AA696" s="326" t="e">
        <f ca="1">_xlfn.XLOOKUP(PAA[[#This Row],[ITEM]],Contrato!A:A,Contrato!T:T,"",0)</f>
        <v>#NAME?</v>
      </c>
      <c r="AB696" s="336" t="e">
        <f ca="1">+MAX(PAA[[#This Row],[Comprometido Contrato]],)</f>
        <v>#NAME?</v>
      </c>
      <c r="AC696" s="336" t="str">
        <f t="shared" ca="1" si="98"/>
        <v/>
      </c>
      <c r="AD696" s="336" t="e">
        <f ca="1">+MAX(PAA[[#This Row],[Pago por Contrato]],)</f>
        <v>#NAME?</v>
      </c>
      <c r="AE696" s="336" t="str">
        <f t="shared" ca="1" si="102"/>
        <v/>
      </c>
      <c r="AF696" s="326" t="e">
        <f t="shared" ca="1" si="103"/>
        <v>#NAME?</v>
      </c>
      <c r="AG696" s="326">
        <f t="shared" si="104"/>
        <v>52010902</v>
      </c>
      <c r="AH696" s="326" t="e" cm="1">
        <f t="array" aca="1" ref="AH696" ca="1">_xlfn.XLOOKUP(PAA[[#This Row],[RCP-RUBRO]],COMPROMISOS_2025[[#All],[concatenado]],COMPROMISOS_2025[[#All],[Total pagado]],"",0)</f>
        <v>#NAME?</v>
      </c>
      <c r="AI696" s="326" t="e" cm="1">
        <f t="array" aca="1" ref="AI696" ca="1">_xlfn.XLOOKUP(PAA[[#This Row],[RCP-RUBRO]],COMPROMISOS_2025[[#All],[concatenado]],COMPROMISOS_2025[[#All],[Total Comprometido]],"",0)</f>
        <v>#NAME?</v>
      </c>
    </row>
    <row r="697" spans="1:35" s="50" customFormat="1" ht="42" hidden="1" customHeight="1" x14ac:dyDescent="0.25">
      <c r="A697" s="326">
        <v>576</v>
      </c>
      <c r="B697" s="325">
        <v>80141607</v>
      </c>
      <c r="C697" s="326" t="str">
        <f>VLOOKUP(PAA[[#This Row],[PROYECTO (formulado)2]],PROYECTOS!$G$1:$L$32,6,0)</f>
        <v>SUBGERENCIA DE FOMENTO Y DESARROLLO</v>
      </c>
      <c r="D697" s="326" t="str">
        <f>+IF(PAA[[#This Row],[UNIDAD DE CONTRATACION (formulado)]]="Subgerencia Administrativa y Financiera","FUNCIONAMIENTO","INVERSIÓN")</f>
        <v>INVERSIÓN</v>
      </c>
      <c r="E697" s="327" t="str">
        <f>VLOOKUP(Q697,PROYECTOS!$G$1:$K$32,5,0)</f>
        <v>Desarrollo y promoción del deporte formativo, la recreación y la actividad física en el departamento Antioquia</v>
      </c>
      <c r="F697" s="327">
        <f>VLOOKUP(E697,PROYECTOS!$K$1:$M$32,3,0)</f>
        <v>2024003050101</v>
      </c>
      <c r="G697" s="328" t="s">
        <v>282</v>
      </c>
      <c r="H697" s="328" t="str">
        <f>VLOOKUP(Q697,PROYECTOS!$V$1:$W$32,2,0)</f>
        <v>050075</v>
      </c>
      <c r="I697" s="329">
        <v>90040000</v>
      </c>
      <c r="J697" s="330" t="s">
        <v>795</v>
      </c>
      <c r="K697" s="326" t="str">
        <f t="shared" ca="1" si="99"/>
        <v>CONTRATADO</v>
      </c>
      <c r="L697" s="330" t="s">
        <v>112</v>
      </c>
      <c r="M697" s="330" t="s">
        <v>125</v>
      </c>
      <c r="N697" s="331" t="s">
        <v>284</v>
      </c>
      <c r="O697" s="330">
        <f>VLOOKUP(N697,RUBROS[#All],3,0)</f>
        <v>73</v>
      </c>
      <c r="P697" s="332" t="str">
        <f>VLOOKUP(N697,RUBROS[#All],2,0)</f>
        <v>Desarrollo y promoción del deporte formativo, la recreación y la actividad física en el departamento Antioquia. - Servicios para la comunidad, sociales y personales</v>
      </c>
      <c r="Q697" s="326" t="str">
        <f t="shared" si="100"/>
        <v>01</v>
      </c>
      <c r="R697" s="326" t="str">
        <f t="shared" si="101"/>
        <v>0-205400</v>
      </c>
      <c r="S697" s="333">
        <v>9</v>
      </c>
      <c r="T697" s="337" t="s">
        <v>46</v>
      </c>
      <c r="U697" s="335" t="e">
        <f ca="1">_xlfn.XLOOKUP(PAA[[#This Row],[ITEM]],Contrato!A:A,Contrato!Q:Q,"",0)</f>
        <v>#NAME?</v>
      </c>
      <c r="V697" s="326" t="s">
        <v>47</v>
      </c>
      <c r="W697" s="326" t="s">
        <v>127</v>
      </c>
      <c r="X697" s="326" t="s">
        <v>127</v>
      </c>
      <c r="Y697" s="336" t="e">
        <f ca="1">_xlfn.XLOOKUP(PAA[[#This Row],[ITEM]],Contrato!A:A,Contrato!B:B,"",0)</f>
        <v>#NAME?</v>
      </c>
      <c r="Z697" s="326" t="e">
        <f ca="1">_xlfn.XLOOKUP(PAA[[#This Row],[ITEM]],Contrato!A:A,Contrato!G:G,"",0)</f>
        <v>#NAME?</v>
      </c>
      <c r="AA697" s="326" t="e">
        <f ca="1">_xlfn.XLOOKUP(PAA[[#This Row],[ITEM]],Contrato!A:A,Contrato!T:T,"",0)</f>
        <v>#NAME?</v>
      </c>
      <c r="AB697" s="336" t="e">
        <f ca="1">+MAX(PAA[[#This Row],[Comprometido Contrato]],)</f>
        <v>#NAME?</v>
      </c>
      <c r="AC697" s="336" t="str">
        <f t="shared" ca="1" si="98"/>
        <v/>
      </c>
      <c r="AD697" s="336" t="e">
        <f ca="1">+MAX(PAA[[#This Row],[Pago por Contrato]],)</f>
        <v>#NAME?</v>
      </c>
      <c r="AE697" s="336" t="str">
        <f t="shared" ca="1" si="102"/>
        <v/>
      </c>
      <c r="AF697" s="326" t="e">
        <f t="shared" ca="1" si="103"/>
        <v>#NAME?</v>
      </c>
      <c r="AG697" s="326">
        <f t="shared" si="104"/>
        <v>52010702</v>
      </c>
      <c r="AH697" s="326" t="e" cm="1">
        <f t="array" aca="1" ref="AH697" ca="1">_xlfn.XLOOKUP(PAA[[#This Row],[RCP-RUBRO]],COMPROMISOS_2025[[#All],[concatenado]],COMPROMISOS_2025[[#All],[Total pagado]],"",0)</f>
        <v>#NAME?</v>
      </c>
      <c r="AI697" s="326" t="e" cm="1">
        <f t="array" aca="1" ref="AI697" ca="1">_xlfn.XLOOKUP(PAA[[#This Row],[RCP-RUBRO]],COMPROMISOS_2025[[#All],[concatenado]],COMPROMISOS_2025[[#All],[Total Comprometido]],"",0)</f>
        <v>#NAME?</v>
      </c>
    </row>
    <row r="698" spans="1:35" s="50" customFormat="1" ht="42" hidden="1" customHeight="1" x14ac:dyDescent="0.25">
      <c r="A698" s="326">
        <v>577</v>
      </c>
      <c r="B698" s="325">
        <v>80131500</v>
      </c>
      <c r="C698" s="326" t="str">
        <f>VLOOKUP(PAA[[#This Row],[PROYECTO (formulado)2]],PROYECTOS!$G$1:$L$32,6,0)</f>
        <v>SUBGERENCIA ADMINISTRATIVA Y FINANCIERA</v>
      </c>
      <c r="D698" s="326" t="str">
        <f>+IF(PAA[[#This Row],[UNIDAD DE CONTRATACION (formulado)]]="Subgerencia Administrativa y Financiera","FUNCIONAMIENTO","INVERSIÓN")</f>
        <v>FUNCIONAMIENTO</v>
      </c>
      <c r="E698" s="327" t="str">
        <f>VLOOKUP(Q698,PROYECTOS!$G$1:$K$32,5,0)</f>
        <v>FUNCIONAMIENTO</v>
      </c>
      <c r="F698" s="327">
        <f>VLOOKUP(E698,PROYECTOS!$K$1:$M$32,3,0)</f>
        <v>999999</v>
      </c>
      <c r="G698" s="328" t="s">
        <v>42</v>
      </c>
      <c r="H698" s="328">
        <f>VLOOKUP(Q698,PROYECTOS!$V$1:$W$32,2,0)</f>
        <v>999999</v>
      </c>
      <c r="I698" s="329">
        <v>0</v>
      </c>
      <c r="J698" s="330" t="s">
        <v>796</v>
      </c>
      <c r="K698" s="326" t="str">
        <f t="shared" ca="1" si="99"/>
        <v>CONTRATADO</v>
      </c>
      <c r="L698" s="330" t="s">
        <v>146</v>
      </c>
      <c r="M698" s="330" t="s">
        <v>797</v>
      </c>
      <c r="N698" s="331" t="s">
        <v>114</v>
      </c>
      <c r="O698" s="330">
        <f>VLOOKUP(N698,RUBROS[#All],3,0)</f>
        <v>30</v>
      </c>
      <c r="P698" s="332" t="str">
        <f>VLOOKUP(N698,RUBROS[#All],2,0)</f>
        <v xml:space="preserve">Servicios prestados a las empresas y servicios de producción </v>
      </c>
      <c r="Q698" s="326" t="str">
        <f t="shared" si="100"/>
        <v>00</v>
      </c>
      <c r="R698" s="326" t="str">
        <f t="shared" si="101"/>
        <v>0-205616</v>
      </c>
      <c r="S698" s="333">
        <v>48</v>
      </c>
      <c r="T698" s="342" t="s">
        <v>46</v>
      </c>
      <c r="U698" s="335" t="e">
        <f ca="1">_xlfn.XLOOKUP(PAA[[#This Row],[ITEM]],Contrato!A:A,Contrato!Q:Q,"",0)</f>
        <v>#NAME?</v>
      </c>
      <c r="V698" s="326" t="s">
        <v>47</v>
      </c>
      <c r="W698" s="326" t="s">
        <v>127</v>
      </c>
      <c r="X698" s="326" t="s">
        <v>127</v>
      </c>
      <c r="Y698" s="336" t="e">
        <f ca="1">_xlfn.XLOOKUP(PAA[[#This Row],[ITEM]],Contrato!A:A,Contrato!B:B,"",0)</f>
        <v>#NAME?</v>
      </c>
      <c r="Z698" s="326" t="e">
        <f ca="1">_xlfn.XLOOKUP(PAA[[#This Row],[ITEM]],Contrato!A:A,Contrato!G:G,"",0)</f>
        <v>#NAME?</v>
      </c>
      <c r="AA698" s="326" t="e">
        <f ca="1">_xlfn.XLOOKUP(PAA[[#This Row],[ITEM]],Contrato!A:A,Contrato!T:T,"",0)</f>
        <v>#NAME?</v>
      </c>
      <c r="AB698" s="336" t="e">
        <f ca="1">+MAX(PAA[[#This Row],[Comprometido Contrato]],)</f>
        <v>#NAME?</v>
      </c>
      <c r="AC698" s="336" t="str">
        <f t="shared" ca="1" si="98"/>
        <v/>
      </c>
      <c r="AD698" s="336" t="e">
        <f ca="1">+MAX(PAA[[#This Row],[Pago por Contrato]],)</f>
        <v>#NAME?</v>
      </c>
      <c r="AE698" s="336" t="str">
        <f t="shared" ca="1" si="102"/>
        <v/>
      </c>
      <c r="AF698" s="326" t="e">
        <f t="shared" ca="1" si="103"/>
        <v>#NAME?</v>
      </c>
      <c r="AG698" s="326" t="str">
        <f t="shared" si="104"/>
        <v/>
      </c>
      <c r="AH698" s="326" t="e" cm="1">
        <f t="array" aca="1" ref="AH698" ca="1">_xlfn.XLOOKUP(PAA[[#This Row],[RCP-RUBRO]],COMPROMISOS_2025[[#All],[concatenado]],COMPROMISOS_2025[[#All],[Total pagado]],"",0)</f>
        <v>#NAME?</v>
      </c>
      <c r="AI698" s="326" t="e" cm="1">
        <f t="array" aca="1" ref="AI698" ca="1">_xlfn.XLOOKUP(PAA[[#This Row],[RCP-RUBRO]],COMPROMISOS_2025[[#All],[concatenado]],COMPROMISOS_2025[[#All],[Total Comprometido]],"",0)</f>
        <v>#NAME?</v>
      </c>
    </row>
    <row r="699" spans="1:35" s="50" customFormat="1" ht="42" hidden="1" customHeight="1" x14ac:dyDescent="0.25">
      <c r="A699" s="326">
        <v>578</v>
      </c>
      <c r="B699" s="325">
        <v>80111600</v>
      </c>
      <c r="C699" s="326" t="str">
        <f>VLOOKUP(PAA[[#This Row],[PROYECTO (formulado)2]],PROYECTOS!$G$1:$L$32,6,0)</f>
        <v>SUBGERENCIA DE ALTOS LOGROS Y DEPORTE ASOCIADO</v>
      </c>
      <c r="D699" s="326" t="str">
        <f>+IF(PAA[[#This Row],[UNIDAD DE CONTRATACION (formulado)]]="Subgerencia Administrativa y Financiera","FUNCIONAMIENTO","INVERSIÓN")</f>
        <v>INVERSIÓN</v>
      </c>
      <c r="E699" s="327" t="str">
        <f>VLOOKUP(Q699,PROYECTOS!$G$1:$K$32,5,0)</f>
        <v>Apoyo y subvención para satisfacer necesidades propias del proceso de preparación y competencia de los Atletas y Para-atletas de alto rendimiento del departamento de Antioquia</v>
      </c>
      <c r="F699" s="327">
        <f>VLOOKUP(E699,PROYECTOS!$K$1:$M$32,3,0)</f>
        <v>2024003050085</v>
      </c>
      <c r="G699" s="328" t="s">
        <v>666</v>
      </c>
      <c r="H699" s="328" t="str">
        <f>VLOOKUP(Q699,PROYECTOS!$V$1:$W$32,2,0)</f>
        <v>050077</v>
      </c>
      <c r="I699" s="329">
        <v>14245834</v>
      </c>
      <c r="J699" s="330" t="s">
        <v>798</v>
      </c>
      <c r="K699" s="326" t="str">
        <f ca="1">IF(ISNONTEXT(Y699)=TRUE,"CONTRATADO","NO CONTRATADO")</f>
        <v>CONTRATADO</v>
      </c>
      <c r="L699" s="330" t="s">
        <v>112</v>
      </c>
      <c r="M699" s="330" t="s">
        <v>113</v>
      </c>
      <c r="N699" s="331" t="s">
        <v>668</v>
      </c>
      <c r="O699" s="330">
        <f>VLOOKUP(N699,RUBROS[#All],3,0)</f>
        <v>63</v>
      </c>
      <c r="P699" s="332" t="str">
        <f>VLOOKUP(N699,RUBROS[#All],2,0)</f>
        <v xml:space="preserve">Apoyo y subvención para satisfacer necesidades propias del proceso de preparación y competencia de los Atletas y Para-atletas de alto rendimiento del departamento de Antioquia - Servicios prestados a las empresas y servicios de producción </v>
      </c>
      <c r="Q699" s="326" t="str">
        <f>+MID(N699,11,2)</f>
        <v>85</v>
      </c>
      <c r="R699" s="326" t="str">
        <f>+MID(N699,14,8)</f>
        <v>0-205128</v>
      </c>
      <c r="S699" s="333">
        <v>280</v>
      </c>
      <c r="T699" s="342" t="s">
        <v>220</v>
      </c>
      <c r="U699" s="335" t="e">
        <f ca="1">_xlfn.XLOOKUP(PAA[[#This Row],[ITEM]],Contrato!A:A,Contrato!Q:Q,"",0)</f>
        <v>#NAME?</v>
      </c>
      <c r="V699" s="326" t="s">
        <v>47</v>
      </c>
      <c r="W699" s="326" t="s">
        <v>127</v>
      </c>
      <c r="X699" s="326" t="s">
        <v>127</v>
      </c>
      <c r="Y699" s="336" t="e">
        <f ca="1">_xlfn.XLOOKUP(PAA[[#This Row],[ITEM]],Contrato!A:A,Contrato!B:B,"",0)</f>
        <v>#NAME?</v>
      </c>
      <c r="Z699" s="326" t="e">
        <f ca="1">_xlfn.XLOOKUP(PAA[[#This Row],[ITEM]],Contrato!A:A,Contrato!G:G,"",0)</f>
        <v>#NAME?</v>
      </c>
      <c r="AA699" s="326" t="e">
        <f ca="1">_xlfn.XLOOKUP(PAA[[#This Row],[ITEM]],Contrato!A:A,Contrato!T:T,"",0)</f>
        <v>#NAME?</v>
      </c>
      <c r="AB699" s="336" t="e">
        <f ca="1">+MAX(PAA[[#This Row],[Comprometido Contrato]],)</f>
        <v>#NAME?</v>
      </c>
      <c r="AC699" s="336" t="str">
        <f ca="1">IFERROR(I699-AB699,"")</f>
        <v/>
      </c>
      <c r="AD699" s="336" t="e">
        <f ca="1">+MAX(PAA[[#This Row],[Pago por Contrato]],)</f>
        <v>#NAME?</v>
      </c>
      <c r="AE699" s="336" t="str">
        <f ca="1">+IFERROR(AB699-AD699,"")</f>
        <v/>
      </c>
      <c r="AF699" s="326" t="e">
        <f ca="1">+CONCATENATE(AA699,N699)</f>
        <v>#NAME?</v>
      </c>
      <c r="AG699" s="326">
        <f>IFERROR(_xlfn.NUMBERVALUE(MID(G699,1,8)),"")</f>
        <v>52010803</v>
      </c>
      <c r="AH699" s="326" t="e" cm="1">
        <f t="array" aca="1" ref="AH699" ca="1">_xlfn.XLOOKUP(PAA[[#This Row],[RCP-RUBRO]],COMPROMISOS_2025[[#All],[concatenado]],COMPROMISOS_2025[[#All],[Total pagado]],"",0)</f>
        <v>#NAME?</v>
      </c>
      <c r="AI699" s="326" t="e" cm="1">
        <f t="array" aca="1" ref="AI699" ca="1">_xlfn.XLOOKUP(PAA[[#This Row],[RCP-RUBRO]],COMPROMISOS_2025[[#All],[concatenado]],COMPROMISOS_2025[[#All],[Total Comprometido]],"",0)</f>
        <v>#NAME?</v>
      </c>
    </row>
    <row r="700" spans="1:35" s="50" customFormat="1" ht="42" hidden="1" customHeight="1" x14ac:dyDescent="0.25">
      <c r="A700" s="326">
        <v>578</v>
      </c>
      <c r="B700" s="325">
        <v>80111600</v>
      </c>
      <c r="C700" s="326" t="str">
        <f>VLOOKUP(PAA[[#This Row],[PROYECTO (formulado)2]],PROYECTOS!$G$1:$L$32,6,0)</f>
        <v>SUBGERENCIA DE ALTOS LOGROS Y DEPORTE ASOCIADO</v>
      </c>
      <c r="D700" s="326" t="str">
        <f>+IF(PAA[[#This Row],[UNIDAD DE CONTRATACION (formulado)]]="Subgerencia Administrativa y Financiera","FUNCIONAMIENTO","INVERSIÓN")</f>
        <v>INVERSIÓN</v>
      </c>
      <c r="E700" s="327" t="str">
        <f>VLOOKUP(Q700,PROYECTOS!$G$1:$K$32,5,0)</f>
        <v>Fortalecimiento del desarrollo deportivo con miras al alto rendimiento competitivo de los atletas del departamento de Antioquia</v>
      </c>
      <c r="F700" s="327">
        <f>VLOOKUP(E700,PROYECTOS!$K$1:$M$32,3,0)</f>
        <v>2024003050087</v>
      </c>
      <c r="G700" s="328" t="s">
        <v>396</v>
      </c>
      <c r="H700" s="328" t="str">
        <f>VLOOKUP(Q700,PROYECTOS!$V$1:$W$32,2,0)</f>
        <v>050078</v>
      </c>
      <c r="I700" s="329">
        <v>14245833</v>
      </c>
      <c r="J700" s="330" t="s">
        <v>798</v>
      </c>
      <c r="K700" s="326" t="str">
        <f ca="1">IF(ISNONTEXT(Y700)=TRUE,"CONTRATADO","NO CONTRATADO")</f>
        <v>CONTRATADO</v>
      </c>
      <c r="L700" s="330" t="s">
        <v>112</v>
      </c>
      <c r="M700" s="330" t="s">
        <v>113</v>
      </c>
      <c r="N700" s="331" t="s">
        <v>398</v>
      </c>
      <c r="O700" s="330">
        <f>VLOOKUP(N700,RUBROS[#All],3,0)</f>
        <v>66</v>
      </c>
      <c r="P700" s="332" t="str">
        <f>VLOOKUP(N700,RUBROS[#All],2,0)</f>
        <v xml:space="preserve">Fortalecimiento del desarrollo deportivo con miras al alto rendimiento competitivo de los atletas del departamento de Antioquia - Servicios prestados a las empresas y servicios de producción </v>
      </c>
      <c r="Q700" s="326" t="str">
        <f>+MID(N700,11,2)</f>
        <v>87</v>
      </c>
      <c r="R700" s="326" t="str">
        <f>+MID(N700,14,8)</f>
        <v>0-101024</v>
      </c>
      <c r="S700" s="333">
        <v>280</v>
      </c>
      <c r="T700" s="342" t="s">
        <v>220</v>
      </c>
      <c r="U700" s="335" t="e">
        <f ca="1">_xlfn.XLOOKUP(PAA[[#This Row],[ITEM]],Contrato!A:A,Contrato!Q:Q,"",0)</f>
        <v>#NAME?</v>
      </c>
      <c r="V700" s="326" t="s">
        <v>47</v>
      </c>
      <c r="W700" s="326" t="s">
        <v>127</v>
      </c>
      <c r="X700" s="326" t="s">
        <v>127</v>
      </c>
      <c r="Y700" s="336" t="e">
        <f ca="1">_xlfn.XLOOKUP(PAA[[#This Row],[ITEM]],Contrato!A:A,Contrato!B:B,"",0)</f>
        <v>#NAME?</v>
      </c>
      <c r="Z700" s="326" t="e">
        <f ca="1">_xlfn.XLOOKUP(PAA[[#This Row],[ITEM]],Contrato!A:A,Contrato!G:G,"",0)</f>
        <v>#NAME?</v>
      </c>
      <c r="AA700" s="326" t="e">
        <f ca="1">_xlfn.XLOOKUP(PAA[[#This Row],[ITEM]],Contrato!A:A,Contrato!T:T,"",0)</f>
        <v>#NAME?</v>
      </c>
      <c r="AB700" s="336" t="e">
        <f ca="1">+MAX(PAA[[#This Row],[Comprometido Contrato]],)</f>
        <v>#NAME?</v>
      </c>
      <c r="AC700" s="336" t="str">
        <f ca="1">IFERROR(I700-AB700,"")</f>
        <v/>
      </c>
      <c r="AD700" s="336" t="e">
        <f ca="1">+MAX(PAA[[#This Row],[Pago por Contrato]],)</f>
        <v>#NAME?</v>
      </c>
      <c r="AE700" s="336" t="str">
        <f ca="1">+IFERROR(AB700-AD700,"")</f>
        <v/>
      </c>
      <c r="AF700" s="326" t="e">
        <f ca="1">+CONCATENATE(AA700,N700)</f>
        <v>#NAME?</v>
      </c>
      <c r="AG700" s="326">
        <f>IFERROR(_xlfn.NUMBERVALUE(MID(G700,1,8)),"")</f>
        <v>52010805</v>
      </c>
      <c r="AH700" s="326" t="e" cm="1">
        <f t="array" aca="1" ref="AH700" ca="1">_xlfn.XLOOKUP(PAA[[#This Row],[RCP-RUBRO]],COMPROMISOS_2025[[#All],[concatenado]],COMPROMISOS_2025[[#All],[Total pagado]],"",0)</f>
        <v>#NAME?</v>
      </c>
      <c r="AI700" s="326" t="e" cm="1">
        <f t="array" aca="1" ref="AI700" ca="1">_xlfn.XLOOKUP(PAA[[#This Row],[RCP-RUBRO]],COMPROMISOS_2025[[#All],[concatenado]],COMPROMISOS_2025[[#All],[Total Comprometido]],"",0)</f>
        <v>#NAME?</v>
      </c>
    </row>
    <row r="701" spans="1:35" s="50" customFormat="1" ht="42" customHeight="1" x14ac:dyDescent="0.25">
      <c r="A701" s="199" t="s">
        <v>227</v>
      </c>
      <c r="B701" s="200">
        <v>80111600</v>
      </c>
      <c r="C701" s="199" t="str">
        <f>VLOOKUP(PAA[[#This Row],[PROYECTO (formulado)2]],PROYECTOS!$G$1:$L$32,6,0)</f>
        <v>SUBGERENCIA DE ALTOS LOGROS Y DEPORTE ASOCIADO</v>
      </c>
      <c r="D701" s="199" t="str">
        <f>+IF(PAA[[#This Row],[UNIDAD DE CONTRATACION (formulado)]]="Subgerencia Administrativa y Financiera","FUNCIONAMIENTO","INVERSIÓN")</f>
        <v>INVERSIÓN</v>
      </c>
      <c r="E701" s="201" t="str">
        <f>VLOOKUP(Q701,PROYECTOS!$G$1:$K$32,5,0)</f>
        <v>Asesoria médica y de ciencias aplicadas al desarrollo del rendimiento deportivo de atletas y para-atletas de Antioquia</v>
      </c>
      <c r="F701" s="201">
        <f>VLOOKUP(E701,PROYECTOS!$K$1:$M$32,3,0)</f>
        <v>2024003050103</v>
      </c>
      <c r="G701" s="202" t="s">
        <v>430</v>
      </c>
      <c r="H701" s="202" t="str">
        <f>VLOOKUP(Q701,PROYECTOS!$V$1:$W$32,2,0)</f>
        <v>050080</v>
      </c>
      <c r="I701" s="203">
        <v>24252800</v>
      </c>
      <c r="J701" s="204" t="s">
        <v>799</v>
      </c>
      <c r="K701" s="199" t="str">
        <f t="shared" ca="1" si="99"/>
        <v>CONTRATADO</v>
      </c>
      <c r="L701" s="199" t="s">
        <v>41</v>
      </c>
      <c r="M701" s="199" t="s">
        <v>41</v>
      </c>
      <c r="N701" s="205" t="s">
        <v>420</v>
      </c>
      <c r="O701" s="204">
        <f>VLOOKUP(N701,RUBROS[#All],3,0)</f>
        <v>59</v>
      </c>
      <c r="P701" s="206" t="str">
        <f>VLOOKUP(N701,RUBROS[#All],2,0)</f>
        <v xml:space="preserve">Asesoria médica y de ciencias aplicadas al desarrollo del rendimiento deportivo de atletas y para-atletas de Antioquia -Servicios prestados a las empresas y servicios de producción </v>
      </c>
      <c r="Q701" s="199" t="str">
        <f t="shared" si="100"/>
        <v>03</v>
      </c>
      <c r="R701" s="199" t="str">
        <f t="shared" si="101"/>
        <v>0-205128</v>
      </c>
      <c r="S701" s="207" t="s">
        <v>41</v>
      </c>
      <c r="T701" s="222" t="s">
        <v>41</v>
      </c>
      <c r="U701" s="209" t="e">
        <f ca="1">_xlfn.XLOOKUP(PAA[[#This Row],[ITEM]],Contrato!A:A,Contrato!Q:Q,"",0)</f>
        <v>#NAME?</v>
      </c>
      <c r="V701" s="199" t="s">
        <v>47</v>
      </c>
      <c r="W701" s="199" t="s">
        <v>41</v>
      </c>
      <c r="X701" s="199" t="s">
        <v>41</v>
      </c>
      <c r="Y701" s="210" t="e">
        <f ca="1">_xlfn.XLOOKUP(PAA[[#This Row],[ITEM]],Contrato!A:A,Contrato!B:B,"",0)</f>
        <v>#NAME?</v>
      </c>
      <c r="Z701" s="199" t="e">
        <f ca="1">_xlfn.XLOOKUP(PAA[[#This Row],[ITEM]],Contrato!A:A,Contrato!G:G,"",0)</f>
        <v>#NAME?</v>
      </c>
      <c r="AA701" s="199" t="e">
        <f ca="1">_xlfn.XLOOKUP(PAA[[#This Row],[ITEM]],Contrato!A:A,Contrato!T:T,"",0)</f>
        <v>#NAME?</v>
      </c>
      <c r="AB701" s="210" t="e">
        <f ca="1">+MAX(PAA[[#This Row],[Comprometido Contrato]],)</f>
        <v>#NAME?</v>
      </c>
      <c r="AC701" s="210" t="str">
        <f t="shared" ca="1" si="98"/>
        <v/>
      </c>
      <c r="AD701" s="210" t="e">
        <f ca="1">+MAX(PAA[[#This Row],[Pago por Contrato]],)</f>
        <v>#NAME?</v>
      </c>
      <c r="AE701" s="210" t="str">
        <f t="shared" ca="1" si="102"/>
        <v/>
      </c>
      <c r="AF701" s="199" t="e">
        <f t="shared" ca="1" si="103"/>
        <v>#NAME?</v>
      </c>
      <c r="AG701" s="199">
        <f t="shared" si="104"/>
        <v>52010804</v>
      </c>
      <c r="AH701" s="199" t="e" cm="1">
        <f t="array" aca="1" ref="AH701" ca="1">_xlfn.XLOOKUP(PAA[[#This Row],[RCP-RUBRO]],COMPROMISOS_2025[[#All],[concatenado]],COMPROMISOS_2025[[#All],[Total pagado]],"",0)</f>
        <v>#NAME?</v>
      </c>
      <c r="AI701" s="199" t="e" cm="1">
        <f t="array" aca="1" ref="AI701" ca="1">_xlfn.XLOOKUP(PAA[[#This Row],[RCP-RUBRO]],COMPROMISOS_2025[[#All],[concatenado]],COMPROMISOS_2025[[#All],[Total Comprometido]],"",0)</f>
        <v>#NAME?</v>
      </c>
    </row>
    <row r="702" spans="1:35" s="50" customFormat="1" ht="42" hidden="1" customHeight="1" x14ac:dyDescent="0.25">
      <c r="A702" s="436">
        <v>607</v>
      </c>
      <c r="B702" s="418">
        <v>80111600</v>
      </c>
      <c r="C702" s="436" t="str">
        <f>VLOOKUP(PAA[[#This Row],[PROYECTO (formulado)2]],PROYECTOS!$G$1:$L$32,6,0)</f>
        <v>SUBGERENCIA DE ALTOS LOGROS Y DEPORTE ASOCIADO</v>
      </c>
      <c r="D702" s="436" t="str">
        <f>+IF(PAA[[#This Row],[UNIDAD DE CONTRATACION (formulado)]]="Subgerencia Administrativa y Financiera","FUNCIONAMIENTO","INVERSIÓN")</f>
        <v>INVERSIÓN</v>
      </c>
      <c r="E702" s="446" t="str">
        <f>VLOOKUP(Q702,PROYECTOS!$G$1:$K$32,5,0)</f>
        <v>Asesoria médica y de ciencias aplicadas al desarrollo del rendimiento deportivo de atletas y para-atletas de Antioquia</v>
      </c>
      <c r="F702" s="446">
        <f>VLOOKUP(E702,PROYECTOS!$K$1:$M$32,3,0)</f>
        <v>2024003050103</v>
      </c>
      <c r="G702" s="439" t="s">
        <v>430</v>
      </c>
      <c r="H702" s="439" t="str">
        <f>VLOOKUP(Q702,PROYECTOS!$V$1:$W$32,2,0)</f>
        <v>050080</v>
      </c>
      <c r="I702" s="440">
        <v>71191840</v>
      </c>
      <c r="J702" s="442" t="s">
        <v>800</v>
      </c>
      <c r="K702" s="436" t="str">
        <f ca="1">IF(ISNONTEXT(Y702)=TRUE,"CONTRATADO","NO CONTRATADO")</f>
        <v>CONTRATADO</v>
      </c>
      <c r="L702" s="436" t="s">
        <v>112</v>
      </c>
      <c r="M702" s="436" t="s">
        <v>113</v>
      </c>
      <c r="N702" s="447" t="s">
        <v>433</v>
      </c>
      <c r="O702" s="442">
        <f>VLOOKUP(N702,RUBROS[#All],3,0)</f>
        <v>60</v>
      </c>
      <c r="P702" s="448" t="str">
        <f>VLOOKUP(N702,RUBROS[#All],2,0)</f>
        <v>Asesoria médica y de ciencias aplicadas al desarrollo del rendimiento deportivo de atletas y para-atletas de Antioquia -Servicios para la comunidad, sociales y personales</v>
      </c>
      <c r="Q702" s="436" t="str">
        <f>+MID(N702,11,2)</f>
        <v>03</v>
      </c>
      <c r="R702" s="436" t="str">
        <f>+MID(N702,14,8)</f>
        <v>0-205128</v>
      </c>
      <c r="S702" s="417">
        <v>284</v>
      </c>
      <c r="T702" s="443" t="s">
        <v>220</v>
      </c>
      <c r="U702" s="444" t="e">
        <f ca="1">_xlfn.XLOOKUP(PAA[[#This Row],[ITEM]],Contrato!A:A,Contrato!Q:Q,"",0)</f>
        <v>#NAME?</v>
      </c>
      <c r="V702" s="436" t="s">
        <v>47</v>
      </c>
      <c r="W702" s="436" t="s">
        <v>133</v>
      </c>
      <c r="X702" s="436" t="s">
        <v>133</v>
      </c>
      <c r="Y702" s="445" t="e">
        <f ca="1">_xlfn.XLOOKUP(PAA[[#This Row],[ITEM]],Contrato!A:A,Contrato!B:B,"",0)</f>
        <v>#NAME?</v>
      </c>
      <c r="Z702" s="436" t="e">
        <f ca="1">_xlfn.XLOOKUP(PAA[[#This Row],[ITEM]],Contrato!A:A,Contrato!G:G,"",0)</f>
        <v>#NAME?</v>
      </c>
      <c r="AA702" s="436" t="e">
        <f ca="1">_xlfn.XLOOKUP(PAA[[#This Row],[ITEM]],Contrato!A:A,Contrato!T:T,"",0)</f>
        <v>#NAME?</v>
      </c>
      <c r="AB702" s="445" t="e">
        <f ca="1">+MAX(PAA[[#This Row],[Comprometido Contrato]],)</f>
        <v>#NAME?</v>
      </c>
      <c r="AC702" s="445" t="str">
        <f ca="1">IFERROR(I702-AB702,"")</f>
        <v/>
      </c>
      <c r="AD702" s="445" t="e">
        <f ca="1">+MAX(PAA[[#This Row],[Pago por Contrato]],)</f>
        <v>#NAME?</v>
      </c>
      <c r="AE702" s="445" t="str">
        <f ca="1">+IFERROR(AB702-AD702,"")</f>
        <v/>
      </c>
      <c r="AF702" s="436" t="e">
        <f ca="1">+CONCATENATE(AA702,N702)</f>
        <v>#NAME?</v>
      </c>
      <c r="AG702" s="436">
        <f>IFERROR(_xlfn.NUMBERVALUE(MID(G702,1,8)),"")</f>
        <v>52010804</v>
      </c>
      <c r="AH702" s="436" t="e" cm="1">
        <f t="array" aca="1" ref="AH702" ca="1">_xlfn.XLOOKUP(PAA[[#This Row],[RCP-RUBRO]],COMPROMISOS_2025[[#All],[concatenado]],COMPROMISOS_2025[[#All],[Total pagado]],"",0)</f>
        <v>#NAME?</v>
      </c>
      <c r="AI702" s="436" t="e" cm="1">
        <f t="array" aca="1" ref="AI702" ca="1">_xlfn.XLOOKUP(PAA[[#This Row],[RCP-RUBRO]],COMPROMISOS_2025[[#All],[concatenado]],COMPROMISOS_2025[[#All],[Total Comprometido]],"",0)</f>
        <v>#NAME?</v>
      </c>
    </row>
    <row r="703" spans="1:35" s="50" customFormat="1" ht="42" customHeight="1" x14ac:dyDescent="0.25">
      <c r="A703" s="436" t="s">
        <v>227</v>
      </c>
      <c r="B703" s="418">
        <v>80111600</v>
      </c>
      <c r="C703" s="436" t="str">
        <f>VLOOKUP(PAA[[#This Row],[PROYECTO (formulado)2]],PROYECTOS!$G$1:$L$32,6,0)</f>
        <v>SUBGERENCIA DE ALTOS LOGROS Y DEPORTE ASOCIADO</v>
      </c>
      <c r="D703" s="436" t="str">
        <f>+IF(PAA[[#This Row],[UNIDAD DE CONTRATACION (formulado)]]="Subgerencia Administrativa y Financiera","FUNCIONAMIENTO","INVERSIÓN")</f>
        <v>INVERSIÓN</v>
      </c>
      <c r="E703" s="446" t="str">
        <f>VLOOKUP(Q703,PROYECTOS!$G$1:$K$32,5,0)</f>
        <v>Asesoria médica y de ciencias aplicadas al desarrollo del rendimiento deportivo de atletas y para-atletas de Antioquia</v>
      </c>
      <c r="F703" s="446">
        <f>VLOOKUP(E703,PROYECTOS!$K$1:$M$32,3,0)</f>
        <v>2024003050103</v>
      </c>
      <c r="G703" s="439" t="s">
        <v>430</v>
      </c>
      <c r="H703" s="439" t="str">
        <f>VLOOKUP(Q703,PROYECTOS!$V$1:$W$32,2,0)</f>
        <v>050080</v>
      </c>
      <c r="I703" s="440">
        <v>352198754</v>
      </c>
      <c r="J703" s="442" t="s">
        <v>799</v>
      </c>
      <c r="K703" s="436" t="str">
        <f t="shared" ca="1" si="99"/>
        <v>CONTRATADO</v>
      </c>
      <c r="L703" s="436" t="s">
        <v>41</v>
      </c>
      <c r="M703" s="436" t="s">
        <v>41</v>
      </c>
      <c r="N703" s="447" t="s">
        <v>433</v>
      </c>
      <c r="O703" s="442">
        <f>VLOOKUP(N703,RUBROS[#All],3,0)</f>
        <v>60</v>
      </c>
      <c r="P703" s="448" t="str">
        <f>VLOOKUP(N703,RUBROS[#All],2,0)</f>
        <v>Asesoria médica y de ciencias aplicadas al desarrollo del rendimiento deportivo de atletas y para-atletas de Antioquia -Servicios para la comunidad, sociales y personales</v>
      </c>
      <c r="Q703" s="436" t="str">
        <f t="shared" si="100"/>
        <v>03</v>
      </c>
      <c r="R703" s="436" t="str">
        <f t="shared" si="101"/>
        <v>0-205128</v>
      </c>
      <c r="S703" s="417" t="s">
        <v>41</v>
      </c>
      <c r="T703" s="424" t="s">
        <v>41</v>
      </c>
      <c r="U703" s="444" t="e">
        <f ca="1">_xlfn.XLOOKUP(PAA[[#This Row],[ITEM]],Contrato!A:A,Contrato!Q:Q,"",0)</f>
        <v>#NAME?</v>
      </c>
      <c r="V703" s="436" t="s">
        <v>47</v>
      </c>
      <c r="W703" s="436" t="s">
        <v>41</v>
      </c>
      <c r="X703" s="436" t="s">
        <v>41</v>
      </c>
      <c r="Y703" s="445" t="e">
        <f ca="1">_xlfn.XLOOKUP(PAA[[#This Row],[ITEM]],Contrato!A:A,Contrato!B:B,"",0)</f>
        <v>#NAME?</v>
      </c>
      <c r="Z703" s="436" t="e">
        <f ca="1">_xlfn.XLOOKUP(PAA[[#This Row],[ITEM]],Contrato!A:A,Contrato!G:G,"",0)</f>
        <v>#NAME?</v>
      </c>
      <c r="AA703" s="436" t="e">
        <f ca="1">_xlfn.XLOOKUP(PAA[[#This Row],[ITEM]],Contrato!A:A,Contrato!T:T,"",0)</f>
        <v>#NAME?</v>
      </c>
      <c r="AB703" s="445" t="e">
        <f ca="1">+MAX(PAA[[#This Row],[Comprometido Contrato]],)</f>
        <v>#NAME?</v>
      </c>
      <c r="AC703" s="445" t="str">
        <f t="shared" ca="1" si="98"/>
        <v/>
      </c>
      <c r="AD703" s="445" t="e">
        <f ca="1">+MAX(PAA[[#This Row],[Pago por Contrato]],)</f>
        <v>#NAME?</v>
      </c>
      <c r="AE703" s="445" t="str">
        <f t="shared" ca="1" si="102"/>
        <v/>
      </c>
      <c r="AF703" s="436" t="e">
        <f t="shared" ca="1" si="103"/>
        <v>#NAME?</v>
      </c>
      <c r="AG703" s="436">
        <f t="shared" si="104"/>
        <v>52010804</v>
      </c>
      <c r="AH703" s="436" t="e" cm="1">
        <f t="array" aca="1" ref="AH703" ca="1">_xlfn.XLOOKUP(PAA[[#This Row],[RCP-RUBRO]],COMPROMISOS_2025[[#All],[concatenado]],COMPROMISOS_2025[[#All],[Total pagado]],"",0)</f>
        <v>#NAME?</v>
      </c>
      <c r="AI703" s="436" t="e" cm="1">
        <f t="array" aca="1" ref="AI703" ca="1">_xlfn.XLOOKUP(PAA[[#This Row],[RCP-RUBRO]],COMPROMISOS_2025[[#All],[concatenado]],COMPROMISOS_2025[[#All],[Total Comprometido]],"",0)</f>
        <v>#NAME?</v>
      </c>
    </row>
    <row r="704" spans="1:35" s="50" customFormat="1" ht="42" hidden="1" customHeight="1" x14ac:dyDescent="0.25">
      <c r="A704" s="451" t="s">
        <v>227</v>
      </c>
      <c r="B704" s="428">
        <v>80111600</v>
      </c>
      <c r="C704" s="451" t="str">
        <f>VLOOKUP(PAA[[#This Row],[PROYECTO (formulado)2]],PROYECTOS!$G$1:$L$32,6,0)</f>
        <v>SUBGERENCIA DE FOMENTO Y DESARROLLO</v>
      </c>
      <c r="D704" s="451" t="str">
        <f>+IF(PAA[[#This Row],[UNIDAD DE CONTRATACION (formulado)]]="Subgerencia Administrativa y Financiera","FUNCIONAMIENTO","INVERSIÓN")</f>
        <v>INVERSIÓN</v>
      </c>
      <c r="E704" s="452" t="str">
        <f>VLOOKUP(Q704,PROYECTOS!$G$1:$K$32,5,0)</f>
        <v>Fortalecimiento de los juegos deportivos institucionales en los municipios del departamento de Antioquia</v>
      </c>
      <c r="F704" s="452">
        <f>VLOOKUP(E704,PROYECTOS!$K$1:$M$32,3,0)</f>
        <v>2024003050073</v>
      </c>
      <c r="G704" s="453" t="s">
        <v>335</v>
      </c>
      <c r="H704" s="453" t="str">
        <f>VLOOKUP(Q704,PROYECTOS!$V$1:$W$32,2,0)</f>
        <v>050081</v>
      </c>
      <c r="I704" s="454">
        <v>6419343</v>
      </c>
      <c r="J704" s="455" t="s">
        <v>801</v>
      </c>
      <c r="K704" s="451" t="str">
        <f t="shared" ca="1" si="99"/>
        <v>CONTRATADO</v>
      </c>
      <c r="L704" s="442" t="s">
        <v>112</v>
      </c>
      <c r="M704" s="442" t="s">
        <v>113</v>
      </c>
      <c r="N704" s="456" t="s">
        <v>315</v>
      </c>
      <c r="O704" s="455">
        <f>VLOOKUP(N704,RUBROS[#All],3,0)</f>
        <v>82</v>
      </c>
      <c r="P704" s="457" t="str">
        <f>VLOOKUP(N704,RUBROS[#All],2,0)</f>
        <v>Fortalecimiento de los juegos deportivos institucionales en los municipios del departamento de Antioquia - Servicios para la comunidad, sociales y personales</v>
      </c>
      <c r="Q704" s="451" t="str">
        <f t="shared" si="100"/>
        <v>73</v>
      </c>
      <c r="R704" s="436" t="str">
        <f t="shared" si="101"/>
        <v>0-205128</v>
      </c>
      <c r="S704" s="427">
        <v>10</v>
      </c>
      <c r="T704" s="449" t="s">
        <v>46</v>
      </c>
      <c r="U704" s="458" t="e">
        <f ca="1">_xlfn.XLOOKUP(PAA[[#This Row],[ITEM]],Contrato!A:A,Contrato!Q:Q,"",0)</f>
        <v>#NAME?</v>
      </c>
      <c r="V704" s="436" t="s">
        <v>47</v>
      </c>
      <c r="W704" s="436" t="s">
        <v>154</v>
      </c>
      <c r="X704" s="436" t="s">
        <v>154</v>
      </c>
      <c r="Y704" s="459" t="e">
        <f ca="1">_xlfn.XLOOKUP(PAA[[#This Row],[ITEM]],Contrato!A:A,Contrato!B:B,"",0)</f>
        <v>#NAME?</v>
      </c>
      <c r="Z704" s="451" t="e">
        <f ca="1">_xlfn.XLOOKUP(PAA[[#This Row],[ITEM]],Contrato!A:A,Contrato!G:G,"",0)</f>
        <v>#NAME?</v>
      </c>
      <c r="AA704" s="451" t="e">
        <f ca="1">_xlfn.XLOOKUP(PAA[[#This Row],[ITEM]],Contrato!A:A,Contrato!T:T,"",0)</f>
        <v>#NAME?</v>
      </c>
      <c r="AB704" s="459" t="e">
        <f ca="1">+MAX(PAA[[#This Row],[Comprometido Contrato]],)</f>
        <v>#NAME?</v>
      </c>
      <c r="AC704" s="459" t="str">
        <f t="shared" ca="1" si="98"/>
        <v/>
      </c>
      <c r="AD704" s="459" t="e">
        <f ca="1">+MAX(PAA[[#This Row],[Pago por Contrato]],)</f>
        <v>#NAME?</v>
      </c>
      <c r="AE704" s="459" t="str">
        <f t="shared" ca="1" si="102"/>
        <v/>
      </c>
      <c r="AF704" s="451" t="e">
        <f t="shared" ca="1" si="103"/>
        <v>#NAME?</v>
      </c>
      <c r="AG704" s="451">
        <f t="shared" si="104"/>
        <v>52010703</v>
      </c>
      <c r="AH704" s="451" t="e" cm="1">
        <f t="array" aca="1" ref="AH704" ca="1">_xlfn.XLOOKUP(PAA[[#This Row],[RCP-RUBRO]],COMPROMISOS_2025[[#All],[concatenado]],COMPROMISOS_2025[[#All],[Total pagado]],"",0)</f>
        <v>#NAME?</v>
      </c>
      <c r="AI704" s="451" t="e" cm="1">
        <f t="array" aca="1" ref="AI704" ca="1">_xlfn.XLOOKUP(PAA[[#This Row],[RCP-RUBRO]],COMPROMISOS_2025[[#All],[concatenado]],COMPROMISOS_2025[[#All],[Total Comprometido]],"",0)</f>
        <v>#NAME?</v>
      </c>
    </row>
    <row r="705" spans="1:35" s="50" customFormat="1" ht="42" customHeight="1" x14ac:dyDescent="0.25">
      <c r="A705" s="326" t="s">
        <v>227</v>
      </c>
      <c r="B705" s="325">
        <v>80111600</v>
      </c>
      <c r="C705" s="326" t="str">
        <f>VLOOKUP(PAA[[#This Row],[PROYECTO (formulado)2]],PROYECTOS!$G$1:$L$32,6,0)</f>
        <v>SUBGERENCIA DE FOMENTO Y DESARROLLO</v>
      </c>
      <c r="D705" s="326" t="str">
        <f>+IF(PAA[[#This Row],[UNIDAD DE CONTRATACION (formulado)]]="Subgerencia Administrativa y Financiera","FUNCIONAMIENTO","INVERSIÓN")</f>
        <v>INVERSIÓN</v>
      </c>
      <c r="E705" s="327" t="str">
        <f>VLOOKUP(Q705,PROYECTOS!$G$1:$K$32,5,0)</f>
        <v>Desarrollo y promoción del deporte formativo, la recreación y la actividad física en el departamento Antioquia</v>
      </c>
      <c r="F705" s="327">
        <f>VLOOKUP(E705,PROYECTOS!$K$1:$M$32,3,0)</f>
        <v>2024003050101</v>
      </c>
      <c r="G705" s="328" t="s">
        <v>289</v>
      </c>
      <c r="H705" s="328" t="str">
        <f>VLOOKUP(Q705,PROYECTOS!$V$1:$W$32,2,0)</f>
        <v>050075</v>
      </c>
      <c r="I705" s="329">
        <v>0</v>
      </c>
      <c r="J705" s="330" t="s">
        <v>41</v>
      </c>
      <c r="K705" s="326" t="str">
        <f t="shared" ca="1" si="99"/>
        <v>CONTRATADO</v>
      </c>
      <c r="L705" s="330" t="s">
        <v>41</v>
      </c>
      <c r="M705" s="330" t="s">
        <v>41</v>
      </c>
      <c r="N705" s="331" t="s">
        <v>284</v>
      </c>
      <c r="O705" s="330">
        <f>VLOOKUP(N705,RUBROS[#All],3,0)</f>
        <v>73</v>
      </c>
      <c r="P705" s="332" t="str">
        <f>VLOOKUP(N705,RUBROS[#All],2,0)</f>
        <v>Desarrollo y promoción del deporte formativo, la recreación y la actividad física en el departamento Antioquia. - Servicios para la comunidad, sociales y personales</v>
      </c>
      <c r="Q705" s="326" t="str">
        <f t="shared" si="100"/>
        <v>01</v>
      </c>
      <c r="R705" s="326" t="str">
        <f t="shared" si="101"/>
        <v>0-205400</v>
      </c>
      <c r="S705" s="333" t="s">
        <v>41</v>
      </c>
      <c r="T705" s="334" t="s">
        <v>41</v>
      </c>
      <c r="U705" s="335" t="e">
        <f ca="1">_xlfn.XLOOKUP(PAA[[#This Row],[ITEM]],Contrato!A:A,Contrato!Q:Q,"",0)</f>
        <v>#NAME?</v>
      </c>
      <c r="V705" s="326" t="s">
        <v>47</v>
      </c>
      <c r="W705" s="326" t="s">
        <v>41</v>
      </c>
      <c r="X705" s="326" t="s">
        <v>41</v>
      </c>
      <c r="Y705" s="336" t="e">
        <f ca="1">_xlfn.XLOOKUP(PAA[[#This Row],[ITEM]],Contrato!A:A,Contrato!B:B,"",0)</f>
        <v>#NAME?</v>
      </c>
      <c r="Z705" s="326" t="e">
        <f ca="1">_xlfn.XLOOKUP(PAA[[#This Row],[ITEM]],Contrato!A:A,Contrato!G:G,"",0)</f>
        <v>#NAME?</v>
      </c>
      <c r="AA705" s="326" t="e">
        <f ca="1">_xlfn.XLOOKUP(PAA[[#This Row],[ITEM]],Contrato!A:A,Contrato!T:T,"",0)</f>
        <v>#NAME?</v>
      </c>
      <c r="AB705" s="336" t="e">
        <f ca="1">+MAX(PAA[[#This Row],[Comprometido Contrato]],)</f>
        <v>#NAME?</v>
      </c>
      <c r="AC705" s="336" t="str">
        <f t="shared" ca="1" si="98"/>
        <v/>
      </c>
      <c r="AD705" s="336" t="e">
        <f ca="1">+MAX(PAA[[#This Row],[Pago por Contrato]],)</f>
        <v>#NAME?</v>
      </c>
      <c r="AE705" s="336" t="str">
        <f t="shared" ca="1" si="102"/>
        <v/>
      </c>
      <c r="AF705" s="326" t="e">
        <f t="shared" ca="1" si="103"/>
        <v>#NAME?</v>
      </c>
      <c r="AG705" s="326">
        <f t="shared" si="104"/>
        <v>52010702</v>
      </c>
      <c r="AH705" s="326" t="e" cm="1">
        <f t="array" aca="1" ref="AH705" ca="1">_xlfn.XLOOKUP(PAA[[#This Row],[RCP-RUBRO]],COMPROMISOS_2025[[#All],[concatenado]],COMPROMISOS_2025[[#All],[Total pagado]],"",0)</f>
        <v>#NAME?</v>
      </c>
      <c r="AI705" s="326" t="e" cm="1">
        <f t="array" aca="1" ref="AI705" ca="1">_xlfn.XLOOKUP(PAA[[#This Row],[RCP-RUBRO]],COMPROMISOS_2025[[#All],[concatenado]],COMPROMISOS_2025[[#All],[Total Comprometido]],"",0)</f>
        <v>#NAME?</v>
      </c>
    </row>
    <row r="706" spans="1:35" s="50" customFormat="1" ht="42" hidden="1" customHeight="1" x14ac:dyDescent="0.25">
      <c r="A706" s="199" t="s">
        <v>227</v>
      </c>
      <c r="B706" s="200">
        <v>80111600</v>
      </c>
      <c r="C706" s="199" t="str">
        <f>VLOOKUP(PAA[[#This Row],[PROYECTO (formulado)2]],PROYECTOS!$G$1:$L$32,6,0)</f>
        <v>SUBGERENCIA DE FOMENTO Y DESARROLLO</v>
      </c>
      <c r="D706" s="199" t="str">
        <f>+IF(PAA[[#This Row],[UNIDAD DE CONTRATACION (formulado)]]="Subgerencia Administrativa y Financiera","FUNCIONAMIENTO","INVERSIÓN")</f>
        <v>INVERSIÓN</v>
      </c>
      <c r="E706" s="201" t="str">
        <f>VLOOKUP(Q706,PROYECTOS!$G$1:$K$32,5,0)</f>
        <v>Desarrollo y promoción del deporte formativo, la recreación y la actividad física en el departamento Antioquia</v>
      </c>
      <c r="F706" s="201">
        <f>VLOOKUP(E706,PROYECTOS!$K$1:$M$32,3,0)</f>
        <v>2024003050101</v>
      </c>
      <c r="G706" s="202" t="s">
        <v>264</v>
      </c>
      <c r="H706" s="202" t="str">
        <f>VLOOKUP(Q706,PROYECTOS!$V$1:$W$32,2,0)</f>
        <v>050075</v>
      </c>
      <c r="I706" s="203">
        <v>0</v>
      </c>
      <c r="J706" s="204" t="s">
        <v>41</v>
      </c>
      <c r="K706" s="199" t="str">
        <f t="shared" ca="1" si="99"/>
        <v>CONTRATADO</v>
      </c>
      <c r="L706" s="204" t="s">
        <v>112</v>
      </c>
      <c r="M706" s="204" t="s">
        <v>113</v>
      </c>
      <c r="N706" s="205" t="s">
        <v>266</v>
      </c>
      <c r="O706" s="204">
        <f>VLOOKUP(N706,RUBROS[#All],3,0)</f>
        <v>70</v>
      </c>
      <c r="P706" s="206" t="str">
        <f>VLOOKUP(N706,RUBROS[#All],2,0)</f>
        <v xml:space="preserve">Desarrollo y promoción del deporte formativo, la recreación y la actividad física en el departamento Antioquia - Servicios prestados a las empresas y servicios de producción </v>
      </c>
      <c r="Q706" s="199" t="str">
        <f t="shared" si="100"/>
        <v>01</v>
      </c>
      <c r="R706" s="199" t="str">
        <f t="shared" si="101"/>
        <v>0-205128</v>
      </c>
      <c r="S706" s="207">
        <v>11.5</v>
      </c>
      <c r="T706" s="208" t="s">
        <v>46</v>
      </c>
      <c r="U706" s="209" t="e">
        <f ca="1">_xlfn.XLOOKUP(PAA[[#This Row],[ITEM]],Contrato!A:A,Contrato!Q:Q,"",0)</f>
        <v>#NAME?</v>
      </c>
      <c r="V706" s="199" t="s">
        <v>47</v>
      </c>
      <c r="W706" s="199" t="s">
        <v>48</v>
      </c>
      <c r="X706" s="199" t="s">
        <v>48</v>
      </c>
      <c r="Y706" s="210" t="e">
        <f ca="1">_xlfn.XLOOKUP(PAA[[#This Row],[ITEM]],Contrato!A:A,Contrato!B:B,"",0)</f>
        <v>#NAME?</v>
      </c>
      <c r="Z706" s="199" t="e">
        <f ca="1">_xlfn.XLOOKUP(PAA[[#This Row],[ITEM]],Contrato!A:A,Contrato!G:G,"",0)</f>
        <v>#NAME?</v>
      </c>
      <c r="AA706" s="199" t="e">
        <f ca="1">_xlfn.XLOOKUP(PAA[[#This Row],[ITEM]],Contrato!A:A,Contrato!T:T,"",0)</f>
        <v>#NAME?</v>
      </c>
      <c r="AB706" s="210" t="e">
        <f ca="1">+MAX(PAA[[#This Row],[Comprometido Contrato]],)</f>
        <v>#NAME?</v>
      </c>
      <c r="AC706" s="210" t="str">
        <f t="shared" ca="1" si="98"/>
        <v/>
      </c>
      <c r="AD706" s="210" t="e">
        <f ca="1">+MAX(PAA[[#This Row],[Pago por Contrato]],)</f>
        <v>#NAME?</v>
      </c>
      <c r="AE706" s="210" t="str">
        <f t="shared" ca="1" si="102"/>
        <v/>
      </c>
      <c r="AF706" s="199" t="e">
        <f t="shared" ca="1" si="103"/>
        <v>#NAME?</v>
      </c>
      <c r="AG706" s="199">
        <f t="shared" si="104"/>
        <v>52010702</v>
      </c>
      <c r="AH706" s="199" t="e" cm="1">
        <f t="array" aca="1" ref="AH706" ca="1">_xlfn.XLOOKUP(PAA[[#This Row],[RCP-RUBRO]],COMPROMISOS_2025[[#All],[concatenado]],COMPROMISOS_2025[[#All],[Total pagado]],"",0)</f>
        <v>#NAME?</v>
      </c>
      <c r="AI706" s="199" t="e" cm="1">
        <f t="array" aca="1" ref="AI706" ca="1">_xlfn.XLOOKUP(PAA[[#This Row],[RCP-RUBRO]],COMPROMISOS_2025[[#All],[concatenado]],COMPROMISOS_2025[[#All],[Total Comprometido]],"",0)</f>
        <v>#NAME?</v>
      </c>
    </row>
    <row r="707" spans="1:35" s="50" customFormat="1" ht="42" hidden="1" customHeight="1" x14ac:dyDescent="0.25">
      <c r="A707" s="199" t="s">
        <v>227</v>
      </c>
      <c r="B707" s="200">
        <v>80111600</v>
      </c>
      <c r="C707" s="199" t="str">
        <f>VLOOKUP(PAA[[#This Row],[PROYECTO (formulado)2]],PROYECTOS!$G$1:$L$32,6,0)</f>
        <v>SUBGERENCIA DE FOMENTO Y DESARROLLO</v>
      </c>
      <c r="D707" s="199" t="str">
        <f>+IF(PAA[[#This Row],[UNIDAD DE CONTRATACION (formulado)]]="Subgerencia Administrativa y Financiera","FUNCIONAMIENTO","INVERSIÓN")</f>
        <v>INVERSIÓN</v>
      </c>
      <c r="E707" s="201" t="str">
        <f>VLOOKUP(Q707,PROYECTOS!$G$1:$K$32,5,0)</f>
        <v>Asesoria y acompañamiento institucional para el deporte formativo, la recreación y la actividad física en el departamento de Antioquia</v>
      </c>
      <c r="F707" s="201">
        <f>VLOOKUP(E707,PROYECTOS!$K$1:$M$32,3,0)</f>
        <v>2024003050100</v>
      </c>
      <c r="G707" s="202" t="s">
        <v>267</v>
      </c>
      <c r="H707" s="202" t="str">
        <f>VLOOKUP(Q707,PROYECTOS!$V$1:$W$32,2,0)</f>
        <v>050071</v>
      </c>
      <c r="I707" s="203">
        <v>0</v>
      </c>
      <c r="J707" s="204" t="s">
        <v>41</v>
      </c>
      <c r="K707" s="199" t="str">
        <f t="shared" ca="1" si="99"/>
        <v>CONTRATADO</v>
      </c>
      <c r="L707" s="204" t="s">
        <v>112</v>
      </c>
      <c r="M707" s="204" t="s">
        <v>113</v>
      </c>
      <c r="N707" s="205" t="s">
        <v>268</v>
      </c>
      <c r="O707" s="204">
        <f>VLOOKUP(N707,RUBROS[#All],3,0)</f>
        <v>74</v>
      </c>
      <c r="P707" s="206" t="str">
        <f>VLOOKUP(N707,RUBROS[#All],2,0)</f>
        <v xml:space="preserve">Asesoria y acompañamiento institucional para el deporte formativo, la recreación y la actividad física en el departamento de Antioquia. - Servicios prestados a las empresas y servicios de producción </v>
      </c>
      <c r="Q707" s="199" t="str">
        <f t="shared" si="100"/>
        <v>10</v>
      </c>
      <c r="R707" s="199" t="str">
        <f t="shared" si="101"/>
        <v>0-101024</v>
      </c>
      <c r="S707" s="207">
        <v>11.5</v>
      </c>
      <c r="T707" s="208" t="s">
        <v>46</v>
      </c>
      <c r="U707" s="209" t="e">
        <f ca="1">_xlfn.XLOOKUP(PAA[[#This Row],[ITEM]],Contrato!A:A,Contrato!Q:Q,"",0)</f>
        <v>#NAME?</v>
      </c>
      <c r="V707" s="199" t="s">
        <v>47</v>
      </c>
      <c r="W707" s="199" t="s">
        <v>48</v>
      </c>
      <c r="X707" s="199" t="s">
        <v>48</v>
      </c>
      <c r="Y707" s="210" t="e">
        <f ca="1">_xlfn.XLOOKUP(PAA[[#This Row],[ITEM]],Contrato!A:A,Contrato!B:B,"",0)</f>
        <v>#NAME?</v>
      </c>
      <c r="Z707" s="199" t="e">
        <f ca="1">_xlfn.XLOOKUP(PAA[[#This Row],[ITEM]],Contrato!A:A,Contrato!G:G,"",0)</f>
        <v>#NAME?</v>
      </c>
      <c r="AA707" s="199" t="e">
        <f ca="1">_xlfn.XLOOKUP(PAA[[#This Row],[ITEM]],Contrato!A:A,Contrato!T:T,"",0)</f>
        <v>#NAME?</v>
      </c>
      <c r="AB707" s="210" t="e">
        <f ca="1">+MAX(PAA[[#This Row],[Comprometido Contrato]],)</f>
        <v>#NAME?</v>
      </c>
      <c r="AC707" s="210" t="str">
        <f t="shared" ca="1" si="98"/>
        <v/>
      </c>
      <c r="AD707" s="210" t="e">
        <f ca="1">+MAX(PAA[[#This Row],[Pago por Contrato]],)</f>
        <v>#NAME?</v>
      </c>
      <c r="AE707" s="210" t="str">
        <f t="shared" ca="1" si="102"/>
        <v/>
      </c>
      <c r="AF707" s="199" t="e">
        <f t="shared" ca="1" si="103"/>
        <v>#NAME?</v>
      </c>
      <c r="AG707" s="199">
        <f t="shared" si="104"/>
        <v>52010705</v>
      </c>
      <c r="AH707" s="199" t="e" cm="1">
        <f t="array" aca="1" ref="AH707" ca="1">_xlfn.XLOOKUP(PAA[[#This Row],[RCP-RUBRO]],COMPROMISOS_2025[[#All],[concatenado]],COMPROMISOS_2025[[#All],[Total pagado]],"",0)</f>
        <v>#NAME?</v>
      </c>
      <c r="AI707" s="199" t="e" cm="1">
        <f t="array" aca="1" ref="AI707" ca="1">_xlfn.XLOOKUP(PAA[[#This Row],[RCP-RUBRO]],COMPROMISOS_2025[[#All],[concatenado]],COMPROMISOS_2025[[#All],[Total Comprometido]],"",0)</f>
        <v>#NAME?</v>
      </c>
    </row>
    <row r="708" spans="1:35" s="50" customFormat="1" ht="42" hidden="1" customHeight="1" x14ac:dyDescent="0.25">
      <c r="A708" s="199" t="s">
        <v>227</v>
      </c>
      <c r="B708" s="200">
        <v>80111600</v>
      </c>
      <c r="C708" s="199" t="str">
        <f>VLOOKUP(PAA[[#This Row],[PROYECTO (formulado)2]],PROYECTOS!$G$1:$L$32,6,0)</f>
        <v>SUBGERENCIA DE FOMENTO Y DESARROLLO</v>
      </c>
      <c r="D708" s="199" t="str">
        <f>+IF(PAA[[#This Row],[UNIDAD DE CONTRATACION (formulado)]]="Subgerencia Administrativa y Financiera","FUNCIONAMIENTO","INVERSIÓN")</f>
        <v>INVERSIÓN</v>
      </c>
      <c r="E708" s="201" t="str">
        <f>VLOOKUP(Q708,PROYECTOS!$G$1:$K$32,5,0)</f>
        <v>Capacitación para el sector del deporte, la recreación y la actividad física en el Departamento de   Antioquia</v>
      </c>
      <c r="F708" s="201">
        <f>VLOOKUP(E708,PROYECTOS!$K$1:$M$32,3,0)</f>
        <v>2024003050072</v>
      </c>
      <c r="G708" s="202" t="s">
        <v>269</v>
      </c>
      <c r="H708" s="202" t="str">
        <f>VLOOKUP(Q708,PROYECTOS!$V$1:$W$32,2,0)</f>
        <v>050072</v>
      </c>
      <c r="I708" s="203">
        <v>0</v>
      </c>
      <c r="J708" s="204" t="s">
        <v>41</v>
      </c>
      <c r="K708" s="199" t="str">
        <f t="shared" ca="1" si="99"/>
        <v>CONTRATADO</v>
      </c>
      <c r="L708" s="204" t="s">
        <v>112</v>
      </c>
      <c r="M708" s="204" t="s">
        <v>113</v>
      </c>
      <c r="N708" s="205" t="s">
        <v>270</v>
      </c>
      <c r="O708" s="204">
        <f>VLOOKUP(N708,RUBROS[#All],3,0)</f>
        <v>78</v>
      </c>
      <c r="P708" s="206" t="str">
        <f>VLOOKUP(N708,RUBROS[#All],2,0)</f>
        <v xml:space="preserve">Capacitación para el sector del deporte, la recreación y la actividad física en el Departamento de   Antioquia - Servicios prestados a las empresas y servicios de producción </v>
      </c>
      <c r="Q708" s="199" t="str">
        <f t="shared" si="100"/>
        <v>72</v>
      </c>
      <c r="R708" s="199" t="str">
        <f t="shared" si="101"/>
        <v>0-205128</v>
      </c>
      <c r="S708" s="207">
        <v>11.5</v>
      </c>
      <c r="T708" s="208" t="s">
        <v>46</v>
      </c>
      <c r="U708" s="209" t="e">
        <f ca="1">_xlfn.XLOOKUP(PAA[[#This Row],[ITEM]],Contrato!A:A,Contrato!Q:Q,"",0)</f>
        <v>#NAME?</v>
      </c>
      <c r="V708" s="199" t="s">
        <v>47</v>
      </c>
      <c r="W708" s="199" t="s">
        <v>48</v>
      </c>
      <c r="X708" s="199" t="s">
        <v>48</v>
      </c>
      <c r="Y708" s="210" t="e">
        <f ca="1">_xlfn.XLOOKUP(PAA[[#This Row],[ITEM]],Contrato!A:A,Contrato!B:B,"",0)</f>
        <v>#NAME?</v>
      </c>
      <c r="Z708" s="199" t="e">
        <f ca="1">_xlfn.XLOOKUP(PAA[[#This Row],[ITEM]],Contrato!A:A,Contrato!G:G,"",0)</f>
        <v>#NAME?</v>
      </c>
      <c r="AA708" s="199" t="e">
        <f ca="1">_xlfn.XLOOKUP(PAA[[#This Row],[ITEM]],Contrato!A:A,Contrato!T:T,"",0)</f>
        <v>#NAME?</v>
      </c>
      <c r="AB708" s="210" t="e">
        <f ca="1">+MAX(PAA[[#This Row],[Comprometido Contrato]],)</f>
        <v>#NAME?</v>
      </c>
      <c r="AC708" s="210" t="str">
        <f t="shared" ca="1" si="98"/>
        <v/>
      </c>
      <c r="AD708" s="210" t="e">
        <f ca="1">+MAX(PAA[[#This Row],[Pago por Contrato]],)</f>
        <v>#NAME?</v>
      </c>
      <c r="AE708" s="210" t="str">
        <f t="shared" ca="1" si="102"/>
        <v/>
      </c>
      <c r="AF708" s="199" t="e">
        <f t="shared" ca="1" si="103"/>
        <v>#NAME?</v>
      </c>
      <c r="AG708" s="199">
        <f t="shared" si="104"/>
        <v>52010704</v>
      </c>
      <c r="AH708" s="199" t="e" cm="1">
        <f t="array" aca="1" ref="AH708" ca="1">_xlfn.XLOOKUP(PAA[[#This Row],[RCP-RUBRO]],COMPROMISOS_2025[[#All],[concatenado]],COMPROMISOS_2025[[#All],[Total pagado]],"",0)</f>
        <v>#NAME?</v>
      </c>
      <c r="AI708" s="199" t="e" cm="1">
        <f t="array" aca="1" ref="AI708" ca="1">_xlfn.XLOOKUP(PAA[[#This Row],[RCP-RUBRO]],COMPROMISOS_2025[[#All],[concatenado]],COMPROMISOS_2025[[#All],[Total Comprometido]],"",0)</f>
        <v>#NAME?</v>
      </c>
    </row>
    <row r="709" spans="1:35" s="50" customFormat="1" ht="42" hidden="1" customHeight="1" x14ac:dyDescent="0.25">
      <c r="A709" s="227" t="s">
        <v>227</v>
      </c>
      <c r="B709" s="225">
        <v>80111600</v>
      </c>
      <c r="C709" s="227" t="str">
        <f>VLOOKUP(PAA[[#This Row],[PROYECTO (formulado)2]],PROYECTOS!$G$1:$L$32,6,0)</f>
        <v>SUBGERENCIA DE FOMENTO Y DESARROLLO</v>
      </c>
      <c r="D709" s="227" t="str">
        <f>+IF(PAA[[#This Row],[UNIDAD DE CONTRATACION (formulado)]]="Subgerencia Administrativa y Financiera","FUNCIONAMIENTO","INVERSIÓN")</f>
        <v>INVERSIÓN</v>
      </c>
      <c r="E709" s="229" t="str">
        <f>VLOOKUP(Q709,PROYECTOS!$G$1:$K$32,5,0)</f>
        <v>Fortalecimiento de los juegos deportivos institucionales en los municipios del departamento de Antioquia</v>
      </c>
      <c r="F709" s="229">
        <f>VLOOKUP(E709,PROYECTOS!$K$1:$M$32,3,0)</f>
        <v>2024003050073</v>
      </c>
      <c r="G709" s="230" t="s">
        <v>271</v>
      </c>
      <c r="H709" s="230" t="str">
        <f>VLOOKUP(Q709,PROYECTOS!$V$1:$W$32,2,0)</f>
        <v>050081</v>
      </c>
      <c r="I709" s="231">
        <v>0</v>
      </c>
      <c r="J709" s="232" t="s">
        <v>41</v>
      </c>
      <c r="K709" s="227" t="str">
        <f t="shared" ca="1" si="99"/>
        <v>CONTRATADO</v>
      </c>
      <c r="L709" s="204" t="s">
        <v>112</v>
      </c>
      <c r="M709" s="204" t="s">
        <v>113</v>
      </c>
      <c r="N709" s="233" t="s">
        <v>272</v>
      </c>
      <c r="O709" s="232">
        <f>VLOOKUP(N709,RUBROS[#All],3,0)</f>
        <v>81</v>
      </c>
      <c r="P709" s="248" t="str">
        <f>VLOOKUP(N709,RUBROS[#All],2,0)</f>
        <v xml:space="preserve">Fortalecimiento de los juegos deportivos institucionales en los municipios del departamento de Antioquia - Servicios prestados a las empresas y servicios de producción </v>
      </c>
      <c r="Q709" s="227" t="str">
        <f t="shared" si="100"/>
        <v>73</v>
      </c>
      <c r="R709" s="199" t="str">
        <f t="shared" si="101"/>
        <v>0-205128</v>
      </c>
      <c r="S709" s="211">
        <v>11.5</v>
      </c>
      <c r="T709" s="208" t="s">
        <v>46</v>
      </c>
      <c r="U709" s="234" t="e">
        <f ca="1">_xlfn.XLOOKUP(PAA[[#This Row],[ITEM]],Contrato!A:A,Contrato!Q:Q,"",0)</f>
        <v>#NAME?</v>
      </c>
      <c r="V709" s="199" t="s">
        <v>47</v>
      </c>
      <c r="W709" s="199" t="s">
        <v>48</v>
      </c>
      <c r="X709" s="199" t="s">
        <v>48</v>
      </c>
      <c r="Y709" s="235" t="e">
        <f ca="1">_xlfn.XLOOKUP(PAA[[#This Row],[ITEM]],Contrato!A:A,Contrato!B:B,"",0)</f>
        <v>#NAME?</v>
      </c>
      <c r="Z709" s="227" t="e">
        <f ca="1">_xlfn.XLOOKUP(PAA[[#This Row],[ITEM]],Contrato!A:A,Contrato!G:G,"",0)</f>
        <v>#NAME?</v>
      </c>
      <c r="AA709" s="227" t="e">
        <f ca="1">_xlfn.XLOOKUP(PAA[[#This Row],[ITEM]],Contrato!A:A,Contrato!T:T,"",0)</f>
        <v>#NAME?</v>
      </c>
      <c r="AB709" s="235" t="e">
        <f ca="1">+MAX(PAA[[#This Row],[Comprometido Contrato]],)</f>
        <v>#NAME?</v>
      </c>
      <c r="AC709" s="235" t="str">
        <f t="shared" ca="1" si="98"/>
        <v/>
      </c>
      <c r="AD709" s="235" t="e">
        <f ca="1">+MAX(PAA[[#This Row],[Pago por Contrato]],)</f>
        <v>#NAME?</v>
      </c>
      <c r="AE709" s="235" t="str">
        <f t="shared" ca="1" si="102"/>
        <v/>
      </c>
      <c r="AF709" s="227" t="e">
        <f t="shared" ca="1" si="103"/>
        <v>#NAME?</v>
      </c>
      <c r="AG709" s="227">
        <f t="shared" si="104"/>
        <v>52010703</v>
      </c>
      <c r="AH709" s="227" t="e" cm="1">
        <f t="array" aca="1" ref="AH709" ca="1">_xlfn.XLOOKUP(PAA[[#This Row],[RCP-RUBRO]],COMPROMISOS_2025[[#All],[concatenado]],COMPROMISOS_2025[[#All],[Total pagado]],"",0)</f>
        <v>#NAME?</v>
      </c>
      <c r="AI709" s="227" t="e" cm="1">
        <f t="array" aca="1" ref="AI709" ca="1">_xlfn.XLOOKUP(PAA[[#This Row],[RCP-RUBRO]],COMPROMISOS_2025[[#All],[concatenado]],COMPROMISOS_2025[[#All],[Total Comprometido]],"",0)</f>
        <v>#NAME?</v>
      </c>
    </row>
    <row r="710" spans="1:35" s="50" customFormat="1" ht="42" hidden="1" customHeight="1" x14ac:dyDescent="0.25">
      <c r="A710" s="199" t="s">
        <v>227</v>
      </c>
      <c r="B710" s="200">
        <v>80111600</v>
      </c>
      <c r="C710" s="199" t="str">
        <f>VLOOKUP(PAA[[#This Row],[PROYECTO (formulado)2]],PROYECTOS!$G$1:$L$32,6,0)</f>
        <v>SUBGERENCIA DE FOMENTO Y DESARROLLO</v>
      </c>
      <c r="D710" s="199" t="str">
        <f>+IF(PAA[[#This Row],[UNIDAD DE CONTRATACION (formulado)]]="Subgerencia Administrativa y Financiera","FUNCIONAMIENTO","INVERSIÓN")</f>
        <v>INVERSIÓN</v>
      </c>
      <c r="E710" s="201" t="str">
        <f>VLOOKUP(Q710,PROYECTOS!$G$1:$K$32,5,0)</f>
        <v>Cofinanciación de dotación de implementación para el deporte la recreación y a la actividad física en el departamento de Antioquia</v>
      </c>
      <c r="F710" s="201">
        <f>VLOOKUP(E710,PROYECTOS!$K$1:$M$32,3,0)</f>
        <v>2024003050074</v>
      </c>
      <c r="G710" s="202" t="s">
        <v>273</v>
      </c>
      <c r="H710" s="202" t="str">
        <f>VLOOKUP(Q710,PROYECTOS!$V$1:$W$32,2,0)</f>
        <v>050073</v>
      </c>
      <c r="I710" s="203">
        <v>0</v>
      </c>
      <c r="J710" s="204" t="s">
        <v>41</v>
      </c>
      <c r="K710" s="199" t="str">
        <f t="shared" ca="1" si="99"/>
        <v>CONTRATADO</v>
      </c>
      <c r="L710" s="199" t="s">
        <v>112</v>
      </c>
      <c r="M710" s="204" t="s">
        <v>113</v>
      </c>
      <c r="N710" s="205" t="s">
        <v>274</v>
      </c>
      <c r="O710" s="204">
        <f>VLOOKUP(N710,RUBROS[#All],3,0)</f>
        <v>85</v>
      </c>
      <c r="P710" s="206" t="str">
        <f>VLOOKUP(N710,RUBROS[#All],2,0)</f>
        <v xml:space="preserve">Cofinanciación de dotación de implementación para el deporte la recreación y a la actividad física en el departamento de Antioquia - Servicios prestados a las empresas y servicios de producción </v>
      </c>
      <c r="Q710" s="199" t="str">
        <f t="shared" si="100"/>
        <v>74</v>
      </c>
      <c r="R710" s="199" t="str">
        <f t="shared" si="101"/>
        <v>0-101024</v>
      </c>
      <c r="S710" s="207">
        <v>11.5</v>
      </c>
      <c r="T710" s="208" t="s">
        <v>46</v>
      </c>
      <c r="U710" s="209" t="e">
        <f ca="1">_xlfn.XLOOKUP(PAA[[#This Row],[ITEM]],Contrato!A:A,Contrato!Q:Q,"",0)</f>
        <v>#NAME?</v>
      </c>
      <c r="V710" s="199" t="s">
        <v>47</v>
      </c>
      <c r="W710" s="199" t="s">
        <v>48</v>
      </c>
      <c r="X710" s="199" t="s">
        <v>48</v>
      </c>
      <c r="Y710" s="210" t="e">
        <f ca="1">_xlfn.XLOOKUP(PAA[[#This Row],[ITEM]],Contrato!A:A,Contrato!B:B,"",0)</f>
        <v>#NAME?</v>
      </c>
      <c r="Z710" s="199" t="e">
        <f ca="1">_xlfn.XLOOKUP(PAA[[#This Row],[ITEM]],Contrato!A:A,Contrato!G:G,"",0)</f>
        <v>#NAME?</v>
      </c>
      <c r="AA710" s="199" t="e">
        <f ca="1">_xlfn.XLOOKUP(PAA[[#This Row],[ITEM]],Contrato!A:A,Contrato!T:T,"",0)</f>
        <v>#NAME?</v>
      </c>
      <c r="AB710" s="210" t="e">
        <f ca="1">+MAX(PAA[[#This Row],[Comprometido Contrato]],)</f>
        <v>#NAME?</v>
      </c>
      <c r="AC710" s="210" t="str">
        <f t="shared" ca="1" si="98"/>
        <v/>
      </c>
      <c r="AD710" s="210" t="e">
        <f ca="1">+MAX(PAA[[#This Row],[Pago por Contrato]],)</f>
        <v>#NAME?</v>
      </c>
      <c r="AE710" s="210" t="str">
        <f t="shared" ca="1" si="102"/>
        <v/>
      </c>
      <c r="AF710" s="199" t="e">
        <f t="shared" ca="1" si="103"/>
        <v>#NAME?</v>
      </c>
      <c r="AG710" s="199">
        <f t="shared" si="104"/>
        <v>52010701</v>
      </c>
      <c r="AH710" s="199" t="e" cm="1">
        <f t="array" aca="1" ref="AH710" ca="1">_xlfn.XLOOKUP(PAA[[#This Row],[RCP-RUBRO]],COMPROMISOS_2025[[#All],[concatenado]],COMPROMISOS_2025[[#All],[Total pagado]],"",0)</f>
        <v>#NAME?</v>
      </c>
      <c r="AI710" s="199" t="e" cm="1">
        <f t="array" aca="1" ref="AI710" ca="1">_xlfn.XLOOKUP(PAA[[#This Row],[RCP-RUBRO]],COMPROMISOS_2025[[#All],[concatenado]],COMPROMISOS_2025[[#All],[Total Comprometido]],"",0)</f>
        <v>#NAME?</v>
      </c>
    </row>
    <row r="711" spans="1:35" s="50" customFormat="1" ht="42" hidden="1" customHeight="1" x14ac:dyDescent="0.25">
      <c r="A711" s="199" t="s">
        <v>227</v>
      </c>
      <c r="B711" s="200">
        <v>80111600</v>
      </c>
      <c r="C711" s="199" t="str">
        <f>VLOOKUP(PAA[[#This Row],[PROYECTO (formulado)2]],PROYECTOS!$G$1:$L$32,6,0)</f>
        <v>SUBGERENCIA DE FOMENTO Y DESARROLLO</v>
      </c>
      <c r="D711" s="199" t="str">
        <f>+IF(PAA[[#This Row],[UNIDAD DE CONTRATACION (formulado)]]="Subgerencia Administrativa y Financiera","FUNCIONAMIENTO","INVERSIÓN")</f>
        <v>INVERSIÓN</v>
      </c>
      <c r="E711" s="201" t="str">
        <f>VLOOKUP(Q711,PROYECTOS!$G$1:$K$32,5,0)</f>
        <v>Desarrollo y promoción del deporte formativo, la recreación y la actividad física en el departamento Antioquia</v>
      </c>
      <c r="F711" s="201">
        <f>VLOOKUP(E711,PROYECTOS!$K$1:$M$32,3,0)</f>
        <v>2024003050101</v>
      </c>
      <c r="G711" s="202" t="s">
        <v>264</v>
      </c>
      <c r="H711" s="202" t="str">
        <f>VLOOKUP(Q711,PROYECTOS!$V$1:$W$32,2,0)</f>
        <v>050075</v>
      </c>
      <c r="I711" s="203">
        <v>0</v>
      </c>
      <c r="J711" s="204" t="s">
        <v>41</v>
      </c>
      <c r="K711" s="199" t="str">
        <f t="shared" ca="1" si="99"/>
        <v>CONTRATADO</v>
      </c>
      <c r="L711" s="204" t="s">
        <v>112</v>
      </c>
      <c r="M711" s="204" t="s">
        <v>113</v>
      </c>
      <c r="N711" s="205" t="s">
        <v>266</v>
      </c>
      <c r="O711" s="204">
        <f>VLOOKUP(N711,RUBROS[#All],3,0)</f>
        <v>70</v>
      </c>
      <c r="P711" s="206" t="str">
        <f>VLOOKUP(N711,RUBROS[#All],2,0)</f>
        <v xml:space="preserve">Desarrollo y promoción del deporte formativo, la recreación y la actividad física en el departamento Antioquia - Servicios prestados a las empresas y servicios de producción </v>
      </c>
      <c r="Q711" s="199" t="str">
        <f t="shared" si="100"/>
        <v>01</v>
      </c>
      <c r="R711" s="199" t="str">
        <f t="shared" si="101"/>
        <v>0-205128</v>
      </c>
      <c r="S711" s="207">
        <v>11.5</v>
      </c>
      <c r="T711" s="208" t="s">
        <v>46</v>
      </c>
      <c r="U711" s="209" t="e">
        <f ca="1">_xlfn.XLOOKUP(PAA[[#This Row],[ITEM]],Contrato!A:A,Contrato!Q:Q,"",0)</f>
        <v>#NAME?</v>
      </c>
      <c r="V711" s="199" t="s">
        <v>47</v>
      </c>
      <c r="W711" s="199" t="s">
        <v>48</v>
      </c>
      <c r="X711" s="199" t="s">
        <v>48</v>
      </c>
      <c r="Y711" s="210" t="e">
        <f ca="1">_xlfn.XLOOKUP(PAA[[#This Row],[ITEM]],Contrato!A:A,Contrato!B:B,"",0)</f>
        <v>#NAME?</v>
      </c>
      <c r="Z711" s="199" t="e">
        <f ca="1">_xlfn.XLOOKUP(PAA[[#This Row],[ITEM]],Contrato!A:A,Contrato!G:G,"",0)</f>
        <v>#NAME?</v>
      </c>
      <c r="AA711" s="199" t="e">
        <f ca="1">_xlfn.XLOOKUP(PAA[[#This Row],[ITEM]],Contrato!A:A,Contrato!T:T,"",0)</f>
        <v>#NAME?</v>
      </c>
      <c r="AB711" s="210" t="e">
        <f ca="1">+MAX(PAA[[#This Row],[Comprometido Contrato]],)</f>
        <v>#NAME?</v>
      </c>
      <c r="AC711" s="210" t="str">
        <f t="shared" ca="1" si="98"/>
        <v/>
      </c>
      <c r="AD711" s="210" t="e">
        <f ca="1">+MAX(PAA[[#This Row],[Pago por Contrato]],)</f>
        <v>#NAME?</v>
      </c>
      <c r="AE711" s="210" t="str">
        <f t="shared" ca="1" si="102"/>
        <v/>
      </c>
      <c r="AF711" s="199" t="e">
        <f t="shared" ca="1" si="103"/>
        <v>#NAME?</v>
      </c>
      <c r="AG711" s="199">
        <f t="shared" si="104"/>
        <v>52010702</v>
      </c>
      <c r="AH711" s="199" t="e" cm="1">
        <f t="array" aca="1" ref="AH711" ca="1">_xlfn.XLOOKUP(PAA[[#This Row],[RCP-RUBRO]],COMPROMISOS_2025[[#All],[concatenado]],COMPROMISOS_2025[[#All],[Total pagado]],"",0)</f>
        <v>#NAME?</v>
      </c>
      <c r="AI711" s="199" t="e" cm="1">
        <f t="array" aca="1" ref="AI711" ca="1">_xlfn.XLOOKUP(PAA[[#This Row],[RCP-RUBRO]],COMPROMISOS_2025[[#All],[concatenado]],COMPROMISOS_2025[[#All],[Total Comprometido]],"",0)</f>
        <v>#NAME?</v>
      </c>
    </row>
    <row r="712" spans="1:35" s="50" customFormat="1" ht="42" hidden="1" customHeight="1" x14ac:dyDescent="0.25">
      <c r="A712" s="199" t="s">
        <v>227</v>
      </c>
      <c r="B712" s="200">
        <v>80111600</v>
      </c>
      <c r="C712" s="199" t="str">
        <f>VLOOKUP(PAA[[#This Row],[PROYECTO (formulado)2]],PROYECTOS!$G$1:$L$32,6,0)</f>
        <v>SUBGERENCIA DE FOMENTO Y DESARROLLO</v>
      </c>
      <c r="D712" s="199" t="str">
        <f>+IF(PAA[[#This Row],[UNIDAD DE CONTRATACION (formulado)]]="Subgerencia Administrativa y Financiera","FUNCIONAMIENTO","INVERSIÓN")</f>
        <v>INVERSIÓN</v>
      </c>
      <c r="E712" s="201" t="str">
        <f>VLOOKUP(Q712,PROYECTOS!$G$1:$K$32,5,0)</f>
        <v>Asesoria y acompañamiento institucional para el deporte formativo, la recreación y la actividad física en el departamento de Antioquia</v>
      </c>
      <c r="F712" s="201">
        <f>VLOOKUP(E712,PROYECTOS!$K$1:$M$32,3,0)</f>
        <v>2024003050100</v>
      </c>
      <c r="G712" s="202" t="s">
        <v>267</v>
      </c>
      <c r="H712" s="202" t="str">
        <f>VLOOKUP(Q712,PROYECTOS!$V$1:$W$32,2,0)</f>
        <v>050071</v>
      </c>
      <c r="I712" s="203">
        <v>0</v>
      </c>
      <c r="J712" s="204" t="s">
        <v>41</v>
      </c>
      <c r="K712" s="199" t="str">
        <f t="shared" ca="1" si="99"/>
        <v>CONTRATADO</v>
      </c>
      <c r="L712" s="204" t="s">
        <v>112</v>
      </c>
      <c r="M712" s="204" t="s">
        <v>113</v>
      </c>
      <c r="N712" s="205" t="s">
        <v>268</v>
      </c>
      <c r="O712" s="204">
        <f>VLOOKUP(N712,RUBROS[#All],3,0)</f>
        <v>74</v>
      </c>
      <c r="P712" s="206" t="str">
        <f>VLOOKUP(N712,RUBROS[#All],2,0)</f>
        <v xml:space="preserve">Asesoria y acompañamiento institucional para el deporte formativo, la recreación y la actividad física en el departamento de Antioquia. - Servicios prestados a las empresas y servicios de producción </v>
      </c>
      <c r="Q712" s="199" t="str">
        <f t="shared" si="100"/>
        <v>10</v>
      </c>
      <c r="R712" s="199" t="str">
        <f t="shared" si="101"/>
        <v>0-101024</v>
      </c>
      <c r="S712" s="207">
        <v>11.5</v>
      </c>
      <c r="T712" s="208" t="s">
        <v>46</v>
      </c>
      <c r="U712" s="209" t="e">
        <f ca="1">_xlfn.XLOOKUP(PAA[[#This Row],[ITEM]],Contrato!A:A,Contrato!Q:Q,"",0)</f>
        <v>#NAME?</v>
      </c>
      <c r="V712" s="199" t="s">
        <v>47</v>
      </c>
      <c r="W712" s="199" t="s">
        <v>48</v>
      </c>
      <c r="X712" s="199" t="s">
        <v>48</v>
      </c>
      <c r="Y712" s="210" t="e">
        <f ca="1">_xlfn.XLOOKUP(PAA[[#This Row],[ITEM]],Contrato!A:A,Contrato!B:B,"",0)</f>
        <v>#NAME?</v>
      </c>
      <c r="Z712" s="199" t="e">
        <f ca="1">_xlfn.XLOOKUP(PAA[[#This Row],[ITEM]],Contrato!A:A,Contrato!G:G,"",0)</f>
        <v>#NAME?</v>
      </c>
      <c r="AA712" s="199" t="e">
        <f ca="1">_xlfn.XLOOKUP(PAA[[#This Row],[ITEM]],Contrato!A:A,Contrato!T:T,"",0)</f>
        <v>#NAME?</v>
      </c>
      <c r="AB712" s="210" t="e">
        <f ca="1">+MAX(PAA[[#This Row],[Comprometido Contrato]],)</f>
        <v>#NAME?</v>
      </c>
      <c r="AC712" s="210" t="str">
        <f t="shared" ca="1" si="98"/>
        <v/>
      </c>
      <c r="AD712" s="210" t="e">
        <f ca="1">+MAX(PAA[[#This Row],[Pago por Contrato]],)</f>
        <v>#NAME?</v>
      </c>
      <c r="AE712" s="210" t="str">
        <f t="shared" ca="1" si="102"/>
        <v/>
      </c>
      <c r="AF712" s="199" t="e">
        <f t="shared" ca="1" si="103"/>
        <v>#NAME?</v>
      </c>
      <c r="AG712" s="199">
        <f t="shared" si="104"/>
        <v>52010705</v>
      </c>
      <c r="AH712" s="199" t="e" cm="1">
        <f t="array" aca="1" ref="AH712" ca="1">_xlfn.XLOOKUP(PAA[[#This Row],[RCP-RUBRO]],COMPROMISOS_2025[[#All],[concatenado]],COMPROMISOS_2025[[#All],[Total pagado]],"",0)</f>
        <v>#NAME?</v>
      </c>
      <c r="AI712" s="199" t="e" cm="1">
        <f t="array" aca="1" ref="AI712" ca="1">_xlfn.XLOOKUP(PAA[[#This Row],[RCP-RUBRO]],COMPROMISOS_2025[[#All],[concatenado]],COMPROMISOS_2025[[#All],[Total Comprometido]],"",0)</f>
        <v>#NAME?</v>
      </c>
    </row>
    <row r="713" spans="1:35" s="50" customFormat="1" ht="42" hidden="1" customHeight="1" x14ac:dyDescent="0.25">
      <c r="A713" s="199" t="s">
        <v>227</v>
      </c>
      <c r="B713" s="200">
        <v>80111600</v>
      </c>
      <c r="C713" s="199" t="str">
        <f>VLOOKUP(PAA[[#This Row],[PROYECTO (formulado)2]],PROYECTOS!$G$1:$L$32,6,0)</f>
        <v>SUBGERENCIA DE FOMENTO Y DESARROLLO</v>
      </c>
      <c r="D713" s="199" t="str">
        <f>+IF(PAA[[#This Row],[UNIDAD DE CONTRATACION (formulado)]]="Subgerencia Administrativa y Financiera","FUNCIONAMIENTO","INVERSIÓN")</f>
        <v>INVERSIÓN</v>
      </c>
      <c r="E713" s="201" t="str">
        <f>VLOOKUP(Q713,PROYECTOS!$G$1:$K$32,5,0)</f>
        <v>Capacitación para el sector del deporte, la recreación y la actividad física en el Departamento de   Antioquia</v>
      </c>
      <c r="F713" s="201">
        <f>VLOOKUP(E713,PROYECTOS!$K$1:$M$32,3,0)</f>
        <v>2024003050072</v>
      </c>
      <c r="G713" s="202" t="s">
        <v>269</v>
      </c>
      <c r="H713" s="202" t="str">
        <f>VLOOKUP(Q713,PROYECTOS!$V$1:$W$32,2,0)</f>
        <v>050072</v>
      </c>
      <c r="I713" s="203">
        <v>0</v>
      </c>
      <c r="J713" s="204" t="s">
        <v>41</v>
      </c>
      <c r="K713" s="199" t="str">
        <f t="shared" ca="1" si="99"/>
        <v>CONTRATADO</v>
      </c>
      <c r="L713" s="204" t="s">
        <v>112</v>
      </c>
      <c r="M713" s="204" t="s">
        <v>113</v>
      </c>
      <c r="N713" s="205" t="s">
        <v>270</v>
      </c>
      <c r="O713" s="204">
        <f>VLOOKUP(N713,RUBROS[#All],3,0)</f>
        <v>78</v>
      </c>
      <c r="P713" s="206" t="str">
        <f>VLOOKUP(N713,RUBROS[#All],2,0)</f>
        <v xml:space="preserve">Capacitación para el sector del deporte, la recreación y la actividad física en el Departamento de   Antioquia - Servicios prestados a las empresas y servicios de producción </v>
      </c>
      <c r="Q713" s="199" t="str">
        <f t="shared" si="100"/>
        <v>72</v>
      </c>
      <c r="R713" s="199" t="str">
        <f t="shared" si="101"/>
        <v>0-205128</v>
      </c>
      <c r="S713" s="207">
        <v>11.5</v>
      </c>
      <c r="T713" s="208" t="s">
        <v>46</v>
      </c>
      <c r="U713" s="209" t="e">
        <f ca="1">_xlfn.XLOOKUP(PAA[[#This Row],[ITEM]],Contrato!A:A,Contrato!Q:Q,"",0)</f>
        <v>#NAME?</v>
      </c>
      <c r="V713" s="199" t="s">
        <v>47</v>
      </c>
      <c r="W713" s="199" t="s">
        <v>48</v>
      </c>
      <c r="X713" s="199" t="s">
        <v>48</v>
      </c>
      <c r="Y713" s="210" t="e">
        <f ca="1">_xlfn.XLOOKUP(PAA[[#This Row],[ITEM]],Contrato!A:A,Contrato!B:B,"",0)</f>
        <v>#NAME?</v>
      </c>
      <c r="Z713" s="199" t="e">
        <f ca="1">_xlfn.XLOOKUP(PAA[[#This Row],[ITEM]],Contrato!A:A,Contrato!G:G,"",0)</f>
        <v>#NAME?</v>
      </c>
      <c r="AA713" s="199" t="e">
        <f ca="1">_xlfn.XLOOKUP(PAA[[#This Row],[ITEM]],Contrato!A:A,Contrato!T:T,"",0)</f>
        <v>#NAME?</v>
      </c>
      <c r="AB713" s="210" t="e">
        <f ca="1">+MAX(PAA[[#This Row],[Comprometido Contrato]],)</f>
        <v>#NAME?</v>
      </c>
      <c r="AC713" s="210" t="str">
        <f t="shared" ref="AC713:AC754" ca="1" si="105">IFERROR(I713-AB713,"")</f>
        <v/>
      </c>
      <c r="AD713" s="210" t="e">
        <f ca="1">+MAX(PAA[[#This Row],[Pago por Contrato]],)</f>
        <v>#NAME?</v>
      </c>
      <c r="AE713" s="210" t="str">
        <f t="shared" ca="1" si="102"/>
        <v/>
      </c>
      <c r="AF713" s="199" t="e">
        <f t="shared" ca="1" si="103"/>
        <v>#NAME?</v>
      </c>
      <c r="AG713" s="199">
        <f t="shared" si="104"/>
        <v>52010704</v>
      </c>
      <c r="AH713" s="199" t="e" cm="1">
        <f t="array" aca="1" ref="AH713" ca="1">_xlfn.XLOOKUP(PAA[[#This Row],[RCP-RUBRO]],COMPROMISOS_2025[[#All],[concatenado]],COMPROMISOS_2025[[#All],[Total pagado]],"",0)</f>
        <v>#NAME?</v>
      </c>
      <c r="AI713" s="199" t="e" cm="1">
        <f t="array" aca="1" ref="AI713" ca="1">_xlfn.XLOOKUP(PAA[[#This Row],[RCP-RUBRO]],COMPROMISOS_2025[[#All],[concatenado]],COMPROMISOS_2025[[#All],[Total Comprometido]],"",0)</f>
        <v>#NAME?</v>
      </c>
    </row>
    <row r="714" spans="1:35" s="50" customFormat="1" ht="42" hidden="1" customHeight="1" x14ac:dyDescent="0.25">
      <c r="A714" s="227" t="s">
        <v>227</v>
      </c>
      <c r="B714" s="225">
        <v>80111600</v>
      </c>
      <c r="C714" s="227" t="str">
        <f>VLOOKUP(PAA[[#This Row],[PROYECTO (formulado)2]],PROYECTOS!$G$1:$L$32,6,0)</f>
        <v>SUBGERENCIA DE FOMENTO Y DESARROLLO</v>
      </c>
      <c r="D714" s="227" t="str">
        <f>+IF(PAA[[#This Row],[UNIDAD DE CONTRATACION (formulado)]]="Subgerencia Administrativa y Financiera","FUNCIONAMIENTO","INVERSIÓN")</f>
        <v>INVERSIÓN</v>
      </c>
      <c r="E714" s="229" t="str">
        <f>VLOOKUP(Q714,PROYECTOS!$G$1:$K$32,5,0)</f>
        <v>Fortalecimiento de los juegos deportivos institucionales en los municipios del departamento de Antioquia</v>
      </c>
      <c r="F714" s="229">
        <f>VLOOKUP(E714,PROYECTOS!$K$1:$M$32,3,0)</f>
        <v>2024003050073</v>
      </c>
      <c r="G714" s="230" t="s">
        <v>271</v>
      </c>
      <c r="H714" s="230" t="str">
        <f>VLOOKUP(Q714,PROYECTOS!$V$1:$W$32,2,0)</f>
        <v>050081</v>
      </c>
      <c r="I714" s="231">
        <v>0</v>
      </c>
      <c r="J714" s="232" t="s">
        <v>41</v>
      </c>
      <c r="K714" s="227" t="str">
        <f t="shared" ca="1" si="99"/>
        <v>CONTRATADO</v>
      </c>
      <c r="L714" s="204" t="s">
        <v>112</v>
      </c>
      <c r="M714" s="204" t="s">
        <v>113</v>
      </c>
      <c r="N714" s="233" t="s">
        <v>272</v>
      </c>
      <c r="O714" s="232">
        <f>VLOOKUP(N714,RUBROS[#All],3,0)</f>
        <v>81</v>
      </c>
      <c r="P714" s="248" t="str">
        <f>VLOOKUP(N714,RUBROS[#All],2,0)</f>
        <v xml:space="preserve">Fortalecimiento de los juegos deportivos institucionales en los municipios del departamento de Antioquia - Servicios prestados a las empresas y servicios de producción </v>
      </c>
      <c r="Q714" s="227" t="str">
        <f t="shared" si="100"/>
        <v>73</v>
      </c>
      <c r="R714" s="199" t="str">
        <f t="shared" si="101"/>
        <v>0-205128</v>
      </c>
      <c r="S714" s="211">
        <v>11.5</v>
      </c>
      <c r="T714" s="208" t="s">
        <v>46</v>
      </c>
      <c r="U714" s="234" t="e">
        <f ca="1">_xlfn.XLOOKUP(PAA[[#This Row],[ITEM]],Contrato!A:A,Contrato!Q:Q,"",0)</f>
        <v>#NAME?</v>
      </c>
      <c r="V714" s="199" t="s">
        <v>47</v>
      </c>
      <c r="W714" s="199" t="s">
        <v>48</v>
      </c>
      <c r="X714" s="199" t="s">
        <v>48</v>
      </c>
      <c r="Y714" s="235" t="e">
        <f ca="1">_xlfn.XLOOKUP(PAA[[#This Row],[ITEM]],Contrato!A:A,Contrato!B:B,"",0)</f>
        <v>#NAME?</v>
      </c>
      <c r="Z714" s="227" t="e">
        <f ca="1">_xlfn.XLOOKUP(PAA[[#This Row],[ITEM]],Contrato!A:A,Contrato!G:G,"",0)</f>
        <v>#NAME?</v>
      </c>
      <c r="AA714" s="227" t="e">
        <f ca="1">_xlfn.XLOOKUP(PAA[[#This Row],[ITEM]],Contrato!A:A,Contrato!T:T,"",0)</f>
        <v>#NAME?</v>
      </c>
      <c r="AB714" s="235" t="e">
        <f ca="1">+MAX(PAA[[#This Row],[Comprometido Contrato]],)</f>
        <v>#NAME?</v>
      </c>
      <c r="AC714" s="235" t="str">
        <f t="shared" ca="1" si="105"/>
        <v/>
      </c>
      <c r="AD714" s="235" t="e">
        <f ca="1">+MAX(PAA[[#This Row],[Pago por Contrato]],)</f>
        <v>#NAME?</v>
      </c>
      <c r="AE714" s="235" t="str">
        <f t="shared" ca="1" si="102"/>
        <v/>
      </c>
      <c r="AF714" s="227" t="e">
        <f t="shared" ca="1" si="103"/>
        <v>#NAME?</v>
      </c>
      <c r="AG714" s="227">
        <f t="shared" si="104"/>
        <v>52010703</v>
      </c>
      <c r="AH714" s="227" t="e" cm="1">
        <f t="array" aca="1" ref="AH714" ca="1">_xlfn.XLOOKUP(PAA[[#This Row],[RCP-RUBRO]],COMPROMISOS_2025[[#All],[concatenado]],COMPROMISOS_2025[[#All],[Total pagado]],"",0)</f>
        <v>#NAME?</v>
      </c>
      <c r="AI714" s="227" t="e" cm="1">
        <f t="array" aca="1" ref="AI714" ca="1">_xlfn.XLOOKUP(PAA[[#This Row],[RCP-RUBRO]],COMPROMISOS_2025[[#All],[concatenado]],COMPROMISOS_2025[[#All],[Total Comprometido]],"",0)</f>
        <v>#NAME?</v>
      </c>
    </row>
    <row r="715" spans="1:35" s="50" customFormat="1" ht="42" hidden="1" customHeight="1" x14ac:dyDescent="0.25">
      <c r="A715" s="199" t="s">
        <v>227</v>
      </c>
      <c r="B715" s="200">
        <v>80111600</v>
      </c>
      <c r="C715" s="199" t="str">
        <f>VLOOKUP(PAA[[#This Row],[PROYECTO (formulado)2]],PROYECTOS!$G$1:$L$32,6,0)</f>
        <v>SUBGERENCIA DE FOMENTO Y DESARROLLO</v>
      </c>
      <c r="D715" s="199" t="str">
        <f>+IF(PAA[[#This Row],[UNIDAD DE CONTRATACION (formulado)]]="Subgerencia Administrativa y Financiera","FUNCIONAMIENTO","INVERSIÓN")</f>
        <v>INVERSIÓN</v>
      </c>
      <c r="E715" s="201" t="str">
        <f>VLOOKUP(Q715,PROYECTOS!$G$1:$K$32,5,0)</f>
        <v>Cofinanciación de dotación de implementación para el deporte la recreación y a la actividad física en el departamento de Antioquia</v>
      </c>
      <c r="F715" s="201">
        <f>VLOOKUP(E715,PROYECTOS!$K$1:$M$32,3,0)</f>
        <v>2024003050074</v>
      </c>
      <c r="G715" s="202" t="s">
        <v>273</v>
      </c>
      <c r="H715" s="202" t="str">
        <f>VLOOKUP(Q715,PROYECTOS!$V$1:$W$32,2,0)</f>
        <v>050073</v>
      </c>
      <c r="I715" s="203">
        <v>0</v>
      </c>
      <c r="J715" s="204" t="s">
        <v>41</v>
      </c>
      <c r="K715" s="199" t="str">
        <f t="shared" ca="1" si="99"/>
        <v>CONTRATADO</v>
      </c>
      <c r="L715" s="199" t="s">
        <v>112</v>
      </c>
      <c r="M715" s="204" t="s">
        <v>113</v>
      </c>
      <c r="N715" s="205" t="s">
        <v>274</v>
      </c>
      <c r="O715" s="204">
        <f>VLOOKUP(N715,RUBROS[#All],3,0)</f>
        <v>85</v>
      </c>
      <c r="P715" s="206" t="str">
        <f>VLOOKUP(N715,RUBROS[#All],2,0)</f>
        <v xml:space="preserve">Cofinanciación de dotación de implementación para el deporte la recreación y a la actividad física en el departamento de Antioquia - Servicios prestados a las empresas y servicios de producción </v>
      </c>
      <c r="Q715" s="199" t="str">
        <f t="shared" si="100"/>
        <v>74</v>
      </c>
      <c r="R715" s="199" t="str">
        <f t="shared" si="101"/>
        <v>0-101024</v>
      </c>
      <c r="S715" s="207">
        <v>11.5</v>
      </c>
      <c r="T715" s="208" t="s">
        <v>46</v>
      </c>
      <c r="U715" s="209" t="e">
        <f ca="1">_xlfn.XLOOKUP(PAA[[#This Row],[ITEM]],Contrato!A:A,Contrato!Q:Q,"",0)</f>
        <v>#NAME?</v>
      </c>
      <c r="V715" s="199" t="s">
        <v>47</v>
      </c>
      <c r="W715" s="199" t="s">
        <v>48</v>
      </c>
      <c r="X715" s="199" t="s">
        <v>48</v>
      </c>
      <c r="Y715" s="210" t="e">
        <f ca="1">_xlfn.XLOOKUP(PAA[[#This Row],[ITEM]],Contrato!A:A,Contrato!B:B,"",0)</f>
        <v>#NAME?</v>
      </c>
      <c r="Z715" s="199" t="e">
        <f ca="1">_xlfn.XLOOKUP(PAA[[#This Row],[ITEM]],Contrato!A:A,Contrato!G:G,"",0)</f>
        <v>#NAME?</v>
      </c>
      <c r="AA715" s="199" t="e">
        <f ca="1">_xlfn.XLOOKUP(PAA[[#This Row],[ITEM]],Contrato!A:A,Contrato!T:T,"",0)</f>
        <v>#NAME?</v>
      </c>
      <c r="AB715" s="210" t="e">
        <f ca="1">+MAX(PAA[[#This Row],[Comprometido Contrato]],)</f>
        <v>#NAME?</v>
      </c>
      <c r="AC715" s="210" t="str">
        <f t="shared" ca="1" si="105"/>
        <v/>
      </c>
      <c r="AD715" s="210" t="e">
        <f ca="1">+MAX(PAA[[#This Row],[Pago por Contrato]],)</f>
        <v>#NAME?</v>
      </c>
      <c r="AE715" s="210" t="str">
        <f t="shared" ca="1" si="102"/>
        <v/>
      </c>
      <c r="AF715" s="199" t="e">
        <f t="shared" ca="1" si="103"/>
        <v>#NAME?</v>
      </c>
      <c r="AG715" s="199">
        <f t="shared" si="104"/>
        <v>52010701</v>
      </c>
      <c r="AH715" s="199" t="e" cm="1">
        <f t="array" aca="1" ref="AH715" ca="1">_xlfn.XLOOKUP(PAA[[#This Row],[RCP-RUBRO]],COMPROMISOS_2025[[#All],[concatenado]],COMPROMISOS_2025[[#All],[Total pagado]],"",0)</f>
        <v>#NAME?</v>
      </c>
      <c r="AI715" s="199" t="e" cm="1">
        <f t="array" aca="1" ref="AI715" ca="1">_xlfn.XLOOKUP(PAA[[#This Row],[RCP-RUBRO]],COMPROMISOS_2025[[#All],[concatenado]],COMPROMISOS_2025[[#All],[Total Comprometido]],"",0)</f>
        <v>#NAME?</v>
      </c>
    </row>
    <row r="716" spans="1:35" s="50" customFormat="1" ht="42" hidden="1" customHeight="1" x14ac:dyDescent="0.25">
      <c r="A716" s="199" t="s">
        <v>227</v>
      </c>
      <c r="B716" s="200">
        <v>80111600</v>
      </c>
      <c r="C716" s="199" t="str">
        <f>VLOOKUP(PAA[[#This Row],[PROYECTO (formulado)2]],PROYECTOS!$G$1:$L$32,6,0)</f>
        <v>SUBGERENCIA DE FOMENTO Y DESARROLLO</v>
      </c>
      <c r="D716" s="199" t="str">
        <f>+IF(PAA[[#This Row],[UNIDAD DE CONTRATACION (formulado)]]="Subgerencia Administrativa y Financiera","FUNCIONAMIENTO","INVERSIÓN")</f>
        <v>INVERSIÓN</v>
      </c>
      <c r="E716" s="201" t="str">
        <f>VLOOKUP(Q716,PROYECTOS!$G$1:$K$32,5,0)</f>
        <v>Desarrollo y promoción del deporte formativo, la recreación y la actividad física en el departamento Antioquia</v>
      </c>
      <c r="F716" s="201">
        <f>VLOOKUP(E716,PROYECTOS!$K$1:$M$32,3,0)</f>
        <v>2024003050101</v>
      </c>
      <c r="G716" s="202" t="s">
        <v>264</v>
      </c>
      <c r="H716" s="202" t="str">
        <f>VLOOKUP(Q716,PROYECTOS!$V$1:$W$32,2,0)</f>
        <v>050075</v>
      </c>
      <c r="I716" s="203">
        <v>9143580</v>
      </c>
      <c r="J716" s="204" t="s">
        <v>802</v>
      </c>
      <c r="K716" s="199" t="str">
        <f t="shared" ca="1" si="99"/>
        <v>CONTRATADO</v>
      </c>
      <c r="L716" s="204" t="s">
        <v>112</v>
      </c>
      <c r="M716" s="204" t="s">
        <v>113</v>
      </c>
      <c r="N716" s="205" t="s">
        <v>266</v>
      </c>
      <c r="O716" s="204">
        <f>VLOOKUP(N716,RUBROS[#All],3,0)</f>
        <v>70</v>
      </c>
      <c r="P716" s="206" t="str">
        <f>VLOOKUP(N716,RUBROS[#All],2,0)</f>
        <v xml:space="preserve">Desarrollo y promoción del deporte formativo, la recreación y la actividad física en el departamento Antioquia - Servicios prestados a las empresas y servicios de producción </v>
      </c>
      <c r="Q716" s="199" t="str">
        <f t="shared" si="100"/>
        <v>01</v>
      </c>
      <c r="R716" s="199" t="str">
        <f t="shared" si="101"/>
        <v>0-205128</v>
      </c>
      <c r="S716" s="207">
        <v>11.5</v>
      </c>
      <c r="T716" s="208" t="s">
        <v>46</v>
      </c>
      <c r="U716" s="209" t="e">
        <f ca="1">_xlfn.XLOOKUP(PAA[[#This Row],[ITEM]],Contrato!A:A,Contrato!Q:Q,"",0)</f>
        <v>#NAME?</v>
      </c>
      <c r="V716" s="199" t="s">
        <v>47</v>
      </c>
      <c r="W716" s="199" t="s">
        <v>48</v>
      </c>
      <c r="X716" s="199" t="s">
        <v>48</v>
      </c>
      <c r="Y716" s="210" t="e">
        <f ca="1">_xlfn.XLOOKUP(PAA[[#This Row],[ITEM]],Contrato!A:A,Contrato!B:B,"",0)</f>
        <v>#NAME?</v>
      </c>
      <c r="Z716" s="199" t="e">
        <f ca="1">_xlfn.XLOOKUP(PAA[[#This Row],[ITEM]],Contrato!A:A,Contrato!G:G,"",0)</f>
        <v>#NAME?</v>
      </c>
      <c r="AA716" s="199" t="e">
        <f ca="1">_xlfn.XLOOKUP(PAA[[#This Row],[ITEM]],Contrato!A:A,Contrato!T:T,"",0)</f>
        <v>#NAME?</v>
      </c>
      <c r="AB716" s="210" t="e">
        <f ca="1">+MAX(PAA[[#This Row],[Comprometido Contrato]],)</f>
        <v>#NAME?</v>
      </c>
      <c r="AC716" s="210" t="str">
        <f t="shared" ca="1" si="105"/>
        <v/>
      </c>
      <c r="AD716" s="210" t="e">
        <f ca="1">+MAX(PAA[[#This Row],[Pago por Contrato]],)</f>
        <v>#NAME?</v>
      </c>
      <c r="AE716" s="210" t="str">
        <f t="shared" ca="1" si="102"/>
        <v/>
      </c>
      <c r="AF716" s="199" t="e">
        <f t="shared" ca="1" si="103"/>
        <v>#NAME?</v>
      </c>
      <c r="AG716" s="199">
        <f t="shared" si="104"/>
        <v>52010702</v>
      </c>
      <c r="AH716" s="199" t="e" cm="1">
        <f t="array" aca="1" ref="AH716" ca="1">_xlfn.XLOOKUP(PAA[[#This Row],[RCP-RUBRO]],COMPROMISOS_2025[[#All],[concatenado]],COMPROMISOS_2025[[#All],[Total pagado]],"",0)</f>
        <v>#NAME?</v>
      </c>
      <c r="AI716" s="199" t="e" cm="1">
        <f t="array" aca="1" ref="AI716" ca="1">_xlfn.XLOOKUP(PAA[[#This Row],[RCP-RUBRO]],COMPROMISOS_2025[[#All],[concatenado]],COMPROMISOS_2025[[#All],[Total Comprometido]],"",0)</f>
        <v>#NAME?</v>
      </c>
    </row>
    <row r="717" spans="1:35" s="50" customFormat="1" ht="42" hidden="1" customHeight="1" x14ac:dyDescent="0.25">
      <c r="A717" s="199" t="s">
        <v>227</v>
      </c>
      <c r="B717" s="200">
        <v>80111600</v>
      </c>
      <c r="C717" s="199" t="str">
        <f>VLOOKUP(PAA[[#This Row],[PROYECTO (formulado)2]],PROYECTOS!$G$1:$L$32,6,0)</f>
        <v>SUBGERENCIA DE FOMENTO Y DESARROLLO</v>
      </c>
      <c r="D717" s="199" t="str">
        <f>+IF(PAA[[#This Row],[UNIDAD DE CONTRATACION (formulado)]]="Subgerencia Administrativa y Financiera","FUNCIONAMIENTO","INVERSIÓN")</f>
        <v>INVERSIÓN</v>
      </c>
      <c r="E717" s="201" t="str">
        <f>VLOOKUP(Q717,PROYECTOS!$G$1:$K$32,5,0)</f>
        <v>Asesoria y acompañamiento institucional para el deporte formativo, la recreación y la actividad física en el departamento de Antioquia</v>
      </c>
      <c r="F717" s="201">
        <f>VLOOKUP(E717,PROYECTOS!$K$1:$M$32,3,0)</f>
        <v>2024003050100</v>
      </c>
      <c r="G717" s="202" t="s">
        <v>267</v>
      </c>
      <c r="H717" s="202" t="str">
        <f>VLOOKUP(Q717,PROYECTOS!$V$1:$W$32,2,0)</f>
        <v>050071</v>
      </c>
      <c r="I717" s="203">
        <v>9143580</v>
      </c>
      <c r="J717" s="204" t="s">
        <v>802</v>
      </c>
      <c r="K717" s="199" t="str">
        <f t="shared" ca="1" si="99"/>
        <v>CONTRATADO</v>
      </c>
      <c r="L717" s="204" t="s">
        <v>112</v>
      </c>
      <c r="M717" s="204" t="s">
        <v>113</v>
      </c>
      <c r="N717" s="205" t="s">
        <v>268</v>
      </c>
      <c r="O717" s="204">
        <f>VLOOKUP(N717,RUBROS[#All],3,0)</f>
        <v>74</v>
      </c>
      <c r="P717" s="206" t="str">
        <f>VLOOKUP(N717,RUBROS[#All],2,0)</f>
        <v xml:space="preserve">Asesoria y acompañamiento institucional para el deporte formativo, la recreación y la actividad física en el departamento de Antioquia. - Servicios prestados a las empresas y servicios de producción </v>
      </c>
      <c r="Q717" s="199" t="str">
        <f t="shared" si="100"/>
        <v>10</v>
      </c>
      <c r="R717" s="199" t="str">
        <f t="shared" si="101"/>
        <v>0-101024</v>
      </c>
      <c r="S717" s="207">
        <v>11.5</v>
      </c>
      <c r="T717" s="208" t="s">
        <v>46</v>
      </c>
      <c r="U717" s="209" t="e">
        <f ca="1">_xlfn.XLOOKUP(PAA[[#This Row],[ITEM]],Contrato!A:A,Contrato!Q:Q,"",0)</f>
        <v>#NAME?</v>
      </c>
      <c r="V717" s="199" t="s">
        <v>47</v>
      </c>
      <c r="W717" s="199" t="s">
        <v>48</v>
      </c>
      <c r="X717" s="199" t="s">
        <v>48</v>
      </c>
      <c r="Y717" s="210" t="e">
        <f ca="1">_xlfn.XLOOKUP(PAA[[#This Row],[ITEM]],Contrato!A:A,Contrato!B:B,"",0)</f>
        <v>#NAME?</v>
      </c>
      <c r="Z717" s="199" t="e">
        <f ca="1">_xlfn.XLOOKUP(PAA[[#This Row],[ITEM]],Contrato!A:A,Contrato!G:G,"",0)</f>
        <v>#NAME?</v>
      </c>
      <c r="AA717" s="199" t="e">
        <f ca="1">_xlfn.XLOOKUP(PAA[[#This Row],[ITEM]],Contrato!A:A,Contrato!T:T,"",0)</f>
        <v>#NAME?</v>
      </c>
      <c r="AB717" s="210" t="e">
        <f ca="1">+MAX(PAA[[#This Row],[Comprometido Contrato]],)</f>
        <v>#NAME?</v>
      </c>
      <c r="AC717" s="210" t="str">
        <f t="shared" ca="1" si="105"/>
        <v/>
      </c>
      <c r="AD717" s="210" t="e">
        <f ca="1">+MAX(PAA[[#This Row],[Pago por Contrato]],)</f>
        <v>#NAME?</v>
      </c>
      <c r="AE717" s="210" t="str">
        <f t="shared" ca="1" si="102"/>
        <v/>
      </c>
      <c r="AF717" s="199" t="e">
        <f t="shared" ca="1" si="103"/>
        <v>#NAME?</v>
      </c>
      <c r="AG717" s="199">
        <f t="shared" si="104"/>
        <v>52010705</v>
      </c>
      <c r="AH717" s="199" t="e" cm="1">
        <f t="array" aca="1" ref="AH717" ca="1">_xlfn.XLOOKUP(PAA[[#This Row],[RCP-RUBRO]],COMPROMISOS_2025[[#All],[concatenado]],COMPROMISOS_2025[[#All],[Total pagado]],"",0)</f>
        <v>#NAME?</v>
      </c>
      <c r="AI717" s="199" t="e" cm="1">
        <f t="array" aca="1" ref="AI717" ca="1">_xlfn.XLOOKUP(PAA[[#This Row],[RCP-RUBRO]],COMPROMISOS_2025[[#All],[concatenado]],COMPROMISOS_2025[[#All],[Total Comprometido]],"",0)</f>
        <v>#NAME?</v>
      </c>
    </row>
    <row r="718" spans="1:35" s="50" customFormat="1" ht="42" hidden="1" customHeight="1" x14ac:dyDescent="0.25">
      <c r="A718" s="199" t="s">
        <v>227</v>
      </c>
      <c r="B718" s="200">
        <v>80111600</v>
      </c>
      <c r="C718" s="199" t="str">
        <f>VLOOKUP(PAA[[#This Row],[PROYECTO (formulado)2]],PROYECTOS!$G$1:$L$32,6,0)</f>
        <v>SUBGERENCIA DE FOMENTO Y DESARROLLO</v>
      </c>
      <c r="D718" s="199" t="str">
        <f>+IF(PAA[[#This Row],[UNIDAD DE CONTRATACION (formulado)]]="Subgerencia Administrativa y Financiera","FUNCIONAMIENTO","INVERSIÓN")</f>
        <v>INVERSIÓN</v>
      </c>
      <c r="E718" s="201" t="str">
        <f>VLOOKUP(Q718,PROYECTOS!$G$1:$K$32,5,0)</f>
        <v>Capacitación para el sector del deporte, la recreación y la actividad física en el Departamento de   Antioquia</v>
      </c>
      <c r="F718" s="201">
        <f>VLOOKUP(E718,PROYECTOS!$K$1:$M$32,3,0)</f>
        <v>2024003050072</v>
      </c>
      <c r="G718" s="202" t="s">
        <v>269</v>
      </c>
      <c r="H718" s="202" t="str">
        <f>VLOOKUP(Q718,PROYECTOS!$V$1:$W$32,2,0)</f>
        <v>050072</v>
      </c>
      <c r="I718" s="203">
        <v>9143558</v>
      </c>
      <c r="J718" s="204" t="s">
        <v>802</v>
      </c>
      <c r="K718" s="199" t="str">
        <f t="shared" ca="1" si="99"/>
        <v>CONTRATADO</v>
      </c>
      <c r="L718" s="204" t="s">
        <v>112</v>
      </c>
      <c r="M718" s="204" t="s">
        <v>113</v>
      </c>
      <c r="N718" s="205" t="s">
        <v>270</v>
      </c>
      <c r="O718" s="204">
        <f>VLOOKUP(N718,RUBROS[#All],3,0)</f>
        <v>78</v>
      </c>
      <c r="P718" s="206" t="str">
        <f>VLOOKUP(N718,RUBROS[#All],2,0)</f>
        <v xml:space="preserve">Capacitación para el sector del deporte, la recreación y la actividad física en el Departamento de   Antioquia - Servicios prestados a las empresas y servicios de producción </v>
      </c>
      <c r="Q718" s="199" t="str">
        <f t="shared" si="100"/>
        <v>72</v>
      </c>
      <c r="R718" s="199" t="str">
        <f t="shared" si="101"/>
        <v>0-205128</v>
      </c>
      <c r="S718" s="207">
        <v>11.5</v>
      </c>
      <c r="T718" s="208" t="s">
        <v>46</v>
      </c>
      <c r="U718" s="209" t="e">
        <f ca="1">_xlfn.XLOOKUP(PAA[[#This Row],[ITEM]],Contrato!A:A,Contrato!Q:Q,"",0)</f>
        <v>#NAME?</v>
      </c>
      <c r="V718" s="199" t="s">
        <v>47</v>
      </c>
      <c r="W718" s="199" t="s">
        <v>48</v>
      </c>
      <c r="X718" s="199" t="s">
        <v>48</v>
      </c>
      <c r="Y718" s="210" t="e">
        <f ca="1">_xlfn.XLOOKUP(PAA[[#This Row],[ITEM]],Contrato!A:A,Contrato!B:B,"",0)</f>
        <v>#NAME?</v>
      </c>
      <c r="Z718" s="199" t="e">
        <f ca="1">_xlfn.XLOOKUP(PAA[[#This Row],[ITEM]],Contrato!A:A,Contrato!G:G,"",0)</f>
        <v>#NAME?</v>
      </c>
      <c r="AA718" s="199" t="e">
        <f ca="1">_xlfn.XLOOKUP(PAA[[#This Row],[ITEM]],Contrato!A:A,Contrato!T:T,"",0)</f>
        <v>#NAME?</v>
      </c>
      <c r="AB718" s="210" t="e">
        <f ca="1">+MAX(PAA[[#This Row],[Comprometido Contrato]],)</f>
        <v>#NAME?</v>
      </c>
      <c r="AC718" s="210" t="str">
        <f t="shared" ca="1" si="105"/>
        <v/>
      </c>
      <c r="AD718" s="210" t="e">
        <f ca="1">+MAX(PAA[[#This Row],[Pago por Contrato]],)</f>
        <v>#NAME?</v>
      </c>
      <c r="AE718" s="210" t="str">
        <f t="shared" ca="1" si="102"/>
        <v/>
      </c>
      <c r="AF718" s="199" t="e">
        <f t="shared" ca="1" si="103"/>
        <v>#NAME?</v>
      </c>
      <c r="AG718" s="199">
        <f t="shared" si="104"/>
        <v>52010704</v>
      </c>
      <c r="AH718" s="199" t="e" cm="1">
        <f t="array" aca="1" ref="AH718" ca="1">_xlfn.XLOOKUP(PAA[[#This Row],[RCP-RUBRO]],COMPROMISOS_2025[[#All],[concatenado]],COMPROMISOS_2025[[#All],[Total pagado]],"",0)</f>
        <v>#NAME?</v>
      </c>
      <c r="AI718" s="199" t="e" cm="1">
        <f t="array" aca="1" ref="AI718" ca="1">_xlfn.XLOOKUP(PAA[[#This Row],[RCP-RUBRO]],COMPROMISOS_2025[[#All],[concatenado]],COMPROMISOS_2025[[#All],[Total Comprometido]],"",0)</f>
        <v>#NAME?</v>
      </c>
    </row>
    <row r="719" spans="1:35" s="50" customFormat="1" ht="42" hidden="1" customHeight="1" x14ac:dyDescent="0.25">
      <c r="A719" s="227" t="s">
        <v>227</v>
      </c>
      <c r="B719" s="225">
        <v>80111600</v>
      </c>
      <c r="C719" s="227" t="str">
        <f>VLOOKUP(PAA[[#This Row],[PROYECTO (formulado)2]],PROYECTOS!$G$1:$L$32,6,0)</f>
        <v>SUBGERENCIA DE FOMENTO Y DESARROLLO</v>
      </c>
      <c r="D719" s="227" t="str">
        <f>+IF(PAA[[#This Row],[UNIDAD DE CONTRATACION (formulado)]]="Subgerencia Administrativa y Financiera","FUNCIONAMIENTO","INVERSIÓN")</f>
        <v>INVERSIÓN</v>
      </c>
      <c r="E719" s="229" t="str">
        <f>VLOOKUP(Q719,PROYECTOS!$G$1:$K$32,5,0)</f>
        <v>Fortalecimiento de los juegos deportivos institucionales en los municipios del departamento de Antioquia</v>
      </c>
      <c r="F719" s="229">
        <f>VLOOKUP(E719,PROYECTOS!$K$1:$M$32,3,0)</f>
        <v>2024003050073</v>
      </c>
      <c r="G719" s="230" t="s">
        <v>271</v>
      </c>
      <c r="H719" s="230" t="str">
        <f>VLOOKUP(Q719,PROYECTOS!$V$1:$W$32,2,0)</f>
        <v>050081</v>
      </c>
      <c r="I719" s="231">
        <v>9143591</v>
      </c>
      <c r="J719" s="232" t="s">
        <v>802</v>
      </c>
      <c r="K719" s="227" t="str">
        <f t="shared" ca="1" si="99"/>
        <v>CONTRATADO</v>
      </c>
      <c r="L719" s="204" t="s">
        <v>112</v>
      </c>
      <c r="M719" s="204" t="s">
        <v>113</v>
      </c>
      <c r="N719" s="233" t="s">
        <v>272</v>
      </c>
      <c r="O719" s="232">
        <f>VLOOKUP(N719,RUBROS[#All],3,0)</f>
        <v>81</v>
      </c>
      <c r="P719" s="248" t="str">
        <f>VLOOKUP(N719,RUBROS[#All],2,0)</f>
        <v xml:space="preserve">Fortalecimiento de los juegos deportivos institucionales en los municipios del departamento de Antioquia - Servicios prestados a las empresas y servicios de producción </v>
      </c>
      <c r="Q719" s="227" t="str">
        <f t="shared" si="100"/>
        <v>73</v>
      </c>
      <c r="R719" s="199" t="str">
        <f t="shared" si="101"/>
        <v>0-205128</v>
      </c>
      <c r="S719" s="211">
        <v>11.5</v>
      </c>
      <c r="T719" s="208" t="s">
        <v>46</v>
      </c>
      <c r="U719" s="234" t="e">
        <f ca="1">_xlfn.XLOOKUP(PAA[[#This Row],[ITEM]],Contrato!A:A,Contrato!Q:Q,"",0)</f>
        <v>#NAME?</v>
      </c>
      <c r="V719" s="199" t="s">
        <v>47</v>
      </c>
      <c r="W719" s="199" t="s">
        <v>48</v>
      </c>
      <c r="X719" s="199" t="s">
        <v>48</v>
      </c>
      <c r="Y719" s="235" t="e">
        <f ca="1">_xlfn.XLOOKUP(PAA[[#This Row],[ITEM]],Contrato!A:A,Contrato!B:B,"",0)</f>
        <v>#NAME?</v>
      </c>
      <c r="Z719" s="227" t="e">
        <f ca="1">_xlfn.XLOOKUP(PAA[[#This Row],[ITEM]],Contrato!A:A,Contrato!G:G,"",0)</f>
        <v>#NAME?</v>
      </c>
      <c r="AA719" s="227" t="e">
        <f ca="1">_xlfn.XLOOKUP(PAA[[#This Row],[ITEM]],Contrato!A:A,Contrato!T:T,"",0)</f>
        <v>#NAME?</v>
      </c>
      <c r="AB719" s="235" t="e">
        <f ca="1">+MAX(PAA[[#This Row],[Comprometido Contrato]],)</f>
        <v>#NAME?</v>
      </c>
      <c r="AC719" s="235" t="str">
        <f t="shared" ca="1" si="105"/>
        <v/>
      </c>
      <c r="AD719" s="235" t="e">
        <f ca="1">+MAX(PAA[[#This Row],[Pago por Contrato]],)</f>
        <v>#NAME?</v>
      </c>
      <c r="AE719" s="235" t="str">
        <f t="shared" ca="1" si="102"/>
        <v/>
      </c>
      <c r="AF719" s="227" t="e">
        <f t="shared" ca="1" si="103"/>
        <v>#NAME?</v>
      </c>
      <c r="AG719" s="227">
        <f t="shared" si="104"/>
        <v>52010703</v>
      </c>
      <c r="AH719" s="227" t="e" cm="1">
        <f t="array" aca="1" ref="AH719" ca="1">_xlfn.XLOOKUP(PAA[[#This Row],[RCP-RUBRO]],COMPROMISOS_2025[[#All],[concatenado]],COMPROMISOS_2025[[#All],[Total pagado]],"",0)</f>
        <v>#NAME?</v>
      </c>
      <c r="AI719" s="227" t="e" cm="1">
        <f t="array" aca="1" ref="AI719" ca="1">_xlfn.XLOOKUP(PAA[[#This Row],[RCP-RUBRO]],COMPROMISOS_2025[[#All],[concatenado]],COMPROMISOS_2025[[#All],[Total Comprometido]],"",0)</f>
        <v>#NAME?</v>
      </c>
    </row>
    <row r="720" spans="1:35" s="50" customFormat="1" ht="42" hidden="1" customHeight="1" x14ac:dyDescent="0.25">
      <c r="A720" s="199" t="s">
        <v>227</v>
      </c>
      <c r="B720" s="200">
        <v>80111600</v>
      </c>
      <c r="C720" s="199" t="str">
        <f>VLOOKUP(PAA[[#This Row],[PROYECTO (formulado)2]],PROYECTOS!$G$1:$L$32,6,0)</f>
        <v>SUBGERENCIA DE FOMENTO Y DESARROLLO</v>
      </c>
      <c r="D720" s="199" t="str">
        <f>+IF(PAA[[#This Row],[UNIDAD DE CONTRATACION (formulado)]]="Subgerencia Administrativa y Financiera","FUNCIONAMIENTO","INVERSIÓN")</f>
        <v>INVERSIÓN</v>
      </c>
      <c r="E720" s="201" t="str">
        <f>VLOOKUP(Q720,PROYECTOS!$G$1:$K$32,5,0)</f>
        <v>Cofinanciación de dotación de implementación para el deporte la recreación y a la actividad física en el departamento de Antioquia</v>
      </c>
      <c r="F720" s="201">
        <f>VLOOKUP(E720,PROYECTOS!$K$1:$M$32,3,0)</f>
        <v>2024003050074</v>
      </c>
      <c r="G720" s="202" t="s">
        <v>273</v>
      </c>
      <c r="H720" s="202" t="str">
        <f>VLOOKUP(Q720,PROYECTOS!$V$1:$W$32,2,0)</f>
        <v>050073</v>
      </c>
      <c r="I720" s="203">
        <v>4143580</v>
      </c>
      <c r="J720" s="204" t="s">
        <v>802</v>
      </c>
      <c r="K720" s="199" t="str">
        <f t="shared" ca="1" si="99"/>
        <v>CONTRATADO</v>
      </c>
      <c r="L720" s="199" t="s">
        <v>112</v>
      </c>
      <c r="M720" s="204" t="s">
        <v>113</v>
      </c>
      <c r="N720" s="205" t="s">
        <v>274</v>
      </c>
      <c r="O720" s="204">
        <f>VLOOKUP(N720,RUBROS[#All],3,0)</f>
        <v>85</v>
      </c>
      <c r="P720" s="206" t="str">
        <f>VLOOKUP(N720,RUBROS[#All],2,0)</f>
        <v xml:space="preserve">Cofinanciación de dotación de implementación para el deporte la recreación y a la actividad física en el departamento de Antioquia - Servicios prestados a las empresas y servicios de producción </v>
      </c>
      <c r="Q720" s="199" t="str">
        <f t="shared" si="100"/>
        <v>74</v>
      </c>
      <c r="R720" s="199" t="str">
        <f t="shared" si="101"/>
        <v>0-101024</v>
      </c>
      <c r="S720" s="207">
        <v>11.5</v>
      </c>
      <c r="T720" s="208" t="s">
        <v>46</v>
      </c>
      <c r="U720" s="209" t="e">
        <f ca="1">_xlfn.XLOOKUP(PAA[[#This Row],[ITEM]],Contrato!A:A,Contrato!Q:Q,"",0)</f>
        <v>#NAME?</v>
      </c>
      <c r="V720" s="199" t="s">
        <v>47</v>
      </c>
      <c r="W720" s="199" t="s">
        <v>48</v>
      </c>
      <c r="X720" s="199" t="s">
        <v>48</v>
      </c>
      <c r="Y720" s="210" t="e">
        <f ca="1">_xlfn.XLOOKUP(PAA[[#This Row],[ITEM]],Contrato!A:A,Contrato!B:B,"",0)</f>
        <v>#NAME?</v>
      </c>
      <c r="Z720" s="199" t="e">
        <f ca="1">_xlfn.XLOOKUP(PAA[[#This Row],[ITEM]],Contrato!A:A,Contrato!G:G,"",0)</f>
        <v>#NAME?</v>
      </c>
      <c r="AA720" s="199" t="e">
        <f ca="1">_xlfn.XLOOKUP(PAA[[#This Row],[ITEM]],Contrato!A:A,Contrato!T:T,"",0)</f>
        <v>#NAME?</v>
      </c>
      <c r="AB720" s="210" t="e">
        <f ca="1">+MAX(PAA[[#This Row],[Comprometido Contrato]],)</f>
        <v>#NAME?</v>
      </c>
      <c r="AC720" s="210" t="str">
        <f t="shared" ca="1" si="105"/>
        <v/>
      </c>
      <c r="AD720" s="210" t="e">
        <f ca="1">+MAX(PAA[[#This Row],[Pago por Contrato]],)</f>
        <v>#NAME?</v>
      </c>
      <c r="AE720" s="210" t="str">
        <f t="shared" ca="1" si="102"/>
        <v/>
      </c>
      <c r="AF720" s="199" t="e">
        <f t="shared" ca="1" si="103"/>
        <v>#NAME?</v>
      </c>
      <c r="AG720" s="199">
        <f t="shared" si="104"/>
        <v>52010701</v>
      </c>
      <c r="AH720" s="199" t="e" cm="1">
        <f t="array" aca="1" ref="AH720" ca="1">_xlfn.XLOOKUP(PAA[[#This Row],[RCP-RUBRO]],COMPROMISOS_2025[[#All],[concatenado]],COMPROMISOS_2025[[#All],[Total pagado]],"",0)</f>
        <v>#NAME?</v>
      </c>
      <c r="AI720" s="199" t="e" cm="1">
        <f t="array" aca="1" ref="AI720" ca="1">_xlfn.XLOOKUP(PAA[[#This Row],[RCP-RUBRO]],COMPROMISOS_2025[[#All],[concatenado]],COMPROMISOS_2025[[#All],[Total Comprometido]],"",0)</f>
        <v>#NAME?</v>
      </c>
    </row>
    <row r="721" spans="1:35" s="50" customFormat="1" ht="42" hidden="1" customHeight="1" x14ac:dyDescent="0.25">
      <c r="A721" s="199" t="s">
        <v>227</v>
      </c>
      <c r="B721" s="200">
        <v>80111600</v>
      </c>
      <c r="C721" s="199" t="str">
        <f>VLOOKUP(PAA[[#This Row],[PROYECTO (formulado)2]],PROYECTOS!$G$1:$L$32,6,0)</f>
        <v>SUBGERENCIA DE FOMENTO Y DESARROLLO</v>
      </c>
      <c r="D721" s="199" t="str">
        <f>+IF(PAA[[#This Row],[UNIDAD DE CONTRATACION (formulado)]]="Subgerencia Administrativa y Financiera","FUNCIONAMIENTO","INVERSIÓN")</f>
        <v>INVERSIÓN</v>
      </c>
      <c r="E721" s="201" t="str">
        <f>VLOOKUP(Q721,PROYECTOS!$G$1:$K$32,5,0)</f>
        <v>Desarrollo y promoción del deporte formativo, la recreación y la actividad física en el departamento Antioquia</v>
      </c>
      <c r="F721" s="201">
        <f>VLOOKUP(E721,PROYECTOS!$K$1:$M$32,3,0)</f>
        <v>2024003050101</v>
      </c>
      <c r="G721" s="202" t="s">
        <v>264</v>
      </c>
      <c r="H721" s="202" t="str">
        <f>VLOOKUP(Q721,PROYECTOS!$V$1:$W$32,2,0)</f>
        <v>050075</v>
      </c>
      <c r="I721" s="203">
        <v>0</v>
      </c>
      <c r="J721" s="204" t="s">
        <v>41</v>
      </c>
      <c r="K721" s="199" t="str">
        <f t="shared" ca="1" si="99"/>
        <v>CONTRATADO</v>
      </c>
      <c r="L721" s="204" t="s">
        <v>112</v>
      </c>
      <c r="M721" s="204" t="s">
        <v>113</v>
      </c>
      <c r="N721" s="205" t="s">
        <v>266</v>
      </c>
      <c r="O721" s="204">
        <f>VLOOKUP(N721,RUBROS[#All],3,0)</f>
        <v>70</v>
      </c>
      <c r="P721" s="206" t="str">
        <f>VLOOKUP(N721,RUBROS[#All],2,0)</f>
        <v xml:space="preserve">Desarrollo y promoción del deporte formativo, la recreación y la actividad física en el departamento Antioquia - Servicios prestados a las empresas y servicios de producción </v>
      </c>
      <c r="Q721" s="199" t="str">
        <f t="shared" si="100"/>
        <v>01</v>
      </c>
      <c r="R721" s="199" t="str">
        <f t="shared" si="101"/>
        <v>0-205128</v>
      </c>
      <c r="S721" s="207">
        <v>11.5</v>
      </c>
      <c r="T721" s="208" t="s">
        <v>46</v>
      </c>
      <c r="U721" s="209" t="e">
        <f ca="1">_xlfn.XLOOKUP(PAA[[#This Row],[ITEM]],Contrato!A:A,Contrato!Q:Q,"",0)</f>
        <v>#NAME?</v>
      </c>
      <c r="V721" s="199" t="s">
        <v>47</v>
      </c>
      <c r="W721" s="199" t="s">
        <v>48</v>
      </c>
      <c r="X721" s="199" t="s">
        <v>48</v>
      </c>
      <c r="Y721" s="210" t="e">
        <f ca="1">_xlfn.XLOOKUP(PAA[[#This Row],[ITEM]],Contrato!A:A,Contrato!B:B,"",0)</f>
        <v>#NAME?</v>
      </c>
      <c r="Z721" s="199" t="e">
        <f ca="1">_xlfn.XLOOKUP(PAA[[#This Row],[ITEM]],Contrato!A:A,Contrato!G:G,"",0)</f>
        <v>#NAME?</v>
      </c>
      <c r="AA721" s="199" t="e">
        <f ca="1">_xlfn.XLOOKUP(PAA[[#This Row],[ITEM]],Contrato!A:A,Contrato!T:T,"",0)</f>
        <v>#NAME?</v>
      </c>
      <c r="AB721" s="210" t="e">
        <f ca="1">+MAX(PAA[[#This Row],[Comprometido Contrato]],)</f>
        <v>#NAME?</v>
      </c>
      <c r="AC721" s="210" t="str">
        <f t="shared" ca="1" si="105"/>
        <v/>
      </c>
      <c r="AD721" s="210" t="e">
        <f ca="1">+MAX(PAA[[#This Row],[Pago por Contrato]],)</f>
        <v>#NAME?</v>
      </c>
      <c r="AE721" s="210" t="str">
        <f t="shared" ca="1" si="102"/>
        <v/>
      </c>
      <c r="AF721" s="199" t="e">
        <f t="shared" ca="1" si="103"/>
        <v>#NAME?</v>
      </c>
      <c r="AG721" s="199">
        <f t="shared" si="104"/>
        <v>52010702</v>
      </c>
      <c r="AH721" s="199" t="e" cm="1">
        <f t="array" aca="1" ref="AH721" ca="1">_xlfn.XLOOKUP(PAA[[#This Row],[RCP-RUBRO]],COMPROMISOS_2025[[#All],[concatenado]],COMPROMISOS_2025[[#All],[Total pagado]],"",0)</f>
        <v>#NAME?</v>
      </c>
      <c r="AI721" s="199" t="e" cm="1">
        <f t="array" aca="1" ref="AI721" ca="1">_xlfn.XLOOKUP(PAA[[#This Row],[RCP-RUBRO]],COMPROMISOS_2025[[#All],[concatenado]],COMPROMISOS_2025[[#All],[Total Comprometido]],"",0)</f>
        <v>#NAME?</v>
      </c>
    </row>
    <row r="722" spans="1:35" s="50" customFormat="1" ht="42" hidden="1" customHeight="1" x14ac:dyDescent="0.25">
      <c r="A722" s="199" t="s">
        <v>227</v>
      </c>
      <c r="B722" s="200">
        <v>80111600</v>
      </c>
      <c r="C722" s="199" t="str">
        <f>VLOOKUP(PAA[[#This Row],[PROYECTO (formulado)2]],PROYECTOS!$G$1:$L$32,6,0)</f>
        <v>SUBGERENCIA DE FOMENTO Y DESARROLLO</v>
      </c>
      <c r="D722" s="199" t="str">
        <f>+IF(PAA[[#This Row],[UNIDAD DE CONTRATACION (formulado)]]="Subgerencia Administrativa y Financiera","FUNCIONAMIENTO","INVERSIÓN")</f>
        <v>INVERSIÓN</v>
      </c>
      <c r="E722" s="201" t="str">
        <f>VLOOKUP(Q722,PROYECTOS!$G$1:$K$32,5,0)</f>
        <v>Asesoria y acompañamiento institucional para el deporte formativo, la recreación y la actividad física en el departamento de Antioquia</v>
      </c>
      <c r="F722" s="201">
        <f>VLOOKUP(E722,PROYECTOS!$K$1:$M$32,3,0)</f>
        <v>2024003050100</v>
      </c>
      <c r="G722" s="202" t="s">
        <v>267</v>
      </c>
      <c r="H722" s="202" t="str">
        <f>VLOOKUP(Q722,PROYECTOS!$V$1:$W$32,2,0)</f>
        <v>050071</v>
      </c>
      <c r="I722" s="203">
        <v>0</v>
      </c>
      <c r="J722" s="204" t="s">
        <v>41</v>
      </c>
      <c r="K722" s="199" t="str">
        <f t="shared" ca="1" si="99"/>
        <v>CONTRATADO</v>
      </c>
      <c r="L722" s="204" t="s">
        <v>112</v>
      </c>
      <c r="M722" s="204" t="s">
        <v>113</v>
      </c>
      <c r="N722" s="205" t="s">
        <v>268</v>
      </c>
      <c r="O722" s="204">
        <f>VLOOKUP(N722,RUBROS[#All],3,0)</f>
        <v>74</v>
      </c>
      <c r="P722" s="206" t="str">
        <f>VLOOKUP(N722,RUBROS[#All],2,0)</f>
        <v xml:space="preserve">Asesoria y acompañamiento institucional para el deporte formativo, la recreación y la actividad física en el departamento de Antioquia. - Servicios prestados a las empresas y servicios de producción </v>
      </c>
      <c r="Q722" s="199" t="str">
        <f t="shared" si="100"/>
        <v>10</v>
      </c>
      <c r="R722" s="199" t="str">
        <f t="shared" si="101"/>
        <v>0-101024</v>
      </c>
      <c r="S722" s="207">
        <v>11.5</v>
      </c>
      <c r="T722" s="208" t="s">
        <v>46</v>
      </c>
      <c r="U722" s="209" t="e">
        <f ca="1">_xlfn.XLOOKUP(PAA[[#This Row],[ITEM]],Contrato!A:A,Contrato!Q:Q,"",0)</f>
        <v>#NAME?</v>
      </c>
      <c r="V722" s="199" t="s">
        <v>47</v>
      </c>
      <c r="W722" s="199" t="s">
        <v>48</v>
      </c>
      <c r="X722" s="199" t="s">
        <v>48</v>
      </c>
      <c r="Y722" s="210" t="e">
        <f ca="1">_xlfn.XLOOKUP(PAA[[#This Row],[ITEM]],Contrato!A:A,Contrato!B:B,"",0)</f>
        <v>#NAME?</v>
      </c>
      <c r="Z722" s="199" t="e">
        <f ca="1">_xlfn.XLOOKUP(PAA[[#This Row],[ITEM]],Contrato!A:A,Contrato!G:G,"",0)</f>
        <v>#NAME?</v>
      </c>
      <c r="AA722" s="199" t="e">
        <f ca="1">_xlfn.XLOOKUP(PAA[[#This Row],[ITEM]],Contrato!A:A,Contrato!T:T,"",0)</f>
        <v>#NAME?</v>
      </c>
      <c r="AB722" s="210" t="e">
        <f ca="1">+MAX(PAA[[#This Row],[Comprometido Contrato]],)</f>
        <v>#NAME?</v>
      </c>
      <c r="AC722" s="210" t="str">
        <f t="shared" ca="1" si="105"/>
        <v/>
      </c>
      <c r="AD722" s="210" t="e">
        <f ca="1">+MAX(PAA[[#This Row],[Pago por Contrato]],)</f>
        <v>#NAME?</v>
      </c>
      <c r="AE722" s="210" t="str">
        <f t="shared" ca="1" si="102"/>
        <v/>
      </c>
      <c r="AF722" s="199" t="e">
        <f t="shared" ca="1" si="103"/>
        <v>#NAME?</v>
      </c>
      <c r="AG722" s="199">
        <f t="shared" si="104"/>
        <v>52010705</v>
      </c>
      <c r="AH722" s="199" t="e" cm="1">
        <f t="array" aca="1" ref="AH722" ca="1">_xlfn.XLOOKUP(PAA[[#This Row],[RCP-RUBRO]],COMPROMISOS_2025[[#All],[concatenado]],COMPROMISOS_2025[[#All],[Total pagado]],"",0)</f>
        <v>#NAME?</v>
      </c>
      <c r="AI722" s="199" t="e" cm="1">
        <f t="array" aca="1" ref="AI722" ca="1">_xlfn.XLOOKUP(PAA[[#This Row],[RCP-RUBRO]],COMPROMISOS_2025[[#All],[concatenado]],COMPROMISOS_2025[[#All],[Total Comprometido]],"",0)</f>
        <v>#NAME?</v>
      </c>
    </row>
    <row r="723" spans="1:35" s="50" customFormat="1" ht="42" hidden="1" customHeight="1" x14ac:dyDescent="0.25">
      <c r="A723" s="227" t="s">
        <v>227</v>
      </c>
      <c r="B723" s="225">
        <v>80111600</v>
      </c>
      <c r="C723" s="227" t="str">
        <f>VLOOKUP(PAA[[#This Row],[PROYECTO (formulado)2]],PROYECTOS!$G$1:$L$32,6,0)</f>
        <v>SUBGERENCIA DE FOMENTO Y DESARROLLO</v>
      </c>
      <c r="D723" s="227" t="str">
        <f>+IF(PAA[[#This Row],[UNIDAD DE CONTRATACION (formulado)]]="Subgerencia Administrativa y Financiera","FUNCIONAMIENTO","INVERSIÓN")</f>
        <v>INVERSIÓN</v>
      </c>
      <c r="E723" s="229" t="str">
        <f>VLOOKUP(Q723,PROYECTOS!$G$1:$K$32,5,0)</f>
        <v>Capacitación para el sector del deporte, la recreación y la actividad física en el Departamento de   Antioquia</v>
      </c>
      <c r="F723" s="229">
        <f>VLOOKUP(E723,PROYECTOS!$K$1:$M$32,3,0)</f>
        <v>2024003050072</v>
      </c>
      <c r="G723" s="230" t="s">
        <v>269</v>
      </c>
      <c r="H723" s="230" t="str">
        <f>VLOOKUP(Q723,PROYECTOS!$V$1:$W$32,2,0)</f>
        <v>050072</v>
      </c>
      <c r="I723" s="231">
        <v>0</v>
      </c>
      <c r="J723" s="232" t="s">
        <v>41</v>
      </c>
      <c r="K723" s="227" t="str">
        <f t="shared" ca="1" si="99"/>
        <v>CONTRATADO</v>
      </c>
      <c r="L723" s="204" t="s">
        <v>112</v>
      </c>
      <c r="M723" s="204" t="s">
        <v>113</v>
      </c>
      <c r="N723" s="233" t="s">
        <v>270</v>
      </c>
      <c r="O723" s="232">
        <f>VLOOKUP(N723,RUBROS[#All],3,0)</f>
        <v>78</v>
      </c>
      <c r="P723" s="248" t="str">
        <f>VLOOKUP(N723,RUBROS[#All],2,0)</f>
        <v xml:space="preserve">Capacitación para el sector del deporte, la recreación y la actividad física en el Departamento de   Antioquia - Servicios prestados a las empresas y servicios de producción </v>
      </c>
      <c r="Q723" s="227" t="str">
        <f t="shared" si="100"/>
        <v>72</v>
      </c>
      <c r="R723" s="199" t="str">
        <f t="shared" si="101"/>
        <v>0-205128</v>
      </c>
      <c r="S723" s="211">
        <v>11.5</v>
      </c>
      <c r="T723" s="208" t="s">
        <v>46</v>
      </c>
      <c r="U723" s="234" t="e">
        <f ca="1">_xlfn.XLOOKUP(PAA[[#This Row],[ITEM]],Contrato!A:A,Contrato!Q:Q,"",0)</f>
        <v>#NAME?</v>
      </c>
      <c r="V723" s="199" t="s">
        <v>47</v>
      </c>
      <c r="W723" s="199" t="s">
        <v>48</v>
      </c>
      <c r="X723" s="199" t="s">
        <v>48</v>
      </c>
      <c r="Y723" s="235" t="e">
        <f ca="1">_xlfn.XLOOKUP(PAA[[#This Row],[ITEM]],Contrato!A:A,Contrato!B:B,"",0)</f>
        <v>#NAME?</v>
      </c>
      <c r="Z723" s="227" t="e">
        <f ca="1">_xlfn.XLOOKUP(PAA[[#This Row],[ITEM]],Contrato!A:A,Contrato!G:G,"",0)</f>
        <v>#NAME?</v>
      </c>
      <c r="AA723" s="227" t="e">
        <f ca="1">_xlfn.XLOOKUP(PAA[[#This Row],[ITEM]],Contrato!A:A,Contrato!T:T,"",0)</f>
        <v>#NAME?</v>
      </c>
      <c r="AB723" s="235" t="e">
        <f ca="1">+MAX(PAA[[#This Row],[Comprometido Contrato]],)</f>
        <v>#NAME?</v>
      </c>
      <c r="AC723" s="235" t="str">
        <f t="shared" ca="1" si="105"/>
        <v/>
      </c>
      <c r="AD723" s="235" t="e">
        <f ca="1">+MAX(PAA[[#This Row],[Pago por Contrato]],)</f>
        <v>#NAME?</v>
      </c>
      <c r="AE723" s="235" t="str">
        <f t="shared" ca="1" si="102"/>
        <v/>
      </c>
      <c r="AF723" s="227" t="e">
        <f t="shared" ca="1" si="103"/>
        <v>#NAME?</v>
      </c>
      <c r="AG723" s="227">
        <f t="shared" si="104"/>
        <v>52010704</v>
      </c>
      <c r="AH723" s="227" t="e" cm="1">
        <f t="array" aca="1" ref="AH723" ca="1">_xlfn.XLOOKUP(PAA[[#This Row],[RCP-RUBRO]],COMPROMISOS_2025[[#All],[concatenado]],COMPROMISOS_2025[[#All],[Total pagado]],"",0)</f>
        <v>#NAME?</v>
      </c>
      <c r="AI723" s="227" t="e" cm="1">
        <f t="array" aca="1" ref="AI723" ca="1">_xlfn.XLOOKUP(PAA[[#This Row],[RCP-RUBRO]],COMPROMISOS_2025[[#All],[concatenado]],COMPROMISOS_2025[[#All],[Total Comprometido]],"",0)</f>
        <v>#NAME?</v>
      </c>
    </row>
    <row r="724" spans="1:35" s="50" customFormat="1" ht="42" hidden="1" customHeight="1" x14ac:dyDescent="0.25">
      <c r="A724" s="227" t="s">
        <v>227</v>
      </c>
      <c r="B724" s="225">
        <v>80111600</v>
      </c>
      <c r="C724" s="227" t="str">
        <f>VLOOKUP(PAA[[#This Row],[PROYECTO (formulado)2]],PROYECTOS!$G$1:$L$32,6,0)</f>
        <v>SUBGERENCIA DE FOMENTO Y DESARROLLO</v>
      </c>
      <c r="D724" s="227" t="str">
        <f>+IF(PAA[[#This Row],[UNIDAD DE CONTRATACION (formulado)]]="Subgerencia Administrativa y Financiera","FUNCIONAMIENTO","INVERSIÓN")</f>
        <v>INVERSIÓN</v>
      </c>
      <c r="E724" s="229" t="str">
        <f>VLOOKUP(Q724,PROYECTOS!$G$1:$K$32,5,0)</f>
        <v>Fortalecimiento de los juegos deportivos institucionales en los municipios del departamento de Antioquia</v>
      </c>
      <c r="F724" s="229">
        <f>VLOOKUP(E724,PROYECTOS!$K$1:$M$32,3,0)</f>
        <v>2024003050073</v>
      </c>
      <c r="G724" s="230" t="s">
        <v>271</v>
      </c>
      <c r="H724" s="230" t="str">
        <f>VLOOKUP(Q724,PROYECTOS!$V$1:$W$32,2,0)</f>
        <v>050081</v>
      </c>
      <c r="I724" s="231">
        <v>0</v>
      </c>
      <c r="J724" s="232" t="s">
        <v>41</v>
      </c>
      <c r="K724" s="227" t="str">
        <f t="shared" ca="1" si="99"/>
        <v>CONTRATADO</v>
      </c>
      <c r="L724" s="204" t="s">
        <v>112</v>
      </c>
      <c r="M724" s="204" t="s">
        <v>113</v>
      </c>
      <c r="N724" s="233" t="s">
        <v>272</v>
      </c>
      <c r="O724" s="232">
        <f>VLOOKUP(N724,RUBROS[#All],3,0)</f>
        <v>81</v>
      </c>
      <c r="P724" s="248" t="str">
        <f>VLOOKUP(N724,RUBROS[#All],2,0)</f>
        <v xml:space="preserve">Fortalecimiento de los juegos deportivos institucionales en los municipios del departamento de Antioquia - Servicios prestados a las empresas y servicios de producción </v>
      </c>
      <c r="Q724" s="227" t="str">
        <f t="shared" si="100"/>
        <v>73</v>
      </c>
      <c r="R724" s="199" t="str">
        <f t="shared" si="101"/>
        <v>0-205128</v>
      </c>
      <c r="S724" s="211">
        <v>11.5</v>
      </c>
      <c r="T724" s="208" t="s">
        <v>46</v>
      </c>
      <c r="U724" s="234" t="e">
        <f ca="1">_xlfn.XLOOKUP(PAA[[#This Row],[ITEM]],Contrato!A:A,Contrato!Q:Q,"",0)</f>
        <v>#NAME?</v>
      </c>
      <c r="V724" s="199" t="s">
        <v>47</v>
      </c>
      <c r="W724" s="199" t="s">
        <v>48</v>
      </c>
      <c r="X724" s="199" t="s">
        <v>48</v>
      </c>
      <c r="Y724" s="235" t="e">
        <f ca="1">_xlfn.XLOOKUP(PAA[[#This Row],[ITEM]],Contrato!A:A,Contrato!B:B,"",0)</f>
        <v>#NAME?</v>
      </c>
      <c r="Z724" s="227" t="e">
        <f ca="1">_xlfn.XLOOKUP(PAA[[#This Row],[ITEM]],Contrato!A:A,Contrato!G:G,"",0)</f>
        <v>#NAME?</v>
      </c>
      <c r="AA724" s="227" t="e">
        <f ca="1">_xlfn.XLOOKUP(PAA[[#This Row],[ITEM]],Contrato!A:A,Contrato!T:T,"",0)</f>
        <v>#NAME?</v>
      </c>
      <c r="AB724" s="235" t="e">
        <f ca="1">+MAX(PAA[[#This Row],[Comprometido Contrato]],)</f>
        <v>#NAME?</v>
      </c>
      <c r="AC724" s="235" t="str">
        <f t="shared" ca="1" si="105"/>
        <v/>
      </c>
      <c r="AD724" s="235" t="e">
        <f ca="1">+MAX(PAA[[#This Row],[Pago por Contrato]],)</f>
        <v>#NAME?</v>
      </c>
      <c r="AE724" s="235" t="str">
        <f t="shared" ca="1" si="102"/>
        <v/>
      </c>
      <c r="AF724" s="227" t="e">
        <f t="shared" ca="1" si="103"/>
        <v>#NAME?</v>
      </c>
      <c r="AG724" s="227">
        <f t="shared" si="104"/>
        <v>52010703</v>
      </c>
      <c r="AH724" s="227" t="e" cm="1">
        <f t="array" aca="1" ref="AH724" ca="1">_xlfn.XLOOKUP(PAA[[#This Row],[RCP-RUBRO]],COMPROMISOS_2025[[#All],[concatenado]],COMPROMISOS_2025[[#All],[Total pagado]],"",0)</f>
        <v>#NAME?</v>
      </c>
      <c r="AI724" s="227" t="e" cm="1">
        <f t="array" aca="1" ref="AI724" ca="1">_xlfn.XLOOKUP(PAA[[#This Row],[RCP-RUBRO]],COMPROMISOS_2025[[#All],[concatenado]],COMPROMISOS_2025[[#All],[Total Comprometido]],"",0)</f>
        <v>#NAME?</v>
      </c>
    </row>
    <row r="725" spans="1:35" s="50" customFormat="1" ht="42" hidden="1" customHeight="1" x14ac:dyDescent="0.25">
      <c r="A725" s="199" t="s">
        <v>227</v>
      </c>
      <c r="B725" s="200">
        <v>80111600</v>
      </c>
      <c r="C725" s="199" t="str">
        <f>VLOOKUP(PAA[[#This Row],[PROYECTO (formulado)2]],PROYECTOS!$G$1:$L$32,6,0)</f>
        <v>SUBGERENCIA DE FOMENTO Y DESARROLLO</v>
      </c>
      <c r="D725" s="199" t="str">
        <f>+IF(PAA[[#This Row],[UNIDAD DE CONTRATACION (formulado)]]="Subgerencia Administrativa y Financiera","FUNCIONAMIENTO","INVERSIÓN")</f>
        <v>INVERSIÓN</v>
      </c>
      <c r="E725" s="201" t="str">
        <f>VLOOKUP(Q725,PROYECTOS!$G$1:$K$32,5,0)</f>
        <v>Cofinanciación de dotación de implementación para el deporte la recreación y a la actividad física en el departamento de Antioquia</v>
      </c>
      <c r="F725" s="201">
        <f>VLOOKUP(E725,PROYECTOS!$K$1:$M$32,3,0)</f>
        <v>2024003050074</v>
      </c>
      <c r="G725" s="202" t="s">
        <v>273</v>
      </c>
      <c r="H725" s="202" t="str">
        <f>VLOOKUP(Q725,PROYECTOS!$V$1:$W$32,2,0)</f>
        <v>050073</v>
      </c>
      <c r="I725" s="203">
        <v>0</v>
      </c>
      <c r="J725" s="204" t="s">
        <v>41</v>
      </c>
      <c r="K725" s="199" t="str">
        <f t="shared" ca="1" si="99"/>
        <v>CONTRATADO</v>
      </c>
      <c r="L725" s="199" t="s">
        <v>112</v>
      </c>
      <c r="M725" s="204" t="s">
        <v>113</v>
      </c>
      <c r="N725" s="205" t="s">
        <v>274</v>
      </c>
      <c r="O725" s="204">
        <f>VLOOKUP(N725,RUBROS[#All],3,0)</f>
        <v>85</v>
      </c>
      <c r="P725" s="206" t="str">
        <f>VLOOKUP(N725,RUBROS[#All],2,0)</f>
        <v xml:space="preserve">Cofinanciación de dotación de implementación para el deporte la recreación y a la actividad física en el departamento de Antioquia - Servicios prestados a las empresas y servicios de producción </v>
      </c>
      <c r="Q725" s="199" t="str">
        <f t="shared" si="100"/>
        <v>74</v>
      </c>
      <c r="R725" s="199" t="str">
        <f t="shared" si="101"/>
        <v>0-101024</v>
      </c>
      <c r="S725" s="207">
        <v>11.5</v>
      </c>
      <c r="T725" s="208" t="s">
        <v>46</v>
      </c>
      <c r="U725" s="209" t="e">
        <f ca="1">_xlfn.XLOOKUP(PAA[[#This Row],[ITEM]],Contrato!A:A,Contrato!Q:Q,"",0)</f>
        <v>#NAME?</v>
      </c>
      <c r="V725" s="199" t="s">
        <v>47</v>
      </c>
      <c r="W725" s="199" t="s">
        <v>48</v>
      </c>
      <c r="X725" s="199" t="s">
        <v>48</v>
      </c>
      <c r="Y725" s="210" t="e">
        <f ca="1">_xlfn.XLOOKUP(PAA[[#This Row],[ITEM]],Contrato!A:A,Contrato!B:B,"",0)</f>
        <v>#NAME?</v>
      </c>
      <c r="Z725" s="199" t="e">
        <f ca="1">_xlfn.XLOOKUP(PAA[[#This Row],[ITEM]],Contrato!A:A,Contrato!G:G,"",0)</f>
        <v>#NAME?</v>
      </c>
      <c r="AA725" s="199" t="e">
        <f ca="1">_xlfn.XLOOKUP(PAA[[#This Row],[ITEM]],Contrato!A:A,Contrato!T:T,"",0)</f>
        <v>#NAME?</v>
      </c>
      <c r="AB725" s="210" t="e">
        <f ca="1">+MAX(PAA[[#This Row],[Comprometido Contrato]],)</f>
        <v>#NAME?</v>
      </c>
      <c r="AC725" s="210" t="str">
        <f t="shared" ca="1" si="105"/>
        <v/>
      </c>
      <c r="AD725" s="210" t="e">
        <f ca="1">+MAX(PAA[[#This Row],[Pago por Contrato]],)</f>
        <v>#NAME?</v>
      </c>
      <c r="AE725" s="210" t="str">
        <f t="shared" ca="1" si="102"/>
        <v/>
      </c>
      <c r="AF725" s="199" t="e">
        <f t="shared" ca="1" si="103"/>
        <v>#NAME?</v>
      </c>
      <c r="AG725" s="199">
        <f t="shared" si="104"/>
        <v>52010701</v>
      </c>
      <c r="AH725" s="199" t="e" cm="1">
        <f t="array" aca="1" ref="AH725" ca="1">_xlfn.XLOOKUP(PAA[[#This Row],[RCP-RUBRO]],COMPROMISOS_2025[[#All],[concatenado]],COMPROMISOS_2025[[#All],[Total pagado]],"",0)</f>
        <v>#NAME?</v>
      </c>
      <c r="AI725" s="199" t="e" cm="1">
        <f t="array" aca="1" ref="AI725" ca="1">_xlfn.XLOOKUP(PAA[[#This Row],[RCP-RUBRO]],COMPROMISOS_2025[[#All],[concatenado]],COMPROMISOS_2025[[#All],[Total Comprometido]],"",0)</f>
        <v>#NAME?</v>
      </c>
    </row>
    <row r="726" spans="1:35" s="50" customFormat="1" ht="42" hidden="1" customHeight="1" x14ac:dyDescent="0.25">
      <c r="A726" s="199" t="s">
        <v>227</v>
      </c>
      <c r="B726" s="200">
        <v>80111600</v>
      </c>
      <c r="C726" s="199" t="str">
        <f>VLOOKUP(PAA[[#This Row],[PROYECTO (formulado)2]],PROYECTOS!$G$1:$L$32,6,0)</f>
        <v>SUBGERENCIA DE FOMENTO Y DESARROLLO</v>
      </c>
      <c r="D726" s="199" t="str">
        <f>+IF(PAA[[#This Row],[UNIDAD DE CONTRATACION (formulado)]]="Subgerencia Administrativa y Financiera","FUNCIONAMIENTO","INVERSIÓN")</f>
        <v>INVERSIÓN</v>
      </c>
      <c r="E726" s="201" t="str">
        <f>VLOOKUP(Q726,PROYECTOS!$G$1:$K$32,5,0)</f>
        <v>Desarrollo y promoción del deporte formativo, la recreación y la actividad física en el departamento Antioquia</v>
      </c>
      <c r="F726" s="201">
        <f>VLOOKUP(E726,PROYECTOS!$K$1:$M$32,3,0)</f>
        <v>2024003050101</v>
      </c>
      <c r="G726" s="202" t="s">
        <v>264</v>
      </c>
      <c r="H726" s="202" t="str">
        <f>VLOOKUP(Q726,PROYECTOS!$V$1:$W$32,2,0)</f>
        <v>050075</v>
      </c>
      <c r="I726" s="203">
        <v>9072734</v>
      </c>
      <c r="J726" s="204" t="s">
        <v>803</v>
      </c>
      <c r="K726" s="199" t="str">
        <f t="shared" ca="1" si="99"/>
        <v>CONTRATADO</v>
      </c>
      <c r="L726" s="204" t="s">
        <v>112</v>
      </c>
      <c r="M726" s="204" t="s">
        <v>113</v>
      </c>
      <c r="N726" s="205" t="s">
        <v>266</v>
      </c>
      <c r="O726" s="204">
        <f>VLOOKUP(N726,RUBROS[#All],3,0)</f>
        <v>70</v>
      </c>
      <c r="P726" s="206" t="str">
        <f>VLOOKUP(N726,RUBROS[#All],2,0)</f>
        <v xml:space="preserve">Desarrollo y promoción del deporte formativo, la recreación y la actividad física en el departamento Antioquia - Servicios prestados a las empresas y servicios de producción </v>
      </c>
      <c r="Q726" s="199" t="str">
        <f t="shared" si="100"/>
        <v>01</v>
      </c>
      <c r="R726" s="199" t="str">
        <f t="shared" si="101"/>
        <v>0-205128</v>
      </c>
      <c r="S726" s="207">
        <v>11.5</v>
      </c>
      <c r="T726" s="208" t="s">
        <v>46</v>
      </c>
      <c r="U726" s="209" t="e">
        <f ca="1">_xlfn.XLOOKUP(PAA[[#This Row],[ITEM]],Contrato!A:A,Contrato!Q:Q,"",0)</f>
        <v>#NAME?</v>
      </c>
      <c r="V726" s="199" t="s">
        <v>47</v>
      </c>
      <c r="W726" s="199" t="s">
        <v>48</v>
      </c>
      <c r="X726" s="199" t="s">
        <v>48</v>
      </c>
      <c r="Y726" s="210" t="e">
        <f ca="1">_xlfn.XLOOKUP(PAA[[#This Row],[ITEM]],Contrato!A:A,Contrato!B:B,"",0)</f>
        <v>#NAME?</v>
      </c>
      <c r="Z726" s="199" t="e">
        <f ca="1">_xlfn.XLOOKUP(PAA[[#This Row],[ITEM]],Contrato!A:A,Contrato!G:G,"",0)</f>
        <v>#NAME?</v>
      </c>
      <c r="AA726" s="199" t="e">
        <f ca="1">_xlfn.XLOOKUP(PAA[[#This Row],[ITEM]],Contrato!A:A,Contrato!T:T,"",0)</f>
        <v>#NAME?</v>
      </c>
      <c r="AB726" s="210" t="e">
        <f ca="1">+MAX(PAA[[#This Row],[Comprometido Contrato]],)</f>
        <v>#NAME?</v>
      </c>
      <c r="AC726" s="210" t="str">
        <f t="shared" ca="1" si="105"/>
        <v/>
      </c>
      <c r="AD726" s="210" t="e">
        <f ca="1">+MAX(PAA[[#This Row],[Pago por Contrato]],)</f>
        <v>#NAME?</v>
      </c>
      <c r="AE726" s="210" t="str">
        <f t="shared" ca="1" si="102"/>
        <v/>
      </c>
      <c r="AF726" s="199" t="e">
        <f t="shared" ca="1" si="103"/>
        <v>#NAME?</v>
      </c>
      <c r="AG726" s="199">
        <f t="shared" si="104"/>
        <v>52010702</v>
      </c>
      <c r="AH726" s="199" t="e" cm="1">
        <f t="array" aca="1" ref="AH726" ca="1">_xlfn.XLOOKUP(PAA[[#This Row],[RCP-RUBRO]],COMPROMISOS_2025[[#All],[concatenado]],COMPROMISOS_2025[[#All],[Total pagado]],"",0)</f>
        <v>#NAME?</v>
      </c>
      <c r="AI726" s="199" t="e" cm="1">
        <f t="array" aca="1" ref="AI726" ca="1">_xlfn.XLOOKUP(PAA[[#This Row],[RCP-RUBRO]],COMPROMISOS_2025[[#All],[concatenado]],COMPROMISOS_2025[[#All],[Total Comprometido]],"",0)</f>
        <v>#NAME?</v>
      </c>
    </row>
    <row r="727" spans="1:35" s="50" customFormat="1" ht="42" hidden="1" customHeight="1" x14ac:dyDescent="0.25">
      <c r="A727" s="199" t="s">
        <v>227</v>
      </c>
      <c r="B727" s="200">
        <v>80111600</v>
      </c>
      <c r="C727" s="199" t="str">
        <f>VLOOKUP(PAA[[#This Row],[PROYECTO (formulado)2]],PROYECTOS!$G$1:$L$32,6,0)</f>
        <v>SUBGERENCIA DE FOMENTO Y DESARROLLO</v>
      </c>
      <c r="D727" s="199" t="str">
        <f>+IF(PAA[[#This Row],[UNIDAD DE CONTRATACION (formulado)]]="Subgerencia Administrativa y Financiera","FUNCIONAMIENTO","INVERSIÓN")</f>
        <v>INVERSIÓN</v>
      </c>
      <c r="E727" s="201" t="str">
        <f>VLOOKUP(Q727,PROYECTOS!$G$1:$K$32,5,0)</f>
        <v>Asesoria y acompañamiento institucional para el deporte formativo, la recreación y la actividad física en el departamento de Antioquia</v>
      </c>
      <c r="F727" s="201">
        <f>VLOOKUP(E727,PROYECTOS!$K$1:$M$32,3,0)</f>
        <v>2024003050100</v>
      </c>
      <c r="G727" s="202" t="s">
        <v>267</v>
      </c>
      <c r="H727" s="202" t="str">
        <f>VLOOKUP(Q727,PROYECTOS!$V$1:$W$32,2,0)</f>
        <v>050071</v>
      </c>
      <c r="I727" s="203">
        <v>9072734</v>
      </c>
      <c r="J727" s="204" t="s">
        <v>803</v>
      </c>
      <c r="K727" s="199" t="str">
        <f t="shared" ca="1" si="99"/>
        <v>CONTRATADO</v>
      </c>
      <c r="L727" s="204" t="s">
        <v>112</v>
      </c>
      <c r="M727" s="204" t="s">
        <v>113</v>
      </c>
      <c r="N727" s="205" t="s">
        <v>268</v>
      </c>
      <c r="O727" s="204">
        <f>VLOOKUP(N727,RUBROS[#All],3,0)</f>
        <v>74</v>
      </c>
      <c r="P727" s="206" t="str">
        <f>VLOOKUP(N727,RUBROS[#All],2,0)</f>
        <v xml:space="preserve">Asesoria y acompañamiento institucional para el deporte formativo, la recreación y la actividad física en el departamento de Antioquia. - Servicios prestados a las empresas y servicios de producción </v>
      </c>
      <c r="Q727" s="199" t="str">
        <f t="shared" si="100"/>
        <v>10</v>
      </c>
      <c r="R727" s="199" t="str">
        <f t="shared" si="101"/>
        <v>0-101024</v>
      </c>
      <c r="S727" s="207">
        <v>11.5</v>
      </c>
      <c r="T727" s="208" t="s">
        <v>46</v>
      </c>
      <c r="U727" s="209" t="e">
        <f ca="1">_xlfn.XLOOKUP(PAA[[#This Row],[ITEM]],Contrato!A:A,Contrato!Q:Q,"",0)</f>
        <v>#NAME?</v>
      </c>
      <c r="V727" s="199" t="s">
        <v>47</v>
      </c>
      <c r="W727" s="199" t="s">
        <v>48</v>
      </c>
      <c r="X727" s="199" t="s">
        <v>48</v>
      </c>
      <c r="Y727" s="210" t="e">
        <f ca="1">_xlfn.XLOOKUP(PAA[[#This Row],[ITEM]],Contrato!A:A,Contrato!B:B,"",0)</f>
        <v>#NAME?</v>
      </c>
      <c r="Z727" s="199" t="e">
        <f ca="1">_xlfn.XLOOKUP(PAA[[#This Row],[ITEM]],Contrato!A:A,Contrato!G:G,"",0)</f>
        <v>#NAME?</v>
      </c>
      <c r="AA727" s="199" t="e">
        <f ca="1">_xlfn.XLOOKUP(PAA[[#This Row],[ITEM]],Contrato!A:A,Contrato!T:T,"",0)</f>
        <v>#NAME?</v>
      </c>
      <c r="AB727" s="210" t="e">
        <f ca="1">+MAX(PAA[[#This Row],[Comprometido Contrato]],)</f>
        <v>#NAME?</v>
      </c>
      <c r="AC727" s="210" t="str">
        <f t="shared" ca="1" si="105"/>
        <v/>
      </c>
      <c r="AD727" s="210" t="e">
        <f ca="1">+MAX(PAA[[#This Row],[Pago por Contrato]],)</f>
        <v>#NAME?</v>
      </c>
      <c r="AE727" s="210" t="str">
        <f t="shared" ca="1" si="102"/>
        <v/>
      </c>
      <c r="AF727" s="199" t="e">
        <f t="shared" ca="1" si="103"/>
        <v>#NAME?</v>
      </c>
      <c r="AG727" s="199">
        <f t="shared" si="104"/>
        <v>52010705</v>
      </c>
      <c r="AH727" s="199" t="e" cm="1">
        <f t="array" aca="1" ref="AH727" ca="1">_xlfn.XLOOKUP(PAA[[#This Row],[RCP-RUBRO]],COMPROMISOS_2025[[#All],[concatenado]],COMPROMISOS_2025[[#All],[Total pagado]],"",0)</f>
        <v>#NAME?</v>
      </c>
      <c r="AI727" s="199" t="e" cm="1">
        <f t="array" aca="1" ref="AI727" ca="1">_xlfn.XLOOKUP(PAA[[#This Row],[RCP-RUBRO]],COMPROMISOS_2025[[#All],[concatenado]],COMPROMISOS_2025[[#All],[Total Comprometido]],"",0)</f>
        <v>#NAME?</v>
      </c>
    </row>
    <row r="728" spans="1:35" s="50" customFormat="1" ht="42" hidden="1" customHeight="1" x14ac:dyDescent="0.25">
      <c r="A728" s="199" t="s">
        <v>227</v>
      </c>
      <c r="B728" s="200">
        <v>80111600</v>
      </c>
      <c r="C728" s="199" t="str">
        <f>VLOOKUP(PAA[[#This Row],[PROYECTO (formulado)2]],PROYECTOS!$G$1:$L$32,6,0)</f>
        <v>SUBGERENCIA DE FOMENTO Y DESARROLLO</v>
      </c>
      <c r="D728" s="199" t="str">
        <f>+IF(PAA[[#This Row],[UNIDAD DE CONTRATACION (formulado)]]="Subgerencia Administrativa y Financiera","FUNCIONAMIENTO","INVERSIÓN")</f>
        <v>INVERSIÓN</v>
      </c>
      <c r="E728" s="201" t="str">
        <f>VLOOKUP(Q728,PROYECTOS!$G$1:$K$32,5,0)</f>
        <v>Capacitación para el sector del deporte, la recreación y la actividad física en el Departamento de   Antioquia</v>
      </c>
      <c r="F728" s="201">
        <f>VLOOKUP(E728,PROYECTOS!$K$1:$M$32,3,0)</f>
        <v>2024003050072</v>
      </c>
      <c r="G728" s="202" t="s">
        <v>269</v>
      </c>
      <c r="H728" s="202" t="str">
        <f>VLOOKUP(Q728,PROYECTOS!$V$1:$W$32,2,0)</f>
        <v>050072</v>
      </c>
      <c r="I728" s="203">
        <v>9072710</v>
      </c>
      <c r="J728" s="204" t="s">
        <v>803</v>
      </c>
      <c r="K728" s="199" t="str">
        <f t="shared" ca="1" si="99"/>
        <v>CONTRATADO</v>
      </c>
      <c r="L728" s="204" t="s">
        <v>112</v>
      </c>
      <c r="M728" s="204" t="s">
        <v>113</v>
      </c>
      <c r="N728" s="205" t="s">
        <v>270</v>
      </c>
      <c r="O728" s="204">
        <f>VLOOKUP(N728,RUBROS[#All],3,0)</f>
        <v>78</v>
      </c>
      <c r="P728" s="206" t="str">
        <f>VLOOKUP(N728,RUBROS[#All],2,0)</f>
        <v xml:space="preserve">Capacitación para el sector del deporte, la recreación y la actividad física en el Departamento de   Antioquia - Servicios prestados a las empresas y servicios de producción </v>
      </c>
      <c r="Q728" s="199" t="str">
        <f t="shared" si="100"/>
        <v>72</v>
      </c>
      <c r="R728" s="199" t="str">
        <f t="shared" si="101"/>
        <v>0-205128</v>
      </c>
      <c r="S728" s="207">
        <v>11.5</v>
      </c>
      <c r="T728" s="208" t="s">
        <v>46</v>
      </c>
      <c r="U728" s="209" t="e">
        <f ca="1">_xlfn.XLOOKUP(PAA[[#This Row],[ITEM]],Contrato!A:A,Contrato!Q:Q,"",0)</f>
        <v>#NAME?</v>
      </c>
      <c r="V728" s="199" t="s">
        <v>47</v>
      </c>
      <c r="W728" s="199" t="s">
        <v>48</v>
      </c>
      <c r="X728" s="199" t="s">
        <v>48</v>
      </c>
      <c r="Y728" s="210" t="e">
        <f ca="1">_xlfn.XLOOKUP(PAA[[#This Row],[ITEM]],Contrato!A:A,Contrato!B:B,"",0)</f>
        <v>#NAME?</v>
      </c>
      <c r="Z728" s="199" t="e">
        <f ca="1">_xlfn.XLOOKUP(PAA[[#This Row],[ITEM]],Contrato!A:A,Contrato!G:G,"",0)</f>
        <v>#NAME?</v>
      </c>
      <c r="AA728" s="199" t="e">
        <f ca="1">_xlfn.XLOOKUP(PAA[[#This Row],[ITEM]],Contrato!A:A,Contrato!T:T,"",0)</f>
        <v>#NAME?</v>
      </c>
      <c r="AB728" s="210" t="e">
        <f ca="1">+MAX(PAA[[#This Row],[Comprometido Contrato]],)</f>
        <v>#NAME?</v>
      </c>
      <c r="AC728" s="210" t="str">
        <f t="shared" ca="1" si="105"/>
        <v/>
      </c>
      <c r="AD728" s="210" t="e">
        <f ca="1">+MAX(PAA[[#This Row],[Pago por Contrato]],)</f>
        <v>#NAME?</v>
      </c>
      <c r="AE728" s="210" t="str">
        <f t="shared" ca="1" si="102"/>
        <v/>
      </c>
      <c r="AF728" s="199" t="e">
        <f t="shared" ca="1" si="103"/>
        <v>#NAME?</v>
      </c>
      <c r="AG728" s="199">
        <f t="shared" si="104"/>
        <v>52010704</v>
      </c>
      <c r="AH728" s="199" t="e" cm="1">
        <f t="array" aca="1" ref="AH728" ca="1">_xlfn.XLOOKUP(PAA[[#This Row],[RCP-RUBRO]],COMPROMISOS_2025[[#All],[concatenado]],COMPROMISOS_2025[[#All],[Total pagado]],"",0)</f>
        <v>#NAME?</v>
      </c>
      <c r="AI728" s="199" t="e" cm="1">
        <f t="array" aca="1" ref="AI728" ca="1">_xlfn.XLOOKUP(PAA[[#This Row],[RCP-RUBRO]],COMPROMISOS_2025[[#All],[concatenado]],COMPROMISOS_2025[[#All],[Total Comprometido]],"",0)</f>
        <v>#NAME?</v>
      </c>
    </row>
    <row r="729" spans="1:35" s="50" customFormat="1" ht="42" hidden="1" customHeight="1" x14ac:dyDescent="0.25">
      <c r="A729" s="199" t="s">
        <v>227</v>
      </c>
      <c r="B729" s="200">
        <v>80111600</v>
      </c>
      <c r="C729" s="199" t="str">
        <f>VLOOKUP(PAA[[#This Row],[PROYECTO (formulado)2]],PROYECTOS!$G$1:$L$32,6,0)</f>
        <v>SUBGERENCIA DE FOMENTO Y DESARROLLO</v>
      </c>
      <c r="D729" s="199" t="str">
        <f>+IF(PAA[[#This Row],[UNIDAD DE CONTRATACION (formulado)]]="Subgerencia Administrativa y Financiera","FUNCIONAMIENTO","INVERSIÓN")</f>
        <v>INVERSIÓN</v>
      </c>
      <c r="E729" s="201" t="str">
        <f>VLOOKUP(Q729,PROYECTOS!$G$1:$K$32,5,0)</f>
        <v>Fortalecimiento de los juegos deportivos institucionales en los municipios del departamento de Antioquia</v>
      </c>
      <c r="F729" s="201">
        <f>VLOOKUP(E729,PROYECTOS!$K$1:$M$32,3,0)</f>
        <v>2024003050073</v>
      </c>
      <c r="G729" s="202" t="s">
        <v>271</v>
      </c>
      <c r="H729" s="202" t="str">
        <f>VLOOKUP(Q729,PROYECTOS!$V$1:$W$32,2,0)</f>
        <v>050081</v>
      </c>
      <c r="I729" s="203">
        <v>9072734</v>
      </c>
      <c r="J729" s="204" t="s">
        <v>803</v>
      </c>
      <c r="K729" s="199" t="str">
        <f t="shared" ca="1" si="99"/>
        <v>CONTRATADO</v>
      </c>
      <c r="L729" s="204" t="s">
        <v>112</v>
      </c>
      <c r="M729" s="204" t="s">
        <v>113</v>
      </c>
      <c r="N729" s="205" t="s">
        <v>272</v>
      </c>
      <c r="O729" s="204">
        <f>VLOOKUP(N729,RUBROS[#All],3,0)</f>
        <v>81</v>
      </c>
      <c r="P729" s="206" t="str">
        <f>VLOOKUP(N729,RUBROS[#All],2,0)</f>
        <v xml:space="preserve">Fortalecimiento de los juegos deportivos institucionales en los municipios del departamento de Antioquia - Servicios prestados a las empresas y servicios de producción </v>
      </c>
      <c r="Q729" s="199" t="str">
        <f t="shared" si="100"/>
        <v>73</v>
      </c>
      <c r="R729" s="199" t="str">
        <f t="shared" si="101"/>
        <v>0-205128</v>
      </c>
      <c r="S729" s="207">
        <v>11.5</v>
      </c>
      <c r="T729" s="208" t="s">
        <v>46</v>
      </c>
      <c r="U729" s="209" t="e">
        <f ca="1">_xlfn.XLOOKUP(PAA[[#This Row],[ITEM]],Contrato!A:A,Contrato!Q:Q,"",0)</f>
        <v>#NAME?</v>
      </c>
      <c r="V729" s="199" t="s">
        <v>47</v>
      </c>
      <c r="W729" s="199" t="s">
        <v>48</v>
      </c>
      <c r="X729" s="199" t="s">
        <v>48</v>
      </c>
      <c r="Y729" s="210" t="e">
        <f ca="1">_xlfn.XLOOKUP(PAA[[#This Row],[ITEM]],Contrato!A:A,Contrato!B:B,"",0)</f>
        <v>#NAME?</v>
      </c>
      <c r="Z729" s="199" t="e">
        <f ca="1">_xlfn.XLOOKUP(PAA[[#This Row],[ITEM]],Contrato!A:A,Contrato!G:G,"",0)</f>
        <v>#NAME?</v>
      </c>
      <c r="AA729" s="199" t="e">
        <f ca="1">_xlfn.XLOOKUP(PAA[[#This Row],[ITEM]],Contrato!A:A,Contrato!T:T,"",0)</f>
        <v>#NAME?</v>
      </c>
      <c r="AB729" s="210" t="e">
        <f ca="1">+MAX(PAA[[#This Row],[Comprometido Contrato]],)</f>
        <v>#NAME?</v>
      </c>
      <c r="AC729" s="210" t="str">
        <f t="shared" ca="1" si="105"/>
        <v/>
      </c>
      <c r="AD729" s="210" t="e">
        <f ca="1">+MAX(PAA[[#This Row],[Pago por Contrato]],)</f>
        <v>#NAME?</v>
      </c>
      <c r="AE729" s="210" t="str">
        <f t="shared" ca="1" si="102"/>
        <v/>
      </c>
      <c r="AF729" s="199" t="e">
        <f t="shared" ca="1" si="103"/>
        <v>#NAME?</v>
      </c>
      <c r="AG729" s="199">
        <f t="shared" si="104"/>
        <v>52010703</v>
      </c>
      <c r="AH729" s="199" t="e" cm="1">
        <f t="array" aca="1" ref="AH729" ca="1">_xlfn.XLOOKUP(PAA[[#This Row],[RCP-RUBRO]],COMPROMISOS_2025[[#All],[concatenado]],COMPROMISOS_2025[[#All],[Total pagado]],"",0)</f>
        <v>#NAME?</v>
      </c>
      <c r="AI729" s="199" t="e" cm="1">
        <f t="array" aca="1" ref="AI729" ca="1">_xlfn.XLOOKUP(PAA[[#This Row],[RCP-RUBRO]],COMPROMISOS_2025[[#All],[concatenado]],COMPROMISOS_2025[[#All],[Total Comprometido]],"",0)</f>
        <v>#NAME?</v>
      </c>
    </row>
    <row r="730" spans="1:35" s="50" customFormat="1" ht="42" hidden="1" customHeight="1" x14ac:dyDescent="0.25">
      <c r="A730" s="199" t="s">
        <v>227</v>
      </c>
      <c r="B730" s="200">
        <v>80111600</v>
      </c>
      <c r="C730" s="199" t="str">
        <f>VLOOKUP(PAA[[#This Row],[PROYECTO (formulado)2]],PROYECTOS!$G$1:$L$32,6,0)</f>
        <v>SUBGERENCIA DE FOMENTO Y DESARROLLO</v>
      </c>
      <c r="D730" s="199" t="str">
        <f>+IF(PAA[[#This Row],[UNIDAD DE CONTRATACION (formulado)]]="Subgerencia Administrativa y Financiera","FUNCIONAMIENTO","INVERSIÓN")</f>
        <v>INVERSIÓN</v>
      </c>
      <c r="E730" s="201" t="str">
        <f>VLOOKUP(Q730,PROYECTOS!$G$1:$K$32,5,0)</f>
        <v>Cofinanciación de dotación de implementación para el deporte la recreación y a la actividad física en el departamento de Antioquia</v>
      </c>
      <c r="F730" s="201">
        <f>VLOOKUP(E730,PROYECTOS!$K$1:$M$32,3,0)</f>
        <v>2024003050074</v>
      </c>
      <c r="G730" s="202" t="s">
        <v>273</v>
      </c>
      <c r="H730" s="202" t="str">
        <f>VLOOKUP(Q730,PROYECTOS!$V$1:$W$32,2,0)</f>
        <v>050073</v>
      </c>
      <c r="I730" s="203">
        <v>9072734</v>
      </c>
      <c r="J730" s="204" t="s">
        <v>803</v>
      </c>
      <c r="K730" s="199" t="str">
        <f t="shared" ca="1" si="99"/>
        <v>CONTRATADO</v>
      </c>
      <c r="L730" s="199" t="s">
        <v>112</v>
      </c>
      <c r="M730" s="204" t="s">
        <v>113</v>
      </c>
      <c r="N730" s="205" t="s">
        <v>274</v>
      </c>
      <c r="O730" s="204">
        <f>VLOOKUP(N730,RUBROS[#All],3,0)</f>
        <v>85</v>
      </c>
      <c r="P730" s="206" t="str">
        <f>VLOOKUP(N730,RUBROS[#All],2,0)</f>
        <v xml:space="preserve">Cofinanciación de dotación de implementación para el deporte la recreación y a la actividad física en el departamento de Antioquia - Servicios prestados a las empresas y servicios de producción </v>
      </c>
      <c r="Q730" s="199" t="str">
        <f t="shared" si="100"/>
        <v>74</v>
      </c>
      <c r="R730" s="199" t="str">
        <f t="shared" si="101"/>
        <v>0-101024</v>
      </c>
      <c r="S730" s="207">
        <v>11.5</v>
      </c>
      <c r="T730" s="208" t="s">
        <v>46</v>
      </c>
      <c r="U730" s="209" t="e">
        <f ca="1">_xlfn.XLOOKUP(PAA[[#This Row],[ITEM]],Contrato!A:A,Contrato!Q:Q,"",0)</f>
        <v>#NAME?</v>
      </c>
      <c r="V730" s="199" t="s">
        <v>47</v>
      </c>
      <c r="W730" s="199" t="s">
        <v>48</v>
      </c>
      <c r="X730" s="199" t="s">
        <v>48</v>
      </c>
      <c r="Y730" s="210" t="e">
        <f ca="1">_xlfn.XLOOKUP(PAA[[#This Row],[ITEM]],Contrato!A:A,Contrato!B:B,"",0)</f>
        <v>#NAME?</v>
      </c>
      <c r="Z730" s="199" t="e">
        <f ca="1">_xlfn.XLOOKUP(PAA[[#This Row],[ITEM]],Contrato!A:A,Contrato!G:G,"",0)</f>
        <v>#NAME?</v>
      </c>
      <c r="AA730" s="199" t="e">
        <f ca="1">_xlfn.XLOOKUP(PAA[[#This Row],[ITEM]],Contrato!A:A,Contrato!T:T,"",0)</f>
        <v>#NAME?</v>
      </c>
      <c r="AB730" s="210" t="e">
        <f ca="1">+MAX(PAA[[#This Row],[Comprometido Contrato]],)</f>
        <v>#NAME?</v>
      </c>
      <c r="AC730" s="210" t="str">
        <f t="shared" ca="1" si="105"/>
        <v/>
      </c>
      <c r="AD730" s="210" t="e">
        <f ca="1">+MAX(PAA[[#This Row],[Pago por Contrato]],)</f>
        <v>#NAME?</v>
      </c>
      <c r="AE730" s="210" t="str">
        <f t="shared" ca="1" si="102"/>
        <v/>
      </c>
      <c r="AF730" s="199" t="e">
        <f t="shared" ca="1" si="103"/>
        <v>#NAME?</v>
      </c>
      <c r="AG730" s="199">
        <f t="shared" si="104"/>
        <v>52010701</v>
      </c>
      <c r="AH730" s="199" t="e" cm="1">
        <f t="array" aca="1" ref="AH730" ca="1">_xlfn.XLOOKUP(PAA[[#This Row],[RCP-RUBRO]],COMPROMISOS_2025[[#All],[concatenado]],COMPROMISOS_2025[[#All],[Total pagado]],"",0)</f>
        <v>#NAME?</v>
      </c>
      <c r="AI730" s="199" t="e" cm="1">
        <f t="array" aca="1" ref="AI730" ca="1">_xlfn.XLOOKUP(PAA[[#This Row],[RCP-RUBRO]],COMPROMISOS_2025[[#All],[concatenado]],COMPROMISOS_2025[[#All],[Total Comprometido]],"",0)</f>
        <v>#NAME?</v>
      </c>
    </row>
    <row r="731" spans="1:35" s="50" customFormat="1" ht="42" hidden="1" customHeight="1" x14ac:dyDescent="0.25">
      <c r="A731" s="199" t="s">
        <v>227</v>
      </c>
      <c r="B731" s="200">
        <v>80111600</v>
      </c>
      <c r="C731" s="199" t="str">
        <f>VLOOKUP(PAA[[#This Row],[PROYECTO (formulado)2]],PROYECTOS!$G$1:$L$32,6,0)</f>
        <v>SUBGERENCIA DE FOMENTO Y DESARROLLO</v>
      </c>
      <c r="D731" s="199" t="str">
        <f>+IF(PAA[[#This Row],[UNIDAD DE CONTRATACION (formulado)]]="Subgerencia Administrativa y Financiera","FUNCIONAMIENTO","INVERSIÓN")</f>
        <v>INVERSIÓN</v>
      </c>
      <c r="E731" s="201" t="str">
        <f>VLOOKUP(Q731,PROYECTOS!$G$1:$K$32,5,0)</f>
        <v>Desarrollo y promoción del deporte formativo, la recreación y la actividad física en el departamento Antioquia</v>
      </c>
      <c r="F731" s="201">
        <f>VLOOKUP(E731,PROYECTOS!$K$1:$M$32,3,0)</f>
        <v>2024003050101</v>
      </c>
      <c r="G731" s="202" t="s">
        <v>264</v>
      </c>
      <c r="H731" s="202" t="str">
        <f>VLOOKUP(Q731,PROYECTOS!$V$1:$W$32,2,0)</f>
        <v>050075</v>
      </c>
      <c r="I731" s="203">
        <v>8031874</v>
      </c>
      <c r="J731" s="204" t="s">
        <v>281</v>
      </c>
      <c r="K731" s="199" t="str">
        <f t="shared" ca="1" si="99"/>
        <v>CONTRATADO</v>
      </c>
      <c r="L731" s="204" t="s">
        <v>112</v>
      </c>
      <c r="M731" s="204" t="s">
        <v>113</v>
      </c>
      <c r="N731" s="205" t="s">
        <v>266</v>
      </c>
      <c r="O731" s="204">
        <f>VLOOKUP(N731,RUBROS[#All],3,0)</f>
        <v>70</v>
      </c>
      <c r="P731" s="206" t="str">
        <f>VLOOKUP(N731,RUBROS[#All],2,0)</f>
        <v xml:space="preserve">Desarrollo y promoción del deporte formativo, la recreación y la actividad física en el departamento Antioquia - Servicios prestados a las empresas y servicios de producción </v>
      </c>
      <c r="Q731" s="199" t="str">
        <f t="shared" si="100"/>
        <v>01</v>
      </c>
      <c r="R731" s="199" t="str">
        <f t="shared" si="101"/>
        <v>0-205128</v>
      </c>
      <c r="S731" s="207">
        <v>11.5</v>
      </c>
      <c r="T731" s="208" t="s">
        <v>46</v>
      </c>
      <c r="U731" s="209" t="e">
        <f ca="1">_xlfn.XLOOKUP(PAA[[#This Row],[ITEM]],Contrato!A:A,Contrato!Q:Q,"",0)</f>
        <v>#NAME?</v>
      </c>
      <c r="V731" s="199" t="s">
        <v>47</v>
      </c>
      <c r="W731" s="199" t="s">
        <v>48</v>
      </c>
      <c r="X731" s="199" t="s">
        <v>48</v>
      </c>
      <c r="Y731" s="210" t="e">
        <f ca="1">_xlfn.XLOOKUP(PAA[[#This Row],[ITEM]],Contrato!A:A,Contrato!B:B,"",0)</f>
        <v>#NAME?</v>
      </c>
      <c r="Z731" s="199" t="e">
        <f ca="1">_xlfn.XLOOKUP(PAA[[#This Row],[ITEM]],Contrato!A:A,Contrato!G:G,"",0)</f>
        <v>#NAME?</v>
      </c>
      <c r="AA731" s="199" t="e">
        <f ca="1">_xlfn.XLOOKUP(PAA[[#This Row],[ITEM]],Contrato!A:A,Contrato!T:T,"",0)</f>
        <v>#NAME?</v>
      </c>
      <c r="AB731" s="210" t="e">
        <f ca="1">+MAX(PAA[[#This Row],[Comprometido Contrato]],)</f>
        <v>#NAME?</v>
      </c>
      <c r="AC731" s="210" t="str">
        <f t="shared" ca="1" si="105"/>
        <v/>
      </c>
      <c r="AD731" s="210" t="e">
        <f ca="1">+MAX(PAA[[#This Row],[Pago por Contrato]],)</f>
        <v>#NAME?</v>
      </c>
      <c r="AE731" s="210" t="str">
        <f t="shared" ca="1" si="102"/>
        <v/>
      </c>
      <c r="AF731" s="199" t="e">
        <f t="shared" ca="1" si="103"/>
        <v>#NAME?</v>
      </c>
      <c r="AG731" s="199">
        <f t="shared" si="104"/>
        <v>52010702</v>
      </c>
      <c r="AH731" s="199" t="e" cm="1">
        <f t="array" aca="1" ref="AH731" ca="1">_xlfn.XLOOKUP(PAA[[#This Row],[RCP-RUBRO]],COMPROMISOS_2025[[#All],[concatenado]],COMPROMISOS_2025[[#All],[Total pagado]],"",0)</f>
        <v>#NAME?</v>
      </c>
      <c r="AI731" s="199" t="e" cm="1">
        <f t="array" aca="1" ref="AI731" ca="1">_xlfn.XLOOKUP(PAA[[#This Row],[RCP-RUBRO]],COMPROMISOS_2025[[#All],[concatenado]],COMPROMISOS_2025[[#All],[Total Comprometido]],"",0)</f>
        <v>#NAME?</v>
      </c>
    </row>
    <row r="732" spans="1:35" s="50" customFormat="1" ht="42" hidden="1" customHeight="1" x14ac:dyDescent="0.25">
      <c r="A732" s="199" t="s">
        <v>227</v>
      </c>
      <c r="B732" s="200">
        <v>80111600</v>
      </c>
      <c r="C732" s="199" t="str">
        <f>VLOOKUP(PAA[[#This Row],[PROYECTO (formulado)2]],PROYECTOS!$G$1:$L$32,6,0)</f>
        <v>SUBGERENCIA DE FOMENTO Y DESARROLLO</v>
      </c>
      <c r="D732" s="199" t="str">
        <f>+IF(PAA[[#This Row],[UNIDAD DE CONTRATACION (formulado)]]="Subgerencia Administrativa y Financiera","FUNCIONAMIENTO","INVERSIÓN")</f>
        <v>INVERSIÓN</v>
      </c>
      <c r="E732" s="201" t="str">
        <f>VLOOKUP(Q732,PROYECTOS!$G$1:$K$32,5,0)</f>
        <v>Asesoria y acompañamiento institucional para el deporte formativo, la recreación y la actividad física en el departamento de Antioquia</v>
      </c>
      <c r="F732" s="201">
        <f>VLOOKUP(E732,PROYECTOS!$K$1:$M$32,3,0)</f>
        <v>2024003050100</v>
      </c>
      <c r="G732" s="202" t="s">
        <v>267</v>
      </c>
      <c r="H732" s="202" t="str">
        <f>VLOOKUP(Q732,PROYECTOS!$V$1:$W$32,2,0)</f>
        <v>050071</v>
      </c>
      <c r="I732" s="203">
        <v>8031874</v>
      </c>
      <c r="J732" s="204" t="s">
        <v>281</v>
      </c>
      <c r="K732" s="199" t="str">
        <f t="shared" ca="1" si="99"/>
        <v>CONTRATADO</v>
      </c>
      <c r="L732" s="204" t="s">
        <v>112</v>
      </c>
      <c r="M732" s="204" t="s">
        <v>113</v>
      </c>
      <c r="N732" s="205" t="s">
        <v>268</v>
      </c>
      <c r="O732" s="204">
        <f>VLOOKUP(N732,RUBROS[#All],3,0)</f>
        <v>74</v>
      </c>
      <c r="P732" s="206" t="str">
        <f>VLOOKUP(N732,RUBROS[#All],2,0)</f>
        <v xml:space="preserve">Asesoria y acompañamiento institucional para el deporte formativo, la recreación y la actividad física en el departamento de Antioquia. - Servicios prestados a las empresas y servicios de producción </v>
      </c>
      <c r="Q732" s="199" t="str">
        <f t="shared" si="100"/>
        <v>10</v>
      </c>
      <c r="R732" s="199" t="str">
        <f t="shared" si="101"/>
        <v>0-101024</v>
      </c>
      <c r="S732" s="207">
        <v>11.5</v>
      </c>
      <c r="T732" s="208" t="s">
        <v>46</v>
      </c>
      <c r="U732" s="209" t="e">
        <f ca="1">_xlfn.XLOOKUP(PAA[[#This Row],[ITEM]],Contrato!A:A,Contrato!Q:Q,"",0)</f>
        <v>#NAME?</v>
      </c>
      <c r="V732" s="199" t="s">
        <v>47</v>
      </c>
      <c r="W732" s="199" t="s">
        <v>48</v>
      </c>
      <c r="X732" s="199" t="s">
        <v>48</v>
      </c>
      <c r="Y732" s="210" t="e">
        <f ca="1">_xlfn.XLOOKUP(PAA[[#This Row],[ITEM]],Contrato!A:A,Contrato!B:B,"",0)</f>
        <v>#NAME?</v>
      </c>
      <c r="Z732" s="199" t="e">
        <f ca="1">_xlfn.XLOOKUP(PAA[[#This Row],[ITEM]],Contrato!A:A,Contrato!G:G,"",0)</f>
        <v>#NAME?</v>
      </c>
      <c r="AA732" s="199" t="e">
        <f ca="1">_xlfn.XLOOKUP(PAA[[#This Row],[ITEM]],Contrato!A:A,Contrato!T:T,"",0)</f>
        <v>#NAME?</v>
      </c>
      <c r="AB732" s="210" t="e">
        <f ca="1">+MAX(PAA[[#This Row],[Comprometido Contrato]],)</f>
        <v>#NAME?</v>
      </c>
      <c r="AC732" s="210" t="str">
        <f t="shared" ca="1" si="105"/>
        <v/>
      </c>
      <c r="AD732" s="210" t="e">
        <f ca="1">+MAX(PAA[[#This Row],[Pago por Contrato]],)</f>
        <v>#NAME?</v>
      </c>
      <c r="AE732" s="210" t="str">
        <f t="shared" ca="1" si="102"/>
        <v/>
      </c>
      <c r="AF732" s="199" t="e">
        <f t="shared" ca="1" si="103"/>
        <v>#NAME?</v>
      </c>
      <c r="AG732" s="199">
        <f t="shared" si="104"/>
        <v>52010705</v>
      </c>
      <c r="AH732" s="199" t="e" cm="1">
        <f t="array" aca="1" ref="AH732" ca="1">_xlfn.XLOOKUP(PAA[[#This Row],[RCP-RUBRO]],COMPROMISOS_2025[[#All],[concatenado]],COMPROMISOS_2025[[#All],[Total pagado]],"",0)</f>
        <v>#NAME?</v>
      </c>
      <c r="AI732" s="199" t="e" cm="1">
        <f t="array" aca="1" ref="AI732" ca="1">_xlfn.XLOOKUP(PAA[[#This Row],[RCP-RUBRO]],COMPROMISOS_2025[[#All],[concatenado]],COMPROMISOS_2025[[#All],[Total Comprometido]],"",0)</f>
        <v>#NAME?</v>
      </c>
    </row>
    <row r="733" spans="1:35" s="50" customFormat="1" ht="42" hidden="1" customHeight="1" x14ac:dyDescent="0.25">
      <c r="A733" s="199" t="s">
        <v>227</v>
      </c>
      <c r="B733" s="200">
        <v>80111600</v>
      </c>
      <c r="C733" s="199" t="str">
        <f>VLOOKUP(PAA[[#This Row],[PROYECTO (formulado)2]],PROYECTOS!$G$1:$L$32,6,0)</f>
        <v>SUBGERENCIA DE FOMENTO Y DESARROLLO</v>
      </c>
      <c r="D733" s="199" t="str">
        <f>+IF(PAA[[#This Row],[UNIDAD DE CONTRATACION (formulado)]]="Subgerencia Administrativa y Financiera","FUNCIONAMIENTO","INVERSIÓN")</f>
        <v>INVERSIÓN</v>
      </c>
      <c r="E733" s="201" t="str">
        <f>VLOOKUP(Q733,PROYECTOS!$G$1:$K$32,5,0)</f>
        <v>Capacitación para el sector del deporte, la recreación y la actividad física en el Departamento de   Antioquia</v>
      </c>
      <c r="F733" s="201">
        <f>VLOOKUP(E733,PROYECTOS!$K$1:$M$32,3,0)</f>
        <v>2024003050072</v>
      </c>
      <c r="G733" s="202" t="s">
        <v>269</v>
      </c>
      <c r="H733" s="202" t="str">
        <f>VLOOKUP(Q733,PROYECTOS!$V$1:$W$32,2,0)</f>
        <v>050072</v>
      </c>
      <c r="I733" s="203">
        <v>8031863</v>
      </c>
      <c r="J733" s="204" t="s">
        <v>281</v>
      </c>
      <c r="K733" s="199" t="str">
        <f t="shared" ca="1" si="99"/>
        <v>CONTRATADO</v>
      </c>
      <c r="L733" s="204" t="s">
        <v>112</v>
      </c>
      <c r="M733" s="204" t="s">
        <v>113</v>
      </c>
      <c r="N733" s="205" t="s">
        <v>270</v>
      </c>
      <c r="O733" s="204">
        <f>VLOOKUP(N733,RUBROS[#All],3,0)</f>
        <v>78</v>
      </c>
      <c r="P733" s="206" t="str">
        <f>VLOOKUP(N733,RUBROS[#All],2,0)</f>
        <v xml:space="preserve">Capacitación para el sector del deporte, la recreación y la actividad física en el Departamento de   Antioquia - Servicios prestados a las empresas y servicios de producción </v>
      </c>
      <c r="Q733" s="199" t="str">
        <f t="shared" si="100"/>
        <v>72</v>
      </c>
      <c r="R733" s="199" t="str">
        <f t="shared" si="101"/>
        <v>0-205128</v>
      </c>
      <c r="S733" s="207">
        <v>11.5</v>
      </c>
      <c r="T733" s="208" t="s">
        <v>46</v>
      </c>
      <c r="U733" s="209" t="e">
        <f ca="1">_xlfn.XLOOKUP(PAA[[#This Row],[ITEM]],Contrato!A:A,Contrato!Q:Q,"",0)</f>
        <v>#NAME?</v>
      </c>
      <c r="V733" s="199" t="s">
        <v>47</v>
      </c>
      <c r="W733" s="199" t="s">
        <v>48</v>
      </c>
      <c r="X733" s="199" t="s">
        <v>48</v>
      </c>
      <c r="Y733" s="210" t="e">
        <f ca="1">_xlfn.XLOOKUP(PAA[[#This Row],[ITEM]],Contrato!A:A,Contrato!B:B,"",0)</f>
        <v>#NAME?</v>
      </c>
      <c r="Z733" s="199" t="e">
        <f ca="1">_xlfn.XLOOKUP(PAA[[#This Row],[ITEM]],Contrato!A:A,Contrato!G:G,"",0)</f>
        <v>#NAME?</v>
      </c>
      <c r="AA733" s="199" t="e">
        <f ca="1">_xlfn.XLOOKUP(PAA[[#This Row],[ITEM]],Contrato!A:A,Contrato!T:T,"",0)</f>
        <v>#NAME?</v>
      </c>
      <c r="AB733" s="210" t="e">
        <f ca="1">+MAX(PAA[[#This Row],[Comprometido Contrato]],)</f>
        <v>#NAME?</v>
      </c>
      <c r="AC733" s="210" t="str">
        <f t="shared" ca="1" si="105"/>
        <v/>
      </c>
      <c r="AD733" s="210" t="e">
        <f ca="1">+MAX(PAA[[#This Row],[Pago por Contrato]],)</f>
        <v>#NAME?</v>
      </c>
      <c r="AE733" s="210" t="str">
        <f t="shared" ca="1" si="102"/>
        <v/>
      </c>
      <c r="AF733" s="199" t="e">
        <f t="shared" ca="1" si="103"/>
        <v>#NAME?</v>
      </c>
      <c r="AG733" s="199">
        <f t="shared" si="104"/>
        <v>52010704</v>
      </c>
      <c r="AH733" s="199" t="e" cm="1">
        <f t="array" aca="1" ref="AH733" ca="1">_xlfn.XLOOKUP(PAA[[#This Row],[RCP-RUBRO]],COMPROMISOS_2025[[#All],[concatenado]],COMPROMISOS_2025[[#All],[Total pagado]],"",0)</f>
        <v>#NAME?</v>
      </c>
      <c r="AI733" s="199" t="e" cm="1">
        <f t="array" aca="1" ref="AI733" ca="1">_xlfn.XLOOKUP(PAA[[#This Row],[RCP-RUBRO]],COMPROMISOS_2025[[#All],[concatenado]],COMPROMISOS_2025[[#All],[Total Comprometido]],"",0)</f>
        <v>#NAME?</v>
      </c>
    </row>
    <row r="734" spans="1:35" s="50" customFormat="1" ht="42" hidden="1" customHeight="1" x14ac:dyDescent="0.25">
      <c r="A734" s="199" t="s">
        <v>227</v>
      </c>
      <c r="B734" s="200">
        <v>80111600</v>
      </c>
      <c r="C734" s="199" t="str">
        <f>VLOOKUP(PAA[[#This Row],[PROYECTO (formulado)2]],PROYECTOS!$G$1:$L$32,6,0)</f>
        <v>SUBGERENCIA DE FOMENTO Y DESARROLLO</v>
      </c>
      <c r="D734" s="199" t="str">
        <f>+IF(PAA[[#This Row],[UNIDAD DE CONTRATACION (formulado)]]="Subgerencia Administrativa y Financiera","FUNCIONAMIENTO","INVERSIÓN")</f>
        <v>INVERSIÓN</v>
      </c>
      <c r="E734" s="201" t="str">
        <f>VLOOKUP(Q734,PROYECTOS!$G$1:$K$32,5,0)</f>
        <v>Fortalecimiento de los juegos deportivos institucionales en los municipios del departamento de Antioquia</v>
      </c>
      <c r="F734" s="201">
        <f>VLOOKUP(E734,PROYECTOS!$K$1:$M$32,3,0)</f>
        <v>2024003050073</v>
      </c>
      <c r="G734" s="202" t="s">
        <v>271</v>
      </c>
      <c r="H734" s="202" t="str">
        <f>VLOOKUP(Q734,PROYECTOS!$V$1:$W$32,2,0)</f>
        <v>050081</v>
      </c>
      <c r="I734" s="203">
        <v>8031874</v>
      </c>
      <c r="J734" s="204" t="s">
        <v>281</v>
      </c>
      <c r="K734" s="199" t="str">
        <f t="shared" ca="1" si="99"/>
        <v>CONTRATADO</v>
      </c>
      <c r="L734" s="204" t="s">
        <v>112</v>
      </c>
      <c r="M734" s="204" t="s">
        <v>113</v>
      </c>
      <c r="N734" s="205" t="s">
        <v>272</v>
      </c>
      <c r="O734" s="204">
        <f>VLOOKUP(N734,RUBROS[#All],3,0)</f>
        <v>81</v>
      </c>
      <c r="P734" s="206" t="str">
        <f>VLOOKUP(N734,RUBROS[#All],2,0)</f>
        <v xml:space="preserve">Fortalecimiento de los juegos deportivos institucionales en los municipios del departamento de Antioquia - Servicios prestados a las empresas y servicios de producción </v>
      </c>
      <c r="Q734" s="199" t="str">
        <f t="shared" si="100"/>
        <v>73</v>
      </c>
      <c r="R734" s="199" t="str">
        <f t="shared" si="101"/>
        <v>0-205128</v>
      </c>
      <c r="S734" s="207">
        <v>11.5</v>
      </c>
      <c r="T734" s="208" t="s">
        <v>46</v>
      </c>
      <c r="U734" s="209" t="e">
        <f ca="1">_xlfn.XLOOKUP(PAA[[#This Row],[ITEM]],Contrato!A:A,Contrato!Q:Q,"",0)</f>
        <v>#NAME?</v>
      </c>
      <c r="V734" s="199" t="s">
        <v>47</v>
      </c>
      <c r="W734" s="199" t="s">
        <v>48</v>
      </c>
      <c r="X734" s="199" t="s">
        <v>48</v>
      </c>
      <c r="Y734" s="210" t="e">
        <f ca="1">_xlfn.XLOOKUP(PAA[[#This Row],[ITEM]],Contrato!A:A,Contrato!B:B,"",0)</f>
        <v>#NAME?</v>
      </c>
      <c r="Z734" s="199" t="e">
        <f ca="1">_xlfn.XLOOKUP(PAA[[#This Row],[ITEM]],Contrato!A:A,Contrato!G:G,"",0)</f>
        <v>#NAME?</v>
      </c>
      <c r="AA734" s="199" t="e">
        <f ca="1">_xlfn.XLOOKUP(PAA[[#This Row],[ITEM]],Contrato!A:A,Contrato!T:T,"",0)</f>
        <v>#NAME?</v>
      </c>
      <c r="AB734" s="210" t="e">
        <f ca="1">+MAX(PAA[[#This Row],[Comprometido Contrato]],)</f>
        <v>#NAME?</v>
      </c>
      <c r="AC734" s="210" t="str">
        <f t="shared" ca="1" si="105"/>
        <v/>
      </c>
      <c r="AD734" s="210" t="e">
        <f ca="1">+MAX(PAA[[#This Row],[Pago por Contrato]],)</f>
        <v>#NAME?</v>
      </c>
      <c r="AE734" s="210" t="str">
        <f t="shared" ca="1" si="102"/>
        <v/>
      </c>
      <c r="AF734" s="199" t="e">
        <f t="shared" ca="1" si="103"/>
        <v>#NAME?</v>
      </c>
      <c r="AG734" s="199">
        <f t="shared" si="104"/>
        <v>52010703</v>
      </c>
      <c r="AH734" s="199" t="e" cm="1">
        <f t="array" aca="1" ref="AH734" ca="1">_xlfn.XLOOKUP(PAA[[#This Row],[RCP-RUBRO]],COMPROMISOS_2025[[#All],[concatenado]],COMPROMISOS_2025[[#All],[Total pagado]],"",0)</f>
        <v>#NAME?</v>
      </c>
      <c r="AI734" s="199" t="e" cm="1">
        <f t="array" aca="1" ref="AI734" ca="1">_xlfn.XLOOKUP(PAA[[#This Row],[RCP-RUBRO]],COMPROMISOS_2025[[#All],[concatenado]],COMPROMISOS_2025[[#All],[Total Comprometido]],"",0)</f>
        <v>#NAME?</v>
      </c>
    </row>
    <row r="735" spans="1:35" s="50" customFormat="1" ht="42" hidden="1" customHeight="1" x14ac:dyDescent="0.25">
      <c r="A735" s="199" t="s">
        <v>227</v>
      </c>
      <c r="B735" s="200">
        <v>80111600</v>
      </c>
      <c r="C735" s="199" t="str">
        <f>VLOOKUP(PAA[[#This Row],[PROYECTO (formulado)2]],PROYECTOS!$G$1:$L$32,6,0)</f>
        <v>SUBGERENCIA DE FOMENTO Y DESARROLLO</v>
      </c>
      <c r="D735" s="199" t="str">
        <f>+IF(PAA[[#This Row],[UNIDAD DE CONTRATACION (formulado)]]="Subgerencia Administrativa y Financiera","FUNCIONAMIENTO","INVERSIÓN")</f>
        <v>INVERSIÓN</v>
      </c>
      <c r="E735" s="201" t="str">
        <f>VLOOKUP(Q735,PROYECTOS!$G$1:$K$32,5,0)</f>
        <v>Cofinanciación de dotación de implementación para el deporte la recreación y a la actividad física en el departamento de Antioquia</v>
      </c>
      <c r="F735" s="201">
        <f>VLOOKUP(E735,PROYECTOS!$K$1:$M$32,3,0)</f>
        <v>2024003050074</v>
      </c>
      <c r="G735" s="202" t="s">
        <v>273</v>
      </c>
      <c r="H735" s="202" t="str">
        <f>VLOOKUP(Q735,PROYECTOS!$V$1:$W$32,2,0)</f>
        <v>050073</v>
      </c>
      <c r="I735" s="203">
        <v>8031874</v>
      </c>
      <c r="J735" s="204" t="s">
        <v>281</v>
      </c>
      <c r="K735" s="199" t="str">
        <f t="shared" ca="1" si="99"/>
        <v>CONTRATADO</v>
      </c>
      <c r="L735" s="199" t="s">
        <v>112</v>
      </c>
      <c r="M735" s="204" t="s">
        <v>113</v>
      </c>
      <c r="N735" s="205" t="s">
        <v>274</v>
      </c>
      <c r="O735" s="204">
        <f>VLOOKUP(N735,RUBROS[#All],3,0)</f>
        <v>85</v>
      </c>
      <c r="P735" s="206" t="str">
        <f>VLOOKUP(N735,RUBROS[#All],2,0)</f>
        <v xml:space="preserve">Cofinanciación de dotación de implementación para el deporte la recreación y a la actividad física en el departamento de Antioquia - Servicios prestados a las empresas y servicios de producción </v>
      </c>
      <c r="Q735" s="199" t="str">
        <f t="shared" si="100"/>
        <v>74</v>
      </c>
      <c r="R735" s="199" t="str">
        <f t="shared" si="101"/>
        <v>0-101024</v>
      </c>
      <c r="S735" s="207">
        <v>11.5</v>
      </c>
      <c r="T735" s="208" t="s">
        <v>46</v>
      </c>
      <c r="U735" s="209" t="e">
        <f ca="1">_xlfn.XLOOKUP(PAA[[#This Row],[ITEM]],Contrato!A:A,Contrato!Q:Q,"",0)</f>
        <v>#NAME?</v>
      </c>
      <c r="V735" s="199" t="s">
        <v>47</v>
      </c>
      <c r="W735" s="199" t="s">
        <v>48</v>
      </c>
      <c r="X735" s="199" t="s">
        <v>48</v>
      </c>
      <c r="Y735" s="210" t="e">
        <f ca="1">_xlfn.XLOOKUP(PAA[[#This Row],[ITEM]],Contrato!A:A,Contrato!B:B,"",0)</f>
        <v>#NAME?</v>
      </c>
      <c r="Z735" s="199" t="e">
        <f ca="1">_xlfn.XLOOKUP(PAA[[#This Row],[ITEM]],Contrato!A:A,Contrato!G:G,"",0)</f>
        <v>#NAME?</v>
      </c>
      <c r="AA735" s="199" t="e">
        <f ca="1">_xlfn.XLOOKUP(PAA[[#This Row],[ITEM]],Contrato!A:A,Contrato!T:T,"",0)</f>
        <v>#NAME?</v>
      </c>
      <c r="AB735" s="210" t="e">
        <f ca="1">+MAX(PAA[[#This Row],[Comprometido Contrato]],)</f>
        <v>#NAME?</v>
      </c>
      <c r="AC735" s="210" t="str">
        <f t="shared" ca="1" si="105"/>
        <v/>
      </c>
      <c r="AD735" s="210" t="e">
        <f ca="1">+MAX(PAA[[#This Row],[Pago por Contrato]],)</f>
        <v>#NAME?</v>
      </c>
      <c r="AE735" s="210" t="str">
        <f t="shared" ca="1" si="102"/>
        <v/>
      </c>
      <c r="AF735" s="199" t="e">
        <f t="shared" ca="1" si="103"/>
        <v>#NAME?</v>
      </c>
      <c r="AG735" s="199">
        <f t="shared" si="104"/>
        <v>52010701</v>
      </c>
      <c r="AH735" s="199" t="e" cm="1">
        <f t="array" aca="1" ref="AH735" ca="1">_xlfn.XLOOKUP(PAA[[#This Row],[RCP-RUBRO]],COMPROMISOS_2025[[#All],[concatenado]],COMPROMISOS_2025[[#All],[Total pagado]],"",0)</f>
        <v>#NAME?</v>
      </c>
      <c r="AI735" s="199" t="e" cm="1">
        <f t="array" aca="1" ref="AI735" ca="1">_xlfn.XLOOKUP(PAA[[#This Row],[RCP-RUBRO]],COMPROMISOS_2025[[#All],[concatenado]],COMPROMISOS_2025[[#All],[Total Comprometido]],"",0)</f>
        <v>#NAME?</v>
      </c>
    </row>
    <row r="736" spans="1:35" s="50" customFormat="1" ht="42" hidden="1" customHeight="1" x14ac:dyDescent="0.25">
      <c r="A736" s="199" t="s">
        <v>227</v>
      </c>
      <c r="B736" s="200">
        <v>80111600</v>
      </c>
      <c r="C736" s="199" t="str">
        <f>VLOOKUP(PAA[[#This Row],[PROYECTO (formulado)2]],PROYECTOS!$G$1:$L$32,6,0)</f>
        <v>SUBGERENCIA DE FOMENTO Y DESARROLLO</v>
      </c>
      <c r="D736" s="199" t="str">
        <f>+IF(PAA[[#This Row],[UNIDAD DE CONTRATACION (formulado)]]="Subgerencia Administrativa y Financiera","FUNCIONAMIENTO","INVERSIÓN")</f>
        <v>INVERSIÓN</v>
      </c>
      <c r="E736" s="201" t="str">
        <f>VLOOKUP(Q736,PROYECTOS!$G$1:$K$32,5,0)</f>
        <v>Desarrollo y promoción del deporte formativo, la recreación y la actividad física en el departamento Antioquia</v>
      </c>
      <c r="F736" s="201">
        <f>VLOOKUP(E736,PROYECTOS!$K$1:$M$32,3,0)</f>
        <v>2024003050101</v>
      </c>
      <c r="G736" s="202" t="s">
        <v>264</v>
      </c>
      <c r="H736" s="202" t="str">
        <f>VLOOKUP(Q736,PROYECTOS!$V$1:$W$32,2,0)</f>
        <v>050075</v>
      </c>
      <c r="I736" s="203">
        <v>8031874</v>
      </c>
      <c r="J736" s="204" t="s">
        <v>804</v>
      </c>
      <c r="K736" s="199" t="str">
        <f t="shared" ca="1" si="99"/>
        <v>CONTRATADO</v>
      </c>
      <c r="L736" s="204" t="s">
        <v>112</v>
      </c>
      <c r="M736" s="204" t="s">
        <v>113</v>
      </c>
      <c r="N736" s="205" t="s">
        <v>266</v>
      </c>
      <c r="O736" s="204">
        <f>VLOOKUP(N736,RUBROS[#All],3,0)</f>
        <v>70</v>
      </c>
      <c r="P736" s="206" t="str">
        <f>VLOOKUP(N736,RUBROS[#All],2,0)</f>
        <v xml:space="preserve">Desarrollo y promoción del deporte formativo, la recreación y la actividad física en el departamento Antioquia - Servicios prestados a las empresas y servicios de producción </v>
      </c>
      <c r="Q736" s="199" t="str">
        <f t="shared" si="100"/>
        <v>01</v>
      </c>
      <c r="R736" s="199" t="str">
        <f t="shared" si="101"/>
        <v>0-205128</v>
      </c>
      <c r="S736" s="207">
        <v>11.5</v>
      </c>
      <c r="T736" s="208" t="s">
        <v>46</v>
      </c>
      <c r="U736" s="209" t="e">
        <f ca="1">_xlfn.XLOOKUP(PAA[[#This Row],[ITEM]],Contrato!A:A,Contrato!Q:Q,"",0)</f>
        <v>#NAME?</v>
      </c>
      <c r="V736" s="199" t="s">
        <v>47</v>
      </c>
      <c r="W736" s="199" t="s">
        <v>48</v>
      </c>
      <c r="X736" s="199" t="s">
        <v>48</v>
      </c>
      <c r="Y736" s="210" t="e">
        <f ca="1">_xlfn.XLOOKUP(PAA[[#This Row],[ITEM]],Contrato!A:A,Contrato!B:B,"",0)</f>
        <v>#NAME?</v>
      </c>
      <c r="Z736" s="199" t="e">
        <f ca="1">_xlfn.XLOOKUP(PAA[[#This Row],[ITEM]],Contrato!A:A,Contrato!G:G,"",0)</f>
        <v>#NAME?</v>
      </c>
      <c r="AA736" s="199" t="e">
        <f ca="1">_xlfn.XLOOKUP(PAA[[#This Row],[ITEM]],Contrato!A:A,Contrato!T:T,"",0)</f>
        <v>#NAME?</v>
      </c>
      <c r="AB736" s="210" t="e">
        <f ca="1">+MAX(PAA[[#This Row],[Comprometido Contrato]],)</f>
        <v>#NAME?</v>
      </c>
      <c r="AC736" s="210" t="str">
        <f t="shared" ca="1" si="105"/>
        <v/>
      </c>
      <c r="AD736" s="210" t="e">
        <f ca="1">+MAX(PAA[[#This Row],[Pago por Contrato]],)</f>
        <v>#NAME?</v>
      </c>
      <c r="AE736" s="210" t="str">
        <f t="shared" ca="1" si="102"/>
        <v/>
      </c>
      <c r="AF736" s="199" t="e">
        <f t="shared" ca="1" si="103"/>
        <v>#NAME?</v>
      </c>
      <c r="AG736" s="199">
        <f t="shared" si="104"/>
        <v>52010702</v>
      </c>
      <c r="AH736" s="199" t="e" cm="1">
        <f t="array" aca="1" ref="AH736" ca="1">_xlfn.XLOOKUP(PAA[[#This Row],[RCP-RUBRO]],COMPROMISOS_2025[[#All],[concatenado]],COMPROMISOS_2025[[#All],[Total pagado]],"",0)</f>
        <v>#NAME?</v>
      </c>
      <c r="AI736" s="199" t="e" cm="1">
        <f t="array" aca="1" ref="AI736" ca="1">_xlfn.XLOOKUP(PAA[[#This Row],[RCP-RUBRO]],COMPROMISOS_2025[[#All],[concatenado]],COMPROMISOS_2025[[#All],[Total Comprometido]],"",0)</f>
        <v>#NAME?</v>
      </c>
    </row>
    <row r="737" spans="1:84" s="50" customFormat="1" ht="42" hidden="1" customHeight="1" x14ac:dyDescent="0.25">
      <c r="A737" s="199" t="s">
        <v>227</v>
      </c>
      <c r="B737" s="200">
        <v>80111600</v>
      </c>
      <c r="C737" s="199" t="str">
        <f>VLOOKUP(PAA[[#This Row],[PROYECTO (formulado)2]],PROYECTOS!$G$1:$L$32,6,0)</f>
        <v>SUBGERENCIA DE FOMENTO Y DESARROLLO</v>
      </c>
      <c r="D737" s="199" t="str">
        <f>+IF(PAA[[#This Row],[UNIDAD DE CONTRATACION (formulado)]]="Subgerencia Administrativa y Financiera","FUNCIONAMIENTO","INVERSIÓN")</f>
        <v>INVERSIÓN</v>
      </c>
      <c r="E737" s="201" t="str">
        <f>VLOOKUP(Q737,PROYECTOS!$G$1:$K$32,5,0)</f>
        <v>Asesoria y acompañamiento institucional para el deporte formativo, la recreación y la actividad física en el departamento de Antioquia</v>
      </c>
      <c r="F737" s="201">
        <f>VLOOKUP(E737,PROYECTOS!$K$1:$M$32,3,0)</f>
        <v>2024003050100</v>
      </c>
      <c r="G737" s="202" t="s">
        <v>267</v>
      </c>
      <c r="H737" s="202" t="str">
        <f>VLOOKUP(Q737,PROYECTOS!$V$1:$W$32,2,0)</f>
        <v>050071</v>
      </c>
      <c r="I737" s="203">
        <v>8031874</v>
      </c>
      <c r="J737" s="204" t="s">
        <v>804</v>
      </c>
      <c r="K737" s="199" t="str">
        <f t="shared" ca="1" si="99"/>
        <v>CONTRATADO</v>
      </c>
      <c r="L737" s="204" t="s">
        <v>112</v>
      </c>
      <c r="M737" s="204" t="s">
        <v>113</v>
      </c>
      <c r="N737" s="205" t="s">
        <v>268</v>
      </c>
      <c r="O737" s="204">
        <f>VLOOKUP(N737,RUBROS[#All],3,0)</f>
        <v>74</v>
      </c>
      <c r="P737" s="206" t="str">
        <f>VLOOKUP(N737,RUBROS[#All],2,0)</f>
        <v xml:space="preserve">Asesoria y acompañamiento institucional para el deporte formativo, la recreación y la actividad física en el departamento de Antioquia. - Servicios prestados a las empresas y servicios de producción </v>
      </c>
      <c r="Q737" s="199" t="str">
        <f t="shared" si="100"/>
        <v>10</v>
      </c>
      <c r="R737" s="199" t="str">
        <f t="shared" si="101"/>
        <v>0-101024</v>
      </c>
      <c r="S737" s="207">
        <v>11.5</v>
      </c>
      <c r="T737" s="208" t="s">
        <v>46</v>
      </c>
      <c r="U737" s="209" t="e">
        <f ca="1">_xlfn.XLOOKUP(PAA[[#This Row],[ITEM]],Contrato!A:A,Contrato!Q:Q,"",0)</f>
        <v>#NAME?</v>
      </c>
      <c r="V737" s="199" t="s">
        <v>47</v>
      </c>
      <c r="W737" s="199" t="s">
        <v>48</v>
      </c>
      <c r="X737" s="199" t="s">
        <v>48</v>
      </c>
      <c r="Y737" s="210" t="e">
        <f ca="1">_xlfn.XLOOKUP(PAA[[#This Row],[ITEM]],Contrato!A:A,Contrato!B:B,"",0)</f>
        <v>#NAME?</v>
      </c>
      <c r="Z737" s="199" t="e">
        <f ca="1">_xlfn.XLOOKUP(PAA[[#This Row],[ITEM]],Contrato!A:A,Contrato!G:G,"",0)</f>
        <v>#NAME?</v>
      </c>
      <c r="AA737" s="199" t="e">
        <f ca="1">_xlfn.XLOOKUP(PAA[[#This Row],[ITEM]],Contrato!A:A,Contrato!T:T,"",0)</f>
        <v>#NAME?</v>
      </c>
      <c r="AB737" s="210" t="e">
        <f ca="1">+MAX(PAA[[#This Row],[Comprometido Contrato]],)</f>
        <v>#NAME?</v>
      </c>
      <c r="AC737" s="210" t="str">
        <f t="shared" ca="1" si="105"/>
        <v/>
      </c>
      <c r="AD737" s="210" t="e">
        <f ca="1">+MAX(PAA[[#This Row],[Pago por Contrato]],)</f>
        <v>#NAME?</v>
      </c>
      <c r="AE737" s="210" t="str">
        <f t="shared" ca="1" si="102"/>
        <v/>
      </c>
      <c r="AF737" s="199" t="e">
        <f t="shared" ca="1" si="103"/>
        <v>#NAME?</v>
      </c>
      <c r="AG737" s="199">
        <f t="shared" si="104"/>
        <v>52010705</v>
      </c>
      <c r="AH737" s="199" t="e" cm="1">
        <f t="array" aca="1" ref="AH737" ca="1">_xlfn.XLOOKUP(PAA[[#This Row],[RCP-RUBRO]],COMPROMISOS_2025[[#All],[concatenado]],COMPROMISOS_2025[[#All],[Total pagado]],"",0)</f>
        <v>#NAME?</v>
      </c>
      <c r="AI737" s="199" t="e" cm="1">
        <f t="array" aca="1" ref="AI737" ca="1">_xlfn.XLOOKUP(PAA[[#This Row],[RCP-RUBRO]],COMPROMISOS_2025[[#All],[concatenado]],COMPROMISOS_2025[[#All],[Total Comprometido]],"",0)</f>
        <v>#NAME?</v>
      </c>
    </row>
    <row r="738" spans="1:84" s="50" customFormat="1" ht="42" hidden="1" customHeight="1" x14ac:dyDescent="0.25">
      <c r="A738" s="199" t="s">
        <v>227</v>
      </c>
      <c r="B738" s="200">
        <v>80111600</v>
      </c>
      <c r="C738" s="199" t="str">
        <f>VLOOKUP(PAA[[#This Row],[PROYECTO (formulado)2]],PROYECTOS!$G$1:$L$32,6,0)</f>
        <v>SUBGERENCIA DE FOMENTO Y DESARROLLO</v>
      </c>
      <c r="D738" s="199" t="str">
        <f>+IF(PAA[[#This Row],[UNIDAD DE CONTRATACION (formulado)]]="Subgerencia Administrativa y Financiera","FUNCIONAMIENTO","INVERSIÓN")</f>
        <v>INVERSIÓN</v>
      </c>
      <c r="E738" s="201" t="str">
        <f>VLOOKUP(Q738,PROYECTOS!$G$1:$K$32,5,0)</f>
        <v>Capacitación para el sector del deporte, la recreación y la actividad física en el Departamento de   Antioquia</v>
      </c>
      <c r="F738" s="201">
        <f>VLOOKUP(E738,PROYECTOS!$K$1:$M$32,3,0)</f>
        <v>2024003050072</v>
      </c>
      <c r="G738" s="202" t="s">
        <v>269</v>
      </c>
      <c r="H738" s="202" t="str">
        <f>VLOOKUP(Q738,PROYECTOS!$V$1:$W$32,2,0)</f>
        <v>050072</v>
      </c>
      <c r="I738" s="203">
        <v>8031863</v>
      </c>
      <c r="J738" s="204" t="s">
        <v>804</v>
      </c>
      <c r="K738" s="199" t="str">
        <f t="shared" ca="1" si="99"/>
        <v>CONTRATADO</v>
      </c>
      <c r="L738" s="204" t="s">
        <v>112</v>
      </c>
      <c r="M738" s="204" t="s">
        <v>113</v>
      </c>
      <c r="N738" s="205" t="s">
        <v>270</v>
      </c>
      <c r="O738" s="204">
        <f>VLOOKUP(N738,RUBROS[#All],3,0)</f>
        <v>78</v>
      </c>
      <c r="P738" s="206" t="str">
        <f>VLOOKUP(N738,RUBROS[#All],2,0)</f>
        <v xml:space="preserve">Capacitación para el sector del deporte, la recreación y la actividad física en el Departamento de   Antioquia - Servicios prestados a las empresas y servicios de producción </v>
      </c>
      <c r="Q738" s="199" t="str">
        <f t="shared" si="100"/>
        <v>72</v>
      </c>
      <c r="R738" s="199" t="str">
        <f t="shared" si="101"/>
        <v>0-205128</v>
      </c>
      <c r="S738" s="207">
        <v>11.5</v>
      </c>
      <c r="T738" s="208" t="s">
        <v>46</v>
      </c>
      <c r="U738" s="209" t="e">
        <f ca="1">_xlfn.XLOOKUP(PAA[[#This Row],[ITEM]],Contrato!A:A,Contrato!Q:Q,"",0)</f>
        <v>#NAME?</v>
      </c>
      <c r="V738" s="199" t="s">
        <v>47</v>
      </c>
      <c r="W738" s="199" t="s">
        <v>48</v>
      </c>
      <c r="X738" s="199" t="s">
        <v>48</v>
      </c>
      <c r="Y738" s="210" t="e">
        <f ca="1">_xlfn.XLOOKUP(PAA[[#This Row],[ITEM]],Contrato!A:A,Contrato!B:B,"",0)</f>
        <v>#NAME?</v>
      </c>
      <c r="Z738" s="199" t="e">
        <f ca="1">_xlfn.XLOOKUP(PAA[[#This Row],[ITEM]],Contrato!A:A,Contrato!G:G,"",0)</f>
        <v>#NAME?</v>
      </c>
      <c r="AA738" s="199" t="e">
        <f ca="1">_xlfn.XLOOKUP(PAA[[#This Row],[ITEM]],Contrato!A:A,Contrato!T:T,"",0)</f>
        <v>#NAME?</v>
      </c>
      <c r="AB738" s="210" t="e">
        <f ca="1">+MAX(PAA[[#This Row],[Comprometido Contrato]],)</f>
        <v>#NAME?</v>
      </c>
      <c r="AC738" s="210" t="str">
        <f t="shared" ca="1" si="105"/>
        <v/>
      </c>
      <c r="AD738" s="210" t="e">
        <f ca="1">+MAX(PAA[[#This Row],[Pago por Contrato]],)</f>
        <v>#NAME?</v>
      </c>
      <c r="AE738" s="210" t="str">
        <f t="shared" ca="1" si="102"/>
        <v/>
      </c>
      <c r="AF738" s="199" t="e">
        <f t="shared" ca="1" si="103"/>
        <v>#NAME?</v>
      </c>
      <c r="AG738" s="199">
        <f t="shared" si="104"/>
        <v>52010704</v>
      </c>
      <c r="AH738" s="199" t="e" cm="1">
        <f t="array" aca="1" ref="AH738" ca="1">_xlfn.XLOOKUP(PAA[[#This Row],[RCP-RUBRO]],COMPROMISOS_2025[[#All],[concatenado]],COMPROMISOS_2025[[#All],[Total pagado]],"",0)</f>
        <v>#NAME?</v>
      </c>
      <c r="AI738" s="199" t="e" cm="1">
        <f t="array" aca="1" ref="AI738" ca="1">_xlfn.XLOOKUP(PAA[[#This Row],[RCP-RUBRO]],COMPROMISOS_2025[[#All],[concatenado]],COMPROMISOS_2025[[#All],[Total Comprometido]],"",0)</f>
        <v>#NAME?</v>
      </c>
    </row>
    <row r="739" spans="1:84" s="50" customFormat="1" ht="42" hidden="1" customHeight="1" x14ac:dyDescent="0.25">
      <c r="A739" s="199" t="s">
        <v>227</v>
      </c>
      <c r="B739" s="200">
        <v>80111600</v>
      </c>
      <c r="C739" s="199" t="str">
        <f>VLOOKUP(PAA[[#This Row],[PROYECTO (formulado)2]],PROYECTOS!$G$1:$L$32,6,0)</f>
        <v>SUBGERENCIA DE FOMENTO Y DESARROLLO</v>
      </c>
      <c r="D739" s="199" t="str">
        <f>+IF(PAA[[#This Row],[UNIDAD DE CONTRATACION (formulado)]]="Subgerencia Administrativa y Financiera","FUNCIONAMIENTO","INVERSIÓN")</f>
        <v>INVERSIÓN</v>
      </c>
      <c r="E739" s="201" t="str">
        <f>VLOOKUP(Q739,PROYECTOS!$G$1:$K$32,5,0)</f>
        <v>Fortalecimiento de los juegos deportivos institucionales en los municipios del departamento de Antioquia</v>
      </c>
      <c r="F739" s="201">
        <f>VLOOKUP(E739,PROYECTOS!$K$1:$M$32,3,0)</f>
        <v>2024003050073</v>
      </c>
      <c r="G739" s="202" t="s">
        <v>271</v>
      </c>
      <c r="H739" s="202" t="str">
        <f>VLOOKUP(Q739,PROYECTOS!$V$1:$W$32,2,0)</f>
        <v>050081</v>
      </c>
      <c r="I739" s="203">
        <v>8031874</v>
      </c>
      <c r="J739" s="204" t="s">
        <v>804</v>
      </c>
      <c r="K739" s="199" t="str">
        <f t="shared" ca="1" si="99"/>
        <v>CONTRATADO</v>
      </c>
      <c r="L739" s="204" t="s">
        <v>112</v>
      </c>
      <c r="M739" s="204" t="s">
        <v>113</v>
      </c>
      <c r="N739" s="205" t="s">
        <v>272</v>
      </c>
      <c r="O739" s="204">
        <f>VLOOKUP(N739,RUBROS[#All],3,0)</f>
        <v>81</v>
      </c>
      <c r="P739" s="206" t="str">
        <f>VLOOKUP(N739,RUBROS[#All],2,0)</f>
        <v xml:space="preserve">Fortalecimiento de los juegos deportivos institucionales en los municipios del departamento de Antioquia - Servicios prestados a las empresas y servicios de producción </v>
      </c>
      <c r="Q739" s="199" t="str">
        <f t="shared" si="100"/>
        <v>73</v>
      </c>
      <c r="R739" s="199" t="str">
        <f t="shared" si="101"/>
        <v>0-205128</v>
      </c>
      <c r="S739" s="207">
        <v>11.5</v>
      </c>
      <c r="T739" s="208" t="s">
        <v>46</v>
      </c>
      <c r="U739" s="209" t="e">
        <f ca="1">_xlfn.XLOOKUP(PAA[[#This Row],[ITEM]],Contrato!A:A,Contrato!Q:Q,"",0)</f>
        <v>#NAME?</v>
      </c>
      <c r="V739" s="199" t="s">
        <v>47</v>
      </c>
      <c r="W739" s="199" t="s">
        <v>48</v>
      </c>
      <c r="X739" s="199" t="s">
        <v>48</v>
      </c>
      <c r="Y739" s="210" t="e">
        <f ca="1">_xlfn.XLOOKUP(PAA[[#This Row],[ITEM]],Contrato!A:A,Contrato!B:B,"",0)</f>
        <v>#NAME?</v>
      </c>
      <c r="Z739" s="199" t="e">
        <f ca="1">_xlfn.XLOOKUP(PAA[[#This Row],[ITEM]],Contrato!A:A,Contrato!G:G,"",0)</f>
        <v>#NAME?</v>
      </c>
      <c r="AA739" s="199" t="e">
        <f ca="1">_xlfn.XLOOKUP(PAA[[#This Row],[ITEM]],Contrato!A:A,Contrato!T:T,"",0)</f>
        <v>#NAME?</v>
      </c>
      <c r="AB739" s="210" t="e">
        <f ca="1">+MAX(PAA[[#This Row],[Comprometido Contrato]],)</f>
        <v>#NAME?</v>
      </c>
      <c r="AC739" s="210" t="str">
        <f t="shared" ca="1" si="105"/>
        <v/>
      </c>
      <c r="AD739" s="210" t="e">
        <f ca="1">+MAX(PAA[[#This Row],[Pago por Contrato]],)</f>
        <v>#NAME?</v>
      </c>
      <c r="AE739" s="210" t="str">
        <f t="shared" ca="1" si="102"/>
        <v/>
      </c>
      <c r="AF739" s="199" t="e">
        <f t="shared" ca="1" si="103"/>
        <v>#NAME?</v>
      </c>
      <c r="AG739" s="199">
        <f t="shared" si="104"/>
        <v>52010703</v>
      </c>
      <c r="AH739" s="199" t="e" cm="1">
        <f t="array" aca="1" ref="AH739" ca="1">_xlfn.XLOOKUP(PAA[[#This Row],[RCP-RUBRO]],COMPROMISOS_2025[[#All],[concatenado]],COMPROMISOS_2025[[#All],[Total pagado]],"",0)</f>
        <v>#NAME?</v>
      </c>
      <c r="AI739" s="199" t="e" cm="1">
        <f t="array" aca="1" ref="AI739" ca="1">_xlfn.XLOOKUP(PAA[[#This Row],[RCP-RUBRO]],COMPROMISOS_2025[[#All],[concatenado]],COMPROMISOS_2025[[#All],[Total Comprometido]],"",0)</f>
        <v>#NAME?</v>
      </c>
    </row>
    <row r="740" spans="1:84" s="50" customFormat="1" ht="42" hidden="1" customHeight="1" x14ac:dyDescent="0.25">
      <c r="A740" s="436" t="s">
        <v>227</v>
      </c>
      <c r="B740" s="418">
        <v>80141607</v>
      </c>
      <c r="C740" s="436" t="str">
        <f>VLOOKUP(PAA[[#This Row],[PROYECTO (formulado)2]],PROYECTOS!$G$1:$L$32,6,0)</f>
        <v>SUBGERENCIA DE FOMENTO Y DESARROLLO</v>
      </c>
      <c r="D740" s="436" t="str">
        <f>+IF(PAA[[#This Row],[UNIDAD DE CONTRATACION (formulado)]]="Subgerencia Administrativa y Financiera","FUNCIONAMIENTO","INVERSIÓN")</f>
        <v>INVERSIÓN</v>
      </c>
      <c r="E740" s="446" t="str">
        <f>VLOOKUP(Q740,PROYECTOS!$G$1:$K$32,5,0)</f>
        <v>Fortalecimiento de los juegos deportivos institucionales en los municipios del departamento de Antioquia</v>
      </c>
      <c r="F740" s="446">
        <f>VLOOKUP(E740,PROYECTOS!$K$1:$M$32,3,0)</f>
        <v>2024003050073</v>
      </c>
      <c r="G740" s="439" t="s">
        <v>345</v>
      </c>
      <c r="H740" s="439" t="str">
        <f>VLOOKUP(Q740,PROYECTOS!$V$1:$W$32,2,0)</f>
        <v>050081</v>
      </c>
      <c r="I740" s="440">
        <v>4112850329</v>
      </c>
      <c r="J740" s="442" t="s">
        <v>805</v>
      </c>
      <c r="K740" s="436" t="str">
        <f ca="1">IF(ISNONTEXT(Y740)=TRUE,"CONTRATADO","NO CONTRATADO")</f>
        <v>CONTRATADO</v>
      </c>
      <c r="L740" s="442" t="s">
        <v>112</v>
      </c>
      <c r="M740" s="442" t="s">
        <v>241</v>
      </c>
      <c r="N740" s="447" t="s">
        <v>317</v>
      </c>
      <c r="O740" s="442">
        <f>VLOOKUP(N740,RUBROS[#All],3,0)</f>
        <v>83</v>
      </c>
      <c r="P740" s="448" t="str">
        <f>VLOOKUP(N740,RUBROS[#All],2,0)</f>
        <v>Fortalecimiento de los juegos deportivos institucionales en los municipios del departamento de Antioquia - Servicios para la comunidad, sociales y personales</v>
      </c>
      <c r="Q740" s="436" t="str">
        <f>+MID(N740,11,2)</f>
        <v>73</v>
      </c>
      <c r="R740" s="436" t="str">
        <f>+MID(N740,14,8)</f>
        <v>0-205400</v>
      </c>
      <c r="S740" s="417">
        <v>9.5</v>
      </c>
      <c r="T740" s="449" t="s">
        <v>46</v>
      </c>
      <c r="U740" s="444" t="e">
        <f ca="1">_xlfn.XLOOKUP(PAA[[#This Row],[ITEM]],Contrato!A:A,Contrato!Q:Q,"",0)</f>
        <v>#NAME?</v>
      </c>
      <c r="V740" s="436" t="s">
        <v>47</v>
      </c>
      <c r="W740" s="436" t="s">
        <v>127</v>
      </c>
      <c r="X740" s="436" t="s">
        <v>127</v>
      </c>
      <c r="Y740" s="445" t="e">
        <f ca="1">_xlfn.XLOOKUP(PAA[[#This Row],[ITEM]],Contrato!A:A,Contrato!B:B,"",0)</f>
        <v>#NAME?</v>
      </c>
      <c r="Z740" s="436" t="e">
        <f ca="1">_xlfn.XLOOKUP(PAA[[#This Row],[ITEM]],Contrato!A:A,Contrato!G:G,"",0)</f>
        <v>#NAME?</v>
      </c>
      <c r="AA740" s="436" t="e">
        <f ca="1">_xlfn.XLOOKUP(PAA[[#This Row],[ITEM]],Contrato!A:A,Contrato!T:T,"",0)</f>
        <v>#NAME?</v>
      </c>
      <c r="AB740" s="445" t="e">
        <f ca="1">+MAX(PAA[[#This Row],[Comprometido Contrato]],)</f>
        <v>#NAME?</v>
      </c>
      <c r="AC740" s="445" t="str">
        <f ca="1">IFERROR(I740-AB740,"")</f>
        <v/>
      </c>
      <c r="AD740" s="445" t="e">
        <f ca="1">+MAX(PAA[[#This Row],[Pago por Contrato]],)</f>
        <v>#NAME?</v>
      </c>
      <c r="AE740" s="445" t="str">
        <f ca="1">+IFERROR(AB740-AD740,"")</f>
        <v/>
      </c>
      <c r="AF740" s="436" t="e">
        <f ca="1">+CONCATENATE(AA740,N740)</f>
        <v>#NAME?</v>
      </c>
      <c r="AG740" s="436">
        <f>IFERROR(_xlfn.NUMBERVALUE(MID(G740,1,8)),"")</f>
        <v>52010703</v>
      </c>
      <c r="AH740" s="436" t="e" cm="1">
        <f t="array" aca="1" ref="AH740" ca="1">_xlfn.XLOOKUP(PAA[[#This Row],[RCP-RUBRO]],COMPROMISOS_2025[[#All],[concatenado]],COMPROMISOS_2025[[#All],[Total pagado]],"",0)</f>
        <v>#NAME?</v>
      </c>
      <c r="AI740" s="436" t="e" cm="1">
        <f t="array" aca="1" ref="AI740" ca="1">_xlfn.XLOOKUP(PAA[[#This Row],[RCP-RUBRO]],COMPROMISOS_2025[[#All],[concatenado]],COMPROMISOS_2025[[#All],[Total Comprometido]],"",0)</f>
        <v>#NAME?</v>
      </c>
    </row>
    <row r="741" spans="1:84" s="50" customFormat="1" ht="42" hidden="1" customHeight="1" x14ac:dyDescent="0.25">
      <c r="A741" s="436" t="s">
        <v>227</v>
      </c>
      <c r="B741" s="418">
        <v>80141607</v>
      </c>
      <c r="C741" s="436" t="str">
        <f>VLOOKUP(PAA[[#This Row],[PROYECTO (formulado)2]],PROYECTOS!$G$1:$L$32,6,0)</f>
        <v>SUBGERENCIA DE FOMENTO Y DESARROLLO</v>
      </c>
      <c r="D741" s="436" t="str">
        <f>+IF(PAA[[#This Row],[UNIDAD DE CONTRATACION (formulado)]]="Subgerencia Administrativa y Financiera","FUNCIONAMIENTO","INVERSIÓN")</f>
        <v>INVERSIÓN</v>
      </c>
      <c r="E741" s="446" t="str">
        <f>VLOOKUP(Q741,PROYECTOS!$G$1:$K$32,5,0)</f>
        <v>Fortalecimiento de los juegos deportivos institucionales en los municipios del departamento de Antioquia</v>
      </c>
      <c r="F741" s="446">
        <f>VLOOKUP(E741,PROYECTOS!$K$1:$M$32,3,0)</f>
        <v>2024003050073</v>
      </c>
      <c r="G741" s="439" t="s">
        <v>333</v>
      </c>
      <c r="H741" s="439" t="str">
        <f>VLOOKUP(Q741,PROYECTOS!$V$1:$W$32,2,0)</f>
        <v>050081</v>
      </c>
      <c r="I741" s="440">
        <v>5112266888</v>
      </c>
      <c r="J741" s="442" t="s">
        <v>806</v>
      </c>
      <c r="K741" s="436" t="str">
        <f ca="1">IF(ISNONTEXT(Y741)=TRUE,"CONTRATADO","NO CONTRATADO")</f>
        <v>CONTRATADO</v>
      </c>
      <c r="L741" s="442" t="s">
        <v>112</v>
      </c>
      <c r="M741" s="442" t="s">
        <v>241</v>
      </c>
      <c r="N741" s="447" t="s">
        <v>807</v>
      </c>
      <c r="O741" s="442">
        <f>VLOOKUP(N741,RUBROS[#All],3,0)</f>
        <v>98</v>
      </c>
      <c r="P741" s="448" t="str">
        <f>VLOOKUP(N741,RUBROS[#All],2,0)</f>
        <v>Fortalecimiento De Los Juegos Deportivos institucionales En Los   Municipios Del Departamento De Antioquia -  Servicios Para La Comunidad, Sociales Y   Personales</v>
      </c>
      <c r="Q741" s="436" t="str">
        <f>+MID(N741,11,2)</f>
        <v>73</v>
      </c>
      <c r="R741" s="436" t="str">
        <f>+MID(N741,14,8)</f>
        <v>0-205400</v>
      </c>
      <c r="S741" s="417">
        <v>9.5</v>
      </c>
      <c r="T741" s="449" t="s">
        <v>46</v>
      </c>
      <c r="U741" s="444" t="e">
        <f ca="1">_xlfn.XLOOKUP(PAA[[#This Row],[ITEM]],Contrato!A:A,Contrato!Q:Q,"",0)</f>
        <v>#NAME?</v>
      </c>
      <c r="V741" s="436" t="s">
        <v>47</v>
      </c>
      <c r="W741" s="436" t="s">
        <v>127</v>
      </c>
      <c r="X741" s="436" t="s">
        <v>127</v>
      </c>
      <c r="Y741" s="445" t="e">
        <f ca="1">_xlfn.XLOOKUP(PAA[[#This Row],[ITEM]],Contrato!A:A,Contrato!B:B,"",0)</f>
        <v>#NAME?</v>
      </c>
      <c r="Z741" s="436" t="e">
        <f ca="1">_xlfn.XLOOKUP(PAA[[#This Row],[ITEM]],Contrato!A:A,Contrato!G:G,"",0)</f>
        <v>#NAME?</v>
      </c>
      <c r="AA741" s="436" t="e">
        <f ca="1">_xlfn.XLOOKUP(PAA[[#This Row],[ITEM]],Contrato!A:A,Contrato!T:T,"",0)</f>
        <v>#NAME?</v>
      </c>
      <c r="AB741" s="445" t="e">
        <f ca="1">+MAX(PAA[[#This Row],[Comprometido Contrato]],)</f>
        <v>#NAME?</v>
      </c>
      <c r="AC741" s="445" t="str">
        <f ca="1">IFERROR(I741-AB741,"")</f>
        <v/>
      </c>
      <c r="AD741" s="445" t="e">
        <f ca="1">+MAX(PAA[[#This Row],[Pago por Contrato]],)</f>
        <v>#NAME?</v>
      </c>
      <c r="AE741" s="445" t="str">
        <f ca="1">+IFERROR(AB741-AD741,"")</f>
        <v/>
      </c>
      <c r="AF741" s="436" t="e">
        <f ca="1">+CONCATENATE(AA741,N741)</f>
        <v>#NAME?</v>
      </c>
      <c r="AG741" s="436">
        <f>IFERROR(_xlfn.NUMBERVALUE(MID(G741,1,8)),"")</f>
        <v>52010703</v>
      </c>
      <c r="AH741" s="436" t="e" cm="1">
        <f t="array" aca="1" ref="AH741" ca="1">_xlfn.XLOOKUP(PAA[[#This Row],[RCP-RUBRO]],COMPROMISOS_2025[[#All],[concatenado]],COMPROMISOS_2025[[#All],[Total pagado]],"",0)</f>
        <v>#NAME?</v>
      </c>
      <c r="AI741" s="436" t="e" cm="1">
        <f t="array" aca="1" ref="AI741" ca="1">_xlfn.XLOOKUP(PAA[[#This Row],[RCP-RUBRO]],COMPROMISOS_2025[[#All],[concatenado]],COMPROMISOS_2025[[#All],[Total Comprometido]],"",0)</f>
        <v>#NAME?</v>
      </c>
    </row>
    <row r="742" spans="1:84" s="50" customFormat="1" ht="42" hidden="1" customHeight="1" x14ac:dyDescent="0.25">
      <c r="A742" s="436" t="s">
        <v>227</v>
      </c>
      <c r="B742" s="418" t="s">
        <v>808</v>
      </c>
      <c r="C742" s="436" t="str">
        <f>VLOOKUP(PAA[[#This Row],[PROYECTO (formulado)2]],PROYECTOS!$G$1:$L$32,6,0)</f>
        <v>SUBGERENCIA DE FOMENTO Y DESARROLLO</v>
      </c>
      <c r="D742" s="436" t="str">
        <f>+IF(PAA[[#This Row],[UNIDAD DE CONTRATACION (formulado)]]="Subgerencia Administrativa y Financiera","FUNCIONAMIENTO","INVERSIÓN")</f>
        <v>INVERSIÓN</v>
      </c>
      <c r="E742" s="446" t="str">
        <f>VLOOKUP(Q742,PROYECTOS!$G$1:$K$32,5,0)</f>
        <v>Cofinanciación de dotación de implementación para el deporte la recreación y a la actividad física en el departamento de Antioquia</v>
      </c>
      <c r="F742" s="446">
        <f>VLOOKUP(E742,PROYECTOS!$K$1:$M$32,3,0)</f>
        <v>2024003050074</v>
      </c>
      <c r="G742" s="439" t="s">
        <v>357</v>
      </c>
      <c r="H742" s="439" t="str">
        <f>VLOOKUP(Q742,PROYECTOS!$V$1:$W$32,2,0)</f>
        <v>050073</v>
      </c>
      <c r="I742" s="440">
        <v>1057008604</v>
      </c>
      <c r="J742" s="442" t="s">
        <v>809</v>
      </c>
      <c r="K742" s="436" t="str">
        <f ca="1">IF(ISNONTEXT(Y742)=TRUE,"CONTRATADO","NO CONTRATADO")</f>
        <v>CONTRATADO</v>
      </c>
      <c r="L742" s="442" t="s">
        <v>131</v>
      </c>
      <c r="M742" s="442" t="s">
        <v>132</v>
      </c>
      <c r="N742" s="447" t="s">
        <v>810</v>
      </c>
      <c r="O742" s="442">
        <f>VLOOKUP(N742,RUBROS[#All],3,0)</f>
        <v>99</v>
      </c>
      <c r="P742" s="448" t="str">
        <f>VLOOKUP(N742,RUBROS[#All],2,0)</f>
        <v>Cofinanciación De Dotación de Implementación Para El Deporte La Recreación Y A La Actividad Física En El Departamento De Antioquia -Otros Bienes Transportables (Excepto Productos</v>
      </c>
      <c r="Q742" s="436" t="str">
        <f>+MID(N742,11,2)</f>
        <v>74</v>
      </c>
      <c r="R742" s="436" t="str">
        <f>+MID(N742,14,8)</f>
        <v>0-205400</v>
      </c>
      <c r="S742" s="417">
        <v>9.5</v>
      </c>
      <c r="T742" s="463" t="s">
        <v>46</v>
      </c>
      <c r="U742" s="444" t="e">
        <f ca="1">_xlfn.XLOOKUP(PAA[[#This Row],[ITEM]],Contrato!A:A,Contrato!Q:Q,"",0)</f>
        <v>#NAME?</v>
      </c>
      <c r="V742" s="436" t="s">
        <v>47</v>
      </c>
      <c r="W742" s="436" t="s">
        <v>127</v>
      </c>
      <c r="X742" s="436" t="s">
        <v>127</v>
      </c>
      <c r="Y742" s="445" t="e">
        <f ca="1">_xlfn.XLOOKUP(PAA[[#This Row],[ITEM]],Contrato!A:A,Contrato!B:B,"",0)</f>
        <v>#NAME?</v>
      </c>
      <c r="Z742" s="436" t="e">
        <f ca="1">_xlfn.XLOOKUP(PAA[[#This Row],[ITEM]],Contrato!A:A,Contrato!G:G,"",0)</f>
        <v>#NAME?</v>
      </c>
      <c r="AA742" s="436" t="e">
        <f ca="1">_xlfn.XLOOKUP(PAA[[#This Row],[ITEM]],Contrato!A:A,Contrato!T:T,"",0)</f>
        <v>#NAME?</v>
      </c>
      <c r="AB742" s="445" t="e">
        <f ca="1">+MAX(PAA[[#This Row],[Comprometido Contrato]],)</f>
        <v>#NAME?</v>
      </c>
      <c r="AC742" s="445" t="str">
        <f ca="1">IFERROR(I742-AB742,"")</f>
        <v/>
      </c>
      <c r="AD742" s="445" t="e">
        <f ca="1">+MAX(PAA[[#This Row],[Pago por Contrato]],)</f>
        <v>#NAME?</v>
      </c>
      <c r="AE742" s="445" t="str">
        <f ca="1">+IFERROR(AB742-AD742,"")</f>
        <v/>
      </c>
      <c r="AF742" s="436" t="e">
        <f ca="1">+CONCATENATE(AA742,N742)</f>
        <v>#NAME?</v>
      </c>
      <c r="AG742" s="436">
        <f>IFERROR(_xlfn.NUMBERVALUE(MID(G742,1,8)),"")</f>
        <v>52010701</v>
      </c>
      <c r="AH742" s="436" t="e" cm="1">
        <f t="array" aca="1" ref="AH742" ca="1">_xlfn.XLOOKUP(PAA[[#This Row],[RCP-RUBRO]],COMPROMISOS_2025[[#All],[concatenado]],COMPROMISOS_2025[[#All],[Total pagado]],"",0)</f>
        <v>#NAME?</v>
      </c>
      <c r="AI742" s="436" t="e" cm="1">
        <f t="array" aca="1" ref="AI742" ca="1">_xlfn.XLOOKUP(PAA[[#This Row],[RCP-RUBRO]],COMPROMISOS_2025[[#All],[concatenado]],COMPROMISOS_2025[[#All],[Total Comprometido]],"",0)</f>
        <v>#NAME?</v>
      </c>
    </row>
    <row r="743" spans="1:84" s="50" customFormat="1" ht="42" hidden="1" customHeight="1" x14ac:dyDescent="0.25">
      <c r="A743" s="227" t="s">
        <v>227</v>
      </c>
      <c r="B743" s="225">
        <v>80111600</v>
      </c>
      <c r="C743" s="227" t="str">
        <f>VLOOKUP(PAA[[#This Row],[PROYECTO (formulado)2]],PROYECTOS!$G$1:$L$32,6,0)</f>
        <v>SUBGERENCIA DE FOMENTO Y DESARROLLO</v>
      </c>
      <c r="D743" s="227" t="str">
        <f>+IF(PAA[[#This Row],[UNIDAD DE CONTRATACION (formulado)]]="Subgerencia Administrativa y Financiera","FUNCIONAMIENTO","INVERSIÓN")</f>
        <v>INVERSIÓN</v>
      </c>
      <c r="E743" s="229" t="str">
        <f>VLOOKUP(Q743,PROYECTOS!$G$1:$K$32,5,0)</f>
        <v>Cofinanciación de dotación de implementación para el deporte la recreación y a la actividad física en el departamento de Antioquia</v>
      </c>
      <c r="F743" s="229">
        <f>VLOOKUP(E743,PROYECTOS!$K$1:$M$32,3,0)</f>
        <v>2024003050074</v>
      </c>
      <c r="G743" s="230" t="s">
        <v>273</v>
      </c>
      <c r="H743" s="230" t="str">
        <f>VLOOKUP(Q743,PROYECTOS!$V$1:$W$32,2,0)</f>
        <v>050073</v>
      </c>
      <c r="I743" s="231">
        <v>8031874</v>
      </c>
      <c r="J743" s="232" t="s">
        <v>804</v>
      </c>
      <c r="K743" s="227" t="str">
        <f t="shared" ca="1" si="99"/>
        <v>CONTRATADO</v>
      </c>
      <c r="L743" s="199" t="s">
        <v>112</v>
      </c>
      <c r="M743" s="204" t="s">
        <v>113</v>
      </c>
      <c r="N743" s="233" t="s">
        <v>274</v>
      </c>
      <c r="O743" s="232">
        <f>VLOOKUP(N743,RUBROS[#All],3,0)</f>
        <v>85</v>
      </c>
      <c r="P743" s="248" t="str">
        <f>VLOOKUP(N743,RUBROS[#All],2,0)</f>
        <v xml:space="preserve">Cofinanciación de dotación de implementación para el deporte la recreación y a la actividad física en el departamento de Antioquia - Servicios prestados a las empresas y servicios de producción </v>
      </c>
      <c r="Q743" s="227" t="str">
        <f t="shared" si="100"/>
        <v>74</v>
      </c>
      <c r="R743" s="199" t="str">
        <f t="shared" si="101"/>
        <v>0-101024</v>
      </c>
      <c r="S743" s="211">
        <v>11.5</v>
      </c>
      <c r="T743" s="208" t="s">
        <v>46</v>
      </c>
      <c r="U743" s="234" t="e">
        <f ca="1">_xlfn.XLOOKUP(PAA[[#This Row],[ITEM]],Contrato!A:A,Contrato!Q:Q,"",0)</f>
        <v>#NAME?</v>
      </c>
      <c r="V743" s="199" t="s">
        <v>47</v>
      </c>
      <c r="W743" s="199" t="s">
        <v>48</v>
      </c>
      <c r="X743" s="199" t="s">
        <v>48</v>
      </c>
      <c r="Y743" s="235" t="e">
        <f ca="1">_xlfn.XLOOKUP(PAA[[#This Row],[ITEM]],Contrato!A:A,Contrato!B:B,"",0)</f>
        <v>#NAME?</v>
      </c>
      <c r="Z743" s="227" t="e">
        <f ca="1">_xlfn.XLOOKUP(PAA[[#This Row],[ITEM]],Contrato!A:A,Contrato!G:G,"",0)</f>
        <v>#NAME?</v>
      </c>
      <c r="AA743" s="227" t="e">
        <f ca="1">_xlfn.XLOOKUP(PAA[[#This Row],[ITEM]],Contrato!A:A,Contrato!T:T,"",0)</f>
        <v>#NAME?</v>
      </c>
      <c r="AB743" s="235" t="e">
        <f ca="1">+MAX(PAA[[#This Row],[Comprometido Contrato]],)</f>
        <v>#NAME?</v>
      </c>
      <c r="AC743" s="235" t="str">
        <f t="shared" ca="1" si="105"/>
        <v/>
      </c>
      <c r="AD743" s="235" t="e">
        <f ca="1">+MAX(PAA[[#This Row],[Pago por Contrato]],)</f>
        <v>#NAME?</v>
      </c>
      <c r="AE743" s="235" t="str">
        <f t="shared" ca="1" si="102"/>
        <v/>
      </c>
      <c r="AF743" s="227" t="e">
        <f t="shared" ca="1" si="103"/>
        <v>#NAME?</v>
      </c>
      <c r="AG743" s="227">
        <f t="shared" si="104"/>
        <v>52010701</v>
      </c>
      <c r="AH743" s="227" t="e" cm="1">
        <f t="array" aca="1" ref="AH743" ca="1">_xlfn.XLOOKUP(PAA[[#This Row],[RCP-RUBRO]],COMPROMISOS_2025[[#All],[concatenado]],COMPROMISOS_2025[[#All],[Total pagado]],"",0)</f>
        <v>#NAME?</v>
      </c>
      <c r="AI743" s="227" t="e" cm="1">
        <f t="array" aca="1" ref="AI743" ca="1">_xlfn.XLOOKUP(PAA[[#This Row],[RCP-RUBRO]],COMPROMISOS_2025[[#All],[concatenado]],COMPROMISOS_2025[[#All],[Total Comprometido]],"",0)</f>
        <v>#NAME?</v>
      </c>
    </row>
    <row r="744" spans="1:84" s="50" customFormat="1" ht="42" hidden="1" customHeight="1" x14ac:dyDescent="0.25">
      <c r="A744" s="406" t="s">
        <v>227</v>
      </c>
      <c r="B744" s="401" t="s">
        <v>41</v>
      </c>
      <c r="C744" s="406" t="str">
        <f>VLOOKUP(PAA[[#This Row],[PROYECTO (formulado)2]],PROYECTOS!$G$1:$L$32,6,0)</f>
        <v>SUBGERENCIA ADMINISTRATIVA Y FINANCIERA</v>
      </c>
      <c r="D744" s="406" t="str">
        <f>+IF(PAA[[#This Row],[UNIDAD DE CONTRATACION (formulado)]]="Subgerencia Administrativa y Financiera","FUNCIONAMIENTO","INVERSIÓN")</f>
        <v>FUNCIONAMIENTO</v>
      </c>
      <c r="E744" s="407" t="str">
        <f>VLOOKUP(Q744,PROYECTOS!$G$1:$K$32,5,0)</f>
        <v>FUNCIONAMIENTO</v>
      </c>
      <c r="F744" s="407">
        <f>VLOOKUP(E744,PROYECTOS!$K$1:$M$32,3,0)</f>
        <v>999999</v>
      </c>
      <c r="G744" s="408" t="s">
        <v>42</v>
      </c>
      <c r="H744" s="408">
        <f>VLOOKUP(Q744,PROYECTOS!$V$1:$W$32,2,0)</f>
        <v>999999</v>
      </c>
      <c r="I744" s="409">
        <v>157750014</v>
      </c>
      <c r="J744" s="410" t="s">
        <v>811</v>
      </c>
      <c r="K744" s="406" t="str">
        <f t="shared" ca="1" si="99"/>
        <v>CONTRATADO</v>
      </c>
      <c r="L744" s="384" t="s">
        <v>112</v>
      </c>
      <c r="M744" s="384" t="s">
        <v>113</v>
      </c>
      <c r="N744" s="411" t="s">
        <v>114</v>
      </c>
      <c r="O744" s="410">
        <f>VLOOKUP(N744,RUBROS[#All],3,0)</f>
        <v>30</v>
      </c>
      <c r="P744" s="410" t="str">
        <f>VLOOKUP(N744,RUBROS[#All],2,0)</f>
        <v xml:space="preserve">Servicios prestados a las empresas y servicios de producción </v>
      </c>
      <c r="Q744" s="406" t="str">
        <f t="shared" si="100"/>
        <v>00</v>
      </c>
      <c r="R744" s="333" t="str">
        <f t="shared" si="101"/>
        <v>0-205616</v>
      </c>
      <c r="S744" s="406" t="s">
        <v>41</v>
      </c>
      <c r="T744" s="380" t="s">
        <v>41</v>
      </c>
      <c r="U744" s="414" t="e">
        <f ca="1">_xlfn.XLOOKUP(PAA[[#This Row],[ITEM]],Contrato!A:A,Contrato!Q:Q,"",0)</f>
        <v>#NAME?</v>
      </c>
      <c r="V744" s="333" t="s">
        <v>47</v>
      </c>
      <c r="W744" s="333" t="s">
        <v>48</v>
      </c>
      <c r="X744" s="333" t="s">
        <v>48</v>
      </c>
      <c r="Y744" s="415" t="e">
        <f ca="1">_xlfn.XLOOKUP(PAA[[#This Row],[ITEM]],Contrato!A:A,Contrato!B:B,"",0)</f>
        <v>#NAME?</v>
      </c>
      <c r="Z744" s="406" t="e">
        <f ca="1">_xlfn.XLOOKUP(PAA[[#This Row],[ITEM]],Contrato!A:A,Contrato!G:G,"",0)</f>
        <v>#NAME?</v>
      </c>
      <c r="AA744" s="406" t="e">
        <f ca="1">_xlfn.XLOOKUP(PAA[[#This Row],[ITEM]],Contrato!A:A,Contrato!T:T,"",0)</f>
        <v>#NAME?</v>
      </c>
      <c r="AB744" s="415" t="e">
        <f ca="1">+MAX(PAA[[#This Row],[Comprometido Contrato]],)</f>
        <v>#NAME?</v>
      </c>
      <c r="AC744" s="415" t="str">
        <f t="shared" ca="1" si="105"/>
        <v/>
      </c>
      <c r="AD744" s="415" t="e">
        <f ca="1">+MAX(PAA[[#This Row],[Pago por Contrato]],)</f>
        <v>#NAME?</v>
      </c>
      <c r="AE744" s="415" t="str">
        <f t="shared" ca="1" si="102"/>
        <v/>
      </c>
      <c r="AF744" s="406" t="e">
        <f t="shared" ca="1" si="103"/>
        <v>#NAME?</v>
      </c>
      <c r="AG744" s="406" t="str">
        <f t="shared" si="104"/>
        <v/>
      </c>
      <c r="AH744" s="406" t="e" cm="1">
        <f t="array" aca="1" ref="AH744" ca="1">_xlfn.XLOOKUP(PAA[[#This Row],[RCP-RUBRO]],COMPROMISOS_2025[[#All],[concatenado]],COMPROMISOS_2025[[#All],[Total pagado]],"",0)</f>
        <v>#NAME?</v>
      </c>
      <c r="AI744" s="406" t="e" cm="1">
        <f t="array" aca="1" ref="AI744" ca="1">_xlfn.XLOOKUP(PAA[[#This Row],[RCP-RUBRO]],COMPROMISOS_2025[[#All],[concatenado]],COMPROMISOS_2025[[#All],[Total Comprometido]],"",0)</f>
        <v>#NAME?</v>
      </c>
    </row>
    <row r="745" spans="1:84" s="50" customFormat="1" ht="42" customHeight="1" x14ac:dyDescent="0.25">
      <c r="A745" s="263" t="s">
        <v>227</v>
      </c>
      <c r="B745" s="264">
        <v>80111600</v>
      </c>
      <c r="C745" s="263" t="str">
        <f>VLOOKUP(PAA[[#This Row],[PROYECTO (formulado)2]],PROYECTOS!$G$1:$L$32,6,0)</f>
        <v>SUBGERENCIA DE ALTOS LOGROS Y DEPORTE ASOCIADO</v>
      </c>
      <c r="D745" s="263" t="str">
        <f>+IF(PAA[[#This Row],[UNIDAD DE CONTRATACION (formulado)]]="Subgerencia Administrativa y Financiera","FUNCIONAMIENTO","INVERSIÓN")</f>
        <v>INVERSIÓN</v>
      </c>
      <c r="E745" s="267" t="str">
        <f>VLOOKUP(Q745,PROYECTOS!$G$1:$K$32,5,0)</f>
        <v>Apoyo económico a las organizaciones deportivas que representan en competencias al departamento de Antioquia</v>
      </c>
      <c r="F745" s="267">
        <f>VLOOKUP(E745,PROYECTOS!$K$1:$M$32,3,0)</f>
        <v>2024003050102</v>
      </c>
      <c r="G745" s="267" t="s">
        <v>399</v>
      </c>
      <c r="H745" s="283" t="str">
        <f>VLOOKUP(Q745,PROYECTOS!$V$1:$W$32,2,0)</f>
        <v>050076</v>
      </c>
      <c r="I745" s="284">
        <v>172466712</v>
      </c>
      <c r="J745" s="270" t="s">
        <v>812</v>
      </c>
      <c r="K745" s="263" t="str">
        <f t="shared" ca="1" si="99"/>
        <v>CONTRATADO</v>
      </c>
      <c r="L745" s="265" t="s">
        <v>41</v>
      </c>
      <c r="M745" s="265" t="s">
        <v>41</v>
      </c>
      <c r="N745" s="263" t="s">
        <v>400</v>
      </c>
      <c r="O745" s="263">
        <f>VLOOKUP(N745,RUBROS[#All],3,0)</f>
        <v>56</v>
      </c>
      <c r="P745" s="263" t="str">
        <f>VLOOKUP(N745,RUBROS[#All],2,0)</f>
        <v xml:space="preserve">Apoyo económico a las organizaciones deportivas que representan en competencias al departamento de Antioquia - Servicios prestados a las empresas y servicios de producción </v>
      </c>
      <c r="Q745" s="263" t="str">
        <f t="shared" si="100"/>
        <v>02</v>
      </c>
      <c r="R745" s="265" t="str">
        <f t="shared" si="101"/>
        <v>0-205128</v>
      </c>
      <c r="S745" s="263" t="s">
        <v>41</v>
      </c>
      <c r="T745" s="271" t="s">
        <v>41</v>
      </c>
      <c r="U745" s="285" t="e">
        <f ca="1">_xlfn.XLOOKUP(PAA[[#This Row],[ITEM]],Contrato!A:A,Contrato!Q:Q,"",0)</f>
        <v>#NAME?</v>
      </c>
      <c r="V745" s="265" t="s">
        <v>47</v>
      </c>
      <c r="W745" s="265" t="s">
        <v>41</v>
      </c>
      <c r="X745" s="265" t="s">
        <v>41</v>
      </c>
      <c r="Y745" s="286" t="e">
        <f ca="1">_xlfn.XLOOKUP(PAA[[#This Row],[ITEM]],Contrato!A:A,Contrato!B:B,"",0)</f>
        <v>#NAME?</v>
      </c>
      <c r="Z745" s="263" t="e">
        <f ca="1">_xlfn.XLOOKUP(PAA[[#This Row],[ITEM]],Contrato!A:A,Contrato!G:G,"",0)</f>
        <v>#NAME?</v>
      </c>
      <c r="AA745" s="263" t="e">
        <f ca="1">_xlfn.XLOOKUP(PAA[[#This Row],[ITEM]],Contrato!A:A,Contrato!T:T,"",0)</f>
        <v>#NAME?</v>
      </c>
      <c r="AB745" s="286" t="e">
        <f ca="1">+MAX(PAA[[#This Row],[Comprometido Contrato]],)</f>
        <v>#NAME?</v>
      </c>
      <c r="AC745" s="286" t="str">
        <f t="shared" ca="1" si="105"/>
        <v/>
      </c>
      <c r="AD745" s="286" t="e">
        <f ca="1">+MAX(PAA[[#This Row],[Pago por Contrato]],)</f>
        <v>#NAME?</v>
      </c>
      <c r="AE745" s="286" t="str">
        <f t="shared" ca="1" si="102"/>
        <v/>
      </c>
      <c r="AF745" s="263" t="e">
        <f t="shared" ca="1" si="103"/>
        <v>#NAME?</v>
      </c>
      <c r="AG745" s="263">
        <f t="shared" si="104"/>
        <v>52010801</v>
      </c>
      <c r="AH745" s="263" t="e" cm="1">
        <f t="array" aca="1" ref="AH745" ca="1">_xlfn.XLOOKUP(PAA[[#This Row],[RCP-RUBRO]],COMPROMISOS_2025[[#All],[concatenado]],COMPROMISOS_2025[[#All],[Total pagado]],"",0)</f>
        <v>#NAME?</v>
      </c>
      <c r="AI745" s="263" t="e" cm="1">
        <f t="array" aca="1" ref="AI745" ca="1">_xlfn.XLOOKUP(PAA[[#This Row],[RCP-RUBRO]],COMPROMISOS_2025[[#All],[concatenado]],COMPROMISOS_2025[[#All],[Total Comprometido]],"",0)</f>
        <v>#NAME?</v>
      </c>
    </row>
    <row r="746" spans="1:84" s="145" customFormat="1" ht="42" hidden="1" customHeight="1" x14ac:dyDescent="0.25">
      <c r="A746" s="494">
        <v>618</v>
      </c>
      <c r="B746" s="495">
        <v>80111600</v>
      </c>
      <c r="C746" s="476" t="str">
        <f>VLOOKUP(PAA[[#This Row],[PROYECTO (formulado)2]],PROYECTOS!$G$1:$L$32,6,0)</f>
        <v>SUBGERENCIA DE ALTOS LOGROS Y DEPORTE ASOCIADO</v>
      </c>
      <c r="D746" s="476" t="str">
        <f>+IF(PAA[[#This Row],[UNIDAD DE CONTRATACION (formulado)]]="Subgerencia Administrativa y Financiera","FUNCIONAMIENTO","INVERSIÓN")</f>
        <v>INVERSIÓN</v>
      </c>
      <c r="E746" s="479" t="str">
        <f>VLOOKUP(Q746,PROYECTOS!$G$1:$K$32,5,0)</f>
        <v>Apoyo técnico a atletas y para-atletas que representan en alto rendimiento deportivo al departamento de Antioquia</v>
      </c>
      <c r="F746" s="479">
        <f>VLOOKUP(E746,PROYECTOS!$K$1:$M$32,3,0)</f>
        <v>2024003050084</v>
      </c>
      <c r="G746" s="496" t="s">
        <v>450</v>
      </c>
      <c r="H746" s="489" t="str">
        <f>VLOOKUP(Q746,PROYECTOS!$V$1:$W$32,2,0)</f>
        <v>050079</v>
      </c>
      <c r="I746" s="480">
        <v>15000000</v>
      </c>
      <c r="J746" s="497" t="s">
        <v>813</v>
      </c>
      <c r="K746" s="476" t="str">
        <f t="shared" ref="K746:K747" ca="1" si="106">IF(ISNONTEXT(Y746)=TRUE,"CONTRATADO","NO CONTRATADO")</f>
        <v>CONTRATADO</v>
      </c>
      <c r="L746" s="476" t="s">
        <v>112</v>
      </c>
      <c r="M746" s="481" t="s">
        <v>113</v>
      </c>
      <c r="N746" s="476" t="s">
        <v>452</v>
      </c>
      <c r="O746" s="476">
        <f>VLOOKUP(N746,RUBROS[#All],3,0)</f>
        <v>62</v>
      </c>
      <c r="P746" s="476" t="str">
        <f>VLOOKUP(N746,RUBROS[#All],2,0)</f>
        <v>Apoyo técnico a atletas y para-atletas que representan en alto rendimiento deportivo al departamento de Antioquia. - Servicios para la comunidad, sociales y personales</v>
      </c>
      <c r="Q746" s="476" t="str">
        <f t="shared" ref="Q746:Q747" si="107">+MID(N746,11,2)</f>
        <v>84</v>
      </c>
      <c r="R746" s="476" t="str">
        <f t="shared" ref="R746:R747" si="108">+MID(N746,14,8)</f>
        <v>0-205400</v>
      </c>
      <c r="S746" s="494">
        <v>225</v>
      </c>
      <c r="T746" s="493" t="s">
        <v>220</v>
      </c>
      <c r="U746" s="486" t="e">
        <f ca="1">_xlfn.XLOOKUP(PAA[[#This Row],[ITEM]],Contrato!A:A,Contrato!Q:Q,"",0)</f>
        <v>#NAME?</v>
      </c>
      <c r="V746" s="476" t="s">
        <v>47</v>
      </c>
      <c r="W746" s="476" t="s">
        <v>133</v>
      </c>
      <c r="X746" s="476" t="s">
        <v>347</v>
      </c>
      <c r="Y746" s="487" t="e">
        <f ca="1">_xlfn.XLOOKUP(PAA[[#This Row],[ITEM]],Contrato!A:A,Contrato!B:B,"",0)</f>
        <v>#NAME?</v>
      </c>
      <c r="Z746" s="476" t="e">
        <f ca="1">_xlfn.XLOOKUP(PAA[[#This Row],[ITEM]],Contrato!A:A,Contrato!G:G,"",0)</f>
        <v>#NAME?</v>
      </c>
      <c r="AA746" s="476" t="e">
        <f ca="1">_xlfn.XLOOKUP(PAA[[#This Row],[ITEM]],Contrato!A:A,Contrato!T:T,"",0)</f>
        <v>#NAME?</v>
      </c>
      <c r="AB746" s="487" t="e">
        <f ca="1">+MAX(PAA[[#This Row],[Comprometido Contrato]],)</f>
        <v>#NAME?</v>
      </c>
      <c r="AC746" s="487" t="str">
        <f t="shared" ref="AC746:AC747" ca="1" si="109">IFERROR(I746-AB746,"")</f>
        <v/>
      </c>
      <c r="AD746" s="487" t="e">
        <f ca="1">+MAX(PAA[[#This Row],[Pago por Contrato]],)</f>
        <v>#NAME?</v>
      </c>
      <c r="AE746" s="487" t="str">
        <f t="shared" ref="AE746:AE747" ca="1" si="110">+IFERROR(AB746-AD746,"")</f>
        <v/>
      </c>
      <c r="AF746" s="476" t="e">
        <f t="shared" ref="AF746:AF747" ca="1" si="111">+CONCATENATE(AA746,N746)</f>
        <v>#NAME?</v>
      </c>
      <c r="AG746" s="476">
        <f t="shared" ref="AG746:AG747" si="112">IFERROR(_xlfn.NUMBERVALUE(MID(G746,1,8)),"")</f>
        <v>52010802</v>
      </c>
      <c r="AH746" s="476" t="e" cm="1">
        <f t="array" aca="1" ref="AH746" ca="1">_xlfn.XLOOKUP(PAA[[#This Row],[RCP-RUBRO]],COMPROMISOS_2025[[#All],[concatenado]],COMPROMISOS_2025[[#All],[Total pagado]],"",0)</f>
        <v>#NAME?</v>
      </c>
      <c r="AI746" s="476" t="e" cm="1">
        <f t="array" aca="1" ref="AI746" ca="1">_xlfn.XLOOKUP(PAA[[#This Row],[RCP-RUBRO]],COMPROMISOS_2025[[#All],[concatenado]],COMPROMISOS_2025[[#All],[Total Comprometido]],"",0)</f>
        <v>#NAME?</v>
      </c>
    </row>
    <row r="747" spans="1:84" s="145" customFormat="1" ht="42" hidden="1" customHeight="1" x14ac:dyDescent="0.25">
      <c r="A747" s="531">
        <v>619</v>
      </c>
      <c r="B747" s="532">
        <v>80111600</v>
      </c>
      <c r="C747" s="516" t="str">
        <f>VLOOKUP(PAA[[#This Row],[PROYECTO (formulado)2]],PROYECTOS!$G$1:$L$32,6,0)</f>
        <v>SUBGERENCIA DE ALTOS LOGROS Y DEPORTE ASOCIADO</v>
      </c>
      <c r="D747" s="516" t="str">
        <f>+IF(PAA[[#This Row],[UNIDAD DE CONTRATACION (formulado)]]="Subgerencia Administrativa y Financiera","FUNCIONAMIENTO","INVERSIÓN")</f>
        <v>INVERSIÓN</v>
      </c>
      <c r="E747" s="519" t="str">
        <f>VLOOKUP(Q747,PROYECTOS!$G$1:$K$32,5,0)</f>
        <v>Apoyo técnico a atletas y para-atletas que representan en alto rendimiento deportivo al departamento de Antioquia</v>
      </c>
      <c r="F747" s="519">
        <f>VLOOKUP(E747,PROYECTOS!$K$1:$M$32,3,0)</f>
        <v>2024003050084</v>
      </c>
      <c r="G747" s="533" t="s">
        <v>450</v>
      </c>
      <c r="H747" s="529" t="str">
        <f>VLOOKUP(Q747,PROYECTOS!$V$1:$W$32,2,0)</f>
        <v>050079</v>
      </c>
      <c r="I747" s="520">
        <v>37010107</v>
      </c>
      <c r="J747" s="534" t="s">
        <v>814</v>
      </c>
      <c r="K747" s="516" t="str">
        <f t="shared" ca="1" si="106"/>
        <v>CONTRATADO</v>
      </c>
      <c r="L747" s="516" t="s">
        <v>112</v>
      </c>
      <c r="M747" s="521" t="s">
        <v>779</v>
      </c>
      <c r="N747" s="516" t="s">
        <v>452</v>
      </c>
      <c r="O747" s="516">
        <f>VLOOKUP(N747,RUBROS[#All],3,0)</f>
        <v>62</v>
      </c>
      <c r="P747" s="516" t="str">
        <f>VLOOKUP(N747,RUBROS[#All],2,0)</f>
        <v>Apoyo técnico a atletas y para-atletas que representan en alto rendimiento deportivo al departamento de Antioquia. - Servicios para la comunidad, sociales y personales</v>
      </c>
      <c r="Q747" s="516" t="str">
        <f t="shared" si="107"/>
        <v>84</v>
      </c>
      <c r="R747" s="516" t="str">
        <f t="shared" si="108"/>
        <v>0-205400</v>
      </c>
      <c r="S747" s="531">
        <v>215</v>
      </c>
      <c r="T747" s="535" t="s">
        <v>220</v>
      </c>
      <c r="U747" s="526" t="e">
        <f ca="1">_xlfn.XLOOKUP(PAA[[#This Row],[ITEM]],Contrato!A:A,Contrato!Q:Q,"",0)</f>
        <v>#NAME?</v>
      </c>
      <c r="V747" s="516" t="s">
        <v>47</v>
      </c>
      <c r="W747" s="516" t="s">
        <v>133</v>
      </c>
      <c r="X747" s="516" t="s">
        <v>347</v>
      </c>
      <c r="Y747" s="527" t="e">
        <f ca="1">_xlfn.XLOOKUP(PAA[[#This Row],[ITEM]],Contrato!A:A,Contrato!B:B,"",0)</f>
        <v>#NAME?</v>
      </c>
      <c r="Z747" s="516" t="e">
        <f ca="1">_xlfn.XLOOKUP(PAA[[#This Row],[ITEM]],Contrato!A:A,Contrato!G:G,"",0)</f>
        <v>#NAME?</v>
      </c>
      <c r="AA747" s="516" t="e">
        <f ca="1">_xlfn.XLOOKUP(PAA[[#This Row],[ITEM]],Contrato!A:A,Contrato!T:T,"",0)</f>
        <v>#NAME?</v>
      </c>
      <c r="AB747" s="527" t="e">
        <f ca="1">+MAX(PAA[[#This Row],[Comprometido Contrato]],)</f>
        <v>#NAME?</v>
      </c>
      <c r="AC747" s="527" t="str">
        <f t="shared" ca="1" si="109"/>
        <v/>
      </c>
      <c r="AD747" s="527" t="e">
        <f ca="1">+MAX(PAA[[#This Row],[Pago por Contrato]],)</f>
        <v>#NAME?</v>
      </c>
      <c r="AE747" s="527" t="str">
        <f t="shared" ca="1" si="110"/>
        <v/>
      </c>
      <c r="AF747" s="516" t="e">
        <f t="shared" ca="1" si="111"/>
        <v>#NAME?</v>
      </c>
      <c r="AG747" s="516">
        <f t="shared" si="112"/>
        <v>52010802</v>
      </c>
      <c r="AH747" s="516" t="e" cm="1">
        <f t="array" aca="1" ref="AH747" ca="1">_xlfn.XLOOKUP(PAA[[#This Row],[RCP-RUBRO]],COMPROMISOS_2025[[#All],[concatenado]],COMPROMISOS_2025[[#All],[Total pagado]],"",0)</f>
        <v>#NAME?</v>
      </c>
      <c r="AI747" s="516" t="e" cm="1">
        <f t="array" aca="1" ref="AI747" ca="1">_xlfn.XLOOKUP(PAA[[#This Row],[RCP-RUBRO]],COMPROMISOS_2025[[#All],[concatenado]],COMPROMISOS_2025[[#All],[Total Comprometido]],"",0)</f>
        <v>#NAME?</v>
      </c>
      <c r="AJ747" s="50"/>
      <c r="AK747" s="50"/>
      <c r="AL747" s="50"/>
      <c r="AM747" s="50"/>
      <c r="AN747" s="50"/>
      <c r="AO747" s="50"/>
      <c r="AP747" s="50"/>
      <c r="AQ747" s="50"/>
      <c r="AR747" s="50"/>
      <c r="AS747" s="50"/>
      <c r="AT747" s="50"/>
      <c r="AU747" s="50"/>
      <c r="AV747" s="50"/>
      <c r="AW747" s="50"/>
      <c r="AX747" s="50"/>
      <c r="AY747" s="50"/>
      <c r="AZ747" s="50"/>
      <c r="BA747" s="50"/>
      <c r="BB747" s="50"/>
      <c r="BC747" s="50"/>
      <c r="BD747" s="50"/>
      <c r="BE747" s="50"/>
      <c r="BF747" s="50"/>
      <c r="BG747" s="50"/>
      <c r="BH747" s="50"/>
      <c r="BI747" s="50"/>
      <c r="BJ747" s="50"/>
      <c r="BK747" s="50"/>
      <c r="BL747" s="50"/>
      <c r="BM747" s="50"/>
      <c r="BN747" s="50"/>
      <c r="BO747" s="50"/>
      <c r="BP747" s="50"/>
      <c r="BQ747" s="50"/>
      <c r="BR747" s="50"/>
      <c r="BS747" s="50"/>
      <c r="BT747" s="50"/>
      <c r="BU747" s="50"/>
      <c r="BV747" s="50"/>
      <c r="BW747" s="50"/>
      <c r="BX747" s="50"/>
      <c r="BY747" s="50"/>
      <c r="BZ747" s="50"/>
      <c r="CA747" s="50"/>
      <c r="CB747" s="50"/>
      <c r="CC747" s="50"/>
      <c r="CD747" s="50"/>
      <c r="CE747" s="50"/>
      <c r="CF747" s="50"/>
    </row>
    <row r="748" spans="1:84" s="50" customFormat="1" ht="42" hidden="1" customHeight="1" x14ac:dyDescent="0.25">
      <c r="A748" s="531" t="s">
        <v>227</v>
      </c>
      <c r="B748" s="532">
        <v>80111600</v>
      </c>
      <c r="C748" s="516" t="str">
        <f>VLOOKUP(PAA[[#This Row],[PROYECTO (formulado)2]],PROYECTOS!$G$1:$L$32,6,0)</f>
        <v>SUBGERENCIA DE ALTOS LOGROS Y DEPORTE ASOCIADO</v>
      </c>
      <c r="D748" s="516" t="str">
        <f>+IF(PAA[[#This Row],[UNIDAD DE CONTRATACION (formulado)]]="Subgerencia Administrativa y Financiera","FUNCIONAMIENTO","INVERSIÓN")</f>
        <v>INVERSIÓN</v>
      </c>
      <c r="E748" s="519" t="str">
        <f>VLOOKUP(Q748,PROYECTOS!$G$1:$K$32,5,0)</f>
        <v>Apoyo técnico a atletas y para-atletas que representan en alto rendimiento deportivo al departamento de Antioquia</v>
      </c>
      <c r="F748" s="519">
        <f>VLOOKUP(E748,PROYECTOS!$K$1:$M$32,3,0)</f>
        <v>2024003050084</v>
      </c>
      <c r="G748" s="533" t="s">
        <v>450</v>
      </c>
      <c r="H748" s="529" t="str">
        <f>VLOOKUP(Q748,PROYECTOS!$V$1:$W$32,2,0)</f>
        <v>050079</v>
      </c>
      <c r="I748" s="520">
        <f>140282940-37010107</f>
        <v>103272833</v>
      </c>
      <c r="J748" s="534" t="s">
        <v>815</v>
      </c>
      <c r="K748" s="516" t="str">
        <f t="shared" ca="1" si="99"/>
        <v>CONTRATADO</v>
      </c>
      <c r="L748" s="516" t="s">
        <v>112</v>
      </c>
      <c r="M748" s="521" t="s">
        <v>779</v>
      </c>
      <c r="N748" s="516" t="s">
        <v>452</v>
      </c>
      <c r="O748" s="516">
        <f>VLOOKUP(N748,RUBROS[#All],3,0)</f>
        <v>62</v>
      </c>
      <c r="P748" s="516" t="str">
        <f>VLOOKUP(N748,RUBROS[#All],2,0)</f>
        <v>Apoyo técnico a atletas y para-atletas que representan en alto rendimiento deportivo al departamento de Antioquia. - Servicios para la comunidad, sociales y personales</v>
      </c>
      <c r="Q748" s="516" t="str">
        <f t="shared" si="100"/>
        <v>84</v>
      </c>
      <c r="R748" s="516" t="str">
        <f t="shared" si="101"/>
        <v>0-205400</v>
      </c>
      <c r="S748" s="531" t="s">
        <v>41</v>
      </c>
      <c r="T748" s="535" t="s">
        <v>41</v>
      </c>
      <c r="U748" s="526" t="e">
        <f ca="1">_xlfn.XLOOKUP(PAA[[#This Row],[ITEM]],Contrato!A:A,Contrato!Q:Q,"",0)</f>
        <v>#NAME?</v>
      </c>
      <c r="V748" s="516" t="s">
        <v>47</v>
      </c>
      <c r="W748" s="516" t="s">
        <v>41</v>
      </c>
      <c r="X748" s="516" t="s">
        <v>41</v>
      </c>
      <c r="Y748" s="527" t="e">
        <f ca="1">_xlfn.XLOOKUP(PAA[[#This Row],[ITEM]],Contrato!A:A,Contrato!B:B,"",0)</f>
        <v>#NAME?</v>
      </c>
      <c r="Z748" s="516" t="e">
        <f ca="1">_xlfn.XLOOKUP(PAA[[#This Row],[ITEM]],Contrato!A:A,Contrato!G:G,"",0)</f>
        <v>#NAME?</v>
      </c>
      <c r="AA748" s="516" t="e">
        <f ca="1">_xlfn.XLOOKUP(PAA[[#This Row],[ITEM]],Contrato!A:A,Contrato!T:T,"",0)</f>
        <v>#NAME?</v>
      </c>
      <c r="AB748" s="527" t="e">
        <f ca="1">+MAX(PAA[[#This Row],[Comprometido Contrato]],)</f>
        <v>#NAME?</v>
      </c>
      <c r="AC748" s="527" t="str">
        <f t="shared" ca="1" si="105"/>
        <v/>
      </c>
      <c r="AD748" s="527" t="e">
        <f ca="1">+MAX(PAA[[#This Row],[Pago por Contrato]],)</f>
        <v>#NAME?</v>
      </c>
      <c r="AE748" s="527" t="str">
        <f t="shared" ca="1" si="102"/>
        <v/>
      </c>
      <c r="AF748" s="516" t="e">
        <f t="shared" ca="1" si="103"/>
        <v>#NAME?</v>
      </c>
      <c r="AG748" s="516">
        <f t="shared" si="104"/>
        <v>52010802</v>
      </c>
      <c r="AH748" s="516" t="e" cm="1">
        <f t="array" aca="1" ref="AH748" ca="1">_xlfn.XLOOKUP(PAA[[#This Row],[RCP-RUBRO]],COMPROMISOS_2025[[#All],[concatenado]],COMPROMISOS_2025[[#All],[Total pagado]],"",0)</f>
        <v>#NAME?</v>
      </c>
      <c r="AI748" s="516" t="e" cm="1">
        <f t="array" aca="1" ref="AI748" ca="1">_xlfn.XLOOKUP(PAA[[#This Row],[RCP-RUBRO]],COMPROMISOS_2025[[#All],[concatenado]],COMPROMISOS_2025[[#All],[Total Comprometido]],"",0)</f>
        <v>#NAME?</v>
      </c>
    </row>
    <row r="749" spans="1:84" s="50" customFormat="1" ht="42" hidden="1" customHeight="1" x14ac:dyDescent="0.25">
      <c r="A749" s="417">
        <v>579</v>
      </c>
      <c r="B749" s="418">
        <v>80111600</v>
      </c>
      <c r="C749" s="417" t="str">
        <f>VLOOKUP(PAA[[#This Row],[PROYECTO (formulado)2]],PROYECTOS!$G$1:$L$32,6,0)</f>
        <v>SUBGERENCIA DE ALTOS LOGROS Y DEPORTE ASOCIADO</v>
      </c>
      <c r="D749" s="417" t="str">
        <f>+IF(PAA[[#This Row],[UNIDAD DE CONTRATACION (formulado)]]="Subgerencia Administrativa y Financiera","FUNCIONAMIENTO","INVERSIÓN")</f>
        <v>INVERSIÓN</v>
      </c>
      <c r="E749" s="419" t="str">
        <f>VLOOKUP(Q749,PROYECTOS!$G$1:$K$32,5,0)</f>
        <v>Apoyo técnico a atletas y para-atletas que representan en alto rendimiento deportivo al departamento de Antioquia</v>
      </c>
      <c r="F749" s="419">
        <f>VLOOKUP(E749,PROYECTOS!$K$1:$M$32,3,0)</f>
        <v>2024003050084</v>
      </c>
      <c r="G749" s="419" t="s">
        <v>450</v>
      </c>
      <c r="H749" s="420" t="str">
        <f>VLOOKUP(Q749,PROYECTOS!$V$1:$W$32,2,0)</f>
        <v>050079</v>
      </c>
      <c r="I749" s="421">
        <v>11618077</v>
      </c>
      <c r="J749" s="422" t="s">
        <v>816</v>
      </c>
      <c r="K749" s="417" t="str">
        <f ca="1">IF(ISNONTEXT(Y749)=TRUE,"CONTRATADO","NO CONTRATADO")</f>
        <v>CONTRATADO</v>
      </c>
      <c r="L749" s="417" t="s">
        <v>112</v>
      </c>
      <c r="M749" s="423" t="s">
        <v>113</v>
      </c>
      <c r="N749" s="417" t="s">
        <v>634</v>
      </c>
      <c r="O749" s="417">
        <f>VLOOKUP(N749,RUBROS[#All],3,0)</f>
        <v>61</v>
      </c>
      <c r="P749" s="417" t="str">
        <f>VLOOKUP(N749,RUBROS[#All],2,0)</f>
        <v>Apoyo técnico a atletas y para-atletas que representan en alto rendimiento deportivo al departamento de Antioquia. - Servicios para la comunidad, sociales y personales</v>
      </c>
      <c r="Q749" s="417" t="str">
        <f>+MID(N749,11,2)</f>
        <v>84</v>
      </c>
      <c r="R749" s="417" t="str">
        <f>+MID(N749,14,8)</f>
        <v>0-205128</v>
      </c>
      <c r="S749" s="417">
        <v>9</v>
      </c>
      <c r="T749" s="424" t="s">
        <v>46</v>
      </c>
      <c r="U749" s="425" t="e">
        <f ca="1">_xlfn.XLOOKUP(PAA[[#This Row],[ITEM]],Contrato!A:A,Contrato!Q:Q,"",0)</f>
        <v>#NAME?</v>
      </c>
      <c r="V749" s="417" t="s">
        <v>47</v>
      </c>
      <c r="W749" s="417" t="s">
        <v>127</v>
      </c>
      <c r="X749" s="417" t="s">
        <v>127</v>
      </c>
      <c r="Y749" s="426" t="e">
        <f ca="1">_xlfn.XLOOKUP(PAA[[#This Row],[ITEM]],Contrato!A:A,Contrato!B:B,"",0)</f>
        <v>#NAME?</v>
      </c>
      <c r="Z749" s="417" t="e">
        <f ca="1">_xlfn.XLOOKUP(PAA[[#This Row],[ITEM]],Contrato!A:A,Contrato!G:G,"",0)</f>
        <v>#NAME?</v>
      </c>
      <c r="AA749" s="417" t="e">
        <f ca="1">_xlfn.XLOOKUP(PAA[[#This Row],[ITEM]],Contrato!A:A,Contrato!T:T,"",0)</f>
        <v>#NAME?</v>
      </c>
      <c r="AB749" s="426" t="e">
        <f ca="1">+MAX(PAA[[#This Row],[Comprometido Contrato]],)</f>
        <v>#NAME?</v>
      </c>
      <c r="AC749" s="426" t="str">
        <f ca="1">IFERROR(I749-AB749,"")</f>
        <v/>
      </c>
      <c r="AD749" s="426" t="e">
        <f ca="1">+MAX(PAA[[#This Row],[Pago por Contrato]],)</f>
        <v>#NAME?</v>
      </c>
      <c r="AE749" s="426" t="str">
        <f ca="1">+IFERROR(AB749-AD749,"")</f>
        <v/>
      </c>
      <c r="AF749" s="417" t="e">
        <f ca="1">+CONCATENATE(AA749,N749)</f>
        <v>#NAME?</v>
      </c>
      <c r="AG749" s="417">
        <f>IFERROR(_xlfn.NUMBERVALUE(MID(G749,1,8)),"")</f>
        <v>52010802</v>
      </c>
      <c r="AH749" s="417" t="e" cm="1">
        <f t="array" aca="1" ref="AH749" ca="1">_xlfn.XLOOKUP(PAA[[#This Row],[RCP-RUBRO]],COMPROMISOS_2025[[#All],[concatenado]],COMPROMISOS_2025[[#All],[Total pagado]],"",0)</f>
        <v>#NAME?</v>
      </c>
      <c r="AI749" s="417" t="e" cm="1">
        <f t="array" aca="1" ref="AI749" ca="1">_xlfn.XLOOKUP(PAA[[#This Row],[RCP-RUBRO]],COMPROMISOS_2025[[#All],[concatenado]],COMPROMISOS_2025[[#All],[Total Comprometido]],"",0)</f>
        <v>#NAME?</v>
      </c>
    </row>
    <row r="750" spans="1:84" s="50" customFormat="1" ht="42" customHeight="1" x14ac:dyDescent="0.25">
      <c r="A750" s="427" t="s">
        <v>227</v>
      </c>
      <c r="B750" s="428">
        <v>80111600</v>
      </c>
      <c r="C750" s="427" t="str">
        <f>VLOOKUP(PAA[[#This Row],[PROYECTO (formulado)2]],PROYECTOS!$G$1:$L$32,6,0)</f>
        <v>SUBGERENCIA DE ALTOS LOGROS Y DEPORTE ASOCIADO</v>
      </c>
      <c r="D750" s="427" t="str">
        <f>+IF(PAA[[#This Row],[UNIDAD DE CONTRATACION (formulado)]]="Subgerencia Administrativa y Financiera","FUNCIONAMIENTO","INVERSIÓN")</f>
        <v>INVERSIÓN</v>
      </c>
      <c r="E750" s="429" t="str">
        <f>VLOOKUP(Q750,PROYECTOS!$G$1:$K$32,5,0)</f>
        <v>Apoyo técnico a atletas y para-atletas que representan en alto rendimiento deportivo al departamento de Antioquia</v>
      </c>
      <c r="F750" s="429">
        <f>VLOOKUP(E750,PROYECTOS!$K$1:$M$32,3,0)</f>
        <v>2024003050084</v>
      </c>
      <c r="G750" s="429" t="s">
        <v>450</v>
      </c>
      <c r="H750" s="430" t="str">
        <f>VLOOKUP(Q750,PROYECTOS!$V$1:$W$32,2,0)</f>
        <v>050079</v>
      </c>
      <c r="I750" s="431">
        <v>917789</v>
      </c>
      <c r="J750" s="432" t="s">
        <v>815</v>
      </c>
      <c r="K750" s="427" t="str">
        <f ca="1">IF(ISNONTEXT(Y750)=TRUE,"CONTRATADO","NO CONTRATADO")</f>
        <v>CONTRATADO</v>
      </c>
      <c r="L750" s="417" t="s">
        <v>41</v>
      </c>
      <c r="M750" s="417" t="s">
        <v>41</v>
      </c>
      <c r="N750" s="427" t="s">
        <v>634</v>
      </c>
      <c r="O750" s="427">
        <f>VLOOKUP(N750,RUBROS[#All],3,0)</f>
        <v>61</v>
      </c>
      <c r="P750" s="427" t="str">
        <f>VLOOKUP(N750,RUBROS[#All],2,0)</f>
        <v>Apoyo técnico a atletas y para-atletas que representan en alto rendimiento deportivo al departamento de Antioquia. - Servicios para la comunidad, sociales y personales</v>
      </c>
      <c r="Q750" s="427" t="str">
        <f>+MID(N750,11,2)</f>
        <v>84</v>
      </c>
      <c r="R750" s="417" t="str">
        <f>+MID(N750,14,8)</f>
        <v>0-205128</v>
      </c>
      <c r="S750" s="427" t="s">
        <v>41</v>
      </c>
      <c r="T750" s="424" t="s">
        <v>41</v>
      </c>
      <c r="U750" s="433" t="e">
        <f ca="1">_xlfn.XLOOKUP(PAA[[#This Row],[ITEM]],Contrato!A:A,Contrato!Q:Q,"",0)</f>
        <v>#NAME?</v>
      </c>
      <c r="V750" s="417" t="s">
        <v>47</v>
      </c>
      <c r="W750" s="417" t="s">
        <v>41</v>
      </c>
      <c r="X750" s="417" t="s">
        <v>41</v>
      </c>
      <c r="Y750" s="434" t="e">
        <f ca="1">_xlfn.XLOOKUP(PAA[[#This Row],[ITEM]],Contrato!A:A,Contrato!B:B,"",0)</f>
        <v>#NAME?</v>
      </c>
      <c r="Z750" s="427" t="e">
        <f ca="1">_xlfn.XLOOKUP(PAA[[#This Row],[ITEM]],Contrato!A:A,Contrato!G:G,"",0)</f>
        <v>#NAME?</v>
      </c>
      <c r="AA750" s="427" t="e">
        <f ca="1">_xlfn.XLOOKUP(PAA[[#This Row],[ITEM]],Contrato!A:A,Contrato!T:T,"",0)</f>
        <v>#NAME?</v>
      </c>
      <c r="AB750" s="434" t="e">
        <f ca="1">+MAX(PAA[[#This Row],[Comprometido Contrato]],)</f>
        <v>#NAME?</v>
      </c>
      <c r="AC750" s="434" t="str">
        <f ca="1">IFERROR(I750-AB750,"")</f>
        <v/>
      </c>
      <c r="AD750" s="434" t="e">
        <f ca="1">+MAX(PAA[[#This Row],[Pago por Contrato]],)</f>
        <v>#NAME?</v>
      </c>
      <c r="AE750" s="434" t="str">
        <f ca="1">+IFERROR(AB750-AD750,"")</f>
        <v/>
      </c>
      <c r="AF750" s="427" t="e">
        <f ca="1">+CONCATENATE(AA750,N750)</f>
        <v>#NAME?</v>
      </c>
      <c r="AG750" s="427">
        <f>IFERROR(_xlfn.NUMBERVALUE(MID(G750,1,8)),"")</f>
        <v>52010802</v>
      </c>
      <c r="AH750" s="427" t="e" cm="1">
        <f t="array" aca="1" ref="AH750" ca="1">_xlfn.XLOOKUP(PAA[[#This Row],[RCP-RUBRO]],COMPROMISOS_2025[[#All],[concatenado]],COMPROMISOS_2025[[#All],[Total pagado]],"",0)</f>
        <v>#NAME?</v>
      </c>
      <c r="AI750" s="427" t="e" cm="1">
        <f t="array" aca="1" ref="AI750" ca="1">_xlfn.XLOOKUP(PAA[[#This Row],[RCP-RUBRO]],COMPROMISOS_2025[[#All],[concatenado]],COMPROMISOS_2025[[#All],[Total Comprometido]],"",0)</f>
        <v>#NAME?</v>
      </c>
    </row>
    <row r="751" spans="1:84" s="50" customFormat="1" ht="42" customHeight="1" x14ac:dyDescent="0.25">
      <c r="A751" s="265" t="s">
        <v>227</v>
      </c>
      <c r="B751" s="281">
        <v>80111600</v>
      </c>
      <c r="C751" s="265" t="str">
        <f>VLOOKUP(PAA[[#This Row],[PROYECTO (formulado)2]],PROYECTOS!$G$1:$L$32,6,0)</f>
        <v>SUBGERENCIA DE ALTOS LOGROS Y DEPORTE ASOCIADO</v>
      </c>
      <c r="D751" s="265" t="str">
        <f>+IF(PAA[[#This Row],[UNIDAD DE CONTRATACION (formulado)]]="Subgerencia Administrativa y Financiera","FUNCIONAMIENTO","INVERSIÓN")</f>
        <v>INVERSIÓN</v>
      </c>
      <c r="E751" s="266" t="str">
        <f>VLOOKUP(Q751,PROYECTOS!$G$1:$K$32,5,0)</f>
        <v>Apoyo y subvención para satisfacer necesidades propias del proceso de preparación y competencia de los Atletas y Para-atletas de alto rendimiento del departamento de Antioquia</v>
      </c>
      <c r="F751" s="266">
        <f>VLOOKUP(E751,PROYECTOS!$K$1:$M$32,3,0)</f>
        <v>2024003050085</v>
      </c>
      <c r="G751" s="266" t="s">
        <v>666</v>
      </c>
      <c r="H751" s="268" t="str">
        <f>VLOOKUP(Q751,PROYECTOS!$V$1:$W$32,2,0)</f>
        <v>050077</v>
      </c>
      <c r="I751" s="269">
        <v>26884400</v>
      </c>
      <c r="J751" s="282" t="s">
        <v>812</v>
      </c>
      <c r="K751" s="265" t="str">
        <f t="shared" ca="1" si="99"/>
        <v>CONTRATADO</v>
      </c>
      <c r="L751" s="265" t="s">
        <v>41</v>
      </c>
      <c r="M751" s="265" t="s">
        <v>41</v>
      </c>
      <c r="N751" s="265" t="s">
        <v>672</v>
      </c>
      <c r="O751" s="265">
        <f>VLOOKUP(N751,RUBROS[#All],3,0)</f>
        <v>64</v>
      </c>
      <c r="P751" s="265" t="str">
        <f>VLOOKUP(N751,RUBROS[#All],2,0)</f>
        <v>Apoyo y subvención para satisfacer necesidades propias del proceso de preparación y competencia de los Atletas y Para-atletas de alto rendimiento del departamento de Antioquia - Servicios para la comunidad, sociales y personales</v>
      </c>
      <c r="Q751" s="265" t="str">
        <f t="shared" si="100"/>
        <v>85</v>
      </c>
      <c r="R751" s="265" t="str">
        <f t="shared" si="101"/>
        <v>0-205128</v>
      </c>
      <c r="S751" s="265" t="s">
        <v>41</v>
      </c>
      <c r="T751" s="271" t="s">
        <v>41</v>
      </c>
      <c r="U751" s="272" t="e">
        <f ca="1">_xlfn.XLOOKUP(PAA[[#This Row],[ITEM]],Contrato!A:A,Contrato!Q:Q,"",0)</f>
        <v>#NAME?</v>
      </c>
      <c r="V751" s="265" t="s">
        <v>47</v>
      </c>
      <c r="W751" s="265" t="s">
        <v>41</v>
      </c>
      <c r="X751" s="265" t="s">
        <v>41</v>
      </c>
      <c r="Y751" s="273" t="e">
        <f ca="1">_xlfn.XLOOKUP(PAA[[#This Row],[ITEM]],Contrato!A:A,Contrato!B:B,"",0)</f>
        <v>#NAME?</v>
      </c>
      <c r="Z751" s="265" t="e">
        <f ca="1">_xlfn.XLOOKUP(PAA[[#This Row],[ITEM]],Contrato!A:A,Contrato!G:G,"",0)</f>
        <v>#NAME?</v>
      </c>
      <c r="AA751" s="265" t="e">
        <f ca="1">_xlfn.XLOOKUP(PAA[[#This Row],[ITEM]],Contrato!A:A,Contrato!T:T,"",0)</f>
        <v>#NAME?</v>
      </c>
      <c r="AB751" s="273" t="e">
        <f ca="1">+MAX(PAA[[#This Row],[Comprometido Contrato]],)</f>
        <v>#NAME?</v>
      </c>
      <c r="AC751" s="273" t="str">
        <f t="shared" ca="1" si="105"/>
        <v/>
      </c>
      <c r="AD751" s="273" t="e">
        <f ca="1">+MAX(PAA[[#This Row],[Pago por Contrato]],)</f>
        <v>#NAME?</v>
      </c>
      <c r="AE751" s="273" t="str">
        <f t="shared" ca="1" si="102"/>
        <v/>
      </c>
      <c r="AF751" s="265" t="e">
        <f t="shared" ca="1" si="103"/>
        <v>#NAME?</v>
      </c>
      <c r="AG751" s="265">
        <f t="shared" si="104"/>
        <v>52010803</v>
      </c>
      <c r="AH751" s="265" t="e" cm="1">
        <f t="array" aca="1" ref="AH751" ca="1">_xlfn.XLOOKUP(PAA[[#This Row],[RCP-RUBRO]],COMPROMISOS_2025[[#All],[concatenado]],COMPROMISOS_2025[[#All],[Total pagado]],"",0)</f>
        <v>#NAME?</v>
      </c>
      <c r="AI751" s="265" t="e" cm="1">
        <f t="array" aca="1" ref="AI751" ca="1">_xlfn.XLOOKUP(PAA[[#This Row],[RCP-RUBRO]],COMPROMISOS_2025[[#All],[concatenado]],COMPROMISOS_2025[[#All],[Total Comprometido]],"",0)</f>
        <v>#NAME?</v>
      </c>
    </row>
    <row r="752" spans="1:84" s="50" customFormat="1" ht="42" customHeight="1" x14ac:dyDescent="0.25">
      <c r="A752" s="326" t="s">
        <v>227</v>
      </c>
      <c r="B752" s="389">
        <v>80111600</v>
      </c>
      <c r="C752" s="326" t="str">
        <f>VLOOKUP(PAA[[#This Row],[PROYECTO (formulado)2]],PROYECTOS!$G$1:$L$32,6,0)</f>
        <v>SUBGERENCIA DE ALTOS LOGROS Y DEPORTE ASOCIADO</v>
      </c>
      <c r="D752" s="326" t="str">
        <f>+IF(PAA[[#This Row],[UNIDAD DE CONTRATACION (formulado)]]="Subgerencia Administrativa y Financiera","FUNCIONAMIENTO","INVERSIÓN")</f>
        <v>INVERSIÓN</v>
      </c>
      <c r="E752" s="328" t="str">
        <f>VLOOKUP(Q752,PROYECTOS!$G$1:$K$32,5,0)</f>
        <v>Apoyo y subvención para satisfacer necesidades propias del proceso de preparación y competencia de los Atletas y Para-atletas de alto rendimiento del departamento de Antioquia</v>
      </c>
      <c r="F752" s="328">
        <f>VLOOKUP(E752,PROYECTOS!$K$1:$M$32,3,0)</f>
        <v>2024003050085</v>
      </c>
      <c r="G752" s="328" t="s">
        <v>666</v>
      </c>
      <c r="H752" s="390" t="str">
        <f>VLOOKUP(Q752,PROYECTOS!$V$1:$W$32,2,0)</f>
        <v>050077</v>
      </c>
      <c r="I752" s="329">
        <v>11289566</v>
      </c>
      <c r="J752" s="391" t="s">
        <v>812</v>
      </c>
      <c r="K752" s="326" t="str">
        <f t="shared" ca="1" si="99"/>
        <v>CONTRATADO</v>
      </c>
      <c r="L752" s="326" t="s">
        <v>41</v>
      </c>
      <c r="M752" s="326" t="s">
        <v>41</v>
      </c>
      <c r="N752" s="326" t="s">
        <v>668</v>
      </c>
      <c r="O752" s="326">
        <f>VLOOKUP(N752,RUBROS[#All],3,0)</f>
        <v>63</v>
      </c>
      <c r="P752" s="326" t="str">
        <f>VLOOKUP(N752,RUBROS[#All],2,0)</f>
        <v xml:space="preserve">Apoyo y subvención para satisfacer necesidades propias del proceso de preparación y competencia de los Atletas y Para-atletas de alto rendimiento del departamento de Antioquia - Servicios prestados a las empresas y servicios de producción </v>
      </c>
      <c r="Q752" s="326" t="str">
        <f t="shared" si="100"/>
        <v>85</v>
      </c>
      <c r="R752" s="326" t="str">
        <f t="shared" si="101"/>
        <v>0-205128</v>
      </c>
      <c r="S752" s="326" t="s">
        <v>41</v>
      </c>
      <c r="T752" s="342" t="s">
        <v>41</v>
      </c>
      <c r="U752" s="335" t="e">
        <f ca="1">_xlfn.XLOOKUP(PAA[[#This Row],[ITEM]],Contrato!A:A,Contrato!Q:Q,"",0)</f>
        <v>#NAME?</v>
      </c>
      <c r="V752" s="326" t="s">
        <v>47</v>
      </c>
      <c r="W752" s="326" t="s">
        <v>41</v>
      </c>
      <c r="X752" s="326" t="s">
        <v>41</v>
      </c>
      <c r="Y752" s="336" t="e">
        <f ca="1">_xlfn.XLOOKUP(PAA[[#This Row],[ITEM]],Contrato!A:A,Contrato!B:B,"",0)</f>
        <v>#NAME?</v>
      </c>
      <c r="Z752" s="326" t="e">
        <f ca="1">_xlfn.XLOOKUP(PAA[[#This Row],[ITEM]],Contrato!A:A,Contrato!G:G,"",0)</f>
        <v>#NAME?</v>
      </c>
      <c r="AA752" s="326" t="e">
        <f ca="1">_xlfn.XLOOKUP(PAA[[#This Row],[ITEM]],Contrato!A:A,Contrato!T:T,"",0)</f>
        <v>#NAME?</v>
      </c>
      <c r="AB752" s="336" t="e">
        <f ca="1">+MAX(PAA[[#This Row],[Comprometido Contrato]],)</f>
        <v>#NAME?</v>
      </c>
      <c r="AC752" s="336" t="str">
        <f t="shared" ca="1" si="105"/>
        <v/>
      </c>
      <c r="AD752" s="336" t="e">
        <f ca="1">+MAX(PAA[[#This Row],[Pago por Contrato]],)</f>
        <v>#NAME?</v>
      </c>
      <c r="AE752" s="336" t="str">
        <f t="shared" ca="1" si="102"/>
        <v/>
      </c>
      <c r="AF752" s="326" t="e">
        <f t="shared" ca="1" si="103"/>
        <v>#NAME?</v>
      </c>
      <c r="AG752" s="326">
        <f t="shared" si="104"/>
        <v>52010803</v>
      </c>
      <c r="AH752" s="326" t="e" cm="1">
        <f t="array" aca="1" ref="AH752" ca="1">_xlfn.XLOOKUP(PAA[[#This Row],[RCP-RUBRO]],COMPROMISOS_2025[[#All],[concatenado]],COMPROMISOS_2025[[#All],[Total pagado]],"",0)</f>
        <v>#NAME?</v>
      </c>
      <c r="AI752" s="326" t="e" cm="1">
        <f t="array" aca="1" ref="AI752" ca="1">_xlfn.XLOOKUP(PAA[[#This Row],[RCP-RUBRO]],COMPROMISOS_2025[[#All],[concatenado]],COMPROMISOS_2025[[#All],[Total Comprometido]],"",0)</f>
        <v>#NAME?</v>
      </c>
    </row>
    <row r="753" spans="1:35" s="50" customFormat="1" ht="42" customHeight="1" x14ac:dyDescent="0.25">
      <c r="A753" s="339" t="s">
        <v>227</v>
      </c>
      <c r="B753" s="389">
        <v>80111600</v>
      </c>
      <c r="C753" s="326" t="str">
        <f>VLOOKUP(PAA[[#This Row],[PROYECTO (formulado)2]],PROYECTOS!$G$1:$L$32,6,0)</f>
        <v>SUBGERENCIA DE ALTOS LOGROS Y DEPORTE ASOCIADO</v>
      </c>
      <c r="D753" s="326" t="str">
        <f>+IF(PAA[[#This Row],[UNIDAD DE CONTRATACION (formulado)]]="Subgerencia Administrativa y Financiera","FUNCIONAMIENTO","INVERSIÓN")</f>
        <v>INVERSIÓN</v>
      </c>
      <c r="E753" s="328" t="str">
        <f>VLOOKUP(Q753,PROYECTOS!$G$1:$K$32,5,0)</f>
        <v>Fortalecimiento del desarrollo deportivo con miras al alto rendimiento competitivo de los atletas del departamento de Antioquia</v>
      </c>
      <c r="F753" s="328">
        <f>VLOOKUP(E753,PROYECTOS!$K$1:$M$32,3,0)</f>
        <v>2024003050087</v>
      </c>
      <c r="G753" s="328" t="s">
        <v>396</v>
      </c>
      <c r="H753" s="390" t="str">
        <f>VLOOKUP(Q753,PROYECTOS!$V$1:$W$32,2,0)</f>
        <v>050078</v>
      </c>
      <c r="I753" s="329">
        <v>5028865</v>
      </c>
      <c r="J753" s="391" t="s">
        <v>812</v>
      </c>
      <c r="K753" s="326" t="str">
        <f t="shared" ca="1" si="99"/>
        <v>CONTRATADO</v>
      </c>
      <c r="L753" s="326" t="s">
        <v>41</v>
      </c>
      <c r="M753" s="326" t="s">
        <v>41</v>
      </c>
      <c r="N753" s="326" t="s">
        <v>398</v>
      </c>
      <c r="O753" s="326">
        <f>VLOOKUP(N753,RUBROS[#All],3,0)</f>
        <v>66</v>
      </c>
      <c r="P753" s="326" t="str">
        <f>VLOOKUP(N753,RUBROS[#All],2,0)</f>
        <v xml:space="preserve">Fortalecimiento del desarrollo deportivo con miras al alto rendimiento competitivo de los atletas del departamento de Antioquia - Servicios prestados a las empresas y servicios de producción </v>
      </c>
      <c r="Q753" s="326" t="str">
        <f t="shared" si="100"/>
        <v>87</v>
      </c>
      <c r="R753" s="326" t="str">
        <f t="shared" si="101"/>
        <v>0-101024</v>
      </c>
      <c r="S753" s="326" t="s">
        <v>41</v>
      </c>
      <c r="T753" s="342" t="s">
        <v>41</v>
      </c>
      <c r="U753" s="335" t="e">
        <f ca="1">_xlfn.XLOOKUP(PAA[[#This Row],[ITEM]],Contrato!A:A,Contrato!Q:Q,"",0)</f>
        <v>#NAME?</v>
      </c>
      <c r="V753" s="326" t="s">
        <v>47</v>
      </c>
      <c r="W753" s="326" t="s">
        <v>41</v>
      </c>
      <c r="X753" s="326" t="s">
        <v>41</v>
      </c>
      <c r="Y753" s="336" t="e">
        <f ca="1">_xlfn.XLOOKUP(PAA[[#This Row],[ITEM]],Contrato!A:A,Contrato!B:B,"",0)</f>
        <v>#NAME?</v>
      </c>
      <c r="Z753" s="326" t="e">
        <f ca="1">_xlfn.XLOOKUP(PAA[[#This Row],[ITEM]],Contrato!A:A,Contrato!G:G,"",0)</f>
        <v>#NAME?</v>
      </c>
      <c r="AA753" s="326" t="e">
        <f ca="1">_xlfn.XLOOKUP(PAA[[#This Row],[ITEM]],Contrato!A:A,Contrato!T:T,"",0)</f>
        <v>#NAME?</v>
      </c>
      <c r="AB753" s="336" t="e">
        <f ca="1">+MAX(PAA[[#This Row],[Comprometido Contrato]],)</f>
        <v>#NAME?</v>
      </c>
      <c r="AC753" s="336" t="str">
        <f t="shared" ca="1" si="105"/>
        <v/>
      </c>
      <c r="AD753" s="336" t="e">
        <f ca="1">+MAX(PAA[[#This Row],[Pago por Contrato]],)</f>
        <v>#NAME?</v>
      </c>
      <c r="AE753" s="336" t="str">
        <f t="shared" ca="1" si="102"/>
        <v/>
      </c>
      <c r="AF753" s="326" t="e">
        <f t="shared" ca="1" si="103"/>
        <v>#NAME?</v>
      </c>
      <c r="AG753" s="326">
        <f t="shared" si="104"/>
        <v>52010805</v>
      </c>
      <c r="AH753" s="326" t="e" cm="1">
        <f t="array" aca="1" ref="AH753" ca="1">_xlfn.XLOOKUP(PAA[[#This Row],[RCP-RUBRO]],COMPROMISOS_2025[[#All],[concatenado]],COMPROMISOS_2025[[#All],[Total pagado]],"",0)</f>
        <v>#NAME?</v>
      </c>
      <c r="AI753" s="326" t="e" cm="1">
        <f t="array" aca="1" ref="AI753" ca="1">_xlfn.XLOOKUP(PAA[[#This Row],[RCP-RUBRO]],COMPROMISOS_2025[[#All],[concatenado]],COMPROMISOS_2025[[#All],[Total Comprometido]],"",0)</f>
        <v>#NAME?</v>
      </c>
    </row>
    <row r="754" spans="1:35" s="50" customFormat="1" ht="42" customHeight="1" x14ac:dyDescent="0.25">
      <c r="A754" s="263" t="s">
        <v>227</v>
      </c>
      <c r="B754" s="264">
        <v>80111600</v>
      </c>
      <c r="C754" s="263" t="str">
        <f>VLOOKUP(PAA[[#This Row],[PROYECTO (formulado)2]],PROYECTOS!$G$1:$L$32,6,0)</f>
        <v>SUBGERENCIA DE ALTOS LOGROS Y DEPORTE ASOCIADO</v>
      </c>
      <c r="D754" s="263" t="str">
        <f>+IF(PAA[[#This Row],[UNIDAD DE CONTRATACION (formulado)]]="Subgerencia Administrativa y Financiera","FUNCIONAMIENTO","INVERSIÓN")</f>
        <v>INVERSIÓN</v>
      </c>
      <c r="E754" s="267" t="str">
        <f>VLOOKUP(Q754,PROYECTOS!$G$1:$K$32,5,0)</f>
        <v>Fortalecimiento del desarrollo deportivo con miras al alto rendimiento competitivo de los atletas del departamento de Antioquia</v>
      </c>
      <c r="F754" s="267">
        <f>VLOOKUP(E754,PROYECTOS!$K$1:$M$32,3,0)</f>
        <v>2024003050087</v>
      </c>
      <c r="G754" s="267" t="s">
        <v>396</v>
      </c>
      <c r="H754" s="283" t="str">
        <f>VLOOKUP(Q754,PROYECTOS!$V$1:$W$32,2,0)</f>
        <v>050078</v>
      </c>
      <c r="I754" s="284">
        <v>35434694</v>
      </c>
      <c r="J754" s="270" t="s">
        <v>812</v>
      </c>
      <c r="K754" s="263" t="str">
        <f t="shared" ca="1" si="99"/>
        <v>CONTRATADO</v>
      </c>
      <c r="L754" s="265" t="s">
        <v>41</v>
      </c>
      <c r="M754" s="265" t="s">
        <v>41</v>
      </c>
      <c r="N754" s="263" t="s">
        <v>406</v>
      </c>
      <c r="O754" s="263">
        <f>VLOOKUP(N754,RUBROS[#All],3,0)</f>
        <v>68</v>
      </c>
      <c r="P754" s="263" t="str">
        <f>VLOOKUP(N754,RUBROS[#All],2,0)</f>
        <v xml:space="preserve">Fortalecimiento del desarrollo deportivo con miras al alto rendimiento competitivo de los atletas del departamento de Antioquia - Servicios prestados a las empresas y servicios de producción </v>
      </c>
      <c r="Q754" s="263" t="str">
        <f t="shared" si="100"/>
        <v>87</v>
      </c>
      <c r="R754" s="265" t="str">
        <f t="shared" si="101"/>
        <v>0-205128</v>
      </c>
      <c r="S754" s="263" t="s">
        <v>41</v>
      </c>
      <c r="T754" s="287" t="s">
        <v>41</v>
      </c>
      <c r="U754" s="285" t="e">
        <f ca="1">_xlfn.XLOOKUP(PAA[[#This Row],[ITEM]],Contrato!A:A,Contrato!Q:Q,"",0)</f>
        <v>#NAME?</v>
      </c>
      <c r="V754" s="265" t="s">
        <v>47</v>
      </c>
      <c r="W754" s="265" t="s">
        <v>41</v>
      </c>
      <c r="X754" s="265" t="s">
        <v>41</v>
      </c>
      <c r="Y754" s="286" t="e">
        <f ca="1">_xlfn.XLOOKUP(PAA[[#This Row],[ITEM]],Contrato!A:A,Contrato!B:B,"",0)</f>
        <v>#NAME?</v>
      </c>
      <c r="Z754" s="263" t="e">
        <f ca="1">_xlfn.XLOOKUP(PAA[[#This Row],[ITEM]],Contrato!A:A,Contrato!G:G,"",0)</f>
        <v>#NAME?</v>
      </c>
      <c r="AA754" s="263" t="e">
        <f ca="1">_xlfn.XLOOKUP(PAA[[#This Row],[ITEM]],Contrato!A:A,Contrato!T:T,"",0)</f>
        <v>#NAME?</v>
      </c>
      <c r="AB754" s="286" t="e">
        <f ca="1">+MAX(PAA[[#This Row],[Comprometido Contrato]],)</f>
        <v>#NAME?</v>
      </c>
      <c r="AC754" s="286" t="str">
        <f t="shared" ca="1" si="105"/>
        <v/>
      </c>
      <c r="AD754" s="286" t="e">
        <f ca="1">+MAX(PAA[[#This Row],[Pago por Contrato]],)</f>
        <v>#NAME?</v>
      </c>
      <c r="AE754" s="286" t="str">
        <f t="shared" ca="1" si="102"/>
        <v/>
      </c>
      <c r="AF754" s="263" t="e">
        <f t="shared" ca="1" si="103"/>
        <v>#NAME?</v>
      </c>
      <c r="AG754" s="263">
        <f t="shared" si="104"/>
        <v>52010805</v>
      </c>
      <c r="AH754" s="263" t="e" cm="1">
        <f t="array" aca="1" ref="AH754" ca="1">_xlfn.XLOOKUP(PAA[[#This Row],[RCP-RUBRO]],COMPROMISOS_2025[[#All],[concatenado]],COMPROMISOS_2025[[#All],[Total pagado]],"",0)</f>
        <v>#NAME?</v>
      </c>
      <c r="AI754" s="263" t="e" cm="1">
        <f t="array" aca="1" ref="AI754" ca="1">_xlfn.XLOOKUP(PAA[[#This Row],[RCP-RUBRO]],COMPROMISOS_2025[[#All],[concatenado]],COMPROMISOS_2025[[#All],[Total Comprometido]],"",0)</f>
        <v>#NAME?</v>
      </c>
    </row>
    <row r="755" spans="1:35" s="50" customFormat="1" ht="42" hidden="1" customHeight="1" x14ac:dyDescent="0.25">
      <c r="A755" s="436">
        <v>583</v>
      </c>
      <c r="B755" s="437">
        <v>90141502</v>
      </c>
      <c r="C755" s="436" t="str">
        <f>VLOOKUP(PAA[[#This Row],[PROYECTO (formulado)2]],PROYECTOS!$G$1:$L$32,6,0)</f>
        <v>SUBGERENCIA DE ALTOS LOGROS Y DEPORTE ASOCIADO</v>
      </c>
      <c r="D755" s="436" t="str">
        <f>+IF(PAA[[#This Row],[UNIDAD DE CONTRATACION (formulado)]]="Subgerencia Administrativa y Financiera","FUNCIONAMIENTO","INVERSIÓN")</f>
        <v>INVERSIÓN</v>
      </c>
      <c r="E755" s="439" t="str">
        <f>VLOOKUP(Q755,PROYECTOS!$G$1:$K$32,5,0)</f>
        <v>Apoyo económico a las organizaciones deportivas que representan en competencias al departamento de Antioquia</v>
      </c>
      <c r="F755" s="439">
        <f>VLOOKUP(E755,PROYECTOS!$K$1:$M$32,3,0)</f>
        <v>2024003050102</v>
      </c>
      <c r="G755" s="439" t="s">
        <v>359</v>
      </c>
      <c r="H755" s="438" t="str">
        <f>VLOOKUP(Q755,PROYECTOS!$V$1:$W$32,2,0)</f>
        <v>050076</v>
      </c>
      <c r="I755" s="440">
        <v>370000000</v>
      </c>
      <c r="J755" s="441" t="s">
        <v>817</v>
      </c>
      <c r="K755" s="436" t="str">
        <f ca="1">IF(ISNONTEXT(Y755)=TRUE,"CONTRATADO","NO CONTRATADO")</f>
        <v>CONTRATADO</v>
      </c>
      <c r="L755" s="436" t="s">
        <v>112</v>
      </c>
      <c r="M755" s="436" t="s">
        <v>361</v>
      </c>
      <c r="N755" s="436" t="s">
        <v>362</v>
      </c>
      <c r="O755" s="436">
        <f>VLOOKUP(N755,RUBROS[#All],3,0)</f>
        <v>100</v>
      </c>
      <c r="P755" s="436" t="str">
        <f>VLOOKUP(N755,RUBROS[#All],2,0)</f>
        <v>Apoyo Económico A Las Organizaciones Deportivas Que Representen Competencias Al Departamento De Antioquia -Actividades De Promoción Y   Desarrollo Del Deporte</v>
      </c>
      <c r="Q755" s="436" t="str">
        <f>+MID(N755,11,2)</f>
        <v>02</v>
      </c>
      <c r="R755" s="436" t="str">
        <f>+MID(N755,14,8)</f>
        <v>0-205400</v>
      </c>
      <c r="S755" s="417">
        <v>9</v>
      </c>
      <c r="T755" s="449" t="s">
        <v>46</v>
      </c>
      <c r="U755" s="444" t="e">
        <f ca="1">_xlfn.XLOOKUP(PAA[[#This Row],[ITEM]],Contrato!A:A,Contrato!Q:Q,"",0)</f>
        <v>#NAME?</v>
      </c>
      <c r="V755" s="436" t="s">
        <v>47</v>
      </c>
      <c r="W755" s="436" t="s">
        <v>127</v>
      </c>
      <c r="X755" s="436" t="s">
        <v>818</v>
      </c>
      <c r="Y755" s="445" t="e">
        <f ca="1">_xlfn.XLOOKUP(PAA[[#This Row],[ITEM]],Contrato!A:A,Contrato!B:B,"",0)</f>
        <v>#NAME?</v>
      </c>
      <c r="Z755" s="436" t="e">
        <f ca="1">_xlfn.XLOOKUP(PAA[[#This Row],[ITEM]],Contrato!A:A,Contrato!G:G,"",0)</f>
        <v>#NAME?</v>
      </c>
      <c r="AA755" s="436" t="e">
        <f ca="1">_xlfn.XLOOKUP(PAA[[#This Row],[ITEM]],Contrato!A:A,Contrato!T:T,"",0)</f>
        <v>#NAME?</v>
      </c>
      <c r="AB755" s="445" t="e">
        <f ca="1">+MAX(PAA[[#This Row],[Comprometido Contrato]],)</f>
        <v>#NAME?</v>
      </c>
      <c r="AC755" s="445" t="str">
        <f ca="1">IFERROR(I755-AB755,"")</f>
        <v/>
      </c>
      <c r="AD755" s="445" t="e">
        <f ca="1">+MAX(PAA[[#This Row],[Pago por Contrato]],)</f>
        <v>#NAME?</v>
      </c>
      <c r="AE755" s="445" t="str">
        <f ca="1">+IFERROR(AB755-AD755,"")</f>
        <v/>
      </c>
      <c r="AF755" s="436" t="e">
        <f ca="1">+CONCATENATE(AA755,N755)</f>
        <v>#NAME?</v>
      </c>
      <c r="AG755" s="436">
        <f>IFERROR(_xlfn.NUMBERVALUE(MID(G755,1,8)),"")</f>
        <v>52010801</v>
      </c>
      <c r="AH755" s="436" t="e" cm="1">
        <f t="array" aca="1" ref="AH755" ca="1">_xlfn.XLOOKUP(PAA[[#This Row],[RCP-RUBRO]],COMPROMISOS_2025[[#All],[concatenado]],COMPROMISOS_2025[[#All],[Total pagado]],"",0)</f>
        <v>#NAME?</v>
      </c>
      <c r="AI755" s="436" t="e" cm="1">
        <f t="array" aca="1" ref="AI755" ca="1">_xlfn.XLOOKUP(PAA[[#This Row],[RCP-RUBRO]],COMPROMISOS_2025[[#All],[concatenado]],COMPROMISOS_2025[[#All],[Total Comprometido]],"",0)</f>
        <v>#NAME?</v>
      </c>
    </row>
    <row r="756" spans="1:35" s="50" customFormat="1" ht="42" hidden="1" customHeight="1" x14ac:dyDescent="0.25">
      <c r="A756" s="436">
        <v>584</v>
      </c>
      <c r="B756" s="437">
        <v>90141502</v>
      </c>
      <c r="C756" s="436" t="str">
        <f>VLOOKUP(PAA[[#This Row],[PROYECTO (formulado)2]],PROYECTOS!$G$1:$L$32,6,0)</f>
        <v>SUBGERENCIA DE ALTOS LOGROS Y DEPORTE ASOCIADO</v>
      </c>
      <c r="D756" s="436" t="str">
        <f>+IF(PAA[[#This Row],[UNIDAD DE CONTRATACION (formulado)]]="Subgerencia Administrativa y Financiera","FUNCIONAMIENTO","INVERSIÓN")</f>
        <v>INVERSIÓN</v>
      </c>
      <c r="E756" s="439" t="str">
        <f>VLOOKUP(Q756,PROYECTOS!$G$1:$K$32,5,0)</f>
        <v>Apoyo económico a las organizaciones deportivas que representan en competencias al departamento de Antioquia</v>
      </c>
      <c r="F756" s="439">
        <f>VLOOKUP(E756,PROYECTOS!$K$1:$M$32,3,0)</f>
        <v>2024003050102</v>
      </c>
      <c r="G756" s="439" t="s">
        <v>359</v>
      </c>
      <c r="H756" s="438" t="str">
        <f>VLOOKUP(Q756,PROYECTOS!$V$1:$W$32,2,0)</f>
        <v>050076</v>
      </c>
      <c r="I756" s="440">
        <v>170000000</v>
      </c>
      <c r="J756" s="441" t="s">
        <v>819</v>
      </c>
      <c r="K756" s="436" t="str">
        <f t="shared" ref="K756:K760" ca="1" si="113">IF(ISNONTEXT(Y756)=TRUE,"CONTRATADO","NO CONTRATADO")</f>
        <v>CONTRATADO</v>
      </c>
      <c r="L756" s="436" t="s">
        <v>112</v>
      </c>
      <c r="M756" s="436" t="s">
        <v>361</v>
      </c>
      <c r="N756" s="436" t="s">
        <v>362</v>
      </c>
      <c r="O756" s="436">
        <f>VLOOKUP(N756,RUBROS[#All],3,0)</f>
        <v>100</v>
      </c>
      <c r="P756" s="436" t="str">
        <f>VLOOKUP(N756,RUBROS[#All],2,0)</f>
        <v>Apoyo Económico A Las Organizaciones Deportivas Que Representen Competencias Al Departamento De Antioquia -Actividades De Promoción Y   Desarrollo Del Deporte</v>
      </c>
      <c r="Q756" s="436" t="str">
        <f t="shared" ref="Q756:Q760" si="114">+MID(N756,11,2)</f>
        <v>02</v>
      </c>
      <c r="R756" s="436" t="str">
        <f t="shared" ref="R756:R760" si="115">+MID(N756,14,8)</f>
        <v>0-205400</v>
      </c>
      <c r="S756" s="417">
        <v>9</v>
      </c>
      <c r="T756" s="449" t="s">
        <v>46</v>
      </c>
      <c r="U756" s="444" t="e">
        <f ca="1">_xlfn.XLOOKUP(PAA[[#This Row],[ITEM]],Contrato!A:A,Contrato!Q:Q,"",0)</f>
        <v>#NAME?</v>
      </c>
      <c r="V756" s="436" t="s">
        <v>47</v>
      </c>
      <c r="W756" s="436" t="s">
        <v>127</v>
      </c>
      <c r="X756" s="436" t="s">
        <v>818</v>
      </c>
      <c r="Y756" s="445" t="e">
        <f ca="1">_xlfn.XLOOKUP(PAA[[#This Row],[ITEM]],Contrato!A:A,Contrato!B:B,"",0)</f>
        <v>#NAME?</v>
      </c>
      <c r="Z756" s="436" t="e">
        <f ca="1">_xlfn.XLOOKUP(PAA[[#This Row],[ITEM]],Contrato!A:A,Contrato!G:G,"",0)</f>
        <v>#NAME?</v>
      </c>
      <c r="AA756" s="436" t="e">
        <f ca="1">_xlfn.XLOOKUP(PAA[[#This Row],[ITEM]],Contrato!A:A,Contrato!T:T,"",0)</f>
        <v>#NAME?</v>
      </c>
      <c r="AB756" s="445" t="e">
        <f ca="1">+MAX(PAA[[#This Row],[Comprometido Contrato]],)</f>
        <v>#NAME?</v>
      </c>
      <c r="AC756" s="445" t="str">
        <f t="shared" ref="AC756:AC760" ca="1" si="116">IFERROR(I756-AB756,"")</f>
        <v/>
      </c>
      <c r="AD756" s="445" t="e">
        <f ca="1">+MAX(PAA[[#This Row],[Pago por Contrato]],)</f>
        <v>#NAME?</v>
      </c>
      <c r="AE756" s="445" t="str">
        <f t="shared" ref="AE756:AE760" ca="1" si="117">+IFERROR(AB756-AD756,"")</f>
        <v/>
      </c>
      <c r="AF756" s="436" t="e">
        <f t="shared" ref="AF756:AF760" ca="1" si="118">+CONCATENATE(AA756,N756)</f>
        <v>#NAME?</v>
      </c>
      <c r="AG756" s="436">
        <f t="shared" ref="AG756:AG760" si="119">IFERROR(_xlfn.NUMBERVALUE(MID(G756,1,8)),"")</f>
        <v>52010801</v>
      </c>
      <c r="AH756" s="436" t="e" cm="1">
        <f t="array" aca="1" ref="AH756" ca="1">_xlfn.XLOOKUP(PAA[[#This Row],[RCP-RUBRO]],COMPROMISOS_2025[[#All],[concatenado]],COMPROMISOS_2025[[#All],[Total pagado]],"",0)</f>
        <v>#NAME?</v>
      </c>
      <c r="AI756" s="436" t="e" cm="1">
        <f t="array" aca="1" ref="AI756" ca="1">_xlfn.XLOOKUP(PAA[[#This Row],[RCP-RUBRO]],COMPROMISOS_2025[[#All],[concatenado]],COMPROMISOS_2025[[#All],[Total Comprometido]],"",0)</f>
        <v>#NAME?</v>
      </c>
    </row>
    <row r="757" spans="1:35" s="50" customFormat="1" ht="42" hidden="1" customHeight="1" x14ac:dyDescent="0.25">
      <c r="A757" s="436">
        <v>585</v>
      </c>
      <c r="B757" s="437">
        <v>90141502</v>
      </c>
      <c r="C757" s="436" t="str">
        <f>VLOOKUP(PAA[[#This Row],[PROYECTO (formulado)2]],PROYECTOS!$G$1:$L$32,6,0)</f>
        <v>SUBGERENCIA DE ALTOS LOGROS Y DEPORTE ASOCIADO</v>
      </c>
      <c r="D757" s="436" t="str">
        <f>+IF(PAA[[#This Row],[UNIDAD DE CONTRATACION (formulado)]]="Subgerencia Administrativa y Financiera","FUNCIONAMIENTO","INVERSIÓN")</f>
        <v>INVERSIÓN</v>
      </c>
      <c r="E757" s="439" t="str">
        <f>VLOOKUP(Q757,PROYECTOS!$G$1:$K$32,5,0)</f>
        <v>Apoyo económico a las organizaciones deportivas que representan en competencias al departamento de Antioquia</v>
      </c>
      <c r="F757" s="439">
        <f>VLOOKUP(E757,PROYECTOS!$K$1:$M$32,3,0)</f>
        <v>2024003050102</v>
      </c>
      <c r="G757" s="439" t="s">
        <v>359</v>
      </c>
      <c r="H757" s="438" t="str">
        <f>VLOOKUP(Q757,PROYECTOS!$V$1:$W$32,2,0)</f>
        <v>050076</v>
      </c>
      <c r="I757" s="440">
        <v>210000000</v>
      </c>
      <c r="J757" s="441" t="s">
        <v>820</v>
      </c>
      <c r="K757" s="436" t="str">
        <f t="shared" ca="1" si="113"/>
        <v>CONTRATADO</v>
      </c>
      <c r="L757" s="436" t="s">
        <v>112</v>
      </c>
      <c r="M757" s="436" t="s">
        <v>361</v>
      </c>
      <c r="N757" s="436" t="s">
        <v>362</v>
      </c>
      <c r="O757" s="436">
        <f>VLOOKUP(N757,RUBROS[#All],3,0)</f>
        <v>100</v>
      </c>
      <c r="P757" s="436" t="str">
        <f>VLOOKUP(N757,RUBROS[#All],2,0)</f>
        <v>Apoyo Económico A Las Organizaciones Deportivas Que Representen Competencias Al Departamento De Antioquia -Actividades De Promoción Y   Desarrollo Del Deporte</v>
      </c>
      <c r="Q757" s="436" t="str">
        <f t="shared" si="114"/>
        <v>02</v>
      </c>
      <c r="R757" s="436" t="str">
        <f t="shared" si="115"/>
        <v>0-205400</v>
      </c>
      <c r="S757" s="417">
        <v>9</v>
      </c>
      <c r="T757" s="449" t="s">
        <v>46</v>
      </c>
      <c r="U757" s="444" t="e">
        <f ca="1">_xlfn.XLOOKUP(PAA[[#This Row],[ITEM]],Contrato!A:A,Contrato!Q:Q,"",0)</f>
        <v>#NAME?</v>
      </c>
      <c r="V757" s="436" t="s">
        <v>47</v>
      </c>
      <c r="W757" s="436" t="s">
        <v>127</v>
      </c>
      <c r="X757" s="436" t="s">
        <v>818</v>
      </c>
      <c r="Y757" s="445" t="e">
        <f ca="1">_xlfn.XLOOKUP(PAA[[#This Row],[ITEM]],Contrato!A:A,Contrato!B:B,"",0)</f>
        <v>#NAME?</v>
      </c>
      <c r="Z757" s="436" t="e">
        <f ca="1">_xlfn.XLOOKUP(PAA[[#This Row],[ITEM]],Contrato!A:A,Contrato!G:G,"",0)</f>
        <v>#NAME?</v>
      </c>
      <c r="AA757" s="436" t="e">
        <f ca="1">_xlfn.XLOOKUP(PAA[[#This Row],[ITEM]],Contrato!A:A,Contrato!T:T,"",0)</f>
        <v>#NAME?</v>
      </c>
      <c r="AB757" s="445" t="e">
        <f ca="1">+MAX(PAA[[#This Row],[Comprometido Contrato]],)</f>
        <v>#NAME?</v>
      </c>
      <c r="AC757" s="445" t="str">
        <f t="shared" ca="1" si="116"/>
        <v/>
      </c>
      <c r="AD757" s="445" t="e">
        <f ca="1">+MAX(PAA[[#This Row],[Pago por Contrato]],)</f>
        <v>#NAME?</v>
      </c>
      <c r="AE757" s="445" t="str">
        <f t="shared" ca="1" si="117"/>
        <v/>
      </c>
      <c r="AF757" s="436" t="e">
        <f t="shared" ca="1" si="118"/>
        <v>#NAME?</v>
      </c>
      <c r="AG757" s="436">
        <f t="shared" si="119"/>
        <v>52010801</v>
      </c>
      <c r="AH757" s="436" t="e" cm="1">
        <f t="array" aca="1" ref="AH757" ca="1">_xlfn.XLOOKUP(PAA[[#This Row],[RCP-RUBRO]],COMPROMISOS_2025[[#All],[concatenado]],COMPROMISOS_2025[[#All],[Total pagado]],"",0)</f>
        <v>#NAME?</v>
      </c>
      <c r="AI757" s="436" t="e" cm="1">
        <f t="array" aca="1" ref="AI757" ca="1">_xlfn.XLOOKUP(PAA[[#This Row],[RCP-RUBRO]],COMPROMISOS_2025[[#All],[concatenado]],COMPROMISOS_2025[[#All],[Total Comprometido]],"",0)</f>
        <v>#NAME?</v>
      </c>
    </row>
    <row r="758" spans="1:35" s="50" customFormat="1" ht="42" hidden="1" customHeight="1" x14ac:dyDescent="0.25">
      <c r="A758" s="516">
        <v>586</v>
      </c>
      <c r="B758" s="528">
        <v>90141502</v>
      </c>
      <c r="C758" s="516" t="str">
        <f>VLOOKUP(PAA[[#This Row],[PROYECTO (formulado)2]],PROYECTOS!$G$1:$L$32,6,0)</f>
        <v>SUBGERENCIA DE ALTOS LOGROS Y DEPORTE ASOCIADO</v>
      </c>
      <c r="D758" s="516" t="str">
        <f>+IF(PAA[[#This Row],[UNIDAD DE CONTRATACION (formulado)]]="Subgerencia Administrativa y Financiera","FUNCIONAMIENTO","INVERSIÓN")</f>
        <v>INVERSIÓN</v>
      </c>
      <c r="E758" s="519" t="str">
        <f>VLOOKUP(Q758,PROYECTOS!$G$1:$K$32,5,0)</f>
        <v>Apoyo económico a las organizaciones deportivas que representan en competencias al departamento de Antioquia</v>
      </c>
      <c r="F758" s="519">
        <f>VLOOKUP(E758,PROYECTOS!$K$1:$M$32,3,0)</f>
        <v>2024003050102</v>
      </c>
      <c r="G758" s="519" t="s">
        <v>359</v>
      </c>
      <c r="H758" s="529" t="str">
        <f>VLOOKUP(Q758,PROYECTOS!$V$1:$W$32,2,0)</f>
        <v>050076</v>
      </c>
      <c r="I758" s="520">
        <v>100000000</v>
      </c>
      <c r="J758" s="530" t="s">
        <v>821</v>
      </c>
      <c r="K758" s="516" t="str">
        <f t="shared" ref="K758" ca="1" si="120">IF(ISNONTEXT(Y758)=TRUE,"CONTRATADO","NO CONTRATADO")</f>
        <v>CONTRATADO</v>
      </c>
      <c r="L758" s="516" t="s">
        <v>112</v>
      </c>
      <c r="M758" s="516" t="s">
        <v>361</v>
      </c>
      <c r="N758" s="516" t="s">
        <v>363</v>
      </c>
      <c r="O758" s="516">
        <f>VLOOKUP(N758,RUBROS[#All],3,0)</f>
        <v>57</v>
      </c>
      <c r="P758" s="516" t="str">
        <f>VLOOKUP(N758,RUBROS[#All],2,0)</f>
        <v>Apoyo económico a las organizaciones deportivas que representan en competencias al departamento de Antioquia -Actividades de promoción y desarrollo del Deporte</v>
      </c>
      <c r="Q758" s="516" t="str">
        <f t="shared" ref="Q758" si="121">+MID(N758,11,2)</f>
        <v>02</v>
      </c>
      <c r="R758" s="516" t="str">
        <f t="shared" ref="R758" si="122">+MID(N758,14,8)</f>
        <v>0-205128</v>
      </c>
      <c r="S758" s="524">
        <v>220</v>
      </c>
      <c r="T758" s="525" t="s">
        <v>220</v>
      </c>
      <c r="U758" s="526" t="e">
        <f ca="1">_xlfn.XLOOKUP(PAA[[#This Row],[ITEM]],Contrato!A:A,Contrato!Q:Q,"",0)</f>
        <v>#NAME?</v>
      </c>
      <c r="V758" s="516" t="s">
        <v>47</v>
      </c>
      <c r="W758" s="516" t="s">
        <v>133</v>
      </c>
      <c r="X758" s="516" t="s">
        <v>347</v>
      </c>
      <c r="Y758" s="527" t="e">
        <f ca="1">_xlfn.XLOOKUP(PAA[[#This Row],[ITEM]],Contrato!A:A,Contrato!B:B,"",0)</f>
        <v>#NAME?</v>
      </c>
      <c r="Z758" s="516" t="e">
        <f ca="1">_xlfn.XLOOKUP(PAA[[#This Row],[ITEM]],Contrato!A:A,Contrato!G:G,"",0)</f>
        <v>#NAME?</v>
      </c>
      <c r="AA758" s="516" t="e">
        <f ca="1">_xlfn.XLOOKUP(PAA[[#This Row],[ITEM]],Contrato!A:A,Contrato!T:T,"",0)</f>
        <v>#NAME?</v>
      </c>
      <c r="AB758" s="527" t="e">
        <f ca="1">+MAX(PAA[[#This Row],[Comprometido Contrato]],)</f>
        <v>#NAME?</v>
      </c>
      <c r="AC758" s="527" t="str">
        <f t="shared" ref="AC758" ca="1" si="123">IFERROR(I758-AB758,"")</f>
        <v/>
      </c>
      <c r="AD758" s="527" t="e">
        <f ca="1">+MAX(PAA[[#This Row],[Pago por Contrato]],)</f>
        <v>#NAME?</v>
      </c>
      <c r="AE758" s="527" t="str">
        <f t="shared" ref="AE758" ca="1" si="124">+IFERROR(AB758-AD758,"")</f>
        <v/>
      </c>
      <c r="AF758" s="516" t="e">
        <f t="shared" ref="AF758" ca="1" si="125">+CONCATENATE(AA758,N758)</f>
        <v>#NAME?</v>
      </c>
      <c r="AG758" s="516">
        <f t="shared" ref="AG758" si="126">IFERROR(_xlfn.NUMBERVALUE(MID(G758,1,8)),"")</f>
        <v>52010801</v>
      </c>
      <c r="AH758" s="516" t="e" cm="1">
        <f t="array" aca="1" ref="AH758" ca="1">_xlfn.XLOOKUP(PAA[[#This Row],[RCP-RUBRO]],COMPROMISOS_2025[[#All],[concatenado]],COMPROMISOS_2025[[#All],[Total pagado]],"",0)</f>
        <v>#NAME?</v>
      </c>
      <c r="AI758" s="516" t="e" cm="1">
        <f t="array" aca="1" ref="AI758" ca="1">_xlfn.XLOOKUP(PAA[[#This Row],[RCP-RUBRO]],COMPROMISOS_2025[[#All],[concatenado]],COMPROMISOS_2025[[#All],[Total Comprometido]],"",0)</f>
        <v>#NAME?</v>
      </c>
    </row>
    <row r="759" spans="1:35" s="50" customFormat="1" ht="42" hidden="1" customHeight="1" x14ac:dyDescent="0.25">
      <c r="A759" s="436">
        <v>586</v>
      </c>
      <c r="B759" s="437">
        <v>90141502</v>
      </c>
      <c r="C759" s="436" t="str">
        <f>VLOOKUP(PAA[[#This Row],[PROYECTO (formulado)2]],PROYECTOS!$G$1:$L$32,6,0)</f>
        <v>SUBGERENCIA DE ALTOS LOGROS Y DEPORTE ASOCIADO</v>
      </c>
      <c r="D759" s="436" t="str">
        <f>+IF(PAA[[#This Row],[UNIDAD DE CONTRATACION (formulado)]]="Subgerencia Administrativa y Financiera","FUNCIONAMIENTO","INVERSIÓN")</f>
        <v>INVERSIÓN</v>
      </c>
      <c r="E759" s="439" t="str">
        <f>VLOOKUP(Q759,PROYECTOS!$G$1:$K$32,5,0)</f>
        <v>Apoyo económico a las organizaciones deportivas que representan en competencias al departamento de Antioquia</v>
      </c>
      <c r="F759" s="439">
        <f>VLOOKUP(E759,PROYECTOS!$K$1:$M$32,3,0)</f>
        <v>2024003050102</v>
      </c>
      <c r="G759" s="439" t="s">
        <v>359</v>
      </c>
      <c r="H759" s="438" t="str">
        <f>VLOOKUP(Q759,PROYECTOS!$V$1:$W$32,2,0)</f>
        <v>050076</v>
      </c>
      <c r="I759" s="440">
        <v>100000000</v>
      </c>
      <c r="J759" s="441" t="s">
        <v>821</v>
      </c>
      <c r="K759" s="436" t="str">
        <f t="shared" ca="1" si="113"/>
        <v>CONTRATADO</v>
      </c>
      <c r="L759" s="436" t="s">
        <v>112</v>
      </c>
      <c r="M759" s="436" t="s">
        <v>361</v>
      </c>
      <c r="N759" s="436" t="s">
        <v>362</v>
      </c>
      <c r="O759" s="436">
        <f>VLOOKUP(N759,RUBROS[#All],3,0)</f>
        <v>100</v>
      </c>
      <c r="P759" s="436" t="str">
        <f>VLOOKUP(N759,RUBROS[#All],2,0)</f>
        <v>Apoyo Económico A Las Organizaciones Deportivas Que Representen Competencias Al Departamento De Antioquia -Actividades De Promoción Y   Desarrollo Del Deporte</v>
      </c>
      <c r="Q759" s="436" t="str">
        <f t="shared" si="114"/>
        <v>02</v>
      </c>
      <c r="R759" s="436" t="str">
        <f t="shared" si="115"/>
        <v>0-205400</v>
      </c>
      <c r="S759" s="417">
        <v>9</v>
      </c>
      <c r="T759" s="449" t="s">
        <v>46</v>
      </c>
      <c r="U759" s="444" t="e">
        <f ca="1">_xlfn.XLOOKUP(PAA[[#This Row],[ITEM]],Contrato!A:A,Contrato!Q:Q,"",0)</f>
        <v>#NAME?</v>
      </c>
      <c r="V759" s="436" t="s">
        <v>47</v>
      </c>
      <c r="W759" s="436" t="s">
        <v>127</v>
      </c>
      <c r="X759" s="436" t="s">
        <v>818</v>
      </c>
      <c r="Y759" s="445" t="e">
        <f ca="1">_xlfn.XLOOKUP(PAA[[#This Row],[ITEM]],Contrato!A:A,Contrato!B:B,"",0)</f>
        <v>#NAME?</v>
      </c>
      <c r="Z759" s="436" t="e">
        <f ca="1">_xlfn.XLOOKUP(PAA[[#This Row],[ITEM]],Contrato!A:A,Contrato!G:G,"",0)</f>
        <v>#NAME?</v>
      </c>
      <c r="AA759" s="436" t="e">
        <f ca="1">_xlfn.XLOOKUP(PAA[[#This Row],[ITEM]],Contrato!A:A,Contrato!T:T,"",0)</f>
        <v>#NAME?</v>
      </c>
      <c r="AB759" s="445" t="e">
        <f ca="1">+MAX(PAA[[#This Row],[Comprometido Contrato]],)</f>
        <v>#NAME?</v>
      </c>
      <c r="AC759" s="445" t="str">
        <f t="shared" ca="1" si="116"/>
        <v/>
      </c>
      <c r="AD759" s="445" t="e">
        <f ca="1">+MAX(PAA[[#This Row],[Pago por Contrato]],)</f>
        <v>#NAME?</v>
      </c>
      <c r="AE759" s="445" t="str">
        <f t="shared" ca="1" si="117"/>
        <v/>
      </c>
      <c r="AF759" s="436" t="e">
        <f t="shared" ca="1" si="118"/>
        <v>#NAME?</v>
      </c>
      <c r="AG759" s="436">
        <f t="shared" si="119"/>
        <v>52010801</v>
      </c>
      <c r="AH759" s="436" t="e" cm="1">
        <f t="array" aca="1" ref="AH759" ca="1">_xlfn.XLOOKUP(PAA[[#This Row],[RCP-RUBRO]],COMPROMISOS_2025[[#All],[concatenado]],COMPROMISOS_2025[[#All],[Total pagado]],"",0)</f>
        <v>#NAME?</v>
      </c>
      <c r="AI759" s="436" t="e" cm="1">
        <f t="array" aca="1" ref="AI759" ca="1">_xlfn.XLOOKUP(PAA[[#This Row],[RCP-RUBRO]],COMPROMISOS_2025[[#All],[concatenado]],COMPROMISOS_2025[[#All],[Total Comprometido]],"",0)</f>
        <v>#NAME?</v>
      </c>
    </row>
    <row r="760" spans="1:35" s="50" customFormat="1" ht="42" customHeight="1" x14ac:dyDescent="0.25">
      <c r="A760" s="436">
        <v>463</v>
      </c>
      <c r="B760" s="437" t="s">
        <v>41</v>
      </c>
      <c r="C760" s="436" t="str">
        <f>VLOOKUP(PAA[[#This Row],[PROYECTO (formulado)2]],PROYECTOS!$G$1:$L$32,6,0)</f>
        <v>SUBGERENCIA DE ALTOS LOGROS Y DEPORTE ASOCIADO</v>
      </c>
      <c r="D760" s="436" t="str">
        <f>+IF(PAA[[#This Row],[UNIDAD DE CONTRATACION (formulado)]]="Subgerencia Administrativa y Financiera","FUNCIONAMIENTO","INVERSIÓN")</f>
        <v>INVERSIÓN</v>
      </c>
      <c r="E760" s="439" t="str">
        <f>VLOOKUP(Q760,PROYECTOS!$G$1:$K$32,5,0)</f>
        <v>Apoyo y subvención para satisfacer necesidades propias del proceso de preparación y competencia de los Atletas y Para-atletas de alto rendimiento del departamento de Antioquia</v>
      </c>
      <c r="F760" s="439">
        <f>VLOOKUP(E760,PROYECTOS!$K$1:$M$32,3,0)</f>
        <v>2024003050085</v>
      </c>
      <c r="G760" s="439" t="s">
        <v>822</v>
      </c>
      <c r="H760" s="438" t="str">
        <f>VLOOKUP(Q760,PROYECTOS!$V$1:$W$32,2,0)</f>
        <v>050077</v>
      </c>
      <c r="I760" s="440">
        <v>300000000</v>
      </c>
      <c r="J760" s="441" t="s">
        <v>665</v>
      </c>
      <c r="K760" s="436" t="str">
        <f t="shared" ca="1" si="113"/>
        <v>CONTRATADO</v>
      </c>
      <c r="L760" s="436" t="s">
        <v>44</v>
      </c>
      <c r="M760" s="436" t="s">
        <v>44</v>
      </c>
      <c r="N760" s="436" t="s">
        <v>663</v>
      </c>
      <c r="O760" s="436">
        <f>VLOOKUP(N760,RUBROS[#All],3,0)</f>
        <v>103</v>
      </c>
      <c r="P760" s="436" t="str">
        <f>VLOOKUP(N760,RUBROS[#All],2,0)</f>
        <v>Apoyo Y Subvención Para Satisfacer Necesidades Propias Del Proceso De Preparación Y   Competencia De Los Atletas Y   Para-Atletas De Alto Rendimiento Del Departamento De Antioquia -Estímulos Y   Beneficios A Los Deportistas</v>
      </c>
      <c r="Q760" s="436" t="str">
        <f t="shared" si="114"/>
        <v>85</v>
      </c>
      <c r="R760" s="436" t="str">
        <f t="shared" si="115"/>
        <v>0-205400</v>
      </c>
      <c r="S760" s="427" t="s">
        <v>41</v>
      </c>
      <c r="T760" s="460" t="s">
        <v>41</v>
      </c>
      <c r="U760" s="444" t="e">
        <f ca="1">_xlfn.XLOOKUP(PAA[[#This Row],[ITEM]],Contrato!A:A,Contrato!Q:Q,"",0)</f>
        <v>#NAME?</v>
      </c>
      <c r="V760" s="436" t="s">
        <v>47</v>
      </c>
      <c r="W760" s="436" t="s">
        <v>41</v>
      </c>
      <c r="X760" s="436" t="s">
        <v>41</v>
      </c>
      <c r="Y760" s="445" t="e">
        <f ca="1">_xlfn.XLOOKUP(PAA[[#This Row],[ITEM]],Contrato!A:A,Contrato!B:B,"",0)</f>
        <v>#NAME?</v>
      </c>
      <c r="Z760" s="436" t="e">
        <f ca="1">_xlfn.XLOOKUP(PAA[[#This Row],[ITEM]],Contrato!A:A,Contrato!G:G,"",0)</f>
        <v>#NAME?</v>
      </c>
      <c r="AA760" s="436" t="e">
        <f ca="1">_xlfn.XLOOKUP(PAA[[#This Row],[ITEM]],Contrato!A:A,Contrato!T:T,"",0)</f>
        <v>#NAME?</v>
      </c>
      <c r="AB760" s="445" t="e">
        <f ca="1">+MAX(PAA[[#This Row],[Comprometido Contrato]],)</f>
        <v>#NAME?</v>
      </c>
      <c r="AC760" s="445" t="str">
        <f t="shared" ca="1" si="116"/>
        <v/>
      </c>
      <c r="AD760" s="445" t="e">
        <f ca="1">+MAX(PAA[[#This Row],[Pago por Contrato]],)</f>
        <v>#NAME?</v>
      </c>
      <c r="AE760" s="445" t="str">
        <f t="shared" ca="1" si="117"/>
        <v/>
      </c>
      <c r="AF760" s="436" t="e">
        <f t="shared" ca="1" si="118"/>
        <v>#NAME?</v>
      </c>
      <c r="AG760" s="436">
        <f t="shared" si="119"/>
        <v>52010803</v>
      </c>
      <c r="AH760" s="436" t="e" cm="1">
        <f t="array" aca="1" ref="AH760" ca="1">_xlfn.XLOOKUP(PAA[[#This Row],[RCP-RUBRO]],COMPROMISOS_2025[[#All],[concatenado]],COMPROMISOS_2025[[#All],[Total pagado]],"",0)</f>
        <v>#NAME?</v>
      </c>
      <c r="AI760" s="436" t="e" cm="1">
        <f t="array" aca="1" ref="AI760" ca="1">_xlfn.XLOOKUP(PAA[[#This Row],[RCP-RUBRO]],COMPROMISOS_2025[[#All],[concatenado]],COMPROMISOS_2025[[#All],[Total Comprometido]],"",0)</f>
        <v>#NAME?</v>
      </c>
    </row>
    <row r="761" spans="1:35" s="50" customFormat="1" ht="42" customHeight="1" x14ac:dyDescent="0.25">
      <c r="A761" s="436">
        <v>588</v>
      </c>
      <c r="B761" s="437" t="s">
        <v>41</v>
      </c>
      <c r="C761" s="436" t="str">
        <f>VLOOKUP(PAA[[#This Row],[PROYECTO (formulado)2]],PROYECTOS!$G$1:$L$32,6,0)</f>
        <v>SUBGERENCIA DE ALTOS LOGROS Y DEPORTE ASOCIADO</v>
      </c>
      <c r="D761" s="436" t="str">
        <f>+IF(PAA[[#This Row],[UNIDAD DE CONTRATACION (formulado)]]="Subgerencia Administrativa y Financiera","FUNCIONAMIENTO","INVERSIÓN")</f>
        <v>INVERSIÓN</v>
      </c>
      <c r="E761" s="439" t="str">
        <f>VLOOKUP(Q761,PROYECTOS!$G$1:$K$32,5,0)</f>
        <v>Apoyo y subvención para satisfacer necesidades propias del proceso de preparación y competencia de los Atletas y Para-atletas de alto rendimiento del departamento de Antioquia</v>
      </c>
      <c r="F761" s="439">
        <f>VLOOKUP(E761,PROYECTOS!$K$1:$M$32,3,0)</f>
        <v>2024003050085</v>
      </c>
      <c r="G761" s="439" t="s">
        <v>823</v>
      </c>
      <c r="H761" s="438" t="str">
        <f>VLOOKUP(Q761,PROYECTOS!$V$1:$W$32,2,0)</f>
        <v>050077</v>
      </c>
      <c r="I761" s="440">
        <v>800000000</v>
      </c>
      <c r="J761" s="441" t="s">
        <v>824</v>
      </c>
      <c r="K761" s="436" t="str">
        <f t="shared" ref="K761:K767" ca="1" si="127">IF(ISNONTEXT(Y761)=TRUE,"CONTRATADO","NO CONTRATADO")</f>
        <v>CONTRATADO</v>
      </c>
      <c r="L761" s="436" t="s">
        <v>44</v>
      </c>
      <c r="M761" s="436" t="s">
        <v>44</v>
      </c>
      <c r="N761" s="436" t="s">
        <v>663</v>
      </c>
      <c r="O761" s="436">
        <f>VLOOKUP(N761,RUBROS[#All],3,0)</f>
        <v>103</v>
      </c>
      <c r="P761" s="436" t="str">
        <f>VLOOKUP(N761,RUBROS[#All],2,0)</f>
        <v>Apoyo Y Subvención Para Satisfacer Necesidades Propias Del Proceso De Preparación Y   Competencia De Los Atletas Y   Para-Atletas De Alto Rendimiento Del Departamento De Antioquia -Estímulos Y   Beneficios A Los Deportistas</v>
      </c>
      <c r="Q761" s="436" t="str">
        <f t="shared" ref="Q761:Q767" si="128">+MID(N761,11,2)</f>
        <v>85</v>
      </c>
      <c r="R761" s="436" t="str">
        <f t="shared" ref="R761:R767" si="129">+MID(N761,14,8)</f>
        <v>0-205400</v>
      </c>
      <c r="S761" s="427" t="s">
        <v>41</v>
      </c>
      <c r="T761" s="460" t="s">
        <v>41</v>
      </c>
      <c r="U761" s="444" t="e">
        <f ca="1">_xlfn.XLOOKUP(PAA[[#This Row],[ITEM]],Contrato!A:A,Contrato!Q:Q,"",0)</f>
        <v>#NAME?</v>
      </c>
      <c r="V761" s="436" t="s">
        <v>47</v>
      </c>
      <c r="W761" s="436" t="s">
        <v>41</v>
      </c>
      <c r="X761" s="436" t="s">
        <v>41</v>
      </c>
      <c r="Y761" s="445" t="e">
        <f ca="1">_xlfn.XLOOKUP(PAA[[#This Row],[ITEM]],Contrato!A:A,Contrato!B:B,"",0)</f>
        <v>#NAME?</v>
      </c>
      <c r="Z761" s="436" t="e">
        <f ca="1">_xlfn.XLOOKUP(PAA[[#This Row],[ITEM]],Contrato!A:A,Contrato!G:G,"",0)</f>
        <v>#NAME?</v>
      </c>
      <c r="AA761" s="436" t="e">
        <f ca="1">_xlfn.XLOOKUP(PAA[[#This Row],[ITEM]],Contrato!A:A,Contrato!T:T,"",0)</f>
        <v>#NAME?</v>
      </c>
      <c r="AB761" s="445" t="e">
        <f ca="1">+MAX(PAA[[#This Row],[Comprometido Contrato]],)</f>
        <v>#NAME?</v>
      </c>
      <c r="AC761" s="445" t="str">
        <f t="shared" ref="AC761:AC767" ca="1" si="130">IFERROR(I761-AB761,"")</f>
        <v/>
      </c>
      <c r="AD761" s="445" t="e">
        <f ca="1">+MAX(PAA[[#This Row],[Pago por Contrato]],)</f>
        <v>#NAME?</v>
      </c>
      <c r="AE761" s="445" t="str">
        <f t="shared" ref="AE761:AE767" ca="1" si="131">+IFERROR(AB761-AD761,"")</f>
        <v/>
      </c>
      <c r="AF761" s="436" t="e">
        <f t="shared" ref="AF761:AF767" ca="1" si="132">+CONCATENATE(AA761,N761)</f>
        <v>#NAME?</v>
      </c>
      <c r="AG761" s="436">
        <f t="shared" ref="AG761:AG767" si="133">IFERROR(_xlfn.NUMBERVALUE(MID(G761,1,8)),"")</f>
        <v>52010803</v>
      </c>
      <c r="AH761" s="436" t="e" cm="1">
        <f t="array" aca="1" ref="AH761" ca="1">_xlfn.XLOOKUP(PAA[[#This Row],[RCP-RUBRO]],COMPROMISOS_2025[[#All],[concatenado]],COMPROMISOS_2025[[#All],[Total pagado]],"",0)</f>
        <v>#NAME?</v>
      </c>
      <c r="AI761" s="436" t="e" cm="1">
        <f t="array" aca="1" ref="AI761" ca="1">_xlfn.XLOOKUP(PAA[[#This Row],[RCP-RUBRO]],COMPROMISOS_2025[[#All],[concatenado]],COMPROMISOS_2025[[#All],[Total Comprometido]],"",0)</f>
        <v>#NAME?</v>
      </c>
    </row>
    <row r="762" spans="1:35" s="50" customFormat="1" ht="42" customHeight="1" x14ac:dyDescent="0.25">
      <c r="A762" s="436">
        <v>462</v>
      </c>
      <c r="B762" s="437" t="s">
        <v>41</v>
      </c>
      <c r="C762" s="436" t="str">
        <f>VLOOKUP(PAA[[#This Row],[PROYECTO (formulado)2]],PROYECTOS!$G$1:$L$32,6,0)</f>
        <v>SUBGERENCIA DE ALTOS LOGROS Y DEPORTE ASOCIADO</v>
      </c>
      <c r="D762" s="436" t="str">
        <f>+IF(PAA[[#This Row],[UNIDAD DE CONTRATACION (formulado)]]="Subgerencia Administrativa y Financiera","FUNCIONAMIENTO","INVERSIÓN")</f>
        <v>INVERSIÓN</v>
      </c>
      <c r="E762" s="439" t="str">
        <f>VLOOKUP(Q762,PROYECTOS!$G$1:$K$32,5,0)</f>
        <v>Apoyo y subvención para satisfacer necesidades propias del proceso de preparación y competencia de los Atletas y Para-atletas de alto rendimiento del departamento de Antioquia</v>
      </c>
      <c r="F762" s="439">
        <f>VLOOKUP(E762,PROYECTOS!$K$1:$M$32,3,0)</f>
        <v>2024003050085</v>
      </c>
      <c r="G762" s="439" t="s">
        <v>660</v>
      </c>
      <c r="H762" s="438" t="str">
        <f>VLOOKUP(Q762,PROYECTOS!$V$1:$W$32,2,0)</f>
        <v>050077</v>
      </c>
      <c r="I762" s="440">
        <v>185000000</v>
      </c>
      <c r="J762" s="441" t="s">
        <v>661</v>
      </c>
      <c r="K762" s="436" t="str">
        <f ca="1">IF(ISNONTEXT(Y762)=TRUE,"CONTRATADO","NO CONTRATADO")</f>
        <v>CONTRATADO</v>
      </c>
      <c r="L762" s="436" t="s">
        <v>44</v>
      </c>
      <c r="M762" s="436" t="s">
        <v>44</v>
      </c>
      <c r="N762" s="436" t="s">
        <v>663</v>
      </c>
      <c r="O762" s="436">
        <f>VLOOKUP(N762,RUBROS[#All],3,0)</f>
        <v>103</v>
      </c>
      <c r="P762" s="436" t="str">
        <f>VLOOKUP(N762,RUBROS[#All],2,0)</f>
        <v>Apoyo Y Subvención Para Satisfacer Necesidades Propias Del Proceso De Preparación Y   Competencia De Los Atletas Y   Para-Atletas De Alto Rendimiento Del Departamento De Antioquia -Estímulos Y   Beneficios A Los Deportistas</v>
      </c>
      <c r="Q762" s="436" t="str">
        <f>+MID(N762,11,2)</f>
        <v>85</v>
      </c>
      <c r="R762" s="436" t="str">
        <f>+MID(N762,14,8)</f>
        <v>0-205400</v>
      </c>
      <c r="S762" s="427" t="s">
        <v>41</v>
      </c>
      <c r="T762" s="460" t="s">
        <v>41</v>
      </c>
      <c r="U762" s="444" t="e">
        <f ca="1">_xlfn.XLOOKUP(PAA[[#This Row],[ITEM]],Contrato!A:A,Contrato!Q:Q,"",0)</f>
        <v>#NAME?</v>
      </c>
      <c r="V762" s="436" t="s">
        <v>47</v>
      </c>
      <c r="W762" s="436" t="s">
        <v>127</v>
      </c>
      <c r="X762" s="436" t="s">
        <v>825</v>
      </c>
      <c r="Y762" s="445" t="e">
        <f ca="1">_xlfn.XLOOKUP(PAA[[#This Row],[ITEM]],Contrato!A:A,Contrato!B:B,"",0)</f>
        <v>#NAME?</v>
      </c>
      <c r="Z762" s="436" t="e">
        <f ca="1">_xlfn.XLOOKUP(PAA[[#This Row],[ITEM]],Contrato!A:A,Contrato!G:G,"",0)</f>
        <v>#NAME?</v>
      </c>
      <c r="AA762" s="436" t="e">
        <f ca="1">_xlfn.XLOOKUP(PAA[[#This Row],[ITEM]],Contrato!A:A,Contrato!T:T,"",0)</f>
        <v>#NAME?</v>
      </c>
      <c r="AB762" s="445" t="e">
        <f ca="1">+MAX(PAA[[#This Row],[Comprometido Contrato]],)</f>
        <v>#NAME?</v>
      </c>
      <c r="AC762" s="445" t="str">
        <f ca="1">IFERROR(I762-AB762,"")</f>
        <v/>
      </c>
      <c r="AD762" s="445" t="e">
        <f ca="1">+MAX(PAA[[#This Row],[Pago por Contrato]],)</f>
        <v>#NAME?</v>
      </c>
      <c r="AE762" s="445" t="str">
        <f ca="1">+IFERROR(AB762-AD762,"")</f>
        <v/>
      </c>
      <c r="AF762" s="436" t="e">
        <f ca="1">+CONCATENATE(AA762,N762)</f>
        <v>#NAME?</v>
      </c>
      <c r="AG762" s="436">
        <f>IFERROR(_xlfn.NUMBERVALUE(MID(G762,1,8)),"")</f>
        <v>52010803</v>
      </c>
      <c r="AH762" s="436" t="e" cm="1">
        <f t="array" aca="1" ref="AH762" ca="1">_xlfn.XLOOKUP(PAA[[#This Row],[RCP-RUBRO]],COMPROMISOS_2025[[#All],[concatenado]],COMPROMISOS_2025[[#All],[Total pagado]],"",0)</f>
        <v>#NAME?</v>
      </c>
      <c r="AI762" s="436" t="e" cm="1">
        <f t="array" aca="1" ref="AI762" ca="1">_xlfn.XLOOKUP(PAA[[#This Row],[RCP-RUBRO]],COMPROMISOS_2025[[#All],[concatenado]],COMPROMISOS_2025[[#All],[Total Comprometido]],"",0)</f>
        <v>#NAME?</v>
      </c>
    </row>
    <row r="763" spans="1:35" s="50" customFormat="1" ht="42" hidden="1" customHeight="1" x14ac:dyDescent="0.25">
      <c r="A763" s="436">
        <v>604</v>
      </c>
      <c r="B763" s="437">
        <v>80111600</v>
      </c>
      <c r="C763" s="436" t="str">
        <f>VLOOKUP(PAA[[#This Row],[PROYECTO (formulado)2]],PROYECTOS!$G$1:$L$32,6,0)</f>
        <v>SUBGERENCIA DE ALTOS LOGROS Y DEPORTE ASOCIADO</v>
      </c>
      <c r="D763" s="436" t="str">
        <f>+IF(PAA[[#This Row],[UNIDAD DE CONTRATACION (formulado)]]="Subgerencia Administrativa y Financiera","FUNCIONAMIENTO","INVERSIÓN")</f>
        <v>INVERSIÓN</v>
      </c>
      <c r="E763" s="439" t="str">
        <f>VLOOKUP(Q763,PROYECTOS!$G$1:$K$32,5,0)</f>
        <v>Apoyo técnico a atletas y para-atletas que representan en alto rendimiento deportivo al departamento de Antioquia</v>
      </c>
      <c r="F763" s="439">
        <f>VLOOKUP(E763,PROYECTOS!$K$1:$M$32,3,0)</f>
        <v>2024003050084</v>
      </c>
      <c r="G763" s="439" t="s">
        <v>450</v>
      </c>
      <c r="H763" s="438" t="str">
        <f>VLOOKUP(Q763,PROYECTOS!$V$1:$W$32,2,0)</f>
        <v>050079</v>
      </c>
      <c r="I763" s="440">
        <v>22572783</v>
      </c>
      <c r="J763" s="441" t="s">
        <v>826</v>
      </c>
      <c r="K763" s="436" t="str">
        <f ca="1">IF(ISNONTEXT(Y763)=TRUE,"CONTRATADO","NO CONTRATADO")</f>
        <v>CONTRATADO</v>
      </c>
      <c r="L763" s="436" t="s">
        <v>112</v>
      </c>
      <c r="M763" s="436" t="s">
        <v>779</v>
      </c>
      <c r="N763" s="436" t="s">
        <v>452</v>
      </c>
      <c r="O763" s="436">
        <f>VLOOKUP(N763,RUBROS[#All],3,0)</f>
        <v>62</v>
      </c>
      <c r="P763" s="436" t="str">
        <f>VLOOKUP(N763,RUBROS[#All],2,0)</f>
        <v>Apoyo técnico a atletas y para-atletas que representan en alto rendimiento deportivo al departamento de Antioquia. - Servicios para la comunidad, sociales y personales</v>
      </c>
      <c r="Q763" s="436" t="str">
        <f>+MID(N763,11,2)</f>
        <v>84</v>
      </c>
      <c r="R763" s="436" t="str">
        <f>+MID(N763,14,8)</f>
        <v>0-205400</v>
      </c>
      <c r="S763" s="417">
        <v>250</v>
      </c>
      <c r="T763" s="443" t="s">
        <v>220</v>
      </c>
      <c r="U763" s="444" t="e">
        <f ca="1">_xlfn.XLOOKUP(PAA[[#This Row],[ITEM]],Contrato!A:A,Contrato!Q:Q,"",0)</f>
        <v>#NAME?</v>
      </c>
      <c r="V763" s="436" t="s">
        <v>47</v>
      </c>
      <c r="W763" s="436" t="s">
        <v>127</v>
      </c>
      <c r="X763" s="436" t="s">
        <v>825</v>
      </c>
      <c r="Y763" s="445" t="e">
        <f ca="1">_xlfn.XLOOKUP(PAA[[#This Row],[ITEM]],Contrato!A:A,Contrato!B:B,"",0)</f>
        <v>#NAME?</v>
      </c>
      <c r="Z763" s="436" t="e">
        <f ca="1">_xlfn.XLOOKUP(PAA[[#This Row],[ITEM]],Contrato!A:A,Contrato!G:G,"",0)</f>
        <v>#NAME?</v>
      </c>
      <c r="AA763" s="436" t="e">
        <f ca="1">_xlfn.XLOOKUP(PAA[[#This Row],[ITEM]],Contrato!A:A,Contrato!T:T,"",0)</f>
        <v>#NAME?</v>
      </c>
      <c r="AB763" s="445" t="e">
        <f ca="1">+MAX(PAA[[#This Row],[Comprometido Contrato]],)</f>
        <v>#NAME?</v>
      </c>
      <c r="AC763" s="445" t="str">
        <f ca="1">IFERROR(I763-AB763,"")</f>
        <v/>
      </c>
      <c r="AD763" s="445" t="e">
        <f ca="1">+MAX(PAA[[#This Row],[Pago por Contrato]],)</f>
        <v>#NAME?</v>
      </c>
      <c r="AE763" s="445" t="str">
        <f ca="1">+IFERROR(AB763-AD763,"")</f>
        <v/>
      </c>
      <c r="AF763" s="436" t="e">
        <f ca="1">+CONCATENATE(AA763,N763)</f>
        <v>#NAME?</v>
      </c>
      <c r="AG763" s="436">
        <f>IFERROR(_xlfn.NUMBERVALUE(MID(G763,1,8)),"")</f>
        <v>52010802</v>
      </c>
      <c r="AH763" s="436" t="e" cm="1">
        <f t="array" aca="1" ref="AH763" ca="1">_xlfn.XLOOKUP(PAA[[#This Row],[RCP-RUBRO]],COMPROMISOS_2025[[#All],[concatenado]],COMPROMISOS_2025[[#All],[Total pagado]],"",0)</f>
        <v>#NAME?</v>
      </c>
      <c r="AI763" s="436" t="e" cm="1">
        <f t="array" aca="1" ref="AI763" ca="1">_xlfn.XLOOKUP(PAA[[#This Row],[RCP-RUBRO]],COMPROMISOS_2025[[#All],[concatenado]],COMPROMISOS_2025[[#All],[Total Comprometido]],"",0)</f>
        <v>#NAME?</v>
      </c>
    </row>
    <row r="764" spans="1:35" s="50" customFormat="1" ht="42" hidden="1" customHeight="1" x14ac:dyDescent="0.25">
      <c r="A764" s="436">
        <v>605</v>
      </c>
      <c r="B764" s="437">
        <v>80111600</v>
      </c>
      <c r="C764" s="436" t="str">
        <f>VLOOKUP(PAA[[#This Row],[PROYECTO (formulado)2]],PROYECTOS!$G$1:$L$32,6,0)</f>
        <v>SUBGERENCIA DE ALTOS LOGROS Y DEPORTE ASOCIADO</v>
      </c>
      <c r="D764" s="436" t="str">
        <f>+IF(PAA[[#This Row],[UNIDAD DE CONTRATACION (formulado)]]="Subgerencia Administrativa y Financiera","FUNCIONAMIENTO","INVERSIÓN")</f>
        <v>INVERSIÓN</v>
      </c>
      <c r="E764" s="439" t="str">
        <f>VLOOKUP(Q764,PROYECTOS!$G$1:$K$32,5,0)</f>
        <v>Apoyo técnico a atletas y para-atletas que representan en alto rendimiento deportivo al departamento de Antioquia</v>
      </c>
      <c r="F764" s="439">
        <f>VLOOKUP(E764,PROYECTOS!$K$1:$M$32,3,0)</f>
        <v>2024003050084</v>
      </c>
      <c r="G764" s="439" t="s">
        <v>450</v>
      </c>
      <c r="H764" s="438" t="str">
        <f>VLOOKUP(Q764,PROYECTOS!$V$1:$W$32,2,0)</f>
        <v>050079</v>
      </c>
      <c r="I764" s="440">
        <v>34649217</v>
      </c>
      <c r="J764" s="441" t="s">
        <v>827</v>
      </c>
      <c r="K764" s="436" t="str">
        <f ca="1">IF(ISNONTEXT(Y764)=TRUE,"CONTRATADO","NO CONTRATADO")</f>
        <v>CONTRATADO</v>
      </c>
      <c r="L764" s="436" t="s">
        <v>112</v>
      </c>
      <c r="M764" s="436" t="s">
        <v>779</v>
      </c>
      <c r="N764" s="436" t="s">
        <v>452</v>
      </c>
      <c r="O764" s="436">
        <f>VLOOKUP(N764,RUBROS[#All],3,0)</f>
        <v>62</v>
      </c>
      <c r="P764" s="436" t="str">
        <f>VLOOKUP(N764,RUBROS[#All],2,0)</f>
        <v>Apoyo técnico a atletas y para-atletas que representan en alto rendimiento deportivo al departamento de Antioquia. - Servicios para la comunidad, sociales y personales</v>
      </c>
      <c r="Q764" s="436" t="str">
        <f>+MID(N764,11,2)</f>
        <v>84</v>
      </c>
      <c r="R764" s="436" t="str">
        <f>+MID(N764,14,8)</f>
        <v>0-205400</v>
      </c>
      <c r="S764" s="417">
        <v>250</v>
      </c>
      <c r="T764" s="443" t="s">
        <v>220</v>
      </c>
      <c r="U764" s="444" t="e">
        <f ca="1">_xlfn.XLOOKUP(PAA[[#This Row],[ITEM]],Contrato!A:A,Contrato!Q:Q,"",0)</f>
        <v>#NAME?</v>
      </c>
      <c r="V764" s="436" t="s">
        <v>47</v>
      </c>
      <c r="W764" s="436" t="s">
        <v>127</v>
      </c>
      <c r="X764" s="436" t="s">
        <v>825</v>
      </c>
      <c r="Y764" s="445" t="e">
        <f ca="1">_xlfn.XLOOKUP(PAA[[#This Row],[ITEM]],Contrato!A:A,Contrato!B:B,"",0)</f>
        <v>#NAME?</v>
      </c>
      <c r="Z764" s="436" t="e">
        <f ca="1">_xlfn.XLOOKUP(PAA[[#This Row],[ITEM]],Contrato!A:A,Contrato!G:G,"",0)</f>
        <v>#NAME?</v>
      </c>
      <c r="AA764" s="436" t="e">
        <f ca="1">_xlfn.XLOOKUP(PAA[[#This Row],[ITEM]],Contrato!A:A,Contrato!T:T,"",0)</f>
        <v>#NAME?</v>
      </c>
      <c r="AB764" s="445" t="e">
        <f ca="1">+MAX(PAA[[#This Row],[Comprometido Contrato]],)</f>
        <v>#NAME?</v>
      </c>
      <c r="AC764" s="445" t="str">
        <f ca="1">IFERROR(I764-AB764,"")</f>
        <v/>
      </c>
      <c r="AD764" s="445" t="e">
        <f ca="1">+MAX(PAA[[#This Row],[Pago por Contrato]],)</f>
        <v>#NAME?</v>
      </c>
      <c r="AE764" s="445" t="str">
        <f ca="1">+IFERROR(AB764-AD764,"")</f>
        <v/>
      </c>
      <c r="AF764" s="436" t="e">
        <f ca="1">+CONCATENATE(AA764,N764)</f>
        <v>#NAME?</v>
      </c>
      <c r="AG764" s="436">
        <f>IFERROR(_xlfn.NUMBERVALUE(MID(G764,1,8)),"")</f>
        <v>52010802</v>
      </c>
      <c r="AH764" s="436" t="e" cm="1">
        <f t="array" aca="1" ref="AH764" ca="1">_xlfn.XLOOKUP(PAA[[#This Row],[RCP-RUBRO]],COMPROMISOS_2025[[#All],[concatenado]],COMPROMISOS_2025[[#All],[Total pagado]],"",0)</f>
        <v>#NAME?</v>
      </c>
      <c r="AI764" s="436" t="e" cm="1">
        <f t="array" aca="1" ref="AI764" ca="1">_xlfn.XLOOKUP(PAA[[#This Row],[RCP-RUBRO]],COMPROMISOS_2025[[#All],[concatenado]],COMPROMISOS_2025[[#All],[Total Comprometido]],"",0)</f>
        <v>#NAME?</v>
      </c>
    </row>
    <row r="765" spans="1:35" s="50" customFormat="1" ht="42" customHeight="1" x14ac:dyDescent="0.25">
      <c r="A765" s="476">
        <v>573</v>
      </c>
      <c r="B765" s="488" t="s">
        <v>41</v>
      </c>
      <c r="C765" s="476" t="str">
        <f>VLOOKUP(PAA[[#This Row],[PROYECTO (formulado)2]],PROYECTOS!$G$1:$L$32,6,0)</f>
        <v>SUBGERENCIA DE ALTOS LOGROS Y DEPORTE ASOCIADO</v>
      </c>
      <c r="D765" s="476" t="str">
        <f>+IF(PAA[[#This Row],[UNIDAD DE CONTRATACION (formulado)]]="Subgerencia Administrativa y Financiera","FUNCIONAMIENTO","INVERSIÓN")</f>
        <v>INVERSIÓN</v>
      </c>
      <c r="E765" s="479" t="str">
        <f>VLOOKUP(Q765,PROYECTOS!$G$1:$K$32,5,0)</f>
        <v>Apoyo y subvención para satisfacer necesidades propias del proceso de preparación y competencia de los Atletas y Para-atletas de alto rendimiento del departamento de Antioquia</v>
      </c>
      <c r="F765" s="479">
        <f>VLOOKUP(E765,PROYECTOS!$K$1:$M$32,3,0)</f>
        <v>2024003050085</v>
      </c>
      <c r="G765" s="479" t="s">
        <v>786</v>
      </c>
      <c r="H765" s="489" t="str">
        <f>VLOOKUP(Q765,PROYECTOS!$V$1:$W$32,2,0)</f>
        <v>050077</v>
      </c>
      <c r="I765" s="480">
        <v>2202935217</v>
      </c>
      <c r="J765" s="490" t="s">
        <v>787</v>
      </c>
      <c r="K765" s="476" t="str">
        <f t="shared" ca="1" si="127"/>
        <v>CONTRATADO</v>
      </c>
      <c r="L765" s="476" t="s">
        <v>44</v>
      </c>
      <c r="M765" s="476" t="s">
        <v>44</v>
      </c>
      <c r="N765" s="476" t="s">
        <v>663</v>
      </c>
      <c r="O765" s="476">
        <f>VLOOKUP(N765,RUBROS[#All],3,0)</f>
        <v>103</v>
      </c>
      <c r="P765" s="476" t="str">
        <f>VLOOKUP(N765,RUBROS[#All],2,0)</f>
        <v>Apoyo Y Subvención Para Satisfacer Necesidades Propias Del Proceso De Preparación Y   Competencia De Los Atletas Y   Para-Atletas De Alto Rendimiento Del Departamento De Antioquia -Estímulos Y   Beneficios A Los Deportistas</v>
      </c>
      <c r="Q765" s="476" t="str">
        <f t="shared" si="128"/>
        <v>85</v>
      </c>
      <c r="R765" s="476" t="str">
        <f t="shared" si="129"/>
        <v>0-205400</v>
      </c>
      <c r="S765" s="491" t="s">
        <v>41</v>
      </c>
      <c r="T765" s="492" t="s">
        <v>41</v>
      </c>
      <c r="U765" s="486" t="e">
        <f ca="1">_xlfn.XLOOKUP(PAA[[#This Row],[ITEM]],Contrato!A:A,Contrato!Q:Q,"",0)</f>
        <v>#NAME?</v>
      </c>
      <c r="V765" s="476" t="s">
        <v>47</v>
      </c>
      <c r="W765" s="476" t="s">
        <v>41</v>
      </c>
      <c r="X765" s="476" t="s">
        <v>41</v>
      </c>
      <c r="Y765" s="487" t="e">
        <f ca="1">_xlfn.XLOOKUP(PAA[[#This Row],[ITEM]],Contrato!A:A,Contrato!B:B,"",0)</f>
        <v>#NAME?</v>
      </c>
      <c r="Z765" s="476" t="e">
        <f ca="1">_xlfn.XLOOKUP(PAA[[#This Row],[ITEM]],Contrato!A:A,Contrato!G:G,"",0)</f>
        <v>#NAME?</v>
      </c>
      <c r="AA765" s="476" t="e">
        <f ca="1">_xlfn.XLOOKUP(PAA[[#This Row],[ITEM]],Contrato!A:A,Contrato!T:T,"",0)</f>
        <v>#NAME?</v>
      </c>
      <c r="AB765" s="487" t="e">
        <f ca="1">+MAX(PAA[[#This Row],[Comprometido Contrato]],)</f>
        <v>#NAME?</v>
      </c>
      <c r="AC765" s="487" t="str">
        <f t="shared" ca="1" si="130"/>
        <v/>
      </c>
      <c r="AD765" s="487" t="e">
        <f ca="1">+MAX(PAA[[#This Row],[Pago por Contrato]],)</f>
        <v>#NAME?</v>
      </c>
      <c r="AE765" s="487" t="str">
        <f t="shared" ca="1" si="131"/>
        <v/>
      </c>
      <c r="AF765" s="476" t="e">
        <f t="shared" ca="1" si="132"/>
        <v>#NAME?</v>
      </c>
      <c r="AG765" s="476">
        <f t="shared" si="133"/>
        <v>52010803</v>
      </c>
      <c r="AH765" s="476" t="e" cm="1">
        <f t="array" aca="1" ref="AH765" ca="1">_xlfn.XLOOKUP(PAA[[#This Row],[RCP-RUBRO]],COMPROMISOS_2025[[#All],[concatenado]],COMPROMISOS_2025[[#All],[Total pagado]],"",0)</f>
        <v>#NAME?</v>
      </c>
      <c r="AI765" s="476" t="e" cm="1">
        <f t="array" aca="1" ref="AI765" ca="1">_xlfn.XLOOKUP(PAA[[#This Row],[RCP-RUBRO]],COMPROMISOS_2025[[#All],[concatenado]],COMPROMISOS_2025[[#All],[Total Comprometido]],"",0)</f>
        <v>#NAME?</v>
      </c>
    </row>
    <row r="766" spans="1:35" s="50" customFormat="1" ht="42" customHeight="1" x14ac:dyDescent="0.25">
      <c r="A766" s="436">
        <v>573</v>
      </c>
      <c r="B766" s="437" t="s">
        <v>41</v>
      </c>
      <c r="C766" s="436" t="str">
        <f>VLOOKUP(PAA[[#This Row],[PROYECTO (formulado)2]],PROYECTOS!$G$1:$L$32,6,0)</f>
        <v>SUBGERENCIA DE ALTOS LOGROS Y DEPORTE ASOCIADO</v>
      </c>
      <c r="D766" s="436" t="str">
        <f>+IF(PAA[[#This Row],[UNIDAD DE CONTRATACION (formulado)]]="Subgerencia Administrativa y Financiera","FUNCIONAMIENTO","INVERSIÓN")</f>
        <v>INVERSIÓN</v>
      </c>
      <c r="E766" s="439" t="str">
        <f>VLOOKUP(Q766,PROYECTOS!$G$1:$K$32,5,0)</f>
        <v>Apoyo y subvención para satisfacer necesidades propias del proceso de preparación y competencia de los Atletas y Para-atletas de alto rendimiento del departamento de Antioquia</v>
      </c>
      <c r="F766" s="439">
        <f>VLOOKUP(E766,PROYECTOS!$K$1:$M$32,3,0)</f>
        <v>2024003050085</v>
      </c>
      <c r="G766" s="439" t="s">
        <v>788</v>
      </c>
      <c r="H766" s="438" t="str">
        <f>VLOOKUP(Q766,PROYECTOS!$V$1:$W$32,2,0)</f>
        <v>050077</v>
      </c>
      <c r="I766" s="440">
        <v>650000000</v>
      </c>
      <c r="J766" s="441" t="s">
        <v>787</v>
      </c>
      <c r="K766" s="436" t="str">
        <f t="shared" ca="1" si="127"/>
        <v>CONTRATADO</v>
      </c>
      <c r="L766" s="436" t="s">
        <v>44</v>
      </c>
      <c r="M766" s="436" t="s">
        <v>44</v>
      </c>
      <c r="N766" s="436" t="s">
        <v>663</v>
      </c>
      <c r="O766" s="436">
        <f>VLOOKUP(N766,RUBROS[#All],3,0)</f>
        <v>103</v>
      </c>
      <c r="P766" s="436" t="str">
        <f>VLOOKUP(N766,RUBROS[#All],2,0)</f>
        <v>Apoyo Y Subvención Para Satisfacer Necesidades Propias Del Proceso De Preparación Y   Competencia De Los Atletas Y   Para-Atletas De Alto Rendimiento Del Departamento De Antioquia -Estímulos Y   Beneficios A Los Deportistas</v>
      </c>
      <c r="Q766" s="436" t="str">
        <f t="shared" si="128"/>
        <v>85</v>
      </c>
      <c r="R766" s="436" t="str">
        <f t="shared" si="129"/>
        <v>0-205400</v>
      </c>
      <c r="S766" s="427" t="s">
        <v>41</v>
      </c>
      <c r="T766" s="460" t="s">
        <v>41</v>
      </c>
      <c r="U766" s="444" t="e">
        <f ca="1">_xlfn.XLOOKUP(PAA[[#This Row],[ITEM]],Contrato!A:A,Contrato!Q:Q,"",0)</f>
        <v>#NAME?</v>
      </c>
      <c r="V766" s="436" t="s">
        <v>47</v>
      </c>
      <c r="W766" s="436" t="s">
        <v>41</v>
      </c>
      <c r="X766" s="436" t="s">
        <v>41</v>
      </c>
      <c r="Y766" s="445" t="e">
        <f ca="1">_xlfn.XLOOKUP(PAA[[#This Row],[ITEM]],Contrato!A:A,Contrato!B:B,"",0)</f>
        <v>#NAME?</v>
      </c>
      <c r="Z766" s="436" t="e">
        <f ca="1">_xlfn.XLOOKUP(PAA[[#This Row],[ITEM]],Contrato!A:A,Contrato!G:G,"",0)</f>
        <v>#NAME?</v>
      </c>
      <c r="AA766" s="436" t="e">
        <f ca="1">_xlfn.XLOOKUP(PAA[[#This Row],[ITEM]],Contrato!A:A,Contrato!T:T,"",0)</f>
        <v>#NAME?</v>
      </c>
      <c r="AB766" s="445" t="e">
        <f ca="1">+MAX(PAA[[#This Row],[Comprometido Contrato]],)</f>
        <v>#NAME?</v>
      </c>
      <c r="AC766" s="445" t="str">
        <f t="shared" ca="1" si="130"/>
        <v/>
      </c>
      <c r="AD766" s="445" t="e">
        <f ca="1">+MAX(PAA[[#This Row],[Pago por Contrato]],)</f>
        <v>#NAME?</v>
      </c>
      <c r="AE766" s="445" t="str">
        <f t="shared" ca="1" si="131"/>
        <v/>
      </c>
      <c r="AF766" s="436" t="e">
        <f t="shared" ca="1" si="132"/>
        <v>#NAME?</v>
      </c>
      <c r="AG766" s="436">
        <f t="shared" si="133"/>
        <v>52010803</v>
      </c>
      <c r="AH766" s="436" t="e" cm="1">
        <f t="array" aca="1" ref="AH766" ca="1">_xlfn.XLOOKUP(PAA[[#This Row],[RCP-RUBRO]],COMPROMISOS_2025[[#All],[concatenado]],COMPROMISOS_2025[[#All],[Total pagado]],"",0)</f>
        <v>#NAME?</v>
      </c>
      <c r="AI766" s="436" t="e" cm="1">
        <f t="array" aca="1" ref="AI766" ca="1">_xlfn.XLOOKUP(PAA[[#This Row],[RCP-RUBRO]],COMPROMISOS_2025[[#All],[concatenado]],COMPROMISOS_2025[[#All],[Total Comprometido]],"",0)</f>
        <v>#NAME?</v>
      </c>
    </row>
    <row r="767" spans="1:35" s="50" customFormat="1" ht="42" hidden="1" customHeight="1" x14ac:dyDescent="0.25">
      <c r="A767" s="436">
        <v>600</v>
      </c>
      <c r="B767" s="437">
        <v>91111603</v>
      </c>
      <c r="C767" s="436" t="str">
        <f>VLOOKUP(PAA[[#This Row],[PROYECTO (formulado)2]],PROYECTOS!$G$1:$L$32,6,0)</f>
        <v>SUBGERENCIA DE ALTOS LOGROS Y DEPORTE ASOCIADO</v>
      </c>
      <c r="D767" s="436" t="str">
        <f>+IF(PAA[[#This Row],[UNIDAD DE CONTRATACION (formulado)]]="Subgerencia Administrativa y Financiera","FUNCIONAMIENTO","INVERSIÓN")</f>
        <v>INVERSIÓN</v>
      </c>
      <c r="E767" s="439" t="str">
        <f>VLOOKUP(Q767,PROYECTOS!$G$1:$K$32,5,0)</f>
        <v>Apoyo y subvención para satisfacer necesidades propias del proceso de preparación y competencia de los Atletas y Para-atletas de alto rendimiento del departamento de Antioquia</v>
      </c>
      <c r="F767" s="439">
        <f>VLOOKUP(E767,PROYECTOS!$K$1:$M$32,3,0)</f>
        <v>2024003050085</v>
      </c>
      <c r="G767" s="439" t="s">
        <v>828</v>
      </c>
      <c r="H767" s="438" t="str">
        <f>VLOOKUP(Q767,PROYECTOS!$V$1:$W$32,2,0)</f>
        <v>050077</v>
      </c>
      <c r="I767" s="440">
        <v>1300000000</v>
      </c>
      <c r="J767" s="441" t="s">
        <v>829</v>
      </c>
      <c r="K767" s="436" t="str">
        <f t="shared" ca="1" si="127"/>
        <v>CONTRATADO</v>
      </c>
      <c r="L767" s="436" t="s">
        <v>112</v>
      </c>
      <c r="M767" s="436" t="s">
        <v>830</v>
      </c>
      <c r="N767" s="436" t="s">
        <v>831</v>
      </c>
      <c r="O767" s="436">
        <f>VLOOKUP(N767,RUBROS[#All],3,0)</f>
        <v>102</v>
      </c>
      <c r="P767" s="436" t="str">
        <f>VLOOKUP(N767,RUBROS[#All],2,0)</f>
        <v>Apoyo Y Subvención Para Satisfacer Necesidades Propias Del Proceso De Preparación Y   Competencia De Los Atletas Y   Para-Atletas De Alto Rendimiento Del Departamento De Antioquia -  Comercio Y   Distribución; Alojamiento; Servicios De Suministro   De Comidas   Y Bebidas; Servicios De Transporte</v>
      </c>
      <c r="Q767" s="436" t="str">
        <f t="shared" si="128"/>
        <v>85</v>
      </c>
      <c r="R767" s="436" t="str">
        <f t="shared" si="129"/>
        <v>0-205400</v>
      </c>
      <c r="S767" s="436">
        <v>8</v>
      </c>
      <c r="T767" s="443" t="s">
        <v>46</v>
      </c>
      <c r="U767" s="444" t="e">
        <f ca="1">_xlfn.XLOOKUP(PAA[[#This Row],[ITEM]],Contrato!A:A,Contrato!Q:Q,"",0)</f>
        <v>#NAME?</v>
      </c>
      <c r="V767" s="436" t="s">
        <v>47</v>
      </c>
      <c r="W767" s="436" t="s">
        <v>127</v>
      </c>
      <c r="X767" s="436" t="s">
        <v>825</v>
      </c>
      <c r="Y767" s="445" t="e">
        <f ca="1">_xlfn.XLOOKUP(PAA[[#This Row],[ITEM]],Contrato!A:A,Contrato!B:B,"",0)</f>
        <v>#NAME?</v>
      </c>
      <c r="Z767" s="436" t="e">
        <f ca="1">_xlfn.XLOOKUP(PAA[[#This Row],[ITEM]],Contrato!A:A,Contrato!G:G,"",0)</f>
        <v>#NAME?</v>
      </c>
      <c r="AA767" s="436" t="e">
        <f ca="1">_xlfn.XLOOKUP(PAA[[#This Row],[ITEM]],Contrato!A:A,Contrato!T:T,"",0)</f>
        <v>#NAME?</v>
      </c>
      <c r="AB767" s="445" t="e">
        <f ca="1">+MAX(PAA[[#This Row],[Comprometido Contrato]],)</f>
        <v>#NAME?</v>
      </c>
      <c r="AC767" s="445" t="str">
        <f t="shared" ca="1" si="130"/>
        <v/>
      </c>
      <c r="AD767" s="445" t="e">
        <f ca="1">+MAX(PAA[[#This Row],[Pago por Contrato]],)</f>
        <v>#NAME?</v>
      </c>
      <c r="AE767" s="445" t="str">
        <f t="shared" ca="1" si="131"/>
        <v/>
      </c>
      <c r="AF767" s="436" t="e">
        <f t="shared" ca="1" si="132"/>
        <v>#NAME?</v>
      </c>
      <c r="AG767" s="436">
        <f t="shared" si="133"/>
        <v>52010803</v>
      </c>
      <c r="AH767" s="436" t="e" cm="1">
        <f t="array" aca="1" ref="AH767" ca="1">_xlfn.XLOOKUP(PAA[[#This Row],[RCP-RUBRO]],COMPROMISOS_2025[[#All],[concatenado]],COMPROMISOS_2025[[#All],[Total pagado]],"",0)</f>
        <v>#NAME?</v>
      </c>
      <c r="AI767" s="436" t="e" cm="1">
        <f t="array" aca="1" ref="AI767" ca="1">_xlfn.XLOOKUP(PAA[[#This Row],[RCP-RUBRO]],COMPROMISOS_2025[[#All],[concatenado]],COMPROMISOS_2025[[#All],[Total Comprometido]],"",0)</f>
        <v>#NAME?</v>
      </c>
    </row>
    <row r="768" spans="1:35" s="50" customFormat="1" ht="42" hidden="1" customHeight="1" x14ac:dyDescent="0.25">
      <c r="A768" s="436" t="s">
        <v>227</v>
      </c>
      <c r="B768" s="437">
        <v>80111600</v>
      </c>
      <c r="C768" s="436" t="str">
        <f>VLOOKUP(PAA[[#This Row],[PROYECTO (formulado)2]],PROYECTOS!$G$1:$L$32,6,0)</f>
        <v>SUBGERENCIA DE ALTOS LOGROS Y DEPORTE ASOCIADO</v>
      </c>
      <c r="D768" s="436" t="str">
        <f>+IF(PAA[[#This Row],[UNIDAD DE CONTRATACION (formulado)]]="Subgerencia Administrativa y Financiera","FUNCIONAMIENTO","INVERSIÓN")</f>
        <v>INVERSIÓN</v>
      </c>
      <c r="E768" s="439" t="str">
        <f>VLOOKUP(Q768,PROYECTOS!$G$1:$K$32,5,0)</f>
        <v>Apoyo técnico a atletas y para-atletas que representan en alto rendimiento deportivo al departamento de Antioquia</v>
      </c>
      <c r="F768" s="439">
        <f>VLOOKUP(E768,PROYECTOS!$K$1:$M$32,3,0)</f>
        <v>2024003050084</v>
      </c>
      <c r="G768" s="439" t="s">
        <v>450</v>
      </c>
      <c r="H768" s="438" t="str">
        <f>VLOOKUP(Q768,PROYECTOS!$V$1:$W$32,2,0)</f>
        <v>050079</v>
      </c>
      <c r="I768" s="440">
        <v>706819823</v>
      </c>
      <c r="J768" s="441" t="s">
        <v>815</v>
      </c>
      <c r="K768" s="436" t="str">
        <f t="shared" ref="K768:K769" ca="1" si="134">IF(ISNONTEXT(Y768)=TRUE,"CONTRATADO","NO CONTRATADO")</f>
        <v>CONTRATADO</v>
      </c>
      <c r="L768" s="436" t="s">
        <v>112</v>
      </c>
      <c r="M768" s="436" t="s">
        <v>113</v>
      </c>
      <c r="N768" s="436" t="s">
        <v>452</v>
      </c>
      <c r="O768" s="436">
        <f>VLOOKUP(N768,RUBROS[#All],3,0)</f>
        <v>62</v>
      </c>
      <c r="P768" s="436" t="str">
        <f>VLOOKUP(N768,RUBROS[#All],2,0)</f>
        <v>Apoyo técnico a atletas y para-atletas que representan en alto rendimiento deportivo al departamento de Antioquia. - Servicios para la comunidad, sociales y personales</v>
      </c>
      <c r="Q768" s="436" t="str">
        <f t="shared" ref="Q768:Q769" si="135">+MID(N768,11,2)</f>
        <v>84</v>
      </c>
      <c r="R768" s="436" t="str">
        <f t="shared" ref="R768:R769" si="136">+MID(N768,14,8)</f>
        <v>0-205400</v>
      </c>
      <c r="S768" s="436"/>
      <c r="T768" s="461"/>
      <c r="U768" s="444" t="e">
        <f ca="1">_xlfn.XLOOKUP(PAA[[#This Row],[ITEM]],Contrato!A:A,Contrato!Q:Q,"",0)</f>
        <v>#NAME?</v>
      </c>
      <c r="V768" s="436" t="s">
        <v>47</v>
      </c>
      <c r="W768" s="436" t="s">
        <v>41</v>
      </c>
      <c r="X768" s="436" t="s">
        <v>41</v>
      </c>
      <c r="Y768" s="445" t="e">
        <f ca="1">_xlfn.XLOOKUP(PAA[[#This Row],[ITEM]],Contrato!A:A,Contrato!B:B,"",0)</f>
        <v>#NAME?</v>
      </c>
      <c r="Z768" s="436" t="e">
        <f ca="1">_xlfn.XLOOKUP(PAA[[#This Row],[ITEM]],Contrato!A:A,Contrato!G:G,"",0)</f>
        <v>#NAME?</v>
      </c>
      <c r="AA768" s="436" t="e">
        <f ca="1">_xlfn.XLOOKUP(PAA[[#This Row],[ITEM]],Contrato!A:A,Contrato!T:T,"",0)</f>
        <v>#NAME?</v>
      </c>
      <c r="AB768" s="445" t="e">
        <f ca="1">+MAX(PAA[[#This Row],[Comprometido Contrato]],)</f>
        <v>#NAME?</v>
      </c>
      <c r="AC768" s="445" t="str">
        <f t="shared" ref="AC768:AC769" ca="1" si="137">IFERROR(I768-AB768,"")</f>
        <v/>
      </c>
      <c r="AD768" s="445" t="e">
        <f ca="1">+MAX(PAA[[#This Row],[Pago por Contrato]],)</f>
        <v>#NAME?</v>
      </c>
      <c r="AE768" s="445" t="str">
        <f t="shared" ref="AE768:AE769" ca="1" si="138">+IFERROR(AB768-AD768,"")</f>
        <v/>
      </c>
      <c r="AF768" s="436" t="e">
        <f t="shared" ref="AF768:AF769" ca="1" si="139">+CONCATENATE(AA768,N768)</f>
        <v>#NAME?</v>
      </c>
      <c r="AG768" s="436">
        <f t="shared" ref="AG768:AG769" si="140">IFERROR(_xlfn.NUMBERVALUE(MID(G768,1,8)),"")</f>
        <v>52010802</v>
      </c>
      <c r="AH768" s="436" t="e" cm="1">
        <f t="array" aca="1" ref="AH768" ca="1">_xlfn.XLOOKUP(PAA[[#This Row],[RCP-RUBRO]],COMPROMISOS_2025[[#All],[concatenado]],COMPROMISOS_2025[[#All],[Total pagado]],"",0)</f>
        <v>#NAME?</v>
      </c>
      <c r="AI768" s="436" t="e" cm="1">
        <f t="array" aca="1" ref="AI768" ca="1">_xlfn.XLOOKUP(PAA[[#This Row],[RCP-RUBRO]],COMPROMISOS_2025[[#All],[concatenado]],COMPROMISOS_2025[[#All],[Total Comprometido]],"",0)</f>
        <v>#NAME?</v>
      </c>
    </row>
    <row r="769" spans="1:35" s="50" customFormat="1" ht="42" hidden="1" customHeight="1" x14ac:dyDescent="0.25">
      <c r="A769" s="436">
        <v>601</v>
      </c>
      <c r="B769" s="437">
        <v>90141502</v>
      </c>
      <c r="C769" s="436" t="str">
        <f>VLOOKUP(PAA[[#This Row],[PROYECTO (formulado)2]],PROYECTOS!$G$1:$L$32,6,0)</f>
        <v>SUBGERENCIA DE ALTOS LOGROS Y DEPORTE ASOCIADO</v>
      </c>
      <c r="D769" s="436" t="str">
        <f>+IF(PAA[[#This Row],[UNIDAD DE CONTRATACION (formulado)]]="Subgerencia Administrativa y Financiera","FUNCIONAMIENTO","INVERSIÓN")</f>
        <v>INVERSIÓN</v>
      </c>
      <c r="E769" s="439" t="str">
        <f>VLOOKUP(Q769,PROYECTOS!$G$1:$K$32,5,0)</f>
        <v>Fortalecimiento del desarrollo deportivo con miras al alto rendimiento competitivo de los atletas del departamento de Antioquia</v>
      </c>
      <c r="F769" s="439">
        <f>VLOOKUP(E769,PROYECTOS!$K$1:$M$32,3,0)</f>
        <v>2024003050087</v>
      </c>
      <c r="G769" s="439" t="s">
        <v>673</v>
      </c>
      <c r="H769" s="438" t="str">
        <f>VLOOKUP(Q769,PROYECTOS!$V$1:$W$32,2,0)</f>
        <v>050078</v>
      </c>
      <c r="I769" s="440">
        <v>850000000</v>
      </c>
      <c r="J769" s="441" t="s">
        <v>832</v>
      </c>
      <c r="K769" s="436" t="str">
        <f t="shared" ca="1" si="134"/>
        <v>CONTRATADO</v>
      </c>
      <c r="L769" s="436" t="s">
        <v>112</v>
      </c>
      <c r="M769" s="436" t="s">
        <v>361</v>
      </c>
      <c r="N769" s="436" t="s">
        <v>833</v>
      </c>
      <c r="O769" s="436">
        <f>VLOOKUP(N769,RUBROS[#All],3,0)</f>
        <v>104</v>
      </c>
      <c r="P769" s="436" t="str">
        <f>VLOOKUP(N769,RUBROS[#All],2,0)</f>
        <v xml:space="preserve">Fortalecimiento Del Desarrollo Deportivo Con Miras Al Alto Rendimiento Competitivo De Los Atletas Del Departamento De Antioquia -Actividades De Promoción Y   Desarrollo Del Deporte </v>
      </c>
      <c r="Q769" s="436" t="str">
        <f t="shared" si="135"/>
        <v>87</v>
      </c>
      <c r="R769" s="436" t="str">
        <f t="shared" si="136"/>
        <v>0-205400</v>
      </c>
      <c r="S769" s="436">
        <v>8</v>
      </c>
      <c r="T769" s="443" t="s">
        <v>46</v>
      </c>
      <c r="U769" s="444" t="e">
        <f ca="1">_xlfn.XLOOKUP(PAA[[#This Row],[ITEM]],Contrato!A:A,Contrato!Q:Q,"",0)</f>
        <v>#NAME?</v>
      </c>
      <c r="V769" s="436" t="s">
        <v>47</v>
      </c>
      <c r="W769" s="436" t="s">
        <v>127</v>
      </c>
      <c r="X769" s="436" t="s">
        <v>825</v>
      </c>
      <c r="Y769" s="445" t="e">
        <f ca="1">_xlfn.XLOOKUP(PAA[[#This Row],[ITEM]],Contrato!A:A,Contrato!B:B,"",0)</f>
        <v>#NAME?</v>
      </c>
      <c r="Z769" s="436" t="e">
        <f ca="1">_xlfn.XLOOKUP(PAA[[#This Row],[ITEM]],Contrato!A:A,Contrato!G:G,"",0)</f>
        <v>#NAME?</v>
      </c>
      <c r="AA769" s="436" t="e">
        <f ca="1">_xlfn.XLOOKUP(PAA[[#This Row],[ITEM]],Contrato!A:A,Contrato!T:T,"",0)</f>
        <v>#NAME?</v>
      </c>
      <c r="AB769" s="445" t="e">
        <f ca="1">+MAX(PAA[[#This Row],[Comprometido Contrato]],)</f>
        <v>#NAME?</v>
      </c>
      <c r="AC769" s="445" t="str">
        <f t="shared" ca="1" si="137"/>
        <v/>
      </c>
      <c r="AD769" s="445" t="e">
        <f ca="1">+MAX(PAA[[#This Row],[Pago por Contrato]],)</f>
        <v>#NAME?</v>
      </c>
      <c r="AE769" s="445" t="str">
        <f t="shared" ca="1" si="138"/>
        <v/>
      </c>
      <c r="AF769" s="436" t="e">
        <f t="shared" ca="1" si="139"/>
        <v>#NAME?</v>
      </c>
      <c r="AG769" s="436">
        <f t="shared" si="140"/>
        <v>52010805</v>
      </c>
      <c r="AH769" s="436" t="e" cm="1">
        <f t="array" aca="1" ref="AH769" ca="1">_xlfn.XLOOKUP(PAA[[#This Row],[RCP-RUBRO]],COMPROMISOS_2025[[#All],[concatenado]],COMPROMISOS_2025[[#All],[Total pagado]],"",0)</f>
        <v>#NAME?</v>
      </c>
      <c r="AI769" s="436" t="e" cm="1">
        <f t="array" aca="1" ref="AI769" ca="1">_xlfn.XLOOKUP(PAA[[#This Row],[RCP-RUBRO]],COMPROMISOS_2025[[#All],[concatenado]],COMPROMISOS_2025[[#All],[Total Comprometido]],"",0)</f>
        <v>#NAME?</v>
      </c>
    </row>
    <row r="770" spans="1:35" s="50" customFormat="1" ht="42" hidden="1" customHeight="1" x14ac:dyDescent="0.25">
      <c r="A770" s="436">
        <v>602</v>
      </c>
      <c r="B770" s="437">
        <v>90141502</v>
      </c>
      <c r="C770" s="436" t="str">
        <f>VLOOKUP(PAA[[#This Row],[PROYECTO (formulado)2]],PROYECTOS!$G$1:$L$32,6,0)</f>
        <v>SUBGERENCIA DE ALTOS LOGROS Y DEPORTE ASOCIADO</v>
      </c>
      <c r="D770" s="436" t="str">
        <f>+IF(PAA[[#This Row],[UNIDAD DE CONTRATACION (formulado)]]="Subgerencia Administrativa y Financiera","FUNCIONAMIENTO","INVERSIÓN")</f>
        <v>INVERSIÓN</v>
      </c>
      <c r="E770" s="439" t="str">
        <f>VLOOKUP(Q770,PROYECTOS!$G$1:$K$32,5,0)</f>
        <v>Fortalecimiento del desarrollo deportivo con miras al alto rendimiento competitivo de los atletas del departamento de Antioquia</v>
      </c>
      <c r="F770" s="439">
        <f>VLOOKUP(E770,PROYECTOS!$K$1:$M$32,3,0)</f>
        <v>2024003050087</v>
      </c>
      <c r="G770" s="439" t="s">
        <v>673</v>
      </c>
      <c r="H770" s="438" t="str">
        <f>VLOOKUP(Q770,PROYECTOS!$V$1:$W$32,2,0)</f>
        <v>050078</v>
      </c>
      <c r="I770" s="440">
        <v>73613722</v>
      </c>
      <c r="J770" s="441" t="s">
        <v>834</v>
      </c>
      <c r="K770" s="436" t="str">
        <f ca="1">IF(ISNONTEXT(Y770)=TRUE,"CONTRATADO","NO CONTRATADO")</f>
        <v>CONTRATADO</v>
      </c>
      <c r="L770" s="436" t="s">
        <v>112</v>
      </c>
      <c r="M770" s="436" t="s">
        <v>361</v>
      </c>
      <c r="N770" s="436" t="s">
        <v>833</v>
      </c>
      <c r="O770" s="436">
        <f>VLOOKUP(N770,RUBROS[#All],3,0)</f>
        <v>104</v>
      </c>
      <c r="P770" s="436" t="str">
        <f>VLOOKUP(N770,RUBROS[#All],2,0)</f>
        <v xml:space="preserve">Fortalecimiento Del Desarrollo Deportivo Con Miras Al Alto Rendimiento Competitivo De Los Atletas Del Departamento De Antioquia -Actividades De Promoción Y   Desarrollo Del Deporte </v>
      </c>
      <c r="Q770" s="436" t="str">
        <f>+MID(N770,11,2)</f>
        <v>87</v>
      </c>
      <c r="R770" s="436" t="str">
        <f>+MID(N770,14,8)</f>
        <v>0-205400</v>
      </c>
      <c r="S770" s="436">
        <v>8</v>
      </c>
      <c r="T770" s="443" t="s">
        <v>46</v>
      </c>
      <c r="U770" s="444" t="e">
        <f ca="1">_xlfn.XLOOKUP(PAA[[#This Row],[ITEM]],Contrato!A:A,Contrato!Q:Q,"",0)</f>
        <v>#NAME?</v>
      </c>
      <c r="V770" s="436" t="s">
        <v>47</v>
      </c>
      <c r="W770" s="436" t="s">
        <v>127</v>
      </c>
      <c r="X770" s="436" t="s">
        <v>825</v>
      </c>
      <c r="Y770" s="445" t="e">
        <f ca="1">_xlfn.XLOOKUP(PAA[[#This Row],[ITEM]],Contrato!A:A,Contrato!B:B,"",0)</f>
        <v>#NAME?</v>
      </c>
      <c r="Z770" s="436" t="e">
        <f ca="1">_xlfn.XLOOKUP(PAA[[#This Row],[ITEM]],Contrato!A:A,Contrato!G:G,"",0)</f>
        <v>#NAME?</v>
      </c>
      <c r="AA770" s="436" t="e">
        <f ca="1">_xlfn.XLOOKUP(PAA[[#This Row],[ITEM]],Contrato!A:A,Contrato!T:T,"",0)</f>
        <v>#NAME?</v>
      </c>
      <c r="AB770" s="445" t="e">
        <f ca="1">+MAX(PAA[[#This Row],[Comprometido Contrato]],)</f>
        <v>#NAME?</v>
      </c>
      <c r="AC770" s="445" t="str">
        <f ca="1">IFERROR(I770-AB770,"")</f>
        <v/>
      </c>
      <c r="AD770" s="445" t="e">
        <f ca="1">+MAX(PAA[[#This Row],[Pago por Contrato]],)</f>
        <v>#NAME?</v>
      </c>
      <c r="AE770" s="445" t="str">
        <f ca="1">+IFERROR(AB770-AD770,"")</f>
        <v/>
      </c>
      <c r="AF770" s="436" t="e">
        <f ca="1">+CONCATENATE(AA770,N770)</f>
        <v>#NAME?</v>
      </c>
      <c r="AG770" s="436">
        <f>IFERROR(_xlfn.NUMBERVALUE(MID(G770,1,8)),"")</f>
        <v>52010805</v>
      </c>
      <c r="AH770" s="436" t="e" cm="1">
        <f t="array" aca="1" ref="AH770" ca="1">_xlfn.XLOOKUP(PAA[[#This Row],[RCP-RUBRO]],COMPROMISOS_2025[[#All],[concatenado]],COMPROMISOS_2025[[#All],[Total pagado]],"",0)</f>
        <v>#NAME?</v>
      </c>
      <c r="AI770" s="436" t="e" cm="1">
        <f t="array" aca="1" ref="AI770" ca="1">_xlfn.XLOOKUP(PAA[[#This Row],[RCP-RUBRO]],COMPROMISOS_2025[[#All],[concatenado]],COMPROMISOS_2025[[#All],[Total Comprometido]],"",0)</f>
        <v>#NAME?</v>
      </c>
    </row>
    <row r="771" spans="1:35" s="50" customFormat="1" ht="36" hidden="1" customHeight="1" x14ac:dyDescent="0.25">
      <c r="A771" s="451" t="s">
        <v>227</v>
      </c>
      <c r="B771" s="462" t="s">
        <v>835</v>
      </c>
      <c r="C771" s="451" t="str">
        <f>VLOOKUP(PAA[[#This Row],[PROYECTO (formulado)2]],PROYECTOS!$G$1:$L$32,6,0)</f>
        <v>SUBGERENCIA DE ALTOS LOGROS Y DEPORTE ASOCIADO</v>
      </c>
      <c r="D771" s="451" t="str">
        <f>+IF(PAA[[#This Row],[UNIDAD DE CONTRATACION (formulado)]]="Subgerencia Administrativa y Financiera","FUNCIONAMIENTO","INVERSIÓN")</f>
        <v>INVERSIÓN</v>
      </c>
      <c r="E771" s="452" t="str">
        <f>VLOOKUP(Q771,PROYECTOS!$G$1:$K$32,5,0)</f>
        <v>Asesoria médica y de ciencias aplicadas al desarrollo del rendimiento deportivo de atletas y para-atletas de Antioquia</v>
      </c>
      <c r="F771" s="452">
        <f>VLOOKUP(E771,PROYECTOS!$K$1:$M$32,3,0)</f>
        <v>2024003050103</v>
      </c>
      <c r="G771" s="453" t="s">
        <v>836</v>
      </c>
      <c r="H771" s="453" t="str">
        <f>VLOOKUP(Q771,PROYECTOS!$V$1:$W$32,2,0)</f>
        <v>050080</v>
      </c>
      <c r="I771" s="454">
        <v>151706545</v>
      </c>
      <c r="J771" s="455" t="s">
        <v>837</v>
      </c>
      <c r="K771" s="451" t="str">
        <f ca="1">IF(ISNONTEXT(Y771)=TRUE,"CONTRATADO","NO CONTRATADO")</f>
        <v>CONTRATADO</v>
      </c>
      <c r="L771" s="451" t="s">
        <v>136</v>
      </c>
      <c r="M771" s="451" t="s">
        <v>838</v>
      </c>
      <c r="N771" s="456" t="s">
        <v>839</v>
      </c>
      <c r="O771" s="455">
        <f>VLOOKUP(N771,RUBROS[#All],3,0)</f>
        <v>101</v>
      </c>
      <c r="P771" s="451" t="str">
        <f>VLOOKUP(N771,RUBROS[#All],2,0)</f>
        <v>Asesoría Médica Y   De Ciencias Aplicadas Al    Desarrollo Del Rendimiento Deportivo De   Atletas Y Para-Atletas De Antioquia -Otros   Bienes Transportables (Excepto Productos Metálicos, Maquinaria Y   Equipo)</v>
      </c>
      <c r="Q771" s="451" t="str">
        <f>+MID(N771,11,2)</f>
        <v>03</v>
      </c>
      <c r="R771" s="451" t="str">
        <f>+MID(N771,14,8)</f>
        <v>0-205400</v>
      </c>
      <c r="S771" s="427" t="s">
        <v>41</v>
      </c>
      <c r="T771" s="460" t="s">
        <v>41</v>
      </c>
      <c r="U771" s="458" t="e">
        <f ca="1">_xlfn.XLOOKUP(PAA[[#This Row],[ITEM]],Contrato!A:A,Contrato!Q:Q,"",0)</f>
        <v>#NAME?</v>
      </c>
      <c r="V771" s="436" t="s">
        <v>47</v>
      </c>
      <c r="W771" s="451" t="s">
        <v>133</v>
      </c>
      <c r="X771" s="451" t="s">
        <v>825</v>
      </c>
      <c r="Y771" s="459" t="e">
        <f ca="1">_xlfn.XLOOKUP(PAA[[#This Row],[ITEM]],Contrato!A:A,Contrato!B:B,"",0)</f>
        <v>#NAME?</v>
      </c>
      <c r="Z771" s="451" t="e">
        <f ca="1">_xlfn.XLOOKUP(PAA[[#This Row],[ITEM]],Contrato!A:A,Contrato!G:G,"",0)</f>
        <v>#NAME?</v>
      </c>
      <c r="AA771" s="451" t="e">
        <f ca="1">_xlfn.XLOOKUP(PAA[[#This Row],[ITEM]],Contrato!A:A,Contrato!T:T,"",0)</f>
        <v>#NAME?</v>
      </c>
      <c r="AB771" s="459" t="e">
        <f ca="1">+MAX(PAA[[#This Row],[Comprometido Contrato]],)</f>
        <v>#NAME?</v>
      </c>
      <c r="AC771" s="459" t="str">
        <f ca="1">IFERROR(I771-AB771,"")</f>
        <v/>
      </c>
      <c r="AD771" s="459" t="e">
        <f ca="1">+MAX(PAA[[#This Row],[Pago por Contrato]],)</f>
        <v>#NAME?</v>
      </c>
      <c r="AE771" s="459" t="str">
        <f ca="1">+IFERROR(AB771-AD771,"")</f>
        <v/>
      </c>
      <c r="AF771" s="451" t="e">
        <f ca="1">+CONCATENATE(AA771,N771)</f>
        <v>#NAME?</v>
      </c>
      <c r="AG771" s="451">
        <f>IFERROR(_xlfn.NUMBERVALUE(MID(G771,1,8)),"")</f>
        <v>52010804</v>
      </c>
      <c r="AH771" s="451" t="e" cm="1">
        <f t="array" aca="1" ref="AH771" ca="1">_xlfn.XLOOKUP(PAA[[#This Row],[RCP-RUBRO]],COMPROMISOS_2025[[#All],[concatenado]],COMPROMISOS_2025[[#All],[Total pagado]],"",0)</f>
        <v>#NAME?</v>
      </c>
      <c r="AI771" s="451" t="e" cm="1">
        <f t="array" aca="1" ref="AI771" ca="1">_xlfn.XLOOKUP(PAA[[#This Row],[RCP-RUBRO]],COMPROMISOS_2025[[#All],[concatenado]],COMPROMISOS_2025[[#All],[Total Comprometido]],"",0)</f>
        <v>#NAME?</v>
      </c>
    </row>
  </sheetData>
  <protectedRanges>
    <protectedRange sqref="J436" name="Rango2_1_16_1_2_1_1"/>
    <protectedRange sqref="J437" name="Rango2_1_16_1_2_1_2"/>
    <protectedRange sqref="J450" name="Rango2_1_16_1_2_1"/>
    <protectedRange sqref="J526" name="Rango2_1_16_1_2_1_4"/>
    <protectedRange sqref="J527" name="Rango2_1_16_1_2_1_5"/>
    <protectedRange sqref="J528" name="Rango2_1_16_1_2_1_6"/>
    <protectedRange sqref="J529" name="Rango2_1_16_1_2_1_7"/>
    <protectedRange sqref="J530" name="Rango2_1_16_1_2_1_8"/>
  </protectedRanges>
  <mergeCells count="1">
    <mergeCell ref="A1:C4"/>
  </mergeCells>
  <phoneticPr fontId="7" type="noConversion"/>
  <dataValidations count="2">
    <dataValidation type="list" allowBlank="1" showInputMessage="1" showErrorMessage="1" sqref="C5 G495 G490:G493">
      <formula1>#REF!</formula1>
    </dataValidation>
    <dataValidation type="list" allowBlank="1" showInputMessage="1" showErrorMessage="1" sqref="G531:G613 G6:G149 G251:G525 G151:G157 G627:G628 G635:G641 G678:G679 G645:G663 G159:G238">
      <formula1>INDIRECT(E6)</formula1>
    </dataValidation>
  </dataValidations>
  <pageMargins left="0.7" right="0.7" top="0.75" bottom="0.75" header="0.3" footer="0.3"/>
  <pageSetup paperSize="5" scale="88" fitToWidth="0" orientation="landscape" r:id="rId1"/>
  <drawing r:id="rId2"/>
  <legacy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978"/>
  <sheetViews>
    <sheetView workbookViewId="0">
      <selection sqref="A1:F704"/>
    </sheetView>
  </sheetViews>
  <sheetFormatPr baseColWidth="10" defaultColWidth="11.42578125" defaultRowHeight="15" x14ac:dyDescent="0.25"/>
  <cols>
    <col min="1" max="1" width="80.85546875" bestFit="1" customWidth="1"/>
    <col min="2" max="2" width="11.28515625" bestFit="1" customWidth="1"/>
    <col min="3" max="3" width="15" bestFit="1" customWidth="1"/>
    <col min="4" max="5" width="15.5703125" bestFit="1" customWidth="1"/>
    <col min="6" max="6" width="80.85546875" bestFit="1" customWidth="1"/>
  </cols>
  <sheetData>
    <row r="1" spans="1:6" x14ac:dyDescent="0.25">
      <c r="A1" t="s">
        <v>4929</v>
      </c>
      <c r="B1" t="s">
        <v>4930</v>
      </c>
      <c r="C1" t="s">
        <v>4931</v>
      </c>
      <c r="D1" t="s">
        <v>4932</v>
      </c>
      <c r="E1" t="s">
        <v>4933</v>
      </c>
      <c r="F1" t="s">
        <v>4934</v>
      </c>
    </row>
    <row r="2" spans="1:6" x14ac:dyDescent="0.25">
      <c r="A2" t="s">
        <v>4935</v>
      </c>
      <c r="B2" t="s">
        <v>4936</v>
      </c>
      <c r="C2" s="135"/>
      <c r="D2" s="135">
        <v>44607.657824074071</v>
      </c>
      <c r="E2" s="135">
        <v>44950.436296296299</v>
      </c>
      <c r="F2" t="s">
        <v>4937</v>
      </c>
    </row>
    <row r="3" spans="1:6" x14ac:dyDescent="0.25">
      <c r="A3" t="s">
        <v>4938</v>
      </c>
      <c r="B3" t="s">
        <v>4936</v>
      </c>
      <c r="C3" s="135"/>
      <c r="D3" s="135">
        <v>44607.659456018519</v>
      </c>
      <c r="E3" s="135">
        <v>44950.436284722222</v>
      </c>
      <c r="F3" t="s">
        <v>4937</v>
      </c>
    </row>
    <row r="4" spans="1:6" x14ac:dyDescent="0.25">
      <c r="A4" t="s">
        <v>4939</v>
      </c>
      <c r="B4" t="s">
        <v>4936</v>
      </c>
      <c r="C4" s="135"/>
      <c r="D4" s="135">
        <v>44876.672303240739</v>
      </c>
      <c r="E4" s="135">
        <v>44950.436284722222</v>
      </c>
      <c r="F4" t="s">
        <v>4937</v>
      </c>
    </row>
    <row r="5" spans="1:6" x14ac:dyDescent="0.25">
      <c r="A5" t="s">
        <v>4940</v>
      </c>
      <c r="B5" t="s">
        <v>4936</v>
      </c>
      <c r="C5" s="135"/>
      <c r="D5" s="135">
        <v>44677.725902777776</v>
      </c>
      <c r="E5" s="135">
        <v>44950.436284722222</v>
      </c>
      <c r="F5" t="s">
        <v>4937</v>
      </c>
    </row>
    <row r="6" spans="1:6" x14ac:dyDescent="0.25">
      <c r="A6" t="s">
        <v>4941</v>
      </c>
      <c r="B6" t="s">
        <v>4936</v>
      </c>
      <c r="C6" s="135"/>
      <c r="D6" s="135">
        <v>44852.764143518521</v>
      </c>
      <c r="E6" s="135">
        <v>44950.436284722222</v>
      </c>
      <c r="F6" t="s">
        <v>4937</v>
      </c>
    </row>
    <row r="7" spans="1:6" x14ac:dyDescent="0.25">
      <c r="A7" t="s">
        <v>4942</v>
      </c>
      <c r="B7" t="s">
        <v>4936</v>
      </c>
      <c r="C7" s="135"/>
      <c r="D7" s="135">
        <v>45723.316435185188</v>
      </c>
      <c r="E7" s="135">
        <v>45723.316435185188</v>
      </c>
      <c r="F7" t="s">
        <v>4943</v>
      </c>
    </row>
    <row r="8" spans="1:6" x14ac:dyDescent="0.25">
      <c r="A8" t="s">
        <v>4944</v>
      </c>
      <c r="B8" t="s">
        <v>4936</v>
      </c>
      <c r="C8" s="135"/>
      <c r="D8" s="135">
        <v>45723.316851851851</v>
      </c>
      <c r="E8" s="135">
        <v>45723.316851851851</v>
      </c>
      <c r="F8" t="s">
        <v>4943</v>
      </c>
    </row>
    <row r="9" spans="1:6" x14ac:dyDescent="0.25">
      <c r="A9" t="s">
        <v>4945</v>
      </c>
      <c r="B9" t="s">
        <v>4936</v>
      </c>
      <c r="C9" s="135"/>
      <c r="D9" s="135">
        <v>45727.000057870369</v>
      </c>
      <c r="E9" s="135">
        <v>45727.000057870369</v>
      </c>
      <c r="F9" t="s">
        <v>4943</v>
      </c>
    </row>
    <row r="10" spans="1:6" x14ac:dyDescent="0.25">
      <c r="A10" t="s">
        <v>4946</v>
      </c>
      <c r="B10" t="s">
        <v>4936</v>
      </c>
      <c r="C10" s="135"/>
      <c r="D10" s="135">
        <v>45727.500069444446</v>
      </c>
      <c r="E10" s="135">
        <v>45727.500069444446</v>
      </c>
      <c r="F10" t="s">
        <v>4943</v>
      </c>
    </row>
    <row r="11" spans="1:6" x14ac:dyDescent="0.25">
      <c r="A11" t="s">
        <v>4947</v>
      </c>
      <c r="B11" t="s">
        <v>4936</v>
      </c>
      <c r="C11" s="135"/>
      <c r="D11" s="135">
        <v>45728.000057870369</v>
      </c>
      <c r="E11" s="135">
        <v>45728.000057870369</v>
      </c>
      <c r="F11" t="s">
        <v>4943</v>
      </c>
    </row>
    <row r="12" spans="1:6" x14ac:dyDescent="0.25">
      <c r="A12" t="s">
        <v>4948</v>
      </c>
      <c r="B12" t="s">
        <v>4936</v>
      </c>
      <c r="C12" s="135"/>
      <c r="D12" s="135">
        <v>45728.5000462963</v>
      </c>
      <c r="E12" s="135">
        <v>45728.5000462963</v>
      </c>
      <c r="F12" t="s">
        <v>4943</v>
      </c>
    </row>
    <row r="13" spans="1:6" x14ac:dyDescent="0.25">
      <c r="A13" t="s">
        <v>4949</v>
      </c>
      <c r="B13" t="s">
        <v>4936</v>
      </c>
      <c r="C13" s="135"/>
      <c r="D13" s="135">
        <v>45729.000069444446</v>
      </c>
      <c r="E13" s="135">
        <v>45729.000069444446</v>
      </c>
      <c r="F13" t="s">
        <v>4943</v>
      </c>
    </row>
    <row r="14" spans="1:6" x14ac:dyDescent="0.25">
      <c r="A14" t="s">
        <v>4950</v>
      </c>
      <c r="B14" t="s">
        <v>4936</v>
      </c>
      <c r="C14" s="135"/>
      <c r="D14" s="135">
        <v>45729.500057870369</v>
      </c>
      <c r="E14" s="135">
        <v>45729.500057870369</v>
      </c>
      <c r="F14" t="s">
        <v>4943</v>
      </c>
    </row>
    <row r="15" spans="1:6" x14ac:dyDescent="0.25">
      <c r="A15" t="s">
        <v>4951</v>
      </c>
      <c r="B15" t="s">
        <v>4936</v>
      </c>
      <c r="C15" s="135"/>
      <c r="D15" s="135">
        <v>45730.000127314815</v>
      </c>
      <c r="E15" s="135">
        <v>45730.000127314815</v>
      </c>
      <c r="F15" t="s">
        <v>4943</v>
      </c>
    </row>
    <row r="16" spans="1:6" x14ac:dyDescent="0.25">
      <c r="A16" t="s">
        <v>4952</v>
      </c>
      <c r="B16" t="s">
        <v>4936</v>
      </c>
      <c r="C16" s="135"/>
      <c r="D16" s="135">
        <v>45730.500069444446</v>
      </c>
      <c r="E16" s="135">
        <v>45730.500069444446</v>
      </c>
      <c r="F16" t="s">
        <v>4943</v>
      </c>
    </row>
    <row r="17" spans="1:6" x14ac:dyDescent="0.25">
      <c r="A17" t="s">
        <v>4953</v>
      </c>
      <c r="B17" t="s">
        <v>4936</v>
      </c>
      <c r="C17" s="135"/>
      <c r="D17" s="135">
        <v>45731.000069444446</v>
      </c>
      <c r="E17" s="135">
        <v>45731.000069444446</v>
      </c>
      <c r="F17" t="s">
        <v>4943</v>
      </c>
    </row>
    <row r="18" spans="1:6" x14ac:dyDescent="0.25">
      <c r="A18" t="s">
        <v>4954</v>
      </c>
      <c r="B18" t="s">
        <v>4936</v>
      </c>
      <c r="C18" s="135"/>
      <c r="D18" s="135">
        <v>45731.500127314815</v>
      </c>
      <c r="E18" s="135">
        <v>45731.500127314815</v>
      </c>
      <c r="F18" t="s">
        <v>4943</v>
      </c>
    </row>
    <row r="19" spans="1:6" x14ac:dyDescent="0.25">
      <c r="A19" t="s">
        <v>4955</v>
      </c>
      <c r="B19" t="s">
        <v>4936</v>
      </c>
      <c r="C19" s="135"/>
      <c r="D19" s="135">
        <v>45723.344282407408</v>
      </c>
      <c r="E19" s="135">
        <v>45723.344282407408</v>
      </c>
      <c r="F19" t="s">
        <v>4943</v>
      </c>
    </row>
    <row r="20" spans="1:6" x14ac:dyDescent="0.25">
      <c r="A20" t="s">
        <v>4956</v>
      </c>
      <c r="B20" t="s">
        <v>4936</v>
      </c>
      <c r="C20" s="135"/>
      <c r="D20" s="135">
        <v>45732.000069444446</v>
      </c>
      <c r="E20" s="135">
        <v>45732.000069444446</v>
      </c>
      <c r="F20" t="s">
        <v>4943</v>
      </c>
    </row>
    <row r="21" spans="1:6" x14ac:dyDescent="0.25">
      <c r="A21" t="s">
        <v>4957</v>
      </c>
      <c r="B21" t="s">
        <v>4936</v>
      </c>
      <c r="C21" s="135"/>
      <c r="D21" s="135">
        <v>45732.500162037039</v>
      </c>
      <c r="E21" s="135">
        <v>45732.500162037039</v>
      </c>
      <c r="F21" t="s">
        <v>4943</v>
      </c>
    </row>
    <row r="22" spans="1:6" x14ac:dyDescent="0.25">
      <c r="A22" t="s">
        <v>4958</v>
      </c>
      <c r="B22" t="s">
        <v>4936</v>
      </c>
      <c r="C22" s="135"/>
      <c r="D22" s="135">
        <v>45733.000034722223</v>
      </c>
      <c r="E22" s="135">
        <v>45733.000034722223</v>
      </c>
      <c r="F22" t="s">
        <v>4943</v>
      </c>
    </row>
    <row r="23" spans="1:6" x14ac:dyDescent="0.25">
      <c r="A23" t="s">
        <v>4959</v>
      </c>
      <c r="B23" t="s">
        <v>4936</v>
      </c>
      <c r="C23" s="135"/>
      <c r="D23" s="135">
        <v>45733.500034722223</v>
      </c>
      <c r="E23" s="135">
        <v>45733.500034722223</v>
      </c>
      <c r="F23" t="s">
        <v>4943</v>
      </c>
    </row>
    <row r="24" spans="1:6" x14ac:dyDescent="0.25">
      <c r="A24" t="s">
        <v>4960</v>
      </c>
      <c r="B24" t="s">
        <v>4936</v>
      </c>
      <c r="C24" s="135"/>
      <c r="D24" s="135">
        <v>45734.000069444446</v>
      </c>
      <c r="E24" s="135">
        <v>45734.000069444446</v>
      </c>
      <c r="F24" t="s">
        <v>4943</v>
      </c>
    </row>
    <row r="25" spans="1:6" x14ac:dyDescent="0.25">
      <c r="A25" t="s">
        <v>4961</v>
      </c>
      <c r="B25" t="s">
        <v>4936</v>
      </c>
      <c r="C25" s="135"/>
      <c r="D25" s="135">
        <v>45734.50199074074</v>
      </c>
      <c r="E25" s="135">
        <v>45734.50199074074</v>
      </c>
      <c r="F25" t="s">
        <v>4943</v>
      </c>
    </row>
    <row r="26" spans="1:6" x14ac:dyDescent="0.25">
      <c r="A26" t="s">
        <v>4962</v>
      </c>
      <c r="B26" t="s">
        <v>4936</v>
      </c>
      <c r="C26" s="135"/>
      <c r="D26" s="135">
        <v>45735.000081018516</v>
      </c>
      <c r="E26" s="135">
        <v>45735.000081018516</v>
      </c>
      <c r="F26" t="s">
        <v>4943</v>
      </c>
    </row>
    <row r="27" spans="1:6" x14ac:dyDescent="0.25">
      <c r="A27" t="s">
        <v>4963</v>
      </c>
      <c r="B27" t="s">
        <v>4936</v>
      </c>
      <c r="C27" s="135"/>
      <c r="D27" s="135">
        <v>45735.500057870369</v>
      </c>
      <c r="E27" s="135">
        <v>45735.500057870369</v>
      </c>
      <c r="F27" t="s">
        <v>4943</v>
      </c>
    </row>
    <row r="28" spans="1:6" x14ac:dyDescent="0.25">
      <c r="A28" t="s">
        <v>4964</v>
      </c>
      <c r="B28" t="s">
        <v>4936</v>
      </c>
      <c r="C28" s="135"/>
      <c r="D28" s="135">
        <v>45736.000138888892</v>
      </c>
      <c r="E28" s="135">
        <v>45736.000138888892</v>
      </c>
      <c r="F28" t="s">
        <v>4943</v>
      </c>
    </row>
    <row r="29" spans="1:6" x14ac:dyDescent="0.25">
      <c r="A29" t="s">
        <v>4965</v>
      </c>
      <c r="B29" t="s">
        <v>4936</v>
      </c>
      <c r="C29" s="135"/>
      <c r="D29" s="135">
        <v>45736.500138888892</v>
      </c>
      <c r="E29" s="135">
        <v>45736.500138888892</v>
      </c>
      <c r="F29" t="s">
        <v>4943</v>
      </c>
    </row>
    <row r="30" spans="1:6" x14ac:dyDescent="0.25">
      <c r="A30" t="s">
        <v>4966</v>
      </c>
      <c r="B30" t="s">
        <v>4936</v>
      </c>
      <c r="C30" s="135"/>
      <c r="D30" s="135">
        <v>45723.500081018516</v>
      </c>
      <c r="E30" s="135">
        <v>45723.500081018516</v>
      </c>
      <c r="F30" t="s">
        <v>4943</v>
      </c>
    </row>
    <row r="31" spans="1:6" x14ac:dyDescent="0.25">
      <c r="A31" t="s">
        <v>4967</v>
      </c>
      <c r="B31" t="s">
        <v>4936</v>
      </c>
      <c r="C31" s="135"/>
      <c r="D31" s="135">
        <v>45737.000081018516</v>
      </c>
      <c r="E31" s="135">
        <v>45737.000081018516</v>
      </c>
      <c r="F31" t="s">
        <v>4943</v>
      </c>
    </row>
    <row r="32" spans="1:6" x14ac:dyDescent="0.25">
      <c r="A32" t="s">
        <v>4968</v>
      </c>
      <c r="B32" t="s">
        <v>4936</v>
      </c>
      <c r="C32" s="135"/>
      <c r="D32" s="135">
        <v>45737.500081018516</v>
      </c>
      <c r="E32" s="135">
        <v>45737.500081018516</v>
      </c>
      <c r="F32" t="s">
        <v>4943</v>
      </c>
    </row>
    <row r="33" spans="1:6" x14ac:dyDescent="0.25">
      <c r="A33" t="s">
        <v>4969</v>
      </c>
      <c r="B33" t="s">
        <v>4936</v>
      </c>
      <c r="C33" s="135"/>
      <c r="D33" s="135">
        <v>45738.000115740739</v>
      </c>
      <c r="E33" s="135">
        <v>45738.000115740739</v>
      </c>
      <c r="F33" t="s">
        <v>4943</v>
      </c>
    </row>
    <row r="34" spans="1:6" x14ac:dyDescent="0.25">
      <c r="A34" t="s">
        <v>4970</v>
      </c>
      <c r="B34" t="s">
        <v>4936</v>
      </c>
      <c r="C34" s="135"/>
      <c r="D34" s="135">
        <v>45738.500057870369</v>
      </c>
      <c r="E34" s="135">
        <v>45738.500057870369</v>
      </c>
      <c r="F34" t="s">
        <v>4943</v>
      </c>
    </row>
    <row r="35" spans="1:6" x14ac:dyDescent="0.25">
      <c r="A35" t="s">
        <v>4971</v>
      </c>
      <c r="B35" t="s">
        <v>4936</v>
      </c>
      <c r="C35" s="135"/>
      <c r="D35" s="135">
        <v>45739.000138888892</v>
      </c>
      <c r="E35" s="135">
        <v>45739.000138888892</v>
      </c>
      <c r="F35" t="s">
        <v>4943</v>
      </c>
    </row>
    <row r="36" spans="1:6" x14ac:dyDescent="0.25">
      <c r="A36" t="s">
        <v>4972</v>
      </c>
      <c r="B36" t="s">
        <v>4936</v>
      </c>
      <c r="C36" s="135"/>
      <c r="D36" s="135">
        <v>45739.500138888892</v>
      </c>
      <c r="E36" s="135">
        <v>45739.500138888892</v>
      </c>
      <c r="F36" t="s">
        <v>4943</v>
      </c>
    </row>
    <row r="37" spans="1:6" x14ac:dyDescent="0.25">
      <c r="A37" t="s">
        <v>4973</v>
      </c>
      <c r="B37" t="s">
        <v>4936</v>
      </c>
      <c r="C37" s="135"/>
      <c r="D37" s="135">
        <v>45740.000057870369</v>
      </c>
      <c r="E37" s="135">
        <v>45740.000057870369</v>
      </c>
      <c r="F37" t="s">
        <v>4943</v>
      </c>
    </row>
    <row r="38" spans="1:6" x14ac:dyDescent="0.25">
      <c r="A38" t="s">
        <v>4974</v>
      </c>
      <c r="B38" t="s">
        <v>4936</v>
      </c>
      <c r="C38" s="135"/>
      <c r="D38" s="135">
        <v>45740.500069444446</v>
      </c>
      <c r="E38" s="135">
        <v>45740.500069444446</v>
      </c>
      <c r="F38" t="s">
        <v>4943</v>
      </c>
    </row>
    <row r="39" spans="1:6" x14ac:dyDescent="0.25">
      <c r="A39" t="s">
        <v>4975</v>
      </c>
      <c r="B39" t="s">
        <v>4936</v>
      </c>
      <c r="C39" s="135"/>
      <c r="D39" s="135">
        <v>45741.000104166669</v>
      </c>
      <c r="E39" s="135">
        <v>45741.000104166669</v>
      </c>
      <c r="F39" t="s">
        <v>4943</v>
      </c>
    </row>
    <row r="40" spans="1:6" x14ac:dyDescent="0.25">
      <c r="A40" t="s">
        <v>4976</v>
      </c>
      <c r="B40" t="s">
        <v>4936</v>
      </c>
      <c r="C40" s="135"/>
      <c r="D40" s="135">
        <v>45747.500104166669</v>
      </c>
      <c r="E40" s="135">
        <v>45747.500104166669</v>
      </c>
      <c r="F40" t="s">
        <v>4943</v>
      </c>
    </row>
    <row r="41" spans="1:6" x14ac:dyDescent="0.25">
      <c r="A41" t="s">
        <v>4977</v>
      </c>
      <c r="B41" t="s">
        <v>4936</v>
      </c>
      <c r="C41" s="135"/>
      <c r="D41" s="135">
        <v>45724.000069444446</v>
      </c>
      <c r="E41" s="135">
        <v>45724.000069444446</v>
      </c>
      <c r="F41" t="s">
        <v>4943</v>
      </c>
    </row>
    <row r="42" spans="1:6" x14ac:dyDescent="0.25">
      <c r="A42" t="s">
        <v>4978</v>
      </c>
      <c r="B42" t="s">
        <v>4936</v>
      </c>
      <c r="C42" s="135"/>
      <c r="D42" s="135">
        <v>45748.000081018516</v>
      </c>
      <c r="E42" s="135">
        <v>45748.000081018516</v>
      </c>
      <c r="F42" t="s">
        <v>4943</v>
      </c>
    </row>
    <row r="43" spans="1:6" x14ac:dyDescent="0.25">
      <c r="A43" t="s">
        <v>4979</v>
      </c>
      <c r="B43" t="s">
        <v>4936</v>
      </c>
      <c r="C43" s="135"/>
      <c r="D43" s="135">
        <v>45748.500057870369</v>
      </c>
      <c r="E43" s="135">
        <v>45748.500057870369</v>
      </c>
      <c r="F43" t="s">
        <v>4943</v>
      </c>
    </row>
    <row r="44" spans="1:6" x14ac:dyDescent="0.25">
      <c r="A44" t="s">
        <v>4980</v>
      </c>
      <c r="B44" t="s">
        <v>4936</v>
      </c>
      <c r="C44" s="135"/>
      <c r="D44" s="135">
        <v>45749.000104166669</v>
      </c>
      <c r="E44" s="135">
        <v>45749.000104166669</v>
      </c>
      <c r="F44" t="s">
        <v>4943</v>
      </c>
    </row>
    <row r="45" spans="1:6" x14ac:dyDescent="0.25">
      <c r="A45" t="s">
        <v>4981</v>
      </c>
      <c r="B45" t="s">
        <v>4936</v>
      </c>
      <c r="C45" s="135"/>
      <c r="D45" s="135">
        <v>45749.500057870369</v>
      </c>
      <c r="E45" s="135">
        <v>45749.500057870369</v>
      </c>
      <c r="F45" t="s">
        <v>4943</v>
      </c>
    </row>
    <row r="46" spans="1:6" x14ac:dyDescent="0.25">
      <c r="A46" t="s">
        <v>4982</v>
      </c>
      <c r="B46" t="s">
        <v>4936</v>
      </c>
      <c r="C46" s="135"/>
      <c r="D46" s="135">
        <v>45750.000138888892</v>
      </c>
      <c r="E46" s="135">
        <v>45750.000138888892</v>
      </c>
      <c r="F46" t="s">
        <v>4943</v>
      </c>
    </row>
    <row r="47" spans="1:6" x14ac:dyDescent="0.25">
      <c r="A47" t="s">
        <v>4983</v>
      </c>
      <c r="B47" t="s">
        <v>4936</v>
      </c>
      <c r="C47" s="135"/>
      <c r="D47" s="135">
        <v>45750.500069444446</v>
      </c>
      <c r="E47" s="135">
        <v>45750.500069444446</v>
      </c>
      <c r="F47" t="s">
        <v>4943</v>
      </c>
    </row>
    <row r="48" spans="1:6" x14ac:dyDescent="0.25">
      <c r="A48" t="s">
        <v>4984</v>
      </c>
      <c r="B48" t="s">
        <v>4936</v>
      </c>
      <c r="C48" s="135"/>
      <c r="D48" s="135">
        <v>45751.000138888892</v>
      </c>
      <c r="E48" s="135">
        <v>45751.000138888892</v>
      </c>
      <c r="F48" t="s">
        <v>4943</v>
      </c>
    </row>
    <row r="49" spans="1:6" x14ac:dyDescent="0.25">
      <c r="A49" t="s">
        <v>4985</v>
      </c>
      <c r="B49" t="s">
        <v>4936</v>
      </c>
      <c r="C49" s="135"/>
      <c r="D49" s="135">
        <v>45751.500081018516</v>
      </c>
      <c r="E49" s="135">
        <v>45751.500081018516</v>
      </c>
      <c r="F49" t="s">
        <v>4943</v>
      </c>
    </row>
    <row r="50" spans="1:6" x14ac:dyDescent="0.25">
      <c r="A50" t="s">
        <v>4986</v>
      </c>
      <c r="B50" t="s">
        <v>4936</v>
      </c>
      <c r="C50" s="135"/>
      <c r="D50" s="135">
        <v>45752.000115740739</v>
      </c>
      <c r="E50" s="135">
        <v>45752.000115740739</v>
      </c>
      <c r="F50" t="s">
        <v>4943</v>
      </c>
    </row>
    <row r="51" spans="1:6" x14ac:dyDescent="0.25">
      <c r="A51" t="s">
        <v>4987</v>
      </c>
      <c r="B51" t="s">
        <v>4936</v>
      </c>
      <c r="C51" s="135"/>
      <c r="D51" s="135">
        <v>45752.500092592592</v>
      </c>
      <c r="E51" s="135">
        <v>45752.500092592592</v>
      </c>
      <c r="F51" t="s">
        <v>4943</v>
      </c>
    </row>
    <row r="52" spans="1:6" x14ac:dyDescent="0.25">
      <c r="A52" t="s">
        <v>4988</v>
      </c>
      <c r="B52" t="s">
        <v>4936</v>
      </c>
      <c r="C52" s="135"/>
      <c r="D52" s="135">
        <v>45724.500069444446</v>
      </c>
      <c r="E52" s="135">
        <v>45724.500069444446</v>
      </c>
      <c r="F52" t="s">
        <v>4943</v>
      </c>
    </row>
    <row r="53" spans="1:6" x14ac:dyDescent="0.25">
      <c r="A53" t="s">
        <v>4989</v>
      </c>
      <c r="B53" t="s">
        <v>4936</v>
      </c>
      <c r="C53" s="135"/>
      <c r="D53" s="135">
        <v>45753.000115740739</v>
      </c>
      <c r="E53" s="135">
        <v>45753.000115740739</v>
      </c>
      <c r="F53" t="s">
        <v>4943</v>
      </c>
    </row>
    <row r="54" spans="1:6" x14ac:dyDescent="0.25">
      <c r="A54" t="s">
        <v>4990</v>
      </c>
      <c r="B54" t="s">
        <v>4936</v>
      </c>
      <c r="C54" s="135"/>
      <c r="D54" s="135">
        <v>45753.500057870369</v>
      </c>
      <c r="E54" s="135">
        <v>45753.500057870369</v>
      </c>
      <c r="F54" t="s">
        <v>4943</v>
      </c>
    </row>
    <row r="55" spans="1:6" x14ac:dyDescent="0.25">
      <c r="A55" t="s">
        <v>4991</v>
      </c>
      <c r="B55" t="s">
        <v>4936</v>
      </c>
      <c r="C55" s="135"/>
      <c r="D55" s="135">
        <v>45754.000092592592</v>
      </c>
      <c r="E55" s="135">
        <v>45754.000092592592</v>
      </c>
      <c r="F55" t="s">
        <v>4943</v>
      </c>
    </row>
    <row r="56" spans="1:6" x14ac:dyDescent="0.25">
      <c r="A56" t="s">
        <v>4992</v>
      </c>
      <c r="B56" t="s">
        <v>4936</v>
      </c>
      <c r="C56" s="135"/>
      <c r="D56" s="135">
        <v>45754.500069444446</v>
      </c>
      <c r="E56" s="135">
        <v>45754.500069444446</v>
      </c>
      <c r="F56" t="s">
        <v>4943</v>
      </c>
    </row>
    <row r="57" spans="1:6" x14ac:dyDescent="0.25">
      <c r="A57" t="s">
        <v>4993</v>
      </c>
      <c r="B57" t="s">
        <v>4936</v>
      </c>
      <c r="C57" s="135"/>
      <c r="D57" s="135">
        <v>45755.000104166669</v>
      </c>
      <c r="E57" s="135">
        <v>45755.000104166669</v>
      </c>
      <c r="F57" t="s">
        <v>4943</v>
      </c>
    </row>
    <row r="58" spans="1:6" x14ac:dyDescent="0.25">
      <c r="A58" t="s">
        <v>4994</v>
      </c>
      <c r="B58" t="s">
        <v>4936</v>
      </c>
      <c r="C58" s="135"/>
      <c r="D58" s="135">
        <v>45755.500081018516</v>
      </c>
      <c r="E58" s="135">
        <v>45755.500081018516</v>
      </c>
      <c r="F58" t="s">
        <v>4943</v>
      </c>
    </row>
    <row r="59" spans="1:6" x14ac:dyDescent="0.25">
      <c r="A59" t="s">
        <v>4995</v>
      </c>
      <c r="B59" t="s">
        <v>4936</v>
      </c>
      <c r="C59" s="135"/>
      <c r="D59" s="135">
        <v>45756.000069444446</v>
      </c>
      <c r="E59" s="135">
        <v>45756.000069444446</v>
      </c>
      <c r="F59" t="s">
        <v>4943</v>
      </c>
    </row>
    <row r="60" spans="1:6" x14ac:dyDescent="0.25">
      <c r="A60" t="s">
        <v>4996</v>
      </c>
      <c r="B60" t="s">
        <v>4936</v>
      </c>
      <c r="C60" s="135"/>
      <c r="D60" s="135">
        <v>45756.500960648147</v>
      </c>
      <c r="E60" s="135">
        <v>45756.500960648147</v>
      </c>
      <c r="F60" t="s">
        <v>4943</v>
      </c>
    </row>
    <row r="61" spans="1:6" x14ac:dyDescent="0.25">
      <c r="A61" t="s">
        <v>4997</v>
      </c>
      <c r="B61" t="s">
        <v>4936</v>
      </c>
      <c r="C61" s="135"/>
      <c r="D61" s="135">
        <v>45757.000092592592</v>
      </c>
      <c r="E61" s="135">
        <v>45757.000092592592</v>
      </c>
      <c r="F61" t="s">
        <v>4943</v>
      </c>
    </row>
    <row r="62" spans="1:6" x14ac:dyDescent="0.25">
      <c r="A62" t="s">
        <v>4998</v>
      </c>
      <c r="B62" t="s">
        <v>4936</v>
      </c>
      <c r="C62" s="135"/>
      <c r="D62" s="135">
        <v>45757.500162037039</v>
      </c>
      <c r="E62" s="135">
        <v>45757.500162037039</v>
      </c>
      <c r="F62" t="s">
        <v>4943</v>
      </c>
    </row>
    <row r="63" spans="1:6" x14ac:dyDescent="0.25">
      <c r="A63" t="s">
        <v>4999</v>
      </c>
      <c r="B63" t="s">
        <v>4936</v>
      </c>
      <c r="C63" s="135"/>
      <c r="D63" s="135">
        <v>45725.000127314815</v>
      </c>
      <c r="E63" s="135">
        <v>45725.000127314815</v>
      </c>
      <c r="F63" t="s">
        <v>4943</v>
      </c>
    </row>
    <row r="64" spans="1:6" x14ac:dyDescent="0.25">
      <c r="A64" t="s">
        <v>5000</v>
      </c>
      <c r="B64" t="s">
        <v>4936</v>
      </c>
      <c r="C64" s="135"/>
      <c r="D64" s="135">
        <v>45758.000115740739</v>
      </c>
      <c r="E64" s="135">
        <v>45758.000115740739</v>
      </c>
      <c r="F64" t="s">
        <v>4943</v>
      </c>
    </row>
    <row r="65" spans="1:6" x14ac:dyDescent="0.25">
      <c r="A65" t="s">
        <v>5001</v>
      </c>
      <c r="B65" t="s">
        <v>4936</v>
      </c>
      <c r="C65" s="135"/>
      <c r="D65" s="135">
        <v>45758.500069444446</v>
      </c>
      <c r="E65" s="135">
        <v>45758.500069444446</v>
      </c>
      <c r="F65" t="s">
        <v>4943</v>
      </c>
    </row>
    <row r="66" spans="1:6" x14ac:dyDescent="0.25">
      <c r="A66" t="s">
        <v>5002</v>
      </c>
      <c r="B66" t="s">
        <v>4936</v>
      </c>
      <c r="C66" s="135"/>
      <c r="D66" s="135">
        <v>45725.500057870369</v>
      </c>
      <c r="E66" s="135">
        <v>45725.500057870369</v>
      </c>
      <c r="F66" t="s">
        <v>4943</v>
      </c>
    </row>
    <row r="67" spans="1:6" x14ac:dyDescent="0.25">
      <c r="A67" t="s">
        <v>5003</v>
      </c>
      <c r="B67" t="s">
        <v>4936</v>
      </c>
      <c r="C67" s="135"/>
      <c r="D67" s="135">
        <v>45726.56658564815</v>
      </c>
      <c r="E67" s="135">
        <v>45726.000150462962</v>
      </c>
      <c r="F67" t="s">
        <v>4943</v>
      </c>
    </row>
    <row r="68" spans="1:6" x14ac:dyDescent="0.25">
      <c r="A68" t="s">
        <v>5004</v>
      </c>
      <c r="B68" t="s">
        <v>4936</v>
      </c>
      <c r="C68" s="135"/>
      <c r="D68" s="135">
        <v>45726.500127314815</v>
      </c>
      <c r="E68" s="135">
        <v>45726.500127314815</v>
      </c>
      <c r="F68" t="s">
        <v>4943</v>
      </c>
    </row>
    <row r="69" spans="1:6" x14ac:dyDescent="0.25">
      <c r="A69" t="s">
        <v>5005</v>
      </c>
      <c r="B69" t="s">
        <v>4936</v>
      </c>
      <c r="C69" s="135"/>
      <c r="D69" s="135">
        <v>45289.267210648148</v>
      </c>
      <c r="E69" s="135">
        <v>45199.471585648149</v>
      </c>
      <c r="F69" t="s">
        <v>5006</v>
      </c>
    </row>
    <row r="70" spans="1:6" x14ac:dyDescent="0.25">
      <c r="A70" t="s">
        <v>5007</v>
      </c>
      <c r="B70" t="s">
        <v>4936</v>
      </c>
      <c r="C70" s="135"/>
      <c r="D70" s="135">
        <v>45742.481122685182</v>
      </c>
      <c r="E70" s="135">
        <v>44894.442708333336</v>
      </c>
      <c r="F70" t="s">
        <v>5008</v>
      </c>
    </row>
    <row r="71" spans="1:6" x14ac:dyDescent="0.25">
      <c r="A71" t="s">
        <v>5009</v>
      </c>
      <c r="B71" t="s">
        <v>4936</v>
      </c>
      <c r="C71" s="135"/>
      <c r="D71" s="135">
        <v>44894.477627314816</v>
      </c>
      <c r="E71" s="135">
        <v>44894.477719907409</v>
      </c>
      <c r="F71" t="s">
        <v>5008</v>
      </c>
    </row>
    <row r="72" spans="1:6" x14ac:dyDescent="0.25">
      <c r="A72" t="s">
        <v>5010</v>
      </c>
      <c r="B72" t="s">
        <v>4936</v>
      </c>
      <c r="C72" s="135"/>
      <c r="D72" s="135">
        <v>44896.448877314811</v>
      </c>
      <c r="E72" s="135">
        <v>44894.476446759261</v>
      </c>
      <c r="F72" t="s">
        <v>5008</v>
      </c>
    </row>
    <row r="73" spans="1:6" x14ac:dyDescent="0.25">
      <c r="A73" t="s">
        <v>5011</v>
      </c>
      <c r="B73" t="s">
        <v>4936</v>
      </c>
      <c r="C73" s="135"/>
      <c r="D73" s="135">
        <v>44894.494733796295</v>
      </c>
      <c r="E73" s="135">
        <v>44894.494849537034</v>
      </c>
      <c r="F73" t="s">
        <v>5008</v>
      </c>
    </row>
    <row r="74" spans="1:6" x14ac:dyDescent="0.25">
      <c r="A74" t="s">
        <v>5012</v>
      </c>
      <c r="B74" t="s">
        <v>4936</v>
      </c>
      <c r="C74" s="135"/>
      <c r="D74" s="135">
        <v>44894.488032407404</v>
      </c>
      <c r="E74" s="135">
        <v>44894.48814814815</v>
      </c>
      <c r="F74" t="s">
        <v>5008</v>
      </c>
    </row>
    <row r="75" spans="1:6" x14ac:dyDescent="0.25">
      <c r="A75" t="s">
        <v>5013</v>
      </c>
      <c r="B75" t="s">
        <v>4936</v>
      </c>
      <c r="C75" s="135"/>
      <c r="D75" s="135">
        <v>44894.492905092593</v>
      </c>
      <c r="E75" s="135">
        <v>44894.493009259262</v>
      </c>
      <c r="F75" t="s">
        <v>5008</v>
      </c>
    </row>
    <row r="76" spans="1:6" x14ac:dyDescent="0.25">
      <c r="A76" t="s">
        <v>5014</v>
      </c>
      <c r="B76" t="s">
        <v>4936</v>
      </c>
      <c r="C76" s="135"/>
      <c r="D76" s="135">
        <v>44894.490381944444</v>
      </c>
      <c r="E76" s="135">
        <v>44894.490486111114</v>
      </c>
      <c r="F76" t="s">
        <v>5008</v>
      </c>
    </row>
    <row r="77" spans="1:6" x14ac:dyDescent="0.25">
      <c r="A77" t="s">
        <v>5015</v>
      </c>
      <c r="B77" t="s">
        <v>4936</v>
      </c>
      <c r="C77" s="135"/>
      <c r="D77" s="135">
        <v>44894.447118055556</v>
      </c>
      <c r="E77" s="135">
        <v>44894.447233796294</v>
      </c>
      <c r="F77" t="s">
        <v>5008</v>
      </c>
    </row>
    <row r="78" spans="1:6" x14ac:dyDescent="0.25">
      <c r="A78" t="s">
        <v>5016</v>
      </c>
      <c r="B78" t="s">
        <v>4936</v>
      </c>
      <c r="C78" s="135"/>
      <c r="D78" s="135">
        <v>44894.497986111113</v>
      </c>
      <c r="E78" s="135">
        <v>44894.498090277775</v>
      </c>
      <c r="F78" t="s">
        <v>5008</v>
      </c>
    </row>
    <row r="79" spans="1:6" x14ac:dyDescent="0.25">
      <c r="A79" t="s">
        <v>5017</v>
      </c>
      <c r="B79" t="s">
        <v>4936</v>
      </c>
      <c r="C79" s="135"/>
      <c r="D79" s="135">
        <v>44894.496990740743</v>
      </c>
      <c r="E79" s="135">
        <v>44894.497094907405</v>
      </c>
      <c r="F79" t="s">
        <v>5008</v>
      </c>
    </row>
    <row r="80" spans="1:6" x14ac:dyDescent="0.25">
      <c r="A80" t="s">
        <v>5018</v>
      </c>
      <c r="B80" t="s">
        <v>4936</v>
      </c>
      <c r="C80" s="135"/>
      <c r="D80" s="135">
        <v>44894.48642361111</v>
      </c>
      <c r="E80" s="135">
        <v>44894.486562500002</v>
      </c>
      <c r="F80" t="s">
        <v>5008</v>
      </c>
    </row>
    <row r="81" spans="1:6" x14ac:dyDescent="0.25">
      <c r="A81" t="s">
        <v>5019</v>
      </c>
      <c r="B81" t="s">
        <v>4936</v>
      </c>
      <c r="C81" s="135"/>
      <c r="D81" s="135">
        <v>45287.684189814812</v>
      </c>
      <c r="E81" s="135">
        <v>45199.489918981482</v>
      </c>
      <c r="F81" t="s">
        <v>5006</v>
      </c>
    </row>
    <row r="82" spans="1:6" x14ac:dyDescent="0.25">
      <c r="A82" t="s">
        <v>5020</v>
      </c>
      <c r="B82" t="s">
        <v>4936</v>
      </c>
      <c r="C82" s="135"/>
      <c r="D82" s="135">
        <v>45742.408113425925</v>
      </c>
      <c r="E82" s="135">
        <v>45111.687905092593</v>
      </c>
      <c r="F82" t="s">
        <v>5021</v>
      </c>
    </row>
    <row r="83" spans="1:6" x14ac:dyDescent="0.25">
      <c r="A83" t="s">
        <v>5022</v>
      </c>
      <c r="B83" t="s">
        <v>4936</v>
      </c>
      <c r="C83" s="135"/>
      <c r="D83" s="135">
        <v>45105.598634259259</v>
      </c>
      <c r="E83" s="135">
        <v>45105.490706018521</v>
      </c>
      <c r="F83" t="s">
        <v>5023</v>
      </c>
    </row>
    <row r="84" spans="1:6" x14ac:dyDescent="0.25">
      <c r="A84" t="s">
        <v>5024</v>
      </c>
      <c r="B84" t="s">
        <v>4936</v>
      </c>
      <c r="C84" s="135"/>
      <c r="D84" s="135">
        <v>44741.619560185187</v>
      </c>
      <c r="E84" s="135">
        <v>44852.433946759258</v>
      </c>
      <c r="F84" t="s">
        <v>5025</v>
      </c>
    </row>
    <row r="85" spans="1:6" x14ac:dyDescent="0.25">
      <c r="A85" t="s">
        <v>5026</v>
      </c>
      <c r="B85" t="s">
        <v>4936</v>
      </c>
      <c r="C85" s="135"/>
      <c r="D85" s="135">
        <v>44742.358182870368</v>
      </c>
      <c r="E85" s="135">
        <v>44852.433946759258</v>
      </c>
      <c r="F85" t="s">
        <v>5025</v>
      </c>
    </row>
    <row r="86" spans="1:6" x14ac:dyDescent="0.25">
      <c r="A86" t="s">
        <v>5027</v>
      </c>
      <c r="B86" t="s">
        <v>4936</v>
      </c>
      <c r="C86" s="135"/>
      <c r="D86" s="135">
        <v>45040.700567129628</v>
      </c>
      <c r="E86" s="135">
        <v>45015.642766203702</v>
      </c>
      <c r="F86" t="s">
        <v>5028</v>
      </c>
    </row>
    <row r="87" spans="1:6" x14ac:dyDescent="0.25">
      <c r="A87" t="s">
        <v>5029</v>
      </c>
      <c r="B87" t="s">
        <v>4936</v>
      </c>
      <c r="C87" s="135"/>
      <c r="D87" s="135">
        <v>45040.698692129627</v>
      </c>
      <c r="E87" s="135">
        <v>45015.642766203702</v>
      </c>
      <c r="F87" t="s">
        <v>5028</v>
      </c>
    </row>
    <row r="88" spans="1:6" x14ac:dyDescent="0.25">
      <c r="A88" t="s">
        <v>5030</v>
      </c>
      <c r="B88" t="s">
        <v>4936</v>
      </c>
      <c r="C88" s="135"/>
      <c r="D88" s="135">
        <v>45495.646249999998</v>
      </c>
      <c r="E88" s="135">
        <v>45015.644652777781</v>
      </c>
      <c r="F88" t="s">
        <v>5028</v>
      </c>
    </row>
    <row r="89" spans="1:6" x14ac:dyDescent="0.25">
      <c r="A89" t="s">
        <v>5031</v>
      </c>
      <c r="B89" t="s">
        <v>4936</v>
      </c>
      <c r="C89" s="135"/>
      <c r="D89" s="135">
        <v>45040.701724537037</v>
      </c>
      <c r="E89" s="135">
        <v>45015.644641203704</v>
      </c>
      <c r="F89" t="s">
        <v>5028</v>
      </c>
    </row>
    <row r="90" spans="1:6" x14ac:dyDescent="0.25">
      <c r="A90" t="s">
        <v>5032</v>
      </c>
      <c r="B90" t="s">
        <v>4936</v>
      </c>
      <c r="C90" s="135"/>
      <c r="D90" s="135">
        <v>44742.38449074074</v>
      </c>
      <c r="E90" s="135">
        <v>44852.433958333335</v>
      </c>
      <c r="F90" t="s">
        <v>5025</v>
      </c>
    </row>
    <row r="91" spans="1:6" x14ac:dyDescent="0.25">
      <c r="A91" t="s">
        <v>5033</v>
      </c>
      <c r="B91" t="s">
        <v>4936</v>
      </c>
      <c r="C91" s="135"/>
      <c r="D91" s="135">
        <v>45212.432013888887</v>
      </c>
      <c r="E91" s="135">
        <v>45082.277812499997</v>
      </c>
      <c r="F91" t="s">
        <v>5023</v>
      </c>
    </row>
    <row r="92" spans="1:6" x14ac:dyDescent="0.25">
      <c r="A92" t="s">
        <v>5034</v>
      </c>
      <c r="B92" t="s">
        <v>4936</v>
      </c>
      <c r="C92" s="135"/>
      <c r="D92" s="135">
        <v>44922.421724537038</v>
      </c>
      <c r="E92" s="135">
        <v>44973.4528125</v>
      </c>
      <c r="F92" t="s">
        <v>5035</v>
      </c>
    </row>
    <row r="93" spans="1:6" x14ac:dyDescent="0.25">
      <c r="A93" t="s">
        <v>5036</v>
      </c>
      <c r="B93" t="s">
        <v>4936</v>
      </c>
      <c r="C93" s="135"/>
      <c r="D93" s="135">
        <v>45190.413888888892</v>
      </c>
      <c r="E93" s="135">
        <v>45082.285787037035</v>
      </c>
      <c r="F93" t="s">
        <v>5023</v>
      </c>
    </row>
    <row r="94" spans="1:6" x14ac:dyDescent="0.25">
      <c r="A94" t="s">
        <v>5037</v>
      </c>
      <c r="B94" t="s">
        <v>4936</v>
      </c>
      <c r="C94" s="135"/>
      <c r="D94" s="135">
        <v>45082.27202546296</v>
      </c>
      <c r="E94" s="135">
        <v>45082.272175925929</v>
      </c>
      <c r="F94" t="s">
        <v>5023</v>
      </c>
    </row>
    <row r="95" spans="1:6" x14ac:dyDescent="0.25">
      <c r="A95" t="s">
        <v>5038</v>
      </c>
      <c r="B95" t="s">
        <v>4936</v>
      </c>
      <c r="C95" s="135"/>
      <c r="D95" s="135">
        <v>44742.383622685185</v>
      </c>
      <c r="E95" s="135">
        <v>44852.433946759258</v>
      </c>
      <c r="F95" t="s">
        <v>5025</v>
      </c>
    </row>
    <row r="96" spans="1:6" x14ac:dyDescent="0.25">
      <c r="A96" t="s">
        <v>5039</v>
      </c>
      <c r="B96" t="s">
        <v>4936</v>
      </c>
      <c r="C96" s="135"/>
      <c r="D96" s="135">
        <v>45212.432824074072</v>
      </c>
      <c r="E96" s="135">
        <v>45082.280694444446</v>
      </c>
      <c r="F96" t="s">
        <v>5023</v>
      </c>
    </row>
    <row r="97" spans="1:6" x14ac:dyDescent="0.25">
      <c r="A97" t="s">
        <v>5040</v>
      </c>
      <c r="B97" t="s">
        <v>4936</v>
      </c>
      <c r="C97" s="135"/>
      <c r="D97" s="135">
        <v>44922.419189814813</v>
      </c>
      <c r="E97" s="135">
        <v>44973.452210648145</v>
      </c>
      <c r="F97" t="s">
        <v>5035</v>
      </c>
    </row>
    <row r="98" spans="1:6" x14ac:dyDescent="0.25">
      <c r="A98" t="s">
        <v>5041</v>
      </c>
      <c r="B98" t="s">
        <v>4936</v>
      </c>
      <c r="C98" s="135"/>
      <c r="D98" s="135">
        <v>45190.404710648145</v>
      </c>
      <c r="E98" s="135">
        <v>45082.288136574076</v>
      </c>
      <c r="F98" t="s">
        <v>5023</v>
      </c>
    </row>
    <row r="99" spans="1:6" x14ac:dyDescent="0.25">
      <c r="A99" t="s">
        <v>5042</v>
      </c>
      <c r="B99" t="s">
        <v>4936</v>
      </c>
      <c r="C99" s="135"/>
      <c r="D99" s="135">
        <v>45082.275578703702</v>
      </c>
      <c r="E99" s="135">
        <v>45082.275717592594</v>
      </c>
      <c r="F99" t="s">
        <v>5023</v>
      </c>
    </row>
    <row r="100" spans="1:6" x14ac:dyDescent="0.25">
      <c r="A100" t="s">
        <v>5043</v>
      </c>
      <c r="B100" t="s">
        <v>4936</v>
      </c>
      <c r="C100" s="135"/>
      <c r="D100" s="135">
        <v>45602.486273148148</v>
      </c>
      <c r="E100" s="135">
        <v>45154.683958333335</v>
      </c>
      <c r="F100" t="s">
        <v>5044</v>
      </c>
    </row>
    <row r="101" spans="1:6" x14ac:dyDescent="0.25">
      <c r="A101" t="s">
        <v>5043</v>
      </c>
      <c r="B101" t="s">
        <v>4936</v>
      </c>
      <c r="C101" s="135"/>
      <c r="D101" s="135">
        <v>45153.733865740738</v>
      </c>
      <c r="E101" s="135">
        <v>45286.599942129629</v>
      </c>
      <c r="F101" t="s">
        <v>5045</v>
      </c>
    </row>
    <row r="102" spans="1:6" x14ac:dyDescent="0.25">
      <c r="A102" t="s">
        <v>5046</v>
      </c>
      <c r="B102" t="s">
        <v>4936</v>
      </c>
      <c r="C102" s="135"/>
      <c r="D102" s="135">
        <v>45754.456053240741</v>
      </c>
      <c r="E102" s="135">
        <v>45754.456284722219</v>
      </c>
      <c r="F102" t="s">
        <v>5047</v>
      </c>
    </row>
    <row r="103" spans="1:6" x14ac:dyDescent="0.25">
      <c r="A103" t="s">
        <v>5048</v>
      </c>
      <c r="B103" t="s">
        <v>4936</v>
      </c>
      <c r="C103" s="135"/>
      <c r="D103" s="135">
        <v>45153.733622685184</v>
      </c>
      <c r="E103" s="135">
        <v>45154.692141203705</v>
      </c>
      <c r="F103" t="s">
        <v>5049</v>
      </c>
    </row>
    <row r="104" spans="1:6" x14ac:dyDescent="0.25">
      <c r="A104" t="s">
        <v>5048</v>
      </c>
      <c r="B104" t="s">
        <v>4936</v>
      </c>
      <c r="C104" s="135"/>
      <c r="D104" s="135">
        <v>45153.733622685184</v>
      </c>
      <c r="E104" s="135">
        <v>45286.600069444445</v>
      </c>
      <c r="F104" t="s">
        <v>5050</v>
      </c>
    </row>
    <row r="105" spans="1:6" x14ac:dyDescent="0.25">
      <c r="A105" t="s">
        <v>5051</v>
      </c>
      <c r="B105" t="s">
        <v>4936</v>
      </c>
      <c r="C105" s="135"/>
      <c r="D105" s="135">
        <v>45153.734085648146</v>
      </c>
      <c r="E105" s="135">
        <v>45154.684016203704</v>
      </c>
      <c r="F105" t="s">
        <v>5052</v>
      </c>
    </row>
    <row r="106" spans="1:6" x14ac:dyDescent="0.25">
      <c r="A106" t="s">
        <v>5051</v>
      </c>
      <c r="B106" t="s">
        <v>4936</v>
      </c>
      <c r="C106" s="135"/>
      <c r="D106" s="135">
        <v>45153.734085648146</v>
      </c>
      <c r="E106" s="135">
        <v>45286.599942129629</v>
      </c>
      <c r="F106" t="s">
        <v>5053</v>
      </c>
    </row>
    <row r="107" spans="1:6" x14ac:dyDescent="0.25">
      <c r="A107" t="s">
        <v>5054</v>
      </c>
      <c r="B107" t="s">
        <v>4936</v>
      </c>
      <c r="C107" s="135"/>
      <c r="D107" s="135">
        <v>45153.733888888892</v>
      </c>
      <c r="E107" s="135">
        <v>45154.684074074074</v>
      </c>
      <c r="F107" t="s">
        <v>5055</v>
      </c>
    </row>
    <row r="108" spans="1:6" x14ac:dyDescent="0.25">
      <c r="A108" t="s">
        <v>5054</v>
      </c>
      <c r="B108" t="s">
        <v>4936</v>
      </c>
      <c r="C108" s="135"/>
      <c r="D108" s="135">
        <v>45153.733888888892</v>
      </c>
      <c r="E108" s="135">
        <v>45286.599942129629</v>
      </c>
      <c r="F108" t="s">
        <v>5056</v>
      </c>
    </row>
    <row r="109" spans="1:6" x14ac:dyDescent="0.25">
      <c r="A109" t="s">
        <v>5057</v>
      </c>
      <c r="B109" t="s">
        <v>4936</v>
      </c>
      <c r="C109" s="135"/>
      <c r="D109" s="135">
        <v>45582.660115740742</v>
      </c>
      <c r="E109" s="135">
        <v>45582.660196759258</v>
      </c>
      <c r="F109" t="s">
        <v>5058</v>
      </c>
    </row>
    <row r="110" spans="1:6" x14ac:dyDescent="0.25">
      <c r="A110" t="s">
        <v>5059</v>
      </c>
      <c r="B110" t="s">
        <v>4936</v>
      </c>
      <c r="C110" s="135"/>
      <c r="D110" s="135">
        <v>45586.433541666665</v>
      </c>
      <c r="E110" s="135">
        <v>45582.660266203704</v>
      </c>
      <c r="F110" t="s">
        <v>5058</v>
      </c>
    </row>
    <row r="111" spans="1:6" x14ac:dyDescent="0.25">
      <c r="A111" t="s">
        <v>5060</v>
      </c>
      <c r="B111" t="s">
        <v>4936</v>
      </c>
      <c r="C111" s="135"/>
      <c r="D111" s="135">
        <v>45153.734027777777</v>
      </c>
      <c r="E111" s="135">
        <v>45154.684120370373</v>
      </c>
      <c r="F111" t="s">
        <v>5061</v>
      </c>
    </row>
    <row r="112" spans="1:6" x14ac:dyDescent="0.25">
      <c r="A112" t="s">
        <v>5060</v>
      </c>
      <c r="B112" t="s">
        <v>4936</v>
      </c>
      <c r="C112" s="135"/>
      <c r="D112" s="135">
        <v>45153.734027777777</v>
      </c>
      <c r="E112" s="135">
        <v>45286.599953703706</v>
      </c>
      <c r="F112" t="s">
        <v>5062</v>
      </c>
    </row>
    <row r="113" spans="1:6" x14ac:dyDescent="0.25">
      <c r="A113" t="s">
        <v>5063</v>
      </c>
      <c r="B113" t="s">
        <v>4936</v>
      </c>
      <c r="C113" s="135"/>
      <c r="D113" s="135">
        <v>44785.560370370367</v>
      </c>
      <c r="E113" s="135">
        <v>44785.560370370367</v>
      </c>
      <c r="F113" t="s">
        <v>5064</v>
      </c>
    </row>
    <row r="114" spans="1:6" x14ac:dyDescent="0.25">
      <c r="A114" t="s">
        <v>5065</v>
      </c>
      <c r="B114" t="s">
        <v>4936</v>
      </c>
      <c r="C114" s="135"/>
      <c r="D114" s="135">
        <v>44785.560381944444</v>
      </c>
      <c r="E114" s="135">
        <v>44785.560381944444</v>
      </c>
      <c r="F114" t="s">
        <v>5064</v>
      </c>
    </row>
    <row r="115" spans="1:6" x14ac:dyDescent="0.25">
      <c r="A115" t="s">
        <v>5066</v>
      </c>
      <c r="B115" t="s">
        <v>4936</v>
      </c>
      <c r="C115" s="135"/>
      <c r="D115" s="135">
        <v>44785.560393518521</v>
      </c>
      <c r="E115" s="135">
        <v>44785.560393518521</v>
      </c>
      <c r="F115" t="s">
        <v>5064</v>
      </c>
    </row>
    <row r="116" spans="1:6" x14ac:dyDescent="0.25">
      <c r="A116" t="s">
        <v>5067</v>
      </c>
      <c r="B116" t="s">
        <v>4936</v>
      </c>
      <c r="C116" s="135"/>
      <c r="D116" s="135">
        <v>45153.733611111114</v>
      </c>
      <c r="E116" s="135">
        <v>45154.692847222221</v>
      </c>
      <c r="F116" t="s">
        <v>5068</v>
      </c>
    </row>
    <row r="117" spans="1:6" x14ac:dyDescent="0.25">
      <c r="A117" t="s">
        <v>5067</v>
      </c>
      <c r="B117" t="s">
        <v>4936</v>
      </c>
      <c r="C117" s="135"/>
      <c r="D117" s="135">
        <v>45153.733611111114</v>
      </c>
      <c r="E117" s="135">
        <v>45286.600173611114</v>
      </c>
      <c r="F117" t="s">
        <v>5069</v>
      </c>
    </row>
    <row r="118" spans="1:6" x14ac:dyDescent="0.25">
      <c r="A118" t="s">
        <v>5070</v>
      </c>
      <c r="B118" t="s">
        <v>4936</v>
      </c>
      <c r="C118" s="135"/>
      <c r="D118" s="135">
        <v>45153.733958333331</v>
      </c>
      <c r="E118" s="135">
        <v>45154.684189814812</v>
      </c>
      <c r="F118" t="s">
        <v>5071</v>
      </c>
    </row>
    <row r="119" spans="1:6" x14ac:dyDescent="0.25">
      <c r="A119" t="s">
        <v>5070</v>
      </c>
      <c r="B119" t="s">
        <v>4936</v>
      </c>
      <c r="C119" s="135"/>
      <c r="D119" s="135">
        <v>45153.733958333331</v>
      </c>
      <c r="E119" s="135">
        <v>45286.599953703706</v>
      </c>
      <c r="F119" t="s">
        <v>5072</v>
      </c>
    </row>
    <row r="120" spans="1:6" x14ac:dyDescent="0.25">
      <c r="A120" t="s">
        <v>5073</v>
      </c>
      <c r="B120" t="s">
        <v>4936</v>
      </c>
      <c r="C120" s="135"/>
      <c r="D120" s="135">
        <v>45153.734166666669</v>
      </c>
      <c r="E120" s="135">
        <v>45286.599953703706</v>
      </c>
      <c r="F120" t="s">
        <v>5074</v>
      </c>
    </row>
    <row r="121" spans="1:6" x14ac:dyDescent="0.25">
      <c r="A121" t="s">
        <v>5073</v>
      </c>
      <c r="B121" t="s">
        <v>4936</v>
      </c>
      <c r="C121" s="135"/>
      <c r="D121" s="135">
        <v>45153.734166666669</v>
      </c>
      <c r="E121" s="135">
        <v>45154.684247685182</v>
      </c>
      <c r="F121" t="s">
        <v>5075</v>
      </c>
    </row>
    <row r="122" spans="1:6" x14ac:dyDescent="0.25">
      <c r="A122" t="s">
        <v>5076</v>
      </c>
      <c r="B122" t="s">
        <v>4936</v>
      </c>
      <c r="C122" s="135"/>
      <c r="D122" s="135">
        <v>45153.733622685184</v>
      </c>
      <c r="E122" s="135">
        <v>45286.600312499999</v>
      </c>
      <c r="F122" t="s">
        <v>5077</v>
      </c>
    </row>
    <row r="123" spans="1:6" x14ac:dyDescent="0.25">
      <c r="A123" t="s">
        <v>5076</v>
      </c>
      <c r="B123" t="s">
        <v>4936</v>
      </c>
      <c r="C123" s="135"/>
      <c r="D123" s="135">
        <v>45153.733622685184</v>
      </c>
      <c r="E123" s="135">
        <v>45154.694456018522</v>
      </c>
      <c r="F123" t="s">
        <v>5078</v>
      </c>
    </row>
    <row r="124" spans="1:6" x14ac:dyDescent="0.25">
      <c r="A124" t="s">
        <v>5079</v>
      </c>
      <c r="B124" t="s">
        <v>4936</v>
      </c>
      <c r="C124" s="135"/>
      <c r="D124" s="135">
        <v>45153.73400462963</v>
      </c>
      <c r="E124" s="135">
        <v>45286.599953703706</v>
      </c>
      <c r="F124" t="s">
        <v>5080</v>
      </c>
    </row>
    <row r="125" spans="1:6" x14ac:dyDescent="0.25">
      <c r="A125" t="s">
        <v>5079</v>
      </c>
      <c r="B125" t="s">
        <v>4936</v>
      </c>
      <c r="C125" s="135"/>
      <c r="D125" s="135">
        <v>45153.73400462963</v>
      </c>
      <c r="E125" s="135">
        <v>45154.684317129628</v>
      </c>
      <c r="F125" t="s">
        <v>5081</v>
      </c>
    </row>
    <row r="126" spans="1:6" x14ac:dyDescent="0.25">
      <c r="A126" t="s">
        <v>5082</v>
      </c>
      <c r="B126" t="s">
        <v>4936</v>
      </c>
      <c r="C126" s="135"/>
      <c r="D126" s="135">
        <v>45153.733634259261</v>
      </c>
      <c r="E126" s="135">
        <v>45286.600324074076</v>
      </c>
      <c r="F126" t="s">
        <v>5083</v>
      </c>
    </row>
    <row r="127" spans="1:6" x14ac:dyDescent="0.25">
      <c r="A127" t="s">
        <v>5082</v>
      </c>
      <c r="B127" t="s">
        <v>4936</v>
      </c>
      <c r="C127" s="135"/>
      <c r="D127" s="135">
        <v>45153.733634259261</v>
      </c>
      <c r="E127" s="135">
        <v>45154.694456018522</v>
      </c>
      <c r="F127" t="s">
        <v>5084</v>
      </c>
    </row>
    <row r="128" spans="1:6" x14ac:dyDescent="0.25">
      <c r="A128" t="s">
        <v>5085</v>
      </c>
      <c r="B128" t="s">
        <v>4936</v>
      </c>
      <c r="C128" s="135"/>
      <c r="D128" s="135">
        <v>45040.698287037034</v>
      </c>
      <c r="E128" s="135">
        <v>45040.248136574075</v>
      </c>
      <c r="F128" t="s">
        <v>5028</v>
      </c>
    </row>
    <row r="129" spans="1:6" x14ac:dyDescent="0.25">
      <c r="A129" t="s">
        <v>5086</v>
      </c>
      <c r="B129" t="s">
        <v>4936</v>
      </c>
      <c r="C129" s="135"/>
      <c r="D129" s="135">
        <v>45153.73364583333</v>
      </c>
      <c r="E129" s="135">
        <v>45154.694456018522</v>
      </c>
      <c r="F129" t="s">
        <v>5087</v>
      </c>
    </row>
    <row r="130" spans="1:6" x14ac:dyDescent="0.25">
      <c r="A130" t="s">
        <v>5086</v>
      </c>
      <c r="B130" t="s">
        <v>4936</v>
      </c>
      <c r="C130" s="135"/>
      <c r="D130" s="135">
        <v>45153.73364583333</v>
      </c>
      <c r="E130" s="135">
        <v>45286.600324074076</v>
      </c>
      <c r="F130" t="s">
        <v>5088</v>
      </c>
    </row>
    <row r="131" spans="1:6" x14ac:dyDescent="0.25">
      <c r="A131" t="s">
        <v>5089</v>
      </c>
      <c r="B131" t="s">
        <v>4936</v>
      </c>
      <c r="C131" s="135"/>
      <c r="D131" s="135">
        <v>45153.733958333331</v>
      </c>
      <c r="E131" s="135">
        <v>45286.599953703706</v>
      </c>
      <c r="F131" t="s">
        <v>5090</v>
      </c>
    </row>
    <row r="132" spans="1:6" x14ac:dyDescent="0.25">
      <c r="A132" t="s">
        <v>5089</v>
      </c>
      <c r="B132" t="s">
        <v>4936</v>
      </c>
      <c r="C132" s="135"/>
      <c r="D132" s="135">
        <v>45153.733958333331</v>
      </c>
      <c r="E132" s="135">
        <v>45154.684386574074</v>
      </c>
      <c r="F132" t="s">
        <v>5091</v>
      </c>
    </row>
    <row r="133" spans="1:6" x14ac:dyDescent="0.25">
      <c r="A133" t="s">
        <v>5092</v>
      </c>
      <c r="B133" t="s">
        <v>4936</v>
      </c>
      <c r="C133" s="135"/>
      <c r="D133" s="135">
        <v>45153.7341087963</v>
      </c>
      <c r="E133" s="135">
        <v>45154.684444444443</v>
      </c>
      <c r="F133" t="s">
        <v>5093</v>
      </c>
    </row>
    <row r="134" spans="1:6" x14ac:dyDescent="0.25">
      <c r="A134" t="s">
        <v>5092</v>
      </c>
      <c r="B134" t="s">
        <v>4936</v>
      </c>
      <c r="C134" s="135"/>
      <c r="D134" s="135">
        <v>45153.7341087963</v>
      </c>
      <c r="E134" s="135">
        <v>45286.599953703706</v>
      </c>
      <c r="F134" t="s">
        <v>5094</v>
      </c>
    </row>
    <row r="135" spans="1:6" x14ac:dyDescent="0.25">
      <c r="A135" t="s">
        <v>5095</v>
      </c>
      <c r="B135" t="s">
        <v>4936</v>
      </c>
      <c r="C135" s="135"/>
      <c r="D135" s="135">
        <v>45153.733854166669</v>
      </c>
      <c r="E135" s="135">
        <v>45154.684502314813</v>
      </c>
      <c r="F135" t="s">
        <v>5096</v>
      </c>
    </row>
    <row r="136" spans="1:6" x14ac:dyDescent="0.25">
      <c r="A136" t="s">
        <v>5095</v>
      </c>
      <c r="B136" t="s">
        <v>4936</v>
      </c>
      <c r="C136" s="135"/>
      <c r="D136" s="135">
        <v>45153.733854166669</v>
      </c>
      <c r="E136" s="135">
        <v>45286.599953703706</v>
      </c>
      <c r="F136" t="s">
        <v>5097</v>
      </c>
    </row>
    <row r="137" spans="1:6" x14ac:dyDescent="0.25">
      <c r="A137" t="s">
        <v>5098</v>
      </c>
      <c r="B137" t="s">
        <v>4936</v>
      </c>
      <c r="C137" s="135"/>
      <c r="D137" s="135">
        <v>45153.733935185184</v>
      </c>
      <c r="E137" s="135">
        <v>45154.684560185182</v>
      </c>
      <c r="F137" t="s">
        <v>5099</v>
      </c>
    </row>
    <row r="138" spans="1:6" x14ac:dyDescent="0.25">
      <c r="A138" t="s">
        <v>5098</v>
      </c>
      <c r="B138" t="s">
        <v>4936</v>
      </c>
      <c r="C138" s="135"/>
      <c r="D138" s="135">
        <v>45153.733935185184</v>
      </c>
      <c r="E138" s="135">
        <v>45286.599953703706</v>
      </c>
      <c r="F138" t="s">
        <v>5100</v>
      </c>
    </row>
    <row r="139" spans="1:6" x14ac:dyDescent="0.25">
      <c r="A139" t="s">
        <v>5101</v>
      </c>
      <c r="B139" t="s">
        <v>5102</v>
      </c>
      <c r="C139" s="135"/>
      <c r="D139" s="135">
        <v>45734.633900462963</v>
      </c>
      <c r="E139" s="135">
        <v>45734.633425925924</v>
      </c>
      <c r="F139" t="s">
        <v>5103</v>
      </c>
    </row>
    <row r="140" spans="1:6" x14ac:dyDescent="0.25">
      <c r="A140" t="s">
        <v>5104</v>
      </c>
      <c r="B140" t="s">
        <v>5102</v>
      </c>
      <c r="C140" s="135"/>
      <c r="D140" s="135">
        <v>45734.634074074071</v>
      </c>
      <c r="E140" s="135">
        <v>45734.633483796293</v>
      </c>
      <c r="F140" t="s">
        <v>5103</v>
      </c>
    </row>
    <row r="141" spans="1:6" x14ac:dyDescent="0.25">
      <c r="A141" t="s">
        <v>5105</v>
      </c>
      <c r="B141" t="s">
        <v>5102</v>
      </c>
      <c r="C141" s="135"/>
      <c r="D141" s="135">
        <v>45702.417453703703</v>
      </c>
      <c r="E141" s="135">
        <v>45357.305763888886</v>
      </c>
      <c r="F141" t="s">
        <v>5106</v>
      </c>
    </row>
    <row r="142" spans="1:6" x14ac:dyDescent="0.25">
      <c r="A142" t="s">
        <v>5107</v>
      </c>
      <c r="B142" t="s">
        <v>5102</v>
      </c>
      <c r="C142" s="135"/>
      <c r="D142" s="135">
        <v>45754.420868055553</v>
      </c>
      <c r="E142" s="135">
        <v>45721.745983796296</v>
      </c>
      <c r="F142" t="s">
        <v>5106</v>
      </c>
    </row>
    <row r="143" spans="1:6" x14ac:dyDescent="0.25">
      <c r="A143" t="s">
        <v>5108</v>
      </c>
      <c r="B143" t="s">
        <v>4936</v>
      </c>
      <c r="C143" s="135"/>
      <c r="D143" s="135">
        <v>45735.315266203703</v>
      </c>
      <c r="E143" s="135">
        <v>45734.643194444441</v>
      </c>
      <c r="F143" t="s">
        <v>5109</v>
      </c>
    </row>
    <row r="144" spans="1:6" x14ac:dyDescent="0.25">
      <c r="A144" t="s">
        <v>5110</v>
      </c>
      <c r="B144" t="s">
        <v>4936</v>
      </c>
      <c r="C144" s="135"/>
      <c r="D144" s="135">
        <v>45279.482523148145</v>
      </c>
      <c r="E144" s="135">
        <v>45271.683113425926</v>
      </c>
      <c r="F144" t="s">
        <v>5111</v>
      </c>
    </row>
    <row r="145" spans="1:6" x14ac:dyDescent="0.25">
      <c r="A145" t="s">
        <v>5112</v>
      </c>
      <c r="B145" t="s">
        <v>4936</v>
      </c>
      <c r="C145" s="135"/>
      <c r="D145" s="135">
        <v>45335.624444444446</v>
      </c>
      <c r="E145" s="135">
        <v>45321.702905092592</v>
      </c>
      <c r="F145" t="s">
        <v>5113</v>
      </c>
    </row>
    <row r="146" spans="1:6" x14ac:dyDescent="0.25">
      <c r="A146" t="s">
        <v>5114</v>
      </c>
      <c r="B146" t="s">
        <v>4936</v>
      </c>
      <c r="C146" s="135"/>
      <c r="D146" s="135">
        <v>44882.635243055556</v>
      </c>
      <c r="E146" s="135">
        <v>44882.456655092596</v>
      </c>
      <c r="F146" t="s">
        <v>5115</v>
      </c>
    </row>
    <row r="147" spans="1:6" x14ac:dyDescent="0.25">
      <c r="A147" t="s">
        <v>5116</v>
      </c>
      <c r="B147" t="s">
        <v>4936</v>
      </c>
      <c r="C147" s="135"/>
      <c r="D147" s="135">
        <v>45280.591493055559</v>
      </c>
      <c r="E147" s="135">
        <v>45092.389131944445</v>
      </c>
      <c r="F147" t="s">
        <v>5117</v>
      </c>
    </row>
    <row r="148" spans="1:6" x14ac:dyDescent="0.25">
      <c r="A148" t="s">
        <v>5118</v>
      </c>
      <c r="B148" t="s">
        <v>4936</v>
      </c>
      <c r="C148" s="135"/>
      <c r="D148" s="135">
        <v>44882.602060185185</v>
      </c>
      <c r="E148" s="135">
        <v>44882.363310185188</v>
      </c>
      <c r="F148" t="s">
        <v>5115</v>
      </c>
    </row>
    <row r="149" spans="1:6" x14ac:dyDescent="0.25">
      <c r="A149" t="s">
        <v>5119</v>
      </c>
      <c r="B149" t="s">
        <v>4936</v>
      </c>
      <c r="C149" s="135"/>
      <c r="D149" s="135">
        <v>44875.391226851854</v>
      </c>
      <c r="E149" s="135">
        <v>44875.391388888886</v>
      </c>
      <c r="F149" t="s">
        <v>5115</v>
      </c>
    </row>
    <row r="150" spans="1:6" x14ac:dyDescent="0.25">
      <c r="A150" t="s">
        <v>5120</v>
      </c>
      <c r="B150" t="s">
        <v>4936</v>
      </c>
      <c r="C150" s="135"/>
      <c r="D150" s="135">
        <v>44785.558136574073</v>
      </c>
      <c r="E150" s="135">
        <v>44785.558136574073</v>
      </c>
      <c r="F150" t="s">
        <v>5121</v>
      </c>
    </row>
    <row r="151" spans="1:6" x14ac:dyDescent="0.25">
      <c r="A151" t="s">
        <v>5120</v>
      </c>
      <c r="B151" t="s">
        <v>4936</v>
      </c>
      <c r="C151" s="135"/>
      <c r="D151" s="135">
        <v>44731.882719907408</v>
      </c>
      <c r="E151" s="135">
        <v>44852.434212962966</v>
      </c>
      <c r="F151" t="s">
        <v>5122</v>
      </c>
    </row>
    <row r="152" spans="1:6" x14ac:dyDescent="0.25">
      <c r="A152" t="s">
        <v>5123</v>
      </c>
      <c r="B152" t="s">
        <v>4936</v>
      </c>
      <c r="C152" s="135"/>
      <c r="D152" s="135">
        <v>45153.734143518515</v>
      </c>
      <c r="E152" s="135">
        <v>45154.684618055559</v>
      </c>
      <c r="F152" t="s">
        <v>5124</v>
      </c>
    </row>
    <row r="153" spans="1:6" x14ac:dyDescent="0.25">
      <c r="A153" t="s">
        <v>5123</v>
      </c>
      <c r="B153" t="s">
        <v>4936</v>
      </c>
      <c r="C153" s="135"/>
      <c r="D153" s="135">
        <v>45153.734143518515</v>
      </c>
      <c r="E153" s="135">
        <v>45286.599953703706</v>
      </c>
      <c r="F153" t="s">
        <v>5125</v>
      </c>
    </row>
    <row r="154" spans="1:6" x14ac:dyDescent="0.25">
      <c r="A154" t="s">
        <v>5126</v>
      </c>
      <c r="B154" t="s">
        <v>4936</v>
      </c>
      <c r="C154" s="135"/>
      <c r="D154" s="135">
        <v>45153.733969907407</v>
      </c>
      <c r="E154" s="135">
        <v>45154.684675925928</v>
      </c>
      <c r="F154" t="s">
        <v>5127</v>
      </c>
    </row>
    <row r="155" spans="1:6" x14ac:dyDescent="0.25">
      <c r="A155" t="s">
        <v>5126</v>
      </c>
      <c r="B155" t="s">
        <v>4936</v>
      </c>
      <c r="C155" s="135"/>
      <c r="D155" s="135">
        <v>45153.733969907407</v>
      </c>
      <c r="E155" s="135">
        <v>45286.599953703706</v>
      </c>
      <c r="F155" t="s">
        <v>5128</v>
      </c>
    </row>
    <row r="156" spans="1:6" x14ac:dyDescent="0.25">
      <c r="A156" t="s">
        <v>5129</v>
      </c>
      <c r="B156" t="s">
        <v>4936</v>
      </c>
      <c r="C156" s="135"/>
      <c r="D156" s="135">
        <v>45153.734155092592</v>
      </c>
      <c r="E156" s="135">
        <v>45154.684710648151</v>
      </c>
      <c r="F156" t="s">
        <v>5130</v>
      </c>
    </row>
    <row r="157" spans="1:6" x14ac:dyDescent="0.25">
      <c r="A157" t="s">
        <v>5129</v>
      </c>
      <c r="B157" t="s">
        <v>4936</v>
      </c>
      <c r="C157" s="135"/>
      <c r="D157" s="135">
        <v>45153.734155092592</v>
      </c>
      <c r="E157" s="135">
        <v>45286.599965277775</v>
      </c>
      <c r="F157" t="s">
        <v>5131</v>
      </c>
    </row>
    <row r="158" spans="1:6" x14ac:dyDescent="0.25">
      <c r="A158" t="s">
        <v>5132</v>
      </c>
      <c r="B158" t="s">
        <v>4936</v>
      </c>
      <c r="C158" s="135"/>
      <c r="D158" s="135">
        <v>45153.734074074076</v>
      </c>
      <c r="E158" s="135">
        <v>45286.599965277775</v>
      </c>
      <c r="F158" t="s">
        <v>5133</v>
      </c>
    </row>
    <row r="159" spans="1:6" x14ac:dyDescent="0.25">
      <c r="A159" t="s">
        <v>5132</v>
      </c>
      <c r="B159" t="s">
        <v>4936</v>
      </c>
      <c r="C159" s="135"/>
      <c r="D159" s="135">
        <v>45153.734074074076</v>
      </c>
      <c r="E159" s="135">
        <v>45154.68476851852</v>
      </c>
      <c r="F159" t="s">
        <v>5134</v>
      </c>
    </row>
    <row r="160" spans="1:6" x14ac:dyDescent="0.25">
      <c r="A160" t="s">
        <v>5135</v>
      </c>
      <c r="B160" t="s">
        <v>4936</v>
      </c>
      <c r="C160" s="135"/>
      <c r="D160" s="135">
        <v>45153.733854166669</v>
      </c>
      <c r="E160" s="135">
        <v>45286.599965277775</v>
      </c>
      <c r="F160" t="s">
        <v>5136</v>
      </c>
    </row>
    <row r="161" spans="1:6" x14ac:dyDescent="0.25">
      <c r="A161" t="s">
        <v>5135</v>
      </c>
      <c r="B161" t="s">
        <v>4936</v>
      </c>
      <c r="C161" s="135"/>
      <c r="D161" s="135">
        <v>45153.733854166669</v>
      </c>
      <c r="E161" s="135">
        <v>45154.68482638889</v>
      </c>
      <c r="F161" t="s">
        <v>5137</v>
      </c>
    </row>
    <row r="162" spans="1:6" x14ac:dyDescent="0.25">
      <c r="A162" t="s">
        <v>5138</v>
      </c>
      <c r="B162" t="s">
        <v>4936</v>
      </c>
      <c r="C162" s="135"/>
      <c r="D162" s="135">
        <v>45620.710150462961</v>
      </c>
      <c r="E162" s="135">
        <v>45614.806296296294</v>
      </c>
      <c r="F162" t="s">
        <v>5139</v>
      </c>
    </row>
    <row r="163" spans="1:6" x14ac:dyDescent="0.25">
      <c r="A163" t="s">
        <v>5140</v>
      </c>
      <c r="B163" t="s">
        <v>5141</v>
      </c>
      <c r="C163" s="135"/>
      <c r="D163" s="135">
        <v>44785.558032407411</v>
      </c>
      <c r="E163" s="135">
        <v>44785.558032407411</v>
      </c>
      <c r="F163" t="s">
        <v>5142</v>
      </c>
    </row>
    <row r="164" spans="1:6" x14ac:dyDescent="0.25">
      <c r="A164" t="s">
        <v>5143</v>
      </c>
      <c r="B164" t="s">
        <v>5141</v>
      </c>
      <c r="C164" s="135"/>
      <c r="D164" s="135">
        <v>44785.558032407411</v>
      </c>
      <c r="E164" s="135">
        <v>44785.558032407411</v>
      </c>
      <c r="F164" t="s">
        <v>5142</v>
      </c>
    </row>
    <row r="165" spans="1:6" x14ac:dyDescent="0.25">
      <c r="A165" t="s">
        <v>5144</v>
      </c>
      <c r="B165" t="s">
        <v>4936</v>
      </c>
      <c r="C165" s="135"/>
      <c r="D165" s="135">
        <v>44782.616620370369</v>
      </c>
      <c r="E165" s="135">
        <v>44852.43414351852</v>
      </c>
      <c r="F165" t="s">
        <v>5145</v>
      </c>
    </row>
    <row r="166" spans="1:6" x14ac:dyDescent="0.25">
      <c r="A166" t="s">
        <v>5146</v>
      </c>
      <c r="B166" t="s">
        <v>4936</v>
      </c>
      <c r="C166" s="135"/>
      <c r="D166" s="135">
        <v>44785.558263888888</v>
      </c>
      <c r="E166" s="135">
        <v>44785.558263888888</v>
      </c>
      <c r="F166" t="s">
        <v>5147</v>
      </c>
    </row>
    <row r="167" spans="1:6" x14ac:dyDescent="0.25">
      <c r="A167" t="s">
        <v>5146</v>
      </c>
      <c r="B167" t="s">
        <v>4936</v>
      </c>
      <c r="C167" s="135"/>
      <c r="D167" s="135">
        <v>44775.578842592593</v>
      </c>
      <c r="E167" s="135">
        <v>44852.433981481481</v>
      </c>
      <c r="F167" t="s">
        <v>5148</v>
      </c>
    </row>
    <row r="168" spans="1:6" x14ac:dyDescent="0.25">
      <c r="A168" t="s">
        <v>5149</v>
      </c>
      <c r="B168" t="s">
        <v>4936</v>
      </c>
      <c r="C168" s="135"/>
      <c r="D168" s="135">
        <v>44785.558333333334</v>
      </c>
      <c r="E168" s="135">
        <v>44785.558333333334</v>
      </c>
      <c r="F168" t="s">
        <v>5150</v>
      </c>
    </row>
    <row r="169" spans="1:6" x14ac:dyDescent="0.25">
      <c r="A169" t="s">
        <v>5149</v>
      </c>
      <c r="B169" t="s">
        <v>4936</v>
      </c>
      <c r="C169" s="135"/>
      <c r="D169" s="135">
        <v>44782.616620370369</v>
      </c>
      <c r="E169" s="135">
        <v>44852.434016203704</v>
      </c>
      <c r="F169" t="s">
        <v>5151</v>
      </c>
    </row>
    <row r="170" spans="1:6" x14ac:dyDescent="0.25">
      <c r="A170" t="s">
        <v>5152</v>
      </c>
      <c r="B170" t="s">
        <v>4936</v>
      </c>
      <c r="C170" s="135"/>
      <c r="D170" s="135">
        <v>44974.655648148146</v>
      </c>
      <c r="E170" s="135">
        <v>44974.452210648145</v>
      </c>
      <c r="F170" t="s">
        <v>5153</v>
      </c>
    </row>
    <row r="171" spans="1:6" x14ac:dyDescent="0.25">
      <c r="A171" t="s">
        <v>5154</v>
      </c>
      <c r="B171" t="s">
        <v>4936</v>
      </c>
      <c r="C171" s="135"/>
      <c r="D171" s="135">
        <v>44923.625254629631</v>
      </c>
      <c r="E171" s="135">
        <v>44972.342893518522</v>
      </c>
      <c r="F171" t="s">
        <v>5035</v>
      </c>
    </row>
    <row r="172" spans="1:6" x14ac:dyDescent="0.25">
      <c r="A172" t="s">
        <v>5155</v>
      </c>
      <c r="B172" t="s">
        <v>4936</v>
      </c>
      <c r="C172" s="135"/>
      <c r="D172" s="135">
        <v>44923.591122685182</v>
      </c>
      <c r="E172" s="135">
        <v>44972.195729166669</v>
      </c>
      <c r="F172" t="s">
        <v>5035</v>
      </c>
    </row>
    <row r="173" spans="1:6" x14ac:dyDescent="0.25">
      <c r="A173" t="s">
        <v>5156</v>
      </c>
      <c r="B173" t="s">
        <v>4936</v>
      </c>
      <c r="C173" s="135"/>
      <c r="D173" s="135">
        <v>45616.622685185182</v>
      </c>
      <c r="E173" s="135">
        <v>45616.622719907406</v>
      </c>
      <c r="F173" t="s">
        <v>5139</v>
      </c>
    </row>
    <row r="174" spans="1:6" x14ac:dyDescent="0.25">
      <c r="A174" t="s">
        <v>5157</v>
      </c>
      <c r="B174" t="s">
        <v>4936</v>
      </c>
      <c r="C174" s="135"/>
      <c r="D174" s="135">
        <v>45454.496446759258</v>
      </c>
      <c r="E174" s="135">
        <v>45180.29173611111</v>
      </c>
      <c r="F174" t="s">
        <v>5158</v>
      </c>
    </row>
    <row r="175" spans="1:6" x14ac:dyDescent="0.25">
      <c r="A175" t="s">
        <v>5159</v>
      </c>
      <c r="B175" t="s">
        <v>4936</v>
      </c>
      <c r="C175" s="135"/>
      <c r="D175" s="135">
        <v>45742.40216435185</v>
      </c>
      <c r="E175" s="135">
        <v>45559.398159722223</v>
      </c>
      <c r="F175" t="s">
        <v>5158</v>
      </c>
    </row>
    <row r="176" spans="1:6" x14ac:dyDescent="0.25">
      <c r="A176" t="s">
        <v>5160</v>
      </c>
      <c r="B176" t="s">
        <v>4936</v>
      </c>
      <c r="C176" s="135"/>
      <c r="D176" s="135">
        <v>45180.294224537036</v>
      </c>
      <c r="E176" s="135">
        <v>45180.296087962961</v>
      </c>
      <c r="F176" t="s">
        <v>5158</v>
      </c>
    </row>
    <row r="177" spans="1:6" x14ac:dyDescent="0.25">
      <c r="A177" t="s">
        <v>5161</v>
      </c>
      <c r="B177" t="s">
        <v>5102</v>
      </c>
      <c r="C177" s="135"/>
      <c r="D177" s="135">
        <v>45702.416574074072</v>
      </c>
      <c r="E177" s="135">
        <v>45357.305763888886</v>
      </c>
      <c r="F177" t="s">
        <v>5106</v>
      </c>
    </row>
    <row r="178" spans="1:6" x14ac:dyDescent="0.25">
      <c r="A178" t="s">
        <v>5162</v>
      </c>
      <c r="B178" t="s">
        <v>5102</v>
      </c>
      <c r="C178" s="135"/>
      <c r="D178" s="135">
        <v>45754.420856481483</v>
      </c>
      <c r="E178" s="135">
        <v>45721.745995370373</v>
      </c>
      <c r="F178" t="s">
        <v>5106</v>
      </c>
    </row>
    <row r="179" spans="1:6" x14ac:dyDescent="0.25">
      <c r="A179" t="s">
        <v>5163</v>
      </c>
      <c r="B179" t="s">
        <v>4936</v>
      </c>
      <c r="C179" s="135"/>
      <c r="D179" s="135">
        <v>44785.558136574073</v>
      </c>
      <c r="E179" s="135">
        <v>44785.558136574073</v>
      </c>
      <c r="F179" t="s">
        <v>5121</v>
      </c>
    </row>
    <row r="180" spans="1:6" x14ac:dyDescent="0.25">
      <c r="A180" t="s">
        <v>5163</v>
      </c>
      <c r="B180" t="s">
        <v>4936</v>
      </c>
      <c r="C180" s="135"/>
      <c r="D180" s="135">
        <v>44733.404421296298</v>
      </c>
      <c r="E180" s="135">
        <v>44852.434201388889</v>
      </c>
      <c r="F180" t="s">
        <v>5122</v>
      </c>
    </row>
    <row r="181" spans="1:6" x14ac:dyDescent="0.25">
      <c r="A181" t="s">
        <v>5164</v>
      </c>
      <c r="B181" t="s">
        <v>4936</v>
      </c>
      <c r="C181" s="135"/>
      <c r="D181" s="135">
        <v>44785.558148148149</v>
      </c>
      <c r="E181" s="135">
        <v>44785.558148148149</v>
      </c>
      <c r="F181" t="s">
        <v>5121</v>
      </c>
    </row>
    <row r="182" spans="1:6" x14ac:dyDescent="0.25">
      <c r="A182" t="s">
        <v>5164</v>
      </c>
      <c r="B182" t="s">
        <v>4936</v>
      </c>
      <c r="C182" s="135"/>
      <c r="D182" s="135">
        <v>44733.600775462961</v>
      </c>
      <c r="E182" s="135">
        <v>44852.434189814812</v>
      </c>
      <c r="F182" t="s">
        <v>5122</v>
      </c>
    </row>
    <row r="183" spans="1:6" x14ac:dyDescent="0.25">
      <c r="A183" t="s">
        <v>5165</v>
      </c>
      <c r="B183" t="s">
        <v>4936</v>
      </c>
      <c r="C183" s="135"/>
      <c r="D183" s="135">
        <v>44785.558148148149</v>
      </c>
      <c r="E183" s="135">
        <v>44785.558148148149</v>
      </c>
      <c r="F183" t="s">
        <v>5121</v>
      </c>
    </row>
    <row r="184" spans="1:6" x14ac:dyDescent="0.25">
      <c r="A184" t="s">
        <v>5165</v>
      </c>
      <c r="B184" t="s">
        <v>4936</v>
      </c>
      <c r="C184" s="135"/>
      <c r="D184" s="135">
        <v>44732.68509259259</v>
      </c>
      <c r="E184" s="135">
        <v>44852.434189814812</v>
      </c>
      <c r="F184" t="s">
        <v>5122</v>
      </c>
    </row>
    <row r="185" spans="1:6" x14ac:dyDescent="0.25">
      <c r="A185" t="s">
        <v>5166</v>
      </c>
      <c r="B185" t="s">
        <v>4936</v>
      </c>
      <c r="C185" s="135"/>
      <c r="D185" s="135">
        <v>44785.558148148149</v>
      </c>
      <c r="E185" s="135">
        <v>44785.558148148149</v>
      </c>
      <c r="F185" t="s">
        <v>5121</v>
      </c>
    </row>
    <row r="186" spans="1:6" x14ac:dyDescent="0.25">
      <c r="A186" t="s">
        <v>5166</v>
      </c>
      <c r="B186" t="s">
        <v>4936</v>
      </c>
      <c r="C186" s="135"/>
      <c r="D186" s="135">
        <v>44732.572754629633</v>
      </c>
      <c r="E186" s="135">
        <v>44852.434189814812</v>
      </c>
      <c r="F186" t="s">
        <v>5122</v>
      </c>
    </row>
    <row r="187" spans="1:6" x14ac:dyDescent="0.25">
      <c r="A187" t="s">
        <v>5167</v>
      </c>
      <c r="B187" t="s">
        <v>4936</v>
      </c>
      <c r="C187" s="135"/>
      <c r="D187" s="135">
        <v>44785.558148148149</v>
      </c>
      <c r="E187" s="135">
        <v>44785.558148148149</v>
      </c>
      <c r="F187" t="s">
        <v>5121</v>
      </c>
    </row>
    <row r="188" spans="1:6" x14ac:dyDescent="0.25">
      <c r="A188" t="s">
        <v>5167</v>
      </c>
      <c r="B188" t="s">
        <v>4936</v>
      </c>
      <c r="C188" s="135"/>
      <c r="D188" s="135">
        <v>44735.440057870372</v>
      </c>
      <c r="E188" s="135">
        <v>44852.434178240743</v>
      </c>
      <c r="F188" t="s">
        <v>5122</v>
      </c>
    </row>
    <row r="189" spans="1:6" x14ac:dyDescent="0.25">
      <c r="A189" t="s">
        <v>5168</v>
      </c>
      <c r="B189" t="s">
        <v>4936</v>
      </c>
      <c r="C189" s="135"/>
      <c r="D189" s="135">
        <v>44785.558078703703</v>
      </c>
      <c r="E189" s="135">
        <v>44785.558078703703</v>
      </c>
      <c r="F189" t="s">
        <v>5169</v>
      </c>
    </row>
    <row r="190" spans="1:6" x14ac:dyDescent="0.25">
      <c r="A190" t="s">
        <v>5168</v>
      </c>
      <c r="B190" t="s">
        <v>4936</v>
      </c>
      <c r="C190" s="135"/>
      <c r="D190" s="135">
        <v>44785.558240740742</v>
      </c>
      <c r="E190" s="135">
        <v>44785.558240740742</v>
      </c>
      <c r="F190" t="s">
        <v>5170</v>
      </c>
    </row>
    <row r="191" spans="1:6" x14ac:dyDescent="0.25">
      <c r="A191" t="s">
        <v>5168</v>
      </c>
      <c r="B191" t="s">
        <v>4936</v>
      </c>
      <c r="C191" s="135"/>
      <c r="D191" s="135">
        <v>44785.558287037034</v>
      </c>
      <c r="E191" s="135">
        <v>44785.558287037034</v>
      </c>
      <c r="F191" t="s">
        <v>5147</v>
      </c>
    </row>
    <row r="192" spans="1:6" x14ac:dyDescent="0.25">
      <c r="A192" t="s">
        <v>5168</v>
      </c>
      <c r="B192" t="s">
        <v>4936</v>
      </c>
      <c r="C192" s="135"/>
      <c r="D192" s="135">
        <v>44785.558020833334</v>
      </c>
      <c r="E192" s="135">
        <v>44785.558020833334</v>
      </c>
      <c r="F192" t="s">
        <v>5171</v>
      </c>
    </row>
    <row r="193" spans="1:6" x14ac:dyDescent="0.25">
      <c r="A193" t="s">
        <v>5168</v>
      </c>
      <c r="B193" t="s">
        <v>4936</v>
      </c>
      <c r="C193" s="135"/>
      <c r="D193" s="135">
        <v>44785.55804398148</v>
      </c>
      <c r="E193" s="135">
        <v>44785.55804398148</v>
      </c>
      <c r="F193" t="s">
        <v>5142</v>
      </c>
    </row>
    <row r="194" spans="1:6" x14ac:dyDescent="0.25">
      <c r="A194" t="s">
        <v>5168</v>
      </c>
      <c r="B194" t="s">
        <v>4936</v>
      </c>
      <c r="C194" s="135"/>
      <c r="D194" s="135">
        <v>44785.558344907404</v>
      </c>
      <c r="E194" s="135">
        <v>44785.558344907404</v>
      </c>
      <c r="F194" t="s">
        <v>5150</v>
      </c>
    </row>
    <row r="195" spans="1:6" x14ac:dyDescent="0.25">
      <c r="A195" t="s">
        <v>5168</v>
      </c>
      <c r="B195" t="s">
        <v>4936</v>
      </c>
      <c r="C195" s="135"/>
      <c r="D195" s="135">
        <v>44785.558425925927</v>
      </c>
      <c r="E195" s="135">
        <v>44785.558425925927</v>
      </c>
      <c r="F195" t="s">
        <v>5172</v>
      </c>
    </row>
    <row r="196" spans="1:6" x14ac:dyDescent="0.25">
      <c r="A196" t="s">
        <v>5173</v>
      </c>
      <c r="B196" t="s">
        <v>4936</v>
      </c>
      <c r="C196" s="135"/>
      <c r="D196" s="135">
        <v>45618.393611111111</v>
      </c>
      <c r="E196" s="135">
        <v>45611.878148148149</v>
      </c>
      <c r="F196" t="s">
        <v>5139</v>
      </c>
    </row>
    <row r="197" spans="1:6" x14ac:dyDescent="0.25">
      <c r="A197" t="s">
        <v>5174</v>
      </c>
      <c r="B197" t="s">
        <v>4936</v>
      </c>
      <c r="C197" s="135"/>
      <c r="D197" s="135">
        <v>45317.438761574071</v>
      </c>
      <c r="E197" s="135">
        <v>45208.706574074073</v>
      </c>
      <c r="F197" t="s">
        <v>5175</v>
      </c>
    </row>
    <row r="198" spans="1:6" x14ac:dyDescent="0.25">
      <c r="A198" t="s">
        <v>5176</v>
      </c>
      <c r="B198" t="s">
        <v>4936</v>
      </c>
      <c r="C198" s="135"/>
      <c r="D198" s="135">
        <v>45671.346493055556</v>
      </c>
      <c r="E198" s="135">
        <v>45321.733749999999</v>
      </c>
      <c r="F198" t="s">
        <v>5177</v>
      </c>
    </row>
    <row r="199" spans="1:6" x14ac:dyDescent="0.25">
      <c r="A199" t="s">
        <v>5178</v>
      </c>
      <c r="B199" t="s">
        <v>4936</v>
      </c>
      <c r="C199" s="135"/>
      <c r="D199" s="135">
        <v>45757.467858796299</v>
      </c>
      <c r="E199" s="135">
        <v>45698.645682870374</v>
      </c>
      <c r="F199" t="s">
        <v>5179</v>
      </c>
    </row>
    <row r="200" spans="1:6" x14ac:dyDescent="0.25">
      <c r="A200" t="s">
        <v>5180</v>
      </c>
      <c r="B200" t="s">
        <v>4936</v>
      </c>
      <c r="C200" s="135"/>
      <c r="D200" s="135">
        <v>44972.689606481479</v>
      </c>
      <c r="E200" s="135">
        <v>44972.195381944446</v>
      </c>
      <c r="F200" t="s">
        <v>5035</v>
      </c>
    </row>
    <row r="201" spans="1:6" x14ac:dyDescent="0.25">
      <c r="A201" t="s">
        <v>5181</v>
      </c>
      <c r="B201" t="s">
        <v>4936</v>
      </c>
      <c r="C201" s="135"/>
      <c r="D201" s="135">
        <v>44785.558437500003</v>
      </c>
      <c r="E201" s="135">
        <v>44785.558437500003</v>
      </c>
      <c r="F201" t="s">
        <v>5182</v>
      </c>
    </row>
    <row r="202" spans="1:6" x14ac:dyDescent="0.25">
      <c r="A202" t="s">
        <v>5181</v>
      </c>
      <c r="B202" t="s">
        <v>4936</v>
      </c>
      <c r="C202" s="135"/>
      <c r="D202" s="135">
        <v>44742.608483796299</v>
      </c>
      <c r="E202" s="135">
        <v>44852.433946759258</v>
      </c>
      <c r="F202" t="s">
        <v>5025</v>
      </c>
    </row>
    <row r="203" spans="1:6" x14ac:dyDescent="0.25">
      <c r="A203" t="s">
        <v>5183</v>
      </c>
      <c r="B203" t="s">
        <v>4936</v>
      </c>
      <c r="C203" s="135"/>
      <c r="D203" s="135">
        <v>44973.616006944445</v>
      </c>
      <c r="E203" s="135">
        <v>44973.61614583333</v>
      </c>
      <c r="F203" t="s">
        <v>5153</v>
      </c>
    </row>
    <row r="204" spans="1:6" x14ac:dyDescent="0.25">
      <c r="A204" t="s">
        <v>5184</v>
      </c>
      <c r="B204" t="s">
        <v>4936</v>
      </c>
      <c r="C204" s="135"/>
      <c r="D204" s="135">
        <v>44975.599305555559</v>
      </c>
      <c r="E204" s="135">
        <v>44973.617523148147</v>
      </c>
      <c r="F204" t="s">
        <v>5153</v>
      </c>
    </row>
    <row r="205" spans="1:6" x14ac:dyDescent="0.25">
      <c r="A205" t="s">
        <v>5185</v>
      </c>
      <c r="B205" t="s">
        <v>4936</v>
      </c>
      <c r="C205" s="135"/>
      <c r="D205" s="135">
        <v>45520.501608796294</v>
      </c>
      <c r="E205" s="135">
        <v>45520.501655092594</v>
      </c>
      <c r="F205" t="s">
        <v>5186</v>
      </c>
    </row>
    <row r="206" spans="1:6" x14ac:dyDescent="0.25">
      <c r="A206" t="s">
        <v>5187</v>
      </c>
      <c r="B206" t="s">
        <v>4936</v>
      </c>
      <c r="C206" s="135"/>
      <c r="D206" s="135">
        <v>45104.479641203703</v>
      </c>
      <c r="E206" s="135">
        <v>45104.331458333334</v>
      </c>
      <c r="F206" t="s">
        <v>5188</v>
      </c>
    </row>
    <row r="207" spans="1:6" x14ac:dyDescent="0.25">
      <c r="A207" t="s">
        <v>5189</v>
      </c>
      <c r="B207" t="s">
        <v>4936</v>
      </c>
      <c r="C207" s="135"/>
      <c r="D207" s="135">
        <v>45520.501400462963</v>
      </c>
      <c r="E207" s="135">
        <v>45520.501446759263</v>
      </c>
      <c r="F207" t="s">
        <v>5186</v>
      </c>
    </row>
    <row r="208" spans="1:6" x14ac:dyDescent="0.25">
      <c r="A208" t="s">
        <v>5190</v>
      </c>
      <c r="B208" t="s">
        <v>4936</v>
      </c>
      <c r="C208" s="135"/>
      <c r="D208" s="135">
        <v>45520.502743055556</v>
      </c>
      <c r="E208" s="135">
        <v>45520.502800925926</v>
      </c>
      <c r="F208" t="s">
        <v>5186</v>
      </c>
    </row>
    <row r="209" spans="1:6" x14ac:dyDescent="0.25">
      <c r="A209" t="s">
        <v>5191</v>
      </c>
      <c r="B209" t="s">
        <v>4936</v>
      </c>
      <c r="C209" s="135"/>
      <c r="D209" s="135">
        <v>45520.503032407411</v>
      </c>
      <c r="E209" s="135">
        <v>45520.503078703703</v>
      </c>
      <c r="F209" t="s">
        <v>5186</v>
      </c>
    </row>
    <row r="210" spans="1:6" x14ac:dyDescent="0.25">
      <c r="A210" t="s">
        <v>5192</v>
      </c>
      <c r="B210" t="s">
        <v>4936</v>
      </c>
      <c r="C210" s="135"/>
      <c r="D210" s="135">
        <v>45520.502604166664</v>
      </c>
      <c r="E210" s="135">
        <v>45520.502650462964</v>
      </c>
      <c r="F210" t="s">
        <v>5186</v>
      </c>
    </row>
    <row r="211" spans="1:6" x14ac:dyDescent="0.25">
      <c r="A211" t="s">
        <v>5193</v>
      </c>
      <c r="B211" t="s">
        <v>4936</v>
      </c>
      <c r="C211" s="135"/>
      <c r="D211" s="135">
        <v>45520.502835648149</v>
      </c>
      <c r="E211" s="135">
        <v>45520.502870370372</v>
      </c>
      <c r="F211" t="s">
        <v>5186</v>
      </c>
    </row>
    <row r="212" spans="1:6" x14ac:dyDescent="0.25">
      <c r="A212" t="s">
        <v>5194</v>
      </c>
      <c r="B212" t="s">
        <v>4936</v>
      </c>
      <c r="C212" s="135"/>
      <c r="D212" s="135">
        <v>45520.502500000002</v>
      </c>
      <c r="E212" s="135">
        <v>45520.502546296295</v>
      </c>
      <c r="F212" t="s">
        <v>5186</v>
      </c>
    </row>
    <row r="213" spans="1:6" x14ac:dyDescent="0.25">
      <c r="A213" t="s">
        <v>5195</v>
      </c>
      <c r="B213" t="s">
        <v>4936</v>
      </c>
      <c r="C213" s="135"/>
      <c r="D213" s="135">
        <v>45520.502893518518</v>
      </c>
      <c r="E213" s="135">
        <v>45520.502939814818</v>
      </c>
      <c r="F213" t="s">
        <v>5186</v>
      </c>
    </row>
    <row r="214" spans="1:6" x14ac:dyDescent="0.25">
      <c r="A214" t="s">
        <v>5196</v>
      </c>
      <c r="B214" t="s">
        <v>4936</v>
      </c>
      <c r="C214" s="135"/>
      <c r="D214" s="135">
        <v>45153.734074074076</v>
      </c>
      <c r="E214" s="135">
        <v>45154.684907407405</v>
      </c>
      <c r="F214" t="s">
        <v>5197</v>
      </c>
    </row>
    <row r="215" spans="1:6" x14ac:dyDescent="0.25">
      <c r="A215" t="s">
        <v>5196</v>
      </c>
      <c r="B215" t="s">
        <v>4936</v>
      </c>
      <c r="C215" s="135"/>
      <c r="D215" s="135">
        <v>45153.734074074076</v>
      </c>
      <c r="E215" s="135">
        <v>45286.599965277775</v>
      </c>
      <c r="F215" t="s">
        <v>5198</v>
      </c>
    </row>
    <row r="216" spans="1:6" x14ac:dyDescent="0.25">
      <c r="A216" t="s">
        <v>5199</v>
      </c>
      <c r="B216" t="s">
        <v>5141</v>
      </c>
      <c r="C216" s="135"/>
      <c r="D216" s="135">
        <v>45355.590370370373</v>
      </c>
      <c r="E216" s="135">
        <v>45357.305752314816</v>
      </c>
      <c r="F216" t="s">
        <v>5106</v>
      </c>
    </row>
    <row r="217" spans="1:6" x14ac:dyDescent="0.25">
      <c r="A217" t="s">
        <v>5200</v>
      </c>
      <c r="B217" t="s">
        <v>4936</v>
      </c>
      <c r="C217" s="135"/>
      <c r="D217" s="135">
        <v>45583.377974537034</v>
      </c>
      <c r="E217" s="135">
        <v>45583.37804398148</v>
      </c>
      <c r="F217" t="s">
        <v>5058</v>
      </c>
    </row>
    <row r="218" spans="1:6" x14ac:dyDescent="0.25">
      <c r="A218" t="s">
        <v>5201</v>
      </c>
      <c r="B218" t="s">
        <v>4936</v>
      </c>
      <c r="C218" s="135"/>
      <c r="D218" s="135">
        <v>44785.558171296296</v>
      </c>
      <c r="E218" s="135">
        <v>44785.558171296296</v>
      </c>
      <c r="F218" t="s">
        <v>5121</v>
      </c>
    </row>
    <row r="219" spans="1:6" x14ac:dyDescent="0.25">
      <c r="A219" t="s">
        <v>5201</v>
      </c>
      <c r="B219" t="s">
        <v>4936</v>
      </c>
      <c r="C219" s="135"/>
      <c r="D219" s="135">
        <v>44732.685057870367</v>
      </c>
      <c r="E219" s="135">
        <v>44852.434178240743</v>
      </c>
      <c r="F219" t="s">
        <v>5122</v>
      </c>
    </row>
    <row r="220" spans="1:6" x14ac:dyDescent="0.25">
      <c r="A220" t="s">
        <v>5202</v>
      </c>
      <c r="B220" t="s">
        <v>4936</v>
      </c>
      <c r="C220" s="135"/>
      <c r="D220" s="135">
        <v>45153.733587962961</v>
      </c>
      <c r="E220" s="135">
        <v>45286.600370370368</v>
      </c>
      <c r="F220" t="s">
        <v>5203</v>
      </c>
    </row>
    <row r="221" spans="1:6" x14ac:dyDescent="0.25">
      <c r="A221" t="s">
        <v>5202</v>
      </c>
      <c r="B221" t="s">
        <v>4936</v>
      </c>
      <c r="C221" s="135"/>
      <c r="D221" s="135">
        <v>45153.733587962961</v>
      </c>
      <c r="E221" s="135">
        <v>45154.694502314815</v>
      </c>
      <c r="F221" t="s">
        <v>5204</v>
      </c>
    </row>
    <row r="222" spans="1:6" x14ac:dyDescent="0.25">
      <c r="A222" t="s">
        <v>5205</v>
      </c>
      <c r="B222" t="s">
        <v>4936</v>
      </c>
      <c r="C222" s="135"/>
      <c r="D222" s="135">
        <v>45153.733981481484</v>
      </c>
      <c r="E222" s="135">
        <v>45286.599965277775</v>
      </c>
      <c r="F222" t="s">
        <v>5206</v>
      </c>
    </row>
    <row r="223" spans="1:6" x14ac:dyDescent="0.25">
      <c r="A223" t="s">
        <v>5205</v>
      </c>
      <c r="B223" t="s">
        <v>4936</v>
      </c>
      <c r="C223" s="135"/>
      <c r="D223" s="135">
        <v>45153.733981481484</v>
      </c>
      <c r="E223" s="135">
        <v>45154.684953703705</v>
      </c>
      <c r="F223" t="s">
        <v>5207</v>
      </c>
    </row>
    <row r="224" spans="1:6" x14ac:dyDescent="0.25">
      <c r="A224" t="s">
        <v>5208</v>
      </c>
      <c r="B224" t="s">
        <v>4936</v>
      </c>
      <c r="C224" s="135"/>
      <c r="D224" s="135">
        <v>45582.660543981481</v>
      </c>
      <c r="E224" s="135">
        <v>45582.660601851851</v>
      </c>
      <c r="F224" t="s">
        <v>5058</v>
      </c>
    </row>
    <row r="225" spans="1:6" x14ac:dyDescent="0.25">
      <c r="A225" t="s">
        <v>5209</v>
      </c>
      <c r="B225" t="s">
        <v>4936</v>
      </c>
      <c r="C225" s="135"/>
      <c r="D225" s="135">
        <v>44785.558032407411</v>
      </c>
      <c r="E225" s="135">
        <v>44785.558032407411</v>
      </c>
      <c r="F225" t="s">
        <v>5142</v>
      </c>
    </row>
    <row r="226" spans="1:6" x14ac:dyDescent="0.25">
      <c r="A226" t="s">
        <v>5209</v>
      </c>
      <c r="B226" t="s">
        <v>4936</v>
      </c>
      <c r="C226" s="135"/>
      <c r="D226" s="135">
        <v>44676.615648148145</v>
      </c>
      <c r="E226" s="135">
        <v>44852.434270833335</v>
      </c>
      <c r="F226" t="s">
        <v>5210</v>
      </c>
    </row>
    <row r="227" spans="1:6" x14ac:dyDescent="0.25">
      <c r="A227" t="s">
        <v>5211</v>
      </c>
      <c r="B227" t="s">
        <v>4936</v>
      </c>
      <c r="C227" s="135"/>
      <c r="D227" s="135">
        <v>45337.593877314815</v>
      </c>
      <c r="E227" s="135">
        <v>45337.594131944446</v>
      </c>
      <c r="F227" t="s">
        <v>5212</v>
      </c>
    </row>
    <row r="228" spans="1:6" x14ac:dyDescent="0.25">
      <c r="A228" t="s">
        <v>5213</v>
      </c>
      <c r="B228" t="s">
        <v>4936</v>
      </c>
      <c r="C228" s="135"/>
      <c r="D228" s="135">
        <v>45337.706099537034</v>
      </c>
      <c r="E228" s="135">
        <v>44950.436249999999</v>
      </c>
      <c r="F228" t="s">
        <v>5214</v>
      </c>
    </row>
    <row r="229" spans="1:6" x14ac:dyDescent="0.25">
      <c r="A229" t="s">
        <v>5215</v>
      </c>
      <c r="B229" t="s">
        <v>4936</v>
      </c>
      <c r="C229" s="135"/>
      <c r="D229" s="135">
        <v>45743.701608796298</v>
      </c>
      <c r="E229" s="135">
        <v>45355.58489583333</v>
      </c>
      <c r="F229" t="s">
        <v>5047</v>
      </c>
    </row>
    <row r="230" spans="1:6" x14ac:dyDescent="0.25">
      <c r="A230" t="s">
        <v>5216</v>
      </c>
      <c r="B230" t="s">
        <v>4936</v>
      </c>
      <c r="C230" s="135"/>
      <c r="D230" s="135">
        <v>45751.653912037036</v>
      </c>
      <c r="E230" s="135">
        <v>45652.626377314817</v>
      </c>
      <c r="F230" t="s">
        <v>5047</v>
      </c>
    </row>
    <row r="231" spans="1:6" x14ac:dyDescent="0.25">
      <c r="A231" t="s">
        <v>5217</v>
      </c>
      <c r="B231" t="s">
        <v>4936</v>
      </c>
      <c r="C231" s="135"/>
      <c r="D231" s="135">
        <v>45758.48332175926</v>
      </c>
      <c r="E231" s="135">
        <v>45726.353263888886</v>
      </c>
      <c r="F231" t="s">
        <v>5109</v>
      </c>
    </row>
    <row r="232" spans="1:6" x14ac:dyDescent="0.25">
      <c r="A232" t="s">
        <v>5218</v>
      </c>
      <c r="B232" t="s">
        <v>4936</v>
      </c>
      <c r="C232" s="135"/>
      <c r="D232" s="135">
        <v>44785.557905092595</v>
      </c>
      <c r="E232" s="135">
        <v>44785.557905092595</v>
      </c>
      <c r="F232" t="s">
        <v>5219</v>
      </c>
    </row>
    <row r="233" spans="1:6" x14ac:dyDescent="0.25">
      <c r="A233" t="s">
        <v>5220</v>
      </c>
      <c r="B233" t="s">
        <v>4936</v>
      </c>
      <c r="C233" s="135"/>
      <c r="D233" s="135">
        <v>44785.557939814818</v>
      </c>
      <c r="E233" s="135">
        <v>44785.557939814818</v>
      </c>
      <c r="F233" t="s">
        <v>5219</v>
      </c>
    </row>
    <row r="234" spans="1:6" x14ac:dyDescent="0.25">
      <c r="A234" t="s">
        <v>5221</v>
      </c>
      <c r="B234" t="s">
        <v>4936</v>
      </c>
      <c r="C234" s="135"/>
      <c r="D234" s="135">
        <v>44785.557939814818</v>
      </c>
      <c r="E234" s="135">
        <v>44785.557939814818</v>
      </c>
      <c r="F234" t="s">
        <v>5219</v>
      </c>
    </row>
    <row r="235" spans="1:6" x14ac:dyDescent="0.25">
      <c r="A235" t="s">
        <v>5222</v>
      </c>
      <c r="B235" t="s">
        <v>4936</v>
      </c>
      <c r="C235" s="135"/>
      <c r="D235" s="135">
        <v>44785.557939814818</v>
      </c>
      <c r="E235" s="135">
        <v>44785.557939814818</v>
      </c>
      <c r="F235" t="s">
        <v>5219</v>
      </c>
    </row>
    <row r="236" spans="1:6" x14ac:dyDescent="0.25">
      <c r="A236" t="s">
        <v>5223</v>
      </c>
      <c r="B236" t="s">
        <v>4936</v>
      </c>
      <c r="C236" s="135"/>
      <c r="D236" s="135">
        <v>44785.557951388888</v>
      </c>
      <c r="E236" s="135">
        <v>44785.557951388888</v>
      </c>
      <c r="F236" t="s">
        <v>5219</v>
      </c>
    </row>
    <row r="237" spans="1:6" x14ac:dyDescent="0.25">
      <c r="A237" t="s">
        <v>5224</v>
      </c>
      <c r="B237" t="s">
        <v>4936</v>
      </c>
      <c r="C237" s="135"/>
      <c r="D237" s="135">
        <v>44785.557962962965</v>
      </c>
      <c r="E237" s="135">
        <v>44785.557962962965</v>
      </c>
      <c r="F237" t="s">
        <v>5219</v>
      </c>
    </row>
    <row r="238" spans="1:6" x14ac:dyDescent="0.25">
      <c r="A238" t="s">
        <v>5225</v>
      </c>
      <c r="B238" t="s">
        <v>4936</v>
      </c>
      <c r="C238" s="135"/>
      <c r="D238" s="135">
        <v>45582.660671296297</v>
      </c>
      <c r="E238" s="135">
        <v>45582.660729166666</v>
      </c>
      <c r="F238" t="s">
        <v>5058</v>
      </c>
    </row>
    <row r="239" spans="1:6" x14ac:dyDescent="0.25">
      <c r="A239" t="s">
        <v>5226</v>
      </c>
      <c r="B239" t="s">
        <v>4936</v>
      </c>
      <c r="C239" s="135"/>
      <c r="D239" s="135">
        <v>45289.641030092593</v>
      </c>
      <c r="E239" s="135">
        <v>45201.411469907405</v>
      </c>
      <c r="F239" t="s">
        <v>5006</v>
      </c>
    </row>
    <row r="240" spans="1:6" x14ac:dyDescent="0.25">
      <c r="A240" t="s">
        <v>5227</v>
      </c>
      <c r="B240" t="s">
        <v>4936</v>
      </c>
      <c r="C240" s="135"/>
      <c r="D240" s="135">
        <v>45448.63616898148</v>
      </c>
      <c r="E240" s="135">
        <v>44978.320902777778</v>
      </c>
      <c r="F240" t="s">
        <v>5214</v>
      </c>
    </row>
    <row r="241" spans="1:6" x14ac:dyDescent="0.25">
      <c r="A241" t="s">
        <v>5228</v>
      </c>
      <c r="B241" t="s">
        <v>4936</v>
      </c>
      <c r="C241" s="135"/>
      <c r="D241" s="135">
        <v>45735.500462962962</v>
      </c>
      <c r="E241" s="135">
        <v>45352.630312499998</v>
      </c>
      <c r="F241" t="s">
        <v>5047</v>
      </c>
    </row>
    <row r="242" spans="1:6" x14ac:dyDescent="0.25">
      <c r="A242" t="s">
        <v>5229</v>
      </c>
      <c r="B242" t="s">
        <v>4936</v>
      </c>
      <c r="C242" s="135"/>
      <c r="D242" s="135">
        <v>45749.659733796296</v>
      </c>
      <c r="E242" s="135">
        <v>45629.374340277776</v>
      </c>
      <c r="F242" t="s">
        <v>5047</v>
      </c>
    </row>
    <row r="243" spans="1:6" x14ac:dyDescent="0.25">
      <c r="A243" t="s">
        <v>5230</v>
      </c>
      <c r="B243" t="s">
        <v>4936</v>
      </c>
      <c r="C243" s="135"/>
      <c r="D243" s="135">
        <v>45758.519305555557</v>
      </c>
      <c r="E243" s="135">
        <v>45726.353750000002</v>
      </c>
      <c r="F243" t="s">
        <v>5109</v>
      </c>
    </row>
    <row r="244" spans="1:6" x14ac:dyDescent="0.25">
      <c r="A244" t="s">
        <v>5231</v>
      </c>
      <c r="B244" t="s">
        <v>4936</v>
      </c>
      <c r="C244" s="135"/>
      <c r="D244" s="135">
        <v>45342.484756944446</v>
      </c>
      <c r="E244" s="135">
        <v>45342.484756944446</v>
      </c>
      <c r="F244" t="s">
        <v>5232</v>
      </c>
    </row>
    <row r="245" spans="1:6" x14ac:dyDescent="0.25">
      <c r="A245" t="s">
        <v>5233</v>
      </c>
      <c r="B245" t="s">
        <v>4936</v>
      </c>
      <c r="C245" s="135"/>
      <c r="D245" s="135">
        <v>45428.394282407404</v>
      </c>
      <c r="E245" s="135">
        <v>45337.37259259259</v>
      </c>
      <c r="F245" t="s">
        <v>5232</v>
      </c>
    </row>
    <row r="246" spans="1:6" x14ac:dyDescent="0.25">
      <c r="A246" t="s">
        <v>5234</v>
      </c>
      <c r="B246" t="s">
        <v>4936</v>
      </c>
      <c r="C246" s="135"/>
      <c r="D246" s="135">
        <v>45211.527222222219</v>
      </c>
      <c r="E246" s="135">
        <v>45240.449513888889</v>
      </c>
      <c r="F246" t="s">
        <v>5175</v>
      </c>
    </row>
    <row r="247" spans="1:6" x14ac:dyDescent="0.25">
      <c r="A247" t="s">
        <v>5235</v>
      </c>
      <c r="B247" t="s">
        <v>4936</v>
      </c>
      <c r="C247" s="135"/>
      <c r="D247" s="135">
        <v>45575.543935185182</v>
      </c>
      <c r="E247" s="135">
        <v>45240.449513888889</v>
      </c>
      <c r="F247" t="s">
        <v>5175</v>
      </c>
    </row>
    <row r="248" spans="1:6" x14ac:dyDescent="0.25">
      <c r="A248" t="s">
        <v>5236</v>
      </c>
      <c r="B248" t="s">
        <v>4936</v>
      </c>
      <c r="C248" s="135"/>
      <c r="D248" s="135">
        <v>45741.448657407411</v>
      </c>
      <c r="E248" s="135">
        <v>45449.399398148147</v>
      </c>
      <c r="F248" t="s">
        <v>5177</v>
      </c>
    </row>
    <row r="249" spans="1:6" x14ac:dyDescent="0.25">
      <c r="A249" t="s">
        <v>5236</v>
      </c>
      <c r="B249" t="s">
        <v>4936</v>
      </c>
      <c r="C249" s="135"/>
      <c r="D249" s="135">
        <v>45443.600289351853</v>
      </c>
      <c r="E249" s="135">
        <v>45449.684699074074</v>
      </c>
      <c r="F249" t="s">
        <v>5237</v>
      </c>
    </row>
    <row r="250" spans="1:6" x14ac:dyDescent="0.25">
      <c r="A250" t="s">
        <v>5238</v>
      </c>
      <c r="B250" t="s">
        <v>4936</v>
      </c>
      <c r="C250" s="135"/>
      <c r="D250" s="135">
        <v>45757.572453703702</v>
      </c>
      <c r="E250" s="135">
        <v>45700.565810185188</v>
      </c>
      <c r="F250" t="s">
        <v>5179</v>
      </c>
    </row>
    <row r="251" spans="1:6" x14ac:dyDescent="0.25">
      <c r="A251" t="s">
        <v>5238</v>
      </c>
      <c r="B251" t="s">
        <v>4936</v>
      </c>
      <c r="C251" s="135"/>
      <c r="D251" s="135">
        <v>45723.382071759261</v>
      </c>
      <c r="E251" s="135">
        <v>45723.382071759261</v>
      </c>
      <c r="F251" t="s">
        <v>5239</v>
      </c>
    </row>
    <row r="252" spans="1:6" x14ac:dyDescent="0.25">
      <c r="A252" t="s">
        <v>5240</v>
      </c>
      <c r="B252" t="s">
        <v>4936</v>
      </c>
      <c r="C252" s="135"/>
      <c r="D252" s="135">
        <v>45723.791712962964</v>
      </c>
      <c r="E252" s="135">
        <v>45723.791712962964</v>
      </c>
      <c r="F252" t="s">
        <v>5239</v>
      </c>
    </row>
    <row r="253" spans="1:6" x14ac:dyDescent="0.25">
      <c r="A253" t="s">
        <v>5241</v>
      </c>
      <c r="B253" t="s">
        <v>4936</v>
      </c>
      <c r="C253" s="135"/>
      <c r="D253" s="135">
        <v>45728.291724537034</v>
      </c>
      <c r="E253" s="135">
        <v>45728.291724537034</v>
      </c>
      <c r="F253" t="s">
        <v>5239</v>
      </c>
    </row>
    <row r="254" spans="1:6" x14ac:dyDescent="0.25">
      <c r="A254" t="s">
        <v>5242</v>
      </c>
      <c r="B254" t="s">
        <v>4936</v>
      </c>
      <c r="C254" s="135"/>
      <c r="D254" s="135">
        <v>45728.791724537034</v>
      </c>
      <c r="E254" s="135">
        <v>45728.791724537034</v>
      </c>
      <c r="F254" t="s">
        <v>5239</v>
      </c>
    </row>
    <row r="255" spans="1:6" x14ac:dyDescent="0.25">
      <c r="A255" t="s">
        <v>5243</v>
      </c>
      <c r="B255" t="s">
        <v>4936</v>
      </c>
      <c r="C255" s="135"/>
      <c r="D255" s="135">
        <v>45729.29173611111</v>
      </c>
      <c r="E255" s="135">
        <v>45729.29173611111</v>
      </c>
      <c r="F255" t="s">
        <v>5239</v>
      </c>
    </row>
    <row r="256" spans="1:6" x14ac:dyDescent="0.25">
      <c r="A256" t="s">
        <v>5244</v>
      </c>
      <c r="B256" t="s">
        <v>4936</v>
      </c>
      <c r="C256" s="135"/>
      <c r="D256" s="135">
        <v>45729.791701388887</v>
      </c>
      <c r="E256" s="135">
        <v>45729.791701388887</v>
      </c>
      <c r="F256" t="s">
        <v>5239</v>
      </c>
    </row>
    <row r="257" spans="1:6" x14ac:dyDescent="0.25">
      <c r="A257" t="s">
        <v>5245</v>
      </c>
      <c r="B257" t="s">
        <v>4936</v>
      </c>
      <c r="C257" s="135"/>
      <c r="D257" s="135">
        <v>45730.291712962964</v>
      </c>
      <c r="E257" s="135">
        <v>45730.291712962964</v>
      </c>
      <c r="F257" t="s">
        <v>5239</v>
      </c>
    </row>
    <row r="258" spans="1:6" x14ac:dyDescent="0.25">
      <c r="A258" t="s">
        <v>5246</v>
      </c>
      <c r="B258" t="s">
        <v>4936</v>
      </c>
      <c r="C258" s="135"/>
      <c r="D258" s="135">
        <v>45730.791712962964</v>
      </c>
      <c r="E258" s="135">
        <v>45730.791712962964</v>
      </c>
      <c r="F258" t="s">
        <v>5239</v>
      </c>
    </row>
    <row r="259" spans="1:6" x14ac:dyDescent="0.25">
      <c r="A259" t="s">
        <v>5247</v>
      </c>
      <c r="B259" t="s">
        <v>4936</v>
      </c>
      <c r="C259" s="135"/>
      <c r="D259" s="135">
        <v>45731.29173611111</v>
      </c>
      <c r="E259" s="135">
        <v>45731.29173611111</v>
      </c>
      <c r="F259" t="s">
        <v>5239</v>
      </c>
    </row>
    <row r="260" spans="1:6" x14ac:dyDescent="0.25">
      <c r="A260" t="s">
        <v>5248</v>
      </c>
      <c r="B260" t="s">
        <v>4936</v>
      </c>
      <c r="C260" s="135"/>
      <c r="D260" s="135">
        <v>45731.791712962964</v>
      </c>
      <c r="E260" s="135">
        <v>45731.791712962964</v>
      </c>
      <c r="F260" t="s">
        <v>5239</v>
      </c>
    </row>
    <row r="261" spans="1:6" x14ac:dyDescent="0.25">
      <c r="A261" t="s">
        <v>5249</v>
      </c>
      <c r="B261" t="s">
        <v>4936</v>
      </c>
      <c r="C261" s="135"/>
      <c r="D261" s="135">
        <v>45732.291712962964</v>
      </c>
      <c r="E261" s="135">
        <v>45732.291712962964</v>
      </c>
      <c r="F261" t="s">
        <v>5239</v>
      </c>
    </row>
    <row r="262" spans="1:6" x14ac:dyDescent="0.25">
      <c r="A262" t="s">
        <v>5250</v>
      </c>
      <c r="B262" t="s">
        <v>4936</v>
      </c>
      <c r="C262" s="135"/>
      <c r="D262" s="135">
        <v>45732.791724537034</v>
      </c>
      <c r="E262" s="135">
        <v>45732.791724537034</v>
      </c>
      <c r="F262" t="s">
        <v>5239</v>
      </c>
    </row>
    <row r="263" spans="1:6" x14ac:dyDescent="0.25">
      <c r="A263" t="s">
        <v>5251</v>
      </c>
      <c r="B263" t="s">
        <v>4936</v>
      </c>
      <c r="C263" s="135"/>
      <c r="D263" s="135">
        <v>45724.29173611111</v>
      </c>
      <c r="E263" s="135">
        <v>45724.29173611111</v>
      </c>
      <c r="F263" t="s">
        <v>5239</v>
      </c>
    </row>
    <row r="264" spans="1:6" x14ac:dyDescent="0.25">
      <c r="A264" t="s">
        <v>5252</v>
      </c>
      <c r="B264" t="s">
        <v>4936</v>
      </c>
      <c r="C264" s="135"/>
      <c r="D264" s="135">
        <v>45733.291712962964</v>
      </c>
      <c r="E264" s="135">
        <v>45733.291712962964</v>
      </c>
      <c r="F264" t="s">
        <v>5239</v>
      </c>
    </row>
    <row r="265" spans="1:6" x14ac:dyDescent="0.25">
      <c r="A265" t="s">
        <v>5253</v>
      </c>
      <c r="B265" t="s">
        <v>4936</v>
      </c>
      <c r="C265" s="135"/>
      <c r="D265" s="135">
        <v>45733.791724537034</v>
      </c>
      <c r="E265" s="135">
        <v>45733.791724537034</v>
      </c>
      <c r="F265" t="s">
        <v>5239</v>
      </c>
    </row>
    <row r="266" spans="1:6" x14ac:dyDescent="0.25">
      <c r="A266" t="s">
        <v>5254</v>
      </c>
      <c r="B266" t="s">
        <v>4936</v>
      </c>
      <c r="C266" s="135"/>
      <c r="D266" s="135">
        <v>45734.291747685187</v>
      </c>
      <c r="E266" s="135">
        <v>45734.291747685187</v>
      </c>
      <c r="F266" t="s">
        <v>5239</v>
      </c>
    </row>
    <row r="267" spans="1:6" x14ac:dyDescent="0.25">
      <c r="A267" t="s">
        <v>5255</v>
      </c>
      <c r="B267" t="s">
        <v>4936</v>
      </c>
      <c r="C267" s="135"/>
      <c r="D267" s="135">
        <v>45734.79173611111</v>
      </c>
      <c r="E267" s="135">
        <v>45734.79173611111</v>
      </c>
      <c r="F267" t="s">
        <v>5239</v>
      </c>
    </row>
    <row r="268" spans="1:6" x14ac:dyDescent="0.25">
      <c r="A268" t="s">
        <v>5256</v>
      </c>
      <c r="B268" t="s">
        <v>4936</v>
      </c>
      <c r="C268" s="135"/>
      <c r="D268" s="135">
        <v>45735.291759259257</v>
      </c>
      <c r="E268" s="135">
        <v>45735.291759259257</v>
      </c>
      <c r="F268" t="s">
        <v>5239</v>
      </c>
    </row>
    <row r="269" spans="1:6" x14ac:dyDescent="0.25">
      <c r="A269" t="s">
        <v>5257</v>
      </c>
      <c r="B269" t="s">
        <v>4936</v>
      </c>
      <c r="C269" s="135"/>
      <c r="D269" s="135">
        <v>45735.79173611111</v>
      </c>
      <c r="E269" s="135">
        <v>45735.79173611111</v>
      </c>
      <c r="F269" t="s">
        <v>5239</v>
      </c>
    </row>
    <row r="270" spans="1:6" x14ac:dyDescent="0.25">
      <c r="A270" t="s">
        <v>5258</v>
      </c>
      <c r="B270" t="s">
        <v>4936</v>
      </c>
      <c r="C270" s="135"/>
      <c r="D270" s="135">
        <v>45736.291747685187</v>
      </c>
      <c r="E270" s="135">
        <v>45736.291747685187</v>
      </c>
      <c r="F270" t="s">
        <v>5239</v>
      </c>
    </row>
    <row r="271" spans="1:6" x14ac:dyDescent="0.25">
      <c r="A271" t="s">
        <v>5259</v>
      </c>
      <c r="B271" t="s">
        <v>4936</v>
      </c>
      <c r="C271" s="135"/>
      <c r="D271" s="135">
        <v>45736.791724537034</v>
      </c>
      <c r="E271" s="135">
        <v>45736.791724537034</v>
      </c>
      <c r="F271" t="s">
        <v>5239</v>
      </c>
    </row>
    <row r="272" spans="1:6" x14ac:dyDescent="0.25">
      <c r="A272" t="s">
        <v>5260</v>
      </c>
      <c r="B272" t="s">
        <v>4936</v>
      </c>
      <c r="C272" s="135"/>
      <c r="D272" s="135">
        <v>45737.29178240741</v>
      </c>
      <c r="E272" s="135">
        <v>45737.29178240741</v>
      </c>
      <c r="F272" t="s">
        <v>5239</v>
      </c>
    </row>
    <row r="273" spans="1:6" x14ac:dyDescent="0.25">
      <c r="A273" t="s">
        <v>5261</v>
      </c>
      <c r="B273" t="s">
        <v>4936</v>
      </c>
      <c r="C273" s="135"/>
      <c r="D273" s="135">
        <v>45737.791747685187</v>
      </c>
      <c r="E273" s="135">
        <v>45737.791747685187</v>
      </c>
      <c r="F273" t="s">
        <v>5239</v>
      </c>
    </row>
    <row r="274" spans="1:6" x14ac:dyDescent="0.25">
      <c r="A274" t="s">
        <v>5262</v>
      </c>
      <c r="B274" t="s">
        <v>4936</v>
      </c>
      <c r="C274" s="135"/>
      <c r="D274" s="135">
        <v>45724.791701388887</v>
      </c>
      <c r="E274" s="135">
        <v>45724.791701388887</v>
      </c>
      <c r="F274" t="s">
        <v>5239</v>
      </c>
    </row>
    <row r="275" spans="1:6" x14ac:dyDescent="0.25">
      <c r="A275" t="s">
        <v>5263</v>
      </c>
      <c r="B275" t="s">
        <v>4936</v>
      </c>
      <c r="C275" s="135"/>
      <c r="D275" s="135">
        <v>45738.291747685187</v>
      </c>
      <c r="E275" s="135">
        <v>45738.291747685187</v>
      </c>
      <c r="F275" t="s">
        <v>5239</v>
      </c>
    </row>
    <row r="276" spans="1:6" x14ac:dyDescent="0.25">
      <c r="A276" t="s">
        <v>5264</v>
      </c>
      <c r="B276" t="s">
        <v>4936</v>
      </c>
      <c r="C276" s="135"/>
      <c r="D276" s="135">
        <v>45738.791701388887</v>
      </c>
      <c r="E276" s="135">
        <v>45738.791701388887</v>
      </c>
      <c r="F276" t="s">
        <v>5239</v>
      </c>
    </row>
    <row r="277" spans="1:6" x14ac:dyDescent="0.25">
      <c r="A277" t="s">
        <v>5265</v>
      </c>
      <c r="B277" t="s">
        <v>4936</v>
      </c>
      <c r="C277" s="135"/>
      <c r="D277" s="135">
        <v>45739.291712962964</v>
      </c>
      <c r="E277" s="135">
        <v>45739.291712962964</v>
      </c>
      <c r="F277" t="s">
        <v>5239</v>
      </c>
    </row>
    <row r="278" spans="1:6" x14ac:dyDescent="0.25">
      <c r="A278" t="s">
        <v>5266</v>
      </c>
      <c r="B278" t="s">
        <v>4936</v>
      </c>
      <c r="C278" s="135"/>
      <c r="D278" s="135">
        <v>45739.791747685187</v>
      </c>
      <c r="E278" s="135">
        <v>45739.791747685187</v>
      </c>
      <c r="F278" t="s">
        <v>5239</v>
      </c>
    </row>
    <row r="279" spans="1:6" x14ac:dyDescent="0.25">
      <c r="A279" t="s">
        <v>5267</v>
      </c>
      <c r="B279" t="s">
        <v>4936</v>
      </c>
      <c r="C279" s="135"/>
      <c r="D279" s="135">
        <v>45740.29173611111</v>
      </c>
      <c r="E279" s="135">
        <v>45740.29173611111</v>
      </c>
      <c r="F279" t="s">
        <v>5239</v>
      </c>
    </row>
    <row r="280" spans="1:6" x14ac:dyDescent="0.25">
      <c r="A280" t="s">
        <v>5268</v>
      </c>
      <c r="B280" t="s">
        <v>4936</v>
      </c>
      <c r="C280" s="135"/>
      <c r="D280" s="135">
        <v>45740.791724537034</v>
      </c>
      <c r="E280" s="135">
        <v>45740.791724537034</v>
      </c>
      <c r="F280" t="s">
        <v>5239</v>
      </c>
    </row>
    <row r="281" spans="1:6" x14ac:dyDescent="0.25">
      <c r="A281" t="s">
        <v>5269</v>
      </c>
      <c r="B281" t="s">
        <v>4936</v>
      </c>
      <c r="C281" s="135"/>
      <c r="D281" s="135">
        <v>45741.291712962964</v>
      </c>
      <c r="E281" s="135">
        <v>45741.291712962964</v>
      </c>
      <c r="F281" t="s">
        <v>5239</v>
      </c>
    </row>
    <row r="282" spans="1:6" x14ac:dyDescent="0.25">
      <c r="A282" t="s">
        <v>5270</v>
      </c>
      <c r="B282" t="s">
        <v>4936</v>
      </c>
      <c r="C282" s="135"/>
      <c r="D282" s="135">
        <v>45747.791712962964</v>
      </c>
      <c r="E282" s="135">
        <v>45747.791712962964</v>
      </c>
      <c r="F282" t="s">
        <v>5239</v>
      </c>
    </row>
    <row r="283" spans="1:6" x14ac:dyDescent="0.25">
      <c r="A283" t="s">
        <v>5271</v>
      </c>
      <c r="B283" t="s">
        <v>4936</v>
      </c>
      <c r="C283" s="135"/>
      <c r="D283" s="135">
        <v>45748.29173611111</v>
      </c>
      <c r="E283" s="135">
        <v>45748.29173611111</v>
      </c>
      <c r="F283" t="s">
        <v>5239</v>
      </c>
    </row>
    <row r="284" spans="1:6" x14ac:dyDescent="0.25">
      <c r="A284" t="s">
        <v>5272</v>
      </c>
      <c r="B284" t="s">
        <v>4936</v>
      </c>
      <c r="C284" s="135"/>
      <c r="D284" s="135">
        <v>45748.791724537034</v>
      </c>
      <c r="E284" s="135">
        <v>45748.791724537034</v>
      </c>
      <c r="F284" t="s">
        <v>5239</v>
      </c>
    </row>
    <row r="285" spans="1:6" x14ac:dyDescent="0.25">
      <c r="A285" t="s">
        <v>5273</v>
      </c>
      <c r="B285" t="s">
        <v>4936</v>
      </c>
      <c r="C285" s="135"/>
      <c r="D285" s="135">
        <v>45725.291724537034</v>
      </c>
      <c r="E285" s="135">
        <v>45725.291724537034</v>
      </c>
      <c r="F285" t="s">
        <v>5239</v>
      </c>
    </row>
    <row r="286" spans="1:6" x14ac:dyDescent="0.25">
      <c r="A286" t="s">
        <v>5274</v>
      </c>
      <c r="B286" t="s">
        <v>4936</v>
      </c>
      <c r="C286" s="135"/>
      <c r="D286" s="135">
        <v>45749.29179398148</v>
      </c>
      <c r="E286" s="135">
        <v>45749.29179398148</v>
      </c>
      <c r="F286" t="s">
        <v>5239</v>
      </c>
    </row>
    <row r="287" spans="1:6" x14ac:dyDescent="0.25">
      <c r="A287" t="s">
        <v>5275</v>
      </c>
      <c r="B287" t="s">
        <v>4936</v>
      </c>
      <c r="C287" s="135"/>
      <c r="D287" s="135">
        <v>45749.791747685187</v>
      </c>
      <c r="E287" s="135">
        <v>45749.791747685187</v>
      </c>
      <c r="F287" t="s">
        <v>5239</v>
      </c>
    </row>
    <row r="288" spans="1:6" x14ac:dyDescent="0.25">
      <c r="A288" t="s">
        <v>5276</v>
      </c>
      <c r="B288" t="s">
        <v>4936</v>
      </c>
      <c r="C288" s="135"/>
      <c r="D288" s="135">
        <v>45750.291759259257</v>
      </c>
      <c r="E288" s="135">
        <v>45750.291759259257</v>
      </c>
      <c r="F288" t="s">
        <v>5239</v>
      </c>
    </row>
    <row r="289" spans="1:6" x14ac:dyDescent="0.25">
      <c r="A289" t="s">
        <v>5277</v>
      </c>
      <c r="B289" t="s">
        <v>4936</v>
      </c>
      <c r="C289" s="135"/>
      <c r="D289" s="135">
        <v>45750.791724537034</v>
      </c>
      <c r="E289" s="135">
        <v>45750.791724537034</v>
      </c>
      <c r="F289" t="s">
        <v>5239</v>
      </c>
    </row>
    <row r="290" spans="1:6" x14ac:dyDescent="0.25">
      <c r="A290" t="s">
        <v>5278</v>
      </c>
      <c r="B290" t="s">
        <v>4936</v>
      </c>
      <c r="C290" s="135"/>
      <c r="D290" s="135">
        <v>45751.291701388887</v>
      </c>
      <c r="E290" s="135">
        <v>45751.291701388887</v>
      </c>
      <c r="F290" t="s">
        <v>5239</v>
      </c>
    </row>
    <row r="291" spans="1:6" x14ac:dyDescent="0.25">
      <c r="A291" t="s">
        <v>5279</v>
      </c>
      <c r="B291" t="s">
        <v>4936</v>
      </c>
      <c r="C291" s="135"/>
      <c r="D291" s="135">
        <v>45751.791724537034</v>
      </c>
      <c r="E291" s="135">
        <v>45751.791724537034</v>
      </c>
      <c r="F291" t="s">
        <v>5239</v>
      </c>
    </row>
    <row r="292" spans="1:6" x14ac:dyDescent="0.25">
      <c r="A292" t="s">
        <v>5280</v>
      </c>
      <c r="B292" t="s">
        <v>4936</v>
      </c>
      <c r="C292" s="135"/>
      <c r="D292" s="135">
        <v>45752.29173611111</v>
      </c>
      <c r="E292" s="135">
        <v>45752.29173611111</v>
      </c>
      <c r="F292" t="s">
        <v>5239</v>
      </c>
    </row>
    <row r="293" spans="1:6" x14ac:dyDescent="0.25">
      <c r="A293" t="s">
        <v>5281</v>
      </c>
      <c r="B293" t="s">
        <v>4936</v>
      </c>
      <c r="C293" s="135"/>
      <c r="D293" s="135">
        <v>45752.791759259257</v>
      </c>
      <c r="E293" s="135">
        <v>45752.791759259257</v>
      </c>
      <c r="F293" t="s">
        <v>5239</v>
      </c>
    </row>
    <row r="294" spans="1:6" x14ac:dyDescent="0.25">
      <c r="A294" t="s">
        <v>5282</v>
      </c>
      <c r="B294" t="s">
        <v>4936</v>
      </c>
      <c r="C294" s="135"/>
      <c r="D294" s="135">
        <v>45753.291712962964</v>
      </c>
      <c r="E294" s="135">
        <v>45753.291712962964</v>
      </c>
      <c r="F294" t="s">
        <v>5239</v>
      </c>
    </row>
    <row r="295" spans="1:6" x14ac:dyDescent="0.25">
      <c r="A295" t="s">
        <v>5283</v>
      </c>
      <c r="B295" t="s">
        <v>4936</v>
      </c>
      <c r="C295" s="135"/>
      <c r="D295" s="135">
        <v>45753.791712962964</v>
      </c>
      <c r="E295" s="135">
        <v>45753.791712962964</v>
      </c>
      <c r="F295" t="s">
        <v>5239</v>
      </c>
    </row>
    <row r="296" spans="1:6" x14ac:dyDescent="0.25">
      <c r="A296" t="s">
        <v>5284</v>
      </c>
      <c r="B296" t="s">
        <v>4936</v>
      </c>
      <c r="C296" s="135"/>
      <c r="D296" s="135">
        <v>45725.791724537034</v>
      </c>
      <c r="E296" s="135">
        <v>45725.791724537034</v>
      </c>
      <c r="F296" t="s">
        <v>5239</v>
      </c>
    </row>
    <row r="297" spans="1:6" x14ac:dyDescent="0.25">
      <c r="A297" t="s">
        <v>5285</v>
      </c>
      <c r="B297" t="s">
        <v>4936</v>
      </c>
      <c r="C297" s="135"/>
      <c r="D297" s="135">
        <v>45754.291759259257</v>
      </c>
      <c r="E297" s="135">
        <v>45754.291759259257</v>
      </c>
      <c r="F297" t="s">
        <v>5239</v>
      </c>
    </row>
    <row r="298" spans="1:6" x14ac:dyDescent="0.25">
      <c r="A298" t="s">
        <v>5286</v>
      </c>
      <c r="B298" t="s">
        <v>4936</v>
      </c>
      <c r="C298" s="135"/>
      <c r="D298" s="135">
        <v>45754.791747685187</v>
      </c>
      <c r="E298" s="135">
        <v>45754.791747685187</v>
      </c>
      <c r="F298" t="s">
        <v>5239</v>
      </c>
    </row>
    <row r="299" spans="1:6" x14ac:dyDescent="0.25">
      <c r="A299" t="s">
        <v>5287</v>
      </c>
      <c r="B299" t="s">
        <v>4936</v>
      </c>
      <c r="C299" s="135"/>
      <c r="D299" s="135">
        <v>45755.29173611111</v>
      </c>
      <c r="E299" s="135">
        <v>45755.29173611111</v>
      </c>
      <c r="F299" t="s">
        <v>5239</v>
      </c>
    </row>
    <row r="300" spans="1:6" x14ac:dyDescent="0.25">
      <c r="A300" t="s">
        <v>5288</v>
      </c>
      <c r="B300" t="s">
        <v>4936</v>
      </c>
      <c r="C300" s="135"/>
      <c r="D300" s="135">
        <v>45755.791712962964</v>
      </c>
      <c r="E300" s="135">
        <v>45755.791712962964</v>
      </c>
      <c r="F300" t="s">
        <v>5239</v>
      </c>
    </row>
    <row r="301" spans="1:6" x14ac:dyDescent="0.25">
      <c r="A301" t="s">
        <v>5289</v>
      </c>
      <c r="B301" t="s">
        <v>4936</v>
      </c>
      <c r="C301" s="135"/>
      <c r="D301" s="135">
        <v>45756.29173611111</v>
      </c>
      <c r="E301" s="135">
        <v>45756.29173611111</v>
      </c>
      <c r="F301" t="s">
        <v>5239</v>
      </c>
    </row>
    <row r="302" spans="1:6" x14ac:dyDescent="0.25">
      <c r="A302" t="s">
        <v>5290</v>
      </c>
      <c r="B302" t="s">
        <v>4936</v>
      </c>
      <c r="C302" s="135"/>
      <c r="D302" s="135">
        <v>45756.791712962964</v>
      </c>
      <c r="E302" s="135">
        <v>45756.791712962964</v>
      </c>
      <c r="F302" t="s">
        <v>5239</v>
      </c>
    </row>
    <row r="303" spans="1:6" x14ac:dyDescent="0.25">
      <c r="A303" t="s">
        <v>5291</v>
      </c>
      <c r="B303" t="s">
        <v>4936</v>
      </c>
      <c r="C303" s="135"/>
      <c r="D303" s="135">
        <v>45757.291724537034</v>
      </c>
      <c r="E303" s="135">
        <v>45757.291724537034</v>
      </c>
      <c r="F303" t="s">
        <v>5239</v>
      </c>
    </row>
    <row r="304" spans="1:6" x14ac:dyDescent="0.25">
      <c r="A304" t="s">
        <v>5292</v>
      </c>
      <c r="B304" t="s">
        <v>4936</v>
      </c>
      <c r="C304" s="135"/>
      <c r="D304" s="135">
        <v>45757.791770833333</v>
      </c>
      <c r="E304" s="135">
        <v>45757.791770833333</v>
      </c>
      <c r="F304" t="s">
        <v>5239</v>
      </c>
    </row>
    <row r="305" spans="1:6" x14ac:dyDescent="0.25">
      <c r="A305" t="s">
        <v>5293</v>
      </c>
      <c r="B305" t="s">
        <v>4936</v>
      </c>
      <c r="C305" s="135"/>
      <c r="D305" s="135">
        <v>45758.291770833333</v>
      </c>
      <c r="E305" s="135">
        <v>45758.291770833333</v>
      </c>
      <c r="F305" t="s">
        <v>5239</v>
      </c>
    </row>
    <row r="306" spans="1:6" x14ac:dyDescent="0.25">
      <c r="A306" t="s">
        <v>5294</v>
      </c>
      <c r="B306" t="s">
        <v>4936</v>
      </c>
      <c r="C306" s="135"/>
      <c r="D306" s="135">
        <v>45726.291712962964</v>
      </c>
      <c r="E306" s="135">
        <v>45726.291712962964</v>
      </c>
      <c r="F306" t="s">
        <v>5239</v>
      </c>
    </row>
    <row r="307" spans="1:6" x14ac:dyDescent="0.25">
      <c r="A307" t="s">
        <v>5295</v>
      </c>
      <c r="B307" t="s">
        <v>4936</v>
      </c>
      <c r="C307" s="135"/>
      <c r="D307" s="135">
        <v>45726.791724537034</v>
      </c>
      <c r="E307" s="135">
        <v>45726.791724537034</v>
      </c>
      <c r="F307" t="s">
        <v>5239</v>
      </c>
    </row>
    <row r="308" spans="1:6" x14ac:dyDescent="0.25">
      <c r="A308" t="s">
        <v>5296</v>
      </c>
      <c r="B308" t="s">
        <v>4936</v>
      </c>
      <c r="C308" s="135"/>
      <c r="D308" s="135">
        <v>45727.29173611111</v>
      </c>
      <c r="E308" s="135">
        <v>45727.29173611111</v>
      </c>
      <c r="F308" t="s">
        <v>5239</v>
      </c>
    </row>
    <row r="309" spans="1:6" x14ac:dyDescent="0.25">
      <c r="A309" t="s">
        <v>5297</v>
      </c>
      <c r="B309" t="s">
        <v>4936</v>
      </c>
      <c r="C309" s="135"/>
      <c r="D309" s="135">
        <v>45727.791689814818</v>
      </c>
      <c r="E309" s="135">
        <v>45727.791689814818</v>
      </c>
      <c r="F309" t="s">
        <v>5239</v>
      </c>
    </row>
    <row r="310" spans="1:6" x14ac:dyDescent="0.25">
      <c r="A310" t="s">
        <v>5298</v>
      </c>
      <c r="B310" t="s">
        <v>4936</v>
      </c>
      <c r="C310" s="135"/>
      <c r="D310" s="135">
        <v>45391.304155092592</v>
      </c>
      <c r="E310" s="135">
        <v>45271.693391203706</v>
      </c>
      <c r="F310" t="s">
        <v>5113</v>
      </c>
    </row>
    <row r="311" spans="1:6" x14ac:dyDescent="0.25">
      <c r="A311" t="s">
        <v>5299</v>
      </c>
      <c r="B311" t="s">
        <v>4936</v>
      </c>
      <c r="C311" s="135"/>
      <c r="D311" s="135">
        <v>45744.681793981479</v>
      </c>
      <c r="E311" s="135">
        <v>45750.369942129626</v>
      </c>
      <c r="F311" t="s">
        <v>5300</v>
      </c>
    </row>
    <row r="312" spans="1:6" x14ac:dyDescent="0.25">
      <c r="A312" t="s">
        <v>5301</v>
      </c>
      <c r="B312" t="s">
        <v>4936</v>
      </c>
      <c r="C312" s="135"/>
      <c r="D312" s="135">
        <v>45744.41065972222</v>
      </c>
      <c r="E312" s="135">
        <v>45750.369953703703</v>
      </c>
      <c r="F312" t="s">
        <v>5300</v>
      </c>
    </row>
    <row r="313" spans="1:6" x14ac:dyDescent="0.25">
      <c r="A313" t="s">
        <v>5302</v>
      </c>
      <c r="B313" t="s">
        <v>4936</v>
      </c>
      <c r="C313" s="135"/>
      <c r="D313" s="135">
        <v>45153.733576388891</v>
      </c>
      <c r="E313" s="135">
        <v>45286.600370370368</v>
      </c>
      <c r="F313" t="s">
        <v>5303</v>
      </c>
    </row>
    <row r="314" spans="1:6" x14ac:dyDescent="0.25">
      <c r="A314" t="s">
        <v>5302</v>
      </c>
      <c r="B314" t="s">
        <v>4936</v>
      </c>
      <c r="C314" s="135"/>
      <c r="D314" s="135">
        <v>45153.733576388891</v>
      </c>
      <c r="E314" s="135">
        <v>45154.694780092592</v>
      </c>
      <c r="F314" t="s">
        <v>5304</v>
      </c>
    </row>
    <row r="315" spans="1:6" x14ac:dyDescent="0.25">
      <c r="A315" t="s">
        <v>5305</v>
      </c>
      <c r="B315" t="s">
        <v>4936</v>
      </c>
      <c r="C315" s="135"/>
      <c r="D315" s="135">
        <v>45153.733634259261</v>
      </c>
      <c r="E315" s="135">
        <v>45154.694780092592</v>
      </c>
      <c r="F315" t="s">
        <v>5306</v>
      </c>
    </row>
    <row r="316" spans="1:6" x14ac:dyDescent="0.25">
      <c r="A316" t="s">
        <v>5305</v>
      </c>
      <c r="B316" t="s">
        <v>4936</v>
      </c>
      <c r="C316" s="135"/>
      <c r="D316" s="135">
        <v>45153.733634259261</v>
      </c>
      <c r="E316" s="135">
        <v>45286.600393518522</v>
      </c>
      <c r="F316" t="s">
        <v>5307</v>
      </c>
    </row>
    <row r="317" spans="1:6" x14ac:dyDescent="0.25">
      <c r="A317" t="s">
        <v>5308</v>
      </c>
      <c r="B317" t="s">
        <v>4936</v>
      </c>
      <c r="C317" s="135"/>
      <c r="D317" s="135">
        <v>45153.733587962961</v>
      </c>
      <c r="E317" s="135">
        <v>45286.600381944445</v>
      </c>
      <c r="F317" t="s">
        <v>5309</v>
      </c>
    </row>
    <row r="318" spans="1:6" x14ac:dyDescent="0.25">
      <c r="A318" t="s">
        <v>5308</v>
      </c>
      <c r="B318" t="s">
        <v>4936</v>
      </c>
      <c r="C318" s="135"/>
      <c r="D318" s="135">
        <v>45153.733587962961</v>
      </c>
      <c r="E318" s="135">
        <v>45154.694780092592</v>
      </c>
      <c r="F318" t="s">
        <v>5310</v>
      </c>
    </row>
    <row r="319" spans="1:6" x14ac:dyDescent="0.25">
      <c r="A319" t="s">
        <v>5311</v>
      </c>
      <c r="B319" t="s">
        <v>4936</v>
      </c>
      <c r="C319" s="135"/>
      <c r="D319" s="135">
        <v>45153.733622685184</v>
      </c>
      <c r="E319" s="135">
        <v>45154.694780092592</v>
      </c>
      <c r="F319" t="s">
        <v>5312</v>
      </c>
    </row>
    <row r="320" spans="1:6" x14ac:dyDescent="0.25">
      <c r="A320" t="s">
        <v>5311</v>
      </c>
      <c r="B320" t="s">
        <v>4936</v>
      </c>
      <c r="C320" s="135"/>
      <c r="D320" s="135">
        <v>45153.733622685184</v>
      </c>
      <c r="E320" s="135">
        <v>45286.600381944445</v>
      </c>
      <c r="F320" t="s">
        <v>5313</v>
      </c>
    </row>
    <row r="321" spans="1:6" x14ac:dyDescent="0.25">
      <c r="A321" t="s">
        <v>5314</v>
      </c>
      <c r="B321" t="s">
        <v>4936</v>
      </c>
      <c r="C321" s="135"/>
      <c r="D321" s="135">
        <v>45153.733912037038</v>
      </c>
      <c r="E321" s="135">
        <v>45154.685150462959</v>
      </c>
      <c r="F321" t="s">
        <v>5315</v>
      </c>
    </row>
    <row r="322" spans="1:6" x14ac:dyDescent="0.25">
      <c r="A322" t="s">
        <v>5314</v>
      </c>
      <c r="B322" t="s">
        <v>4936</v>
      </c>
      <c r="C322" s="135"/>
      <c r="D322" s="135">
        <v>45153.733912037038</v>
      </c>
      <c r="E322" s="135">
        <v>45286.599965277775</v>
      </c>
      <c r="F322" t="s">
        <v>5316</v>
      </c>
    </row>
    <row r="323" spans="1:6" x14ac:dyDescent="0.25">
      <c r="A323" t="s">
        <v>5317</v>
      </c>
      <c r="B323" t="s">
        <v>4936</v>
      </c>
      <c r="C323" s="135"/>
      <c r="D323" s="135">
        <v>45153.733749999999</v>
      </c>
      <c r="E323" s="135">
        <v>45154.685150462959</v>
      </c>
      <c r="F323" t="s">
        <v>5318</v>
      </c>
    </row>
    <row r="324" spans="1:6" x14ac:dyDescent="0.25">
      <c r="A324" t="s">
        <v>5317</v>
      </c>
      <c r="B324" t="s">
        <v>4936</v>
      </c>
      <c r="C324" s="135"/>
      <c r="D324" s="135">
        <v>45153.733749999999</v>
      </c>
      <c r="E324" s="135">
        <v>45286.599965277775</v>
      </c>
      <c r="F324" t="s">
        <v>5319</v>
      </c>
    </row>
    <row r="325" spans="1:6" x14ac:dyDescent="0.25">
      <c r="A325" t="s">
        <v>5320</v>
      </c>
      <c r="B325" t="s">
        <v>4936</v>
      </c>
      <c r="C325" s="135"/>
      <c r="D325" s="135">
        <v>45153.734097222223</v>
      </c>
      <c r="E325" s="135">
        <v>45286.599965277775</v>
      </c>
      <c r="F325" t="s">
        <v>5321</v>
      </c>
    </row>
    <row r="326" spans="1:6" x14ac:dyDescent="0.25">
      <c r="A326" t="s">
        <v>5320</v>
      </c>
      <c r="B326" t="s">
        <v>4936</v>
      </c>
      <c r="C326" s="135"/>
      <c r="D326" s="135">
        <v>45153.734097222223</v>
      </c>
      <c r="E326" s="135">
        <v>45154.685081018521</v>
      </c>
      <c r="F326" t="s">
        <v>5322</v>
      </c>
    </row>
    <row r="327" spans="1:6" x14ac:dyDescent="0.25">
      <c r="A327" t="s">
        <v>5323</v>
      </c>
      <c r="B327" t="s">
        <v>5102</v>
      </c>
      <c r="C327" s="135"/>
      <c r="D327" s="135">
        <v>45698.665856481479</v>
      </c>
      <c r="E327" s="135">
        <v>45240.449548611112</v>
      </c>
      <c r="F327" t="s">
        <v>5324</v>
      </c>
    </row>
    <row r="328" spans="1:6" x14ac:dyDescent="0.25">
      <c r="A328" t="s">
        <v>5323</v>
      </c>
      <c r="B328" t="s">
        <v>5102</v>
      </c>
      <c r="C328" s="135"/>
      <c r="D328" s="135">
        <v>45742.409872685188</v>
      </c>
      <c r="E328" s="135">
        <v>45322.433136574073</v>
      </c>
      <c r="F328" t="s">
        <v>5325</v>
      </c>
    </row>
    <row r="329" spans="1:6" x14ac:dyDescent="0.25">
      <c r="A329" t="s">
        <v>5323</v>
      </c>
      <c r="B329" t="s">
        <v>5102</v>
      </c>
      <c r="C329" s="135"/>
      <c r="D329" s="135">
        <v>45758.480706018519</v>
      </c>
      <c r="E329" s="135">
        <v>45698.691759259258</v>
      </c>
      <c r="F329" t="s">
        <v>5326</v>
      </c>
    </row>
    <row r="330" spans="1:6" x14ac:dyDescent="0.25">
      <c r="A330" t="s">
        <v>5327</v>
      </c>
      <c r="B330" t="s">
        <v>5102</v>
      </c>
      <c r="C330" s="135"/>
      <c r="D330" s="135">
        <v>45698.452418981484</v>
      </c>
      <c r="E330" s="135">
        <v>45240.449548611112</v>
      </c>
      <c r="F330" t="s">
        <v>5324</v>
      </c>
    </row>
    <row r="331" spans="1:6" x14ac:dyDescent="0.25">
      <c r="A331" t="s">
        <v>5328</v>
      </c>
      <c r="B331" t="s">
        <v>5102</v>
      </c>
      <c r="C331" s="135"/>
      <c r="D331" s="135">
        <v>45742.414918981478</v>
      </c>
      <c r="E331" s="135">
        <v>45415.485231481478</v>
      </c>
      <c r="F331" t="s">
        <v>5325</v>
      </c>
    </row>
    <row r="332" spans="1:6" x14ac:dyDescent="0.25">
      <c r="A332" t="s">
        <v>5329</v>
      </c>
      <c r="B332" t="s">
        <v>5102</v>
      </c>
      <c r="C332" s="135"/>
      <c r="D332" s="135">
        <v>45742.420092592591</v>
      </c>
      <c r="E332" s="135">
        <v>45572.587743055556</v>
      </c>
      <c r="F332" t="s">
        <v>5325</v>
      </c>
    </row>
    <row r="333" spans="1:6" x14ac:dyDescent="0.25">
      <c r="A333" t="s">
        <v>5329</v>
      </c>
      <c r="B333" t="s">
        <v>5102</v>
      </c>
      <c r="C333" s="135"/>
      <c r="D333" s="135">
        <v>45698.453599537039</v>
      </c>
      <c r="E333" s="135">
        <v>45240.449537037035</v>
      </c>
      <c r="F333" t="s">
        <v>5324</v>
      </c>
    </row>
    <row r="334" spans="1:6" x14ac:dyDescent="0.25">
      <c r="A334" t="s">
        <v>5330</v>
      </c>
      <c r="B334" t="s">
        <v>5102</v>
      </c>
      <c r="C334" s="135"/>
      <c r="D334" s="135">
        <v>45758.481458333335</v>
      </c>
      <c r="E334" s="135">
        <v>45698.692499999997</v>
      </c>
      <c r="F334" t="s">
        <v>5326</v>
      </c>
    </row>
    <row r="335" spans="1:6" x14ac:dyDescent="0.25">
      <c r="A335" t="s">
        <v>5330</v>
      </c>
      <c r="B335" t="s">
        <v>5102</v>
      </c>
      <c r="C335" s="135"/>
      <c r="D335" s="135">
        <v>45698.454780092594</v>
      </c>
      <c r="E335" s="135">
        <v>45240.449537037035</v>
      </c>
      <c r="F335" t="s">
        <v>5324</v>
      </c>
    </row>
    <row r="336" spans="1:6" x14ac:dyDescent="0.25">
      <c r="A336" t="s">
        <v>5330</v>
      </c>
      <c r="B336" t="s">
        <v>5102</v>
      </c>
      <c r="C336" s="135"/>
      <c r="D336" s="135">
        <v>45742.410208333335</v>
      </c>
      <c r="E336" s="135">
        <v>45322.433148148149</v>
      </c>
      <c r="F336" t="s">
        <v>5325</v>
      </c>
    </row>
    <row r="337" spans="1:6" x14ac:dyDescent="0.25">
      <c r="A337" t="s">
        <v>5331</v>
      </c>
      <c r="B337" t="s">
        <v>5102</v>
      </c>
      <c r="C337" s="135"/>
      <c r="D337" s="135">
        <v>45742.415370370371</v>
      </c>
      <c r="E337" s="135">
        <v>45420.458124999997</v>
      </c>
      <c r="F337" t="s">
        <v>5325</v>
      </c>
    </row>
    <row r="338" spans="1:6" x14ac:dyDescent="0.25">
      <c r="A338" t="s">
        <v>5332</v>
      </c>
      <c r="B338" t="s">
        <v>5102</v>
      </c>
      <c r="C338" s="135"/>
      <c r="D338" s="135">
        <v>45698.468900462962</v>
      </c>
      <c r="E338" s="135">
        <v>45240.449537037035</v>
      </c>
      <c r="F338" t="s">
        <v>5324</v>
      </c>
    </row>
    <row r="339" spans="1:6" x14ac:dyDescent="0.25">
      <c r="A339" t="s">
        <v>5333</v>
      </c>
      <c r="B339" t="s">
        <v>5102</v>
      </c>
      <c r="C339" s="135"/>
      <c r="D339" s="135">
        <v>45742.420393518521</v>
      </c>
      <c r="E339" s="135">
        <v>45541.63417824074</v>
      </c>
      <c r="F339" t="s">
        <v>5325</v>
      </c>
    </row>
    <row r="340" spans="1:6" x14ac:dyDescent="0.25">
      <c r="A340" t="s">
        <v>5333</v>
      </c>
      <c r="B340" t="s">
        <v>5102</v>
      </c>
      <c r="C340" s="135"/>
      <c r="D340" s="135">
        <v>45698.563101851854</v>
      </c>
      <c r="E340" s="135">
        <v>45240.449537037035</v>
      </c>
      <c r="F340" t="s">
        <v>5324</v>
      </c>
    </row>
    <row r="341" spans="1:6" x14ac:dyDescent="0.25">
      <c r="A341" t="s">
        <v>5334</v>
      </c>
      <c r="B341" t="s">
        <v>5102</v>
      </c>
      <c r="C341" s="135"/>
      <c r="D341" s="135">
        <v>45758.48400462963</v>
      </c>
      <c r="E341" s="135">
        <v>45698.700185185182</v>
      </c>
      <c r="F341" t="s">
        <v>5326</v>
      </c>
    </row>
    <row r="342" spans="1:6" x14ac:dyDescent="0.25">
      <c r="A342" t="s">
        <v>5334</v>
      </c>
      <c r="B342" t="s">
        <v>5102</v>
      </c>
      <c r="C342" s="135"/>
      <c r="D342" s="135">
        <v>45742.413402777776</v>
      </c>
      <c r="E342" s="135">
        <v>45322.433148148149</v>
      </c>
      <c r="F342" t="s">
        <v>5325</v>
      </c>
    </row>
    <row r="343" spans="1:6" x14ac:dyDescent="0.25">
      <c r="A343" t="s">
        <v>5334</v>
      </c>
      <c r="B343" t="s">
        <v>5102</v>
      </c>
      <c r="C343" s="135"/>
      <c r="D343" s="135">
        <v>45698.574189814812</v>
      </c>
      <c r="E343" s="135">
        <v>45240.449537037035</v>
      </c>
      <c r="F343" t="s">
        <v>5324</v>
      </c>
    </row>
    <row r="344" spans="1:6" x14ac:dyDescent="0.25">
      <c r="A344" t="s">
        <v>5335</v>
      </c>
      <c r="B344" t="s">
        <v>5102</v>
      </c>
      <c r="C344" s="135"/>
      <c r="D344" s="135">
        <v>45698.580497685187</v>
      </c>
      <c r="E344" s="135">
        <v>45240.449525462966</v>
      </c>
      <c r="F344" t="s">
        <v>5324</v>
      </c>
    </row>
    <row r="345" spans="1:6" x14ac:dyDescent="0.25">
      <c r="A345" t="s">
        <v>5336</v>
      </c>
      <c r="B345" t="s">
        <v>5102</v>
      </c>
      <c r="C345" s="135"/>
      <c r="D345" s="135">
        <v>45742.419050925928</v>
      </c>
      <c r="E345" s="135">
        <v>45414.426886574074</v>
      </c>
      <c r="F345" t="s">
        <v>5325</v>
      </c>
    </row>
    <row r="346" spans="1:6" x14ac:dyDescent="0.25">
      <c r="A346" t="s">
        <v>5337</v>
      </c>
      <c r="B346" t="s">
        <v>5102</v>
      </c>
      <c r="C346" s="135"/>
      <c r="D346" s="135">
        <v>45742.422326388885</v>
      </c>
      <c r="E346" s="135">
        <v>45537.565520833334</v>
      </c>
      <c r="F346" t="s">
        <v>5325</v>
      </c>
    </row>
    <row r="347" spans="1:6" x14ac:dyDescent="0.25">
      <c r="A347" t="s">
        <v>5337</v>
      </c>
      <c r="B347" t="s">
        <v>5102</v>
      </c>
      <c r="C347" s="135"/>
      <c r="D347" s="135">
        <v>45698.589085648149</v>
      </c>
      <c r="E347" s="135">
        <v>45240.449525462966</v>
      </c>
      <c r="F347" t="s">
        <v>5324</v>
      </c>
    </row>
    <row r="348" spans="1:6" x14ac:dyDescent="0.25">
      <c r="A348" t="s">
        <v>5338</v>
      </c>
      <c r="B348" t="s">
        <v>5102</v>
      </c>
      <c r="C348" s="135"/>
      <c r="D348" s="135">
        <v>45742.413703703707</v>
      </c>
      <c r="E348" s="135">
        <v>45322.433125000003</v>
      </c>
      <c r="F348" t="s">
        <v>5325</v>
      </c>
    </row>
    <row r="349" spans="1:6" x14ac:dyDescent="0.25">
      <c r="A349" t="s">
        <v>5338</v>
      </c>
      <c r="B349" t="s">
        <v>5102</v>
      </c>
      <c r="C349" s="135"/>
      <c r="D349" s="135">
        <v>45698.589930555558</v>
      </c>
      <c r="E349" s="135">
        <v>45240.449525462966</v>
      </c>
      <c r="F349" t="s">
        <v>5324</v>
      </c>
    </row>
    <row r="350" spans="1:6" x14ac:dyDescent="0.25">
      <c r="A350" t="s">
        <v>5338</v>
      </c>
      <c r="B350" t="s">
        <v>5102</v>
      </c>
      <c r="C350" s="135"/>
      <c r="D350" s="135">
        <v>45758.485868055555</v>
      </c>
      <c r="E350" s="135">
        <v>45698.694398148145</v>
      </c>
      <c r="F350" t="s">
        <v>5326</v>
      </c>
    </row>
    <row r="351" spans="1:6" x14ac:dyDescent="0.25">
      <c r="A351" t="s">
        <v>5339</v>
      </c>
      <c r="B351" t="s">
        <v>5102</v>
      </c>
      <c r="C351" s="135"/>
      <c r="D351" s="135">
        <v>45742.419340277775</v>
      </c>
      <c r="E351" s="135">
        <v>45422.693425925929</v>
      </c>
      <c r="F351" t="s">
        <v>5325</v>
      </c>
    </row>
    <row r="352" spans="1:6" x14ac:dyDescent="0.25">
      <c r="A352" t="s">
        <v>5340</v>
      </c>
      <c r="B352" t="s">
        <v>5102</v>
      </c>
      <c r="C352" s="135"/>
      <c r="D352" s="135">
        <v>45698.591620370367</v>
      </c>
      <c r="E352" s="135">
        <v>45240.449525462966</v>
      </c>
      <c r="F352" t="s">
        <v>5324</v>
      </c>
    </row>
    <row r="353" spans="1:6" x14ac:dyDescent="0.25">
      <c r="A353" t="s">
        <v>5341</v>
      </c>
      <c r="B353" t="s">
        <v>5102</v>
      </c>
      <c r="C353" s="135"/>
      <c r="D353" s="135">
        <v>45698.594895833332</v>
      </c>
      <c r="E353" s="135">
        <v>45240.449513888889</v>
      </c>
      <c r="F353" t="s">
        <v>5324</v>
      </c>
    </row>
    <row r="354" spans="1:6" x14ac:dyDescent="0.25">
      <c r="A354" t="s">
        <v>5341</v>
      </c>
      <c r="B354" t="s">
        <v>5102</v>
      </c>
      <c r="C354" s="135"/>
      <c r="D354" s="135">
        <v>45742.422638888886</v>
      </c>
      <c r="E354" s="135">
        <v>45642.669988425929</v>
      </c>
      <c r="F354" t="s">
        <v>5325</v>
      </c>
    </row>
    <row r="355" spans="1:6" x14ac:dyDescent="0.25">
      <c r="A355" t="s">
        <v>5342</v>
      </c>
      <c r="B355" t="s">
        <v>4936</v>
      </c>
      <c r="C355" s="135"/>
      <c r="D355" s="135">
        <v>45747.396620370368</v>
      </c>
      <c r="E355" s="135">
        <v>45203.567731481482</v>
      </c>
      <c r="F355" t="s">
        <v>5175</v>
      </c>
    </row>
    <row r="356" spans="1:6" x14ac:dyDescent="0.25">
      <c r="A356" t="s">
        <v>5343</v>
      </c>
      <c r="B356" t="s">
        <v>4936</v>
      </c>
      <c r="C356" s="135"/>
      <c r="D356" s="135">
        <v>45741.442442129628</v>
      </c>
      <c r="E356" s="135">
        <v>45449.395185185182</v>
      </c>
      <c r="F356" t="s">
        <v>5177</v>
      </c>
    </row>
    <row r="357" spans="1:6" x14ac:dyDescent="0.25">
      <c r="A357" t="s">
        <v>5343</v>
      </c>
      <c r="B357" t="s">
        <v>4936</v>
      </c>
      <c r="C357" s="135"/>
      <c r="D357" s="135">
        <v>45443.581446759257</v>
      </c>
      <c r="E357" s="135">
        <v>45449.684710648151</v>
      </c>
      <c r="F357" t="s">
        <v>5237</v>
      </c>
    </row>
    <row r="358" spans="1:6" x14ac:dyDescent="0.25">
      <c r="A358" t="s">
        <v>5344</v>
      </c>
      <c r="B358" t="s">
        <v>4936</v>
      </c>
      <c r="C358" s="135"/>
      <c r="D358" s="135">
        <v>45757.56821759259</v>
      </c>
      <c r="E358" s="135">
        <v>45699.46707175926</v>
      </c>
      <c r="F358" t="s">
        <v>5179</v>
      </c>
    </row>
    <row r="359" spans="1:6" x14ac:dyDescent="0.25">
      <c r="A359" t="s">
        <v>5344</v>
      </c>
      <c r="B359" t="s">
        <v>4936</v>
      </c>
      <c r="C359" s="135"/>
      <c r="D359" s="135">
        <v>45723.388935185183</v>
      </c>
      <c r="E359" s="135">
        <v>45723.388935185183</v>
      </c>
      <c r="F359" t="s">
        <v>5239</v>
      </c>
    </row>
    <row r="360" spans="1:6" x14ac:dyDescent="0.25">
      <c r="A360" t="s">
        <v>5345</v>
      </c>
      <c r="B360" t="s">
        <v>4936</v>
      </c>
      <c r="C360" s="135"/>
      <c r="D360" s="135">
        <v>45723.791712962964</v>
      </c>
      <c r="E360" s="135">
        <v>45723.791712962964</v>
      </c>
      <c r="F360" t="s">
        <v>5239</v>
      </c>
    </row>
    <row r="361" spans="1:6" x14ac:dyDescent="0.25">
      <c r="A361" t="s">
        <v>5346</v>
      </c>
      <c r="B361" t="s">
        <v>4936</v>
      </c>
      <c r="C361" s="135"/>
      <c r="D361" s="135">
        <v>45728.291747685187</v>
      </c>
      <c r="E361" s="135">
        <v>45728.291747685187</v>
      </c>
      <c r="F361" t="s">
        <v>5239</v>
      </c>
    </row>
    <row r="362" spans="1:6" x14ac:dyDescent="0.25">
      <c r="A362" t="s">
        <v>5347</v>
      </c>
      <c r="B362" t="s">
        <v>4936</v>
      </c>
      <c r="C362" s="135"/>
      <c r="D362" s="135">
        <v>45728.791724537034</v>
      </c>
      <c r="E362" s="135">
        <v>45728.791724537034</v>
      </c>
      <c r="F362" t="s">
        <v>5239</v>
      </c>
    </row>
    <row r="363" spans="1:6" x14ac:dyDescent="0.25">
      <c r="A363" t="s">
        <v>5348</v>
      </c>
      <c r="B363" t="s">
        <v>4936</v>
      </c>
      <c r="C363" s="135"/>
      <c r="D363" s="135">
        <v>45729.29173611111</v>
      </c>
      <c r="E363" s="135">
        <v>45729.29173611111</v>
      </c>
      <c r="F363" t="s">
        <v>5239</v>
      </c>
    </row>
    <row r="364" spans="1:6" x14ac:dyDescent="0.25">
      <c r="A364" t="s">
        <v>5349</v>
      </c>
      <c r="B364" t="s">
        <v>4936</v>
      </c>
      <c r="C364" s="135"/>
      <c r="D364" s="135">
        <v>45729.791701388887</v>
      </c>
      <c r="E364" s="135">
        <v>45729.791701388887</v>
      </c>
      <c r="F364" t="s">
        <v>5239</v>
      </c>
    </row>
    <row r="365" spans="1:6" x14ac:dyDescent="0.25">
      <c r="A365" t="s">
        <v>5350</v>
      </c>
      <c r="B365" t="s">
        <v>4936</v>
      </c>
      <c r="C365" s="135"/>
      <c r="D365" s="135">
        <v>45730.291701388887</v>
      </c>
      <c r="E365" s="135">
        <v>45730.291701388887</v>
      </c>
      <c r="F365" t="s">
        <v>5239</v>
      </c>
    </row>
    <row r="366" spans="1:6" x14ac:dyDescent="0.25">
      <c r="A366" t="s">
        <v>5351</v>
      </c>
      <c r="B366" t="s">
        <v>4936</v>
      </c>
      <c r="C366" s="135"/>
      <c r="D366" s="135">
        <v>45730.79173611111</v>
      </c>
      <c r="E366" s="135">
        <v>45730.79173611111</v>
      </c>
      <c r="F366" t="s">
        <v>5239</v>
      </c>
    </row>
    <row r="367" spans="1:6" x14ac:dyDescent="0.25">
      <c r="A367" t="s">
        <v>5352</v>
      </c>
      <c r="B367" t="s">
        <v>4936</v>
      </c>
      <c r="C367" s="135"/>
      <c r="D367" s="135">
        <v>45731.291724537034</v>
      </c>
      <c r="E367" s="135">
        <v>45731.291724537034</v>
      </c>
      <c r="F367" t="s">
        <v>5239</v>
      </c>
    </row>
    <row r="368" spans="1:6" x14ac:dyDescent="0.25">
      <c r="A368" t="s">
        <v>5353</v>
      </c>
      <c r="B368" t="s">
        <v>4936</v>
      </c>
      <c r="C368" s="135"/>
      <c r="D368" s="135">
        <v>45731.791712962964</v>
      </c>
      <c r="E368" s="135">
        <v>45731.791712962964</v>
      </c>
      <c r="F368" t="s">
        <v>5239</v>
      </c>
    </row>
    <row r="369" spans="1:6" x14ac:dyDescent="0.25">
      <c r="A369" t="s">
        <v>5354</v>
      </c>
      <c r="B369" t="s">
        <v>4936</v>
      </c>
      <c r="C369" s="135"/>
      <c r="D369" s="135">
        <v>45732.291712962964</v>
      </c>
      <c r="E369" s="135">
        <v>45732.291712962964</v>
      </c>
      <c r="F369" t="s">
        <v>5239</v>
      </c>
    </row>
    <row r="370" spans="1:6" x14ac:dyDescent="0.25">
      <c r="A370" t="s">
        <v>5355</v>
      </c>
      <c r="B370" t="s">
        <v>4936</v>
      </c>
      <c r="C370" s="135"/>
      <c r="D370" s="135">
        <v>45732.791712962964</v>
      </c>
      <c r="E370" s="135">
        <v>45732.791712962964</v>
      </c>
      <c r="F370" t="s">
        <v>5239</v>
      </c>
    </row>
    <row r="371" spans="1:6" x14ac:dyDescent="0.25">
      <c r="A371" t="s">
        <v>5356</v>
      </c>
      <c r="B371" t="s">
        <v>4936</v>
      </c>
      <c r="C371" s="135"/>
      <c r="D371" s="135">
        <v>45724.291759259257</v>
      </c>
      <c r="E371" s="135">
        <v>45724.291759259257</v>
      </c>
      <c r="F371" t="s">
        <v>5239</v>
      </c>
    </row>
    <row r="372" spans="1:6" x14ac:dyDescent="0.25">
      <c r="A372" t="s">
        <v>5357</v>
      </c>
      <c r="B372" t="s">
        <v>4936</v>
      </c>
      <c r="C372" s="135"/>
      <c r="D372" s="135">
        <v>45733.291712962964</v>
      </c>
      <c r="E372" s="135">
        <v>45733.291712962964</v>
      </c>
      <c r="F372" t="s">
        <v>5239</v>
      </c>
    </row>
    <row r="373" spans="1:6" x14ac:dyDescent="0.25">
      <c r="A373" t="s">
        <v>5358</v>
      </c>
      <c r="B373" t="s">
        <v>4936</v>
      </c>
      <c r="C373" s="135"/>
      <c r="D373" s="135">
        <v>45733.791724537034</v>
      </c>
      <c r="E373" s="135">
        <v>45733.791724537034</v>
      </c>
      <c r="F373" t="s">
        <v>5239</v>
      </c>
    </row>
    <row r="374" spans="1:6" x14ac:dyDescent="0.25">
      <c r="A374" t="s">
        <v>5359</v>
      </c>
      <c r="B374" t="s">
        <v>4936</v>
      </c>
      <c r="C374" s="135"/>
      <c r="D374" s="135">
        <v>45734.291724537034</v>
      </c>
      <c r="E374" s="135">
        <v>45734.291724537034</v>
      </c>
      <c r="F374" t="s">
        <v>5239</v>
      </c>
    </row>
    <row r="375" spans="1:6" x14ac:dyDescent="0.25">
      <c r="A375" t="s">
        <v>5360</v>
      </c>
      <c r="B375" t="s">
        <v>4936</v>
      </c>
      <c r="C375" s="135"/>
      <c r="D375" s="135">
        <v>45734.791747685187</v>
      </c>
      <c r="E375" s="135">
        <v>45734.791747685187</v>
      </c>
      <c r="F375" t="s">
        <v>5239</v>
      </c>
    </row>
    <row r="376" spans="1:6" x14ac:dyDescent="0.25">
      <c r="A376" t="s">
        <v>5361</v>
      </c>
      <c r="B376" t="s">
        <v>4936</v>
      </c>
      <c r="C376" s="135"/>
      <c r="D376" s="135">
        <v>45735.291701388887</v>
      </c>
      <c r="E376" s="135">
        <v>45735.291701388887</v>
      </c>
      <c r="F376" t="s">
        <v>5239</v>
      </c>
    </row>
    <row r="377" spans="1:6" x14ac:dyDescent="0.25">
      <c r="A377" t="s">
        <v>5362</v>
      </c>
      <c r="B377" t="s">
        <v>4936</v>
      </c>
      <c r="C377" s="135"/>
      <c r="D377" s="135">
        <v>45735.79173611111</v>
      </c>
      <c r="E377" s="135">
        <v>45735.79173611111</v>
      </c>
      <c r="F377" t="s">
        <v>5239</v>
      </c>
    </row>
    <row r="378" spans="1:6" x14ac:dyDescent="0.25">
      <c r="A378" t="s">
        <v>5363</v>
      </c>
      <c r="B378" t="s">
        <v>4936</v>
      </c>
      <c r="C378" s="135"/>
      <c r="D378" s="135">
        <v>45736.29173611111</v>
      </c>
      <c r="E378" s="135">
        <v>45736.29173611111</v>
      </c>
      <c r="F378" t="s">
        <v>5239</v>
      </c>
    </row>
    <row r="379" spans="1:6" x14ac:dyDescent="0.25">
      <c r="A379" t="s">
        <v>5364</v>
      </c>
      <c r="B379" t="s">
        <v>4936</v>
      </c>
      <c r="C379" s="135"/>
      <c r="D379" s="135">
        <v>45736.791724537034</v>
      </c>
      <c r="E379" s="135">
        <v>45736.791724537034</v>
      </c>
      <c r="F379" t="s">
        <v>5239</v>
      </c>
    </row>
    <row r="380" spans="1:6" x14ac:dyDescent="0.25">
      <c r="A380" t="s">
        <v>5365</v>
      </c>
      <c r="B380" t="s">
        <v>4936</v>
      </c>
      <c r="C380" s="135"/>
      <c r="D380" s="135">
        <v>45737.291747685187</v>
      </c>
      <c r="E380" s="135">
        <v>45737.291747685187</v>
      </c>
      <c r="F380" t="s">
        <v>5239</v>
      </c>
    </row>
    <row r="381" spans="1:6" x14ac:dyDescent="0.25">
      <c r="A381" t="s">
        <v>5366</v>
      </c>
      <c r="B381" t="s">
        <v>4936</v>
      </c>
      <c r="C381" s="135"/>
      <c r="D381" s="135">
        <v>45737.79173611111</v>
      </c>
      <c r="E381" s="135">
        <v>45737.79173611111</v>
      </c>
      <c r="F381" t="s">
        <v>5239</v>
      </c>
    </row>
    <row r="382" spans="1:6" x14ac:dyDescent="0.25">
      <c r="A382" t="s">
        <v>5367</v>
      </c>
      <c r="B382" t="s">
        <v>4936</v>
      </c>
      <c r="C382" s="135"/>
      <c r="D382" s="135">
        <v>45724.791701388887</v>
      </c>
      <c r="E382" s="135">
        <v>45724.791701388887</v>
      </c>
      <c r="F382" t="s">
        <v>5239</v>
      </c>
    </row>
    <row r="383" spans="1:6" x14ac:dyDescent="0.25">
      <c r="A383" t="s">
        <v>5368</v>
      </c>
      <c r="B383" t="s">
        <v>4936</v>
      </c>
      <c r="C383" s="135"/>
      <c r="D383" s="135">
        <v>45738.29173611111</v>
      </c>
      <c r="E383" s="135">
        <v>45738.29173611111</v>
      </c>
      <c r="F383" t="s">
        <v>5239</v>
      </c>
    </row>
    <row r="384" spans="1:6" x14ac:dyDescent="0.25">
      <c r="A384" t="s">
        <v>5369</v>
      </c>
      <c r="B384" t="s">
        <v>4936</v>
      </c>
      <c r="C384" s="135"/>
      <c r="D384" s="135">
        <v>45738.79173611111</v>
      </c>
      <c r="E384" s="135">
        <v>45738.79173611111</v>
      </c>
      <c r="F384" t="s">
        <v>5239</v>
      </c>
    </row>
    <row r="385" spans="1:6" x14ac:dyDescent="0.25">
      <c r="A385" t="s">
        <v>5370</v>
      </c>
      <c r="B385" t="s">
        <v>4936</v>
      </c>
      <c r="C385" s="135"/>
      <c r="D385" s="135">
        <v>45739.291712962964</v>
      </c>
      <c r="E385" s="135">
        <v>45739.291712962964</v>
      </c>
      <c r="F385" t="s">
        <v>5239</v>
      </c>
    </row>
    <row r="386" spans="1:6" x14ac:dyDescent="0.25">
      <c r="A386" t="s">
        <v>5371</v>
      </c>
      <c r="B386" t="s">
        <v>4936</v>
      </c>
      <c r="C386" s="135"/>
      <c r="D386" s="135">
        <v>45739.791724537034</v>
      </c>
      <c r="E386" s="135">
        <v>45739.791724537034</v>
      </c>
      <c r="F386" t="s">
        <v>5239</v>
      </c>
    </row>
    <row r="387" spans="1:6" x14ac:dyDescent="0.25">
      <c r="A387" t="s">
        <v>5372</v>
      </c>
      <c r="B387" t="s">
        <v>4936</v>
      </c>
      <c r="C387" s="135"/>
      <c r="D387" s="135">
        <v>45740.29173611111</v>
      </c>
      <c r="E387" s="135">
        <v>45740.29173611111</v>
      </c>
      <c r="F387" t="s">
        <v>5239</v>
      </c>
    </row>
    <row r="388" spans="1:6" x14ac:dyDescent="0.25">
      <c r="A388" t="s">
        <v>5373</v>
      </c>
      <c r="B388" t="s">
        <v>4936</v>
      </c>
      <c r="C388" s="135"/>
      <c r="D388" s="135">
        <v>45740.791724537034</v>
      </c>
      <c r="E388" s="135">
        <v>45740.791724537034</v>
      </c>
      <c r="F388" t="s">
        <v>5239</v>
      </c>
    </row>
    <row r="389" spans="1:6" x14ac:dyDescent="0.25">
      <c r="A389" t="s">
        <v>5374</v>
      </c>
      <c r="B389" t="s">
        <v>4936</v>
      </c>
      <c r="C389" s="135"/>
      <c r="D389" s="135">
        <v>45741.29173611111</v>
      </c>
      <c r="E389" s="135">
        <v>45741.29173611111</v>
      </c>
      <c r="F389" t="s">
        <v>5239</v>
      </c>
    </row>
    <row r="390" spans="1:6" x14ac:dyDescent="0.25">
      <c r="A390" t="s">
        <v>5375</v>
      </c>
      <c r="B390" t="s">
        <v>4936</v>
      </c>
      <c r="C390" s="135"/>
      <c r="D390" s="135">
        <v>45747.791712962964</v>
      </c>
      <c r="E390" s="135">
        <v>45747.791712962964</v>
      </c>
      <c r="F390" t="s">
        <v>5239</v>
      </c>
    </row>
    <row r="391" spans="1:6" x14ac:dyDescent="0.25">
      <c r="A391" t="s">
        <v>5376</v>
      </c>
      <c r="B391" t="s">
        <v>4936</v>
      </c>
      <c r="C391" s="135"/>
      <c r="D391" s="135">
        <v>45748.29173611111</v>
      </c>
      <c r="E391" s="135">
        <v>45748.29173611111</v>
      </c>
      <c r="F391" t="s">
        <v>5239</v>
      </c>
    </row>
    <row r="392" spans="1:6" x14ac:dyDescent="0.25">
      <c r="A392" t="s">
        <v>5377</v>
      </c>
      <c r="B392" t="s">
        <v>4936</v>
      </c>
      <c r="C392" s="135"/>
      <c r="D392" s="135">
        <v>45748.791712962964</v>
      </c>
      <c r="E392" s="135">
        <v>45748.791712962964</v>
      </c>
      <c r="F392" t="s">
        <v>5239</v>
      </c>
    </row>
    <row r="393" spans="1:6" x14ac:dyDescent="0.25">
      <c r="A393" t="s">
        <v>5378</v>
      </c>
      <c r="B393" t="s">
        <v>4936</v>
      </c>
      <c r="C393" s="135"/>
      <c r="D393" s="135">
        <v>45725.291724537034</v>
      </c>
      <c r="E393" s="135">
        <v>45725.291724537034</v>
      </c>
      <c r="F393" t="s">
        <v>5239</v>
      </c>
    </row>
    <row r="394" spans="1:6" x14ac:dyDescent="0.25">
      <c r="A394" t="s">
        <v>5379</v>
      </c>
      <c r="B394" t="s">
        <v>4936</v>
      </c>
      <c r="C394" s="135"/>
      <c r="D394" s="135">
        <v>45749.291724537034</v>
      </c>
      <c r="E394" s="135">
        <v>45749.291724537034</v>
      </c>
      <c r="F394" t="s">
        <v>5239</v>
      </c>
    </row>
    <row r="395" spans="1:6" x14ac:dyDescent="0.25">
      <c r="A395" t="s">
        <v>5380</v>
      </c>
      <c r="B395" t="s">
        <v>4936</v>
      </c>
      <c r="C395" s="135"/>
      <c r="D395" s="135">
        <v>45749.791712962964</v>
      </c>
      <c r="E395" s="135">
        <v>45749.791712962964</v>
      </c>
      <c r="F395" t="s">
        <v>5239</v>
      </c>
    </row>
    <row r="396" spans="1:6" x14ac:dyDescent="0.25">
      <c r="A396" t="s">
        <v>5381</v>
      </c>
      <c r="B396" t="s">
        <v>4936</v>
      </c>
      <c r="C396" s="135"/>
      <c r="D396" s="135">
        <v>45750.29173611111</v>
      </c>
      <c r="E396" s="135">
        <v>45750.29173611111</v>
      </c>
      <c r="F396" t="s">
        <v>5239</v>
      </c>
    </row>
    <row r="397" spans="1:6" x14ac:dyDescent="0.25">
      <c r="A397" t="s">
        <v>5382</v>
      </c>
      <c r="B397" t="s">
        <v>4936</v>
      </c>
      <c r="C397" s="135"/>
      <c r="D397" s="135">
        <v>45750.791724537034</v>
      </c>
      <c r="E397" s="135">
        <v>45750.791724537034</v>
      </c>
      <c r="F397" t="s">
        <v>5239</v>
      </c>
    </row>
    <row r="398" spans="1:6" x14ac:dyDescent="0.25">
      <c r="A398" t="s">
        <v>5383</v>
      </c>
      <c r="B398" t="s">
        <v>4936</v>
      </c>
      <c r="C398" s="135"/>
      <c r="D398" s="135">
        <v>45751.291724537034</v>
      </c>
      <c r="E398" s="135">
        <v>45751.291724537034</v>
      </c>
      <c r="F398" t="s">
        <v>5239</v>
      </c>
    </row>
    <row r="399" spans="1:6" x14ac:dyDescent="0.25">
      <c r="A399" t="s">
        <v>5384</v>
      </c>
      <c r="B399" t="s">
        <v>4936</v>
      </c>
      <c r="C399" s="135"/>
      <c r="D399" s="135">
        <v>45751.791701388887</v>
      </c>
      <c r="E399" s="135">
        <v>45751.791701388887</v>
      </c>
      <c r="F399" t="s">
        <v>5239</v>
      </c>
    </row>
    <row r="400" spans="1:6" x14ac:dyDescent="0.25">
      <c r="A400" t="s">
        <v>5385</v>
      </c>
      <c r="B400" t="s">
        <v>4936</v>
      </c>
      <c r="C400" s="135"/>
      <c r="D400" s="135">
        <v>45752.291724537034</v>
      </c>
      <c r="E400" s="135">
        <v>45752.291724537034</v>
      </c>
      <c r="F400" t="s">
        <v>5239</v>
      </c>
    </row>
    <row r="401" spans="1:6" x14ac:dyDescent="0.25">
      <c r="A401" t="s">
        <v>5386</v>
      </c>
      <c r="B401" t="s">
        <v>4936</v>
      </c>
      <c r="C401" s="135"/>
      <c r="D401" s="135">
        <v>45752.79173611111</v>
      </c>
      <c r="E401" s="135">
        <v>45752.79173611111</v>
      </c>
      <c r="F401" t="s">
        <v>5239</v>
      </c>
    </row>
    <row r="402" spans="1:6" x14ac:dyDescent="0.25">
      <c r="A402" t="s">
        <v>5387</v>
      </c>
      <c r="B402" t="s">
        <v>4936</v>
      </c>
      <c r="C402" s="135"/>
      <c r="D402" s="135">
        <v>45753.29173611111</v>
      </c>
      <c r="E402" s="135">
        <v>45753.29173611111</v>
      </c>
      <c r="F402" t="s">
        <v>5239</v>
      </c>
    </row>
    <row r="403" spans="1:6" x14ac:dyDescent="0.25">
      <c r="A403" t="s">
        <v>5388</v>
      </c>
      <c r="B403" t="s">
        <v>4936</v>
      </c>
      <c r="C403" s="135"/>
      <c r="D403" s="135">
        <v>45753.791712962964</v>
      </c>
      <c r="E403" s="135">
        <v>45753.791712962964</v>
      </c>
      <c r="F403" t="s">
        <v>5239</v>
      </c>
    </row>
    <row r="404" spans="1:6" x14ac:dyDescent="0.25">
      <c r="A404" t="s">
        <v>5389</v>
      </c>
      <c r="B404" t="s">
        <v>4936</v>
      </c>
      <c r="C404" s="135"/>
      <c r="D404" s="135">
        <v>45725.79173611111</v>
      </c>
      <c r="E404" s="135">
        <v>45725.79173611111</v>
      </c>
      <c r="F404" t="s">
        <v>5239</v>
      </c>
    </row>
    <row r="405" spans="1:6" x14ac:dyDescent="0.25">
      <c r="A405" t="s">
        <v>5390</v>
      </c>
      <c r="B405" t="s">
        <v>4936</v>
      </c>
      <c r="C405" s="135"/>
      <c r="D405" s="135">
        <v>45754.291712962964</v>
      </c>
      <c r="E405" s="135">
        <v>45754.291712962964</v>
      </c>
      <c r="F405" t="s">
        <v>5239</v>
      </c>
    </row>
    <row r="406" spans="1:6" x14ac:dyDescent="0.25">
      <c r="A406" t="s">
        <v>5391</v>
      </c>
      <c r="B406" t="s">
        <v>4936</v>
      </c>
      <c r="C406" s="135"/>
      <c r="D406" s="135">
        <v>45754.791770833333</v>
      </c>
      <c r="E406" s="135">
        <v>45754.791770833333</v>
      </c>
      <c r="F406" t="s">
        <v>5239</v>
      </c>
    </row>
    <row r="407" spans="1:6" x14ac:dyDescent="0.25">
      <c r="A407" t="s">
        <v>5392</v>
      </c>
      <c r="B407" t="s">
        <v>4936</v>
      </c>
      <c r="C407" s="135"/>
      <c r="D407" s="135">
        <v>45755.291701388887</v>
      </c>
      <c r="E407" s="135">
        <v>45755.291701388887</v>
      </c>
      <c r="F407" t="s">
        <v>5239</v>
      </c>
    </row>
    <row r="408" spans="1:6" x14ac:dyDescent="0.25">
      <c r="A408" t="s">
        <v>5393</v>
      </c>
      <c r="B408" t="s">
        <v>4936</v>
      </c>
      <c r="C408" s="135"/>
      <c r="D408" s="135">
        <v>45755.791712962964</v>
      </c>
      <c r="E408" s="135">
        <v>45755.791712962964</v>
      </c>
      <c r="F408" t="s">
        <v>5239</v>
      </c>
    </row>
    <row r="409" spans="1:6" x14ac:dyDescent="0.25">
      <c r="A409" t="s">
        <v>5394</v>
      </c>
      <c r="B409" t="s">
        <v>4936</v>
      </c>
      <c r="C409" s="135"/>
      <c r="D409" s="135">
        <v>45756.29173611111</v>
      </c>
      <c r="E409" s="135">
        <v>45756.29173611111</v>
      </c>
      <c r="F409" t="s">
        <v>5239</v>
      </c>
    </row>
    <row r="410" spans="1:6" x14ac:dyDescent="0.25">
      <c r="A410" t="s">
        <v>5395</v>
      </c>
      <c r="B410" t="s">
        <v>4936</v>
      </c>
      <c r="C410" s="135"/>
      <c r="D410" s="135">
        <v>45756.791712962964</v>
      </c>
      <c r="E410" s="135">
        <v>45756.791712962964</v>
      </c>
      <c r="F410" t="s">
        <v>5239</v>
      </c>
    </row>
    <row r="411" spans="1:6" x14ac:dyDescent="0.25">
      <c r="A411" t="s">
        <v>5396</v>
      </c>
      <c r="B411" t="s">
        <v>4936</v>
      </c>
      <c r="C411" s="135"/>
      <c r="D411" s="135">
        <v>45757.291724537034</v>
      </c>
      <c r="E411" s="135">
        <v>45757.291724537034</v>
      </c>
      <c r="F411" t="s">
        <v>5239</v>
      </c>
    </row>
    <row r="412" spans="1:6" x14ac:dyDescent="0.25">
      <c r="A412" t="s">
        <v>5397</v>
      </c>
      <c r="B412" t="s">
        <v>4936</v>
      </c>
      <c r="C412" s="135"/>
      <c r="D412" s="135">
        <v>45757.791712962964</v>
      </c>
      <c r="E412" s="135">
        <v>45757.791712962964</v>
      </c>
      <c r="F412" t="s">
        <v>5239</v>
      </c>
    </row>
    <row r="413" spans="1:6" x14ac:dyDescent="0.25">
      <c r="A413" t="s">
        <v>5398</v>
      </c>
      <c r="B413" t="s">
        <v>4936</v>
      </c>
      <c r="C413" s="135"/>
      <c r="D413" s="135">
        <v>45758.29173611111</v>
      </c>
      <c r="E413" s="135">
        <v>45758.29173611111</v>
      </c>
      <c r="F413" t="s">
        <v>5239</v>
      </c>
    </row>
    <row r="414" spans="1:6" x14ac:dyDescent="0.25">
      <c r="A414" t="s">
        <v>5399</v>
      </c>
      <c r="B414" t="s">
        <v>4936</v>
      </c>
      <c r="C414" s="135"/>
      <c r="D414" s="135">
        <v>45726.291712962964</v>
      </c>
      <c r="E414" s="135">
        <v>45726.291712962964</v>
      </c>
      <c r="F414" t="s">
        <v>5239</v>
      </c>
    </row>
    <row r="415" spans="1:6" x14ac:dyDescent="0.25">
      <c r="A415" t="s">
        <v>5400</v>
      </c>
      <c r="B415" t="s">
        <v>4936</v>
      </c>
      <c r="C415" s="135"/>
      <c r="D415" s="135">
        <v>45726.791724537034</v>
      </c>
      <c r="E415" s="135">
        <v>45726.791724537034</v>
      </c>
      <c r="F415" t="s">
        <v>5239</v>
      </c>
    </row>
    <row r="416" spans="1:6" x14ac:dyDescent="0.25">
      <c r="A416" t="s">
        <v>5401</v>
      </c>
      <c r="B416" t="s">
        <v>4936</v>
      </c>
      <c r="C416" s="135"/>
      <c r="D416" s="135">
        <v>45727.291770833333</v>
      </c>
      <c r="E416" s="135">
        <v>45727.291770833333</v>
      </c>
      <c r="F416" t="s">
        <v>5239</v>
      </c>
    </row>
    <row r="417" spans="1:6" x14ac:dyDescent="0.25">
      <c r="A417" t="s">
        <v>5402</v>
      </c>
      <c r="B417" t="s">
        <v>4936</v>
      </c>
      <c r="C417" s="135"/>
      <c r="D417" s="135">
        <v>45727.791712962964</v>
      </c>
      <c r="E417" s="135">
        <v>45727.791712962964</v>
      </c>
      <c r="F417" t="s">
        <v>5239</v>
      </c>
    </row>
    <row r="418" spans="1:6" x14ac:dyDescent="0.25">
      <c r="A418" t="s">
        <v>5403</v>
      </c>
      <c r="B418" t="s">
        <v>4936</v>
      </c>
      <c r="C418" s="135"/>
      <c r="D418" s="135">
        <v>45632.655578703707</v>
      </c>
      <c r="E418" s="135">
        <v>45357.320439814815</v>
      </c>
      <c r="F418" t="s">
        <v>5404</v>
      </c>
    </row>
    <row r="419" spans="1:6" x14ac:dyDescent="0.25">
      <c r="A419" t="s">
        <v>5405</v>
      </c>
      <c r="B419" t="s">
        <v>4936</v>
      </c>
      <c r="C419" s="135"/>
      <c r="D419" s="135">
        <v>45153.733761574076</v>
      </c>
      <c r="E419" s="135">
        <v>45286.599965277775</v>
      </c>
      <c r="F419" t="s">
        <v>5406</v>
      </c>
    </row>
    <row r="420" spans="1:6" x14ac:dyDescent="0.25">
      <c r="A420" t="s">
        <v>5405</v>
      </c>
      <c r="B420" t="s">
        <v>4936</v>
      </c>
      <c r="C420" s="135"/>
      <c r="D420" s="135">
        <v>45153.733761574076</v>
      </c>
      <c r="E420" s="135">
        <v>45154.685219907406</v>
      </c>
      <c r="F420" t="s">
        <v>5407</v>
      </c>
    </row>
    <row r="421" spans="1:6" x14ac:dyDescent="0.25">
      <c r="A421" t="s">
        <v>5408</v>
      </c>
      <c r="B421" t="s">
        <v>4936</v>
      </c>
      <c r="C421" s="135"/>
      <c r="D421" s="135">
        <v>45153.733657407407</v>
      </c>
      <c r="E421" s="135">
        <v>45154.685324074075</v>
      </c>
      <c r="F421" t="s">
        <v>5409</v>
      </c>
    </row>
    <row r="422" spans="1:6" x14ac:dyDescent="0.25">
      <c r="A422" t="s">
        <v>5408</v>
      </c>
      <c r="B422" t="s">
        <v>4936</v>
      </c>
      <c r="C422" s="135"/>
      <c r="D422" s="135">
        <v>45153.733657407407</v>
      </c>
      <c r="E422" s="135">
        <v>45286.599965277775</v>
      </c>
      <c r="F422" t="s">
        <v>5410</v>
      </c>
    </row>
    <row r="423" spans="1:6" x14ac:dyDescent="0.25">
      <c r="A423" t="s">
        <v>5411</v>
      </c>
      <c r="B423" t="s">
        <v>4936</v>
      </c>
      <c r="C423" s="135"/>
      <c r="D423" s="135">
        <v>45153.733680555553</v>
      </c>
      <c r="E423" s="135">
        <v>45286.599976851852</v>
      </c>
      <c r="F423" t="s">
        <v>5412</v>
      </c>
    </row>
    <row r="424" spans="1:6" x14ac:dyDescent="0.25">
      <c r="A424" t="s">
        <v>5411</v>
      </c>
      <c r="B424" t="s">
        <v>4936</v>
      </c>
      <c r="C424" s="135"/>
      <c r="D424" s="135">
        <v>45153.733680555553</v>
      </c>
      <c r="E424" s="135">
        <v>45154.685347222221</v>
      </c>
      <c r="F424" t="s">
        <v>5413</v>
      </c>
    </row>
    <row r="425" spans="1:6" x14ac:dyDescent="0.25">
      <c r="A425" t="s">
        <v>5414</v>
      </c>
      <c r="B425" t="s">
        <v>4936</v>
      </c>
      <c r="C425" s="135"/>
      <c r="D425" s="135">
        <v>45153.733587962961</v>
      </c>
      <c r="E425" s="135">
        <v>45286.600381944445</v>
      </c>
      <c r="F425" t="s">
        <v>5415</v>
      </c>
    </row>
    <row r="426" spans="1:6" x14ac:dyDescent="0.25">
      <c r="A426" t="s">
        <v>5414</v>
      </c>
      <c r="B426" t="s">
        <v>4936</v>
      </c>
      <c r="C426" s="135"/>
      <c r="D426" s="135">
        <v>45153.733587962961</v>
      </c>
      <c r="E426" s="135">
        <v>45154.694780092592</v>
      </c>
      <c r="F426" t="s">
        <v>5416</v>
      </c>
    </row>
    <row r="427" spans="1:6" x14ac:dyDescent="0.25">
      <c r="A427" t="s">
        <v>5417</v>
      </c>
      <c r="B427" t="s">
        <v>4936</v>
      </c>
      <c r="C427" s="135"/>
      <c r="D427" s="135">
        <v>45153.734016203707</v>
      </c>
      <c r="E427" s="135">
        <v>45154.685416666667</v>
      </c>
      <c r="F427" t="s">
        <v>5418</v>
      </c>
    </row>
    <row r="428" spans="1:6" x14ac:dyDescent="0.25">
      <c r="A428" t="s">
        <v>5417</v>
      </c>
      <c r="B428" t="s">
        <v>4936</v>
      </c>
      <c r="C428" s="135"/>
      <c r="D428" s="135">
        <v>45153.734016203707</v>
      </c>
      <c r="E428" s="135">
        <v>45286.599976851852</v>
      </c>
      <c r="F428" t="s">
        <v>5419</v>
      </c>
    </row>
    <row r="429" spans="1:6" x14ac:dyDescent="0.25">
      <c r="A429" t="s">
        <v>5420</v>
      </c>
      <c r="B429" t="s">
        <v>4936</v>
      </c>
      <c r="C429" s="135"/>
      <c r="D429" s="135">
        <v>45153.733773148146</v>
      </c>
      <c r="E429" s="135">
        <v>45286.599976851852</v>
      </c>
      <c r="F429" t="s">
        <v>5421</v>
      </c>
    </row>
    <row r="430" spans="1:6" x14ac:dyDescent="0.25">
      <c r="A430" t="s">
        <v>5420</v>
      </c>
      <c r="B430" t="s">
        <v>4936</v>
      </c>
      <c r="C430" s="135"/>
      <c r="D430" s="135">
        <v>45153.733773148146</v>
      </c>
      <c r="E430" s="135">
        <v>45154.685474537036</v>
      </c>
      <c r="F430" t="s">
        <v>5422</v>
      </c>
    </row>
    <row r="431" spans="1:6" x14ac:dyDescent="0.25">
      <c r="A431" t="s">
        <v>5423</v>
      </c>
      <c r="B431" t="s">
        <v>4936</v>
      </c>
      <c r="C431" s="135"/>
      <c r="D431" s="135">
        <v>44907.347326388888</v>
      </c>
      <c r="E431" s="135">
        <v>44900.485462962963</v>
      </c>
      <c r="F431" t="s">
        <v>5424</v>
      </c>
    </row>
    <row r="432" spans="1:6" x14ac:dyDescent="0.25">
      <c r="A432" t="s">
        <v>5425</v>
      </c>
      <c r="B432" t="s">
        <v>4936</v>
      </c>
      <c r="C432" s="135"/>
      <c r="D432" s="135">
        <v>44900.316064814811</v>
      </c>
      <c r="E432" s="135">
        <v>44900.316180555557</v>
      </c>
      <c r="F432" t="s">
        <v>5424</v>
      </c>
    </row>
    <row r="433" spans="1:6" x14ac:dyDescent="0.25">
      <c r="A433" t="s">
        <v>5426</v>
      </c>
      <c r="B433" t="s">
        <v>4936</v>
      </c>
      <c r="C433" s="135"/>
      <c r="D433" s="135">
        <v>44950.658645833333</v>
      </c>
      <c r="E433" s="135">
        <v>44896.594768518517</v>
      </c>
      <c r="F433" t="s">
        <v>5424</v>
      </c>
    </row>
    <row r="434" spans="1:6" x14ac:dyDescent="0.25">
      <c r="A434" t="s">
        <v>5427</v>
      </c>
      <c r="B434" t="s">
        <v>4936</v>
      </c>
      <c r="C434" s="135"/>
      <c r="D434" s="135">
        <v>45575.539039351854</v>
      </c>
      <c r="E434" s="135">
        <v>45240.449513888889</v>
      </c>
      <c r="F434" t="s">
        <v>5175</v>
      </c>
    </row>
    <row r="435" spans="1:6" x14ac:dyDescent="0.25">
      <c r="A435" t="s">
        <v>5428</v>
      </c>
      <c r="B435" t="s">
        <v>4936</v>
      </c>
      <c r="C435" s="135"/>
      <c r="D435" s="135">
        <v>45443.580949074072</v>
      </c>
      <c r="E435" s="135">
        <v>45449.684699074074</v>
      </c>
      <c r="F435" t="s">
        <v>5237</v>
      </c>
    </row>
    <row r="436" spans="1:6" x14ac:dyDescent="0.25">
      <c r="A436" t="s">
        <v>5428</v>
      </c>
      <c r="B436" t="s">
        <v>4936</v>
      </c>
      <c r="C436" s="135"/>
      <c r="D436" s="135">
        <v>45741.441747685189</v>
      </c>
      <c r="E436" s="135">
        <v>45622.421770833331</v>
      </c>
      <c r="F436" t="s">
        <v>5429</v>
      </c>
    </row>
    <row r="437" spans="1:6" x14ac:dyDescent="0.25">
      <c r="A437" t="s">
        <v>5428</v>
      </c>
      <c r="B437" t="s">
        <v>4936</v>
      </c>
      <c r="C437" s="135"/>
      <c r="D437" s="135">
        <v>45741.441747685189</v>
      </c>
      <c r="E437" s="135">
        <v>45449.386550925927</v>
      </c>
      <c r="F437" t="s">
        <v>5177</v>
      </c>
    </row>
    <row r="438" spans="1:6" x14ac:dyDescent="0.25">
      <c r="A438" t="s">
        <v>5430</v>
      </c>
      <c r="B438" t="s">
        <v>4936</v>
      </c>
      <c r="C438" s="135"/>
      <c r="D438" s="135">
        <v>45757.56517361111</v>
      </c>
      <c r="E438" s="135">
        <v>45699.482129629629</v>
      </c>
      <c r="F438" t="s">
        <v>5179</v>
      </c>
    </row>
    <row r="439" spans="1:6" x14ac:dyDescent="0.25">
      <c r="A439" t="s">
        <v>5430</v>
      </c>
      <c r="B439" t="s">
        <v>4936</v>
      </c>
      <c r="C439" s="135"/>
      <c r="D439" s="135">
        <v>45723.386296296296</v>
      </c>
      <c r="E439" s="135">
        <v>45723.386296296296</v>
      </c>
      <c r="F439" t="s">
        <v>5239</v>
      </c>
    </row>
    <row r="440" spans="1:6" x14ac:dyDescent="0.25">
      <c r="A440" t="s">
        <v>5431</v>
      </c>
      <c r="B440" t="s">
        <v>4936</v>
      </c>
      <c r="C440" s="135"/>
      <c r="D440" s="135">
        <v>45723.508356481485</v>
      </c>
      <c r="E440" s="135">
        <v>45723.508356481485</v>
      </c>
      <c r="F440" t="s">
        <v>5239</v>
      </c>
    </row>
    <row r="441" spans="1:6" x14ac:dyDescent="0.25">
      <c r="A441" t="s">
        <v>5432</v>
      </c>
      <c r="B441" t="s">
        <v>4936</v>
      </c>
      <c r="C441" s="135"/>
      <c r="D441" s="135">
        <v>45728.008356481485</v>
      </c>
      <c r="E441" s="135">
        <v>45728.008356481485</v>
      </c>
      <c r="F441" t="s">
        <v>5239</v>
      </c>
    </row>
    <row r="442" spans="1:6" x14ac:dyDescent="0.25">
      <c r="A442" t="s">
        <v>5433</v>
      </c>
      <c r="B442" t="s">
        <v>4936</v>
      </c>
      <c r="C442" s="135"/>
      <c r="D442" s="135">
        <v>45728.508356481485</v>
      </c>
      <c r="E442" s="135">
        <v>45728.508356481485</v>
      </c>
      <c r="F442" t="s">
        <v>5239</v>
      </c>
    </row>
    <row r="443" spans="1:6" x14ac:dyDescent="0.25">
      <c r="A443" t="s">
        <v>5434</v>
      </c>
      <c r="B443" t="s">
        <v>4936</v>
      </c>
      <c r="C443" s="135"/>
      <c r="D443" s="135">
        <v>45729.008356481485</v>
      </c>
      <c r="E443" s="135">
        <v>45729.008356481485</v>
      </c>
      <c r="F443" t="s">
        <v>5239</v>
      </c>
    </row>
    <row r="444" spans="1:6" x14ac:dyDescent="0.25">
      <c r="A444" t="s">
        <v>5435</v>
      </c>
      <c r="B444" t="s">
        <v>4936</v>
      </c>
      <c r="C444" s="135"/>
      <c r="D444" s="135">
        <v>45729.508368055554</v>
      </c>
      <c r="E444" s="135">
        <v>45729.508368055554</v>
      </c>
      <c r="F444" t="s">
        <v>5239</v>
      </c>
    </row>
    <row r="445" spans="1:6" x14ac:dyDescent="0.25">
      <c r="A445" t="s">
        <v>5436</v>
      </c>
      <c r="B445" t="s">
        <v>4936</v>
      </c>
      <c r="C445" s="135"/>
      <c r="D445" s="135">
        <v>45730.008368055554</v>
      </c>
      <c r="E445" s="135">
        <v>45730.008368055554</v>
      </c>
      <c r="F445" t="s">
        <v>5239</v>
      </c>
    </row>
    <row r="446" spans="1:6" x14ac:dyDescent="0.25">
      <c r="A446" t="s">
        <v>5437</v>
      </c>
      <c r="B446" t="s">
        <v>4936</v>
      </c>
      <c r="C446" s="135"/>
      <c r="D446" s="135">
        <v>45730.508356481485</v>
      </c>
      <c r="E446" s="135">
        <v>45730.508356481485</v>
      </c>
      <c r="F446" t="s">
        <v>5239</v>
      </c>
    </row>
    <row r="447" spans="1:6" x14ac:dyDescent="0.25">
      <c r="A447" t="s">
        <v>5438</v>
      </c>
      <c r="B447" t="s">
        <v>4936</v>
      </c>
      <c r="C447" s="135"/>
      <c r="D447" s="135">
        <v>45731.008356481485</v>
      </c>
      <c r="E447" s="135">
        <v>45731.008356481485</v>
      </c>
      <c r="F447" t="s">
        <v>5239</v>
      </c>
    </row>
    <row r="448" spans="1:6" x14ac:dyDescent="0.25">
      <c r="A448" t="s">
        <v>5439</v>
      </c>
      <c r="B448" t="s">
        <v>4936</v>
      </c>
      <c r="C448" s="135"/>
      <c r="D448" s="135">
        <v>45731.508391203701</v>
      </c>
      <c r="E448" s="135">
        <v>45731.508391203701</v>
      </c>
      <c r="F448" t="s">
        <v>5239</v>
      </c>
    </row>
    <row r="449" spans="1:6" x14ac:dyDescent="0.25">
      <c r="A449" t="s">
        <v>5440</v>
      </c>
      <c r="B449" t="s">
        <v>4936</v>
      </c>
      <c r="C449" s="135"/>
      <c r="D449" s="135">
        <v>45732.008356481485</v>
      </c>
      <c r="E449" s="135">
        <v>45732.008356481485</v>
      </c>
      <c r="F449" t="s">
        <v>5239</v>
      </c>
    </row>
    <row r="450" spans="1:6" x14ac:dyDescent="0.25">
      <c r="A450" t="s">
        <v>5441</v>
      </c>
      <c r="B450" t="s">
        <v>4936</v>
      </c>
      <c r="C450" s="135"/>
      <c r="D450" s="135">
        <v>45732.508356481485</v>
      </c>
      <c r="E450" s="135">
        <v>45732.508356481485</v>
      </c>
      <c r="F450" t="s">
        <v>5239</v>
      </c>
    </row>
    <row r="451" spans="1:6" x14ac:dyDescent="0.25">
      <c r="A451" t="s">
        <v>5442</v>
      </c>
      <c r="B451" t="s">
        <v>4936</v>
      </c>
      <c r="C451" s="135"/>
      <c r="D451" s="135">
        <v>45724.008379629631</v>
      </c>
      <c r="E451" s="135">
        <v>45724.008379629631</v>
      </c>
      <c r="F451" t="s">
        <v>5239</v>
      </c>
    </row>
    <row r="452" spans="1:6" x14ac:dyDescent="0.25">
      <c r="A452" t="s">
        <v>5443</v>
      </c>
      <c r="B452" t="s">
        <v>4936</v>
      </c>
      <c r="C452" s="135"/>
      <c r="D452" s="135">
        <v>45733.008356481485</v>
      </c>
      <c r="E452" s="135">
        <v>45733.008356481485</v>
      </c>
      <c r="F452" t="s">
        <v>5239</v>
      </c>
    </row>
    <row r="453" spans="1:6" x14ac:dyDescent="0.25">
      <c r="A453" t="s">
        <v>5444</v>
      </c>
      <c r="B453" t="s">
        <v>4936</v>
      </c>
      <c r="C453" s="135"/>
      <c r="D453" s="135">
        <v>45733.508356481485</v>
      </c>
      <c r="E453" s="135">
        <v>45733.508356481485</v>
      </c>
      <c r="F453" t="s">
        <v>5239</v>
      </c>
    </row>
    <row r="454" spans="1:6" x14ac:dyDescent="0.25">
      <c r="A454" t="s">
        <v>5445</v>
      </c>
      <c r="B454" t="s">
        <v>4936</v>
      </c>
      <c r="C454" s="135"/>
      <c r="D454" s="135">
        <v>45734.008356481485</v>
      </c>
      <c r="E454" s="135">
        <v>45734.008356481485</v>
      </c>
      <c r="F454" t="s">
        <v>5239</v>
      </c>
    </row>
    <row r="455" spans="1:6" x14ac:dyDescent="0.25">
      <c r="A455" t="s">
        <v>5446</v>
      </c>
      <c r="B455" t="s">
        <v>4936</v>
      </c>
      <c r="C455" s="135"/>
      <c r="D455" s="135">
        <v>45734.508368055554</v>
      </c>
      <c r="E455" s="135">
        <v>45734.508368055554</v>
      </c>
      <c r="F455" t="s">
        <v>5239</v>
      </c>
    </row>
    <row r="456" spans="1:6" x14ac:dyDescent="0.25">
      <c r="A456" t="s">
        <v>5447</v>
      </c>
      <c r="B456" t="s">
        <v>4936</v>
      </c>
      <c r="C456" s="135"/>
      <c r="D456" s="135">
        <v>45735.008356481485</v>
      </c>
      <c r="E456" s="135">
        <v>45735.008356481485</v>
      </c>
      <c r="F456" t="s">
        <v>5239</v>
      </c>
    </row>
    <row r="457" spans="1:6" x14ac:dyDescent="0.25">
      <c r="A457" t="s">
        <v>5448</v>
      </c>
      <c r="B457" t="s">
        <v>4936</v>
      </c>
      <c r="C457" s="135"/>
      <c r="D457" s="135">
        <v>45735.508344907408</v>
      </c>
      <c r="E457" s="135">
        <v>45735.508344907408</v>
      </c>
      <c r="F457" t="s">
        <v>5239</v>
      </c>
    </row>
    <row r="458" spans="1:6" x14ac:dyDescent="0.25">
      <c r="A458" t="s">
        <v>5449</v>
      </c>
      <c r="B458" t="s">
        <v>4936</v>
      </c>
      <c r="C458" s="135"/>
      <c r="D458" s="135">
        <v>45736.008344907408</v>
      </c>
      <c r="E458" s="135">
        <v>45736.008344907408</v>
      </c>
      <c r="F458" t="s">
        <v>5239</v>
      </c>
    </row>
    <row r="459" spans="1:6" x14ac:dyDescent="0.25">
      <c r="A459" t="s">
        <v>5450</v>
      </c>
      <c r="B459" t="s">
        <v>4936</v>
      </c>
      <c r="C459" s="135"/>
      <c r="D459" s="135">
        <v>45736.508356481485</v>
      </c>
      <c r="E459" s="135">
        <v>45736.508356481485</v>
      </c>
      <c r="F459" t="s">
        <v>5239</v>
      </c>
    </row>
    <row r="460" spans="1:6" x14ac:dyDescent="0.25">
      <c r="A460" t="s">
        <v>5451</v>
      </c>
      <c r="B460" t="s">
        <v>4936</v>
      </c>
      <c r="C460" s="135"/>
      <c r="D460" s="135">
        <v>45737.008356481485</v>
      </c>
      <c r="E460" s="135">
        <v>45737.008356481485</v>
      </c>
      <c r="F460" t="s">
        <v>5239</v>
      </c>
    </row>
    <row r="461" spans="1:6" x14ac:dyDescent="0.25">
      <c r="A461" t="s">
        <v>5452</v>
      </c>
      <c r="B461" t="s">
        <v>4936</v>
      </c>
      <c r="C461" s="135"/>
      <c r="D461" s="135">
        <v>45737.508356481485</v>
      </c>
      <c r="E461" s="135">
        <v>45737.508356481485</v>
      </c>
      <c r="F461" t="s">
        <v>5239</v>
      </c>
    </row>
    <row r="462" spans="1:6" x14ac:dyDescent="0.25">
      <c r="A462" t="s">
        <v>5453</v>
      </c>
      <c r="B462" t="s">
        <v>4936</v>
      </c>
      <c r="C462" s="135"/>
      <c r="D462" s="135">
        <v>45724.508368055554</v>
      </c>
      <c r="E462" s="135">
        <v>45724.508368055554</v>
      </c>
      <c r="F462" t="s">
        <v>5239</v>
      </c>
    </row>
    <row r="463" spans="1:6" x14ac:dyDescent="0.25">
      <c r="A463" t="s">
        <v>5454</v>
      </c>
      <c r="B463" t="s">
        <v>4936</v>
      </c>
      <c r="C463" s="135"/>
      <c r="D463" s="135">
        <v>45738.008391203701</v>
      </c>
      <c r="E463" s="135">
        <v>45738.008391203701</v>
      </c>
      <c r="F463" t="s">
        <v>5239</v>
      </c>
    </row>
    <row r="464" spans="1:6" x14ac:dyDescent="0.25">
      <c r="A464" t="s">
        <v>5455</v>
      </c>
      <c r="B464" t="s">
        <v>4936</v>
      </c>
      <c r="C464" s="135"/>
      <c r="D464" s="135">
        <v>45738.508356481485</v>
      </c>
      <c r="E464" s="135">
        <v>45738.508356481485</v>
      </c>
      <c r="F464" t="s">
        <v>5239</v>
      </c>
    </row>
    <row r="465" spans="1:6" x14ac:dyDescent="0.25">
      <c r="A465" t="s">
        <v>5456</v>
      </c>
      <c r="B465" t="s">
        <v>4936</v>
      </c>
      <c r="C465" s="135"/>
      <c r="D465" s="135">
        <v>45739.008356481485</v>
      </c>
      <c r="E465" s="135">
        <v>45739.008356481485</v>
      </c>
      <c r="F465" t="s">
        <v>5239</v>
      </c>
    </row>
    <row r="466" spans="1:6" x14ac:dyDescent="0.25">
      <c r="A466" t="s">
        <v>5457</v>
      </c>
      <c r="B466" t="s">
        <v>4936</v>
      </c>
      <c r="C466" s="135"/>
      <c r="D466" s="135">
        <v>45739.508356481485</v>
      </c>
      <c r="E466" s="135">
        <v>45739.508356481485</v>
      </c>
      <c r="F466" t="s">
        <v>5239</v>
      </c>
    </row>
    <row r="467" spans="1:6" x14ac:dyDescent="0.25">
      <c r="A467" t="s">
        <v>5458</v>
      </c>
      <c r="B467" t="s">
        <v>4936</v>
      </c>
      <c r="C467" s="135"/>
      <c r="D467" s="135">
        <v>45740.008356481485</v>
      </c>
      <c r="E467" s="135">
        <v>45740.008356481485</v>
      </c>
      <c r="F467" t="s">
        <v>5239</v>
      </c>
    </row>
    <row r="468" spans="1:6" x14ac:dyDescent="0.25">
      <c r="A468" t="s">
        <v>5459</v>
      </c>
      <c r="B468" t="s">
        <v>4936</v>
      </c>
      <c r="C468" s="135"/>
      <c r="D468" s="135">
        <v>45740.508356481485</v>
      </c>
      <c r="E468" s="135">
        <v>45740.508356481485</v>
      </c>
      <c r="F468" t="s">
        <v>5239</v>
      </c>
    </row>
    <row r="469" spans="1:6" x14ac:dyDescent="0.25">
      <c r="A469" t="s">
        <v>5460</v>
      </c>
      <c r="B469" t="s">
        <v>4936</v>
      </c>
      <c r="C469" s="135"/>
      <c r="D469" s="135">
        <v>45741.008356481485</v>
      </c>
      <c r="E469" s="135">
        <v>45741.008356481485</v>
      </c>
      <c r="F469" t="s">
        <v>5239</v>
      </c>
    </row>
    <row r="470" spans="1:6" x14ac:dyDescent="0.25">
      <c r="A470" t="s">
        <v>5461</v>
      </c>
      <c r="B470" t="s">
        <v>4936</v>
      </c>
      <c r="C470" s="135"/>
      <c r="D470" s="135">
        <v>45747.508356481485</v>
      </c>
      <c r="E470" s="135">
        <v>45747.508356481485</v>
      </c>
      <c r="F470" t="s">
        <v>5239</v>
      </c>
    </row>
    <row r="471" spans="1:6" x14ac:dyDescent="0.25">
      <c r="A471" t="s">
        <v>5462</v>
      </c>
      <c r="B471" t="s">
        <v>4936</v>
      </c>
      <c r="C471" s="135"/>
      <c r="D471" s="135">
        <v>45748.008356481485</v>
      </c>
      <c r="E471" s="135">
        <v>45748.008356481485</v>
      </c>
      <c r="F471" t="s">
        <v>5239</v>
      </c>
    </row>
    <row r="472" spans="1:6" x14ac:dyDescent="0.25">
      <c r="A472" t="s">
        <v>5463</v>
      </c>
      <c r="B472" t="s">
        <v>4936</v>
      </c>
      <c r="C472" s="135"/>
      <c r="D472" s="135">
        <v>45748.508344907408</v>
      </c>
      <c r="E472" s="135">
        <v>45748.508344907408</v>
      </c>
      <c r="F472" t="s">
        <v>5239</v>
      </c>
    </row>
    <row r="473" spans="1:6" x14ac:dyDescent="0.25">
      <c r="A473" t="s">
        <v>5464</v>
      </c>
      <c r="B473" t="s">
        <v>4936</v>
      </c>
      <c r="C473" s="135"/>
      <c r="D473" s="135">
        <v>45725.008356481485</v>
      </c>
      <c r="E473" s="135">
        <v>45725.008356481485</v>
      </c>
      <c r="F473" t="s">
        <v>5239</v>
      </c>
    </row>
    <row r="474" spans="1:6" x14ac:dyDescent="0.25">
      <c r="A474" t="s">
        <v>5465</v>
      </c>
      <c r="B474" t="s">
        <v>4936</v>
      </c>
      <c r="C474" s="135"/>
      <c r="D474" s="135">
        <v>45749.008391203701</v>
      </c>
      <c r="E474" s="135">
        <v>45749.008391203701</v>
      </c>
      <c r="F474" t="s">
        <v>5239</v>
      </c>
    </row>
    <row r="475" spans="1:6" x14ac:dyDescent="0.25">
      <c r="A475" t="s">
        <v>5466</v>
      </c>
      <c r="B475" t="s">
        <v>4936</v>
      </c>
      <c r="C475" s="135"/>
      <c r="D475" s="135">
        <v>45749.508356481485</v>
      </c>
      <c r="E475" s="135">
        <v>45749.508356481485</v>
      </c>
      <c r="F475" t="s">
        <v>5239</v>
      </c>
    </row>
    <row r="476" spans="1:6" x14ac:dyDescent="0.25">
      <c r="A476" t="s">
        <v>5467</v>
      </c>
      <c r="B476" t="s">
        <v>4936</v>
      </c>
      <c r="C476" s="135"/>
      <c r="D476" s="135">
        <v>45750.008356481485</v>
      </c>
      <c r="E476" s="135">
        <v>45750.008356481485</v>
      </c>
      <c r="F476" t="s">
        <v>5239</v>
      </c>
    </row>
    <row r="477" spans="1:6" x14ac:dyDescent="0.25">
      <c r="A477" t="s">
        <v>5468</v>
      </c>
      <c r="B477" t="s">
        <v>4936</v>
      </c>
      <c r="C477" s="135"/>
      <c r="D477" s="135">
        <v>45750.508356481485</v>
      </c>
      <c r="E477" s="135">
        <v>45750.508356481485</v>
      </c>
      <c r="F477" t="s">
        <v>5239</v>
      </c>
    </row>
    <row r="478" spans="1:6" x14ac:dyDescent="0.25">
      <c r="A478" t="s">
        <v>5469</v>
      </c>
      <c r="B478" t="s">
        <v>4936</v>
      </c>
      <c r="C478" s="135"/>
      <c r="D478" s="135">
        <v>45751.008356481485</v>
      </c>
      <c r="E478" s="135">
        <v>45751.008356481485</v>
      </c>
      <c r="F478" t="s">
        <v>5239</v>
      </c>
    </row>
    <row r="479" spans="1:6" x14ac:dyDescent="0.25">
      <c r="A479" t="s">
        <v>5470</v>
      </c>
      <c r="B479" t="s">
        <v>4936</v>
      </c>
      <c r="C479" s="135"/>
      <c r="D479" s="135">
        <v>45751.508368055554</v>
      </c>
      <c r="E479" s="135">
        <v>45751.508368055554</v>
      </c>
      <c r="F479" t="s">
        <v>5239</v>
      </c>
    </row>
    <row r="480" spans="1:6" x14ac:dyDescent="0.25">
      <c r="A480" t="s">
        <v>5471</v>
      </c>
      <c r="B480" t="s">
        <v>4936</v>
      </c>
      <c r="C480" s="135"/>
      <c r="D480" s="135">
        <v>45752.008391203701</v>
      </c>
      <c r="E480" s="135">
        <v>45752.008391203701</v>
      </c>
      <c r="F480" t="s">
        <v>5239</v>
      </c>
    </row>
    <row r="481" spans="1:6" x14ac:dyDescent="0.25">
      <c r="A481" t="s">
        <v>5472</v>
      </c>
      <c r="B481" t="s">
        <v>4936</v>
      </c>
      <c r="C481" s="135"/>
      <c r="D481" s="135">
        <v>45752.508344907408</v>
      </c>
      <c r="E481" s="135">
        <v>45752.508344907408</v>
      </c>
      <c r="F481" t="s">
        <v>5239</v>
      </c>
    </row>
    <row r="482" spans="1:6" x14ac:dyDescent="0.25">
      <c r="A482" t="s">
        <v>5473</v>
      </c>
      <c r="B482" t="s">
        <v>4936</v>
      </c>
      <c r="C482" s="135"/>
      <c r="D482" s="135">
        <v>45753.008356481485</v>
      </c>
      <c r="E482" s="135">
        <v>45753.008356481485</v>
      </c>
      <c r="F482" t="s">
        <v>5239</v>
      </c>
    </row>
    <row r="483" spans="1:6" x14ac:dyDescent="0.25">
      <c r="A483" t="s">
        <v>5474</v>
      </c>
      <c r="B483" t="s">
        <v>4936</v>
      </c>
      <c r="C483" s="135"/>
      <c r="D483" s="135">
        <v>45753.508356481485</v>
      </c>
      <c r="E483" s="135">
        <v>45753.508356481485</v>
      </c>
      <c r="F483" t="s">
        <v>5239</v>
      </c>
    </row>
    <row r="484" spans="1:6" x14ac:dyDescent="0.25">
      <c r="A484" t="s">
        <v>5475</v>
      </c>
      <c r="B484" t="s">
        <v>4936</v>
      </c>
      <c r="C484" s="135"/>
      <c r="D484" s="135">
        <v>45725.508344907408</v>
      </c>
      <c r="E484" s="135">
        <v>45725.508344907408</v>
      </c>
      <c r="F484" t="s">
        <v>5239</v>
      </c>
    </row>
    <row r="485" spans="1:6" x14ac:dyDescent="0.25">
      <c r="A485" t="s">
        <v>5476</v>
      </c>
      <c r="B485" t="s">
        <v>4936</v>
      </c>
      <c r="C485" s="135"/>
      <c r="D485" s="135">
        <v>45754.008391203701</v>
      </c>
      <c r="E485" s="135">
        <v>45754.008391203701</v>
      </c>
      <c r="F485" t="s">
        <v>5239</v>
      </c>
    </row>
    <row r="486" spans="1:6" x14ac:dyDescent="0.25">
      <c r="A486" t="s">
        <v>5477</v>
      </c>
      <c r="B486" t="s">
        <v>4936</v>
      </c>
      <c r="C486" s="135"/>
      <c r="D486" s="135">
        <v>45754.508356481485</v>
      </c>
      <c r="E486" s="135">
        <v>45754.508356481485</v>
      </c>
      <c r="F486" t="s">
        <v>5239</v>
      </c>
    </row>
    <row r="487" spans="1:6" x14ac:dyDescent="0.25">
      <c r="A487" t="s">
        <v>5478</v>
      </c>
      <c r="B487" t="s">
        <v>4936</v>
      </c>
      <c r="C487" s="135"/>
      <c r="D487" s="135">
        <v>45755.008356481485</v>
      </c>
      <c r="E487" s="135">
        <v>45755.008356481485</v>
      </c>
      <c r="F487" t="s">
        <v>5239</v>
      </c>
    </row>
    <row r="488" spans="1:6" x14ac:dyDescent="0.25">
      <c r="A488" t="s">
        <v>5479</v>
      </c>
      <c r="B488" t="s">
        <v>4936</v>
      </c>
      <c r="C488" s="135"/>
      <c r="D488" s="135">
        <v>45755.508368055554</v>
      </c>
      <c r="E488" s="135">
        <v>45755.508368055554</v>
      </c>
      <c r="F488" t="s">
        <v>5239</v>
      </c>
    </row>
    <row r="489" spans="1:6" x14ac:dyDescent="0.25">
      <c r="A489" t="s">
        <v>5480</v>
      </c>
      <c r="B489" t="s">
        <v>4936</v>
      </c>
      <c r="C489" s="135"/>
      <c r="D489" s="135">
        <v>45756.008356481485</v>
      </c>
      <c r="E489" s="135">
        <v>45756.008356481485</v>
      </c>
      <c r="F489" t="s">
        <v>5239</v>
      </c>
    </row>
    <row r="490" spans="1:6" x14ac:dyDescent="0.25">
      <c r="A490" t="s">
        <v>5481</v>
      </c>
      <c r="B490" t="s">
        <v>4936</v>
      </c>
      <c r="C490" s="135"/>
      <c r="D490" s="135">
        <v>45756.508344907408</v>
      </c>
      <c r="E490" s="135">
        <v>45756.508344907408</v>
      </c>
      <c r="F490" t="s">
        <v>5239</v>
      </c>
    </row>
    <row r="491" spans="1:6" x14ac:dyDescent="0.25">
      <c r="A491" t="s">
        <v>5482</v>
      </c>
      <c r="B491" t="s">
        <v>4936</v>
      </c>
      <c r="C491" s="135"/>
      <c r="D491" s="135">
        <v>45757.008356481485</v>
      </c>
      <c r="E491" s="135">
        <v>45757.008356481485</v>
      </c>
      <c r="F491" t="s">
        <v>5239</v>
      </c>
    </row>
    <row r="492" spans="1:6" x14ac:dyDescent="0.25">
      <c r="A492" t="s">
        <v>5483</v>
      </c>
      <c r="B492" t="s">
        <v>4936</v>
      </c>
      <c r="C492" s="135"/>
      <c r="D492" s="135">
        <v>45757.508356481485</v>
      </c>
      <c r="E492" s="135">
        <v>45757.508356481485</v>
      </c>
      <c r="F492" t="s">
        <v>5239</v>
      </c>
    </row>
    <row r="493" spans="1:6" x14ac:dyDescent="0.25">
      <c r="A493" t="s">
        <v>5484</v>
      </c>
      <c r="B493" t="s">
        <v>4936</v>
      </c>
      <c r="C493" s="135"/>
      <c r="D493" s="135">
        <v>45758.008391203701</v>
      </c>
      <c r="E493" s="135">
        <v>45758.008391203701</v>
      </c>
      <c r="F493" t="s">
        <v>5239</v>
      </c>
    </row>
    <row r="494" spans="1:6" x14ac:dyDescent="0.25">
      <c r="A494" t="s">
        <v>5485</v>
      </c>
      <c r="B494" t="s">
        <v>4936</v>
      </c>
      <c r="C494" s="135"/>
      <c r="D494" s="135">
        <v>45758.508356481485</v>
      </c>
      <c r="E494" s="135">
        <v>45758.508356481485</v>
      </c>
      <c r="F494" t="s">
        <v>5239</v>
      </c>
    </row>
    <row r="495" spans="1:6" x14ac:dyDescent="0.25">
      <c r="A495" t="s">
        <v>5486</v>
      </c>
      <c r="B495" t="s">
        <v>4936</v>
      </c>
      <c r="C495" s="135"/>
      <c r="D495" s="135">
        <v>45726.008356481485</v>
      </c>
      <c r="E495" s="135">
        <v>45726.008356481485</v>
      </c>
      <c r="F495" t="s">
        <v>5239</v>
      </c>
    </row>
    <row r="496" spans="1:6" x14ac:dyDescent="0.25">
      <c r="A496" t="s">
        <v>5487</v>
      </c>
      <c r="B496" t="s">
        <v>4936</v>
      </c>
      <c r="C496" s="135"/>
      <c r="D496" s="135">
        <v>45726.508356481485</v>
      </c>
      <c r="E496" s="135">
        <v>45726.508356481485</v>
      </c>
      <c r="F496" t="s">
        <v>5239</v>
      </c>
    </row>
    <row r="497" spans="1:6" x14ac:dyDescent="0.25">
      <c r="A497" t="s">
        <v>5488</v>
      </c>
      <c r="B497" t="s">
        <v>4936</v>
      </c>
      <c r="C497" s="135"/>
      <c r="D497" s="135">
        <v>45727.008356481485</v>
      </c>
      <c r="E497" s="135">
        <v>45727.008356481485</v>
      </c>
      <c r="F497" t="s">
        <v>5239</v>
      </c>
    </row>
    <row r="498" spans="1:6" x14ac:dyDescent="0.25">
      <c r="A498" t="s">
        <v>5489</v>
      </c>
      <c r="B498" t="s">
        <v>4936</v>
      </c>
      <c r="C498" s="135"/>
      <c r="D498" s="135">
        <v>45727.508391203701</v>
      </c>
      <c r="E498" s="135">
        <v>45727.508391203701</v>
      </c>
      <c r="F498" t="s">
        <v>5239</v>
      </c>
    </row>
    <row r="499" spans="1:6" x14ac:dyDescent="0.25">
      <c r="A499" t="s">
        <v>5490</v>
      </c>
      <c r="B499" t="s">
        <v>5102</v>
      </c>
      <c r="C499" s="135"/>
      <c r="D499" s="135">
        <v>45758.480034722219</v>
      </c>
      <c r="E499" s="135">
        <v>45698.690949074073</v>
      </c>
      <c r="F499" t="s">
        <v>5491</v>
      </c>
    </row>
    <row r="500" spans="1:6" x14ac:dyDescent="0.25">
      <c r="A500" t="s">
        <v>5490</v>
      </c>
      <c r="B500" t="s">
        <v>5102</v>
      </c>
      <c r="C500" s="135"/>
      <c r="D500" s="135">
        <v>45698.439085648148</v>
      </c>
      <c r="E500" s="135">
        <v>45322.433472222219</v>
      </c>
      <c r="F500" t="s">
        <v>5492</v>
      </c>
    </row>
    <row r="501" spans="1:6" x14ac:dyDescent="0.25">
      <c r="A501" t="s">
        <v>5490</v>
      </c>
      <c r="B501" t="s">
        <v>5102</v>
      </c>
      <c r="C501" s="135"/>
      <c r="D501" s="135">
        <v>45575.468912037039</v>
      </c>
      <c r="E501" s="135">
        <v>45240.449548611112</v>
      </c>
      <c r="F501" t="s">
        <v>5493</v>
      </c>
    </row>
    <row r="502" spans="1:6" x14ac:dyDescent="0.25">
      <c r="A502" t="s">
        <v>5490</v>
      </c>
      <c r="B502" t="s">
        <v>5102</v>
      </c>
      <c r="C502" s="135"/>
      <c r="D502" s="135">
        <v>45742.400335648148</v>
      </c>
      <c r="E502" s="135">
        <v>45621.677071759259</v>
      </c>
      <c r="F502" t="s">
        <v>5494</v>
      </c>
    </row>
    <row r="503" spans="1:6" x14ac:dyDescent="0.25">
      <c r="A503" t="s">
        <v>5495</v>
      </c>
      <c r="B503" t="s">
        <v>5102</v>
      </c>
      <c r="C503" s="135"/>
      <c r="D503" s="135">
        <v>45575.470046296294</v>
      </c>
      <c r="E503" s="135">
        <v>45240.449548611112</v>
      </c>
      <c r="F503" t="s">
        <v>5493</v>
      </c>
    </row>
    <row r="504" spans="1:6" x14ac:dyDescent="0.25">
      <c r="A504" t="s">
        <v>5496</v>
      </c>
      <c r="B504" t="s">
        <v>5102</v>
      </c>
      <c r="C504" s="135"/>
      <c r="D504" s="135">
        <v>45698.446018518516</v>
      </c>
      <c r="E504" s="135">
        <v>45414.423541666663</v>
      </c>
      <c r="F504" t="s">
        <v>5492</v>
      </c>
    </row>
    <row r="505" spans="1:6" x14ac:dyDescent="0.25">
      <c r="A505" t="s">
        <v>5496</v>
      </c>
      <c r="B505" t="s">
        <v>5102</v>
      </c>
      <c r="C505" s="135"/>
      <c r="D505" s="135">
        <v>45742.403148148151</v>
      </c>
      <c r="E505" s="135">
        <v>45621.680277777778</v>
      </c>
      <c r="F505" t="s">
        <v>5494</v>
      </c>
    </row>
    <row r="506" spans="1:6" x14ac:dyDescent="0.25">
      <c r="A506" t="s">
        <v>5497</v>
      </c>
      <c r="B506" t="s">
        <v>5102</v>
      </c>
      <c r="C506" s="135"/>
      <c r="D506" s="135">
        <v>45698.449629629627</v>
      </c>
      <c r="E506" s="135">
        <v>45537.565532407411</v>
      </c>
      <c r="F506" t="s">
        <v>5492</v>
      </c>
    </row>
    <row r="507" spans="1:6" x14ac:dyDescent="0.25">
      <c r="A507" t="s">
        <v>5497</v>
      </c>
      <c r="B507" t="s">
        <v>5102</v>
      </c>
      <c r="C507" s="135"/>
      <c r="D507" s="135">
        <v>45575.470555555556</v>
      </c>
      <c r="E507" s="135">
        <v>45240.449548611112</v>
      </c>
      <c r="F507" t="s">
        <v>5493</v>
      </c>
    </row>
    <row r="508" spans="1:6" x14ac:dyDescent="0.25">
      <c r="A508" t="s">
        <v>5497</v>
      </c>
      <c r="B508" t="s">
        <v>5102</v>
      </c>
      <c r="C508" s="135"/>
      <c r="D508" s="135">
        <v>45742.40828703704</v>
      </c>
      <c r="E508" s="135">
        <v>45621.681527777779</v>
      </c>
      <c r="F508" t="s">
        <v>5494</v>
      </c>
    </row>
    <row r="509" spans="1:6" x14ac:dyDescent="0.25">
      <c r="A509" t="s">
        <v>5498</v>
      </c>
      <c r="B509" t="s">
        <v>4936</v>
      </c>
      <c r="C509" s="135"/>
      <c r="D509" s="135">
        <v>44761.418668981481</v>
      </c>
      <c r="E509" s="135">
        <v>44950.436319444445</v>
      </c>
      <c r="F509" t="s">
        <v>5499</v>
      </c>
    </row>
    <row r="510" spans="1:6" x14ac:dyDescent="0.25">
      <c r="A510" t="s">
        <v>5500</v>
      </c>
      <c r="B510" t="s">
        <v>5102</v>
      </c>
      <c r="C510" s="135"/>
      <c r="D510" s="135">
        <v>45575.468275462961</v>
      </c>
      <c r="E510" s="135">
        <v>45321.29246527778</v>
      </c>
      <c r="F510" t="s">
        <v>5175</v>
      </c>
    </row>
    <row r="511" spans="1:6" x14ac:dyDescent="0.25">
      <c r="A511" t="s">
        <v>5501</v>
      </c>
      <c r="B511" t="s">
        <v>5102</v>
      </c>
      <c r="C511" s="135"/>
      <c r="D511" s="135">
        <v>45741.500601851854</v>
      </c>
      <c r="E511" s="135">
        <v>45622.443229166667</v>
      </c>
      <c r="F511" t="s">
        <v>5429</v>
      </c>
    </row>
    <row r="512" spans="1:6" x14ac:dyDescent="0.25">
      <c r="A512" t="s">
        <v>5501</v>
      </c>
      <c r="B512" t="s">
        <v>5102</v>
      </c>
      <c r="C512" s="135"/>
      <c r="D512" s="135">
        <v>45448.420787037037</v>
      </c>
      <c r="E512" s="135">
        <v>45449.684687499997</v>
      </c>
      <c r="F512" t="s">
        <v>5237</v>
      </c>
    </row>
    <row r="513" spans="1:6" x14ac:dyDescent="0.25">
      <c r="A513" t="s">
        <v>5501</v>
      </c>
      <c r="B513" t="s">
        <v>5102</v>
      </c>
      <c r="C513" s="135"/>
      <c r="D513" s="135">
        <v>45741.440752314818</v>
      </c>
      <c r="E513" s="135">
        <v>45321.733784722222</v>
      </c>
      <c r="F513" t="s">
        <v>5177</v>
      </c>
    </row>
    <row r="514" spans="1:6" x14ac:dyDescent="0.25">
      <c r="A514" t="s">
        <v>5502</v>
      </c>
      <c r="B514" t="s">
        <v>4936</v>
      </c>
      <c r="C514" s="135"/>
      <c r="D514" s="135">
        <v>45742.364895833336</v>
      </c>
      <c r="E514" s="135">
        <v>45673.595416666663</v>
      </c>
      <c r="F514" t="s">
        <v>5429</v>
      </c>
    </row>
    <row r="515" spans="1:6" x14ac:dyDescent="0.25">
      <c r="A515" t="s">
        <v>5503</v>
      </c>
      <c r="B515" t="s">
        <v>5102</v>
      </c>
      <c r="C515" s="135"/>
      <c r="D515" s="135">
        <v>45758.478402777779</v>
      </c>
      <c r="E515" s="135">
        <v>45698.645694444444</v>
      </c>
      <c r="F515" t="s">
        <v>5179</v>
      </c>
    </row>
    <row r="516" spans="1:6" x14ac:dyDescent="0.25">
      <c r="A516" t="s">
        <v>5504</v>
      </c>
      <c r="B516" t="s">
        <v>4936</v>
      </c>
      <c r="C516" s="135"/>
      <c r="D516" s="135">
        <v>45132.49726851852</v>
      </c>
      <c r="E516" s="135">
        <v>44950.436273148145</v>
      </c>
      <c r="F516" t="s">
        <v>5505</v>
      </c>
    </row>
    <row r="517" spans="1:6" x14ac:dyDescent="0.25">
      <c r="A517" t="s">
        <v>5506</v>
      </c>
      <c r="B517" t="s">
        <v>4936</v>
      </c>
      <c r="C517" s="135"/>
      <c r="D517" s="135">
        <v>44785.558182870373</v>
      </c>
      <c r="E517" s="135">
        <v>44785.558182870373</v>
      </c>
      <c r="F517" t="s">
        <v>5121</v>
      </c>
    </row>
    <row r="518" spans="1:6" x14ac:dyDescent="0.25">
      <c r="A518" t="s">
        <v>5506</v>
      </c>
      <c r="B518" t="s">
        <v>4936</v>
      </c>
      <c r="C518" s="135"/>
      <c r="D518" s="135">
        <v>44732.572789351849</v>
      </c>
      <c r="E518" s="135">
        <v>44852.434178240743</v>
      </c>
      <c r="F518" t="s">
        <v>5122</v>
      </c>
    </row>
    <row r="519" spans="1:6" x14ac:dyDescent="0.25">
      <c r="A519" t="s">
        <v>5507</v>
      </c>
      <c r="B519" t="s">
        <v>4936</v>
      </c>
      <c r="C519" s="135"/>
      <c r="D519" s="135">
        <v>44852.688587962963</v>
      </c>
      <c r="E519" s="135">
        <v>44852.688611111109</v>
      </c>
      <c r="F519" t="s">
        <v>5508</v>
      </c>
    </row>
    <row r="520" spans="1:6" x14ac:dyDescent="0.25">
      <c r="A520" t="s">
        <v>5509</v>
      </c>
      <c r="B520" t="s">
        <v>4936</v>
      </c>
      <c r="C520" s="135"/>
      <c r="D520" s="135">
        <v>44810.657719907409</v>
      </c>
      <c r="E520" s="135">
        <v>44852.434131944443</v>
      </c>
      <c r="F520" t="s">
        <v>5508</v>
      </c>
    </row>
    <row r="521" spans="1:6" x14ac:dyDescent="0.25">
      <c r="A521" t="s">
        <v>5510</v>
      </c>
      <c r="B521" t="s">
        <v>4936</v>
      </c>
      <c r="C521" s="135"/>
      <c r="D521" s="135">
        <v>45027.66369212963</v>
      </c>
      <c r="E521" s="135">
        <v>45028.323055555556</v>
      </c>
      <c r="F521" t="s">
        <v>5028</v>
      </c>
    </row>
    <row r="522" spans="1:6" x14ac:dyDescent="0.25">
      <c r="A522" t="s">
        <v>5511</v>
      </c>
      <c r="B522" t="s">
        <v>4936</v>
      </c>
      <c r="C522" s="135"/>
      <c r="D522" s="135">
        <v>44771.389027777775</v>
      </c>
      <c r="E522" s="135">
        <v>45015.630624999998</v>
      </c>
      <c r="F522" t="s">
        <v>5028</v>
      </c>
    </row>
    <row r="523" spans="1:6" x14ac:dyDescent="0.25">
      <c r="A523" t="s">
        <v>5512</v>
      </c>
      <c r="B523" t="s">
        <v>4936</v>
      </c>
      <c r="C523" s="135"/>
      <c r="D523" s="135">
        <v>45044.368125000001</v>
      </c>
      <c r="E523" s="135">
        <v>45044.368263888886</v>
      </c>
      <c r="F523" t="s">
        <v>5028</v>
      </c>
    </row>
    <row r="524" spans="1:6" x14ac:dyDescent="0.25">
      <c r="A524" t="s">
        <v>5513</v>
      </c>
      <c r="B524" t="s">
        <v>4936</v>
      </c>
      <c r="C524" s="135"/>
      <c r="D524" s="135">
        <v>45044.372789351852</v>
      </c>
      <c r="E524" s="135">
        <v>45044.372928240744</v>
      </c>
      <c r="F524" t="s">
        <v>5028</v>
      </c>
    </row>
    <row r="525" spans="1:6" x14ac:dyDescent="0.25">
      <c r="A525" t="s">
        <v>5514</v>
      </c>
      <c r="B525" t="s">
        <v>4936</v>
      </c>
      <c r="C525" s="135"/>
      <c r="D525" s="135">
        <v>45027.653657407405</v>
      </c>
      <c r="E525" s="135">
        <v>45028.323055555556</v>
      </c>
      <c r="F525" t="s">
        <v>5028</v>
      </c>
    </row>
    <row r="526" spans="1:6" x14ac:dyDescent="0.25">
      <c r="A526" t="s">
        <v>5515</v>
      </c>
      <c r="B526" t="s">
        <v>4936</v>
      </c>
      <c r="C526" s="135"/>
      <c r="D526" s="135">
        <v>44771.349143518521</v>
      </c>
      <c r="E526" s="135">
        <v>45015.630624999998</v>
      </c>
      <c r="F526" t="s">
        <v>5028</v>
      </c>
    </row>
    <row r="527" spans="1:6" x14ac:dyDescent="0.25">
      <c r="A527" t="s">
        <v>5516</v>
      </c>
      <c r="B527" t="s">
        <v>4936</v>
      </c>
      <c r="C527" s="135"/>
      <c r="D527" s="135">
        <v>45044.366111111114</v>
      </c>
      <c r="E527" s="135">
        <v>45044.358425925922</v>
      </c>
      <c r="F527" t="s">
        <v>5028</v>
      </c>
    </row>
    <row r="528" spans="1:6" x14ac:dyDescent="0.25">
      <c r="A528" t="s">
        <v>5517</v>
      </c>
      <c r="B528" t="s">
        <v>4936</v>
      </c>
      <c r="C528" s="135"/>
      <c r="D528" s="135">
        <v>45286.49318287037</v>
      </c>
      <c r="E528" s="135">
        <v>45280.274421296293</v>
      </c>
      <c r="F528" t="s">
        <v>5518</v>
      </c>
    </row>
    <row r="529" spans="1:6" x14ac:dyDescent="0.25">
      <c r="A529" t="s">
        <v>5519</v>
      </c>
      <c r="B529" t="s">
        <v>4936</v>
      </c>
      <c r="C529" s="135"/>
      <c r="D529" s="135">
        <v>45286.504317129627</v>
      </c>
      <c r="E529" s="135">
        <v>45280.416041666664</v>
      </c>
      <c r="F529" t="s">
        <v>5518</v>
      </c>
    </row>
    <row r="530" spans="1:6" x14ac:dyDescent="0.25">
      <c r="A530" t="s">
        <v>5520</v>
      </c>
      <c r="B530" t="s">
        <v>4936</v>
      </c>
      <c r="C530" s="135"/>
      <c r="D530" s="135">
        <v>45286.365613425929</v>
      </c>
      <c r="E530" s="135">
        <v>45281.350370370368</v>
      </c>
      <c r="F530" t="s">
        <v>5518</v>
      </c>
    </row>
    <row r="531" spans="1:6" x14ac:dyDescent="0.25">
      <c r="A531" t="s">
        <v>5521</v>
      </c>
      <c r="B531" t="s">
        <v>4936</v>
      </c>
      <c r="C531" s="135"/>
      <c r="D531" s="135">
        <v>45286.487986111111</v>
      </c>
      <c r="E531" s="135">
        <v>45286.487974537034</v>
      </c>
      <c r="F531" t="s">
        <v>5518</v>
      </c>
    </row>
    <row r="532" spans="1:6" x14ac:dyDescent="0.25">
      <c r="A532" t="s">
        <v>5522</v>
      </c>
      <c r="B532" t="s">
        <v>4936</v>
      </c>
      <c r="C532" s="135"/>
      <c r="D532" s="135">
        <v>44855.481365740743</v>
      </c>
      <c r="E532" s="135">
        <v>44852.434328703705</v>
      </c>
      <c r="F532" t="s">
        <v>5508</v>
      </c>
    </row>
    <row r="533" spans="1:6" x14ac:dyDescent="0.25">
      <c r="A533" t="s">
        <v>5523</v>
      </c>
      <c r="B533" t="s">
        <v>4936</v>
      </c>
      <c r="C533" s="135"/>
      <c r="D533" s="135">
        <v>44855.49</v>
      </c>
      <c r="E533" s="135">
        <v>44852.434328703705</v>
      </c>
      <c r="F533" t="s">
        <v>5508</v>
      </c>
    </row>
    <row r="534" spans="1:6" x14ac:dyDescent="0.25">
      <c r="A534" t="s">
        <v>5524</v>
      </c>
      <c r="B534" t="s">
        <v>4936</v>
      </c>
      <c r="C534" s="135"/>
      <c r="D534" s="135">
        <v>44817.740219907406</v>
      </c>
      <c r="E534" s="135">
        <v>44852.434317129628</v>
      </c>
      <c r="F534" t="s">
        <v>5508</v>
      </c>
    </row>
    <row r="535" spans="1:6" x14ac:dyDescent="0.25">
      <c r="A535" t="s">
        <v>5525</v>
      </c>
      <c r="B535" t="s">
        <v>4936</v>
      </c>
      <c r="C535" s="135"/>
      <c r="D535" s="135">
        <v>44855.568819444445</v>
      </c>
      <c r="E535" s="135">
        <v>44852.434305555558</v>
      </c>
      <c r="F535" t="s">
        <v>5508</v>
      </c>
    </row>
    <row r="536" spans="1:6" x14ac:dyDescent="0.25">
      <c r="A536" t="s">
        <v>5526</v>
      </c>
      <c r="B536" t="s">
        <v>4936</v>
      </c>
      <c r="C536" s="135"/>
      <c r="D536" s="135">
        <v>44882.500648148147</v>
      </c>
      <c r="E536" s="135">
        <v>44882.500659722224</v>
      </c>
      <c r="F536" t="s">
        <v>5508</v>
      </c>
    </row>
    <row r="537" spans="1:6" x14ac:dyDescent="0.25">
      <c r="A537" t="s">
        <v>5527</v>
      </c>
      <c r="B537" t="s">
        <v>4936</v>
      </c>
      <c r="C537" s="135"/>
      <c r="D537" s="135">
        <v>44855.573078703703</v>
      </c>
      <c r="E537" s="135">
        <v>44852.434305555558</v>
      </c>
      <c r="F537" t="s">
        <v>5508</v>
      </c>
    </row>
    <row r="538" spans="1:6" x14ac:dyDescent="0.25">
      <c r="A538" t="s">
        <v>5528</v>
      </c>
      <c r="B538" t="s">
        <v>4936</v>
      </c>
      <c r="C538" s="135"/>
      <c r="D538" s="135">
        <v>44855.457905092589</v>
      </c>
      <c r="E538" s="135">
        <v>44852.434305555558</v>
      </c>
      <c r="F538" t="s">
        <v>5508</v>
      </c>
    </row>
    <row r="539" spans="1:6" x14ac:dyDescent="0.25">
      <c r="A539" t="s">
        <v>5529</v>
      </c>
      <c r="B539" t="s">
        <v>4936</v>
      </c>
      <c r="C539" s="135"/>
      <c r="D539" s="135">
        <v>45027.572002314817</v>
      </c>
      <c r="E539" s="135">
        <v>45028.323067129626</v>
      </c>
      <c r="F539" t="s">
        <v>5028</v>
      </c>
    </row>
    <row r="540" spans="1:6" x14ac:dyDescent="0.25">
      <c r="A540" t="s">
        <v>5530</v>
      </c>
      <c r="B540" t="s">
        <v>4936</v>
      </c>
      <c r="C540" s="135"/>
      <c r="D540" s="135">
        <v>44763.322581018518</v>
      </c>
      <c r="E540" s="135">
        <v>44852.433981481481</v>
      </c>
      <c r="F540" t="s">
        <v>5531</v>
      </c>
    </row>
    <row r="541" spans="1:6" x14ac:dyDescent="0.25">
      <c r="A541" t="s">
        <v>5532</v>
      </c>
      <c r="B541" t="s">
        <v>4936</v>
      </c>
      <c r="C541" s="135"/>
      <c r="D541" s="135">
        <v>44771.349918981483</v>
      </c>
      <c r="E541" s="135">
        <v>45015.630636574075</v>
      </c>
      <c r="F541" t="s">
        <v>5028</v>
      </c>
    </row>
    <row r="542" spans="1:6" x14ac:dyDescent="0.25">
      <c r="A542" t="s">
        <v>5533</v>
      </c>
      <c r="B542" t="s">
        <v>4936</v>
      </c>
      <c r="C542" s="135"/>
      <c r="D542" s="135">
        <v>44771.349918981483</v>
      </c>
      <c r="E542" s="135">
        <v>44852.434351851851</v>
      </c>
      <c r="F542" t="s">
        <v>5531</v>
      </c>
    </row>
    <row r="543" spans="1:6" x14ac:dyDescent="0.25">
      <c r="A543" t="s">
        <v>5534</v>
      </c>
      <c r="B543" t="s">
        <v>4936</v>
      </c>
      <c r="C543" s="135"/>
      <c r="D543" s="135">
        <v>45042.705196759256</v>
      </c>
      <c r="E543" s="135">
        <v>45042.705289351848</v>
      </c>
      <c r="F543" t="s">
        <v>5028</v>
      </c>
    </row>
    <row r="544" spans="1:6" x14ac:dyDescent="0.25">
      <c r="A544" t="s">
        <v>5535</v>
      </c>
      <c r="B544" t="s">
        <v>4936</v>
      </c>
      <c r="C544" s="135"/>
      <c r="D544" s="135">
        <v>45016.410324074073</v>
      </c>
      <c r="E544" s="135">
        <v>45016.410428240742</v>
      </c>
      <c r="F544" t="s">
        <v>5531</v>
      </c>
    </row>
    <row r="545" spans="1:6" x14ac:dyDescent="0.25">
      <c r="A545" t="s">
        <v>5535</v>
      </c>
      <c r="B545" t="s">
        <v>4936</v>
      </c>
      <c r="C545" s="135"/>
      <c r="D545" s="135">
        <v>45016.410324074073</v>
      </c>
      <c r="E545" s="135">
        <v>45016.413738425923</v>
      </c>
      <c r="F545" t="s">
        <v>5028</v>
      </c>
    </row>
    <row r="546" spans="1:6" x14ac:dyDescent="0.25">
      <c r="A546" t="s">
        <v>5536</v>
      </c>
      <c r="B546" t="s">
        <v>4936</v>
      </c>
      <c r="C546" s="135"/>
      <c r="D546" s="135">
        <v>45048.306817129633</v>
      </c>
      <c r="E546" s="135">
        <v>45042.706793981481</v>
      </c>
      <c r="F546" t="s">
        <v>5028</v>
      </c>
    </row>
    <row r="547" spans="1:6" x14ac:dyDescent="0.25">
      <c r="A547" t="s">
        <v>5537</v>
      </c>
      <c r="B547" t="s">
        <v>4936</v>
      </c>
      <c r="C547" s="135"/>
      <c r="D547" s="135">
        <v>44771.343043981484</v>
      </c>
      <c r="E547" s="135">
        <v>44852.434351851851</v>
      </c>
      <c r="F547" t="s">
        <v>5531</v>
      </c>
    </row>
    <row r="548" spans="1:6" x14ac:dyDescent="0.25">
      <c r="A548" t="s">
        <v>5538</v>
      </c>
      <c r="B548" t="s">
        <v>4936</v>
      </c>
      <c r="C548" s="135"/>
      <c r="D548" s="135">
        <v>45027.667187500003</v>
      </c>
      <c r="E548" s="135">
        <v>45028.323067129626</v>
      </c>
      <c r="F548" t="s">
        <v>5028</v>
      </c>
    </row>
    <row r="549" spans="1:6" x14ac:dyDescent="0.25">
      <c r="A549" t="s">
        <v>5539</v>
      </c>
      <c r="B549" t="s">
        <v>4936</v>
      </c>
      <c r="C549" s="135"/>
      <c r="D549" s="135">
        <v>44771.413842592592</v>
      </c>
      <c r="E549" s="135">
        <v>45015.630636574075</v>
      </c>
      <c r="F549" t="s">
        <v>5028</v>
      </c>
    </row>
    <row r="550" spans="1:6" x14ac:dyDescent="0.25">
      <c r="A550" t="s">
        <v>5540</v>
      </c>
      <c r="B550" t="s">
        <v>4936</v>
      </c>
      <c r="C550" s="135"/>
      <c r="D550" s="135">
        <v>44771.413842592592</v>
      </c>
      <c r="E550" s="135">
        <v>44852.434340277781</v>
      </c>
      <c r="F550" t="s">
        <v>5531</v>
      </c>
    </row>
    <row r="551" spans="1:6" x14ac:dyDescent="0.25">
      <c r="A551" t="s">
        <v>5541</v>
      </c>
      <c r="B551" t="s">
        <v>4936</v>
      </c>
      <c r="C551" s="135"/>
      <c r="D551" s="135">
        <v>45044.421307870369</v>
      </c>
      <c r="E551" s="135">
        <v>45044.421319444446</v>
      </c>
      <c r="F551" t="s">
        <v>5028</v>
      </c>
    </row>
    <row r="552" spans="1:6" x14ac:dyDescent="0.25">
      <c r="A552" t="s">
        <v>5542</v>
      </c>
      <c r="B552" t="s">
        <v>4936</v>
      </c>
      <c r="C552" s="135"/>
      <c r="D552" s="135">
        <v>45016.411504629628</v>
      </c>
      <c r="E552" s="135">
        <v>45016.413738425923</v>
      </c>
      <c r="F552" t="s">
        <v>5028</v>
      </c>
    </row>
    <row r="553" spans="1:6" x14ac:dyDescent="0.25">
      <c r="A553" t="s">
        <v>5542</v>
      </c>
      <c r="B553" t="s">
        <v>4936</v>
      </c>
      <c r="C553" s="135"/>
      <c r="D553" s="135">
        <v>45016.411504629628</v>
      </c>
      <c r="E553" s="135">
        <v>45016.411620370367</v>
      </c>
      <c r="F553" t="s">
        <v>5531</v>
      </c>
    </row>
    <row r="554" spans="1:6" x14ac:dyDescent="0.25">
      <c r="A554" t="s">
        <v>5543</v>
      </c>
      <c r="B554" t="s">
        <v>4936</v>
      </c>
      <c r="C554" s="135"/>
      <c r="D554" s="135">
        <v>45044.643935185188</v>
      </c>
      <c r="E554" s="135">
        <v>45044.644074074073</v>
      </c>
      <c r="F554" t="s">
        <v>5028</v>
      </c>
    </row>
    <row r="555" spans="1:6" x14ac:dyDescent="0.25">
      <c r="A555" t="s">
        <v>5544</v>
      </c>
      <c r="B555" t="s">
        <v>4936</v>
      </c>
      <c r="C555" s="135"/>
      <c r="D555" s="135">
        <v>45016.405856481484</v>
      </c>
      <c r="E555" s="135">
        <v>45016.413738425923</v>
      </c>
      <c r="F555" t="s">
        <v>5028</v>
      </c>
    </row>
    <row r="556" spans="1:6" x14ac:dyDescent="0.25">
      <c r="A556" t="s">
        <v>5544</v>
      </c>
      <c r="B556" t="s">
        <v>4936</v>
      </c>
      <c r="C556" s="135"/>
      <c r="D556" s="135">
        <v>45016.405856481484</v>
      </c>
      <c r="E556" s="135">
        <v>45016.405995370369</v>
      </c>
      <c r="F556" t="s">
        <v>5531</v>
      </c>
    </row>
    <row r="557" spans="1:6" x14ac:dyDescent="0.25">
      <c r="A557" t="s">
        <v>5545</v>
      </c>
      <c r="B557" t="s">
        <v>4936</v>
      </c>
      <c r="C557" s="135"/>
      <c r="D557" s="135">
        <v>44782.356122685182</v>
      </c>
      <c r="E557" s="135">
        <v>44852.434004629627</v>
      </c>
      <c r="F557" t="s">
        <v>5531</v>
      </c>
    </row>
    <row r="558" spans="1:6" x14ac:dyDescent="0.25">
      <c r="A558" t="s">
        <v>5546</v>
      </c>
      <c r="B558" t="s">
        <v>4936</v>
      </c>
      <c r="C558" s="135"/>
      <c r="D558" s="135">
        <v>45044.366851851853</v>
      </c>
      <c r="E558" s="135">
        <v>45016.413738425923</v>
      </c>
      <c r="F558" t="s">
        <v>5028</v>
      </c>
    </row>
    <row r="559" spans="1:6" x14ac:dyDescent="0.25">
      <c r="A559" t="s">
        <v>5546</v>
      </c>
      <c r="B559" t="s">
        <v>4936</v>
      </c>
      <c r="C559" s="135"/>
      <c r="D559" s="135">
        <v>45016.407800925925</v>
      </c>
      <c r="E559" s="135">
        <v>45016.407916666663</v>
      </c>
      <c r="F559" t="s">
        <v>5531</v>
      </c>
    </row>
    <row r="560" spans="1:6" x14ac:dyDescent="0.25">
      <c r="A560" t="s">
        <v>5547</v>
      </c>
      <c r="B560" t="s">
        <v>4936</v>
      </c>
      <c r="C560" s="135"/>
      <c r="D560" s="135">
        <v>45044.364363425928</v>
      </c>
      <c r="E560" s="135">
        <v>45044.364502314813</v>
      </c>
      <c r="F560" t="s">
        <v>5028</v>
      </c>
    </row>
    <row r="561" spans="1:6" x14ac:dyDescent="0.25">
      <c r="A561" t="s">
        <v>5548</v>
      </c>
      <c r="B561" t="s">
        <v>4936</v>
      </c>
      <c r="C561" s="135"/>
      <c r="D561" s="135">
        <v>45152.400740740741</v>
      </c>
      <c r="E561" s="135">
        <v>45044.487384259257</v>
      </c>
      <c r="F561" t="s">
        <v>5028</v>
      </c>
    </row>
    <row r="562" spans="1:6" x14ac:dyDescent="0.25">
      <c r="A562" t="s">
        <v>5549</v>
      </c>
      <c r="B562" t="s">
        <v>4936</v>
      </c>
      <c r="C562" s="135"/>
      <c r="D562" s="135">
        <v>45044.487534722219</v>
      </c>
      <c r="E562" s="135">
        <v>45044.487662037034</v>
      </c>
      <c r="F562" t="s">
        <v>5028</v>
      </c>
    </row>
    <row r="563" spans="1:6" x14ac:dyDescent="0.25">
      <c r="A563" t="s">
        <v>5550</v>
      </c>
      <c r="B563" t="s">
        <v>4936</v>
      </c>
      <c r="C563" s="135"/>
      <c r="D563" s="135">
        <v>45044.629837962966</v>
      </c>
      <c r="E563" s="135">
        <v>45044.629861111112</v>
      </c>
      <c r="F563" t="s">
        <v>5028</v>
      </c>
    </row>
    <row r="564" spans="1:6" x14ac:dyDescent="0.25">
      <c r="A564" t="s">
        <v>5551</v>
      </c>
      <c r="B564" t="s">
        <v>4936</v>
      </c>
      <c r="C564" s="135"/>
      <c r="D564" s="135">
        <v>45044.625937500001</v>
      </c>
      <c r="E564" s="135">
        <v>45044.626076388886</v>
      </c>
      <c r="F564" t="s">
        <v>5028</v>
      </c>
    </row>
    <row r="565" spans="1:6" x14ac:dyDescent="0.25">
      <c r="A565" t="s">
        <v>5552</v>
      </c>
      <c r="B565" t="s">
        <v>4936</v>
      </c>
      <c r="C565" s="135"/>
      <c r="D565" s="135">
        <v>45044.500277777777</v>
      </c>
      <c r="E565" s="135">
        <v>45044.500289351854</v>
      </c>
      <c r="F565" t="s">
        <v>5028</v>
      </c>
    </row>
    <row r="566" spans="1:6" x14ac:dyDescent="0.25">
      <c r="A566" t="s">
        <v>5553</v>
      </c>
      <c r="B566" t="s">
        <v>4936</v>
      </c>
      <c r="C566" s="135"/>
      <c r="D566" s="135">
        <v>45044.501087962963</v>
      </c>
      <c r="E566" s="135">
        <v>45044.501226851855</v>
      </c>
      <c r="F566" t="s">
        <v>5028</v>
      </c>
    </row>
    <row r="567" spans="1:6" x14ac:dyDescent="0.25">
      <c r="A567" t="s">
        <v>5554</v>
      </c>
      <c r="B567" t="s">
        <v>4936</v>
      </c>
      <c r="C567" s="135"/>
      <c r="D567" s="135">
        <v>45044.476956018516</v>
      </c>
      <c r="E567" s="135">
        <v>45044.476979166669</v>
      </c>
      <c r="F567" t="s">
        <v>5028</v>
      </c>
    </row>
    <row r="568" spans="1:6" x14ac:dyDescent="0.25">
      <c r="A568" t="s">
        <v>5555</v>
      </c>
      <c r="B568" t="s">
        <v>4936</v>
      </c>
      <c r="C568" s="135"/>
      <c r="D568" s="135">
        <v>45044.484155092592</v>
      </c>
      <c r="E568" s="135">
        <v>45044.484305555554</v>
      </c>
      <c r="F568" t="s">
        <v>5028</v>
      </c>
    </row>
    <row r="569" spans="1:6" x14ac:dyDescent="0.25">
      <c r="A569" t="s">
        <v>5556</v>
      </c>
      <c r="B569" t="s">
        <v>4936</v>
      </c>
      <c r="C569" s="135"/>
      <c r="D569" s="135">
        <v>45152.402013888888</v>
      </c>
      <c r="E569" s="135">
        <v>45015.633553240739</v>
      </c>
      <c r="F569" t="s">
        <v>5028</v>
      </c>
    </row>
    <row r="570" spans="1:6" x14ac:dyDescent="0.25">
      <c r="A570" t="s">
        <v>5557</v>
      </c>
      <c r="B570" t="s">
        <v>4936</v>
      </c>
      <c r="C570" s="135"/>
      <c r="D570" s="135">
        <v>45016.425023148149</v>
      </c>
      <c r="E570" s="135">
        <v>45016.50440972222</v>
      </c>
      <c r="F570" t="s">
        <v>5028</v>
      </c>
    </row>
    <row r="571" spans="1:6" x14ac:dyDescent="0.25">
      <c r="A571" t="s">
        <v>5557</v>
      </c>
      <c r="B571" t="s">
        <v>4936</v>
      </c>
      <c r="C571" s="135"/>
      <c r="D571" s="135">
        <v>45016.425023148149</v>
      </c>
      <c r="E571" s="135">
        <v>45016.425138888888</v>
      </c>
      <c r="F571" t="s">
        <v>5508</v>
      </c>
    </row>
    <row r="572" spans="1:6" x14ac:dyDescent="0.25">
      <c r="A572" t="s">
        <v>5558</v>
      </c>
      <c r="B572" t="s">
        <v>4936</v>
      </c>
      <c r="C572" s="135"/>
      <c r="D572" s="135">
        <v>45016.433483796296</v>
      </c>
      <c r="E572" s="135">
        <v>45016.433599537035</v>
      </c>
      <c r="F572" t="s">
        <v>5508</v>
      </c>
    </row>
    <row r="573" spans="1:6" x14ac:dyDescent="0.25">
      <c r="A573" t="s">
        <v>5558</v>
      </c>
      <c r="B573" t="s">
        <v>4936</v>
      </c>
      <c r="C573" s="135"/>
      <c r="D573" s="135">
        <v>45016.433483796296</v>
      </c>
      <c r="E573" s="135">
        <v>45016.504421296297</v>
      </c>
      <c r="F573" t="s">
        <v>5028</v>
      </c>
    </row>
    <row r="574" spans="1:6" x14ac:dyDescent="0.25">
      <c r="A574" t="s">
        <v>5559</v>
      </c>
      <c r="B574" t="s">
        <v>4936</v>
      </c>
      <c r="C574" s="135"/>
      <c r="D574" s="135">
        <v>44902.400856481479</v>
      </c>
      <c r="E574" s="135">
        <v>45015.633553240739</v>
      </c>
      <c r="F574" t="s">
        <v>5028</v>
      </c>
    </row>
    <row r="575" spans="1:6" x14ac:dyDescent="0.25">
      <c r="A575" t="s">
        <v>5560</v>
      </c>
      <c r="B575" t="s">
        <v>4936</v>
      </c>
      <c r="C575" s="135"/>
      <c r="D575" s="135">
        <v>45016.503321759257</v>
      </c>
      <c r="E575" s="135">
        <v>45016.503472222219</v>
      </c>
      <c r="F575" t="s">
        <v>5508</v>
      </c>
    </row>
    <row r="576" spans="1:6" x14ac:dyDescent="0.25">
      <c r="A576" t="s">
        <v>5560</v>
      </c>
      <c r="B576" t="s">
        <v>4936</v>
      </c>
      <c r="C576" s="135"/>
      <c r="D576" s="135">
        <v>45016.503321759257</v>
      </c>
      <c r="E576" s="135">
        <v>45016.504444444443</v>
      </c>
      <c r="F576" t="s">
        <v>5028</v>
      </c>
    </row>
    <row r="577" spans="1:6" x14ac:dyDescent="0.25">
      <c r="A577" t="s">
        <v>5561</v>
      </c>
      <c r="B577" t="s">
        <v>4936</v>
      </c>
      <c r="C577" s="135"/>
      <c r="D577" s="135">
        <v>44848.679016203707</v>
      </c>
      <c r="E577" s="135">
        <v>45015.633553240739</v>
      </c>
      <c r="F577" t="s">
        <v>5028</v>
      </c>
    </row>
    <row r="578" spans="1:6" x14ac:dyDescent="0.25">
      <c r="A578" t="s">
        <v>5562</v>
      </c>
      <c r="B578" t="s">
        <v>4936</v>
      </c>
      <c r="C578" s="135"/>
      <c r="D578" s="135">
        <v>45016.501238425924</v>
      </c>
      <c r="E578" s="135">
        <v>45016.501354166663</v>
      </c>
      <c r="F578" t="s">
        <v>5508</v>
      </c>
    </row>
    <row r="579" spans="1:6" x14ac:dyDescent="0.25">
      <c r="A579" t="s">
        <v>5562</v>
      </c>
      <c r="B579" t="s">
        <v>4936</v>
      </c>
      <c r="C579" s="135"/>
      <c r="D579" s="135">
        <v>45016.501238425924</v>
      </c>
      <c r="E579" s="135">
        <v>45016.50440972222</v>
      </c>
      <c r="F579" t="s">
        <v>5028</v>
      </c>
    </row>
    <row r="580" spans="1:6" x14ac:dyDescent="0.25">
      <c r="A580" t="s">
        <v>5563</v>
      </c>
      <c r="B580" t="s">
        <v>4936</v>
      </c>
      <c r="C580" s="135"/>
      <c r="D580" s="135">
        <v>45016.501747685186</v>
      </c>
      <c r="E580" s="135">
        <v>45016.501863425925</v>
      </c>
      <c r="F580" t="s">
        <v>5508</v>
      </c>
    </row>
    <row r="581" spans="1:6" x14ac:dyDescent="0.25">
      <c r="A581" t="s">
        <v>5563</v>
      </c>
      <c r="B581" t="s">
        <v>4936</v>
      </c>
      <c r="C581" s="135"/>
      <c r="D581" s="135">
        <v>45016.501747685186</v>
      </c>
      <c r="E581" s="135">
        <v>45016.50440972222</v>
      </c>
      <c r="F581" t="s">
        <v>5028</v>
      </c>
    </row>
    <row r="582" spans="1:6" x14ac:dyDescent="0.25">
      <c r="A582" t="s">
        <v>5564</v>
      </c>
      <c r="B582" t="s">
        <v>4936</v>
      </c>
      <c r="C582" s="135"/>
      <c r="D582" s="135">
        <v>45061.607222222221</v>
      </c>
      <c r="E582" s="135">
        <v>45056.362071759257</v>
      </c>
      <c r="F582" t="s">
        <v>5565</v>
      </c>
    </row>
    <row r="583" spans="1:6" x14ac:dyDescent="0.25">
      <c r="A583" t="s">
        <v>5564</v>
      </c>
      <c r="B583" t="s">
        <v>4936</v>
      </c>
      <c r="C583" s="135"/>
      <c r="D583" s="135">
        <v>44818.394247685188</v>
      </c>
      <c r="E583" s="135">
        <v>45015.633553240739</v>
      </c>
      <c r="F583" t="s">
        <v>5028</v>
      </c>
    </row>
    <row r="584" spans="1:6" x14ac:dyDescent="0.25">
      <c r="A584" t="s">
        <v>5566</v>
      </c>
      <c r="B584" t="s">
        <v>4936</v>
      </c>
      <c r="C584" s="135"/>
      <c r="D584" s="135">
        <v>45016.498796296299</v>
      </c>
      <c r="E584" s="135">
        <v>45016.504432870373</v>
      </c>
      <c r="F584" t="s">
        <v>5028</v>
      </c>
    </row>
    <row r="585" spans="1:6" x14ac:dyDescent="0.25">
      <c r="A585" t="s">
        <v>5566</v>
      </c>
      <c r="B585" t="s">
        <v>4936</v>
      </c>
      <c r="C585" s="135"/>
      <c r="D585" s="135">
        <v>45016.498796296299</v>
      </c>
      <c r="E585" s="135">
        <v>45016.498900462961</v>
      </c>
      <c r="F585" t="s">
        <v>5508</v>
      </c>
    </row>
    <row r="586" spans="1:6" x14ac:dyDescent="0.25">
      <c r="A586" t="s">
        <v>5567</v>
      </c>
      <c r="B586" t="s">
        <v>4936</v>
      </c>
      <c r="C586" s="135"/>
      <c r="D586" s="135">
        <v>45016.499386574076</v>
      </c>
      <c r="E586" s="135">
        <v>45016.499502314815</v>
      </c>
      <c r="F586" t="s">
        <v>5508</v>
      </c>
    </row>
    <row r="587" spans="1:6" x14ac:dyDescent="0.25">
      <c r="A587" t="s">
        <v>5567</v>
      </c>
      <c r="B587" t="s">
        <v>4936</v>
      </c>
      <c r="C587" s="135"/>
      <c r="D587" s="135">
        <v>45016.499386574076</v>
      </c>
      <c r="E587" s="135">
        <v>45016.50440972222</v>
      </c>
      <c r="F587" t="s">
        <v>5028</v>
      </c>
    </row>
    <row r="588" spans="1:6" x14ac:dyDescent="0.25">
      <c r="A588" t="s">
        <v>5568</v>
      </c>
      <c r="B588" t="s">
        <v>4936</v>
      </c>
      <c r="C588" s="135"/>
      <c r="D588" s="135">
        <v>45125.534837962965</v>
      </c>
      <c r="E588" s="135">
        <v>45132.59337962963</v>
      </c>
      <c r="F588" t="s">
        <v>5569</v>
      </c>
    </row>
    <row r="589" spans="1:6" x14ac:dyDescent="0.25">
      <c r="A589" t="s">
        <v>5570</v>
      </c>
      <c r="B589" t="s">
        <v>4936</v>
      </c>
      <c r="C589" s="135"/>
      <c r="D589" s="135">
        <v>45275.432268518518</v>
      </c>
      <c r="E589" s="135">
        <v>45274.676168981481</v>
      </c>
      <c r="F589" t="s">
        <v>5571</v>
      </c>
    </row>
    <row r="590" spans="1:6" x14ac:dyDescent="0.25">
      <c r="A590" t="s">
        <v>5572</v>
      </c>
      <c r="B590" t="s">
        <v>4936</v>
      </c>
      <c r="C590" s="135"/>
      <c r="D590" s="135">
        <v>45274.63208333333</v>
      </c>
      <c r="E590" s="135">
        <v>45274.632222222222</v>
      </c>
      <c r="F590" t="s">
        <v>5571</v>
      </c>
    </row>
    <row r="591" spans="1:6" x14ac:dyDescent="0.25">
      <c r="A591" t="s">
        <v>5573</v>
      </c>
      <c r="B591" t="s">
        <v>4936</v>
      </c>
      <c r="C591" s="135"/>
      <c r="D591" s="135">
        <v>45274.658310185187</v>
      </c>
      <c r="E591" s="135">
        <v>45274.658587962964</v>
      </c>
      <c r="F591" t="s">
        <v>5574</v>
      </c>
    </row>
    <row r="592" spans="1:6" x14ac:dyDescent="0.25">
      <c r="A592" t="s">
        <v>5575</v>
      </c>
      <c r="B592" t="s">
        <v>4936</v>
      </c>
      <c r="C592" s="135"/>
      <c r="D592" s="135">
        <v>45274.659178240741</v>
      </c>
      <c r="E592" s="135">
        <v>45274.659317129626</v>
      </c>
      <c r="F592" t="s">
        <v>5574</v>
      </c>
    </row>
    <row r="593" spans="1:6" x14ac:dyDescent="0.25">
      <c r="A593" t="s">
        <v>5576</v>
      </c>
      <c r="B593" t="s">
        <v>4936</v>
      </c>
      <c r="C593" s="135"/>
      <c r="D593" s="135">
        <v>45274.659432870372</v>
      </c>
      <c r="E593" s="135">
        <v>45274.659571759257</v>
      </c>
      <c r="F593" t="s">
        <v>5574</v>
      </c>
    </row>
    <row r="594" spans="1:6" x14ac:dyDescent="0.25">
      <c r="A594" t="s">
        <v>5577</v>
      </c>
      <c r="B594" t="s">
        <v>4936</v>
      </c>
      <c r="C594" s="135"/>
      <c r="D594" s="135">
        <v>45274.659988425927</v>
      </c>
      <c r="E594" s="135">
        <v>45274.660127314812</v>
      </c>
      <c r="F594" t="s">
        <v>5574</v>
      </c>
    </row>
    <row r="595" spans="1:6" x14ac:dyDescent="0.25">
      <c r="A595" t="s">
        <v>5578</v>
      </c>
      <c r="B595" t="s">
        <v>4936</v>
      </c>
      <c r="C595" s="135"/>
      <c r="D595" s="135">
        <v>45274.662002314813</v>
      </c>
      <c r="E595" s="135">
        <v>45274.662164351852</v>
      </c>
      <c r="F595" t="s">
        <v>5574</v>
      </c>
    </row>
    <row r="596" spans="1:6" x14ac:dyDescent="0.25">
      <c r="A596" t="s">
        <v>5579</v>
      </c>
      <c r="B596" t="s">
        <v>4936</v>
      </c>
      <c r="C596" s="135"/>
      <c r="D596" s="135">
        <v>45274.668587962966</v>
      </c>
      <c r="E596" s="135">
        <v>45274.668749999997</v>
      </c>
      <c r="F596" t="s">
        <v>5574</v>
      </c>
    </row>
    <row r="597" spans="1:6" x14ac:dyDescent="0.25">
      <c r="A597" t="s">
        <v>5580</v>
      </c>
      <c r="B597" t="s">
        <v>4936</v>
      </c>
      <c r="C597" s="135"/>
      <c r="D597" s="135">
        <v>45274.669479166667</v>
      </c>
      <c r="E597" s="135">
        <v>45274.669594907406</v>
      </c>
      <c r="F597" t="s">
        <v>5574</v>
      </c>
    </row>
    <row r="598" spans="1:6" x14ac:dyDescent="0.25">
      <c r="A598" t="s">
        <v>5581</v>
      </c>
      <c r="B598" t="s">
        <v>4936</v>
      </c>
      <c r="C598" s="135"/>
      <c r="D598" s="135">
        <v>45274.626585648148</v>
      </c>
      <c r="E598" s="135">
        <v>45274.62672453704</v>
      </c>
      <c r="F598" t="s">
        <v>5582</v>
      </c>
    </row>
    <row r="599" spans="1:6" x14ac:dyDescent="0.25">
      <c r="A599" t="s">
        <v>5583</v>
      </c>
      <c r="B599" t="s">
        <v>4936</v>
      </c>
      <c r="C599" s="135"/>
      <c r="D599" s="135">
        <v>45274.623993055553</v>
      </c>
      <c r="E599" s="135">
        <v>45274.624155092592</v>
      </c>
      <c r="F599" t="s">
        <v>5582</v>
      </c>
    </row>
    <row r="600" spans="1:6" x14ac:dyDescent="0.25">
      <c r="A600" t="s">
        <v>5584</v>
      </c>
      <c r="B600" t="s">
        <v>4936</v>
      </c>
      <c r="C600" s="135"/>
      <c r="D600" s="135">
        <v>45125.460844907408</v>
      </c>
      <c r="E600" s="135">
        <v>45132.590162037035</v>
      </c>
      <c r="F600" t="s">
        <v>5585</v>
      </c>
    </row>
    <row r="601" spans="1:6" x14ac:dyDescent="0.25">
      <c r="A601" t="s">
        <v>5586</v>
      </c>
      <c r="B601" t="s">
        <v>4936</v>
      </c>
      <c r="C601" s="135"/>
      <c r="D601" s="135">
        <v>45126.341006944444</v>
      </c>
      <c r="E601" s="135">
        <v>45132.59337962963</v>
      </c>
      <c r="F601" t="s">
        <v>5569</v>
      </c>
    </row>
    <row r="602" spans="1:6" x14ac:dyDescent="0.25">
      <c r="A602" t="s">
        <v>5587</v>
      </c>
      <c r="B602" t="s">
        <v>4936</v>
      </c>
      <c r="C602" s="135"/>
      <c r="D602" s="135">
        <v>45133.313194444447</v>
      </c>
      <c r="E602" s="135">
        <v>45133.313356481478</v>
      </c>
      <c r="F602" t="s">
        <v>5585</v>
      </c>
    </row>
    <row r="603" spans="1:6" x14ac:dyDescent="0.25">
      <c r="A603" t="s">
        <v>5588</v>
      </c>
      <c r="B603" t="s">
        <v>4936</v>
      </c>
      <c r="C603" s="135"/>
      <c r="D603" s="135">
        <v>45125.45925925926</v>
      </c>
      <c r="E603" s="135">
        <v>45132.590173611112</v>
      </c>
      <c r="F603" t="s">
        <v>5585</v>
      </c>
    </row>
    <row r="604" spans="1:6" x14ac:dyDescent="0.25">
      <c r="A604" t="s">
        <v>5589</v>
      </c>
      <c r="B604" t="s">
        <v>4936</v>
      </c>
      <c r="C604" s="135"/>
      <c r="D604" s="135">
        <v>45125.458553240744</v>
      </c>
      <c r="E604" s="135">
        <v>45132.590173611112</v>
      </c>
      <c r="F604" t="s">
        <v>5585</v>
      </c>
    </row>
    <row r="605" spans="1:6" x14ac:dyDescent="0.25">
      <c r="A605" t="s">
        <v>5590</v>
      </c>
      <c r="B605" t="s">
        <v>4936</v>
      </c>
      <c r="C605" s="135"/>
      <c r="D605" s="135">
        <v>45125.457256944443</v>
      </c>
      <c r="E605" s="135">
        <v>45132.590162037035</v>
      </c>
      <c r="F605" t="s">
        <v>5585</v>
      </c>
    </row>
    <row r="606" spans="1:6" x14ac:dyDescent="0.25">
      <c r="A606" t="s">
        <v>5591</v>
      </c>
      <c r="B606" t="s">
        <v>4936</v>
      </c>
      <c r="C606" s="135"/>
      <c r="D606" s="135">
        <v>45125.456388888888</v>
      </c>
      <c r="E606" s="135">
        <v>45132.590162037035</v>
      </c>
      <c r="F606" t="s">
        <v>5585</v>
      </c>
    </row>
    <row r="607" spans="1:6" x14ac:dyDescent="0.25">
      <c r="A607" t="s">
        <v>5592</v>
      </c>
      <c r="B607" t="s">
        <v>4936</v>
      </c>
      <c r="C607" s="135"/>
      <c r="D607" s="135">
        <v>45125.455381944441</v>
      </c>
      <c r="E607" s="135">
        <v>45132.590162037035</v>
      </c>
      <c r="F607" t="s">
        <v>5585</v>
      </c>
    </row>
    <row r="608" spans="1:6" x14ac:dyDescent="0.25">
      <c r="A608" t="s">
        <v>5593</v>
      </c>
      <c r="B608" t="s">
        <v>4936</v>
      </c>
      <c r="C608" s="135"/>
      <c r="D608" s="135">
        <v>45125.449594907404</v>
      </c>
      <c r="E608" s="135">
        <v>45132.590162037035</v>
      </c>
      <c r="F608" t="s">
        <v>5585</v>
      </c>
    </row>
    <row r="609" spans="1:6" x14ac:dyDescent="0.25">
      <c r="A609" t="s">
        <v>5594</v>
      </c>
      <c r="B609" t="s">
        <v>4936</v>
      </c>
      <c r="C609" s="135"/>
      <c r="D609" s="135">
        <v>45222.457557870373</v>
      </c>
      <c r="E609" s="135">
        <v>45222.457685185182</v>
      </c>
      <c r="F609" t="s">
        <v>5571</v>
      </c>
    </row>
    <row r="610" spans="1:6" x14ac:dyDescent="0.25">
      <c r="A610" t="s">
        <v>5595</v>
      </c>
      <c r="B610" t="s">
        <v>4936</v>
      </c>
      <c r="C610" s="135"/>
      <c r="D610" s="135">
        <v>45222.458935185183</v>
      </c>
      <c r="E610" s="135">
        <v>45222.459062499998</v>
      </c>
      <c r="F610" t="s">
        <v>5571</v>
      </c>
    </row>
    <row r="611" spans="1:6" x14ac:dyDescent="0.25">
      <c r="A611" t="s">
        <v>5596</v>
      </c>
      <c r="B611" t="s">
        <v>4936</v>
      </c>
      <c r="C611" s="135"/>
      <c r="D611" s="135">
        <v>45222.459490740737</v>
      </c>
      <c r="E611" s="135">
        <v>45222.459618055553</v>
      </c>
      <c r="F611" t="s">
        <v>5571</v>
      </c>
    </row>
    <row r="612" spans="1:6" x14ac:dyDescent="0.25">
      <c r="A612" t="s">
        <v>5597</v>
      </c>
      <c r="B612" t="s">
        <v>4936</v>
      </c>
      <c r="C612" s="135"/>
      <c r="D612" s="135">
        <v>45222.460138888891</v>
      </c>
      <c r="E612" s="135">
        <v>45222.460277777776</v>
      </c>
      <c r="F612" t="s">
        <v>5571</v>
      </c>
    </row>
    <row r="613" spans="1:6" x14ac:dyDescent="0.25">
      <c r="A613" t="s">
        <v>5598</v>
      </c>
      <c r="B613" t="s">
        <v>4936</v>
      </c>
      <c r="C613" s="135"/>
      <c r="D613" s="135">
        <v>45222.460625</v>
      </c>
      <c r="E613" s="135">
        <v>45222.460752314815</v>
      </c>
      <c r="F613" t="s">
        <v>5571</v>
      </c>
    </row>
    <row r="614" spans="1:6" x14ac:dyDescent="0.25">
      <c r="A614" t="s">
        <v>5599</v>
      </c>
      <c r="B614" t="s">
        <v>4936</v>
      </c>
      <c r="C614" s="135"/>
      <c r="D614" s="135">
        <v>45222.461099537039</v>
      </c>
      <c r="E614" s="135">
        <v>45222.461226851854</v>
      </c>
      <c r="F614" t="s">
        <v>5571</v>
      </c>
    </row>
    <row r="615" spans="1:6" x14ac:dyDescent="0.25">
      <c r="A615" t="s">
        <v>5600</v>
      </c>
      <c r="B615" t="s">
        <v>4936</v>
      </c>
      <c r="C615" s="135"/>
      <c r="D615" s="135">
        <v>45222.461921296293</v>
      </c>
      <c r="E615" s="135">
        <v>45222.462037037039</v>
      </c>
      <c r="F615" t="s">
        <v>5571</v>
      </c>
    </row>
    <row r="616" spans="1:6" x14ac:dyDescent="0.25">
      <c r="A616" t="s">
        <v>5601</v>
      </c>
      <c r="B616" t="s">
        <v>4936</v>
      </c>
      <c r="C616" s="135"/>
      <c r="D616" s="135">
        <v>45133.322615740741</v>
      </c>
      <c r="E616" s="135">
        <v>45133.322766203702</v>
      </c>
      <c r="F616" t="s">
        <v>5569</v>
      </c>
    </row>
    <row r="617" spans="1:6" x14ac:dyDescent="0.25">
      <c r="A617" t="s">
        <v>5602</v>
      </c>
      <c r="B617" t="s">
        <v>4936</v>
      </c>
      <c r="C617" s="135"/>
      <c r="D617" s="135">
        <v>45125.487268518518</v>
      </c>
      <c r="E617" s="135">
        <v>45132.59337962963</v>
      </c>
      <c r="F617" t="s">
        <v>5569</v>
      </c>
    </row>
    <row r="618" spans="1:6" x14ac:dyDescent="0.25">
      <c r="A618" t="s">
        <v>5603</v>
      </c>
      <c r="B618" t="s">
        <v>4936</v>
      </c>
      <c r="C618" s="135"/>
      <c r="D618" s="135">
        <v>45125.486145833333</v>
      </c>
      <c r="E618" s="135">
        <v>45132.59337962963</v>
      </c>
      <c r="F618" t="s">
        <v>5569</v>
      </c>
    </row>
    <row r="619" spans="1:6" x14ac:dyDescent="0.25">
      <c r="A619" t="s">
        <v>5604</v>
      </c>
      <c r="B619" t="s">
        <v>4936</v>
      </c>
      <c r="C619" s="135"/>
      <c r="D619" s="135">
        <v>45125.48537037037</v>
      </c>
      <c r="E619" s="135">
        <v>45132.593391203707</v>
      </c>
      <c r="F619" t="s">
        <v>5569</v>
      </c>
    </row>
    <row r="620" spans="1:6" x14ac:dyDescent="0.25">
      <c r="A620" t="s">
        <v>5605</v>
      </c>
      <c r="B620" t="s">
        <v>4936</v>
      </c>
      <c r="C620" s="135"/>
      <c r="D620" s="135">
        <v>45125.479849537034</v>
      </c>
      <c r="E620" s="135">
        <v>45132.59337962963</v>
      </c>
      <c r="F620" t="s">
        <v>5569</v>
      </c>
    </row>
    <row r="621" spans="1:6" x14ac:dyDescent="0.25">
      <c r="A621" t="s">
        <v>5606</v>
      </c>
      <c r="B621" t="s">
        <v>4936</v>
      </c>
      <c r="C621" s="135"/>
      <c r="D621" s="135">
        <v>45125.478993055556</v>
      </c>
      <c r="E621" s="135">
        <v>45132.59337962963</v>
      </c>
      <c r="F621" t="s">
        <v>5569</v>
      </c>
    </row>
    <row r="622" spans="1:6" x14ac:dyDescent="0.25">
      <c r="A622" t="s">
        <v>5607</v>
      </c>
      <c r="B622" t="s">
        <v>4936</v>
      </c>
      <c r="C622" s="135"/>
      <c r="D622" s="135">
        <v>45125.476817129631</v>
      </c>
      <c r="E622" s="135">
        <v>45132.593391203707</v>
      </c>
      <c r="F622" t="s">
        <v>5569</v>
      </c>
    </row>
    <row r="623" spans="1:6" x14ac:dyDescent="0.25">
      <c r="A623" t="s">
        <v>5608</v>
      </c>
      <c r="B623" t="s">
        <v>4936</v>
      </c>
      <c r="C623" s="135"/>
      <c r="D623" s="135">
        <v>45194.474270833336</v>
      </c>
      <c r="E623" s="135">
        <v>45194.47960648148</v>
      </c>
      <c r="F623" t="s">
        <v>5582</v>
      </c>
    </row>
    <row r="624" spans="1:6" x14ac:dyDescent="0.25">
      <c r="A624" t="s">
        <v>5609</v>
      </c>
      <c r="B624" t="s">
        <v>4936</v>
      </c>
      <c r="C624" s="135"/>
      <c r="D624" s="135">
        <v>45194.475173611114</v>
      </c>
      <c r="E624" s="135">
        <v>45194.479571759257</v>
      </c>
      <c r="F624" t="s">
        <v>5582</v>
      </c>
    </row>
    <row r="625" spans="1:6" x14ac:dyDescent="0.25">
      <c r="A625" t="s">
        <v>5610</v>
      </c>
      <c r="B625" t="s">
        <v>4936</v>
      </c>
      <c r="C625" s="135"/>
      <c r="D625" s="135">
        <v>45194.475590277776</v>
      </c>
      <c r="E625" s="135">
        <v>45194.476481481484</v>
      </c>
      <c r="F625" t="s">
        <v>5582</v>
      </c>
    </row>
    <row r="626" spans="1:6" x14ac:dyDescent="0.25">
      <c r="A626" t="s">
        <v>5611</v>
      </c>
      <c r="B626" t="s">
        <v>4936</v>
      </c>
      <c r="C626" s="135"/>
      <c r="D626" s="135">
        <v>45194.476412037038</v>
      </c>
      <c r="E626" s="135">
        <v>45194.478171296294</v>
      </c>
      <c r="F626" t="s">
        <v>5582</v>
      </c>
    </row>
    <row r="627" spans="1:6" x14ac:dyDescent="0.25">
      <c r="A627" t="s">
        <v>5612</v>
      </c>
      <c r="B627" t="s">
        <v>4936</v>
      </c>
      <c r="C627" s="135"/>
      <c r="D627" s="135">
        <v>45286.407847222225</v>
      </c>
      <c r="E627" s="135">
        <v>45286.407997685186</v>
      </c>
      <c r="F627" t="s">
        <v>5582</v>
      </c>
    </row>
    <row r="628" spans="1:6" x14ac:dyDescent="0.25">
      <c r="A628" t="s">
        <v>5613</v>
      </c>
      <c r="B628" t="s">
        <v>4936</v>
      </c>
      <c r="C628" s="135"/>
      <c r="D628" s="135">
        <v>45194.479224537034</v>
      </c>
      <c r="E628" s="135">
        <v>45194.479594907411</v>
      </c>
      <c r="F628" t="s">
        <v>5582</v>
      </c>
    </row>
    <row r="629" spans="1:6" x14ac:dyDescent="0.25">
      <c r="A629" t="s">
        <v>5614</v>
      </c>
      <c r="B629" t="s">
        <v>4936</v>
      </c>
      <c r="C629" s="135"/>
      <c r="D629" s="135">
        <v>45194.480150462965</v>
      </c>
      <c r="E629" s="135">
        <v>45194.482314814813</v>
      </c>
      <c r="F629" t="s">
        <v>5582</v>
      </c>
    </row>
    <row r="630" spans="1:6" x14ac:dyDescent="0.25">
      <c r="A630" t="s">
        <v>5615</v>
      </c>
      <c r="B630" t="s">
        <v>4936</v>
      </c>
      <c r="C630" s="135"/>
      <c r="D630" s="135">
        <v>45194.482812499999</v>
      </c>
      <c r="E630" s="135">
        <v>45194.48332175926</v>
      </c>
      <c r="F630" t="s">
        <v>5582</v>
      </c>
    </row>
    <row r="631" spans="1:6" x14ac:dyDescent="0.25">
      <c r="A631" t="s">
        <v>5616</v>
      </c>
      <c r="B631" t="s">
        <v>4936</v>
      </c>
      <c r="C631" s="135"/>
      <c r="D631" s="135">
        <v>44848.650983796295</v>
      </c>
      <c r="E631" s="135">
        <v>44852.434305555558</v>
      </c>
      <c r="F631" t="s">
        <v>5508</v>
      </c>
    </row>
    <row r="632" spans="1:6" x14ac:dyDescent="0.25">
      <c r="A632" t="s">
        <v>5617</v>
      </c>
      <c r="B632" t="s">
        <v>4936</v>
      </c>
      <c r="C632" s="135"/>
      <c r="D632" s="135">
        <v>44902.372418981482</v>
      </c>
      <c r="E632" s="135">
        <v>44910.308564814812</v>
      </c>
      <c r="F632" t="s">
        <v>5508</v>
      </c>
    </row>
    <row r="633" spans="1:6" x14ac:dyDescent="0.25">
      <c r="A633" t="s">
        <v>5618</v>
      </c>
      <c r="B633" t="s">
        <v>4936</v>
      </c>
      <c r="C633" s="135"/>
      <c r="D633" s="135">
        <v>44848.68482638889</v>
      </c>
      <c r="E633" s="135">
        <v>44852.434293981481</v>
      </c>
      <c r="F633" t="s">
        <v>5508</v>
      </c>
    </row>
    <row r="634" spans="1:6" x14ac:dyDescent="0.25">
      <c r="A634" t="s">
        <v>5619</v>
      </c>
      <c r="B634" t="s">
        <v>4936</v>
      </c>
      <c r="C634" s="135"/>
      <c r="D634" s="135">
        <v>44837.611608796295</v>
      </c>
      <c r="E634" s="135">
        <v>44852.434293981481</v>
      </c>
      <c r="F634" t="s">
        <v>5508</v>
      </c>
    </row>
    <row r="635" spans="1:6" x14ac:dyDescent="0.25">
      <c r="A635" t="s">
        <v>5620</v>
      </c>
      <c r="B635" t="s">
        <v>4936</v>
      </c>
      <c r="C635" s="135"/>
      <c r="D635" s="135">
        <v>44902.400856481479</v>
      </c>
      <c r="E635" s="135">
        <v>44910.307939814818</v>
      </c>
      <c r="F635" t="s">
        <v>5508</v>
      </c>
    </row>
    <row r="636" spans="1:6" x14ac:dyDescent="0.25">
      <c r="A636" t="s">
        <v>5621</v>
      </c>
      <c r="B636" t="s">
        <v>4936</v>
      </c>
      <c r="C636" s="135"/>
      <c r="D636" s="135">
        <v>44848.628425925926</v>
      </c>
      <c r="E636" s="135">
        <v>44852.434282407405</v>
      </c>
      <c r="F636" t="s">
        <v>5508</v>
      </c>
    </row>
    <row r="637" spans="1:6" x14ac:dyDescent="0.25">
      <c r="A637" t="s">
        <v>5622</v>
      </c>
      <c r="B637" t="s">
        <v>4936</v>
      </c>
      <c r="C637" s="135"/>
      <c r="D637" s="135">
        <v>44882.507094907407</v>
      </c>
      <c r="E637" s="135">
        <v>44882.507164351853</v>
      </c>
      <c r="F637" t="s">
        <v>5508</v>
      </c>
    </row>
    <row r="638" spans="1:6" x14ac:dyDescent="0.25">
      <c r="A638" t="s">
        <v>5623</v>
      </c>
      <c r="B638" t="s">
        <v>4936</v>
      </c>
      <c r="C638" s="135"/>
      <c r="D638" s="135">
        <v>44848.679016203707</v>
      </c>
      <c r="E638" s="135">
        <v>44852.434282407405</v>
      </c>
      <c r="F638" t="s">
        <v>5508</v>
      </c>
    </row>
    <row r="639" spans="1:6" x14ac:dyDescent="0.25">
      <c r="A639" t="s">
        <v>5624</v>
      </c>
      <c r="B639" t="s">
        <v>4936</v>
      </c>
      <c r="C639" s="135"/>
      <c r="D639" s="135">
        <v>44818.394247685188</v>
      </c>
      <c r="E639" s="135">
        <v>44852.434282407405</v>
      </c>
      <c r="F639" t="s">
        <v>5508</v>
      </c>
    </row>
    <row r="640" spans="1:6" x14ac:dyDescent="0.25">
      <c r="A640" t="s">
        <v>5625</v>
      </c>
      <c r="B640" t="s">
        <v>4936</v>
      </c>
      <c r="C640" s="135"/>
      <c r="D640" s="135">
        <v>45153.733865740738</v>
      </c>
      <c r="E640" s="135">
        <v>45167.300208333334</v>
      </c>
      <c r="F640" t="s">
        <v>5626</v>
      </c>
    </row>
    <row r="641" spans="1:6" x14ac:dyDescent="0.25">
      <c r="A641" t="s">
        <v>5625</v>
      </c>
      <c r="B641" t="s">
        <v>4936</v>
      </c>
      <c r="C641" s="135"/>
      <c r="D641" s="135">
        <v>45153.733865740738</v>
      </c>
      <c r="E641" s="135">
        <v>45286.599942129629</v>
      </c>
      <c r="F641" t="s">
        <v>5627</v>
      </c>
    </row>
    <row r="642" spans="1:6" x14ac:dyDescent="0.25">
      <c r="A642" t="s">
        <v>5628</v>
      </c>
      <c r="B642" t="s">
        <v>4936</v>
      </c>
      <c r="C642" s="135"/>
      <c r="D642" s="135">
        <v>45153.734085648146</v>
      </c>
      <c r="E642" s="135">
        <v>45167.300335648149</v>
      </c>
      <c r="F642" t="s">
        <v>5626</v>
      </c>
    </row>
    <row r="643" spans="1:6" x14ac:dyDescent="0.25">
      <c r="A643" t="s">
        <v>5628</v>
      </c>
      <c r="B643" t="s">
        <v>4936</v>
      </c>
      <c r="C643" s="135"/>
      <c r="D643" s="135">
        <v>45153.734085648146</v>
      </c>
      <c r="E643" s="135">
        <v>45286.599942129629</v>
      </c>
      <c r="F643" t="s">
        <v>5627</v>
      </c>
    </row>
    <row r="644" spans="1:6" x14ac:dyDescent="0.25">
      <c r="A644" t="s">
        <v>5629</v>
      </c>
      <c r="B644" t="s">
        <v>4936</v>
      </c>
      <c r="C644" s="135"/>
      <c r="D644" s="135">
        <v>45153.733888888892</v>
      </c>
      <c r="E644" s="135">
        <v>45167.300462962965</v>
      </c>
      <c r="F644" t="s">
        <v>5626</v>
      </c>
    </row>
    <row r="645" spans="1:6" x14ac:dyDescent="0.25">
      <c r="A645" t="s">
        <v>5629</v>
      </c>
      <c r="B645" t="s">
        <v>4936</v>
      </c>
      <c r="C645" s="135"/>
      <c r="D645" s="135">
        <v>45153.733888888892</v>
      </c>
      <c r="E645" s="135">
        <v>45286.599942129629</v>
      </c>
      <c r="F645" t="s">
        <v>5627</v>
      </c>
    </row>
    <row r="646" spans="1:6" x14ac:dyDescent="0.25">
      <c r="A646" t="s">
        <v>5630</v>
      </c>
      <c r="B646" t="s">
        <v>4936</v>
      </c>
      <c r="C646" s="135"/>
      <c r="D646" s="135">
        <v>45153.734027777777</v>
      </c>
      <c r="E646" s="135">
        <v>45167.30060185185</v>
      </c>
      <c r="F646" t="s">
        <v>5626</v>
      </c>
    </row>
    <row r="647" spans="1:6" x14ac:dyDescent="0.25">
      <c r="A647" t="s">
        <v>5630</v>
      </c>
      <c r="B647" t="s">
        <v>4936</v>
      </c>
      <c r="C647" s="135"/>
      <c r="D647" s="135">
        <v>45153.734027777777</v>
      </c>
      <c r="E647" s="135">
        <v>45286.599930555552</v>
      </c>
      <c r="F647" t="s">
        <v>5627</v>
      </c>
    </row>
    <row r="648" spans="1:6" x14ac:dyDescent="0.25">
      <c r="A648" t="s">
        <v>5631</v>
      </c>
      <c r="B648" t="s">
        <v>4936</v>
      </c>
      <c r="C648" s="135"/>
      <c r="D648" s="135">
        <v>45153.733958333331</v>
      </c>
      <c r="E648" s="135">
        <v>45167.300844907404</v>
      </c>
      <c r="F648" t="s">
        <v>5626</v>
      </c>
    </row>
    <row r="649" spans="1:6" x14ac:dyDescent="0.25">
      <c r="A649" t="s">
        <v>5631</v>
      </c>
      <c r="B649" t="s">
        <v>4936</v>
      </c>
      <c r="C649" s="135"/>
      <c r="D649" s="135">
        <v>45153.733958333331</v>
      </c>
      <c r="E649" s="135">
        <v>45286.599930555552</v>
      </c>
      <c r="F649" t="s">
        <v>5627</v>
      </c>
    </row>
    <row r="650" spans="1:6" x14ac:dyDescent="0.25">
      <c r="A650" t="s">
        <v>5632</v>
      </c>
      <c r="B650" t="s">
        <v>4936</v>
      </c>
      <c r="C650" s="135"/>
      <c r="D650" s="135">
        <v>45153.734166666669</v>
      </c>
      <c r="E650" s="135">
        <v>45286.599930555552</v>
      </c>
      <c r="F650" t="s">
        <v>5627</v>
      </c>
    </row>
    <row r="651" spans="1:6" x14ac:dyDescent="0.25">
      <c r="A651" t="s">
        <v>5632</v>
      </c>
      <c r="B651" t="s">
        <v>4936</v>
      </c>
      <c r="C651" s="135"/>
      <c r="D651" s="135">
        <v>45153.734166666669</v>
      </c>
      <c r="E651" s="135">
        <v>45167.300995370373</v>
      </c>
      <c r="F651" t="s">
        <v>5626</v>
      </c>
    </row>
    <row r="652" spans="1:6" x14ac:dyDescent="0.25">
      <c r="A652" t="s">
        <v>5633</v>
      </c>
      <c r="B652" t="s">
        <v>4936</v>
      </c>
      <c r="C652" s="135"/>
      <c r="D652" s="135">
        <v>45153.73400462963</v>
      </c>
      <c r="E652" s="135">
        <v>45167.301296296297</v>
      </c>
      <c r="F652" t="s">
        <v>5626</v>
      </c>
    </row>
    <row r="653" spans="1:6" x14ac:dyDescent="0.25">
      <c r="A653" t="s">
        <v>5633</v>
      </c>
      <c r="B653" t="s">
        <v>4936</v>
      </c>
      <c r="C653" s="135"/>
      <c r="D653" s="135">
        <v>45153.73400462963</v>
      </c>
      <c r="E653" s="135">
        <v>45286.599930555552</v>
      </c>
      <c r="F653" t="s">
        <v>5627</v>
      </c>
    </row>
    <row r="654" spans="1:6" x14ac:dyDescent="0.25">
      <c r="A654" t="s">
        <v>5634</v>
      </c>
      <c r="B654" t="s">
        <v>4936</v>
      </c>
      <c r="C654" s="135"/>
      <c r="D654" s="135">
        <v>45153.733958333331</v>
      </c>
      <c r="E654" s="135">
        <v>45167.301458333335</v>
      </c>
      <c r="F654" t="s">
        <v>5626</v>
      </c>
    </row>
    <row r="655" spans="1:6" x14ac:dyDescent="0.25">
      <c r="A655" t="s">
        <v>5634</v>
      </c>
      <c r="B655" t="s">
        <v>4936</v>
      </c>
      <c r="C655" s="135"/>
      <c r="D655" s="135">
        <v>45153.733958333331</v>
      </c>
      <c r="E655" s="135">
        <v>45286.599930555552</v>
      </c>
      <c r="F655" t="s">
        <v>5627</v>
      </c>
    </row>
    <row r="656" spans="1:6" x14ac:dyDescent="0.25">
      <c r="A656" t="s">
        <v>5635</v>
      </c>
      <c r="B656" t="s">
        <v>4936</v>
      </c>
      <c r="C656" s="135"/>
      <c r="D656" s="135">
        <v>45153.7341087963</v>
      </c>
      <c r="E656" s="135">
        <v>45167.301585648151</v>
      </c>
      <c r="F656" t="s">
        <v>5626</v>
      </c>
    </row>
    <row r="657" spans="1:6" x14ac:dyDescent="0.25">
      <c r="A657" t="s">
        <v>5635</v>
      </c>
      <c r="B657" t="s">
        <v>4936</v>
      </c>
      <c r="C657" s="135"/>
      <c r="D657" s="135">
        <v>45153.7341087963</v>
      </c>
      <c r="E657" s="135">
        <v>45286.599930555552</v>
      </c>
      <c r="F657" t="s">
        <v>5627</v>
      </c>
    </row>
    <row r="658" spans="1:6" x14ac:dyDescent="0.25">
      <c r="A658" t="s">
        <v>5636</v>
      </c>
      <c r="B658" t="s">
        <v>4936</v>
      </c>
      <c r="C658" s="135"/>
      <c r="D658" s="135">
        <v>45153.733854166669</v>
      </c>
      <c r="E658" s="135">
        <v>45286.599930555552</v>
      </c>
      <c r="F658" t="s">
        <v>5627</v>
      </c>
    </row>
    <row r="659" spans="1:6" x14ac:dyDescent="0.25">
      <c r="A659" t="s">
        <v>5636</v>
      </c>
      <c r="B659" t="s">
        <v>4936</v>
      </c>
      <c r="C659" s="135"/>
      <c r="D659" s="135">
        <v>45153.733854166669</v>
      </c>
      <c r="E659" s="135">
        <v>45167.300740740742</v>
      </c>
      <c r="F659" t="s">
        <v>5626</v>
      </c>
    </row>
    <row r="660" spans="1:6" x14ac:dyDescent="0.25">
      <c r="A660" t="s">
        <v>5637</v>
      </c>
      <c r="B660" t="s">
        <v>4936</v>
      </c>
      <c r="C660" s="135"/>
      <c r="D660" s="135">
        <v>45153.733935185184</v>
      </c>
      <c r="E660" s="135">
        <v>45167.301134259258</v>
      </c>
      <c r="F660" t="s">
        <v>5626</v>
      </c>
    </row>
    <row r="661" spans="1:6" x14ac:dyDescent="0.25">
      <c r="A661" t="s">
        <v>5637</v>
      </c>
      <c r="B661" t="s">
        <v>4936</v>
      </c>
      <c r="C661" s="135"/>
      <c r="D661" s="135">
        <v>45153.733935185184</v>
      </c>
      <c r="E661" s="135">
        <v>45286.599930555552</v>
      </c>
      <c r="F661" t="s">
        <v>5627</v>
      </c>
    </row>
    <row r="662" spans="1:6" x14ac:dyDescent="0.25">
      <c r="A662" t="s">
        <v>5638</v>
      </c>
      <c r="B662" t="s">
        <v>4936</v>
      </c>
      <c r="C662" s="135"/>
      <c r="D662" s="135">
        <v>45153.734143518515</v>
      </c>
      <c r="E662" s="135">
        <v>45167.302083333336</v>
      </c>
      <c r="F662" t="s">
        <v>5626</v>
      </c>
    </row>
    <row r="663" spans="1:6" x14ac:dyDescent="0.25">
      <c r="A663" t="s">
        <v>5638</v>
      </c>
      <c r="B663" t="s">
        <v>4936</v>
      </c>
      <c r="C663" s="135"/>
      <c r="D663" s="135">
        <v>45153.734143518515</v>
      </c>
      <c r="E663" s="135">
        <v>45286.599930555552</v>
      </c>
      <c r="F663" t="s">
        <v>5627</v>
      </c>
    </row>
    <row r="664" spans="1:6" x14ac:dyDescent="0.25">
      <c r="A664" t="s">
        <v>5639</v>
      </c>
      <c r="B664" t="s">
        <v>4936</v>
      </c>
      <c r="C664" s="135"/>
      <c r="D664" s="135">
        <v>45153.733969907407</v>
      </c>
      <c r="E664" s="135">
        <v>45167.302083333336</v>
      </c>
      <c r="F664" t="s">
        <v>5626</v>
      </c>
    </row>
    <row r="665" spans="1:6" x14ac:dyDescent="0.25">
      <c r="A665" t="s">
        <v>5639</v>
      </c>
      <c r="B665" t="s">
        <v>4936</v>
      </c>
      <c r="C665" s="135"/>
      <c r="D665" s="135">
        <v>45153.733969907407</v>
      </c>
      <c r="E665" s="135">
        <v>45286.599918981483</v>
      </c>
      <c r="F665" t="s">
        <v>5627</v>
      </c>
    </row>
    <row r="666" spans="1:6" x14ac:dyDescent="0.25">
      <c r="A666" t="s">
        <v>5640</v>
      </c>
      <c r="B666" t="s">
        <v>4936</v>
      </c>
      <c r="C666" s="135"/>
      <c r="D666" s="135">
        <v>45153.734155092592</v>
      </c>
      <c r="E666" s="135">
        <v>45167.302164351851</v>
      </c>
      <c r="F666" t="s">
        <v>5626</v>
      </c>
    </row>
    <row r="667" spans="1:6" x14ac:dyDescent="0.25">
      <c r="A667" t="s">
        <v>5640</v>
      </c>
      <c r="B667" t="s">
        <v>4936</v>
      </c>
      <c r="C667" s="135"/>
      <c r="D667" s="135">
        <v>45153.734155092592</v>
      </c>
      <c r="E667" s="135">
        <v>45286.599918981483</v>
      </c>
      <c r="F667" t="s">
        <v>5627</v>
      </c>
    </row>
    <row r="668" spans="1:6" x14ac:dyDescent="0.25">
      <c r="A668" t="s">
        <v>5641</v>
      </c>
      <c r="B668" t="s">
        <v>4936</v>
      </c>
      <c r="C668" s="135"/>
      <c r="D668" s="135">
        <v>45153.734074074076</v>
      </c>
      <c r="E668" s="135">
        <v>45167.30232638889</v>
      </c>
      <c r="F668" t="s">
        <v>5626</v>
      </c>
    </row>
    <row r="669" spans="1:6" x14ac:dyDescent="0.25">
      <c r="A669" t="s">
        <v>5641</v>
      </c>
      <c r="B669" t="s">
        <v>4936</v>
      </c>
      <c r="C669" s="135"/>
      <c r="D669" s="135">
        <v>45153.734074074076</v>
      </c>
      <c r="E669" s="135">
        <v>45286.599918981483</v>
      </c>
      <c r="F669" t="s">
        <v>5627</v>
      </c>
    </row>
    <row r="670" spans="1:6" x14ac:dyDescent="0.25">
      <c r="A670" t="s">
        <v>5642</v>
      </c>
      <c r="B670" t="s">
        <v>4936</v>
      </c>
      <c r="C670" s="135"/>
      <c r="D670" s="135">
        <v>45153.733854166669</v>
      </c>
      <c r="E670" s="135">
        <v>45286.599918981483</v>
      </c>
      <c r="F670" t="s">
        <v>5627</v>
      </c>
    </row>
    <row r="671" spans="1:6" x14ac:dyDescent="0.25">
      <c r="A671" t="s">
        <v>5642</v>
      </c>
      <c r="B671" t="s">
        <v>4936</v>
      </c>
      <c r="C671" s="135"/>
      <c r="D671" s="135">
        <v>45153.733854166669</v>
      </c>
      <c r="E671" s="135">
        <v>45167.302476851852</v>
      </c>
      <c r="F671" t="s">
        <v>5626</v>
      </c>
    </row>
    <row r="672" spans="1:6" x14ac:dyDescent="0.25">
      <c r="A672" t="s">
        <v>5643</v>
      </c>
      <c r="B672" t="s">
        <v>4936</v>
      </c>
      <c r="C672" s="135"/>
      <c r="D672" s="135">
        <v>45153.734074074076</v>
      </c>
      <c r="E672" s="135">
        <v>45286.599918981483</v>
      </c>
      <c r="F672" t="s">
        <v>5627</v>
      </c>
    </row>
    <row r="673" spans="1:6" x14ac:dyDescent="0.25">
      <c r="A673" t="s">
        <v>5643</v>
      </c>
      <c r="B673" t="s">
        <v>4936</v>
      </c>
      <c r="C673" s="135"/>
      <c r="D673" s="135">
        <v>45153.734074074076</v>
      </c>
      <c r="E673" s="135">
        <v>45167.30265046296</v>
      </c>
      <c r="F673" t="s">
        <v>5626</v>
      </c>
    </row>
    <row r="674" spans="1:6" x14ac:dyDescent="0.25">
      <c r="A674" t="s">
        <v>5644</v>
      </c>
      <c r="B674" t="s">
        <v>4936</v>
      </c>
      <c r="C674" s="135"/>
      <c r="D674" s="135">
        <v>45153.733981481484</v>
      </c>
      <c r="E674" s="135">
        <v>45286.599918981483</v>
      </c>
      <c r="F674" t="s">
        <v>5627</v>
      </c>
    </row>
    <row r="675" spans="1:6" x14ac:dyDescent="0.25">
      <c r="A675" t="s">
        <v>5644</v>
      </c>
      <c r="B675" t="s">
        <v>4936</v>
      </c>
      <c r="C675" s="135"/>
      <c r="D675" s="135">
        <v>45153.733981481484</v>
      </c>
      <c r="E675" s="135">
        <v>45167.302847222221</v>
      </c>
      <c r="F675" t="s">
        <v>5626</v>
      </c>
    </row>
    <row r="676" spans="1:6" x14ac:dyDescent="0.25">
      <c r="A676" t="s">
        <v>5645</v>
      </c>
      <c r="B676" t="s">
        <v>4936</v>
      </c>
      <c r="C676" s="135"/>
      <c r="D676" s="135">
        <v>45153.733912037038</v>
      </c>
      <c r="E676" s="135">
        <v>45167.303865740738</v>
      </c>
      <c r="F676" t="s">
        <v>5626</v>
      </c>
    </row>
    <row r="677" spans="1:6" x14ac:dyDescent="0.25">
      <c r="A677" t="s">
        <v>5645</v>
      </c>
      <c r="B677" t="s">
        <v>4936</v>
      </c>
      <c r="C677" s="135"/>
      <c r="D677" s="135">
        <v>45153.733912037038</v>
      </c>
      <c r="E677" s="135">
        <v>45286.599918981483</v>
      </c>
      <c r="F677" t="s">
        <v>5627</v>
      </c>
    </row>
    <row r="678" spans="1:6" x14ac:dyDescent="0.25">
      <c r="A678" t="s">
        <v>5646</v>
      </c>
      <c r="B678" t="s">
        <v>4936</v>
      </c>
      <c r="C678" s="135"/>
      <c r="D678" s="135">
        <v>45153.733749999999</v>
      </c>
      <c r="E678" s="135">
        <v>45286.599918981483</v>
      </c>
      <c r="F678" t="s">
        <v>5627</v>
      </c>
    </row>
    <row r="679" spans="1:6" x14ac:dyDescent="0.25">
      <c r="A679" t="s">
        <v>5646</v>
      </c>
      <c r="B679" t="s">
        <v>4936</v>
      </c>
      <c r="C679" s="135"/>
      <c r="D679" s="135">
        <v>45153.733749999999</v>
      </c>
      <c r="E679" s="135">
        <v>45167.303749999999</v>
      </c>
      <c r="F679" t="s">
        <v>5626</v>
      </c>
    </row>
    <row r="680" spans="1:6" x14ac:dyDescent="0.25">
      <c r="A680" t="s">
        <v>5647</v>
      </c>
      <c r="B680" t="s">
        <v>4936</v>
      </c>
      <c r="C680" s="135"/>
      <c r="D680" s="135">
        <v>45153.734097222223</v>
      </c>
      <c r="E680" s="135">
        <v>45286.599918981483</v>
      </c>
      <c r="F680" t="s">
        <v>5627</v>
      </c>
    </row>
    <row r="681" spans="1:6" x14ac:dyDescent="0.25">
      <c r="A681" t="s">
        <v>5647</v>
      </c>
      <c r="B681" t="s">
        <v>4936</v>
      </c>
      <c r="C681" s="135"/>
      <c r="D681" s="135">
        <v>45153.734097222223</v>
      </c>
      <c r="E681" s="135">
        <v>45167.303622685184</v>
      </c>
      <c r="F681" t="s">
        <v>5626</v>
      </c>
    </row>
    <row r="682" spans="1:6" x14ac:dyDescent="0.25">
      <c r="A682" t="s">
        <v>5648</v>
      </c>
      <c r="B682" t="s">
        <v>4936</v>
      </c>
      <c r="C682" s="135"/>
      <c r="D682" s="135">
        <v>45153.733761574076</v>
      </c>
      <c r="E682" s="135">
        <v>45286.599907407406</v>
      </c>
      <c r="F682" t="s">
        <v>5627</v>
      </c>
    </row>
    <row r="683" spans="1:6" x14ac:dyDescent="0.25">
      <c r="A683" t="s">
        <v>5648</v>
      </c>
      <c r="B683" t="s">
        <v>4936</v>
      </c>
      <c r="C683" s="135"/>
      <c r="D683" s="135">
        <v>45153.733761574076</v>
      </c>
      <c r="E683" s="135">
        <v>45167.303993055553</v>
      </c>
      <c r="F683" t="s">
        <v>5626</v>
      </c>
    </row>
    <row r="684" spans="1:6" x14ac:dyDescent="0.25">
      <c r="A684" t="s">
        <v>5649</v>
      </c>
      <c r="B684" t="s">
        <v>4936</v>
      </c>
      <c r="C684" s="135"/>
      <c r="D684" s="135">
        <v>45153.733657407407</v>
      </c>
      <c r="E684" s="135">
        <v>45286.599907407406</v>
      </c>
      <c r="F684" t="s">
        <v>5627</v>
      </c>
    </row>
    <row r="685" spans="1:6" x14ac:dyDescent="0.25">
      <c r="A685" t="s">
        <v>5649</v>
      </c>
      <c r="B685" t="s">
        <v>4936</v>
      </c>
      <c r="C685" s="135"/>
      <c r="D685" s="135">
        <v>45153.733657407407</v>
      </c>
      <c r="E685" s="135">
        <v>45167.304178240738</v>
      </c>
      <c r="F685" t="s">
        <v>5626</v>
      </c>
    </row>
    <row r="686" spans="1:6" x14ac:dyDescent="0.25">
      <c r="A686" t="s">
        <v>5650</v>
      </c>
      <c r="B686" t="s">
        <v>4936</v>
      </c>
      <c r="C686" s="135"/>
      <c r="D686" s="135">
        <v>45153.733680555553</v>
      </c>
      <c r="E686" s="135">
        <v>45167.304328703707</v>
      </c>
      <c r="F686" t="s">
        <v>5626</v>
      </c>
    </row>
    <row r="687" spans="1:6" x14ac:dyDescent="0.25">
      <c r="A687" t="s">
        <v>5650</v>
      </c>
      <c r="B687" t="s">
        <v>4936</v>
      </c>
      <c r="C687" s="135"/>
      <c r="D687" s="135">
        <v>45153.733680555553</v>
      </c>
      <c r="E687" s="135">
        <v>45286.599907407406</v>
      </c>
      <c r="F687" t="s">
        <v>5627</v>
      </c>
    </row>
    <row r="688" spans="1:6" x14ac:dyDescent="0.25">
      <c r="A688" t="s">
        <v>5651</v>
      </c>
      <c r="B688" t="s">
        <v>4936</v>
      </c>
      <c r="C688" s="135"/>
      <c r="D688" s="135">
        <v>45153.734016203707</v>
      </c>
      <c r="E688" s="135">
        <v>45167.304467592592</v>
      </c>
      <c r="F688" t="s">
        <v>5626</v>
      </c>
    </row>
    <row r="689" spans="1:6" x14ac:dyDescent="0.25">
      <c r="A689" t="s">
        <v>5651</v>
      </c>
      <c r="B689" t="s">
        <v>4936</v>
      </c>
      <c r="C689" s="135"/>
      <c r="D689" s="135">
        <v>45153.734016203707</v>
      </c>
      <c r="E689" s="135">
        <v>45286.599907407406</v>
      </c>
      <c r="F689" t="s">
        <v>5627</v>
      </c>
    </row>
    <row r="690" spans="1:6" x14ac:dyDescent="0.25">
      <c r="A690" t="s">
        <v>5652</v>
      </c>
      <c r="B690" t="s">
        <v>4936</v>
      </c>
      <c r="C690" s="135"/>
      <c r="D690" s="135">
        <v>45153.733773148146</v>
      </c>
      <c r="E690" s="135">
        <v>45286.599918981483</v>
      </c>
      <c r="F690" t="s">
        <v>5627</v>
      </c>
    </row>
    <row r="691" spans="1:6" x14ac:dyDescent="0.25">
      <c r="A691" t="s">
        <v>5652</v>
      </c>
      <c r="B691" t="s">
        <v>4936</v>
      </c>
      <c r="C691" s="135"/>
      <c r="D691" s="135">
        <v>45153.733773148146</v>
      </c>
      <c r="E691" s="135">
        <v>45167.304629629631</v>
      </c>
      <c r="F691" t="s">
        <v>5626</v>
      </c>
    </row>
    <row r="692" spans="1:6" x14ac:dyDescent="0.25">
      <c r="A692" t="s">
        <v>5653</v>
      </c>
      <c r="B692" t="s">
        <v>4936</v>
      </c>
      <c r="C692" s="135"/>
      <c r="D692" s="135">
        <v>45153.733726851853</v>
      </c>
      <c r="E692" s="135">
        <v>45286.599907407406</v>
      </c>
      <c r="F692" t="s">
        <v>5627</v>
      </c>
    </row>
    <row r="693" spans="1:6" x14ac:dyDescent="0.25">
      <c r="A693" t="s">
        <v>5653</v>
      </c>
      <c r="B693" t="s">
        <v>4936</v>
      </c>
      <c r="C693" s="135"/>
      <c r="D693" s="135">
        <v>45153.733726851853</v>
      </c>
      <c r="E693" s="135">
        <v>45167.304768518516</v>
      </c>
      <c r="F693" t="s">
        <v>5626</v>
      </c>
    </row>
    <row r="694" spans="1:6" x14ac:dyDescent="0.25">
      <c r="A694" t="s">
        <v>5654</v>
      </c>
      <c r="B694" t="s">
        <v>4936</v>
      </c>
      <c r="C694" s="135"/>
      <c r="D694" s="135">
        <v>45153.733738425923</v>
      </c>
      <c r="E694" s="135">
        <v>45286.599907407406</v>
      </c>
      <c r="F694" t="s">
        <v>5627</v>
      </c>
    </row>
    <row r="695" spans="1:6" x14ac:dyDescent="0.25">
      <c r="A695" t="s">
        <v>5654</v>
      </c>
      <c r="B695" t="s">
        <v>4936</v>
      </c>
      <c r="C695" s="135"/>
      <c r="D695" s="135">
        <v>45153.733738425923</v>
      </c>
      <c r="E695" s="135">
        <v>45167.304918981485</v>
      </c>
      <c r="F695" t="s">
        <v>5626</v>
      </c>
    </row>
    <row r="696" spans="1:6" x14ac:dyDescent="0.25">
      <c r="A696" t="s">
        <v>5655</v>
      </c>
      <c r="B696" t="s">
        <v>4936</v>
      </c>
      <c r="C696" s="135"/>
      <c r="D696" s="135">
        <v>45153.733703703707</v>
      </c>
      <c r="E696" s="135">
        <v>45286.599907407406</v>
      </c>
      <c r="F696" t="s">
        <v>5627</v>
      </c>
    </row>
    <row r="697" spans="1:6" x14ac:dyDescent="0.25">
      <c r="A697" t="s">
        <v>5655</v>
      </c>
      <c r="B697" t="s">
        <v>4936</v>
      </c>
      <c r="C697" s="135"/>
      <c r="D697" s="135">
        <v>45153.733703703707</v>
      </c>
      <c r="E697" s="135">
        <v>45167.305034722223</v>
      </c>
      <c r="F697" t="s">
        <v>5626</v>
      </c>
    </row>
    <row r="698" spans="1:6" x14ac:dyDescent="0.25">
      <c r="A698" t="s">
        <v>5656</v>
      </c>
      <c r="B698" t="s">
        <v>4936</v>
      </c>
      <c r="C698" s="135"/>
      <c r="D698" s="135">
        <v>45153.733819444446</v>
      </c>
      <c r="E698" s="135">
        <v>45167.305150462962</v>
      </c>
      <c r="F698" t="s">
        <v>5626</v>
      </c>
    </row>
    <row r="699" spans="1:6" x14ac:dyDescent="0.25">
      <c r="A699" t="s">
        <v>5656</v>
      </c>
      <c r="B699" t="s">
        <v>4936</v>
      </c>
      <c r="C699" s="135"/>
      <c r="D699" s="135">
        <v>45153.733819444446</v>
      </c>
      <c r="E699" s="135">
        <v>45286.599895833337</v>
      </c>
      <c r="F699" t="s">
        <v>5627</v>
      </c>
    </row>
    <row r="700" spans="1:6" x14ac:dyDescent="0.25">
      <c r="A700" t="s">
        <v>5657</v>
      </c>
      <c r="B700" t="s">
        <v>4936</v>
      </c>
      <c r="C700" s="135"/>
      <c r="D700" s="135">
        <v>45153.73364583333</v>
      </c>
      <c r="E700" s="135">
        <v>45167.305277777778</v>
      </c>
      <c r="F700" t="s">
        <v>5626</v>
      </c>
    </row>
    <row r="701" spans="1:6" x14ac:dyDescent="0.25">
      <c r="A701" t="s">
        <v>5657</v>
      </c>
      <c r="B701" t="s">
        <v>4936</v>
      </c>
      <c r="C701" s="135"/>
      <c r="D701" s="135">
        <v>45153.73364583333</v>
      </c>
      <c r="E701" s="135">
        <v>45286.599895833337</v>
      </c>
      <c r="F701" t="s">
        <v>5627</v>
      </c>
    </row>
    <row r="702" spans="1:6" x14ac:dyDescent="0.25">
      <c r="A702" t="s">
        <v>5658</v>
      </c>
      <c r="B702" t="s">
        <v>4936</v>
      </c>
      <c r="C702" s="135"/>
      <c r="D702" s="135">
        <v>45153.733831018515</v>
      </c>
      <c r="E702" s="135">
        <v>45286.599895833337</v>
      </c>
      <c r="F702" t="s">
        <v>5627</v>
      </c>
    </row>
    <row r="703" spans="1:6" x14ac:dyDescent="0.25">
      <c r="A703" t="s">
        <v>5658</v>
      </c>
      <c r="B703" t="s">
        <v>4936</v>
      </c>
      <c r="C703" s="135"/>
      <c r="D703" s="135">
        <v>45153.733831018515</v>
      </c>
      <c r="E703" s="135">
        <v>45167.305439814816</v>
      </c>
      <c r="F703" t="s">
        <v>5626</v>
      </c>
    </row>
    <row r="704" spans="1:6" x14ac:dyDescent="0.25">
      <c r="A704" t="s">
        <v>5659</v>
      </c>
      <c r="B704" t="s">
        <v>4936</v>
      </c>
      <c r="C704" s="135"/>
      <c r="D704" s="135">
        <v>45153.734143518515</v>
      </c>
      <c r="E704" s="135">
        <v>45167.315405092595</v>
      </c>
      <c r="F704" t="s">
        <v>5626</v>
      </c>
    </row>
    <row r="705" spans="1:6" x14ac:dyDescent="0.25">
      <c r="A705" t="s">
        <v>5659</v>
      </c>
      <c r="B705" t="s">
        <v>4936</v>
      </c>
      <c r="C705" s="135"/>
      <c r="D705" s="135">
        <v>45153.734143518515</v>
      </c>
      <c r="E705" s="135">
        <v>45286.599895833337</v>
      </c>
      <c r="F705" t="s">
        <v>5627</v>
      </c>
    </row>
    <row r="706" spans="1:6" x14ac:dyDescent="0.25">
      <c r="A706" t="s">
        <v>5660</v>
      </c>
      <c r="B706" t="s">
        <v>4936</v>
      </c>
      <c r="C706" s="135"/>
      <c r="D706" s="135">
        <v>45153.733668981484</v>
      </c>
      <c r="E706" s="135">
        <v>45167.31559027778</v>
      </c>
      <c r="F706" t="s">
        <v>5626</v>
      </c>
    </row>
    <row r="707" spans="1:6" x14ac:dyDescent="0.25">
      <c r="A707" t="s">
        <v>5660</v>
      </c>
      <c r="B707" t="s">
        <v>4936</v>
      </c>
      <c r="C707" s="135"/>
      <c r="D707" s="135">
        <v>45153.733668981484</v>
      </c>
      <c r="E707" s="135">
        <v>45286.599895833337</v>
      </c>
      <c r="F707" t="s">
        <v>5627</v>
      </c>
    </row>
    <row r="708" spans="1:6" x14ac:dyDescent="0.25">
      <c r="A708" t="s">
        <v>5661</v>
      </c>
      <c r="B708" t="s">
        <v>4936</v>
      </c>
      <c r="C708" s="135"/>
      <c r="D708" s="135">
        <v>45153.733831018515</v>
      </c>
      <c r="E708" s="135">
        <v>45286.599895833337</v>
      </c>
      <c r="F708" t="s">
        <v>5627</v>
      </c>
    </row>
    <row r="709" spans="1:6" x14ac:dyDescent="0.25">
      <c r="A709" t="s">
        <v>5661</v>
      </c>
      <c r="B709" t="s">
        <v>4936</v>
      </c>
      <c r="C709" s="135"/>
      <c r="D709" s="135">
        <v>45153.733831018515</v>
      </c>
      <c r="E709" s="135">
        <v>45167.316041666665</v>
      </c>
      <c r="F709" t="s">
        <v>5626</v>
      </c>
    </row>
    <row r="710" spans="1:6" x14ac:dyDescent="0.25">
      <c r="A710" t="s">
        <v>5662</v>
      </c>
      <c r="B710" t="s">
        <v>4936</v>
      </c>
      <c r="C710" s="135"/>
      <c r="D710" s="135">
        <v>45153.734050925923</v>
      </c>
      <c r="E710" s="135">
        <v>45167.316192129627</v>
      </c>
      <c r="F710" t="s">
        <v>5626</v>
      </c>
    </row>
    <row r="711" spans="1:6" x14ac:dyDescent="0.25">
      <c r="A711" t="s">
        <v>5662</v>
      </c>
      <c r="B711" t="s">
        <v>4936</v>
      </c>
      <c r="C711" s="135"/>
      <c r="D711" s="135">
        <v>45153.734050925923</v>
      </c>
      <c r="E711" s="135">
        <v>45286.599895833337</v>
      </c>
      <c r="F711" t="s">
        <v>5627</v>
      </c>
    </row>
    <row r="712" spans="1:6" x14ac:dyDescent="0.25">
      <c r="A712" t="s">
        <v>5663</v>
      </c>
      <c r="B712" t="s">
        <v>4936</v>
      </c>
      <c r="C712" s="135"/>
      <c r="D712" s="135">
        <v>45153.733784722222</v>
      </c>
      <c r="E712" s="135">
        <v>45167.316331018519</v>
      </c>
      <c r="F712" t="s">
        <v>5626</v>
      </c>
    </row>
    <row r="713" spans="1:6" x14ac:dyDescent="0.25">
      <c r="A713" t="s">
        <v>5663</v>
      </c>
      <c r="B713" t="s">
        <v>4936</v>
      </c>
      <c r="C713" s="135"/>
      <c r="D713" s="135">
        <v>45153.733784722222</v>
      </c>
      <c r="E713" s="135">
        <v>45286.599895833337</v>
      </c>
      <c r="F713" t="s">
        <v>5627</v>
      </c>
    </row>
    <row r="714" spans="1:6" x14ac:dyDescent="0.25">
      <c r="A714" t="s">
        <v>5664</v>
      </c>
      <c r="B714" t="s">
        <v>4936</v>
      </c>
      <c r="C714" s="135"/>
      <c r="D714" s="135">
        <v>45153.733680555553</v>
      </c>
      <c r="E714" s="135">
        <v>45286.599895833337</v>
      </c>
      <c r="F714" t="s">
        <v>5627</v>
      </c>
    </row>
    <row r="715" spans="1:6" x14ac:dyDescent="0.25">
      <c r="A715" t="s">
        <v>5664</v>
      </c>
      <c r="B715" t="s">
        <v>4936</v>
      </c>
      <c r="C715" s="135"/>
      <c r="D715" s="135">
        <v>45153.733680555553</v>
      </c>
      <c r="E715" s="135">
        <v>45167.316655092596</v>
      </c>
      <c r="F715" t="s">
        <v>5626</v>
      </c>
    </row>
    <row r="716" spans="1:6" x14ac:dyDescent="0.25">
      <c r="A716" t="s">
        <v>5665</v>
      </c>
      <c r="B716" t="s">
        <v>4936</v>
      </c>
      <c r="C716" s="135"/>
      <c r="D716" s="135">
        <v>45153.734155092592</v>
      </c>
      <c r="E716" s="135">
        <v>45286.59988425926</v>
      </c>
      <c r="F716" t="s">
        <v>5627</v>
      </c>
    </row>
    <row r="717" spans="1:6" x14ac:dyDescent="0.25">
      <c r="A717" t="s">
        <v>5665</v>
      </c>
      <c r="B717" t="s">
        <v>4936</v>
      </c>
      <c r="C717" s="135"/>
      <c r="D717" s="135">
        <v>45153.734155092592</v>
      </c>
      <c r="E717" s="135">
        <v>45167.316469907404</v>
      </c>
      <c r="F717" t="s">
        <v>5626</v>
      </c>
    </row>
    <row r="718" spans="1:6" x14ac:dyDescent="0.25">
      <c r="A718" t="s">
        <v>5666</v>
      </c>
      <c r="B718" t="s">
        <v>4936</v>
      </c>
      <c r="C718" s="135"/>
      <c r="D718" s="135">
        <v>45153.733726851853</v>
      </c>
      <c r="E718" s="135">
        <v>45167.316874999997</v>
      </c>
      <c r="F718" t="s">
        <v>5626</v>
      </c>
    </row>
    <row r="719" spans="1:6" x14ac:dyDescent="0.25">
      <c r="A719" t="s">
        <v>5666</v>
      </c>
      <c r="B719" t="s">
        <v>4936</v>
      </c>
      <c r="C719" s="135"/>
      <c r="D719" s="135">
        <v>45153.733726851853</v>
      </c>
      <c r="E719" s="135">
        <v>45286.59988425926</v>
      </c>
      <c r="F719" t="s">
        <v>5627</v>
      </c>
    </row>
    <row r="720" spans="1:6" x14ac:dyDescent="0.25">
      <c r="A720" t="s">
        <v>5667</v>
      </c>
      <c r="B720" t="s">
        <v>4936</v>
      </c>
      <c r="C720" s="135"/>
      <c r="D720" s="135">
        <v>45153.733738425923</v>
      </c>
      <c r="E720" s="135">
        <v>45286.59988425926</v>
      </c>
      <c r="F720" t="s">
        <v>5627</v>
      </c>
    </row>
    <row r="721" spans="1:6" x14ac:dyDescent="0.25">
      <c r="A721" t="s">
        <v>5667</v>
      </c>
      <c r="B721" t="s">
        <v>4936</v>
      </c>
      <c r="C721" s="135"/>
      <c r="D721" s="135">
        <v>45153.733738425923</v>
      </c>
      <c r="E721" s="135">
        <v>45167.317025462966</v>
      </c>
      <c r="F721" t="s">
        <v>5626</v>
      </c>
    </row>
    <row r="722" spans="1:6" x14ac:dyDescent="0.25">
      <c r="A722" t="s">
        <v>5668</v>
      </c>
      <c r="B722" t="s">
        <v>4936</v>
      </c>
      <c r="C722" s="135"/>
      <c r="D722" s="135">
        <v>45153.733796296299</v>
      </c>
      <c r="E722" s="135">
        <v>45286.59988425926</v>
      </c>
      <c r="F722" t="s">
        <v>5627</v>
      </c>
    </row>
    <row r="723" spans="1:6" x14ac:dyDescent="0.25">
      <c r="A723" t="s">
        <v>5668</v>
      </c>
      <c r="B723" t="s">
        <v>4936</v>
      </c>
      <c r="C723" s="135"/>
      <c r="D723" s="135">
        <v>45153.733796296299</v>
      </c>
      <c r="E723" s="135">
        <v>45167.317233796297</v>
      </c>
      <c r="F723" t="s">
        <v>5626</v>
      </c>
    </row>
    <row r="724" spans="1:6" x14ac:dyDescent="0.25">
      <c r="A724" t="s">
        <v>5669</v>
      </c>
      <c r="B724" t="s">
        <v>4936</v>
      </c>
      <c r="C724" s="135"/>
      <c r="D724" s="135">
        <v>45153.734027777777</v>
      </c>
      <c r="E724" s="135">
        <v>45167.317384259259</v>
      </c>
      <c r="F724" t="s">
        <v>5626</v>
      </c>
    </row>
    <row r="725" spans="1:6" x14ac:dyDescent="0.25">
      <c r="A725" t="s">
        <v>5669</v>
      </c>
      <c r="B725" t="s">
        <v>4936</v>
      </c>
      <c r="C725" s="135"/>
      <c r="D725" s="135">
        <v>45153.734027777777</v>
      </c>
      <c r="E725" s="135">
        <v>45286.59988425926</v>
      </c>
      <c r="F725" t="s">
        <v>5627</v>
      </c>
    </row>
    <row r="726" spans="1:6" x14ac:dyDescent="0.25">
      <c r="A726" t="s">
        <v>5670</v>
      </c>
      <c r="B726" t="s">
        <v>4936</v>
      </c>
      <c r="C726" s="135"/>
      <c r="D726" s="135">
        <v>45153.733773148146</v>
      </c>
      <c r="E726" s="135">
        <v>45286.59988425926</v>
      </c>
      <c r="F726" t="s">
        <v>5627</v>
      </c>
    </row>
    <row r="727" spans="1:6" x14ac:dyDescent="0.25">
      <c r="A727" t="s">
        <v>5670</v>
      </c>
      <c r="B727" t="s">
        <v>4936</v>
      </c>
      <c r="C727" s="135"/>
      <c r="D727" s="135">
        <v>45153.733773148146</v>
      </c>
      <c r="E727" s="135">
        <v>45167.317731481482</v>
      </c>
      <c r="F727" t="s">
        <v>5626</v>
      </c>
    </row>
    <row r="728" spans="1:6" x14ac:dyDescent="0.25">
      <c r="A728" t="s">
        <v>5671</v>
      </c>
      <c r="B728" t="s">
        <v>4936</v>
      </c>
      <c r="C728" s="135"/>
      <c r="D728" s="135">
        <v>45153.733923611115</v>
      </c>
      <c r="E728" s="135">
        <v>45286.59988425926</v>
      </c>
      <c r="F728" t="s">
        <v>5627</v>
      </c>
    </row>
    <row r="729" spans="1:6" x14ac:dyDescent="0.25">
      <c r="A729" t="s">
        <v>5671</v>
      </c>
      <c r="B729" t="s">
        <v>4936</v>
      </c>
      <c r="C729" s="135"/>
      <c r="D729" s="135">
        <v>45153.733923611115</v>
      </c>
      <c r="E729" s="135">
        <v>45167.317893518521</v>
      </c>
      <c r="F729" t="s">
        <v>5626</v>
      </c>
    </row>
    <row r="730" spans="1:6" x14ac:dyDescent="0.25">
      <c r="A730" t="s">
        <v>5672</v>
      </c>
      <c r="B730" t="s">
        <v>4936</v>
      </c>
      <c r="C730" s="135"/>
      <c r="D730" s="135">
        <v>45153.733842592592</v>
      </c>
      <c r="E730" s="135">
        <v>45167.317997685182</v>
      </c>
      <c r="F730" t="s">
        <v>5626</v>
      </c>
    </row>
    <row r="731" spans="1:6" x14ac:dyDescent="0.25">
      <c r="A731" t="s">
        <v>5672</v>
      </c>
      <c r="B731" t="s">
        <v>4936</v>
      </c>
      <c r="C731" s="135"/>
      <c r="D731" s="135">
        <v>45153.733842592592</v>
      </c>
      <c r="E731" s="135">
        <v>45286.599872685183</v>
      </c>
      <c r="F731" t="s">
        <v>5627</v>
      </c>
    </row>
    <row r="732" spans="1:6" x14ac:dyDescent="0.25">
      <c r="A732" t="s">
        <v>5673</v>
      </c>
      <c r="B732" t="s">
        <v>4936</v>
      </c>
      <c r="C732" s="135"/>
      <c r="D732" s="135">
        <v>45153.733935185184</v>
      </c>
      <c r="E732" s="135">
        <v>45286.599872685183</v>
      </c>
      <c r="F732" t="s">
        <v>5627</v>
      </c>
    </row>
    <row r="733" spans="1:6" x14ac:dyDescent="0.25">
      <c r="A733" t="s">
        <v>5673</v>
      </c>
      <c r="B733" t="s">
        <v>4936</v>
      </c>
      <c r="C733" s="135"/>
      <c r="D733" s="135">
        <v>45153.733935185184</v>
      </c>
      <c r="E733" s="135">
        <v>45167.318148148152</v>
      </c>
      <c r="F733" t="s">
        <v>5626</v>
      </c>
    </row>
    <row r="734" spans="1:6" x14ac:dyDescent="0.25">
      <c r="A734" t="s">
        <v>5674</v>
      </c>
      <c r="B734" t="s">
        <v>4936</v>
      </c>
      <c r="C734" s="135"/>
      <c r="D734" s="135">
        <v>45153.734189814815</v>
      </c>
      <c r="E734" s="135">
        <v>45167.31827546296</v>
      </c>
      <c r="F734" t="s">
        <v>5626</v>
      </c>
    </row>
    <row r="735" spans="1:6" x14ac:dyDescent="0.25">
      <c r="A735" t="s">
        <v>5674</v>
      </c>
      <c r="B735" t="s">
        <v>4936</v>
      </c>
      <c r="C735" s="135"/>
      <c r="D735" s="135">
        <v>45153.734189814815</v>
      </c>
      <c r="E735" s="135">
        <v>45286.599872685183</v>
      </c>
      <c r="F735" t="s">
        <v>5627</v>
      </c>
    </row>
    <row r="736" spans="1:6" x14ac:dyDescent="0.25">
      <c r="A736" t="s">
        <v>5675</v>
      </c>
      <c r="B736" t="s">
        <v>4936</v>
      </c>
      <c r="C736" s="135"/>
      <c r="D736" s="135">
        <v>45153.733611111114</v>
      </c>
      <c r="E736" s="135">
        <v>45286.600381944445</v>
      </c>
      <c r="F736" t="s">
        <v>5676</v>
      </c>
    </row>
    <row r="737" spans="1:6" x14ac:dyDescent="0.25">
      <c r="A737" t="s">
        <v>5675</v>
      </c>
      <c r="B737" t="s">
        <v>4936</v>
      </c>
      <c r="C737" s="135"/>
      <c r="D737" s="135">
        <v>45153.733611111114</v>
      </c>
      <c r="E737" s="135">
        <v>45154.694780092592</v>
      </c>
      <c r="F737" t="s">
        <v>5677</v>
      </c>
    </row>
    <row r="738" spans="1:6" x14ac:dyDescent="0.25">
      <c r="A738" t="s">
        <v>5678</v>
      </c>
      <c r="B738" t="s">
        <v>4936</v>
      </c>
      <c r="C738" s="135"/>
      <c r="D738" s="135">
        <v>45153.733726851853</v>
      </c>
      <c r="E738" s="135">
        <v>45154.685532407406</v>
      </c>
      <c r="F738" t="s">
        <v>5679</v>
      </c>
    </row>
    <row r="739" spans="1:6" x14ac:dyDescent="0.25">
      <c r="A739" t="s">
        <v>5678</v>
      </c>
      <c r="B739" t="s">
        <v>4936</v>
      </c>
      <c r="C739" s="135"/>
      <c r="D739" s="135">
        <v>45153.733726851853</v>
      </c>
      <c r="E739" s="135">
        <v>45286.599976851852</v>
      </c>
      <c r="F739" t="s">
        <v>5680</v>
      </c>
    </row>
    <row r="740" spans="1:6" x14ac:dyDescent="0.25">
      <c r="A740" t="s">
        <v>5681</v>
      </c>
      <c r="B740" t="s">
        <v>4936</v>
      </c>
      <c r="C740" s="135"/>
      <c r="D740" s="135">
        <v>45153.733738425923</v>
      </c>
      <c r="E740" s="135">
        <v>45154.685578703706</v>
      </c>
      <c r="F740" t="s">
        <v>5682</v>
      </c>
    </row>
    <row r="741" spans="1:6" x14ac:dyDescent="0.25">
      <c r="A741" t="s">
        <v>5681</v>
      </c>
      <c r="B741" t="s">
        <v>4936</v>
      </c>
      <c r="C741" s="135"/>
      <c r="D741" s="135">
        <v>45153.733738425923</v>
      </c>
      <c r="E741" s="135">
        <v>45286.599976851852</v>
      </c>
      <c r="F741" t="s">
        <v>5683</v>
      </c>
    </row>
    <row r="742" spans="1:6" x14ac:dyDescent="0.25">
      <c r="A742" t="s">
        <v>5684</v>
      </c>
      <c r="B742" t="s">
        <v>4936</v>
      </c>
      <c r="C742" s="135"/>
      <c r="D742" s="135">
        <v>45153.733703703707</v>
      </c>
      <c r="E742" s="135">
        <v>45286.599976851852</v>
      </c>
      <c r="F742" t="s">
        <v>5685</v>
      </c>
    </row>
    <row r="743" spans="1:6" x14ac:dyDescent="0.25">
      <c r="A743" t="s">
        <v>5684</v>
      </c>
      <c r="B743" t="s">
        <v>4936</v>
      </c>
      <c r="C743" s="135"/>
      <c r="D743" s="135">
        <v>45153.733703703707</v>
      </c>
      <c r="E743" s="135">
        <v>45154.685624999998</v>
      </c>
      <c r="F743" t="s">
        <v>5686</v>
      </c>
    </row>
    <row r="744" spans="1:6" x14ac:dyDescent="0.25">
      <c r="A744" t="s">
        <v>5687</v>
      </c>
      <c r="B744" t="s">
        <v>4936</v>
      </c>
      <c r="C744" s="135"/>
      <c r="D744" s="135">
        <v>44785.558182870373</v>
      </c>
      <c r="E744" s="135">
        <v>44785.558182870373</v>
      </c>
      <c r="F744" t="s">
        <v>5121</v>
      </c>
    </row>
    <row r="745" spans="1:6" x14ac:dyDescent="0.25">
      <c r="A745" t="s">
        <v>5687</v>
      </c>
      <c r="B745" t="s">
        <v>4936</v>
      </c>
      <c r="C745" s="135"/>
      <c r="D745" s="135">
        <v>44728.419189814813</v>
      </c>
      <c r="E745" s="135">
        <v>44852.434178240743</v>
      </c>
      <c r="F745" t="s">
        <v>5122</v>
      </c>
    </row>
    <row r="746" spans="1:6" x14ac:dyDescent="0.25">
      <c r="A746" t="s">
        <v>5687</v>
      </c>
      <c r="B746" t="s">
        <v>4936</v>
      </c>
      <c r="C746" s="135"/>
      <c r="D746" s="135">
        <v>45742.402731481481</v>
      </c>
      <c r="E746" s="135">
        <v>44852.592638888891</v>
      </c>
      <c r="F746" t="s">
        <v>5158</v>
      </c>
    </row>
    <row r="747" spans="1:6" x14ac:dyDescent="0.25">
      <c r="A747" t="s">
        <v>5688</v>
      </c>
      <c r="B747" t="s">
        <v>4936</v>
      </c>
      <c r="C747" s="135"/>
      <c r="D747" s="135">
        <v>45153.733819444446</v>
      </c>
      <c r="E747" s="135">
        <v>45286.599976851852</v>
      </c>
      <c r="F747" t="s">
        <v>5689</v>
      </c>
    </row>
    <row r="748" spans="1:6" x14ac:dyDescent="0.25">
      <c r="A748" t="s">
        <v>5688</v>
      </c>
      <c r="B748" t="s">
        <v>4936</v>
      </c>
      <c r="C748" s="135"/>
      <c r="D748" s="135">
        <v>45153.733819444446</v>
      </c>
      <c r="E748" s="135">
        <v>45154.685682870368</v>
      </c>
      <c r="F748" t="s">
        <v>5690</v>
      </c>
    </row>
    <row r="749" spans="1:6" x14ac:dyDescent="0.25">
      <c r="A749" t="s">
        <v>5691</v>
      </c>
      <c r="B749" t="s">
        <v>5102</v>
      </c>
      <c r="C749" s="135"/>
      <c r="D749" s="135">
        <v>45449.597592592596</v>
      </c>
      <c r="E749" s="135">
        <v>45383.357094907406</v>
      </c>
      <c r="F749" t="s">
        <v>5047</v>
      </c>
    </row>
    <row r="750" spans="1:6" x14ac:dyDescent="0.25">
      <c r="A750" t="s">
        <v>5692</v>
      </c>
      <c r="B750" t="s">
        <v>4936</v>
      </c>
      <c r="C750" s="135"/>
      <c r="D750" s="135">
        <v>45637.473668981482</v>
      </c>
      <c r="E750" s="135">
        <v>44852.434583333335</v>
      </c>
      <c r="F750" t="s">
        <v>5158</v>
      </c>
    </row>
    <row r="751" spans="1:6" x14ac:dyDescent="0.25">
      <c r="A751" t="s">
        <v>5693</v>
      </c>
      <c r="B751" t="s">
        <v>4936</v>
      </c>
      <c r="C751" s="135"/>
      <c r="D751" s="135">
        <v>45754.448854166665</v>
      </c>
      <c r="E751" s="135">
        <v>45751.617314814815</v>
      </c>
      <c r="F751" t="s">
        <v>5047</v>
      </c>
    </row>
    <row r="752" spans="1:6" x14ac:dyDescent="0.25">
      <c r="A752" t="s">
        <v>5694</v>
      </c>
      <c r="B752" t="s">
        <v>4936</v>
      </c>
      <c r="C752" s="135"/>
      <c r="D752" s="135">
        <v>45751.617905092593</v>
      </c>
      <c r="E752" s="135">
        <v>45705.489699074074</v>
      </c>
      <c r="F752" t="s">
        <v>5047</v>
      </c>
    </row>
    <row r="753" spans="1:6" x14ac:dyDescent="0.25">
      <c r="A753" t="s">
        <v>5695</v>
      </c>
      <c r="B753" t="s">
        <v>4936</v>
      </c>
      <c r="C753" s="135"/>
      <c r="D753" s="135">
        <v>44785.55878472222</v>
      </c>
      <c r="E753" s="135">
        <v>44785.55878472222</v>
      </c>
      <c r="F753" t="s">
        <v>5696</v>
      </c>
    </row>
    <row r="754" spans="1:6" x14ac:dyDescent="0.25">
      <c r="A754" t="s">
        <v>5697</v>
      </c>
      <c r="B754" t="s">
        <v>4936</v>
      </c>
      <c r="C754" s="135"/>
      <c r="D754" s="135">
        <v>44785.55878472222</v>
      </c>
      <c r="E754" s="135">
        <v>44785.55878472222</v>
      </c>
      <c r="F754" t="s">
        <v>5696</v>
      </c>
    </row>
    <row r="755" spans="1:6" x14ac:dyDescent="0.25">
      <c r="A755" t="s">
        <v>5698</v>
      </c>
      <c r="B755" t="s">
        <v>4936</v>
      </c>
      <c r="C755" s="135"/>
      <c r="D755" s="135">
        <v>44650.641631944447</v>
      </c>
      <c r="E755" s="135">
        <v>44950.436261574076</v>
      </c>
      <c r="F755" t="s">
        <v>5505</v>
      </c>
    </row>
    <row r="756" spans="1:6" x14ac:dyDescent="0.25">
      <c r="A756" t="s">
        <v>5699</v>
      </c>
      <c r="B756" t="s">
        <v>4936</v>
      </c>
      <c r="C756" s="135"/>
      <c r="D756" s="135">
        <v>44785.558055555557</v>
      </c>
      <c r="E756" s="135">
        <v>44785.558055555557</v>
      </c>
      <c r="F756" t="s">
        <v>5142</v>
      </c>
    </row>
    <row r="757" spans="1:6" x14ac:dyDescent="0.25">
      <c r="A757" t="s">
        <v>5699</v>
      </c>
      <c r="B757" t="s">
        <v>4936</v>
      </c>
      <c r="C757" s="135"/>
      <c r="D757" s="135">
        <v>44680.469282407408</v>
      </c>
      <c r="E757" s="135">
        <v>44852.434270833335</v>
      </c>
      <c r="F757" t="s">
        <v>5210</v>
      </c>
    </row>
    <row r="758" spans="1:6" x14ac:dyDescent="0.25">
      <c r="A758" t="s">
        <v>5700</v>
      </c>
      <c r="B758" t="s">
        <v>4936</v>
      </c>
      <c r="C758" s="135"/>
      <c r="D758" s="135">
        <v>45632.650613425925</v>
      </c>
      <c r="E758" s="135">
        <v>45632.645231481481</v>
      </c>
      <c r="F758" t="s">
        <v>5139</v>
      </c>
    </row>
    <row r="759" spans="1:6" x14ac:dyDescent="0.25">
      <c r="A759" t="s">
        <v>5701</v>
      </c>
      <c r="B759" t="s">
        <v>4936</v>
      </c>
      <c r="C759" s="135"/>
      <c r="D759" s="135">
        <v>45153.73364583333</v>
      </c>
      <c r="E759" s="135">
        <v>45154.685752314814</v>
      </c>
      <c r="F759" t="s">
        <v>5702</v>
      </c>
    </row>
    <row r="760" spans="1:6" x14ac:dyDescent="0.25">
      <c r="A760" t="s">
        <v>5701</v>
      </c>
      <c r="B760" t="s">
        <v>4936</v>
      </c>
      <c r="C760" s="135"/>
      <c r="D760" s="135">
        <v>45153.73364583333</v>
      </c>
      <c r="E760" s="135">
        <v>45286.599976851852</v>
      </c>
      <c r="F760" t="s">
        <v>5703</v>
      </c>
    </row>
    <row r="761" spans="1:6" x14ac:dyDescent="0.25">
      <c r="A761" t="s">
        <v>5704</v>
      </c>
      <c r="B761" t="s">
        <v>4936</v>
      </c>
      <c r="C761" s="135"/>
      <c r="D761" s="135">
        <v>45153.733831018515</v>
      </c>
      <c r="E761" s="135">
        <v>45286.599976851852</v>
      </c>
      <c r="F761" t="s">
        <v>5705</v>
      </c>
    </row>
    <row r="762" spans="1:6" x14ac:dyDescent="0.25">
      <c r="A762" t="s">
        <v>5704</v>
      </c>
      <c r="B762" t="s">
        <v>4936</v>
      </c>
      <c r="C762" s="135"/>
      <c r="D762" s="135">
        <v>45153.733831018515</v>
      </c>
      <c r="E762" s="135">
        <v>45154.685810185183</v>
      </c>
      <c r="F762" t="s">
        <v>5706</v>
      </c>
    </row>
    <row r="763" spans="1:6" x14ac:dyDescent="0.25">
      <c r="A763" t="s">
        <v>5707</v>
      </c>
      <c r="B763" t="s">
        <v>4936</v>
      </c>
      <c r="C763" s="135"/>
      <c r="D763" s="135">
        <v>45153.734143518515</v>
      </c>
      <c r="E763" s="135">
        <v>45286.599988425929</v>
      </c>
      <c r="F763" t="s">
        <v>5708</v>
      </c>
    </row>
    <row r="764" spans="1:6" x14ac:dyDescent="0.25">
      <c r="A764" t="s">
        <v>5707</v>
      </c>
      <c r="B764" t="s">
        <v>4936</v>
      </c>
      <c r="C764" s="135"/>
      <c r="D764" s="135">
        <v>45153.734143518515</v>
      </c>
      <c r="E764" s="135">
        <v>45154.685879629629</v>
      </c>
      <c r="F764" t="s">
        <v>5709</v>
      </c>
    </row>
    <row r="765" spans="1:6" x14ac:dyDescent="0.25">
      <c r="A765" t="s">
        <v>5710</v>
      </c>
      <c r="B765" t="s">
        <v>4936</v>
      </c>
      <c r="C765" s="135"/>
      <c r="D765" s="135">
        <v>45189.584131944444</v>
      </c>
      <c r="E765" s="135">
        <v>44950.436261574076</v>
      </c>
      <c r="F765" t="s">
        <v>5214</v>
      </c>
    </row>
    <row r="766" spans="1:6" x14ac:dyDescent="0.25">
      <c r="A766" t="s">
        <v>5711</v>
      </c>
      <c r="B766" t="s">
        <v>4936</v>
      </c>
      <c r="C766" s="135"/>
      <c r="D766" s="135">
        <v>45629.584456018521</v>
      </c>
      <c r="E766" s="135">
        <v>45629.584479166668</v>
      </c>
      <c r="F766" t="s">
        <v>5712</v>
      </c>
    </row>
    <row r="767" spans="1:6" x14ac:dyDescent="0.25">
      <c r="A767" t="s">
        <v>5713</v>
      </c>
      <c r="B767" t="s">
        <v>4936</v>
      </c>
      <c r="C767" s="135"/>
      <c r="D767" s="135">
        <v>45727.561423611114</v>
      </c>
      <c r="E767" s="135">
        <v>45750.369953703703</v>
      </c>
      <c r="F767" t="s">
        <v>5300</v>
      </c>
    </row>
    <row r="768" spans="1:6" x14ac:dyDescent="0.25">
      <c r="A768" t="s">
        <v>5714</v>
      </c>
      <c r="B768" t="s">
        <v>4936</v>
      </c>
      <c r="C768" s="135"/>
      <c r="D768" s="135">
        <v>45722.365289351852</v>
      </c>
      <c r="E768" s="135">
        <v>45357.305752314816</v>
      </c>
      <c r="F768" t="s">
        <v>5106</v>
      </c>
    </row>
    <row r="769" spans="1:6" x14ac:dyDescent="0.25">
      <c r="A769" t="s">
        <v>5715</v>
      </c>
      <c r="B769" t="s">
        <v>4936</v>
      </c>
      <c r="C769" s="135"/>
      <c r="D769" s="135">
        <v>45722.463645833333</v>
      </c>
      <c r="E769" s="135">
        <v>45721.683831018519</v>
      </c>
      <c r="F769" t="s">
        <v>5106</v>
      </c>
    </row>
    <row r="770" spans="1:6" x14ac:dyDescent="0.25">
      <c r="A770" t="s">
        <v>5716</v>
      </c>
      <c r="B770" t="s">
        <v>4936</v>
      </c>
      <c r="C770" s="135"/>
      <c r="D770" s="135">
        <v>45180.278726851851</v>
      </c>
      <c r="E770" s="135">
        <v>45180.300416666665</v>
      </c>
      <c r="F770" t="s">
        <v>5158</v>
      </c>
    </row>
    <row r="771" spans="1:6" x14ac:dyDescent="0.25">
      <c r="A771" t="s">
        <v>5717</v>
      </c>
      <c r="B771" t="s">
        <v>4936</v>
      </c>
      <c r="C771" s="135"/>
      <c r="D771" s="135">
        <v>44785.558240740742</v>
      </c>
      <c r="E771" s="135">
        <v>44785.558240740742</v>
      </c>
      <c r="F771" t="s">
        <v>5121</v>
      </c>
    </row>
    <row r="772" spans="1:6" x14ac:dyDescent="0.25">
      <c r="A772" t="s">
        <v>5717</v>
      </c>
      <c r="B772" t="s">
        <v>4936</v>
      </c>
      <c r="C772" s="135"/>
      <c r="D772" s="135">
        <v>44728.434016203704</v>
      </c>
      <c r="E772" s="135">
        <v>44852.594583333332</v>
      </c>
      <c r="F772" t="s">
        <v>5158</v>
      </c>
    </row>
    <row r="773" spans="1:6" x14ac:dyDescent="0.25">
      <c r="A773" t="s">
        <v>5717</v>
      </c>
      <c r="B773" t="s">
        <v>4936</v>
      </c>
      <c r="C773" s="135"/>
      <c r="D773" s="135">
        <v>44728.434016203704</v>
      </c>
      <c r="E773" s="135">
        <v>44852.434166666666</v>
      </c>
      <c r="F773" t="s">
        <v>5122</v>
      </c>
    </row>
    <row r="774" spans="1:6" x14ac:dyDescent="0.25">
      <c r="A774" t="s">
        <v>5718</v>
      </c>
      <c r="B774" t="s">
        <v>4936</v>
      </c>
      <c r="C774" s="135"/>
      <c r="D774" s="135">
        <v>45313.554328703707</v>
      </c>
      <c r="E774" s="135">
        <v>45313.553449074076</v>
      </c>
      <c r="F774" t="s">
        <v>5719</v>
      </c>
    </row>
    <row r="775" spans="1:6" x14ac:dyDescent="0.25">
      <c r="A775" t="s">
        <v>5720</v>
      </c>
      <c r="B775" t="s">
        <v>4936</v>
      </c>
      <c r="C775" s="135"/>
      <c r="D775" s="135">
        <v>45596.616203703707</v>
      </c>
      <c r="E775" s="135">
        <v>44852.593587962961</v>
      </c>
      <c r="F775" t="s">
        <v>5158</v>
      </c>
    </row>
    <row r="776" spans="1:6" x14ac:dyDescent="0.25">
      <c r="A776" t="s">
        <v>5721</v>
      </c>
      <c r="B776" t="s">
        <v>4936</v>
      </c>
      <c r="C776" s="135"/>
      <c r="D776" s="135">
        <v>44785.557754629626</v>
      </c>
      <c r="E776" s="135">
        <v>44785.557754629626</v>
      </c>
      <c r="F776" t="s">
        <v>5722</v>
      </c>
    </row>
    <row r="777" spans="1:6" x14ac:dyDescent="0.25">
      <c r="A777" t="s">
        <v>5723</v>
      </c>
      <c r="B777" t="s">
        <v>4936</v>
      </c>
      <c r="C777" s="135"/>
      <c r="D777" s="135">
        <v>44973.617418981485</v>
      </c>
      <c r="E777" s="135">
        <v>44973.644537037035</v>
      </c>
      <c r="F777" t="s">
        <v>5153</v>
      </c>
    </row>
    <row r="778" spans="1:6" x14ac:dyDescent="0.25">
      <c r="A778" t="s">
        <v>5724</v>
      </c>
      <c r="B778" t="s">
        <v>4936</v>
      </c>
      <c r="C778" s="135"/>
      <c r="D778" s="135">
        <v>45153.733576388891</v>
      </c>
      <c r="E778" s="135">
        <v>45154.695092592592</v>
      </c>
      <c r="F778" t="s">
        <v>5725</v>
      </c>
    </row>
    <row r="779" spans="1:6" x14ac:dyDescent="0.25">
      <c r="A779" t="s">
        <v>5724</v>
      </c>
      <c r="B779" t="s">
        <v>4936</v>
      </c>
      <c r="C779" s="135"/>
      <c r="D779" s="135">
        <v>45153.733576388891</v>
      </c>
      <c r="E779" s="135">
        <v>45286.600381944445</v>
      </c>
      <c r="F779" t="s">
        <v>5726</v>
      </c>
    </row>
    <row r="780" spans="1:6" x14ac:dyDescent="0.25">
      <c r="A780" t="s">
        <v>5727</v>
      </c>
      <c r="B780" t="s">
        <v>4936</v>
      </c>
      <c r="C780" s="135"/>
      <c r="D780" s="135">
        <v>45153.733622685184</v>
      </c>
      <c r="E780" s="135">
        <v>45154.695092592592</v>
      </c>
      <c r="F780" t="s">
        <v>5728</v>
      </c>
    </row>
    <row r="781" spans="1:6" x14ac:dyDescent="0.25">
      <c r="A781" t="s">
        <v>5727</v>
      </c>
      <c r="B781" t="s">
        <v>4936</v>
      </c>
      <c r="C781" s="135"/>
      <c r="D781" s="135">
        <v>45153.733622685184</v>
      </c>
      <c r="E781" s="135">
        <v>45286.600393518522</v>
      </c>
      <c r="F781" t="s">
        <v>5729</v>
      </c>
    </row>
    <row r="782" spans="1:6" x14ac:dyDescent="0.25">
      <c r="A782" t="s">
        <v>5730</v>
      </c>
      <c r="B782" t="s">
        <v>4936</v>
      </c>
      <c r="C782" s="135"/>
      <c r="D782" s="135">
        <v>45153.733599537038</v>
      </c>
      <c r="E782" s="135">
        <v>45286.600381944445</v>
      </c>
      <c r="F782" t="s">
        <v>5731</v>
      </c>
    </row>
    <row r="783" spans="1:6" x14ac:dyDescent="0.25">
      <c r="A783" t="s">
        <v>5730</v>
      </c>
      <c r="B783" t="s">
        <v>4936</v>
      </c>
      <c r="C783" s="135"/>
      <c r="D783" s="135">
        <v>45153.733599537038</v>
      </c>
      <c r="E783" s="135">
        <v>45154.695092592592</v>
      </c>
      <c r="F783" t="s">
        <v>5732</v>
      </c>
    </row>
    <row r="784" spans="1:6" x14ac:dyDescent="0.25">
      <c r="A784" t="s">
        <v>5733</v>
      </c>
      <c r="B784" t="s">
        <v>4936</v>
      </c>
      <c r="C784" s="135"/>
      <c r="D784" s="135">
        <v>45153.733587962961</v>
      </c>
      <c r="E784" s="135">
        <v>45286.600393518522</v>
      </c>
      <c r="F784" t="s">
        <v>5734</v>
      </c>
    </row>
    <row r="785" spans="1:6" x14ac:dyDescent="0.25">
      <c r="A785" t="s">
        <v>5733</v>
      </c>
      <c r="B785" t="s">
        <v>4936</v>
      </c>
      <c r="C785" s="135"/>
      <c r="D785" s="135">
        <v>45153.733587962961</v>
      </c>
      <c r="E785" s="135">
        <v>45154.695092592592</v>
      </c>
      <c r="F785" t="s">
        <v>5735</v>
      </c>
    </row>
    <row r="786" spans="1:6" x14ac:dyDescent="0.25">
      <c r="A786" t="s">
        <v>5736</v>
      </c>
      <c r="B786" t="s">
        <v>4936</v>
      </c>
      <c r="C786" s="135"/>
      <c r="D786" s="135">
        <v>45153.733587962961</v>
      </c>
      <c r="E786" s="135">
        <v>45286.600393518522</v>
      </c>
      <c r="F786" t="s">
        <v>5737</v>
      </c>
    </row>
    <row r="787" spans="1:6" x14ac:dyDescent="0.25">
      <c r="A787" t="s">
        <v>5736</v>
      </c>
      <c r="B787" t="s">
        <v>4936</v>
      </c>
      <c r="C787" s="135"/>
      <c r="D787" s="135">
        <v>45153.733587962961</v>
      </c>
      <c r="E787" s="135">
        <v>45154.695092592592</v>
      </c>
      <c r="F787" t="s">
        <v>5738</v>
      </c>
    </row>
    <row r="788" spans="1:6" x14ac:dyDescent="0.25">
      <c r="A788" t="s">
        <v>5739</v>
      </c>
      <c r="B788" t="s">
        <v>4936</v>
      </c>
      <c r="C788" s="135"/>
      <c r="D788" s="135">
        <v>45153.733668981484</v>
      </c>
      <c r="E788" s="135">
        <v>45154.685925925929</v>
      </c>
      <c r="F788" t="s">
        <v>5740</v>
      </c>
    </row>
    <row r="789" spans="1:6" x14ac:dyDescent="0.25">
      <c r="A789" t="s">
        <v>5739</v>
      </c>
      <c r="B789" t="s">
        <v>4936</v>
      </c>
      <c r="C789" s="135"/>
      <c r="D789" s="135">
        <v>45153.733668981484</v>
      </c>
      <c r="E789" s="135">
        <v>45286.599988425929</v>
      </c>
      <c r="F789" t="s">
        <v>5741</v>
      </c>
    </row>
    <row r="790" spans="1:6" x14ac:dyDescent="0.25">
      <c r="A790" t="s">
        <v>5742</v>
      </c>
      <c r="B790" t="s">
        <v>4936</v>
      </c>
      <c r="C790" s="135"/>
      <c r="D790" s="135">
        <v>45153.733831018515</v>
      </c>
      <c r="E790" s="135">
        <v>45154.685972222222</v>
      </c>
      <c r="F790" t="s">
        <v>5743</v>
      </c>
    </row>
    <row r="791" spans="1:6" x14ac:dyDescent="0.25">
      <c r="A791" t="s">
        <v>5742</v>
      </c>
      <c r="B791" t="s">
        <v>4936</v>
      </c>
      <c r="C791" s="135"/>
      <c r="D791" s="135">
        <v>45153.733831018515</v>
      </c>
      <c r="E791" s="135">
        <v>45286.599988425929</v>
      </c>
      <c r="F791" t="s">
        <v>5744</v>
      </c>
    </row>
    <row r="792" spans="1:6" x14ac:dyDescent="0.25">
      <c r="A792" t="s">
        <v>5745</v>
      </c>
      <c r="B792" t="s">
        <v>4936</v>
      </c>
      <c r="C792" s="135"/>
      <c r="D792" s="135">
        <v>44785.557743055557</v>
      </c>
      <c r="E792" s="135">
        <v>44785.557743055557</v>
      </c>
      <c r="F792" t="s">
        <v>5722</v>
      </c>
    </row>
    <row r="793" spans="1:6" x14ac:dyDescent="0.25">
      <c r="A793" t="s">
        <v>5746</v>
      </c>
      <c r="B793" t="s">
        <v>4936</v>
      </c>
      <c r="C793" s="135"/>
      <c r="D793" s="135">
        <v>45744.343599537038</v>
      </c>
      <c r="E793" s="135">
        <v>45750.369930555556</v>
      </c>
      <c r="F793" t="s">
        <v>5300</v>
      </c>
    </row>
    <row r="794" spans="1:6" x14ac:dyDescent="0.25">
      <c r="A794" t="s">
        <v>5747</v>
      </c>
      <c r="B794" t="s">
        <v>4936</v>
      </c>
      <c r="C794" s="135"/>
      <c r="D794" s="135">
        <v>44785.558194444442</v>
      </c>
      <c r="E794" s="135">
        <v>44785.558194444442</v>
      </c>
      <c r="F794" t="s">
        <v>5121</v>
      </c>
    </row>
    <row r="795" spans="1:6" x14ac:dyDescent="0.25">
      <c r="A795" t="s">
        <v>5747</v>
      </c>
      <c r="B795" t="s">
        <v>4936</v>
      </c>
      <c r="C795" s="135"/>
      <c r="D795" s="135">
        <v>44727.598923611113</v>
      </c>
      <c r="E795" s="135">
        <v>44852.434166666666</v>
      </c>
      <c r="F795" t="s">
        <v>5122</v>
      </c>
    </row>
    <row r="796" spans="1:6" x14ac:dyDescent="0.25">
      <c r="A796" t="s">
        <v>5748</v>
      </c>
      <c r="B796" t="s">
        <v>4936</v>
      </c>
      <c r="C796" s="135"/>
      <c r="D796" s="135">
        <v>45153.734050925923</v>
      </c>
      <c r="E796" s="135">
        <v>45286.599988425929</v>
      </c>
      <c r="F796" t="s">
        <v>5749</v>
      </c>
    </row>
    <row r="797" spans="1:6" x14ac:dyDescent="0.25">
      <c r="A797" t="s">
        <v>5748</v>
      </c>
      <c r="B797" t="s">
        <v>4936</v>
      </c>
      <c r="C797" s="135"/>
      <c r="D797" s="135">
        <v>45153.734050925923</v>
      </c>
      <c r="E797" s="135">
        <v>45154.686030092591</v>
      </c>
      <c r="F797" t="s">
        <v>5750</v>
      </c>
    </row>
    <row r="798" spans="1:6" x14ac:dyDescent="0.25">
      <c r="A798" t="s">
        <v>5751</v>
      </c>
      <c r="B798" t="s">
        <v>4936</v>
      </c>
      <c r="C798" s="135"/>
      <c r="D798" s="135">
        <v>44761.499259259261</v>
      </c>
      <c r="E798" s="135">
        <v>44950.436307870368</v>
      </c>
      <c r="F798" t="s">
        <v>5499</v>
      </c>
    </row>
    <row r="799" spans="1:6" x14ac:dyDescent="0.25">
      <c r="A799" t="s">
        <v>5752</v>
      </c>
      <c r="B799" t="s">
        <v>4936</v>
      </c>
      <c r="C799" s="135"/>
      <c r="D799" s="135">
        <v>44966.58997685185</v>
      </c>
      <c r="E799" s="135">
        <v>45030.447662037041</v>
      </c>
      <c r="F799" t="s">
        <v>5158</v>
      </c>
    </row>
    <row r="800" spans="1:6" x14ac:dyDescent="0.25">
      <c r="A800" t="s">
        <v>5753</v>
      </c>
      <c r="B800" t="s">
        <v>4936</v>
      </c>
      <c r="C800" s="135"/>
      <c r="D800" s="135">
        <v>45194.449965277781</v>
      </c>
      <c r="E800" s="135">
        <v>45232.642974537041</v>
      </c>
      <c r="F800" t="s">
        <v>5754</v>
      </c>
    </row>
    <row r="801" spans="1:6" x14ac:dyDescent="0.25">
      <c r="A801" t="s">
        <v>5755</v>
      </c>
      <c r="B801" t="s">
        <v>4936</v>
      </c>
      <c r="C801" s="135"/>
      <c r="D801" s="135">
        <v>45271.503425925926</v>
      </c>
      <c r="E801" s="135">
        <v>45174.548784722225</v>
      </c>
      <c r="F801" t="s">
        <v>5754</v>
      </c>
    </row>
    <row r="802" spans="1:6" x14ac:dyDescent="0.25">
      <c r="A802" t="s">
        <v>5756</v>
      </c>
      <c r="B802" t="s">
        <v>4936</v>
      </c>
      <c r="C802" s="135"/>
      <c r="D802" s="135">
        <v>45245.67459490741</v>
      </c>
      <c r="E802" s="135">
        <v>45245.644293981481</v>
      </c>
      <c r="F802" t="s">
        <v>5565</v>
      </c>
    </row>
    <row r="803" spans="1:6" x14ac:dyDescent="0.25">
      <c r="A803" t="s">
        <v>5757</v>
      </c>
      <c r="B803" t="s">
        <v>4936</v>
      </c>
      <c r="C803" s="135"/>
      <c r="D803" s="135">
        <v>44785.558055555557</v>
      </c>
      <c r="E803" s="135">
        <v>44785.558055555557</v>
      </c>
      <c r="F803" t="s">
        <v>5142</v>
      </c>
    </row>
    <row r="804" spans="1:6" x14ac:dyDescent="0.25">
      <c r="A804" t="s">
        <v>5757</v>
      </c>
      <c r="B804" t="s">
        <v>4936</v>
      </c>
      <c r="C804" s="135"/>
      <c r="D804" s="135">
        <v>44701.631585648145</v>
      </c>
      <c r="E804" s="135">
        <v>44852.434270833335</v>
      </c>
      <c r="F804" t="s">
        <v>5210</v>
      </c>
    </row>
    <row r="805" spans="1:6" x14ac:dyDescent="0.25">
      <c r="A805" t="s">
        <v>5758</v>
      </c>
      <c r="B805" t="s">
        <v>4936</v>
      </c>
      <c r="C805" s="135"/>
      <c r="D805" s="135">
        <v>44785.558055555557</v>
      </c>
      <c r="E805" s="135">
        <v>44785.558055555557</v>
      </c>
      <c r="F805" t="s">
        <v>5142</v>
      </c>
    </row>
    <row r="806" spans="1:6" x14ac:dyDescent="0.25">
      <c r="A806" t="s">
        <v>5758</v>
      </c>
      <c r="B806" t="s">
        <v>4936</v>
      </c>
      <c r="C806" s="135"/>
      <c r="D806" s="135">
        <v>44679.765763888892</v>
      </c>
      <c r="E806" s="135">
        <v>44852.434270833335</v>
      </c>
      <c r="F806" t="s">
        <v>5210</v>
      </c>
    </row>
    <row r="807" spans="1:6" x14ac:dyDescent="0.25">
      <c r="A807" t="s">
        <v>5759</v>
      </c>
      <c r="B807" t="s">
        <v>4936</v>
      </c>
      <c r="C807" s="135"/>
      <c r="D807" s="135">
        <v>44785.558067129627</v>
      </c>
      <c r="E807" s="135">
        <v>44785.558067129627</v>
      </c>
      <c r="F807" t="s">
        <v>5142</v>
      </c>
    </row>
    <row r="808" spans="1:6" x14ac:dyDescent="0.25">
      <c r="A808" t="s">
        <v>5759</v>
      </c>
      <c r="B808" t="s">
        <v>4936</v>
      </c>
      <c r="C808" s="135"/>
      <c r="D808" s="135">
        <v>44693.63994212963</v>
      </c>
      <c r="E808" s="135">
        <v>44852.434259259258</v>
      </c>
      <c r="F808" t="s">
        <v>5210</v>
      </c>
    </row>
    <row r="809" spans="1:6" x14ac:dyDescent="0.25">
      <c r="A809" t="s">
        <v>5760</v>
      </c>
      <c r="B809" t="s">
        <v>4936</v>
      </c>
      <c r="C809" s="135"/>
      <c r="D809" s="135">
        <v>44785.558067129627</v>
      </c>
      <c r="E809" s="135">
        <v>44785.558067129627</v>
      </c>
      <c r="F809" t="s">
        <v>5142</v>
      </c>
    </row>
    <row r="810" spans="1:6" x14ac:dyDescent="0.25">
      <c r="A810" t="s">
        <v>5760</v>
      </c>
      <c r="B810" t="s">
        <v>4936</v>
      </c>
      <c r="C810" s="135"/>
      <c r="D810" s="135">
        <v>44679.744722222225</v>
      </c>
      <c r="E810" s="135">
        <v>44852.434259259258</v>
      </c>
      <c r="F810" t="s">
        <v>5210</v>
      </c>
    </row>
    <row r="811" spans="1:6" x14ac:dyDescent="0.25">
      <c r="A811" t="s">
        <v>5761</v>
      </c>
      <c r="B811" t="s">
        <v>4936</v>
      </c>
      <c r="C811" s="135"/>
      <c r="D811" s="135">
        <v>45013.857928240737</v>
      </c>
      <c r="E811" s="135">
        <v>45012.577581018515</v>
      </c>
      <c r="F811" t="s">
        <v>5214</v>
      </c>
    </row>
    <row r="812" spans="1:6" x14ac:dyDescent="0.25">
      <c r="A812" t="s">
        <v>5762</v>
      </c>
      <c r="B812" t="s">
        <v>4936</v>
      </c>
      <c r="C812" s="135"/>
      <c r="D812" s="135">
        <v>44999.581319444442</v>
      </c>
      <c r="E812" s="135">
        <v>44964.598356481481</v>
      </c>
      <c r="F812" t="s">
        <v>5763</v>
      </c>
    </row>
    <row r="813" spans="1:6" x14ac:dyDescent="0.25">
      <c r="A813" t="s">
        <v>5764</v>
      </c>
      <c r="B813" t="s">
        <v>4936</v>
      </c>
      <c r="C813" s="135"/>
      <c r="D813" s="135">
        <v>45041.405798611115</v>
      </c>
      <c r="E813" s="135">
        <v>45015.628668981481</v>
      </c>
      <c r="F813" t="s">
        <v>5028</v>
      </c>
    </row>
    <row r="814" spans="1:6" x14ac:dyDescent="0.25">
      <c r="A814" t="s">
        <v>5764</v>
      </c>
      <c r="B814" t="s">
        <v>4936</v>
      </c>
      <c r="C814" s="135"/>
      <c r="D814" s="135">
        <v>44866.652546296296</v>
      </c>
      <c r="E814" s="135">
        <v>44852.433958333335</v>
      </c>
      <c r="F814" t="s">
        <v>5765</v>
      </c>
    </row>
    <row r="815" spans="1:6" x14ac:dyDescent="0.25">
      <c r="A815" t="s">
        <v>5766</v>
      </c>
      <c r="B815" t="s">
        <v>4936</v>
      </c>
      <c r="C815" s="135"/>
      <c r="D815" s="135">
        <v>44865.706643518519</v>
      </c>
      <c r="E815" s="135">
        <v>44865.707256944443</v>
      </c>
      <c r="F815" t="s">
        <v>5767</v>
      </c>
    </row>
    <row r="816" spans="1:6" x14ac:dyDescent="0.25">
      <c r="A816" t="s">
        <v>5766</v>
      </c>
      <c r="B816" t="s">
        <v>4936</v>
      </c>
      <c r="C816" s="135"/>
      <c r="D816" s="135">
        <v>44865.706643518519</v>
      </c>
      <c r="E816" s="135">
        <v>44950.3437037037</v>
      </c>
      <c r="F816" t="s">
        <v>5768</v>
      </c>
    </row>
    <row r="817" spans="1:6" x14ac:dyDescent="0.25">
      <c r="A817" t="s">
        <v>5769</v>
      </c>
      <c r="B817" t="s">
        <v>4936</v>
      </c>
      <c r="C817" s="135"/>
      <c r="D817" s="135">
        <v>45279.331238425926</v>
      </c>
      <c r="E817" s="135">
        <v>45191.613356481481</v>
      </c>
      <c r="F817" t="s">
        <v>5770</v>
      </c>
    </row>
    <row r="818" spans="1:6" x14ac:dyDescent="0.25">
      <c r="A818" t="s">
        <v>5771</v>
      </c>
      <c r="B818" t="s">
        <v>4936</v>
      </c>
      <c r="C818" s="135"/>
      <c r="D818" s="135">
        <v>45222.625092592592</v>
      </c>
      <c r="E818" s="135">
        <v>45222.62537037037</v>
      </c>
      <c r="F818" t="s">
        <v>5770</v>
      </c>
    </row>
    <row r="819" spans="1:6" x14ac:dyDescent="0.25">
      <c r="A819" t="s">
        <v>5772</v>
      </c>
      <c r="B819" t="s">
        <v>4936</v>
      </c>
      <c r="C819" s="135"/>
      <c r="D819" s="135">
        <v>44868.421979166669</v>
      </c>
      <c r="E819" s="135">
        <v>44868.422129629631</v>
      </c>
      <c r="F819" t="s">
        <v>5767</v>
      </c>
    </row>
    <row r="820" spans="1:6" x14ac:dyDescent="0.25">
      <c r="A820" t="s">
        <v>5772</v>
      </c>
      <c r="B820" t="s">
        <v>4936</v>
      </c>
      <c r="C820" s="135"/>
      <c r="D820" s="135">
        <v>44868.421979166669</v>
      </c>
      <c r="E820" s="135">
        <v>44950.3437037037</v>
      </c>
      <c r="F820" t="s">
        <v>5768</v>
      </c>
    </row>
    <row r="821" spans="1:6" x14ac:dyDescent="0.25">
      <c r="A821" t="s">
        <v>5773</v>
      </c>
      <c r="B821" t="s">
        <v>4936</v>
      </c>
      <c r="C821" s="135"/>
      <c r="D821" s="135">
        <v>44963.624062499999</v>
      </c>
      <c r="E821" s="135">
        <v>44963.620150462964</v>
      </c>
      <c r="F821" t="s">
        <v>5774</v>
      </c>
    </row>
    <row r="822" spans="1:6" x14ac:dyDescent="0.25">
      <c r="A822" t="s">
        <v>5773</v>
      </c>
      <c r="B822" t="s">
        <v>4936</v>
      </c>
      <c r="C822" s="135"/>
      <c r="D822" s="135">
        <v>44963.624062499999</v>
      </c>
      <c r="E822" s="135">
        <v>45015.629201388889</v>
      </c>
      <c r="F822" t="s">
        <v>5028</v>
      </c>
    </row>
    <row r="823" spans="1:6" x14ac:dyDescent="0.25">
      <c r="A823" t="s">
        <v>5775</v>
      </c>
      <c r="B823" t="s">
        <v>4936</v>
      </c>
      <c r="C823" s="135"/>
      <c r="D823" s="135">
        <v>45041.405729166669</v>
      </c>
      <c r="E823" s="135">
        <v>45015.629201388889</v>
      </c>
      <c r="F823" t="s">
        <v>5028</v>
      </c>
    </row>
    <row r="824" spans="1:6" x14ac:dyDescent="0.25">
      <c r="A824" t="s">
        <v>5775</v>
      </c>
      <c r="B824" t="s">
        <v>4936</v>
      </c>
      <c r="C824" s="135"/>
      <c r="D824" s="135">
        <v>44950.338483796295</v>
      </c>
      <c r="E824" s="135">
        <v>44963.605347222219</v>
      </c>
      <c r="F824" t="s">
        <v>5774</v>
      </c>
    </row>
    <row r="825" spans="1:6" x14ac:dyDescent="0.25">
      <c r="A825" t="s">
        <v>5776</v>
      </c>
      <c r="B825" t="s">
        <v>4936</v>
      </c>
      <c r="C825" s="135"/>
      <c r="D825" s="135">
        <v>45713.392592592594</v>
      </c>
      <c r="E825" s="135">
        <v>45240.449513888889</v>
      </c>
      <c r="F825" t="s">
        <v>5175</v>
      </c>
    </row>
    <row r="826" spans="1:6" x14ac:dyDescent="0.25">
      <c r="A826" t="s">
        <v>5777</v>
      </c>
      <c r="B826" t="s">
        <v>4936</v>
      </c>
      <c r="C826" s="135"/>
      <c r="D826" s="135">
        <v>45713.408715277779</v>
      </c>
      <c r="E826" s="135">
        <v>45321.733749999999</v>
      </c>
      <c r="F826" t="s">
        <v>5177</v>
      </c>
    </row>
    <row r="827" spans="1:6" x14ac:dyDescent="0.25">
      <c r="A827" t="s">
        <v>5778</v>
      </c>
      <c r="B827" t="s">
        <v>4936</v>
      </c>
      <c r="C827" s="135"/>
      <c r="D827" s="135">
        <v>45749.407500000001</v>
      </c>
      <c r="E827" s="135">
        <v>45698.645682870374</v>
      </c>
      <c r="F827" t="s">
        <v>5179</v>
      </c>
    </row>
    <row r="828" spans="1:6" x14ac:dyDescent="0.25">
      <c r="A828" t="s">
        <v>5779</v>
      </c>
      <c r="B828" t="s">
        <v>5102</v>
      </c>
      <c r="C828" s="135"/>
      <c r="D828" s="135">
        <v>45384.330821759257</v>
      </c>
      <c r="E828" s="135">
        <v>45337.366516203707</v>
      </c>
      <c r="F828" t="s">
        <v>5232</v>
      </c>
    </row>
    <row r="829" spans="1:6" x14ac:dyDescent="0.25">
      <c r="A829" t="s">
        <v>5780</v>
      </c>
      <c r="B829" t="s">
        <v>5102</v>
      </c>
      <c r="C829" s="135"/>
      <c r="D829" s="135">
        <v>45353.449756944443</v>
      </c>
      <c r="E829" s="135">
        <v>45271.683113425926</v>
      </c>
      <c r="F829" t="s">
        <v>5113</v>
      </c>
    </row>
    <row r="830" spans="1:6" x14ac:dyDescent="0.25">
      <c r="A830" t="s">
        <v>5781</v>
      </c>
      <c r="B830" t="s">
        <v>5102</v>
      </c>
      <c r="C830" s="135"/>
      <c r="D830" s="135">
        <v>45353.448252314818</v>
      </c>
      <c r="E830" s="135">
        <v>45271.68310185185</v>
      </c>
      <c r="F830" t="s">
        <v>5113</v>
      </c>
    </row>
    <row r="831" spans="1:6" x14ac:dyDescent="0.25">
      <c r="A831" t="s">
        <v>5782</v>
      </c>
      <c r="B831" t="s">
        <v>5102</v>
      </c>
      <c r="C831" s="135"/>
      <c r="D831" s="135">
        <v>45353.447152777779</v>
      </c>
      <c r="E831" s="135">
        <v>45335.691122685188</v>
      </c>
      <c r="F831" t="s">
        <v>5113</v>
      </c>
    </row>
    <row r="832" spans="1:6" x14ac:dyDescent="0.25">
      <c r="A832" t="s">
        <v>5783</v>
      </c>
      <c r="B832" t="s">
        <v>5102</v>
      </c>
      <c r="C832" s="135"/>
      <c r="D832" s="135">
        <v>45384.324270833335</v>
      </c>
      <c r="E832" s="135">
        <v>45337.356226851851</v>
      </c>
      <c r="F832" t="s">
        <v>5232</v>
      </c>
    </row>
    <row r="833" spans="1:6" x14ac:dyDescent="0.25">
      <c r="A833" t="s">
        <v>5784</v>
      </c>
      <c r="B833" t="s">
        <v>4936</v>
      </c>
      <c r="C833" s="135"/>
      <c r="D833" s="135">
        <v>45756.464826388888</v>
      </c>
      <c r="E833" s="135">
        <v>45629.411041666666</v>
      </c>
      <c r="F833" t="s">
        <v>5047</v>
      </c>
    </row>
    <row r="834" spans="1:6" x14ac:dyDescent="0.25">
      <c r="A834" t="s">
        <v>5785</v>
      </c>
      <c r="B834" t="s">
        <v>4936</v>
      </c>
      <c r="C834" s="135"/>
      <c r="D834" s="135">
        <v>45758.514120370368</v>
      </c>
      <c r="E834" s="135">
        <v>45726.351678240739</v>
      </c>
      <c r="F834" t="s">
        <v>5109</v>
      </c>
    </row>
    <row r="835" spans="1:6" x14ac:dyDescent="0.25">
      <c r="A835" t="s">
        <v>5786</v>
      </c>
      <c r="B835" t="s">
        <v>5102</v>
      </c>
      <c r="C835" s="135"/>
      <c r="D835" s="135">
        <v>45355.584421296298</v>
      </c>
      <c r="E835" s="135">
        <v>44977.651342592595</v>
      </c>
      <c r="F835" t="s">
        <v>5214</v>
      </c>
    </row>
    <row r="836" spans="1:6" x14ac:dyDescent="0.25">
      <c r="A836" t="s">
        <v>5787</v>
      </c>
      <c r="B836" t="s">
        <v>5102</v>
      </c>
      <c r="C836" s="135"/>
      <c r="D836" s="135">
        <v>45735.499490740738</v>
      </c>
      <c r="E836" s="135">
        <v>45352.629872685182</v>
      </c>
      <c r="F836" t="s">
        <v>5047</v>
      </c>
    </row>
    <row r="837" spans="1:6" x14ac:dyDescent="0.25">
      <c r="A837" t="s">
        <v>5788</v>
      </c>
      <c r="B837" t="s">
        <v>4936</v>
      </c>
      <c r="C837" s="135"/>
      <c r="D837" s="135">
        <v>45749.656412037039</v>
      </c>
      <c r="E837" s="135">
        <v>45735.48541666667</v>
      </c>
      <c r="F837" t="s">
        <v>5047</v>
      </c>
    </row>
    <row r="838" spans="1:6" x14ac:dyDescent="0.25">
      <c r="A838" t="s">
        <v>5789</v>
      </c>
      <c r="B838" t="s">
        <v>4936</v>
      </c>
      <c r="C838" s="135"/>
      <c r="D838" s="135">
        <v>45758.514189814814</v>
      </c>
      <c r="E838" s="135">
        <v>45726.352430555555</v>
      </c>
      <c r="F838" t="s">
        <v>5109</v>
      </c>
    </row>
    <row r="839" spans="1:6" x14ac:dyDescent="0.25">
      <c r="A839" t="s">
        <v>5790</v>
      </c>
      <c r="B839" t="s">
        <v>4936</v>
      </c>
      <c r="C839" s="135"/>
      <c r="D839" s="135">
        <v>45632.32371527778</v>
      </c>
      <c r="E839" s="135">
        <v>45357.305752314816</v>
      </c>
      <c r="F839" t="s">
        <v>5106</v>
      </c>
    </row>
    <row r="840" spans="1:6" x14ac:dyDescent="0.25">
      <c r="A840" t="s">
        <v>5791</v>
      </c>
      <c r="B840" t="s">
        <v>4936</v>
      </c>
      <c r="C840" s="135"/>
      <c r="D840" s="135">
        <v>44785.558078703703</v>
      </c>
      <c r="E840" s="135">
        <v>44785.558078703703</v>
      </c>
      <c r="F840" t="s">
        <v>5142</v>
      </c>
    </row>
    <row r="841" spans="1:6" x14ac:dyDescent="0.25">
      <c r="A841" t="s">
        <v>5791</v>
      </c>
      <c r="B841" t="s">
        <v>4936</v>
      </c>
      <c r="C841" s="135"/>
      <c r="D841" s="135">
        <v>44683.393287037034</v>
      </c>
      <c r="E841" s="135">
        <v>44852.434259259258</v>
      </c>
      <c r="F841" t="s">
        <v>5210</v>
      </c>
    </row>
    <row r="842" spans="1:6" x14ac:dyDescent="0.25">
      <c r="A842" t="s">
        <v>5792</v>
      </c>
      <c r="B842" t="s">
        <v>4936</v>
      </c>
      <c r="C842" s="135"/>
      <c r="D842" s="135">
        <v>44785.558437500003</v>
      </c>
      <c r="E842" s="135">
        <v>44785.558437500003</v>
      </c>
      <c r="F842" t="s">
        <v>5182</v>
      </c>
    </row>
    <row r="843" spans="1:6" x14ac:dyDescent="0.25">
      <c r="A843" t="s">
        <v>5793</v>
      </c>
      <c r="B843" t="s">
        <v>4936</v>
      </c>
      <c r="C843" s="135"/>
      <c r="D843" s="135">
        <v>44785.55846064815</v>
      </c>
      <c r="E843" s="135">
        <v>44785.55846064815</v>
      </c>
      <c r="F843" t="s">
        <v>5182</v>
      </c>
    </row>
    <row r="844" spans="1:6" x14ac:dyDescent="0.25">
      <c r="A844" t="s">
        <v>5794</v>
      </c>
      <c r="B844" t="s">
        <v>5102</v>
      </c>
      <c r="C844" s="135"/>
      <c r="D844" s="135">
        <v>44623.871145833335</v>
      </c>
      <c r="E844" s="135">
        <v>44950.436307870368</v>
      </c>
      <c r="F844" t="s">
        <v>5795</v>
      </c>
    </row>
    <row r="845" spans="1:6" x14ac:dyDescent="0.25">
      <c r="A845" t="s">
        <v>5796</v>
      </c>
      <c r="B845" t="s">
        <v>4936</v>
      </c>
      <c r="C845" s="135"/>
      <c r="D845" s="135">
        <v>44785.55846064815</v>
      </c>
      <c r="E845" s="135">
        <v>44785.55846064815</v>
      </c>
      <c r="F845" t="s">
        <v>5182</v>
      </c>
    </row>
    <row r="846" spans="1:6" x14ac:dyDescent="0.25">
      <c r="A846" t="s">
        <v>5797</v>
      </c>
      <c r="B846" t="s">
        <v>4936</v>
      </c>
      <c r="C846" s="135"/>
      <c r="D846" s="135">
        <v>44922.419189814813</v>
      </c>
      <c r="E846" s="135">
        <v>44972.486597222225</v>
      </c>
      <c r="F846" t="s">
        <v>5035</v>
      </c>
    </row>
    <row r="847" spans="1:6" x14ac:dyDescent="0.25">
      <c r="A847" t="s">
        <v>5798</v>
      </c>
      <c r="B847" t="s">
        <v>4936</v>
      </c>
      <c r="C847" s="135"/>
      <c r="D847" s="135">
        <v>44922.421724537038</v>
      </c>
      <c r="E847" s="135">
        <v>44972.486574074072</v>
      </c>
      <c r="F847" t="s">
        <v>5035</v>
      </c>
    </row>
    <row r="848" spans="1:6" x14ac:dyDescent="0.25">
      <c r="A848" t="s">
        <v>5799</v>
      </c>
      <c r="B848" t="s">
        <v>4936</v>
      </c>
      <c r="C848" s="135"/>
      <c r="D848" s="135">
        <v>44785.558472222219</v>
      </c>
      <c r="E848" s="135">
        <v>44785.558472222219</v>
      </c>
      <c r="F848" t="s">
        <v>5182</v>
      </c>
    </row>
    <row r="849" spans="1:6" x14ac:dyDescent="0.25">
      <c r="A849" t="s">
        <v>5800</v>
      </c>
      <c r="B849" t="s">
        <v>4936</v>
      </c>
      <c r="C849" s="135"/>
      <c r="D849" s="135">
        <v>45275.440949074073</v>
      </c>
      <c r="E849" s="135">
        <v>45191.582962962966</v>
      </c>
      <c r="F849" t="s">
        <v>5801</v>
      </c>
    </row>
    <row r="850" spans="1:6" x14ac:dyDescent="0.25">
      <c r="A850" t="s">
        <v>5802</v>
      </c>
      <c r="B850" t="s">
        <v>4936</v>
      </c>
      <c r="C850" s="135"/>
      <c r="D850" s="135">
        <v>45275.441250000003</v>
      </c>
      <c r="E850" s="135">
        <v>45191.583136574074</v>
      </c>
      <c r="F850" t="s">
        <v>5801</v>
      </c>
    </row>
    <row r="851" spans="1:6" x14ac:dyDescent="0.25">
      <c r="A851" t="s">
        <v>5803</v>
      </c>
      <c r="B851" t="s">
        <v>4936</v>
      </c>
      <c r="C851" s="135"/>
      <c r="D851" s="135">
        <v>45275.441874999997</v>
      </c>
      <c r="E851" s="135">
        <v>45191.583831018521</v>
      </c>
      <c r="F851" t="s">
        <v>5801</v>
      </c>
    </row>
    <row r="852" spans="1:6" x14ac:dyDescent="0.25">
      <c r="A852" t="s">
        <v>5804</v>
      </c>
      <c r="B852" t="s">
        <v>4936</v>
      </c>
      <c r="C852" s="135"/>
      <c r="D852" s="135">
        <v>45275.442349537036</v>
      </c>
      <c r="E852" s="135">
        <v>45191.584421296298</v>
      </c>
      <c r="F852" t="s">
        <v>5801</v>
      </c>
    </row>
    <row r="853" spans="1:6" x14ac:dyDescent="0.25">
      <c r="A853" t="s">
        <v>5805</v>
      </c>
      <c r="B853" t="s">
        <v>4936</v>
      </c>
      <c r="C853" s="135"/>
      <c r="D853" s="135">
        <v>45275.443287037036</v>
      </c>
      <c r="E853" s="135">
        <v>45191.584918981483</v>
      </c>
      <c r="F853" t="s">
        <v>5801</v>
      </c>
    </row>
    <row r="854" spans="1:6" x14ac:dyDescent="0.25">
      <c r="A854" t="s">
        <v>5806</v>
      </c>
      <c r="B854" t="s">
        <v>4936</v>
      </c>
      <c r="C854" s="135"/>
      <c r="D854" s="135">
        <v>45275.446145833332</v>
      </c>
      <c r="E854" s="135">
        <v>45191.588333333333</v>
      </c>
      <c r="F854" t="s">
        <v>5801</v>
      </c>
    </row>
    <row r="855" spans="1:6" x14ac:dyDescent="0.25">
      <c r="A855" t="s">
        <v>5807</v>
      </c>
      <c r="B855" t="s">
        <v>4936</v>
      </c>
      <c r="C855" s="135"/>
      <c r="D855" s="135">
        <v>45275.447905092595</v>
      </c>
      <c r="E855" s="135">
        <v>45191.588819444441</v>
      </c>
      <c r="F855" t="s">
        <v>5801</v>
      </c>
    </row>
    <row r="856" spans="1:6" x14ac:dyDescent="0.25">
      <c r="A856" t="s">
        <v>5808</v>
      </c>
      <c r="B856" t="s">
        <v>4936</v>
      </c>
      <c r="C856" s="135"/>
      <c r="D856" s="135">
        <v>45275.448217592595</v>
      </c>
      <c r="E856" s="135">
        <v>45191.588969907411</v>
      </c>
      <c r="F856" t="s">
        <v>5801</v>
      </c>
    </row>
    <row r="857" spans="1:6" x14ac:dyDescent="0.25">
      <c r="A857" t="s">
        <v>5809</v>
      </c>
      <c r="B857" t="s">
        <v>4936</v>
      </c>
      <c r="C857" s="135"/>
      <c r="D857" s="135">
        <v>45275.452418981484</v>
      </c>
      <c r="E857" s="135">
        <v>45191.588969907411</v>
      </c>
      <c r="F857" t="s">
        <v>5801</v>
      </c>
    </row>
    <row r="858" spans="1:6" x14ac:dyDescent="0.25">
      <c r="A858" t="s">
        <v>5810</v>
      </c>
      <c r="B858" t="s">
        <v>4936</v>
      </c>
      <c r="C858" s="135"/>
      <c r="D858" s="135">
        <v>44785.558506944442</v>
      </c>
      <c r="E858" s="135">
        <v>44785.558506944442</v>
      </c>
      <c r="F858" t="s">
        <v>5811</v>
      </c>
    </row>
    <row r="859" spans="1:6" x14ac:dyDescent="0.25">
      <c r="A859" t="s">
        <v>5810</v>
      </c>
      <c r="B859" t="s">
        <v>4936</v>
      </c>
      <c r="C859" s="135"/>
      <c r="D859" s="135">
        <v>44731.880289351851</v>
      </c>
      <c r="E859" s="135">
        <v>44852.434421296297</v>
      </c>
      <c r="F859" t="s">
        <v>5812</v>
      </c>
    </row>
    <row r="860" spans="1:6" x14ac:dyDescent="0.25">
      <c r="A860" t="s">
        <v>5813</v>
      </c>
      <c r="B860" t="s">
        <v>4936</v>
      </c>
      <c r="C860" s="135"/>
      <c r="D860" s="135">
        <v>44785.55809027778</v>
      </c>
      <c r="E860" s="135">
        <v>44785.55809027778</v>
      </c>
      <c r="F860" t="s">
        <v>5142</v>
      </c>
    </row>
    <row r="861" spans="1:6" x14ac:dyDescent="0.25">
      <c r="A861" t="s">
        <v>5813</v>
      </c>
      <c r="B861" t="s">
        <v>4936</v>
      </c>
      <c r="C861" s="135"/>
      <c r="D861" s="135">
        <v>44680.566932870373</v>
      </c>
      <c r="E861" s="135">
        <v>44852.434247685182</v>
      </c>
      <c r="F861" t="s">
        <v>5210</v>
      </c>
    </row>
    <row r="862" spans="1:6" x14ac:dyDescent="0.25">
      <c r="A862" t="s">
        <v>5814</v>
      </c>
      <c r="B862" t="s">
        <v>4936</v>
      </c>
      <c r="C862" s="135"/>
      <c r="D862" s="135">
        <v>44785.558518518519</v>
      </c>
      <c r="E862" s="135">
        <v>44785.558518518519</v>
      </c>
      <c r="F862" t="s">
        <v>5811</v>
      </c>
    </row>
    <row r="863" spans="1:6" x14ac:dyDescent="0.25">
      <c r="A863" t="s">
        <v>5814</v>
      </c>
      <c r="B863" t="s">
        <v>4936</v>
      </c>
      <c r="C863" s="135"/>
      <c r="D863" s="135">
        <v>44732.555173611108</v>
      </c>
      <c r="E863" s="135">
        <v>44852.434421296297</v>
      </c>
      <c r="F863" t="s">
        <v>5812</v>
      </c>
    </row>
    <row r="864" spans="1:6" x14ac:dyDescent="0.25">
      <c r="A864" t="s">
        <v>5815</v>
      </c>
      <c r="B864" t="s">
        <v>4936</v>
      </c>
      <c r="C864" s="135"/>
      <c r="D864" s="135">
        <v>44785.558518518519</v>
      </c>
      <c r="E864" s="135">
        <v>44785.558518518519</v>
      </c>
      <c r="F864" t="s">
        <v>5811</v>
      </c>
    </row>
    <row r="865" spans="1:6" x14ac:dyDescent="0.25">
      <c r="A865" t="s">
        <v>5815</v>
      </c>
      <c r="B865" t="s">
        <v>4936</v>
      </c>
      <c r="C865" s="135"/>
      <c r="D865" s="135">
        <v>44731.922615740739</v>
      </c>
      <c r="E865" s="135">
        <v>44852.434421296297</v>
      </c>
      <c r="F865" t="s">
        <v>5812</v>
      </c>
    </row>
    <row r="866" spans="1:6" x14ac:dyDescent="0.25">
      <c r="A866" t="s">
        <v>5816</v>
      </c>
      <c r="B866" t="s">
        <v>4936</v>
      </c>
      <c r="C866" s="135"/>
      <c r="D866" s="135">
        <v>44785.558518518519</v>
      </c>
      <c r="E866" s="135">
        <v>44785.558518518519</v>
      </c>
      <c r="F866" t="s">
        <v>5811</v>
      </c>
    </row>
    <row r="867" spans="1:6" x14ac:dyDescent="0.25">
      <c r="A867" t="s">
        <v>5816</v>
      </c>
      <c r="B867" t="s">
        <v>4936</v>
      </c>
      <c r="C867" s="135"/>
      <c r="D867" s="135">
        <v>44731.900879629633</v>
      </c>
      <c r="E867" s="135">
        <v>44852.434432870374</v>
      </c>
      <c r="F867" t="s">
        <v>5812</v>
      </c>
    </row>
    <row r="868" spans="1:6" x14ac:dyDescent="0.25">
      <c r="A868" t="s">
        <v>5817</v>
      </c>
      <c r="B868" t="s">
        <v>4936</v>
      </c>
      <c r="C868" s="135"/>
      <c r="D868" s="135">
        <v>45751.600138888891</v>
      </c>
      <c r="E868" s="135">
        <v>45751.601261574076</v>
      </c>
      <c r="F868" t="s">
        <v>5818</v>
      </c>
    </row>
    <row r="869" spans="1:6" x14ac:dyDescent="0.25">
      <c r="A869" t="s">
        <v>5819</v>
      </c>
      <c r="B869" t="s">
        <v>4936</v>
      </c>
      <c r="C869" s="135"/>
      <c r="D869" s="135">
        <v>44785.557986111111</v>
      </c>
      <c r="E869" s="135">
        <v>44785.557986111111</v>
      </c>
      <c r="F869" t="s">
        <v>5820</v>
      </c>
    </row>
    <row r="870" spans="1:6" x14ac:dyDescent="0.25">
      <c r="A870" t="s">
        <v>5821</v>
      </c>
      <c r="B870" t="s">
        <v>4936</v>
      </c>
      <c r="C870" s="135"/>
      <c r="D870" s="135">
        <v>44785.557974537034</v>
      </c>
      <c r="E870" s="135">
        <v>44785.557974537034</v>
      </c>
      <c r="F870" t="s">
        <v>5820</v>
      </c>
    </row>
    <row r="871" spans="1:6" x14ac:dyDescent="0.25">
      <c r="A871" t="s">
        <v>5822</v>
      </c>
      <c r="B871" t="s">
        <v>4936</v>
      </c>
      <c r="C871" s="135"/>
      <c r="D871" s="135">
        <v>44785.558310185188</v>
      </c>
      <c r="E871" s="135">
        <v>44785.558310185188</v>
      </c>
      <c r="F871" t="s">
        <v>5147</v>
      </c>
    </row>
    <row r="872" spans="1:6" x14ac:dyDescent="0.25">
      <c r="A872" t="s">
        <v>5823</v>
      </c>
      <c r="B872" t="s">
        <v>4936</v>
      </c>
      <c r="C872" s="135"/>
      <c r="D872" s="135">
        <v>44785.558321759258</v>
      </c>
      <c r="E872" s="135">
        <v>44785.558321759258</v>
      </c>
      <c r="F872" t="s">
        <v>5147</v>
      </c>
    </row>
    <row r="873" spans="1:6" x14ac:dyDescent="0.25">
      <c r="A873" t="s">
        <v>5824</v>
      </c>
      <c r="B873" t="s">
        <v>4936</v>
      </c>
      <c r="C873" s="135"/>
      <c r="D873" s="135">
        <v>44785.558125000003</v>
      </c>
      <c r="E873" s="135">
        <v>44785.558125000003</v>
      </c>
      <c r="F873" t="s">
        <v>5169</v>
      </c>
    </row>
    <row r="874" spans="1:6" x14ac:dyDescent="0.25">
      <c r="A874" t="s">
        <v>5824</v>
      </c>
      <c r="B874" t="s">
        <v>4936</v>
      </c>
      <c r="C874" s="135"/>
      <c r="D874" s="135">
        <v>44785.558333333334</v>
      </c>
      <c r="E874" s="135">
        <v>44785.558333333334</v>
      </c>
      <c r="F874" t="s">
        <v>5147</v>
      </c>
    </row>
    <row r="875" spans="1:6" x14ac:dyDescent="0.25">
      <c r="A875" t="s">
        <v>5825</v>
      </c>
      <c r="B875" t="s">
        <v>4936</v>
      </c>
      <c r="C875" s="135"/>
      <c r="D875" s="135">
        <v>44785.558333333334</v>
      </c>
      <c r="E875" s="135">
        <v>44785.558333333334</v>
      </c>
      <c r="F875" t="s">
        <v>5147</v>
      </c>
    </row>
    <row r="876" spans="1:6" x14ac:dyDescent="0.25">
      <c r="A876" t="s">
        <v>5826</v>
      </c>
      <c r="B876" t="s">
        <v>4936</v>
      </c>
      <c r="C876" s="135"/>
      <c r="D876" s="135">
        <v>44785.558136574073</v>
      </c>
      <c r="E876" s="135">
        <v>44785.558136574073</v>
      </c>
      <c r="F876" t="s">
        <v>5169</v>
      </c>
    </row>
    <row r="877" spans="1:6" x14ac:dyDescent="0.25">
      <c r="A877" t="s">
        <v>5827</v>
      </c>
      <c r="B877" t="s">
        <v>4936</v>
      </c>
      <c r="C877" s="135"/>
      <c r="D877" s="135">
        <v>44771.405960648146</v>
      </c>
      <c r="E877" s="135">
        <v>44852.434351851851</v>
      </c>
      <c r="F877" t="s">
        <v>5531</v>
      </c>
    </row>
    <row r="878" spans="1:6" x14ac:dyDescent="0.25">
      <c r="A878" t="s">
        <v>5827</v>
      </c>
      <c r="B878" t="s">
        <v>4936</v>
      </c>
      <c r="C878" s="135"/>
      <c r="D878" s="135">
        <v>44785.557986111111</v>
      </c>
      <c r="E878" s="135">
        <v>44785.557986111111</v>
      </c>
      <c r="F878" t="s">
        <v>5820</v>
      </c>
    </row>
    <row r="879" spans="1:6" x14ac:dyDescent="0.25">
      <c r="A879" t="s">
        <v>5828</v>
      </c>
      <c r="B879" t="s">
        <v>4936</v>
      </c>
      <c r="C879" s="135"/>
      <c r="D879" s="135">
        <v>44785.557986111111</v>
      </c>
      <c r="E879" s="135">
        <v>44785.557986111111</v>
      </c>
      <c r="F879" t="s">
        <v>5820</v>
      </c>
    </row>
    <row r="880" spans="1:6" x14ac:dyDescent="0.25">
      <c r="A880" t="s">
        <v>5829</v>
      </c>
      <c r="B880" t="s">
        <v>4936</v>
      </c>
      <c r="C880" s="135"/>
      <c r="D880" s="135">
        <v>44771.389027777775</v>
      </c>
      <c r="E880" s="135">
        <v>44852.434340277781</v>
      </c>
      <c r="F880" t="s">
        <v>5531</v>
      </c>
    </row>
    <row r="881" spans="1:6" x14ac:dyDescent="0.25">
      <c r="A881" t="s">
        <v>5829</v>
      </c>
      <c r="B881" t="s">
        <v>4936</v>
      </c>
      <c r="C881" s="135"/>
      <c r="D881" s="135">
        <v>44785.557986111111</v>
      </c>
      <c r="E881" s="135">
        <v>44785.557986111111</v>
      </c>
      <c r="F881" t="s">
        <v>5820</v>
      </c>
    </row>
    <row r="882" spans="1:6" x14ac:dyDescent="0.25">
      <c r="A882" t="s">
        <v>5830</v>
      </c>
      <c r="B882" t="s">
        <v>4936</v>
      </c>
      <c r="C882" s="135"/>
      <c r="D882" s="135">
        <v>44771.380810185183</v>
      </c>
      <c r="E882" s="135">
        <v>44852.434328703705</v>
      </c>
      <c r="F882" t="s">
        <v>5531</v>
      </c>
    </row>
    <row r="883" spans="1:6" x14ac:dyDescent="0.25">
      <c r="A883" t="s">
        <v>5830</v>
      </c>
      <c r="B883" t="s">
        <v>4936</v>
      </c>
      <c r="C883" s="135"/>
      <c r="D883" s="135">
        <v>44785.557997685188</v>
      </c>
      <c r="E883" s="135">
        <v>44785.557997685188</v>
      </c>
      <c r="F883" t="s">
        <v>5820</v>
      </c>
    </row>
    <row r="884" spans="1:6" x14ac:dyDescent="0.25">
      <c r="A884" t="s">
        <v>5831</v>
      </c>
      <c r="B884" t="s">
        <v>4936</v>
      </c>
      <c r="C884" s="135"/>
      <c r="D884" s="135">
        <v>44771.349143518521</v>
      </c>
      <c r="E884" s="135">
        <v>44852.434328703705</v>
      </c>
      <c r="F884" t="s">
        <v>5531</v>
      </c>
    </row>
    <row r="885" spans="1:6" x14ac:dyDescent="0.25">
      <c r="A885" t="s">
        <v>5831</v>
      </c>
      <c r="B885" t="s">
        <v>4936</v>
      </c>
      <c r="C885" s="135"/>
      <c r="D885" s="135">
        <v>44785.557997685188</v>
      </c>
      <c r="E885" s="135">
        <v>44785.557997685188</v>
      </c>
      <c r="F885" t="s">
        <v>5820</v>
      </c>
    </row>
    <row r="886" spans="1:6" x14ac:dyDescent="0.25">
      <c r="A886" t="s">
        <v>5832</v>
      </c>
      <c r="B886" t="s">
        <v>4936</v>
      </c>
      <c r="C886" s="135"/>
      <c r="D886" s="135">
        <v>44785.558356481481</v>
      </c>
      <c r="E886" s="135">
        <v>44785.558356481481</v>
      </c>
      <c r="F886" t="s">
        <v>5150</v>
      </c>
    </row>
    <row r="887" spans="1:6" x14ac:dyDescent="0.25">
      <c r="A887" t="s">
        <v>5833</v>
      </c>
      <c r="B887" t="s">
        <v>4936</v>
      </c>
      <c r="C887" s="135"/>
      <c r="D887" s="135">
        <v>44771.365636574075</v>
      </c>
      <c r="E887" s="135">
        <v>44852.434340277781</v>
      </c>
      <c r="F887" t="s">
        <v>5531</v>
      </c>
    </row>
    <row r="888" spans="1:6" x14ac:dyDescent="0.25">
      <c r="A888" t="s">
        <v>5833</v>
      </c>
      <c r="B888" t="s">
        <v>4936</v>
      </c>
      <c r="C888" s="135"/>
      <c r="D888" s="135">
        <v>44785.558009259257</v>
      </c>
      <c r="E888" s="135">
        <v>44785.558009259257</v>
      </c>
      <c r="F888" t="s">
        <v>5820</v>
      </c>
    </row>
    <row r="889" spans="1:6" x14ac:dyDescent="0.25">
      <c r="A889" t="s">
        <v>5834</v>
      </c>
      <c r="B889" t="s">
        <v>4936</v>
      </c>
      <c r="C889" s="135"/>
      <c r="D889" s="135">
        <v>44785.558576388888</v>
      </c>
      <c r="E889" s="135">
        <v>44785.558576388888</v>
      </c>
      <c r="F889" t="s">
        <v>5835</v>
      </c>
    </row>
    <row r="890" spans="1:6" x14ac:dyDescent="0.25">
      <c r="A890" t="s">
        <v>5836</v>
      </c>
      <c r="B890" t="s">
        <v>4936</v>
      </c>
      <c r="C890" s="135"/>
      <c r="D890" s="135">
        <v>44785.558553240742</v>
      </c>
      <c r="E890" s="135">
        <v>44785.558553240742</v>
      </c>
      <c r="F890" t="s">
        <v>5837</v>
      </c>
    </row>
    <row r="891" spans="1:6" x14ac:dyDescent="0.25">
      <c r="A891" t="s">
        <v>5838</v>
      </c>
      <c r="B891" t="s">
        <v>4936</v>
      </c>
      <c r="C891" s="135"/>
      <c r="D891" s="135">
        <v>44785.558576388888</v>
      </c>
      <c r="E891" s="135">
        <v>44785.558576388888</v>
      </c>
      <c r="F891" t="s">
        <v>5835</v>
      </c>
    </row>
    <row r="892" spans="1:6" x14ac:dyDescent="0.25">
      <c r="A892" t="s">
        <v>5839</v>
      </c>
      <c r="B892" t="s">
        <v>4936</v>
      </c>
      <c r="C892" s="135"/>
      <c r="D892" s="135">
        <v>44785.558564814812</v>
      </c>
      <c r="E892" s="135">
        <v>44785.558564814812</v>
      </c>
      <c r="F892" t="s">
        <v>5837</v>
      </c>
    </row>
    <row r="893" spans="1:6" x14ac:dyDescent="0.25">
      <c r="A893" t="s">
        <v>5840</v>
      </c>
      <c r="B893" t="s">
        <v>4936</v>
      </c>
      <c r="C893" s="135"/>
      <c r="D893" s="135">
        <v>44785.558587962965</v>
      </c>
      <c r="E893" s="135">
        <v>44785.558587962965</v>
      </c>
      <c r="F893" t="s">
        <v>5835</v>
      </c>
    </row>
    <row r="894" spans="1:6" x14ac:dyDescent="0.25">
      <c r="A894" t="s">
        <v>5841</v>
      </c>
      <c r="B894" t="s">
        <v>4936</v>
      </c>
      <c r="C894" s="135"/>
      <c r="D894" s="135">
        <v>44785.558553240742</v>
      </c>
      <c r="E894" s="135">
        <v>44785.558553240742</v>
      </c>
      <c r="F894" t="s">
        <v>5837</v>
      </c>
    </row>
    <row r="895" spans="1:6" x14ac:dyDescent="0.25">
      <c r="A895" t="s">
        <v>5842</v>
      </c>
      <c r="B895" t="s">
        <v>4936</v>
      </c>
      <c r="C895" s="135"/>
      <c r="D895" s="135">
        <v>44785.558587962965</v>
      </c>
      <c r="E895" s="135">
        <v>44785.558587962965</v>
      </c>
      <c r="F895" t="s">
        <v>5835</v>
      </c>
    </row>
    <row r="896" spans="1:6" x14ac:dyDescent="0.25">
      <c r="A896" t="s">
        <v>5843</v>
      </c>
      <c r="B896" t="s">
        <v>4936</v>
      </c>
      <c r="C896" s="135"/>
      <c r="D896" s="135">
        <v>44785.558553240742</v>
      </c>
      <c r="E896" s="135">
        <v>44785.558553240742</v>
      </c>
      <c r="F896" t="s">
        <v>5837</v>
      </c>
    </row>
    <row r="897" spans="1:6" x14ac:dyDescent="0.25">
      <c r="A897" t="s">
        <v>5844</v>
      </c>
      <c r="B897" t="s">
        <v>4936</v>
      </c>
      <c r="C897" s="135"/>
      <c r="D897" s="135">
        <v>44785.558587962965</v>
      </c>
      <c r="E897" s="135">
        <v>44785.558587962965</v>
      </c>
      <c r="F897" t="s">
        <v>5835</v>
      </c>
    </row>
    <row r="898" spans="1:6" x14ac:dyDescent="0.25">
      <c r="A898" t="s">
        <v>5845</v>
      </c>
      <c r="B898" t="s">
        <v>4936</v>
      </c>
      <c r="C898" s="135"/>
      <c r="D898" s="135">
        <v>44785.558564814812</v>
      </c>
      <c r="E898" s="135">
        <v>44785.558564814812</v>
      </c>
      <c r="F898" t="s">
        <v>5837</v>
      </c>
    </row>
    <row r="899" spans="1:6" x14ac:dyDescent="0.25">
      <c r="A899" t="s">
        <v>5846</v>
      </c>
      <c r="B899" t="s">
        <v>4936</v>
      </c>
      <c r="C899" s="135"/>
      <c r="D899" s="135">
        <v>44785.558564814812</v>
      </c>
      <c r="E899" s="135">
        <v>44785.558564814812</v>
      </c>
      <c r="F899" t="s">
        <v>5837</v>
      </c>
    </row>
    <row r="900" spans="1:6" x14ac:dyDescent="0.25">
      <c r="A900" t="s">
        <v>5847</v>
      </c>
      <c r="B900" t="s">
        <v>4936</v>
      </c>
      <c r="C900" s="135"/>
      <c r="D900" s="135">
        <v>44785.558587962965</v>
      </c>
      <c r="E900" s="135">
        <v>44785.558587962965</v>
      </c>
      <c r="F900" t="s">
        <v>5835</v>
      </c>
    </row>
    <row r="901" spans="1:6" x14ac:dyDescent="0.25">
      <c r="A901" t="s">
        <v>5848</v>
      </c>
      <c r="B901" t="s">
        <v>4936</v>
      </c>
      <c r="C901" s="135"/>
      <c r="D901" s="135">
        <v>44785.558599537035</v>
      </c>
      <c r="E901" s="135">
        <v>44785.558599537035</v>
      </c>
      <c r="F901" t="s">
        <v>5835</v>
      </c>
    </row>
    <row r="902" spans="1:6" x14ac:dyDescent="0.25">
      <c r="A902" t="s">
        <v>5849</v>
      </c>
      <c r="B902" t="s">
        <v>4936</v>
      </c>
      <c r="C902" s="135"/>
      <c r="D902" s="135">
        <v>44785.558576388888</v>
      </c>
      <c r="E902" s="135">
        <v>44785.558576388888</v>
      </c>
      <c r="F902" t="s">
        <v>5837</v>
      </c>
    </row>
    <row r="903" spans="1:6" x14ac:dyDescent="0.25">
      <c r="A903" t="s">
        <v>5850</v>
      </c>
      <c r="B903" t="s">
        <v>4936</v>
      </c>
      <c r="C903" s="135"/>
      <c r="D903" s="135">
        <v>44785.558564814812</v>
      </c>
      <c r="E903" s="135">
        <v>44785.558564814812</v>
      </c>
      <c r="F903" t="s">
        <v>5837</v>
      </c>
    </row>
    <row r="904" spans="1:6" x14ac:dyDescent="0.25">
      <c r="A904" t="s">
        <v>5851</v>
      </c>
      <c r="B904" t="s">
        <v>4936</v>
      </c>
      <c r="C904" s="135"/>
      <c r="D904" s="135">
        <v>44785.558599537035</v>
      </c>
      <c r="E904" s="135">
        <v>44785.558599537035</v>
      </c>
      <c r="F904" t="s">
        <v>5835</v>
      </c>
    </row>
    <row r="905" spans="1:6" x14ac:dyDescent="0.25">
      <c r="A905" t="s">
        <v>5852</v>
      </c>
      <c r="B905" t="s">
        <v>4936</v>
      </c>
      <c r="C905" s="135"/>
      <c r="D905" s="135">
        <v>44785.558576388888</v>
      </c>
      <c r="E905" s="135">
        <v>44785.558576388888</v>
      </c>
      <c r="F905" t="s">
        <v>5837</v>
      </c>
    </row>
    <row r="906" spans="1:6" x14ac:dyDescent="0.25">
      <c r="A906" t="s">
        <v>5853</v>
      </c>
      <c r="B906" t="s">
        <v>4936</v>
      </c>
      <c r="C906" s="135"/>
      <c r="D906" s="135">
        <v>44785.558599537035</v>
      </c>
      <c r="E906" s="135">
        <v>44785.558599537035</v>
      </c>
      <c r="F906" t="s">
        <v>5835</v>
      </c>
    </row>
    <row r="907" spans="1:6" x14ac:dyDescent="0.25">
      <c r="A907" t="s">
        <v>5854</v>
      </c>
      <c r="B907" t="s">
        <v>4936</v>
      </c>
      <c r="C907" s="135"/>
      <c r="D907" s="135">
        <v>44785.558391203704</v>
      </c>
      <c r="E907" s="135">
        <v>44785.558391203704</v>
      </c>
      <c r="F907" t="s">
        <v>5150</v>
      </c>
    </row>
    <row r="908" spans="1:6" x14ac:dyDescent="0.25">
      <c r="A908" t="s">
        <v>5855</v>
      </c>
      <c r="B908" t="s">
        <v>4936</v>
      </c>
      <c r="C908" s="135"/>
      <c r="D908" s="135">
        <v>44785.55840277778</v>
      </c>
      <c r="E908" s="135">
        <v>44785.55840277778</v>
      </c>
      <c r="F908" t="s">
        <v>5150</v>
      </c>
    </row>
    <row r="909" spans="1:6" x14ac:dyDescent="0.25">
      <c r="A909" t="s">
        <v>5855</v>
      </c>
      <c r="B909" t="s">
        <v>4936</v>
      </c>
      <c r="C909" s="135"/>
      <c r="D909" s="135">
        <v>44785.558275462965</v>
      </c>
      <c r="E909" s="135">
        <v>44785.558275462965</v>
      </c>
      <c r="F909" t="s">
        <v>5170</v>
      </c>
    </row>
    <row r="910" spans="1:6" x14ac:dyDescent="0.25">
      <c r="A910" t="s">
        <v>5856</v>
      </c>
      <c r="B910" t="s">
        <v>4936</v>
      </c>
      <c r="C910" s="135"/>
      <c r="D910" s="135">
        <v>44735.469467592593</v>
      </c>
      <c r="E910" s="135">
        <v>44852.434363425928</v>
      </c>
      <c r="F910" t="s">
        <v>5115</v>
      </c>
    </row>
    <row r="911" spans="1:6" x14ac:dyDescent="0.25">
      <c r="A911" t="s">
        <v>5856</v>
      </c>
      <c r="B911" t="s">
        <v>4936</v>
      </c>
      <c r="C911" s="135"/>
      <c r="D911" s="135">
        <v>44785.558020833334</v>
      </c>
      <c r="E911" s="135">
        <v>44785.558020833334</v>
      </c>
      <c r="F911" t="s">
        <v>5171</v>
      </c>
    </row>
    <row r="912" spans="1:6" x14ac:dyDescent="0.25">
      <c r="A912" t="s">
        <v>5857</v>
      </c>
      <c r="B912" t="s">
        <v>4936</v>
      </c>
      <c r="C912" s="135"/>
      <c r="D912" s="135">
        <v>45751.600138888891</v>
      </c>
      <c r="E912" s="135">
        <v>45751.601273148146</v>
      </c>
      <c r="F912" t="s">
        <v>5818</v>
      </c>
    </row>
    <row r="913" spans="1:6" x14ac:dyDescent="0.25">
      <c r="A913" t="s">
        <v>5858</v>
      </c>
      <c r="B913" t="s">
        <v>4936</v>
      </c>
      <c r="C913" s="135"/>
      <c r="D913" s="135">
        <v>45751.600138888891</v>
      </c>
      <c r="E913" s="135">
        <v>45751.601261574076</v>
      </c>
      <c r="F913" t="s">
        <v>5818</v>
      </c>
    </row>
    <row r="914" spans="1:6" x14ac:dyDescent="0.25">
      <c r="A914" t="s">
        <v>5859</v>
      </c>
      <c r="B914" t="s">
        <v>4936</v>
      </c>
      <c r="C914" s="135"/>
      <c r="D914" s="135">
        <v>45751.600138888891</v>
      </c>
      <c r="E914" s="135">
        <v>45751.601273148146</v>
      </c>
      <c r="F914" t="s">
        <v>5818</v>
      </c>
    </row>
    <row r="915" spans="1:6" x14ac:dyDescent="0.25">
      <c r="A915" t="s">
        <v>5860</v>
      </c>
      <c r="B915" t="s">
        <v>4936</v>
      </c>
      <c r="C915" s="135"/>
      <c r="D915" s="135">
        <v>45751.600138888891</v>
      </c>
      <c r="E915" s="135">
        <v>45751.601261574076</v>
      </c>
      <c r="F915" t="s">
        <v>5818</v>
      </c>
    </row>
    <row r="916" spans="1:6" x14ac:dyDescent="0.25">
      <c r="A916" t="s">
        <v>5861</v>
      </c>
      <c r="B916" t="s">
        <v>4936</v>
      </c>
      <c r="C916" s="135"/>
      <c r="D916" s="135">
        <v>45751.600138888891</v>
      </c>
      <c r="E916" s="135">
        <v>45751.601273148146</v>
      </c>
      <c r="F916" t="s">
        <v>5818</v>
      </c>
    </row>
    <row r="917" spans="1:6" x14ac:dyDescent="0.25">
      <c r="A917" t="s">
        <v>5862</v>
      </c>
      <c r="B917" t="s">
        <v>4936</v>
      </c>
      <c r="C917" s="135"/>
      <c r="D917" s="135">
        <v>44785.558425925927</v>
      </c>
      <c r="E917" s="135">
        <v>44785.558425925927</v>
      </c>
      <c r="F917" t="s">
        <v>5172</v>
      </c>
    </row>
    <row r="918" spans="1:6" x14ac:dyDescent="0.25">
      <c r="A918" t="s">
        <v>5863</v>
      </c>
      <c r="B918" t="s">
        <v>4936</v>
      </c>
      <c r="C918" s="135"/>
      <c r="D918" s="135">
        <v>44624.771099537036</v>
      </c>
      <c r="E918" s="135">
        <v>44950.436307870368</v>
      </c>
      <c r="F918" t="s">
        <v>5795</v>
      </c>
    </row>
    <row r="919" spans="1:6" x14ac:dyDescent="0.25">
      <c r="A919" t="s">
        <v>5864</v>
      </c>
      <c r="B919" t="s">
        <v>5102</v>
      </c>
      <c r="C919" s="135"/>
      <c r="D919" s="135">
        <v>44685.999236111114</v>
      </c>
      <c r="E919" s="135">
        <v>44950.436307870368</v>
      </c>
      <c r="F919" t="s">
        <v>5795</v>
      </c>
    </row>
    <row r="920" spans="1:6" x14ac:dyDescent="0.25">
      <c r="A920" t="s">
        <v>5865</v>
      </c>
      <c r="B920" t="s">
        <v>5102</v>
      </c>
      <c r="C920" s="135"/>
      <c r="D920" s="135">
        <v>44596.446481481478</v>
      </c>
      <c r="E920" s="135">
        <v>44950.436307870368</v>
      </c>
      <c r="F920" t="s">
        <v>5795</v>
      </c>
    </row>
    <row r="921" spans="1:6" x14ac:dyDescent="0.25">
      <c r="A921" t="s">
        <v>5866</v>
      </c>
      <c r="B921" t="s">
        <v>5102</v>
      </c>
      <c r="C921" s="135"/>
      <c r="D921" s="135">
        <v>44686.651412037034</v>
      </c>
      <c r="E921" s="135">
        <v>44950.436307870368</v>
      </c>
      <c r="F921" t="s">
        <v>5795</v>
      </c>
    </row>
    <row r="922" spans="1:6" x14ac:dyDescent="0.25">
      <c r="A922" t="s">
        <v>5867</v>
      </c>
      <c r="B922" t="s">
        <v>5102</v>
      </c>
      <c r="C922" s="135"/>
      <c r="D922" s="135">
        <v>44686.406041666669</v>
      </c>
      <c r="E922" s="135">
        <v>44950.436307870368</v>
      </c>
      <c r="F922" t="s">
        <v>5795</v>
      </c>
    </row>
    <row r="923" spans="1:6" x14ac:dyDescent="0.25">
      <c r="A923" t="s">
        <v>5868</v>
      </c>
      <c r="B923" t="s">
        <v>5102</v>
      </c>
      <c r="C923" s="135"/>
      <c r="D923" s="135">
        <v>44717.964814814812</v>
      </c>
      <c r="E923" s="135">
        <v>44950.436296296299</v>
      </c>
      <c r="F923" t="s">
        <v>5795</v>
      </c>
    </row>
    <row r="924" spans="1:6" x14ac:dyDescent="0.25">
      <c r="A924" t="s">
        <v>5869</v>
      </c>
      <c r="B924" t="s">
        <v>5102</v>
      </c>
      <c r="C924" s="135"/>
      <c r="D924" s="135">
        <v>44658.437060185184</v>
      </c>
      <c r="E924" s="135">
        <v>44950.436296296299</v>
      </c>
      <c r="F924" t="s">
        <v>5795</v>
      </c>
    </row>
    <row r="925" spans="1:6" x14ac:dyDescent="0.25">
      <c r="A925" t="s">
        <v>5870</v>
      </c>
      <c r="B925" t="s">
        <v>5102</v>
      </c>
      <c r="C925" s="135"/>
      <c r="D925" s="135">
        <v>44599.388958333337</v>
      </c>
      <c r="E925" s="135">
        <v>44950.436296296299</v>
      </c>
      <c r="F925" t="s">
        <v>5795</v>
      </c>
    </row>
    <row r="926" spans="1:6" x14ac:dyDescent="0.25">
      <c r="A926" t="s">
        <v>5871</v>
      </c>
      <c r="B926" t="s">
        <v>5102</v>
      </c>
      <c r="C926" s="135"/>
      <c r="D926" s="135">
        <v>44691.361817129633</v>
      </c>
      <c r="E926" s="135">
        <v>44950.436261574076</v>
      </c>
      <c r="F926" t="s">
        <v>5505</v>
      </c>
    </row>
    <row r="927" spans="1:6" x14ac:dyDescent="0.25">
      <c r="A927" t="s">
        <v>5872</v>
      </c>
      <c r="B927" t="s">
        <v>4936</v>
      </c>
      <c r="C927" s="135"/>
      <c r="D927" s="135">
        <v>45582.662881944445</v>
      </c>
      <c r="E927" s="135">
        <v>45582.662939814814</v>
      </c>
      <c r="F927" t="s">
        <v>5058</v>
      </c>
    </row>
    <row r="928" spans="1:6" x14ac:dyDescent="0.25">
      <c r="A928" t="s">
        <v>5873</v>
      </c>
      <c r="B928" t="s">
        <v>4936</v>
      </c>
      <c r="C928" s="135"/>
      <c r="D928" s="135">
        <v>44785.557893518519</v>
      </c>
      <c r="E928" s="135">
        <v>44785.557893518519</v>
      </c>
      <c r="F928" t="s">
        <v>5722</v>
      </c>
    </row>
    <row r="929" spans="1:6" x14ac:dyDescent="0.25">
      <c r="A929" t="s">
        <v>5874</v>
      </c>
      <c r="B929" t="s">
        <v>4936</v>
      </c>
      <c r="C929" s="135"/>
      <c r="D929" s="135">
        <v>45043.630844907406</v>
      </c>
      <c r="E929" s="135">
        <v>45040.702268518522</v>
      </c>
      <c r="F929" t="s">
        <v>5028</v>
      </c>
    </row>
    <row r="930" spans="1:6" x14ac:dyDescent="0.25">
      <c r="A930" t="s">
        <v>5875</v>
      </c>
      <c r="B930" t="s">
        <v>4936</v>
      </c>
      <c r="C930" s="135"/>
      <c r="D930" s="135">
        <v>45153.733784722222</v>
      </c>
      <c r="E930" s="135">
        <v>45286.599988425929</v>
      </c>
      <c r="F930" t="s">
        <v>5876</v>
      </c>
    </row>
    <row r="931" spans="1:6" x14ac:dyDescent="0.25">
      <c r="A931" t="s">
        <v>5875</v>
      </c>
      <c r="B931" t="s">
        <v>4936</v>
      </c>
      <c r="C931" s="135"/>
      <c r="D931" s="135">
        <v>45153.733784722222</v>
      </c>
      <c r="E931" s="135">
        <v>45154.68608796296</v>
      </c>
      <c r="F931" t="s">
        <v>5877</v>
      </c>
    </row>
    <row r="932" spans="1:6" x14ac:dyDescent="0.25">
      <c r="A932" t="s">
        <v>5878</v>
      </c>
      <c r="B932" t="s">
        <v>4936</v>
      </c>
      <c r="C932" s="135"/>
      <c r="D932" s="135">
        <v>45153.733576388891</v>
      </c>
      <c r="E932" s="135">
        <v>45154.695092592592</v>
      </c>
      <c r="F932" t="s">
        <v>5879</v>
      </c>
    </row>
    <row r="933" spans="1:6" x14ac:dyDescent="0.25">
      <c r="A933" t="s">
        <v>5878</v>
      </c>
      <c r="B933" t="s">
        <v>4936</v>
      </c>
      <c r="C933" s="135"/>
      <c r="D933" s="135">
        <v>45153.733576388891</v>
      </c>
      <c r="E933" s="135">
        <v>45286.600393518522</v>
      </c>
      <c r="F933" t="s">
        <v>5880</v>
      </c>
    </row>
    <row r="934" spans="1:6" x14ac:dyDescent="0.25">
      <c r="A934" t="s">
        <v>5881</v>
      </c>
      <c r="B934" t="s">
        <v>4936</v>
      </c>
      <c r="C934" s="135"/>
      <c r="D934" s="135">
        <v>45583.580138888887</v>
      </c>
      <c r="E934" s="135">
        <v>45527.495034722226</v>
      </c>
      <c r="F934" t="s">
        <v>5882</v>
      </c>
    </row>
    <row r="935" spans="1:6" x14ac:dyDescent="0.25">
      <c r="A935" t="s">
        <v>5883</v>
      </c>
      <c r="B935" t="s">
        <v>4936</v>
      </c>
      <c r="C935" s="135"/>
      <c r="D935" s="135">
        <v>45497.467997685184</v>
      </c>
      <c r="E935" s="135">
        <v>45426.601481481484</v>
      </c>
      <c r="F935" t="s">
        <v>5884</v>
      </c>
    </row>
    <row r="936" spans="1:6" x14ac:dyDescent="0.25">
      <c r="A936" t="s">
        <v>5885</v>
      </c>
      <c r="B936" t="s">
        <v>4936</v>
      </c>
      <c r="C936" s="135"/>
      <c r="D936" s="135">
        <v>45747.596053240741</v>
      </c>
      <c r="E936" s="135">
        <v>45350.373761574076</v>
      </c>
      <c r="F936" t="s">
        <v>5886</v>
      </c>
    </row>
    <row r="937" spans="1:6" x14ac:dyDescent="0.25">
      <c r="A937" t="s">
        <v>5887</v>
      </c>
      <c r="B937" t="s">
        <v>4936</v>
      </c>
      <c r="C937" s="135"/>
      <c r="D937" s="135">
        <v>45481.612870370373</v>
      </c>
      <c r="E937" s="135">
        <v>45448.318831018521</v>
      </c>
      <c r="F937" t="s">
        <v>5884</v>
      </c>
    </row>
    <row r="938" spans="1:6" x14ac:dyDescent="0.25">
      <c r="A938" t="s">
        <v>5888</v>
      </c>
      <c r="B938" t="s">
        <v>4936</v>
      </c>
      <c r="C938" s="135"/>
      <c r="D938" s="135">
        <v>45153.733680555553</v>
      </c>
      <c r="E938" s="135">
        <v>45154.686145833337</v>
      </c>
      <c r="F938" t="s">
        <v>5889</v>
      </c>
    </row>
    <row r="939" spans="1:6" x14ac:dyDescent="0.25">
      <c r="A939" t="s">
        <v>5888</v>
      </c>
      <c r="B939" t="s">
        <v>4936</v>
      </c>
      <c r="C939" s="135"/>
      <c r="D939" s="135">
        <v>45153.733680555553</v>
      </c>
      <c r="E939" s="135">
        <v>45286.599988425929</v>
      </c>
      <c r="F939" t="s">
        <v>5890</v>
      </c>
    </row>
    <row r="940" spans="1:6" x14ac:dyDescent="0.25">
      <c r="A940" t="s">
        <v>5891</v>
      </c>
      <c r="B940" t="s">
        <v>4936</v>
      </c>
      <c r="C940" s="135"/>
      <c r="D940" s="135">
        <v>45153.734155092592</v>
      </c>
      <c r="E940" s="135">
        <v>45286.599988425929</v>
      </c>
      <c r="F940" t="s">
        <v>5892</v>
      </c>
    </row>
    <row r="941" spans="1:6" x14ac:dyDescent="0.25">
      <c r="A941" t="s">
        <v>5891</v>
      </c>
      <c r="B941" t="s">
        <v>4936</v>
      </c>
      <c r="C941" s="135"/>
      <c r="D941" s="135">
        <v>45153.734155092592</v>
      </c>
      <c r="E941" s="135">
        <v>45154.686215277776</v>
      </c>
      <c r="F941" t="s">
        <v>5893</v>
      </c>
    </row>
    <row r="942" spans="1:6" x14ac:dyDescent="0.25">
      <c r="A942" t="s">
        <v>5894</v>
      </c>
      <c r="B942" t="s">
        <v>4936</v>
      </c>
      <c r="C942" s="135"/>
      <c r="D942" s="135">
        <v>44785.558807870373</v>
      </c>
      <c r="E942" s="135">
        <v>44785.558807870373</v>
      </c>
      <c r="F942" t="s">
        <v>5696</v>
      </c>
    </row>
    <row r="943" spans="1:6" x14ac:dyDescent="0.25">
      <c r="A943" t="s">
        <v>5895</v>
      </c>
      <c r="B943" t="s">
        <v>4936</v>
      </c>
      <c r="C943" s="135"/>
      <c r="D943" s="135">
        <v>45153.733726851853</v>
      </c>
      <c r="E943" s="135">
        <v>45286.599988425929</v>
      </c>
      <c r="F943" t="s">
        <v>5896</v>
      </c>
    </row>
    <row r="944" spans="1:6" x14ac:dyDescent="0.25">
      <c r="A944" t="s">
        <v>5895</v>
      </c>
      <c r="B944" t="s">
        <v>4936</v>
      </c>
      <c r="C944" s="135"/>
      <c r="D944" s="135">
        <v>45153.733726851853</v>
      </c>
      <c r="E944" s="135">
        <v>45154.686261574076</v>
      </c>
      <c r="F944" t="s">
        <v>5897</v>
      </c>
    </row>
    <row r="945" spans="1:6" x14ac:dyDescent="0.25">
      <c r="A945" t="s">
        <v>5898</v>
      </c>
      <c r="B945" t="s">
        <v>4936</v>
      </c>
      <c r="C945" s="135"/>
      <c r="D945" s="135">
        <v>45153.733738425923</v>
      </c>
      <c r="E945" s="135">
        <v>45286.599988425929</v>
      </c>
      <c r="F945" t="s">
        <v>5899</v>
      </c>
    </row>
    <row r="946" spans="1:6" x14ac:dyDescent="0.25">
      <c r="A946" t="s">
        <v>5898</v>
      </c>
      <c r="B946" t="s">
        <v>4936</v>
      </c>
      <c r="C946" s="135"/>
      <c r="D946" s="135">
        <v>45153.733738425923</v>
      </c>
      <c r="E946" s="135">
        <v>45154.686319444445</v>
      </c>
      <c r="F946" t="s">
        <v>5900</v>
      </c>
    </row>
    <row r="947" spans="1:6" x14ac:dyDescent="0.25">
      <c r="A947" t="s">
        <v>5901</v>
      </c>
      <c r="B947" t="s">
        <v>4936</v>
      </c>
      <c r="C947" s="135"/>
      <c r="D947" s="135">
        <v>45153.733796296299</v>
      </c>
      <c r="E947" s="135">
        <v>45154.686388888891</v>
      </c>
      <c r="F947" t="s">
        <v>5902</v>
      </c>
    </row>
    <row r="948" spans="1:6" x14ac:dyDescent="0.25">
      <c r="A948" t="s">
        <v>5901</v>
      </c>
      <c r="B948" t="s">
        <v>4936</v>
      </c>
      <c r="C948" s="135"/>
      <c r="D948" s="135">
        <v>45153.733796296299</v>
      </c>
      <c r="E948" s="135">
        <v>45286.6</v>
      </c>
      <c r="F948" t="s">
        <v>5903</v>
      </c>
    </row>
    <row r="949" spans="1:6" x14ac:dyDescent="0.25">
      <c r="A949" t="s">
        <v>5904</v>
      </c>
      <c r="B949" t="s">
        <v>4936</v>
      </c>
      <c r="C949" s="135"/>
      <c r="D949" s="135">
        <v>45153.733634259261</v>
      </c>
      <c r="E949" s="135">
        <v>45154.695127314815</v>
      </c>
      <c r="F949" t="s">
        <v>5905</v>
      </c>
    </row>
    <row r="950" spans="1:6" x14ac:dyDescent="0.25">
      <c r="A950" t="s">
        <v>5904</v>
      </c>
      <c r="B950" t="s">
        <v>4936</v>
      </c>
      <c r="C950" s="135"/>
      <c r="D950" s="135">
        <v>45153.733634259261</v>
      </c>
      <c r="E950" s="135">
        <v>45286.600393518522</v>
      </c>
      <c r="F950" t="s">
        <v>5906</v>
      </c>
    </row>
    <row r="951" spans="1:6" x14ac:dyDescent="0.25">
      <c r="A951" t="s">
        <v>5907</v>
      </c>
      <c r="B951" t="s">
        <v>4936</v>
      </c>
      <c r="C951" s="135"/>
      <c r="D951" s="135">
        <v>45153.734027777777</v>
      </c>
      <c r="E951" s="135">
        <v>45154.68645833333</v>
      </c>
      <c r="F951" t="s">
        <v>5908</v>
      </c>
    </row>
    <row r="952" spans="1:6" x14ac:dyDescent="0.25">
      <c r="A952" t="s">
        <v>5907</v>
      </c>
      <c r="B952" t="s">
        <v>4936</v>
      </c>
      <c r="C952" s="135"/>
      <c r="D952" s="135">
        <v>45153.734027777777</v>
      </c>
      <c r="E952" s="135">
        <v>45286.6</v>
      </c>
      <c r="F952" t="s">
        <v>5909</v>
      </c>
    </row>
    <row r="953" spans="1:6" x14ac:dyDescent="0.25">
      <c r="A953" t="s">
        <v>5910</v>
      </c>
      <c r="B953" t="s">
        <v>4936</v>
      </c>
      <c r="C953" s="135"/>
      <c r="D953" s="135">
        <v>45153.733587962961</v>
      </c>
      <c r="E953" s="135">
        <v>45154.695115740738</v>
      </c>
      <c r="F953" t="s">
        <v>5911</v>
      </c>
    </row>
    <row r="954" spans="1:6" x14ac:dyDescent="0.25">
      <c r="A954" t="s">
        <v>5910</v>
      </c>
      <c r="B954" t="s">
        <v>4936</v>
      </c>
      <c r="C954" s="135"/>
      <c r="D954" s="135">
        <v>45153.733587962961</v>
      </c>
      <c r="E954" s="135">
        <v>45286.600393518522</v>
      </c>
      <c r="F954" t="s">
        <v>5912</v>
      </c>
    </row>
    <row r="955" spans="1:6" x14ac:dyDescent="0.25">
      <c r="A955" t="s">
        <v>5913</v>
      </c>
      <c r="B955" t="s">
        <v>4936</v>
      </c>
      <c r="C955" s="135"/>
      <c r="D955" s="135">
        <v>45153.733587962961</v>
      </c>
      <c r="E955" s="135">
        <v>45154.695115740738</v>
      </c>
      <c r="F955" t="s">
        <v>5914</v>
      </c>
    </row>
    <row r="956" spans="1:6" x14ac:dyDescent="0.25">
      <c r="A956" t="s">
        <v>5913</v>
      </c>
      <c r="B956" t="s">
        <v>4936</v>
      </c>
      <c r="C956" s="135"/>
      <c r="D956" s="135">
        <v>45153.733587962961</v>
      </c>
      <c r="E956" s="135">
        <v>45286.600393518522</v>
      </c>
      <c r="F956" t="s">
        <v>5915</v>
      </c>
    </row>
    <row r="957" spans="1:6" x14ac:dyDescent="0.25">
      <c r="A957" t="s">
        <v>5916</v>
      </c>
      <c r="B957" t="s">
        <v>4936</v>
      </c>
      <c r="C957" s="135"/>
      <c r="D957" s="135">
        <v>45153.733773148146</v>
      </c>
      <c r="E957" s="135">
        <v>45286.6</v>
      </c>
      <c r="F957" t="s">
        <v>5917</v>
      </c>
    </row>
    <row r="958" spans="1:6" x14ac:dyDescent="0.25">
      <c r="A958" t="s">
        <v>5916</v>
      </c>
      <c r="B958" t="s">
        <v>4936</v>
      </c>
      <c r="C958" s="135"/>
      <c r="D958" s="135">
        <v>45153.733773148146</v>
      </c>
      <c r="E958" s="135">
        <v>45154.687361111108</v>
      </c>
      <c r="F958" t="s">
        <v>5918</v>
      </c>
    </row>
    <row r="959" spans="1:6" x14ac:dyDescent="0.25">
      <c r="A959" t="s">
        <v>5919</v>
      </c>
      <c r="B959" t="s">
        <v>4936</v>
      </c>
      <c r="C959" s="135"/>
      <c r="D959" s="135">
        <v>44823.612037037034</v>
      </c>
      <c r="E959" s="135">
        <v>44852.434363425928</v>
      </c>
      <c r="F959" t="s">
        <v>5920</v>
      </c>
    </row>
    <row r="960" spans="1:6" x14ac:dyDescent="0.25">
      <c r="A960" t="s">
        <v>5921</v>
      </c>
      <c r="B960" t="s">
        <v>4936</v>
      </c>
      <c r="C960" s="135"/>
      <c r="D960" s="135">
        <v>44785.558541666665</v>
      </c>
      <c r="E960" s="135">
        <v>44785.558541666665</v>
      </c>
      <c r="F960" t="s">
        <v>5811</v>
      </c>
    </row>
    <row r="961" spans="1:6" x14ac:dyDescent="0.25">
      <c r="A961" t="s">
        <v>5921</v>
      </c>
      <c r="B961" t="s">
        <v>4936</v>
      </c>
      <c r="C961" s="135"/>
      <c r="D961" s="135">
        <v>44701.312303240738</v>
      </c>
      <c r="E961" s="135">
        <v>44852.43440972222</v>
      </c>
      <c r="F961" t="s">
        <v>5812</v>
      </c>
    </row>
    <row r="962" spans="1:6" x14ac:dyDescent="0.25">
      <c r="A962" t="s">
        <v>5922</v>
      </c>
      <c r="B962" t="s">
        <v>4936</v>
      </c>
      <c r="C962" s="135"/>
      <c r="D962" s="135">
        <v>45153.733923611115</v>
      </c>
      <c r="E962" s="135">
        <v>45286.6</v>
      </c>
      <c r="F962" t="s">
        <v>5923</v>
      </c>
    </row>
    <row r="963" spans="1:6" x14ac:dyDescent="0.25">
      <c r="A963" t="s">
        <v>5922</v>
      </c>
      <c r="B963" t="s">
        <v>4936</v>
      </c>
      <c r="C963" s="135"/>
      <c r="D963" s="135">
        <v>45153.733923611115</v>
      </c>
      <c r="E963" s="135">
        <v>45154.688391203701</v>
      </c>
      <c r="F963" t="s">
        <v>5924</v>
      </c>
    </row>
    <row r="964" spans="1:6" x14ac:dyDescent="0.25">
      <c r="A964" t="s">
        <v>5925</v>
      </c>
      <c r="B964" t="s">
        <v>4936</v>
      </c>
      <c r="C964" s="135"/>
      <c r="D964" s="135">
        <v>45581.447453703702</v>
      </c>
      <c r="E964" s="135">
        <v>45581.447476851848</v>
      </c>
      <c r="F964" t="s">
        <v>5926</v>
      </c>
    </row>
    <row r="965" spans="1:6" x14ac:dyDescent="0.25">
      <c r="A965" t="s">
        <v>5927</v>
      </c>
      <c r="B965" t="s">
        <v>4936</v>
      </c>
      <c r="C965" s="135"/>
      <c r="D965" s="135">
        <v>45153.733842592592</v>
      </c>
      <c r="E965" s="135">
        <v>45154.689432870371</v>
      </c>
      <c r="F965" t="s">
        <v>5928</v>
      </c>
    </row>
    <row r="966" spans="1:6" x14ac:dyDescent="0.25">
      <c r="A966" t="s">
        <v>5927</v>
      </c>
      <c r="B966" t="s">
        <v>4936</v>
      </c>
      <c r="C966" s="135"/>
      <c r="D966" s="135">
        <v>45153.733842592592</v>
      </c>
      <c r="E966" s="135">
        <v>45286.600011574075</v>
      </c>
      <c r="F966" t="s">
        <v>5929</v>
      </c>
    </row>
    <row r="967" spans="1:6" x14ac:dyDescent="0.25">
      <c r="A967" t="s">
        <v>5930</v>
      </c>
      <c r="B967" t="s">
        <v>4936</v>
      </c>
      <c r="C967" s="135"/>
      <c r="D967" s="135">
        <v>45153.733935185184</v>
      </c>
      <c r="E967" s="135">
        <v>45154.690335648149</v>
      </c>
      <c r="F967" t="s">
        <v>5931</v>
      </c>
    </row>
    <row r="968" spans="1:6" x14ac:dyDescent="0.25">
      <c r="A968" t="s">
        <v>5930</v>
      </c>
      <c r="B968" t="s">
        <v>4936</v>
      </c>
      <c r="C968" s="135"/>
      <c r="D968" s="135">
        <v>45153.733935185184</v>
      </c>
      <c r="E968" s="135">
        <v>45286.6</v>
      </c>
      <c r="F968" t="s">
        <v>5932</v>
      </c>
    </row>
    <row r="969" spans="1:6" x14ac:dyDescent="0.25">
      <c r="A969" t="s">
        <v>5933</v>
      </c>
      <c r="B969" t="s">
        <v>4936</v>
      </c>
      <c r="C969" s="135"/>
      <c r="D969" s="135">
        <v>45153.734189814815</v>
      </c>
      <c r="E969" s="135">
        <v>45154.69121527778</v>
      </c>
      <c r="F969" t="s">
        <v>5934</v>
      </c>
    </row>
    <row r="970" spans="1:6" x14ac:dyDescent="0.25">
      <c r="A970" t="s">
        <v>5933</v>
      </c>
      <c r="B970" t="s">
        <v>4936</v>
      </c>
      <c r="C970" s="135"/>
      <c r="D970" s="135">
        <v>45153.734189814815</v>
      </c>
      <c r="E970" s="135">
        <v>45286.6</v>
      </c>
      <c r="F970" t="s">
        <v>5935</v>
      </c>
    </row>
    <row r="971" spans="1:6" x14ac:dyDescent="0.25">
      <c r="A971" t="s">
        <v>5936</v>
      </c>
      <c r="B971" t="s">
        <v>4936</v>
      </c>
      <c r="C971" s="135"/>
      <c r="D971" s="135">
        <v>45153.733622685184</v>
      </c>
      <c r="E971" s="135">
        <v>45286.600393518522</v>
      </c>
      <c r="F971" t="s">
        <v>5937</v>
      </c>
    </row>
    <row r="972" spans="1:6" x14ac:dyDescent="0.25">
      <c r="A972" t="s">
        <v>5936</v>
      </c>
      <c r="B972" t="s">
        <v>4936</v>
      </c>
      <c r="C972" s="135"/>
      <c r="D972" s="135">
        <v>45153.733622685184</v>
      </c>
      <c r="E972" s="135">
        <v>45154.695115740738</v>
      </c>
      <c r="F972" t="s">
        <v>5938</v>
      </c>
    </row>
    <row r="973" spans="1:6" x14ac:dyDescent="0.25">
      <c r="A973" t="s">
        <v>5939</v>
      </c>
      <c r="B973" t="s">
        <v>4936</v>
      </c>
      <c r="C973" s="135"/>
      <c r="D973" s="135">
        <v>44966.688750000001</v>
      </c>
      <c r="E973" s="135">
        <v>44966.63795138889</v>
      </c>
      <c r="F973" t="s">
        <v>5774</v>
      </c>
    </row>
    <row r="974" spans="1:6" x14ac:dyDescent="0.25">
      <c r="A974" t="s">
        <v>5940</v>
      </c>
      <c r="B974" t="s">
        <v>4936</v>
      </c>
      <c r="C974" s="135"/>
      <c r="D974" s="135">
        <v>45132.497499999998</v>
      </c>
      <c r="E974" s="135">
        <v>44950.436261574076</v>
      </c>
      <c r="F974" t="s">
        <v>5214</v>
      </c>
    </row>
    <row r="975" spans="1:6" x14ac:dyDescent="0.25">
      <c r="A975" t="s">
        <v>5941</v>
      </c>
      <c r="B975" t="s">
        <v>4936</v>
      </c>
      <c r="C975" s="135"/>
      <c r="D975" s="135">
        <v>45075.711643518516</v>
      </c>
      <c r="E975" s="135">
        <v>45075.66747685185</v>
      </c>
      <c r="F975" t="s">
        <v>5214</v>
      </c>
    </row>
    <row r="976" spans="1:6" x14ac:dyDescent="0.25">
      <c r="A976" t="s">
        <v>5942</v>
      </c>
      <c r="B976" t="s">
        <v>4936</v>
      </c>
      <c r="C976" s="135"/>
      <c r="D976" s="135">
        <v>44785.558078703703</v>
      </c>
      <c r="E976" s="135">
        <v>44785.558078703703</v>
      </c>
      <c r="F976" t="s">
        <v>5142</v>
      </c>
    </row>
    <row r="977" spans="1:6" x14ac:dyDescent="0.25">
      <c r="A977" t="s">
        <v>5942</v>
      </c>
      <c r="B977" t="s">
        <v>4936</v>
      </c>
      <c r="C977" s="135"/>
      <c r="D977" s="135">
        <v>44697.632222222222</v>
      </c>
      <c r="E977" s="135">
        <v>44852.434247685182</v>
      </c>
      <c r="F977" t="s">
        <v>5210</v>
      </c>
    </row>
    <row r="978" spans="1:6" x14ac:dyDescent="0.25">
      <c r="A978" t="s">
        <v>5943</v>
      </c>
      <c r="B978" t="s">
        <v>4936</v>
      </c>
      <c r="C978" s="135"/>
      <c r="D978" s="135">
        <v>45638.422314814816</v>
      </c>
      <c r="E978" s="135">
        <v>45618.393449074072</v>
      </c>
      <c r="F978" t="s">
        <v>5139</v>
      </c>
    </row>
  </sheetData>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workbookViewId="0">
      <selection activeCell="J23" sqref="J23"/>
    </sheetView>
  </sheetViews>
  <sheetFormatPr baseColWidth="10" defaultColWidth="11.42578125" defaultRowHeight="15" x14ac:dyDescent="0.25"/>
  <cols>
    <col min="2" max="2" width="71" customWidth="1"/>
    <col min="3" max="3" width="21.140625" customWidth="1"/>
    <col min="5" max="5" width="12.28515625" customWidth="1"/>
    <col min="6" max="6" width="16.42578125" customWidth="1"/>
  </cols>
  <sheetData>
    <row r="1" spans="1:6" x14ac:dyDescent="0.25">
      <c r="A1" s="138" t="s">
        <v>5944</v>
      </c>
      <c r="B1" s="139" t="s">
        <v>5945</v>
      </c>
      <c r="C1" s="139" t="s">
        <v>5946</v>
      </c>
      <c r="D1" s="139" t="s">
        <v>855</v>
      </c>
      <c r="E1" s="139" t="s">
        <v>841</v>
      </c>
      <c r="F1" s="140" t="s">
        <v>5947</v>
      </c>
    </row>
    <row r="2" spans="1:6" s="87" customFormat="1" x14ac:dyDescent="0.25"/>
    <row r="3" spans="1:6" s="87" customFormat="1" x14ac:dyDescent="0.25"/>
    <row r="4" spans="1:6" s="87" customFormat="1" x14ac:dyDescent="0.25"/>
    <row r="5" spans="1:6" s="87" customFormat="1" x14ac:dyDescent="0.25"/>
    <row r="6" spans="1:6" s="87" customFormat="1" x14ac:dyDescent="0.25"/>
    <row r="7" spans="1:6" s="87" customFormat="1" x14ac:dyDescent="0.25">
      <c r="B7" s="141"/>
    </row>
    <row r="8" spans="1:6" s="87" customFormat="1" x14ac:dyDescent="0.25">
      <c r="F8" s="87" t="str">
        <f>Corr_Contr_CDP[[#This Row],[CONTRATO]]&amp;Corr_Contr_CDP[[#This Row],[CDP]]</f>
        <v/>
      </c>
    </row>
    <row r="9" spans="1:6" s="87" customFormat="1" x14ac:dyDescent="0.25">
      <c r="F9" s="87" t="str">
        <f>Corr_Contr_CDP[[#This Row],[CONTRATO]]&amp;Corr_Contr_CDP[[#This Row],[CDP]]</f>
        <v/>
      </c>
    </row>
    <row r="10" spans="1:6" s="87" customFormat="1" x14ac:dyDescent="0.25">
      <c r="F10" s="87" t="str">
        <f>Corr_Contr_CDP[[#This Row],[CONTRATO]]&amp;Corr_Contr_CDP[[#This Row],[CDP]]</f>
        <v/>
      </c>
    </row>
    <row r="11" spans="1:6" s="87" customFormat="1" x14ac:dyDescent="0.25">
      <c r="F11" s="87" t="str">
        <f>Corr_Contr_CDP[[#This Row],[CONTRATO]]&amp;Corr_Contr_CDP[[#This Row],[CDP]]</f>
        <v/>
      </c>
    </row>
  </sheetData>
  <protectedRanges>
    <protectedRange sqref="B4" name="Rango2_1_23_1"/>
  </protectedRanges>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workbookViewId="0">
      <selection activeCell="A4" sqref="A4"/>
    </sheetView>
  </sheetViews>
  <sheetFormatPr baseColWidth="10" defaultColWidth="0" defaultRowHeight="15" x14ac:dyDescent="0.25"/>
  <cols>
    <col min="1" max="1" width="57" customWidth="1"/>
    <col min="2" max="16384" width="11.5703125" hidden="1"/>
  </cols>
  <sheetData>
    <row r="1" spans="1:1" x14ac:dyDescent="0.25">
      <c r="A1" t="s">
        <v>5948</v>
      </c>
    </row>
    <row r="2" spans="1:1" x14ac:dyDescent="0.25">
      <c r="A2" s="87" t="s">
        <v>1605</v>
      </c>
    </row>
    <row r="3" spans="1:1" x14ac:dyDescent="0.25">
      <c r="A3" s="87" t="s">
        <v>890</v>
      </c>
    </row>
    <row r="4" spans="1:1" x14ac:dyDescent="0.25">
      <c r="A4" s="87" t="s">
        <v>945</v>
      </c>
    </row>
    <row r="5" spans="1:1" x14ac:dyDescent="0.25">
      <c r="A5" s="87" t="s">
        <v>5949</v>
      </c>
    </row>
    <row r="6" spans="1:1" x14ac:dyDescent="0.25">
      <c r="A6" s="87" t="s">
        <v>5950</v>
      </c>
    </row>
    <row r="7" spans="1:1" x14ac:dyDescent="0.25">
      <c r="A7" s="87" t="s">
        <v>883</v>
      </c>
    </row>
    <row r="8" spans="1:1" x14ac:dyDescent="0.25">
      <c r="A8" s="87" t="s">
        <v>930</v>
      </c>
    </row>
    <row r="9" spans="1:1" x14ac:dyDescent="0.25">
      <c r="A9" s="87" t="s">
        <v>911</v>
      </c>
    </row>
    <row r="10" spans="1:1" x14ac:dyDescent="0.25">
      <c r="A10" s="87" t="s">
        <v>905</v>
      </c>
    </row>
    <row r="11" spans="1:1" x14ac:dyDescent="0.25">
      <c r="A11" s="87" t="s">
        <v>4856</v>
      </c>
    </row>
    <row r="12" spans="1:1" x14ac:dyDescent="0.25">
      <c r="A12" s="87" t="s">
        <v>1043</v>
      </c>
    </row>
    <row r="13" spans="1:1" x14ac:dyDescent="0.25">
      <c r="A13" s="87" t="s">
        <v>1066</v>
      </c>
    </row>
  </sheetData>
  <sheetProtection algorithmName="SHA-512" hashValue="GkBbC2XP657Ej7D4v/xUbdNwQ1C+ewQdDala3u4YrxnYmBhDrOQzNLiQO0N/T5eVHfNEAyWYb/nf31wt1nh1gg==" saltValue="+eA7VwUjlOIqnFlBzAUTDQ==" spinCount="100000" sheet="1" objects="1" scenarios="1"/>
  <pageMargins left="0.7" right="0.7" top="0.75" bottom="0.75" header="0.3" footer="0.3"/>
  <pageSetup orientation="portrait"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1"/>
  <sheetViews>
    <sheetView workbookViewId="0">
      <selection activeCell="D2" sqref="D2"/>
    </sheetView>
  </sheetViews>
  <sheetFormatPr baseColWidth="10" defaultColWidth="11.42578125" defaultRowHeight="15" x14ac:dyDescent="0.25"/>
  <cols>
    <col min="1" max="1" width="11" bestFit="1" customWidth="1"/>
    <col min="2" max="2" width="11.7109375" bestFit="1" customWidth="1"/>
    <col min="3" max="3" width="11.28515625" bestFit="1" customWidth="1"/>
    <col min="4" max="4" width="14.85546875" bestFit="1" customWidth="1"/>
    <col min="5" max="5" width="20.5703125" bestFit="1" customWidth="1"/>
    <col min="6" max="6" width="35.7109375" bestFit="1" customWidth="1"/>
    <col min="7" max="7" width="43.85546875" bestFit="1" customWidth="1"/>
    <col min="8" max="8" width="14.7109375" customWidth="1"/>
    <col min="9" max="9" width="43.85546875" bestFit="1" customWidth="1"/>
  </cols>
  <sheetData>
    <row r="1" spans="1:9" x14ac:dyDescent="0.25">
      <c r="A1" t="s">
        <v>2471</v>
      </c>
      <c r="B1" t="s">
        <v>5951</v>
      </c>
      <c r="C1" t="s">
        <v>5952</v>
      </c>
      <c r="D1" t="s">
        <v>5953</v>
      </c>
      <c r="E1" t="s">
        <v>5954</v>
      </c>
      <c r="F1" t="s">
        <v>5955</v>
      </c>
      <c r="G1" t="s">
        <v>5956</v>
      </c>
      <c r="H1" t="s">
        <v>854</v>
      </c>
      <c r="I1" t="s">
        <v>5957</v>
      </c>
    </row>
    <row r="2" spans="1:9" x14ac:dyDescent="0.25">
      <c r="A2">
        <v>75075150.099999994</v>
      </c>
      <c r="B2" t="s">
        <v>5958</v>
      </c>
      <c r="C2" t="s">
        <v>5959</v>
      </c>
      <c r="D2" t="s">
        <v>5960</v>
      </c>
      <c r="E2" t="s">
        <v>5</v>
      </c>
      <c r="F2" t="s">
        <v>5961</v>
      </c>
      <c r="G2" t="s">
        <v>5962</v>
      </c>
      <c r="H2">
        <v>75075150</v>
      </c>
      <c r="I2" t="str">
        <f>TRIM(PERSONAL_ACTIVO_2025[[#This Row],[NOMBRE COMPLETO]])</f>
        <v>ALEJANDRO NAVARRO RINCON</v>
      </c>
    </row>
    <row r="3" spans="1:9" x14ac:dyDescent="0.25">
      <c r="A3">
        <v>1017151107.1</v>
      </c>
      <c r="B3" t="s">
        <v>5963</v>
      </c>
      <c r="C3" t="s">
        <v>5964</v>
      </c>
      <c r="D3" t="s">
        <v>5960</v>
      </c>
      <c r="E3" t="s">
        <v>1368</v>
      </c>
      <c r="F3" t="s">
        <v>5965</v>
      </c>
      <c r="G3" t="s">
        <v>5966</v>
      </c>
      <c r="H3">
        <v>1017151107</v>
      </c>
      <c r="I3" t="str">
        <f>TRIM(PERSONAL_ACTIVO_2025[[#This Row],[NOMBRE COMPLETO]])</f>
        <v>ALEJANDRO ZULUAGA MORA</v>
      </c>
    </row>
    <row r="4" spans="1:9" x14ac:dyDescent="0.25">
      <c r="A4">
        <v>43586384.399999999</v>
      </c>
      <c r="B4" t="s">
        <v>5967</v>
      </c>
      <c r="C4" t="s">
        <v>5968</v>
      </c>
      <c r="D4" t="s">
        <v>5969</v>
      </c>
      <c r="E4" t="s">
        <v>5970</v>
      </c>
      <c r="F4" t="s">
        <v>5971</v>
      </c>
      <c r="G4" t="s">
        <v>1402</v>
      </c>
      <c r="H4">
        <v>43586384</v>
      </c>
      <c r="I4" t="str">
        <f>TRIM(PERSONAL_ACTIVO_2025[[#This Row],[NOMBRE COMPLETO]])</f>
        <v>ANA CECILIA JIMENEZ RENGIFO</v>
      </c>
    </row>
    <row r="5" spans="1:9" x14ac:dyDescent="0.25">
      <c r="A5">
        <v>42966354</v>
      </c>
      <c r="B5" t="s">
        <v>5967</v>
      </c>
      <c r="C5" t="s">
        <v>5972</v>
      </c>
      <c r="D5" t="s">
        <v>5969</v>
      </c>
      <c r="E5" t="s">
        <v>5973</v>
      </c>
      <c r="F5" t="s">
        <v>5974</v>
      </c>
      <c r="G5" t="s">
        <v>5975</v>
      </c>
      <c r="H5">
        <v>42966354</v>
      </c>
      <c r="I5" t="str">
        <f>TRIM(PERSONAL_ACTIVO_2025[[#This Row],[NOMBRE COMPLETO]])</f>
        <v>ANA MARGARITA JIMENEZ GOMEZ</v>
      </c>
    </row>
    <row r="6" spans="1:9" x14ac:dyDescent="0.25">
      <c r="A6">
        <v>70879080.700000003</v>
      </c>
      <c r="B6" t="s">
        <v>5976</v>
      </c>
      <c r="C6" t="s">
        <v>5976</v>
      </c>
      <c r="D6" t="s">
        <v>5977</v>
      </c>
      <c r="E6" t="s">
        <v>5978</v>
      </c>
      <c r="F6" t="s">
        <v>5979</v>
      </c>
      <c r="G6" t="s">
        <v>5980</v>
      </c>
      <c r="H6">
        <v>70879080</v>
      </c>
      <c r="I6" t="str">
        <f>TRIM(PERSONAL_ACTIVO_2025[[#This Row],[NOMBRE COMPLETO]])</f>
        <v>ANDRES ESTEBAN MARIN MARIN</v>
      </c>
    </row>
    <row r="7" spans="1:9" x14ac:dyDescent="0.25">
      <c r="A7">
        <v>1152209808.5999999</v>
      </c>
      <c r="B7" t="s">
        <v>5981</v>
      </c>
      <c r="C7" t="s">
        <v>5982</v>
      </c>
      <c r="D7" t="s">
        <v>5977</v>
      </c>
      <c r="E7" t="s">
        <v>5983</v>
      </c>
      <c r="F7" t="s">
        <v>5984</v>
      </c>
      <c r="G7" t="s">
        <v>1059</v>
      </c>
      <c r="H7">
        <v>1152209808</v>
      </c>
      <c r="I7" t="str">
        <f>TRIM(PERSONAL_ACTIVO_2025[[#This Row],[NOMBRE COMPLETO]])</f>
        <v>ANDRES FELIPE SALAZAR LOPEZ</v>
      </c>
    </row>
    <row r="8" spans="1:9" x14ac:dyDescent="0.25">
      <c r="A8">
        <v>1017141155</v>
      </c>
      <c r="B8" t="s">
        <v>5985</v>
      </c>
      <c r="C8" t="s">
        <v>5986</v>
      </c>
      <c r="D8" t="s">
        <v>5987</v>
      </c>
      <c r="E8" t="s">
        <v>5988</v>
      </c>
      <c r="F8" t="s">
        <v>5989</v>
      </c>
      <c r="G8" t="s">
        <v>5990</v>
      </c>
      <c r="H8">
        <v>1017141155</v>
      </c>
      <c r="I8" t="str">
        <f>TRIM(PERSONAL_ACTIVO_2025[[#This Row],[NOMBRE COMPLETO]])</f>
        <v>ANDRES JULIAN LONDOÑO ZAPATA</v>
      </c>
    </row>
    <row r="9" spans="1:9" x14ac:dyDescent="0.25">
      <c r="A9">
        <v>98556206.299999997</v>
      </c>
      <c r="B9" t="s">
        <v>5972</v>
      </c>
      <c r="C9" t="s">
        <v>5991</v>
      </c>
      <c r="D9" t="s">
        <v>5977</v>
      </c>
      <c r="E9" t="s">
        <v>5992</v>
      </c>
      <c r="F9" t="s">
        <v>5993</v>
      </c>
      <c r="G9" t="s">
        <v>939</v>
      </c>
      <c r="H9">
        <v>98556206</v>
      </c>
      <c r="I9" t="str">
        <f>TRIM(PERSONAL_ACTIVO_2025[[#This Row],[NOMBRE COMPLETO]])</f>
        <v>ANDRES ROBERTO GOMEZ CASTAÑO</v>
      </c>
    </row>
    <row r="10" spans="1:9" x14ac:dyDescent="0.25">
      <c r="A10">
        <v>43825424.700000003</v>
      </c>
      <c r="B10" t="s">
        <v>5994</v>
      </c>
      <c r="C10" t="s">
        <v>5995</v>
      </c>
      <c r="D10" t="s">
        <v>5996</v>
      </c>
      <c r="E10" t="s">
        <v>1368</v>
      </c>
      <c r="F10" t="s">
        <v>5997</v>
      </c>
      <c r="G10" t="s">
        <v>5998</v>
      </c>
      <c r="H10">
        <v>43825424</v>
      </c>
      <c r="I10" t="str">
        <f>TRIM(PERSONAL_ACTIVO_2025[[#This Row],[NOMBRE COMPLETO]])</f>
        <v>ARACELLY ARREDONDO PALACIO</v>
      </c>
    </row>
    <row r="11" spans="1:9" x14ac:dyDescent="0.25">
      <c r="A11">
        <v>43915464.799999997</v>
      </c>
      <c r="B11" t="s">
        <v>5999</v>
      </c>
      <c r="C11" t="s">
        <v>6000</v>
      </c>
      <c r="D11" t="s">
        <v>6001</v>
      </c>
      <c r="E11" t="s">
        <v>6002</v>
      </c>
      <c r="F11" t="s">
        <v>6003</v>
      </c>
      <c r="G11" t="s">
        <v>1305</v>
      </c>
      <c r="H11">
        <v>43915464</v>
      </c>
      <c r="I11" t="str">
        <f>TRIM(PERSONAL_ACTIVO_2025[[#This Row],[NOMBRE COMPLETO]])</f>
        <v>BEATRIZ ELENA QUICENO GIL</v>
      </c>
    </row>
    <row r="12" spans="1:9" x14ac:dyDescent="0.25">
      <c r="A12">
        <v>42895674.700000003</v>
      </c>
      <c r="B12" t="s">
        <v>6004</v>
      </c>
      <c r="C12" t="s">
        <v>6005</v>
      </c>
      <c r="D12" t="s">
        <v>6001</v>
      </c>
      <c r="E12" t="s">
        <v>6002</v>
      </c>
      <c r="F12" t="s">
        <v>6006</v>
      </c>
      <c r="G12" t="s">
        <v>6007</v>
      </c>
      <c r="H12">
        <v>42895674</v>
      </c>
      <c r="I12" t="str">
        <f>TRIM(PERSONAL_ACTIVO_2025[[#This Row],[NOMBRE COMPLETO]])</f>
        <v>BEATRIZ ELENA RESTREPO VASQUEZ</v>
      </c>
    </row>
    <row r="13" spans="1:9" x14ac:dyDescent="0.25">
      <c r="A13">
        <v>1017148179.9</v>
      </c>
      <c r="B13" t="s">
        <v>6008</v>
      </c>
      <c r="C13" t="s">
        <v>6009</v>
      </c>
      <c r="D13" t="s">
        <v>6010</v>
      </c>
      <c r="E13" t="s">
        <v>6011</v>
      </c>
      <c r="F13" t="s">
        <v>6012</v>
      </c>
      <c r="G13" t="s">
        <v>1006</v>
      </c>
      <c r="H13">
        <v>1017148179</v>
      </c>
      <c r="I13" t="str">
        <f>TRIM(PERSONAL_ACTIVO_2025[[#This Row],[NOMBRE COMPLETO]])</f>
        <v>BETSY JOHANNA OCAMPO MILLAN</v>
      </c>
    </row>
    <row r="14" spans="1:9" x14ac:dyDescent="0.25">
      <c r="A14">
        <v>1017179806.1</v>
      </c>
      <c r="B14" t="s">
        <v>6013</v>
      </c>
      <c r="C14" t="s">
        <v>5964</v>
      </c>
      <c r="D14" t="s">
        <v>6014</v>
      </c>
      <c r="E14" t="s">
        <v>1368</v>
      </c>
      <c r="F14" t="s">
        <v>6015</v>
      </c>
      <c r="G14" t="s">
        <v>6016</v>
      </c>
      <c r="H14">
        <v>1017179806</v>
      </c>
      <c r="I14" t="str">
        <f>TRIM(PERSONAL_ACTIVO_2025[[#This Row],[NOMBRE COMPLETO]])</f>
        <v>CAMILO PEÑA MORA</v>
      </c>
    </row>
    <row r="15" spans="1:9" x14ac:dyDescent="0.25">
      <c r="A15">
        <v>71365835.799999997</v>
      </c>
      <c r="B15" t="s">
        <v>6017</v>
      </c>
      <c r="C15" t="s">
        <v>5982</v>
      </c>
      <c r="D15" t="s">
        <v>6018</v>
      </c>
      <c r="E15" t="s">
        <v>5977</v>
      </c>
      <c r="F15" t="s">
        <v>6019</v>
      </c>
      <c r="G15" t="s">
        <v>1414</v>
      </c>
      <c r="H15">
        <v>71365835</v>
      </c>
      <c r="I15" t="str">
        <f>TRIM(PERSONAL_ACTIVO_2025[[#This Row],[NOMBRE COMPLETO]])</f>
        <v>CARLOS ANDRES NIEBLES LOPEZ</v>
      </c>
    </row>
    <row r="16" spans="1:9" x14ac:dyDescent="0.25">
      <c r="A16">
        <v>1027954329</v>
      </c>
      <c r="B16" t="s">
        <v>6020</v>
      </c>
      <c r="C16" t="s">
        <v>6021</v>
      </c>
      <c r="D16" t="s">
        <v>6018</v>
      </c>
      <c r="E16" t="s">
        <v>6022</v>
      </c>
      <c r="F16" t="s">
        <v>6023</v>
      </c>
      <c r="G16" t="s">
        <v>1530</v>
      </c>
      <c r="H16">
        <v>1027954329</v>
      </c>
      <c r="I16" t="str">
        <f>TRIM(PERSONAL_ACTIVO_2025[[#This Row],[NOMBRE COMPLETO]])</f>
        <v>CARLOS MARIO FLOREZ PEREIRA</v>
      </c>
    </row>
    <row r="17" spans="1:9" x14ac:dyDescent="0.25">
      <c r="A17">
        <v>1017130656.1</v>
      </c>
      <c r="B17" t="s">
        <v>6005</v>
      </c>
      <c r="C17" t="s">
        <v>6024</v>
      </c>
      <c r="D17" t="s">
        <v>6025</v>
      </c>
      <c r="E17" t="s">
        <v>1368</v>
      </c>
      <c r="F17" t="s">
        <v>6026</v>
      </c>
      <c r="G17" t="s">
        <v>6027</v>
      </c>
      <c r="H17">
        <v>1017130656</v>
      </c>
      <c r="I17" t="str">
        <f>TRIM(PERSONAL_ACTIVO_2025[[#This Row],[NOMBRE COMPLETO]])</f>
        <v>CATALINA VASQUEZ RAMIREZ</v>
      </c>
    </row>
    <row r="18" spans="1:9" x14ac:dyDescent="0.25">
      <c r="A18">
        <v>70140647.099999994</v>
      </c>
      <c r="B18" t="s">
        <v>6028</v>
      </c>
      <c r="C18" t="s">
        <v>5985</v>
      </c>
      <c r="D18" t="s">
        <v>6029</v>
      </c>
      <c r="E18" t="s">
        <v>6030</v>
      </c>
      <c r="F18" t="s">
        <v>6031</v>
      </c>
      <c r="G18" t="s">
        <v>1384</v>
      </c>
      <c r="H18">
        <v>70140647</v>
      </c>
      <c r="I18" t="str">
        <f>TRIM(PERSONAL_ACTIVO_2025[[#This Row],[NOMBRE COMPLETO]])</f>
        <v>CESAR AUGUSTO FRANCO LONDOÑO</v>
      </c>
    </row>
    <row r="19" spans="1:9" x14ac:dyDescent="0.25">
      <c r="A19">
        <v>40986301.899999999</v>
      </c>
      <c r="B19" t="s">
        <v>6032</v>
      </c>
      <c r="C19" t="s">
        <v>1368</v>
      </c>
      <c r="D19" t="s">
        <v>6033</v>
      </c>
      <c r="E19" t="s">
        <v>6034</v>
      </c>
      <c r="F19" t="s">
        <v>6035</v>
      </c>
      <c r="G19" t="s">
        <v>6036</v>
      </c>
      <c r="H19">
        <v>40986301</v>
      </c>
      <c r="I19" t="str">
        <f>TRIM(PERSONAL_ACTIVO_2025[[#This Row],[NOMBRE COMPLETO]])</f>
        <v>CLARA INES MEDINA</v>
      </c>
    </row>
    <row r="20" spans="1:9" x14ac:dyDescent="0.25">
      <c r="A20">
        <v>43595405.899999999</v>
      </c>
      <c r="B20" t="s">
        <v>5981</v>
      </c>
      <c r="C20" t="s">
        <v>6037</v>
      </c>
      <c r="D20" t="s">
        <v>6038</v>
      </c>
      <c r="E20" t="s">
        <v>6039</v>
      </c>
      <c r="F20" t="s">
        <v>6040</v>
      </c>
      <c r="G20" t="s">
        <v>1019</v>
      </c>
      <c r="H20">
        <v>43595405</v>
      </c>
      <c r="I20" t="str">
        <f>TRIM(PERSONAL_ACTIVO_2025[[#This Row],[NOMBRE COMPLETO]])</f>
        <v>CLAUDIA JANNET SALAZAR ARANGO</v>
      </c>
    </row>
    <row r="21" spans="1:9" x14ac:dyDescent="0.25">
      <c r="A21">
        <v>43548204.5</v>
      </c>
      <c r="B21" t="s">
        <v>6041</v>
      </c>
      <c r="C21" t="s">
        <v>6042</v>
      </c>
      <c r="D21" t="s">
        <v>6038</v>
      </c>
      <c r="E21" t="s">
        <v>6043</v>
      </c>
      <c r="F21" t="s">
        <v>6044</v>
      </c>
      <c r="G21" t="s">
        <v>900</v>
      </c>
      <c r="H21">
        <v>43548204</v>
      </c>
      <c r="I21" t="str">
        <f>TRIM(PERSONAL_ACTIVO_2025[[#This Row],[NOMBRE COMPLETO]])</f>
        <v>CLAUDIA LILIANA DIAZ OSORIO</v>
      </c>
    </row>
    <row r="22" spans="1:9" x14ac:dyDescent="0.25">
      <c r="A22">
        <v>43519524.299999997</v>
      </c>
      <c r="B22" t="s">
        <v>5995</v>
      </c>
      <c r="C22" t="s">
        <v>6045</v>
      </c>
      <c r="D22" t="s">
        <v>6038</v>
      </c>
      <c r="E22" t="s">
        <v>6046</v>
      </c>
      <c r="F22" t="s">
        <v>6047</v>
      </c>
      <c r="G22" t="s">
        <v>925</v>
      </c>
      <c r="H22">
        <v>43519524</v>
      </c>
      <c r="I22" t="str">
        <f>TRIM(PERSONAL_ACTIVO_2025[[#This Row],[NOMBRE COMPLETO]])</f>
        <v>CLAUDIA MARIA PALACIO MORALES</v>
      </c>
    </row>
    <row r="23" spans="1:9" x14ac:dyDescent="0.25">
      <c r="A23">
        <v>43523751.399999999</v>
      </c>
      <c r="B23" t="s">
        <v>6048</v>
      </c>
      <c r="C23" t="s">
        <v>6049</v>
      </c>
      <c r="D23" t="s">
        <v>6050</v>
      </c>
      <c r="E23" t="s">
        <v>6051</v>
      </c>
      <c r="F23" t="s">
        <v>6052</v>
      </c>
      <c r="G23" t="s">
        <v>6053</v>
      </c>
      <c r="H23">
        <v>43523751</v>
      </c>
      <c r="I23" t="str">
        <f>TRIM(PERSONAL_ACTIVO_2025[[#This Row],[NOMBRE COMPLETO]])</f>
        <v>CLAUDIA PATRICIA VELEZ ESCOBAR</v>
      </c>
    </row>
    <row r="24" spans="1:9" x14ac:dyDescent="0.25">
      <c r="A24">
        <v>1036955622.1</v>
      </c>
      <c r="B24" t="s">
        <v>6054</v>
      </c>
      <c r="C24" t="s">
        <v>6008</v>
      </c>
      <c r="D24" t="s">
        <v>6055</v>
      </c>
      <c r="E24" t="s">
        <v>1368</v>
      </c>
      <c r="F24" t="s">
        <v>6056</v>
      </c>
      <c r="G24" t="s">
        <v>6057</v>
      </c>
      <c r="H24">
        <v>1036955622</v>
      </c>
      <c r="I24" t="str">
        <f>TRIM(PERSONAL_ACTIVO_2025[[#This Row],[NOMBRE COMPLETO]])</f>
        <v>DAVID CENDOYA OCAMPO</v>
      </c>
    </row>
    <row r="25" spans="1:9" x14ac:dyDescent="0.25">
      <c r="A25">
        <v>3507696.4</v>
      </c>
      <c r="B25" t="s">
        <v>6058</v>
      </c>
      <c r="C25" t="s">
        <v>6059</v>
      </c>
      <c r="D25" t="s">
        <v>6055</v>
      </c>
      <c r="E25" t="s">
        <v>1368</v>
      </c>
      <c r="F25" t="s">
        <v>6060</v>
      </c>
      <c r="G25" t="s">
        <v>6061</v>
      </c>
      <c r="H25">
        <v>3507696</v>
      </c>
      <c r="I25" t="str">
        <f>TRIM(PERSONAL_ACTIVO_2025[[#This Row],[NOMBRE COMPLETO]])</f>
        <v>DAVID TORRES MUÑOZ</v>
      </c>
    </row>
    <row r="26" spans="1:9" x14ac:dyDescent="0.25">
      <c r="A26">
        <v>43263405.399999999</v>
      </c>
      <c r="B26" t="s">
        <v>6062</v>
      </c>
      <c r="C26" t="s">
        <v>5982</v>
      </c>
      <c r="D26" t="s">
        <v>6063</v>
      </c>
      <c r="E26" t="s">
        <v>6025</v>
      </c>
      <c r="F26" t="s">
        <v>6064</v>
      </c>
      <c r="G26" t="s">
        <v>6065</v>
      </c>
      <c r="H26">
        <v>43263405</v>
      </c>
      <c r="I26" t="str">
        <f>TRIM(PERSONAL_ACTIVO_2025[[#This Row],[NOMBRE COMPLETO]])</f>
        <v>DIANA CATALINA MONSALVE LOPEZ</v>
      </c>
    </row>
    <row r="27" spans="1:9" x14ac:dyDescent="0.25">
      <c r="A27">
        <v>1037602498.3</v>
      </c>
      <c r="B27" t="s">
        <v>6066</v>
      </c>
      <c r="C27" t="s">
        <v>6020</v>
      </c>
      <c r="D27" t="s">
        <v>6063</v>
      </c>
      <c r="E27" t="s">
        <v>6067</v>
      </c>
      <c r="F27" t="s">
        <v>6068</v>
      </c>
      <c r="G27" t="s">
        <v>6069</v>
      </c>
      <c r="H27">
        <v>1037602498</v>
      </c>
      <c r="I27" t="str">
        <f>TRIM(PERSONAL_ACTIVO_2025[[#This Row],[NOMBRE COMPLETO]])</f>
        <v>DIANA CRISTINA GARCIA FLOREZ</v>
      </c>
    </row>
    <row r="28" spans="1:9" x14ac:dyDescent="0.25">
      <c r="A28">
        <v>21852856.100000001</v>
      </c>
      <c r="B28" t="s">
        <v>6070</v>
      </c>
      <c r="C28" t="s">
        <v>6071</v>
      </c>
      <c r="D28" t="s">
        <v>6063</v>
      </c>
      <c r="E28" t="s">
        <v>6072</v>
      </c>
      <c r="F28" t="s">
        <v>6073</v>
      </c>
      <c r="G28" t="s">
        <v>6074</v>
      </c>
      <c r="H28">
        <v>21852856</v>
      </c>
      <c r="I28" t="str">
        <f>TRIM(PERSONAL_ACTIVO_2025[[#This Row],[NOMBRE COMPLETO]])</f>
        <v>DIANA ISABEL ROLDAN SEPULVEDA</v>
      </c>
    </row>
    <row r="29" spans="1:9" x14ac:dyDescent="0.25">
      <c r="A29">
        <v>39419422.700000003</v>
      </c>
      <c r="B29" t="s">
        <v>6075</v>
      </c>
      <c r="C29" t="s">
        <v>6076</v>
      </c>
      <c r="D29" t="s">
        <v>6063</v>
      </c>
      <c r="E29" t="s">
        <v>6077</v>
      </c>
      <c r="F29" t="s">
        <v>6078</v>
      </c>
      <c r="G29" t="s">
        <v>1380</v>
      </c>
      <c r="H29">
        <v>39419422</v>
      </c>
      <c r="I29" t="str">
        <f>TRIM(PERSONAL_ACTIVO_2025[[#This Row],[NOMBRE COMPLETO]])</f>
        <v>DIANA MARCELA DULCEY GUTIERREZ</v>
      </c>
    </row>
    <row r="30" spans="1:9" x14ac:dyDescent="0.25">
      <c r="A30">
        <v>43208997.899999999</v>
      </c>
      <c r="B30" t="s">
        <v>6079</v>
      </c>
      <c r="C30" t="s">
        <v>6066</v>
      </c>
      <c r="D30" t="s">
        <v>6080</v>
      </c>
      <c r="E30" t="s">
        <v>6081</v>
      </c>
      <c r="F30" t="s">
        <v>6082</v>
      </c>
      <c r="G30" t="s">
        <v>887</v>
      </c>
      <c r="H30">
        <v>43208997</v>
      </c>
      <c r="I30" t="str">
        <f>TRIM(PERSONAL_ACTIVO_2025[[#This Row],[NOMBRE COMPLETO]])</f>
        <v>DIGNA EMERITA MARTINEZ GARCIA</v>
      </c>
    </row>
    <row r="31" spans="1:9" x14ac:dyDescent="0.25">
      <c r="A31">
        <v>71658613.799999997</v>
      </c>
      <c r="B31" t="s">
        <v>6083</v>
      </c>
      <c r="C31" t="s">
        <v>5976</v>
      </c>
      <c r="D31" t="s">
        <v>6084</v>
      </c>
      <c r="E31" t="s">
        <v>6085</v>
      </c>
      <c r="F31" t="s">
        <v>6086</v>
      </c>
      <c r="G31" t="s">
        <v>6087</v>
      </c>
      <c r="H31">
        <v>71658613</v>
      </c>
      <c r="I31" t="str">
        <f>TRIM(PERSONAL_ACTIVO_2025[[#This Row],[NOMBRE COMPLETO]])</f>
        <v>ELKIN DARIO GIRALDO MARIN</v>
      </c>
    </row>
    <row r="32" spans="1:9" x14ac:dyDescent="0.25">
      <c r="A32">
        <v>1037584409.1</v>
      </c>
      <c r="B32" t="s">
        <v>6088</v>
      </c>
      <c r="C32" t="s">
        <v>6004</v>
      </c>
      <c r="D32" t="s">
        <v>6089</v>
      </c>
      <c r="E32" t="s">
        <v>6090</v>
      </c>
      <c r="F32" t="s">
        <v>6091</v>
      </c>
      <c r="G32" t="s">
        <v>1413</v>
      </c>
      <c r="H32">
        <v>1037584409</v>
      </c>
      <c r="I32" t="str">
        <f>TRIM(PERSONAL_ACTIVO_2025[[#This Row],[NOMBRE COMPLETO]])</f>
        <v>ESMERALDA SOLEDAD ROSAS RESTREPO</v>
      </c>
    </row>
    <row r="33" spans="1:9" x14ac:dyDescent="0.25">
      <c r="A33">
        <v>1152193845.7</v>
      </c>
      <c r="B33" t="s">
        <v>6042</v>
      </c>
      <c r="C33" t="s">
        <v>5991</v>
      </c>
      <c r="D33" t="s">
        <v>6092</v>
      </c>
      <c r="E33" t="s">
        <v>5</v>
      </c>
      <c r="F33" t="s">
        <v>6093</v>
      </c>
      <c r="G33" t="s">
        <v>6094</v>
      </c>
      <c r="H33">
        <v>1152193845</v>
      </c>
      <c r="I33" t="str">
        <f>TRIM(PERSONAL_ACTIVO_2025[[#This Row],[NOMBRE COMPLETO]])</f>
        <v>ESTEFANIA OSORIO CASTAÑO</v>
      </c>
    </row>
    <row r="34" spans="1:9" x14ac:dyDescent="0.25">
      <c r="A34">
        <v>71023409.599999994</v>
      </c>
      <c r="B34" t="s">
        <v>6037</v>
      </c>
      <c r="C34" t="s">
        <v>5982</v>
      </c>
      <c r="D34" t="s">
        <v>6095</v>
      </c>
      <c r="E34" t="s">
        <v>6085</v>
      </c>
      <c r="F34" t="s">
        <v>6096</v>
      </c>
      <c r="G34" t="s">
        <v>955</v>
      </c>
      <c r="H34">
        <v>71023409</v>
      </c>
      <c r="I34" t="str">
        <f>TRIM(PERSONAL_ACTIVO_2025[[#This Row],[NOMBRE COMPLETO]])</f>
        <v>FABIAN DARIO ARANGO LOPEZ</v>
      </c>
    </row>
    <row r="35" spans="1:9" x14ac:dyDescent="0.25">
      <c r="A35">
        <v>15438574.1</v>
      </c>
      <c r="B35" t="s">
        <v>6097</v>
      </c>
      <c r="C35" t="s">
        <v>6098</v>
      </c>
      <c r="D35" t="s">
        <v>6099</v>
      </c>
      <c r="E35" t="s">
        <v>1368</v>
      </c>
      <c r="F35" t="s">
        <v>6100</v>
      </c>
      <c r="G35" t="s">
        <v>6101</v>
      </c>
      <c r="H35">
        <v>15438574</v>
      </c>
      <c r="I35" t="str">
        <f>TRIM(PERSONAL_ACTIVO_2025[[#This Row],[NOMBRE COMPLETO]])</f>
        <v>FERNEY CARDONA ECHEVERRI</v>
      </c>
    </row>
    <row r="36" spans="1:9" x14ac:dyDescent="0.25">
      <c r="A36">
        <v>43601637.700000003</v>
      </c>
      <c r="B36" t="s">
        <v>6102</v>
      </c>
      <c r="C36" t="s">
        <v>6103</v>
      </c>
      <c r="D36" t="s">
        <v>6104</v>
      </c>
      <c r="E36" t="s">
        <v>6105</v>
      </c>
      <c r="F36" t="s">
        <v>6106</v>
      </c>
      <c r="G36" t="s">
        <v>6107</v>
      </c>
      <c r="H36">
        <v>43601637</v>
      </c>
      <c r="I36" t="str">
        <f>TRIM(PERSONAL_ACTIVO_2025[[#This Row],[NOMBRE COMPLETO]])</f>
        <v>FRANCY STELLA QUICENO BERRIO</v>
      </c>
    </row>
    <row r="37" spans="1:9" x14ac:dyDescent="0.25">
      <c r="A37">
        <v>91299284.099999994</v>
      </c>
      <c r="B37" t="s">
        <v>6108</v>
      </c>
      <c r="C37" t="s">
        <v>6004</v>
      </c>
      <c r="D37" t="s">
        <v>6109</v>
      </c>
      <c r="E37" t="s">
        <v>6110</v>
      </c>
      <c r="F37" t="s">
        <v>6111</v>
      </c>
      <c r="G37" t="s">
        <v>6112</v>
      </c>
      <c r="H37">
        <v>91299284</v>
      </c>
      <c r="I37" t="str">
        <f>TRIM(PERSONAL_ACTIVO_2025[[#This Row],[NOMBRE COMPLETO]])</f>
        <v>GABRIEL GUILLERMO SIERRA RESTREPO</v>
      </c>
    </row>
    <row r="38" spans="1:9" x14ac:dyDescent="0.25">
      <c r="A38">
        <v>37003033.100000001</v>
      </c>
      <c r="B38" t="s">
        <v>6113</v>
      </c>
      <c r="C38" t="s">
        <v>6114</v>
      </c>
      <c r="D38" t="s">
        <v>6115</v>
      </c>
      <c r="E38" t="s">
        <v>6116</v>
      </c>
      <c r="F38" t="s">
        <v>6117</v>
      </c>
      <c r="G38" t="s">
        <v>1068</v>
      </c>
      <c r="H38">
        <v>37003033</v>
      </c>
      <c r="I38" t="str">
        <f>TRIM(PERSONAL_ACTIVO_2025[[#This Row],[NOMBRE COMPLETO]])</f>
        <v>GLADIS MARGOT VADOS CORAL</v>
      </c>
    </row>
    <row r="39" spans="1:9" x14ac:dyDescent="0.25">
      <c r="A39">
        <v>43862420.5</v>
      </c>
      <c r="B39" t="s">
        <v>6118</v>
      </c>
      <c r="C39" t="s">
        <v>6119</v>
      </c>
      <c r="D39" t="s">
        <v>6120</v>
      </c>
      <c r="E39" t="s">
        <v>6121</v>
      </c>
      <c r="F39" t="s">
        <v>6122</v>
      </c>
      <c r="G39" t="s">
        <v>6123</v>
      </c>
      <c r="H39">
        <v>43862420</v>
      </c>
      <c r="I39" t="str">
        <f>TRIM(PERSONAL_ACTIVO_2025[[#This Row],[NOMBRE COMPLETO]])</f>
        <v>GLENYS MARIEN OROZCO VALENCIA</v>
      </c>
    </row>
    <row r="40" spans="1:9" x14ac:dyDescent="0.25">
      <c r="A40">
        <v>43515795.399999999</v>
      </c>
      <c r="B40" t="s">
        <v>6124</v>
      </c>
      <c r="C40" t="s">
        <v>6124</v>
      </c>
      <c r="D40" t="s">
        <v>6125</v>
      </c>
      <c r="E40" t="s">
        <v>5970</v>
      </c>
      <c r="F40" t="s">
        <v>6126</v>
      </c>
      <c r="G40" t="s">
        <v>988</v>
      </c>
      <c r="H40">
        <v>43515795</v>
      </c>
      <c r="I40" t="str">
        <f>TRIM(PERSONAL_ACTIVO_2025[[#This Row],[NOMBRE COMPLETO]])</f>
        <v>GLORIA CECILIA MONTOYA MONTOYA</v>
      </c>
    </row>
    <row r="41" spans="1:9" x14ac:dyDescent="0.25">
      <c r="A41">
        <v>71364469</v>
      </c>
      <c r="B41" t="s">
        <v>6127</v>
      </c>
      <c r="C41" t="s">
        <v>6128</v>
      </c>
      <c r="D41" t="s">
        <v>6129</v>
      </c>
      <c r="E41" t="s">
        <v>6130</v>
      </c>
      <c r="F41" t="s">
        <v>6131</v>
      </c>
      <c r="G41" t="s">
        <v>1106</v>
      </c>
      <c r="H41">
        <v>71364469</v>
      </c>
      <c r="I41" t="str">
        <f>TRIM(PERSONAL_ACTIVO_2025[[#This Row],[NOMBRE COMPLETO]])</f>
        <v>GUSTAVO LEON SANCHEZ CADAVID</v>
      </c>
    </row>
    <row r="42" spans="1:9" x14ac:dyDescent="0.25">
      <c r="A42">
        <v>3567952.1</v>
      </c>
      <c r="B42" t="s">
        <v>6132</v>
      </c>
      <c r="C42" t="s">
        <v>6133</v>
      </c>
      <c r="D42" t="s">
        <v>6134</v>
      </c>
      <c r="E42" t="s">
        <v>6135</v>
      </c>
      <c r="F42" t="s">
        <v>6136</v>
      </c>
      <c r="G42" t="s">
        <v>1323</v>
      </c>
      <c r="H42">
        <v>3567952</v>
      </c>
      <c r="I42" t="str">
        <f>TRIM(PERSONAL_ACTIVO_2025[[#This Row],[NOMBRE COMPLETO]])</f>
        <v>HECTOR ABAD CUERVO CAÑOLA</v>
      </c>
    </row>
    <row r="43" spans="1:9" x14ac:dyDescent="0.25">
      <c r="A43">
        <v>98663915.5</v>
      </c>
      <c r="B43" t="s">
        <v>6137</v>
      </c>
      <c r="C43" t="s">
        <v>6127</v>
      </c>
      <c r="D43" t="s">
        <v>6134</v>
      </c>
      <c r="E43" t="s">
        <v>6095</v>
      </c>
      <c r="F43" t="s">
        <v>6138</v>
      </c>
      <c r="G43" t="s">
        <v>886</v>
      </c>
      <c r="H43">
        <v>98663915</v>
      </c>
      <c r="I43" t="str">
        <f>TRIM(PERSONAL_ACTIVO_2025[[#This Row],[NOMBRE COMPLETO]])</f>
        <v>HECTOR FABIAN ARROYAVE SANCHEZ</v>
      </c>
    </row>
    <row r="44" spans="1:9" x14ac:dyDescent="0.25">
      <c r="A44">
        <v>71220441.700000003</v>
      </c>
      <c r="B44" t="s">
        <v>6139</v>
      </c>
      <c r="C44" t="s">
        <v>6140</v>
      </c>
      <c r="D44" t="s">
        <v>6134</v>
      </c>
      <c r="E44" t="s">
        <v>6141</v>
      </c>
      <c r="F44" t="s">
        <v>6142</v>
      </c>
      <c r="G44" t="s">
        <v>980</v>
      </c>
      <c r="H44">
        <v>71220441</v>
      </c>
      <c r="I44" t="str">
        <f>TRIM(PERSONAL_ACTIVO_2025[[#This Row],[NOMBRE COMPLETO]])</f>
        <v>HECTOR HERNAN ARIAS MUNERA</v>
      </c>
    </row>
    <row r="45" spans="1:9" x14ac:dyDescent="0.25">
      <c r="A45">
        <v>98556496.200000003</v>
      </c>
      <c r="B45" t="s">
        <v>6079</v>
      </c>
      <c r="C45" t="s">
        <v>6004</v>
      </c>
      <c r="D45" t="s">
        <v>6143</v>
      </c>
      <c r="E45" t="s">
        <v>1368</v>
      </c>
      <c r="F45" t="s">
        <v>6144</v>
      </c>
      <c r="G45" t="s">
        <v>6145</v>
      </c>
      <c r="H45">
        <v>98556496</v>
      </c>
      <c r="I45" t="str">
        <f>TRIM(PERSONAL_ACTIVO_2025[[#This Row],[NOMBRE COMPLETO]])</f>
        <v>HERBERT MARTINEZ RESTREPO</v>
      </c>
    </row>
    <row r="46" spans="1:9" x14ac:dyDescent="0.25">
      <c r="A46">
        <v>71794994</v>
      </c>
      <c r="B46" t="s">
        <v>6048</v>
      </c>
      <c r="C46" t="s">
        <v>6146</v>
      </c>
      <c r="D46" t="s">
        <v>6141</v>
      </c>
      <c r="E46" t="s">
        <v>6147</v>
      </c>
      <c r="F46" t="s">
        <v>6148</v>
      </c>
      <c r="G46" t="s">
        <v>1308</v>
      </c>
      <c r="H46">
        <v>71794994</v>
      </c>
      <c r="I46" t="str">
        <f>TRIM(PERSONAL_ACTIVO_2025[[#This Row],[NOMBRE COMPLETO]])</f>
        <v>HERNAN MAURICIO VELEZ ALVAREZ</v>
      </c>
    </row>
    <row r="47" spans="1:9" x14ac:dyDescent="0.25">
      <c r="A47">
        <v>8434266.4000000004</v>
      </c>
      <c r="B47" t="s">
        <v>6042</v>
      </c>
      <c r="C47" t="s">
        <v>6149</v>
      </c>
      <c r="D47" t="s">
        <v>6150</v>
      </c>
      <c r="E47" t="s">
        <v>6151</v>
      </c>
      <c r="F47" t="s">
        <v>6152</v>
      </c>
      <c r="G47" t="s">
        <v>1497</v>
      </c>
      <c r="H47">
        <v>8434266</v>
      </c>
      <c r="I47" t="str">
        <f>TRIM(PERSONAL_ACTIVO_2025[[#This Row],[NOMBRE COMPLETO]])</f>
        <v>HUGO ALEXANDER OSORIO JARAMILLO</v>
      </c>
    </row>
    <row r="48" spans="1:9" x14ac:dyDescent="0.25">
      <c r="A48">
        <v>71757610</v>
      </c>
      <c r="B48" t="s">
        <v>6153</v>
      </c>
      <c r="C48" t="s">
        <v>6066</v>
      </c>
      <c r="D48" t="s">
        <v>6150</v>
      </c>
      <c r="E48" t="s">
        <v>6154</v>
      </c>
      <c r="F48" t="s">
        <v>6155</v>
      </c>
      <c r="G48" t="s">
        <v>1519</v>
      </c>
      <c r="H48">
        <v>71757610</v>
      </c>
      <c r="I48" t="str">
        <f>TRIM(PERSONAL_ACTIVO_2025[[#This Row],[NOMBRE COMPLETO]])</f>
        <v>HUGO HERNANDO HOYOS GARCIA</v>
      </c>
    </row>
    <row r="49" spans="1:9" x14ac:dyDescent="0.25">
      <c r="A49">
        <v>21509270.5</v>
      </c>
      <c r="B49" t="s">
        <v>6146</v>
      </c>
      <c r="C49" t="s">
        <v>6156</v>
      </c>
      <c r="D49" t="s">
        <v>6157</v>
      </c>
      <c r="E49" t="s">
        <v>6158</v>
      </c>
      <c r="F49" t="s">
        <v>6159</v>
      </c>
      <c r="G49" t="s">
        <v>972</v>
      </c>
      <c r="H49">
        <v>21509270</v>
      </c>
      <c r="I49" t="str">
        <f>TRIM(PERSONAL_ACTIVO_2025[[#This Row],[NOMBRE COMPLETO]])</f>
        <v>ILDA BIBIANA ALVAREZ RUEDA</v>
      </c>
    </row>
    <row r="50" spans="1:9" x14ac:dyDescent="0.25">
      <c r="A50">
        <v>98520651.200000003</v>
      </c>
      <c r="B50" t="s">
        <v>6160</v>
      </c>
      <c r="C50" t="s">
        <v>6048</v>
      </c>
      <c r="D50" t="s">
        <v>6161</v>
      </c>
      <c r="E50" t="s">
        <v>6085</v>
      </c>
      <c r="F50" t="s">
        <v>6162</v>
      </c>
      <c r="G50" t="s">
        <v>908</v>
      </c>
      <c r="H50">
        <v>98520651</v>
      </c>
      <c r="I50" t="str">
        <f>TRIM(PERSONAL_ACTIVO_2025[[#This Row],[NOMBRE COMPLETO]])</f>
        <v>IVAN DARIO GRAJALES VELEZ</v>
      </c>
    </row>
    <row r="51" spans="1:9" x14ac:dyDescent="0.25">
      <c r="A51">
        <v>1152691747.0999999</v>
      </c>
      <c r="B51" t="s">
        <v>6163</v>
      </c>
      <c r="C51" t="s">
        <v>6164</v>
      </c>
      <c r="D51" t="s">
        <v>6165</v>
      </c>
      <c r="E51" t="s">
        <v>5977</v>
      </c>
      <c r="F51" t="s">
        <v>6166</v>
      </c>
      <c r="G51" t="s">
        <v>6167</v>
      </c>
      <c r="H51">
        <v>1152691747</v>
      </c>
      <c r="I51" t="str">
        <f>TRIM(PERSONAL_ACTIVO_2025[[#This Row],[NOMBRE COMPLETO]])</f>
        <v>JAIDER ANDRES LONDOÑO VANEGAS</v>
      </c>
    </row>
    <row r="52" spans="1:9" x14ac:dyDescent="0.25">
      <c r="A52">
        <v>37864741.100000001</v>
      </c>
      <c r="B52" t="s">
        <v>6168</v>
      </c>
      <c r="C52" t="s">
        <v>6169</v>
      </c>
      <c r="D52" t="s">
        <v>6170</v>
      </c>
      <c r="E52" t="s">
        <v>6171</v>
      </c>
      <c r="F52" t="s">
        <v>6172</v>
      </c>
      <c r="G52" t="s">
        <v>914</v>
      </c>
      <c r="H52">
        <v>37864741</v>
      </c>
      <c r="I52" t="str">
        <f>TRIM(PERSONAL_ACTIVO_2025[[#This Row],[NOMBRE COMPLETO]])</f>
        <v>JAINE ESTHER TOVAR AMADOR</v>
      </c>
    </row>
    <row r="53" spans="1:9" x14ac:dyDescent="0.25">
      <c r="A53">
        <v>8705093</v>
      </c>
      <c r="B53" t="s">
        <v>6173</v>
      </c>
      <c r="C53" t="s">
        <v>6174</v>
      </c>
      <c r="D53" t="s">
        <v>6175</v>
      </c>
      <c r="E53" t="s">
        <v>6176</v>
      </c>
      <c r="F53" t="s">
        <v>6177</v>
      </c>
      <c r="G53" t="s">
        <v>6178</v>
      </c>
      <c r="H53">
        <v>8705093</v>
      </c>
      <c r="I53" t="str">
        <f>TRIM(PERSONAL_ACTIVO_2025[[#This Row],[NOMBRE COMPLETO]])</f>
        <v>JAIRO ALFONSO GARRIDO CASTRO</v>
      </c>
    </row>
    <row r="54" spans="1:9" x14ac:dyDescent="0.25">
      <c r="A54">
        <v>10267189.6</v>
      </c>
      <c r="B54" t="s">
        <v>5967</v>
      </c>
      <c r="C54" t="s">
        <v>6179</v>
      </c>
      <c r="D54" t="s">
        <v>6175</v>
      </c>
      <c r="E54" t="s">
        <v>6180</v>
      </c>
      <c r="F54" t="s">
        <v>6181</v>
      </c>
      <c r="G54" t="s">
        <v>943</v>
      </c>
      <c r="H54">
        <v>10267189</v>
      </c>
      <c r="I54" t="str">
        <f>TRIM(PERSONAL_ACTIVO_2025[[#This Row],[NOMBRE COMPLETO]])</f>
        <v>JAIRO DE JESUS JIMENEZ MORENO</v>
      </c>
    </row>
    <row r="55" spans="1:9" x14ac:dyDescent="0.25">
      <c r="A55">
        <v>96359710.200000003</v>
      </c>
      <c r="B55" t="s">
        <v>6182</v>
      </c>
      <c r="C55" t="s">
        <v>6183</v>
      </c>
      <c r="D55" t="s">
        <v>6184</v>
      </c>
      <c r="E55" t="s">
        <v>6175</v>
      </c>
      <c r="F55" t="s">
        <v>6185</v>
      </c>
      <c r="G55" t="s">
        <v>1123</v>
      </c>
      <c r="H55">
        <v>96359710</v>
      </c>
      <c r="I55" t="str">
        <f>TRIM(PERSONAL_ACTIVO_2025[[#This Row],[NOMBRE COMPLETO]])</f>
        <v>JHON JAIRO VELASQUEZ BORJA</v>
      </c>
    </row>
    <row r="56" spans="1:9" x14ac:dyDescent="0.25">
      <c r="A56">
        <v>71311830.099999994</v>
      </c>
      <c r="B56" t="s">
        <v>6186</v>
      </c>
      <c r="C56" t="s">
        <v>6187</v>
      </c>
      <c r="D56" t="s">
        <v>6188</v>
      </c>
      <c r="E56" t="s">
        <v>6189</v>
      </c>
      <c r="F56" t="s">
        <v>6190</v>
      </c>
      <c r="G56" t="s">
        <v>6191</v>
      </c>
      <c r="H56">
        <v>71311830</v>
      </c>
      <c r="I56" t="str">
        <f>TRIM(PERSONAL_ACTIVO_2025[[#This Row],[NOMBRE COMPLETO]])</f>
        <v>JIMMY ARLEY PALACIOS CHAVERRA</v>
      </c>
    </row>
    <row r="57" spans="1:9" x14ac:dyDescent="0.25">
      <c r="A57">
        <v>42690418.700000003</v>
      </c>
      <c r="B57" t="s">
        <v>6192</v>
      </c>
      <c r="C57" t="s">
        <v>6193</v>
      </c>
      <c r="D57" t="s">
        <v>6011</v>
      </c>
      <c r="E57" t="s">
        <v>6077</v>
      </c>
      <c r="F57" t="s">
        <v>6194</v>
      </c>
      <c r="G57" t="s">
        <v>1279</v>
      </c>
      <c r="H57">
        <v>42690418</v>
      </c>
      <c r="I57" t="str">
        <f>TRIM(PERSONAL_ACTIVO_2025[[#This Row],[NOMBRE COMPLETO]])</f>
        <v>JOHANNA MARCELA POSADA LLANO</v>
      </c>
    </row>
    <row r="58" spans="1:9" x14ac:dyDescent="0.25">
      <c r="A58">
        <v>70432194.900000006</v>
      </c>
      <c r="B58" t="s">
        <v>6195</v>
      </c>
      <c r="C58" t="s">
        <v>6196</v>
      </c>
      <c r="D58" t="s">
        <v>6197</v>
      </c>
      <c r="E58" t="s">
        <v>6198</v>
      </c>
      <c r="F58" t="s">
        <v>6199</v>
      </c>
      <c r="G58" t="s">
        <v>6200</v>
      </c>
      <c r="H58">
        <v>70432194</v>
      </c>
      <c r="I58" t="str">
        <f>TRIM(PERSONAL_ACTIVO_2025[[#This Row],[NOMBRE COMPLETO]])</f>
        <v>JOHN ALBEIRO MANCO BEDOYA</v>
      </c>
    </row>
    <row r="59" spans="1:9" x14ac:dyDescent="0.25">
      <c r="A59">
        <v>15511283.5</v>
      </c>
      <c r="B59" t="s">
        <v>6201</v>
      </c>
      <c r="C59" t="s">
        <v>6202</v>
      </c>
      <c r="D59" t="s">
        <v>6197</v>
      </c>
      <c r="E59" t="s">
        <v>6203</v>
      </c>
      <c r="F59" t="s">
        <v>6204</v>
      </c>
      <c r="G59" t="s">
        <v>1494</v>
      </c>
      <c r="H59">
        <v>15511283</v>
      </c>
      <c r="I59" t="str">
        <f>TRIM(PERSONAL_ACTIVO_2025[[#This Row],[NOMBRE COMPLETO]])</f>
        <v>JOHN ALBERTO BETANCUR MAYA</v>
      </c>
    </row>
    <row r="60" spans="1:9" x14ac:dyDescent="0.25">
      <c r="A60">
        <v>70557456</v>
      </c>
      <c r="B60" t="s">
        <v>5972</v>
      </c>
      <c r="C60" t="s">
        <v>6205</v>
      </c>
      <c r="D60" t="s">
        <v>6197</v>
      </c>
      <c r="E60" t="s">
        <v>6085</v>
      </c>
      <c r="F60" t="s">
        <v>6206</v>
      </c>
      <c r="G60" t="s">
        <v>6207</v>
      </c>
      <c r="H60">
        <v>70557456</v>
      </c>
      <c r="I60" t="str">
        <f>TRIM(PERSONAL_ACTIVO_2025[[#This Row],[NOMBRE COMPLETO]])</f>
        <v>JOHN DARIO GOMEZ OSPINA</v>
      </c>
    </row>
    <row r="61" spans="1:9" x14ac:dyDescent="0.25">
      <c r="A61">
        <v>71765186.200000003</v>
      </c>
      <c r="B61" t="s">
        <v>6208</v>
      </c>
      <c r="C61" t="s">
        <v>6209</v>
      </c>
      <c r="D61" t="s">
        <v>6210</v>
      </c>
      <c r="E61" t="s">
        <v>5988</v>
      </c>
      <c r="F61" t="s">
        <v>6211</v>
      </c>
      <c r="G61" t="s">
        <v>6212</v>
      </c>
      <c r="H61">
        <v>71765186</v>
      </c>
      <c r="I61" t="str">
        <f>TRIM(PERSONAL_ACTIVO_2025[[#This Row],[NOMBRE COMPLETO]])</f>
        <v>JOSE JULIAN PESTANA RIVERA</v>
      </c>
    </row>
    <row r="62" spans="1:9" x14ac:dyDescent="0.25">
      <c r="A62">
        <v>8103470</v>
      </c>
      <c r="B62" t="s">
        <v>5995</v>
      </c>
      <c r="C62" t="s">
        <v>6037</v>
      </c>
      <c r="D62" t="s">
        <v>6210</v>
      </c>
      <c r="E62" t="s">
        <v>6213</v>
      </c>
      <c r="F62" t="s">
        <v>6214</v>
      </c>
      <c r="G62" t="s">
        <v>979</v>
      </c>
      <c r="H62">
        <v>8103470</v>
      </c>
      <c r="I62" t="str">
        <f>TRIM(PERSONAL_ACTIVO_2025[[#This Row],[NOMBRE COMPLETO]])</f>
        <v>JOSE RAMIRO PALACIO ARANGO</v>
      </c>
    </row>
    <row r="63" spans="1:9" x14ac:dyDescent="0.25">
      <c r="A63">
        <v>71265476.799999997</v>
      </c>
      <c r="B63" t="s">
        <v>6163</v>
      </c>
      <c r="C63" t="s">
        <v>6215</v>
      </c>
      <c r="D63" t="s">
        <v>6216</v>
      </c>
      <c r="E63" t="s">
        <v>6217</v>
      </c>
      <c r="F63" t="s">
        <v>6218</v>
      </c>
      <c r="G63" t="s">
        <v>6219</v>
      </c>
      <c r="H63">
        <v>71265476</v>
      </c>
      <c r="I63" t="str">
        <f>TRIM(PERSONAL_ACTIVO_2025[[#This Row],[NOMBRE COMPLETO]])</f>
        <v>JUAN DIEGO LONDOÑO TORO</v>
      </c>
    </row>
    <row r="64" spans="1:9" x14ac:dyDescent="0.25">
      <c r="A64">
        <v>70565097.299999997</v>
      </c>
      <c r="B64" t="s">
        <v>6220</v>
      </c>
      <c r="C64" t="s">
        <v>6221</v>
      </c>
      <c r="D64" t="s">
        <v>6216</v>
      </c>
      <c r="E64" t="s">
        <v>6222</v>
      </c>
      <c r="F64" t="s">
        <v>6223</v>
      </c>
      <c r="G64" t="s">
        <v>6224</v>
      </c>
      <c r="H64">
        <v>70565097</v>
      </c>
      <c r="I64" t="str">
        <f>TRIM(PERSONAL_ACTIVO_2025[[#This Row],[NOMBRE COMPLETO]])</f>
        <v>JUAN MANUEL RAMIREZ CARDENAS</v>
      </c>
    </row>
    <row r="65" spans="1:9" x14ac:dyDescent="0.25">
      <c r="A65">
        <v>1035422880.4</v>
      </c>
      <c r="B65" t="s">
        <v>5982</v>
      </c>
      <c r="C65" t="s">
        <v>5985</v>
      </c>
      <c r="D65" t="s">
        <v>5988</v>
      </c>
      <c r="E65" t="s">
        <v>1368</v>
      </c>
      <c r="F65" t="s">
        <v>6225</v>
      </c>
      <c r="G65" t="s">
        <v>6226</v>
      </c>
      <c r="H65">
        <v>1035422880</v>
      </c>
      <c r="I65" t="str">
        <f>TRIM(PERSONAL_ACTIVO_2025[[#This Row],[NOMBRE COMPLETO]])</f>
        <v>JULIAN LOPEZ LONDOÑO</v>
      </c>
    </row>
    <row r="66" spans="1:9" x14ac:dyDescent="0.25">
      <c r="A66">
        <v>1088260059.0999999</v>
      </c>
      <c r="B66" t="s">
        <v>6227</v>
      </c>
      <c r="C66" t="s">
        <v>6228</v>
      </c>
      <c r="D66" t="s">
        <v>6229</v>
      </c>
      <c r="E66" t="s">
        <v>1368</v>
      </c>
      <c r="F66" t="s">
        <v>6230</v>
      </c>
      <c r="G66" t="s">
        <v>6231</v>
      </c>
      <c r="H66">
        <v>1088260059</v>
      </c>
      <c r="I66" t="str">
        <f>TRIM(PERSONAL_ACTIVO_2025[[#This Row],[NOMBRE COMPLETO]])</f>
        <v>JULIANA BERMUDEZ HENAO</v>
      </c>
    </row>
    <row r="67" spans="1:9" x14ac:dyDescent="0.25">
      <c r="A67">
        <v>43186543.200000003</v>
      </c>
      <c r="B67" t="s">
        <v>6232</v>
      </c>
      <c r="C67" t="s">
        <v>6233</v>
      </c>
      <c r="D67" t="s">
        <v>6229</v>
      </c>
      <c r="E67" t="s">
        <v>1368</v>
      </c>
      <c r="F67" t="s">
        <v>6234</v>
      </c>
      <c r="G67" t="s">
        <v>6235</v>
      </c>
      <c r="H67">
        <v>43186543</v>
      </c>
      <c r="I67" t="str">
        <f>TRIM(PERSONAL_ACTIVO_2025[[#This Row],[NOMBRE COMPLETO]])</f>
        <v>JULIANA PELAEZ GONZALEZ</v>
      </c>
    </row>
    <row r="68" spans="1:9" x14ac:dyDescent="0.25">
      <c r="A68">
        <v>32220799.600000001</v>
      </c>
      <c r="B68" t="s">
        <v>5981</v>
      </c>
      <c r="C68" t="s">
        <v>5963</v>
      </c>
      <c r="D68" t="s">
        <v>6236</v>
      </c>
      <c r="E68" t="s">
        <v>5</v>
      </c>
      <c r="F68" t="s">
        <v>6237</v>
      </c>
      <c r="G68" t="s">
        <v>6238</v>
      </c>
      <c r="H68">
        <v>32220799</v>
      </c>
      <c r="I68" t="str">
        <f>TRIM(PERSONAL_ACTIVO_2025[[#This Row],[NOMBRE COMPLETO]])</f>
        <v>KARINA SALAZAR ZULUAGA</v>
      </c>
    </row>
    <row r="69" spans="1:9" x14ac:dyDescent="0.25">
      <c r="A69">
        <v>1042707758.3</v>
      </c>
      <c r="B69" t="s">
        <v>6239</v>
      </c>
      <c r="C69" t="s">
        <v>6024</v>
      </c>
      <c r="D69" t="s">
        <v>6240</v>
      </c>
      <c r="E69" t="s">
        <v>1368</v>
      </c>
      <c r="F69" t="s">
        <v>6241</v>
      </c>
      <c r="G69" t="s">
        <v>6242</v>
      </c>
      <c r="H69">
        <v>1042707758</v>
      </c>
      <c r="I69" t="str">
        <f>TRIM(PERSONAL_ACTIVO_2025[[#This Row],[NOMBRE COMPLETO]])</f>
        <v>KERLLY YURLEDY VILLA RAMIREZ</v>
      </c>
    </row>
    <row r="70" spans="1:9" x14ac:dyDescent="0.25">
      <c r="A70">
        <v>1035427823.7</v>
      </c>
      <c r="B70" t="s">
        <v>6024</v>
      </c>
      <c r="C70" t="s">
        <v>6137</v>
      </c>
      <c r="D70" t="s">
        <v>6243</v>
      </c>
      <c r="E70" t="s">
        <v>1368</v>
      </c>
      <c r="F70" t="s">
        <v>6244</v>
      </c>
      <c r="G70" t="s">
        <v>6245</v>
      </c>
      <c r="H70">
        <v>1035427823</v>
      </c>
      <c r="I70" t="str">
        <f>TRIM(PERSONAL_ACTIVO_2025[[#This Row],[NOMBRE COMPLETO]])</f>
        <v>LAURA RAMIREZ ARROYAVE</v>
      </c>
    </row>
    <row r="71" spans="1:9" x14ac:dyDescent="0.25">
      <c r="A71">
        <v>1035231868.5</v>
      </c>
      <c r="B71" t="s">
        <v>6246</v>
      </c>
      <c r="C71" t="s">
        <v>5986</v>
      </c>
      <c r="D71" t="s">
        <v>6247</v>
      </c>
      <c r="E71" t="s">
        <v>6248</v>
      </c>
      <c r="F71" t="s">
        <v>6249</v>
      </c>
      <c r="G71" t="s">
        <v>1055</v>
      </c>
      <c r="H71">
        <v>1035231868</v>
      </c>
      <c r="I71" t="str">
        <f>TRIM(PERSONAL_ACTIVO_2025[[#This Row],[NOMBRE COMPLETO]])</f>
        <v>LEIDY SANDRIT ARIZA ZAPATA</v>
      </c>
    </row>
    <row r="72" spans="1:9" x14ac:dyDescent="0.25">
      <c r="A72">
        <v>71274502.099999994</v>
      </c>
      <c r="B72" t="s">
        <v>6250</v>
      </c>
      <c r="C72" t="s">
        <v>6004</v>
      </c>
      <c r="D72" t="s">
        <v>6130</v>
      </c>
      <c r="E72" t="s">
        <v>6055</v>
      </c>
      <c r="F72" t="s">
        <v>6251</v>
      </c>
      <c r="G72" t="s">
        <v>999</v>
      </c>
      <c r="H72">
        <v>71274502</v>
      </c>
      <c r="I72" t="str">
        <f>TRIM(PERSONAL_ACTIVO_2025[[#This Row],[NOMBRE COMPLETO]])</f>
        <v>LEON DAVID QUINTERO RESTREPO</v>
      </c>
    </row>
    <row r="73" spans="1:9" x14ac:dyDescent="0.25">
      <c r="A73">
        <v>98552967.099999994</v>
      </c>
      <c r="B73" t="s">
        <v>5967</v>
      </c>
      <c r="C73" t="s">
        <v>6013</v>
      </c>
      <c r="D73" t="s">
        <v>6252</v>
      </c>
      <c r="E73" t="s">
        <v>6085</v>
      </c>
      <c r="F73" t="s">
        <v>6253</v>
      </c>
      <c r="G73" t="s">
        <v>899</v>
      </c>
      <c r="H73">
        <v>98552967</v>
      </c>
      <c r="I73" t="str">
        <f>TRIM(PERSONAL_ACTIVO_2025[[#This Row],[NOMBRE COMPLETO]])</f>
        <v>LIBIER DARIO JIMENEZ PEÑA</v>
      </c>
    </row>
    <row r="74" spans="1:9" x14ac:dyDescent="0.25">
      <c r="A74">
        <v>43251877.5</v>
      </c>
      <c r="B74" t="s">
        <v>6254</v>
      </c>
      <c r="C74" t="s">
        <v>6233</v>
      </c>
      <c r="D74" t="s">
        <v>6255</v>
      </c>
      <c r="E74" t="s">
        <v>6025</v>
      </c>
      <c r="F74" t="s">
        <v>6256</v>
      </c>
      <c r="G74" t="s">
        <v>947</v>
      </c>
      <c r="H74">
        <v>43251877</v>
      </c>
      <c r="I74" t="str">
        <f>TRIM(PERSONAL_ACTIVO_2025[[#This Row],[NOMBRE COMPLETO]])</f>
        <v>LICETH CATALINA CANO GONZALEZ</v>
      </c>
    </row>
    <row r="75" spans="1:9" x14ac:dyDescent="0.25">
      <c r="A75">
        <v>43873089.700000003</v>
      </c>
      <c r="B75" t="s">
        <v>6083</v>
      </c>
      <c r="C75" t="s">
        <v>6257</v>
      </c>
      <c r="D75" t="s">
        <v>6258</v>
      </c>
      <c r="E75" t="s">
        <v>6077</v>
      </c>
      <c r="F75" t="s">
        <v>6259</v>
      </c>
      <c r="G75" t="s">
        <v>6260</v>
      </c>
      <c r="H75">
        <v>43873089</v>
      </c>
      <c r="I75" t="str">
        <f>TRIM(PERSONAL_ACTIVO_2025[[#This Row],[NOMBRE COMPLETO]])</f>
        <v>LINA MARCELA GIRALDO CANO</v>
      </c>
    </row>
    <row r="76" spans="1:9" x14ac:dyDescent="0.25">
      <c r="A76">
        <v>43704964.299999997</v>
      </c>
      <c r="B76" t="s">
        <v>6261</v>
      </c>
      <c r="C76" t="s">
        <v>6182</v>
      </c>
      <c r="D76" t="s">
        <v>6262</v>
      </c>
      <c r="E76" t="s">
        <v>6263</v>
      </c>
      <c r="F76" t="s">
        <v>6264</v>
      </c>
      <c r="G76" t="s">
        <v>6265</v>
      </c>
      <c r="H76">
        <v>43704964</v>
      </c>
      <c r="I76" t="str">
        <f>TRIM(PERSONAL_ACTIVO_2025[[#This Row],[NOMBRE COMPLETO]])</f>
        <v>LISSINIA AIDE CASTRO VELASQUEZ</v>
      </c>
    </row>
    <row r="77" spans="1:9" x14ac:dyDescent="0.25">
      <c r="A77">
        <v>52023934.200000003</v>
      </c>
      <c r="B77" t="s">
        <v>6041</v>
      </c>
      <c r="C77" t="s">
        <v>6254</v>
      </c>
      <c r="D77" t="s">
        <v>6266</v>
      </c>
      <c r="E77" t="s">
        <v>1368</v>
      </c>
      <c r="F77" t="s">
        <v>6267</v>
      </c>
      <c r="G77" t="s">
        <v>6268</v>
      </c>
      <c r="H77">
        <v>52023934</v>
      </c>
      <c r="I77" t="str">
        <f>TRIM(PERSONAL_ACTIVO_2025[[#This Row],[NOMBRE COMPLETO]])</f>
        <v>LUCERO DIAZ CANO</v>
      </c>
    </row>
    <row r="78" spans="1:9" x14ac:dyDescent="0.25">
      <c r="A78">
        <v>43150744</v>
      </c>
      <c r="B78" t="s">
        <v>6269</v>
      </c>
      <c r="C78" t="s">
        <v>6270</v>
      </c>
      <c r="D78" t="s">
        <v>6271</v>
      </c>
      <c r="E78" t="s">
        <v>6272</v>
      </c>
      <c r="F78" t="s">
        <v>6273</v>
      </c>
      <c r="G78" t="s">
        <v>1045</v>
      </c>
      <c r="H78">
        <v>43150744</v>
      </c>
      <c r="I78" t="str">
        <f>TRIM(PERSONAL_ACTIVO_2025[[#This Row],[NOMBRE COMPLETO]])</f>
        <v>LUCY AUDREY BELTRAN ZAMBRANO</v>
      </c>
    </row>
    <row r="79" spans="1:9" x14ac:dyDescent="0.25">
      <c r="A79">
        <v>80040255.299999997</v>
      </c>
      <c r="B79" t="s">
        <v>6274</v>
      </c>
      <c r="C79" t="s">
        <v>6275</v>
      </c>
      <c r="D79" t="s">
        <v>6276</v>
      </c>
      <c r="E79" t="s">
        <v>6018</v>
      </c>
      <c r="F79" t="s">
        <v>6277</v>
      </c>
      <c r="G79" t="s">
        <v>6278</v>
      </c>
      <c r="H79">
        <v>80040255</v>
      </c>
      <c r="I79" t="str">
        <f>TRIM(PERSONAL_ACTIVO_2025[[#This Row],[NOMBRE COMPLETO]])</f>
        <v>LUIS CARLOS NOGUERA MELENDEZ</v>
      </c>
    </row>
    <row r="80" spans="1:9" x14ac:dyDescent="0.25">
      <c r="A80">
        <v>70000614.700000003</v>
      </c>
      <c r="B80" t="s">
        <v>6279</v>
      </c>
      <c r="C80" t="s">
        <v>6280</v>
      </c>
      <c r="D80" t="s">
        <v>6276</v>
      </c>
      <c r="E80" t="s">
        <v>6281</v>
      </c>
      <c r="F80" t="s">
        <v>6282</v>
      </c>
      <c r="G80" t="s">
        <v>6283</v>
      </c>
      <c r="H80">
        <v>70000614</v>
      </c>
      <c r="I80" t="str">
        <f>TRIM(PERSONAL_ACTIVO_2025[[#This Row],[NOMBRE COMPLETO]])</f>
        <v>LUIS FERNANDO LOAIZA GALLEGO</v>
      </c>
    </row>
    <row r="81" spans="1:9" x14ac:dyDescent="0.25">
      <c r="A81">
        <v>98628861.799999997</v>
      </c>
      <c r="B81" t="s">
        <v>5982</v>
      </c>
      <c r="C81" t="s">
        <v>6119</v>
      </c>
      <c r="D81" t="s">
        <v>6276</v>
      </c>
      <c r="E81" t="s">
        <v>6281</v>
      </c>
      <c r="F81" t="s">
        <v>6284</v>
      </c>
      <c r="G81" t="s">
        <v>962</v>
      </c>
      <c r="H81">
        <v>98628861</v>
      </c>
      <c r="I81" t="str">
        <f>TRIM(PERSONAL_ACTIVO_2025[[#This Row],[NOMBRE COMPLETO]])</f>
        <v>LUIS FERNANDO LOPEZ VALENCIA</v>
      </c>
    </row>
    <row r="82" spans="1:9" x14ac:dyDescent="0.25">
      <c r="A82">
        <v>71212968.200000003</v>
      </c>
      <c r="B82" t="s">
        <v>6139</v>
      </c>
      <c r="C82" t="s">
        <v>6285</v>
      </c>
      <c r="D82" t="s">
        <v>6276</v>
      </c>
      <c r="E82" t="s">
        <v>6286</v>
      </c>
      <c r="F82" t="s">
        <v>6287</v>
      </c>
      <c r="G82" t="s">
        <v>6288</v>
      </c>
      <c r="H82">
        <v>71212968</v>
      </c>
      <c r="I82" t="str">
        <f>TRIM(PERSONAL_ACTIVO_2025[[#This Row],[NOMBRE COMPLETO]])</f>
        <v>LUIS GIOVANY ARIAS TOBON</v>
      </c>
    </row>
    <row r="83" spans="1:9" x14ac:dyDescent="0.25">
      <c r="A83">
        <v>43972678.100000001</v>
      </c>
      <c r="B83" t="s">
        <v>6289</v>
      </c>
      <c r="C83" t="s">
        <v>6254</v>
      </c>
      <c r="D83" t="s">
        <v>6290</v>
      </c>
      <c r="E83" t="s">
        <v>6291</v>
      </c>
      <c r="F83" t="s">
        <v>6292</v>
      </c>
      <c r="G83" t="s">
        <v>1018</v>
      </c>
      <c r="H83">
        <v>43972678</v>
      </c>
      <c r="I83" t="str">
        <f>TRIM(PERSONAL_ACTIVO_2025[[#This Row],[NOMBRE COMPLETO]])</f>
        <v>LUISA FERNANDA GAVIRIA CANO</v>
      </c>
    </row>
    <row r="84" spans="1:9" x14ac:dyDescent="0.25">
      <c r="A84">
        <v>32244709.699999999</v>
      </c>
      <c r="B84" t="s">
        <v>6119</v>
      </c>
      <c r="C84" t="s">
        <v>6293</v>
      </c>
      <c r="D84" t="s">
        <v>6294</v>
      </c>
      <c r="E84" t="s">
        <v>6295</v>
      </c>
      <c r="F84" t="s">
        <v>6296</v>
      </c>
      <c r="G84" t="s">
        <v>991</v>
      </c>
      <c r="H84">
        <v>32244709</v>
      </c>
      <c r="I84" t="str">
        <f>TRIM(PERSONAL_ACTIVO_2025[[#This Row],[NOMBRE COMPLETO]])</f>
        <v>LUZ ADRIANA VALENCIA CARMONA</v>
      </c>
    </row>
    <row r="85" spans="1:9" x14ac:dyDescent="0.25">
      <c r="A85">
        <v>21490893.800000001</v>
      </c>
      <c r="B85" t="s">
        <v>5976</v>
      </c>
      <c r="C85" t="s">
        <v>6008</v>
      </c>
      <c r="D85" t="s">
        <v>6294</v>
      </c>
      <c r="E85" t="s">
        <v>6002</v>
      </c>
      <c r="F85" t="s">
        <v>6297</v>
      </c>
      <c r="G85" t="s">
        <v>1117</v>
      </c>
      <c r="H85">
        <v>21490893</v>
      </c>
      <c r="I85" t="str">
        <f>TRIM(PERSONAL_ACTIVO_2025[[#This Row],[NOMBRE COMPLETO]])</f>
        <v>LUZ ELENA MARIN OCAMPO</v>
      </c>
    </row>
    <row r="86" spans="1:9" x14ac:dyDescent="0.25">
      <c r="A86">
        <v>43508133.100000001</v>
      </c>
      <c r="B86" t="s">
        <v>6024</v>
      </c>
      <c r="C86" t="s">
        <v>6298</v>
      </c>
      <c r="D86" t="s">
        <v>6294</v>
      </c>
      <c r="E86" t="s">
        <v>6299</v>
      </c>
      <c r="F86" t="s">
        <v>6300</v>
      </c>
      <c r="G86" t="s">
        <v>6301</v>
      </c>
      <c r="H86">
        <v>43508133</v>
      </c>
      <c r="I86" t="str">
        <f>TRIM(PERSONAL_ACTIVO_2025[[#This Row],[NOMBRE COMPLETO]])</f>
        <v>LUZ MARY RAMIREZ TANGARIFE</v>
      </c>
    </row>
    <row r="87" spans="1:9" x14ac:dyDescent="0.25">
      <c r="A87">
        <v>39619779.899999999</v>
      </c>
      <c r="B87" t="s">
        <v>6233</v>
      </c>
      <c r="C87" t="s">
        <v>6302</v>
      </c>
      <c r="D87" t="s">
        <v>6294</v>
      </c>
      <c r="E87" t="s">
        <v>6303</v>
      </c>
      <c r="F87" t="s">
        <v>6304</v>
      </c>
      <c r="G87" t="s">
        <v>6305</v>
      </c>
      <c r="H87">
        <v>39619779</v>
      </c>
      <c r="I87" t="str">
        <f>TRIM(PERSONAL_ACTIVO_2025[[#This Row],[NOMBRE COMPLETO]])</f>
        <v>LUZ MIRELLA GONZALEZ CASTILLO</v>
      </c>
    </row>
    <row r="88" spans="1:9" x14ac:dyDescent="0.25">
      <c r="A88">
        <v>43575980.700000003</v>
      </c>
      <c r="B88" t="s">
        <v>6306</v>
      </c>
      <c r="C88" t="s">
        <v>5972</v>
      </c>
      <c r="D88" t="s">
        <v>6294</v>
      </c>
      <c r="E88" t="s">
        <v>6307</v>
      </c>
      <c r="F88" t="s">
        <v>6308</v>
      </c>
      <c r="G88" t="s">
        <v>1007</v>
      </c>
      <c r="H88">
        <v>43575980</v>
      </c>
      <c r="I88" t="str">
        <f>TRIM(PERSONAL_ACTIVO_2025[[#This Row],[NOMBRE COMPLETO]])</f>
        <v>LUZ VERONICA ARBOLEDA GOMEZ</v>
      </c>
    </row>
    <row r="89" spans="1:9" x14ac:dyDescent="0.25">
      <c r="A89">
        <v>24369658.800000001</v>
      </c>
      <c r="B89" t="s">
        <v>5982</v>
      </c>
      <c r="C89" t="s">
        <v>6309</v>
      </c>
      <c r="D89" t="s">
        <v>6310</v>
      </c>
      <c r="E89" t="s">
        <v>6311</v>
      </c>
      <c r="F89" t="s">
        <v>6312</v>
      </c>
      <c r="G89" t="s">
        <v>6313</v>
      </c>
      <c r="H89">
        <v>24369658</v>
      </c>
      <c r="I89" t="str">
        <f>TRIM(PERSONAL_ACTIVO_2025[[#This Row],[NOMBRE COMPLETO]])</f>
        <v>MAGDA YAMILE LOPEZ GALVIS</v>
      </c>
    </row>
    <row r="90" spans="1:9" x14ac:dyDescent="0.25">
      <c r="A90">
        <v>19424139.399999999</v>
      </c>
      <c r="B90" t="s">
        <v>6314</v>
      </c>
      <c r="C90" t="s">
        <v>6315</v>
      </c>
      <c r="D90" t="s">
        <v>6222</v>
      </c>
      <c r="E90" t="s">
        <v>6316</v>
      </c>
      <c r="F90" t="s">
        <v>6317</v>
      </c>
      <c r="G90" t="s">
        <v>1419</v>
      </c>
      <c r="H90">
        <v>19424139</v>
      </c>
      <c r="I90" t="str">
        <f>TRIM(PERSONAL_ACTIVO_2025[[#This Row],[NOMBRE COMPLETO]])</f>
        <v>MANUEL ANTONIO RODRIGUEZ PEREZ</v>
      </c>
    </row>
    <row r="91" spans="1:9" x14ac:dyDescent="0.25">
      <c r="A91">
        <v>39192514.899999999</v>
      </c>
      <c r="B91" t="s">
        <v>6182</v>
      </c>
      <c r="C91" t="s">
        <v>5968</v>
      </c>
      <c r="D91" t="s">
        <v>6318</v>
      </c>
      <c r="E91" t="s">
        <v>1368</v>
      </c>
      <c r="F91" t="s">
        <v>6319</v>
      </c>
      <c r="G91" t="s">
        <v>6320</v>
      </c>
      <c r="H91">
        <v>39192514</v>
      </c>
      <c r="I91" t="str">
        <f>TRIM(PERSONAL_ACTIVO_2025[[#This Row],[NOMBRE COMPLETO]])</f>
        <v>MANUELA VELASQUEZ RENGIFO</v>
      </c>
    </row>
    <row r="92" spans="1:9" x14ac:dyDescent="0.25">
      <c r="A92">
        <v>43571587.700000003</v>
      </c>
      <c r="B92" t="s">
        <v>6041</v>
      </c>
      <c r="C92" t="s">
        <v>6049</v>
      </c>
      <c r="D92" t="s">
        <v>5973</v>
      </c>
      <c r="E92" t="s">
        <v>6046</v>
      </c>
      <c r="F92" t="s">
        <v>6321</v>
      </c>
      <c r="G92" t="s">
        <v>1355</v>
      </c>
      <c r="H92">
        <v>43571587</v>
      </c>
      <c r="I92" t="str">
        <f>TRIM(PERSONAL_ACTIVO_2025[[#This Row],[NOMBRE COMPLETO]])</f>
        <v>MARGARITA MARIA DIAZ ESCOBAR</v>
      </c>
    </row>
    <row r="93" spans="1:9" x14ac:dyDescent="0.25">
      <c r="A93">
        <v>43677258.5</v>
      </c>
      <c r="B93" t="s">
        <v>6322</v>
      </c>
      <c r="C93" t="s">
        <v>6108</v>
      </c>
      <c r="D93" t="s">
        <v>6046</v>
      </c>
      <c r="E93" t="s">
        <v>6323</v>
      </c>
      <c r="F93" t="s">
        <v>6324</v>
      </c>
      <c r="G93" t="s">
        <v>6325</v>
      </c>
      <c r="H93">
        <v>43677258</v>
      </c>
      <c r="I93" t="str">
        <f>TRIM(PERSONAL_ACTIVO_2025[[#This Row],[NOMBRE COMPLETO]])</f>
        <v>MARIA DEL PILAR SOLANO SIERRA</v>
      </c>
    </row>
    <row r="94" spans="1:9" x14ac:dyDescent="0.25">
      <c r="A94">
        <v>43728064.299999997</v>
      </c>
      <c r="B94" t="s">
        <v>6004</v>
      </c>
      <c r="C94" t="s">
        <v>6202</v>
      </c>
      <c r="D94" t="s">
        <v>6046</v>
      </c>
      <c r="E94" t="s">
        <v>6326</v>
      </c>
      <c r="F94" t="s">
        <v>6327</v>
      </c>
      <c r="G94" t="s">
        <v>6328</v>
      </c>
      <c r="H94">
        <v>43728064</v>
      </c>
      <c r="I94" t="str">
        <f>TRIM(PERSONAL_ACTIVO_2025[[#This Row],[NOMBRE COMPLETO]])</f>
        <v>MARIA EUGENIA RESTREPO MAYA</v>
      </c>
    </row>
    <row r="95" spans="1:9" x14ac:dyDescent="0.25">
      <c r="A95">
        <v>43056212.200000003</v>
      </c>
      <c r="B95" t="s">
        <v>6329</v>
      </c>
      <c r="C95" t="s">
        <v>6079</v>
      </c>
      <c r="D95" t="s">
        <v>6046</v>
      </c>
      <c r="E95" t="s">
        <v>6330</v>
      </c>
      <c r="F95" t="s">
        <v>6331</v>
      </c>
      <c r="G95" t="s">
        <v>6332</v>
      </c>
      <c r="H95">
        <v>43056212</v>
      </c>
      <c r="I95" t="str">
        <f>TRIM(PERSONAL_ACTIVO_2025[[#This Row],[NOMBRE COMPLETO]])</f>
        <v>MARIA MERCEDES BECERRA MARTINEZ</v>
      </c>
    </row>
    <row r="96" spans="1:9" x14ac:dyDescent="0.25">
      <c r="A96">
        <v>43610005</v>
      </c>
      <c r="B96" t="s">
        <v>6059</v>
      </c>
      <c r="C96" t="s">
        <v>6149</v>
      </c>
      <c r="D96" t="s">
        <v>6046</v>
      </c>
      <c r="E96" t="s">
        <v>6333</v>
      </c>
      <c r="F96" t="s">
        <v>6334</v>
      </c>
      <c r="G96" t="s">
        <v>934</v>
      </c>
      <c r="H96">
        <v>43610005</v>
      </c>
      <c r="I96" t="str">
        <f>TRIM(PERSONAL_ACTIVO_2025[[#This Row],[NOMBRE COMPLETO]])</f>
        <v>MARIA TERESA DE GUADALUPE MUÑOZ JARAMILLO</v>
      </c>
    </row>
    <row r="97" spans="1:9" x14ac:dyDescent="0.25">
      <c r="A97">
        <v>98547345</v>
      </c>
      <c r="B97" t="s">
        <v>6250</v>
      </c>
      <c r="C97" t="s">
        <v>6182</v>
      </c>
      <c r="D97" t="s">
        <v>6022</v>
      </c>
      <c r="E97" t="s">
        <v>5977</v>
      </c>
      <c r="F97" t="s">
        <v>6335</v>
      </c>
      <c r="G97" t="s">
        <v>6336</v>
      </c>
      <c r="H97">
        <v>98547345</v>
      </c>
      <c r="I97" t="str">
        <f>TRIM(PERSONAL_ACTIVO_2025[[#This Row],[NOMBRE COMPLETO]])</f>
        <v>MARIO ANDRES QUINTERO VELASQUEZ</v>
      </c>
    </row>
    <row r="98" spans="1:9" x14ac:dyDescent="0.25">
      <c r="A98">
        <v>1040030533.9</v>
      </c>
      <c r="B98" t="s">
        <v>6066</v>
      </c>
      <c r="C98" t="s">
        <v>6028</v>
      </c>
      <c r="D98" t="s">
        <v>6337</v>
      </c>
      <c r="E98" t="s">
        <v>5970</v>
      </c>
      <c r="F98" t="s">
        <v>6338</v>
      </c>
      <c r="G98" t="s">
        <v>965</v>
      </c>
      <c r="H98">
        <v>1040030533</v>
      </c>
      <c r="I98" t="str">
        <f>TRIM(PERSONAL_ACTIVO_2025[[#This Row],[NOMBRE COMPLETO]])</f>
        <v>MARTA CECILIA GARCIA FRANCO</v>
      </c>
    </row>
    <row r="99" spans="1:9" x14ac:dyDescent="0.25">
      <c r="A99">
        <v>51809755.100000001</v>
      </c>
      <c r="B99" t="s">
        <v>6339</v>
      </c>
      <c r="C99" t="s">
        <v>5985</v>
      </c>
      <c r="D99" t="s">
        <v>6340</v>
      </c>
      <c r="E99" t="s">
        <v>6341</v>
      </c>
      <c r="F99" t="s">
        <v>6342</v>
      </c>
      <c r="G99" t="s">
        <v>6343</v>
      </c>
      <c r="H99">
        <v>51809755</v>
      </c>
      <c r="I99" t="str">
        <f>TRIM(PERSONAL_ACTIVO_2025[[#This Row],[NOMBRE COMPLETO]])</f>
        <v>MARTHA LUCIA ORREGO LONDOÑO</v>
      </c>
    </row>
    <row r="100" spans="1:9" x14ac:dyDescent="0.25">
      <c r="A100">
        <v>43578756.700000003</v>
      </c>
      <c r="B100" t="s">
        <v>6344</v>
      </c>
      <c r="C100" t="s">
        <v>1368</v>
      </c>
      <c r="D100" t="s">
        <v>6340</v>
      </c>
      <c r="E100" t="s">
        <v>6345</v>
      </c>
      <c r="F100" t="s">
        <v>6346</v>
      </c>
      <c r="G100" t="s">
        <v>6347</v>
      </c>
      <c r="H100">
        <v>43578756</v>
      </c>
      <c r="I100" t="str">
        <f>TRIM(PERSONAL_ACTIVO_2025[[#This Row],[NOMBRE COMPLETO]])</f>
        <v>MARTHA NURY BOLIVAR</v>
      </c>
    </row>
    <row r="101" spans="1:9" x14ac:dyDescent="0.25">
      <c r="A101">
        <v>32277581.300000001</v>
      </c>
      <c r="B101" t="s">
        <v>6348</v>
      </c>
      <c r="C101" t="s">
        <v>6349</v>
      </c>
      <c r="D101" t="s">
        <v>6299</v>
      </c>
      <c r="E101" t="s">
        <v>6294</v>
      </c>
      <c r="F101" t="s">
        <v>6350</v>
      </c>
      <c r="G101" t="s">
        <v>1341</v>
      </c>
      <c r="H101">
        <v>32277581</v>
      </c>
      <c r="I101" t="str">
        <f>TRIM(PERSONAL_ACTIVO_2025[[#This Row],[NOMBRE COMPLETO]])</f>
        <v>MARY LUZ ARENAS FORONDA</v>
      </c>
    </row>
    <row r="102" spans="1:9" x14ac:dyDescent="0.25">
      <c r="A102">
        <v>43910335.299999997</v>
      </c>
      <c r="B102" t="s">
        <v>6314</v>
      </c>
      <c r="C102" t="s">
        <v>6351</v>
      </c>
      <c r="D102" t="s">
        <v>6352</v>
      </c>
      <c r="E102" t="s">
        <v>1368</v>
      </c>
      <c r="F102" t="s">
        <v>6353</v>
      </c>
      <c r="G102" t="s">
        <v>6354</v>
      </c>
      <c r="H102">
        <v>43910335</v>
      </c>
      <c r="I102" t="str">
        <f>TRIM(PERSONAL_ACTIVO_2025[[#This Row],[NOMBRE COMPLETO]])</f>
        <v>MARYLUZ RODRIGUEZ URIBE</v>
      </c>
    </row>
    <row r="103" spans="1:9" x14ac:dyDescent="0.25">
      <c r="A103">
        <v>98699105.099999994</v>
      </c>
      <c r="B103" t="s">
        <v>6196</v>
      </c>
      <c r="C103" t="s">
        <v>5985</v>
      </c>
      <c r="D103" t="s">
        <v>6355</v>
      </c>
      <c r="E103" t="s">
        <v>1368</v>
      </c>
      <c r="F103" t="s">
        <v>6356</v>
      </c>
      <c r="G103" t="s">
        <v>6357</v>
      </c>
      <c r="H103">
        <v>98699105</v>
      </c>
      <c r="I103" t="str">
        <f>TRIM(PERSONAL_ACTIVO_2025[[#This Row],[NOMBRE COMPLETO]])</f>
        <v>MAXIMILIANO BEDOYA LONDOÑO</v>
      </c>
    </row>
    <row r="104" spans="1:9" x14ac:dyDescent="0.25">
      <c r="A104">
        <v>43816614.100000001</v>
      </c>
      <c r="B104" t="s">
        <v>6348</v>
      </c>
      <c r="C104" t="s">
        <v>6358</v>
      </c>
      <c r="D104" t="s">
        <v>6359</v>
      </c>
      <c r="E104" t="s">
        <v>6046</v>
      </c>
      <c r="F104" t="s">
        <v>6360</v>
      </c>
      <c r="G104" t="s">
        <v>971</v>
      </c>
      <c r="H104">
        <v>43816614</v>
      </c>
      <c r="I104" t="str">
        <f>TRIM(PERSONAL_ACTIVO_2025[[#This Row],[NOMBRE COMPLETO]])</f>
        <v>MONICA MARIA ARENAS SOSA</v>
      </c>
    </row>
    <row r="105" spans="1:9" x14ac:dyDescent="0.25">
      <c r="A105">
        <v>15511884.1</v>
      </c>
      <c r="B105" t="s">
        <v>6361</v>
      </c>
      <c r="C105" t="s">
        <v>6041</v>
      </c>
      <c r="D105" t="s">
        <v>6362</v>
      </c>
      <c r="E105" t="s">
        <v>6030</v>
      </c>
      <c r="F105" t="s">
        <v>6363</v>
      </c>
      <c r="G105" t="s">
        <v>1110</v>
      </c>
      <c r="H105">
        <v>15511884</v>
      </c>
      <c r="I105" t="str">
        <f>TRIM(PERSONAL_ACTIVO_2025[[#This Row],[NOMBRE COMPLETO]])</f>
        <v>NELSON AUGUSTO HERNANDEZ DIAZ</v>
      </c>
    </row>
    <row r="106" spans="1:9" x14ac:dyDescent="0.25">
      <c r="A106">
        <v>71174454.5</v>
      </c>
      <c r="B106" t="s">
        <v>6059</v>
      </c>
      <c r="C106" t="s">
        <v>6364</v>
      </c>
      <c r="D106" t="s">
        <v>6365</v>
      </c>
      <c r="E106" t="s">
        <v>6366</v>
      </c>
      <c r="F106" t="s">
        <v>6367</v>
      </c>
      <c r="G106" t="s">
        <v>6368</v>
      </c>
      <c r="H106">
        <v>71174454</v>
      </c>
      <c r="I106" t="str">
        <f>TRIM(PERSONAL_ACTIVO_2025[[#This Row],[NOMBRE COMPLETO]])</f>
        <v>NICANOR ALONSO MUÑOZ AGUIRRE</v>
      </c>
    </row>
    <row r="107" spans="1:9" x14ac:dyDescent="0.25">
      <c r="A107">
        <v>43017641.200000003</v>
      </c>
      <c r="B107" t="s">
        <v>6369</v>
      </c>
      <c r="C107" t="s">
        <v>6370</v>
      </c>
      <c r="D107" t="s">
        <v>6371</v>
      </c>
      <c r="E107" t="s">
        <v>6341</v>
      </c>
      <c r="F107" t="s">
        <v>6372</v>
      </c>
      <c r="G107" t="s">
        <v>1520</v>
      </c>
      <c r="H107">
        <v>43017641</v>
      </c>
      <c r="I107" t="str">
        <f>TRIM(PERSONAL_ACTIVO_2025[[#This Row],[NOMBRE COMPLETO]])</f>
        <v>OLGA LUCIA QUIROZ BASTIDAS</v>
      </c>
    </row>
    <row r="108" spans="1:9" x14ac:dyDescent="0.25">
      <c r="A108">
        <v>43671828.600000001</v>
      </c>
      <c r="B108" t="s">
        <v>6119</v>
      </c>
      <c r="C108" t="s">
        <v>6373</v>
      </c>
      <c r="D108" t="s">
        <v>6374</v>
      </c>
      <c r="E108" t="s">
        <v>6375</v>
      </c>
      <c r="F108" t="s">
        <v>6376</v>
      </c>
      <c r="G108" t="s">
        <v>1072</v>
      </c>
      <c r="H108">
        <v>43671828</v>
      </c>
      <c r="I108" t="str">
        <f>TRIM(PERSONAL_ACTIVO_2025[[#This Row],[NOMBRE COMPLETO]])</f>
        <v>ORFILIA DEL SOCORRO VALENCIA RENDON</v>
      </c>
    </row>
    <row r="109" spans="1:9" x14ac:dyDescent="0.25">
      <c r="A109">
        <v>71610877.799999997</v>
      </c>
      <c r="B109" t="s">
        <v>6097</v>
      </c>
      <c r="C109" t="s">
        <v>6348</v>
      </c>
      <c r="D109" t="s">
        <v>6377</v>
      </c>
      <c r="E109" t="s">
        <v>6022</v>
      </c>
      <c r="F109" t="s">
        <v>6378</v>
      </c>
      <c r="G109" t="s">
        <v>1069</v>
      </c>
      <c r="H109">
        <v>71610877</v>
      </c>
      <c r="I109" t="str">
        <f>TRIM(PERSONAL_ACTIVO_2025[[#This Row],[NOMBRE COMPLETO]])</f>
        <v>OSCAR MARIO CARDONA ARENAS</v>
      </c>
    </row>
    <row r="110" spans="1:9" x14ac:dyDescent="0.25">
      <c r="A110">
        <v>1039449337.8</v>
      </c>
      <c r="B110" t="s">
        <v>6379</v>
      </c>
      <c r="C110" t="s">
        <v>6380</v>
      </c>
      <c r="D110" t="s">
        <v>6377</v>
      </c>
      <c r="E110" t="s">
        <v>6147</v>
      </c>
      <c r="F110" t="s">
        <v>6381</v>
      </c>
      <c r="G110" t="s">
        <v>915</v>
      </c>
      <c r="H110">
        <v>1039449337</v>
      </c>
      <c r="I110" t="str">
        <f>TRIM(PERSONAL_ACTIVO_2025[[#This Row],[NOMBRE COMPLETO]])</f>
        <v>OSCAR MAURICIO BADILLO LIZARRALDE</v>
      </c>
    </row>
    <row r="111" spans="1:9" x14ac:dyDescent="0.25">
      <c r="A111">
        <v>43865210.899999999</v>
      </c>
      <c r="B111" t="s">
        <v>6382</v>
      </c>
      <c r="C111" t="s">
        <v>6000</v>
      </c>
      <c r="D111" t="s">
        <v>6383</v>
      </c>
      <c r="E111" t="s">
        <v>6384</v>
      </c>
      <c r="F111" t="s">
        <v>6385</v>
      </c>
      <c r="G111" t="s">
        <v>6386</v>
      </c>
      <c r="H111">
        <v>43865210</v>
      </c>
      <c r="I111" t="str">
        <f>TRIM(PERSONAL_ACTIVO_2025[[#This Row],[NOMBRE COMPLETO]])</f>
        <v>PAULA ANDREA MENDEZ GIL</v>
      </c>
    </row>
    <row r="112" spans="1:9" x14ac:dyDescent="0.25">
      <c r="A112">
        <v>71647216.099999994</v>
      </c>
      <c r="B112" t="s">
        <v>6028</v>
      </c>
      <c r="C112" t="s">
        <v>6124</v>
      </c>
      <c r="D112" t="s">
        <v>6387</v>
      </c>
      <c r="E112" t="s">
        <v>6388</v>
      </c>
      <c r="F112" t="s">
        <v>6389</v>
      </c>
      <c r="G112" t="s">
        <v>6390</v>
      </c>
      <c r="H112">
        <v>71647216</v>
      </c>
      <c r="I112" t="str">
        <f>TRIM(PERSONAL_ACTIVO_2025[[#This Row],[NOMBRE COMPLETO]])</f>
        <v>RAMON EDUARDO FRANCO MONTOYA</v>
      </c>
    </row>
    <row r="113" spans="1:9" x14ac:dyDescent="0.25">
      <c r="A113">
        <v>71674858.200000003</v>
      </c>
      <c r="B113" t="s">
        <v>5964</v>
      </c>
      <c r="C113" t="s">
        <v>6369</v>
      </c>
      <c r="D113" t="s">
        <v>6391</v>
      </c>
      <c r="E113" t="s">
        <v>5</v>
      </c>
      <c r="F113" t="s">
        <v>6392</v>
      </c>
      <c r="G113" t="s">
        <v>6393</v>
      </c>
      <c r="H113">
        <v>71674858</v>
      </c>
      <c r="I113" t="str">
        <f>TRIM(PERSONAL_ACTIVO_2025[[#This Row],[NOMBRE COMPLETO]])</f>
        <v>RODRIGO MORA QUIROZ</v>
      </c>
    </row>
    <row r="114" spans="1:9" x14ac:dyDescent="0.25">
      <c r="A114">
        <v>43806862.899999999</v>
      </c>
      <c r="B114" t="s">
        <v>6201</v>
      </c>
      <c r="C114" t="s">
        <v>5986</v>
      </c>
      <c r="D114" t="s">
        <v>6394</v>
      </c>
      <c r="E114" t="s">
        <v>6395</v>
      </c>
      <c r="F114" t="s">
        <v>6396</v>
      </c>
      <c r="G114" t="s">
        <v>6397</v>
      </c>
      <c r="H114">
        <v>43806862</v>
      </c>
      <c r="I114" t="str">
        <f>TRIM(PERSONAL_ACTIVO_2025[[#This Row],[NOMBRE COMPLETO]])</f>
        <v>ROSALBA YANET BETANCUR ZAPATA</v>
      </c>
    </row>
    <row r="115" spans="1:9" x14ac:dyDescent="0.25">
      <c r="A115">
        <v>43821344.799999997</v>
      </c>
      <c r="B115" t="s">
        <v>6398</v>
      </c>
      <c r="C115" t="s">
        <v>6399</v>
      </c>
      <c r="D115" t="s">
        <v>6400</v>
      </c>
      <c r="E115" t="s">
        <v>6401</v>
      </c>
      <c r="F115" t="s">
        <v>6402</v>
      </c>
      <c r="G115" t="s">
        <v>6403</v>
      </c>
      <c r="H115">
        <v>43821344</v>
      </c>
      <c r="I115" t="str">
        <f>TRIM(PERSONAL_ACTIVO_2025[[#This Row],[NOMBRE COMPLETO]])</f>
        <v>SANDRA MARIZA MIRANDA CIFUENTES</v>
      </c>
    </row>
    <row r="116" spans="1:9" x14ac:dyDescent="0.25">
      <c r="A116">
        <v>43906101.100000001</v>
      </c>
      <c r="B116" t="s">
        <v>6404</v>
      </c>
      <c r="C116" t="s">
        <v>6196</v>
      </c>
      <c r="D116" t="s">
        <v>6400</v>
      </c>
      <c r="E116" t="s">
        <v>6405</v>
      </c>
      <c r="F116" t="s">
        <v>6406</v>
      </c>
      <c r="G116" t="s">
        <v>6407</v>
      </c>
      <c r="H116">
        <v>43906101</v>
      </c>
      <c r="I116" t="str">
        <f>TRIM(PERSONAL_ACTIVO_2025[[#This Row],[NOMBRE COMPLETO]])</f>
        <v>SANDRA MILENA CALLE BEDOYA</v>
      </c>
    </row>
    <row r="117" spans="1:9" x14ac:dyDescent="0.25">
      <c r="A117">
        <v>43754943.200000003</v>
      </c>
      <c r="B117" t="s">
        <v>6408</v>
      </c>
      <c r="C117" t="s">
        <v>6409</v>
      </c>
      <c r="D117" t="s">
        <v>6400</v>
      </c>
      <c r="E117" t="s">
        <v>6405</v>
      </c>
      <c r="F117" t="s">
        <v>6410</v>
      </c>
      <c r="G117" t="s">
        <v>6411</v>
      </c>
      <c r="H117">
        <v>43754943</v>
      </c>
      <c r="I117" t="str">
        <f>TRIM(PERSONAL_ACTIVO_2025[[#This Row],[NOMBRE COMPLETO]])</f>
        <v>SANDRA MILENA IBARRA HEREDIA</v>
      </c>
    </row>
    <row r="118" spans="1:9" x14ac:dyDescent="0.25">
      <c r="A118">
        <v>39176038.700000003</v>
      </c>
      <c r="B118" t="s">
        <v>5995</v>
      </c>
      <c r="C118" t="s">
        <v>6037</v>
      </c>
      <c r="D118" t="s">
        <v>6400</v>
      </c>
      <c r="E118" t="s">
        <v>6412</v>
      </c>
      <c r="F118" t="s">
        <v>6413</v>
      </c>
      <c r="G118" t="s">
        <v>994</v>
      </c>
      <c r="H118">
        <v>39176038</v>
      </c>
      <c r="I118" t="str">
        <f>TRIM(PERSONAL_ACTIVO_2025[[#This Row],[NOMBRE COMPLETO]])</f>
        <v>SANDRA YULIETH PALACIO ARANGO</v>
      </c>
    </row>
    <row r="119" spans="1:9" x14ac:dyDescent="0.25">
      <c r="A119">
        <v>1083014880.9000001</v>
      </c>
      <c r="B119" t="s">
        <v>6414</v>
      </c>
      <c r="C119" t="s">
        <v>5982</v>
      </c>
      <c r="D119" t="s">
        <v>6415</v>
      </c>
      <c r="E119" t="s">
        <v>6176</v>
      </c>
      <c r="F119" t="s">
        <v>6416</v>
      </c>
      <c r="G119" t="s">
        <v>1120</v>
      </c>
      <c r="H119">
        <v>1083014880</v>
      </c>
      <c r="I119" t="str">
        <f>TRIM(PERSONAL_ACTIVO_2025[[#This Row],[NOMBRE COMPLETO]])</f>
        <v>SANTIAGO ALFONSO PADILLA LOPEZ</v>
      </c>
    </row>
    <row r="120" spans="1:9" x14ac:dyDescent="0.25">
      <c r="A120">
        <v>1036930744.3</v>
      </c>
      <c r="B120" t="s">
        <v>6008</v>
      </c>
      <c r="C120" t="s">
        <v>6417</v>
      </c>
      <c r="D120" t="s">
        <v>6418</v>
      </c>
      <c r="E120" t="s">
        <v>1368</v>
      </c>
      <c r="F120" t="s">
        <v>6419</v>
      </c>
      <c r="G120" t="s">
        <v>6420</v>
      </c>
      <c r="H120">
        <v>1036930744</v>
      </c>
      <c r="I120" t="str">
        <f>TRIM(PERSONAL_ACTIVO_2025[[#This Row],[NOMBRE COMPLETO]])</f>
        <v>SEBASTIAN OCAMPO VARGAS</v>
      </c>
    </row>
    <row r="121" spans="1:9" x14ac:dyDescent="0.25">
      <c r="A121">
        <v>1146436016</v>
      </c>
      <c r="B121" t="s">
        <v>6421</v>
      </c>
      <c r="C121" t="s">
        <v>6079</v>
      </c>
      <c r="D121" t="s">
        <v>6422</v>
      </c>
      <c r="E121" t="s">
        <v>6423</v>
      </c>
      <c r="F121" t="s">
        <v>6424</v>
      </c>
      <c r="G121" t="s">
        <v>6425</v>
      </c>
      <c r="H121">
        <v>1146436016</v>
      </c>
      <c r="I121" t="str">
        <f>TRIM(PERSONAL_ACTIVO_2025[[#This Row],[NOMBRE COMPLETO]])</f>
        <v>SONIA LISLLEY CALVO MARTINEZ</v>
      </c>
    </row>
    <row r="122" spans="1:9" x14ac:dyDescent="0.25">
      <c r="A122">
        <v>43635685.700000003</v>
      </c>
      <c r="B122" t="s">
        <v>6426</v>
      </c>
      <c r="C122" t="s">
        <v>6124</v>
      </c>
      <c r="D122" t="s">
        <v>6427</v>
      </c>
      <c r="E122" t="s">
        <v>1368</v>
      </c>
      <c r="F122" t="s">
        <v>6428</v>
      </c>
      <c r="G122" t="s">
        <v>6429</v>
      </c>
      <c r="H122">
        <v>43635685</v>
      </c>
      <c r="I122" t="str">
        <f>TRIM(PERSONAL_ACTIVO_2025[[#This Row],[NOMBRE COMPLETO]])</f>
        <v>TATIANA RIOS MONTOYA</v>
      </c>
    </row>
    <row r="123" spans="1:9" x14ac:dyDescent="0.25">
      <c r="A123">
        <v>43814299.5</v>
      </c>
      <c r="B123" t="s">
        <v>6205</v>
      </c>
      <c r="C123" t="s">
        <v>6127</v>
      </c>
      <c r="D123" t="s">
        <v>6430</v>
      </c>
      <c r="E123" t="s">
        <v>6431</v>
      </c>
      <c r="F123" t="s">
        <v>6432</v>
      </c>
      <c r="G123" t="s">
        <v>6433</v>
      </c>
      <c r="H123">
        <v>43814299</v>
      </c>
      <c r="I123" t="str">
        <f>TRIM(PERSONAL_ACTIVO_2025[[#This Row],[NOMBRE COMPLETO]])</f>
        <v>VANESA ELIANA OSPINA SANCHEZ</v>
      </c>
    </row>
    <row r="124" spans="1:9" x14ac:dyDescent="0.25">
      <c r="A124">
        <v>1017174088.7</v>
      </c>
      <c r="B124" t="s">
        <v>6434</v>
      </c>
      <c r="C124" t="s">
        <v>6435</v>
      </c>
      <c r="D124" t="s">
        <v>6307</v>
      </c>
      <c r="E124" t="s">
        <v>1368</v>
      </c>
      <c r="F124" t="s">
        <v>6436</v>
      </c>
      <c r="G124" t="s">
        <v>6437</v>
      </c>
      <c r="H124">
        <v>1017174088</v>
      </c>
      <c r="I124" t="str">
        <f>TRIM(PERSONAL_ACTIVO_2025[[#This Row],[NOMBRE COMPLETO]])</f>
        <v>VERONICA URREA GALLO</v>
      </c>
    </row>
    <row r="125" spans="1:9" x14ac:dyDescent="0.25">
      <c r="A125">
        <v>82395290.200000003</v>
      </c>
      <c r="B125" t="s">
        <v>6438</v>
      </c>
      <c r="C125" t="s">
        <v>6439</v>
      </c>
      <c r="D125" t="s">
        <v>6440</v>
      </c>
      <c r="E125" t="s">
        <v>5977</v>
      </c>
      <c r="F125" t="s">
        <v>6441</v>
      </c>
      <c r="G125" t="s">
        <v>6442</v>
      </c>
      <c r="H125">
        <v>82395290</v>
      </c>
      <c r="I125" t="str">
        <f>TRIM(PERSONAL_ACTIVO_2025[[#This Row],[NOMBRE COMPLETO]])</f>
        <v>VICTOR ANDRES ALZATE ARCILA</v>
      </c>
    </row>
    <row r="126" spans="1:9" x14ac:dyDescent="0.25">
      <c r="A126">
        <v>71612522.799999997</v>
      </c>
      <c r="B126" t="s">
        <v>5972</v>
      </c>
      <c r="C126" t="s">
        <v>6443</v>
      </c>
      <c r="D126" t="s">
        <v>6444</v>
      </c>
      <c r="E126" t="s">
        <v>6281</v>
      </c>
      <c r="F126" t="s">
        <v>6445</v>
      </c>
      <c r="G126" t="s">
        <v>1582</v>
      </c>
      <c r="H126">
        <v>71612522</v>
      </c>
      <c r="I126" t="str">
        <f>TRIM(PERSONAL_ACTIVO_2025[[#This Row],[NOMBRE COMPLETO]])</f>
        <v>WILLIAM FERNANDO GOMEZ CORREA</v>
      </c>
    </row>
    <row r="127" spans="1:9" x14ac:dyDescent="0.25">
      <c r="A127">
        <v>33376210.399999999</v>
      </c>
      <c r="B127" t="s">
        <v>6446</v>
      </c>
      <c r="C127" t="s">
        <v>6447</v>
      </c>
      <c r="D127" t="s">
        <v>6448</v>
      </c>
      <c r="E127" t="s">
        <v>6077</v>
      </c>
      <c r="F127" t="s">
        <v>6449</v>
      </c>
      <c r="G127" t="s">
        <v>6450</v>
      </c>
      <c r="H127">
        <v>33376210</v>
      </c>
      <c r="I127" t="str">
        <f>TRIM(PERSONAL_ACTIVO_2025[[#This Row],[NOMBRE COMPLETO]])</f>
        <v>YENIFER MARCELA AVENDAÑO BERNAL</v>
      </c>
    </row>
    <row r="128" spans="1:9" x14ac:dyDescent="0.25">
      <c r="A128">
        <v>1017183315.2</v>
      </c>
      <c r="B128" t="s">
        <v>6451</v>
      </c>
      <c r="C128" t="s">
        <v>5986</v>
      </c>
      <c r="D128" t="s">
        <v>6452</v>
      </c>
      <c r="E128" t="s">
        <v>1368</v>
      </c>
      <c r="F128" t="s">
        <v>6453</v>
      </c>
      <c r="G128" t="s">
        <v>6454</v>
      </c>
      <c r="H128">
        <v>1017183315</v>
      </c>
      <c r="I128" t="str">
        <f>TRIM(PERSONAL_ACTIVO_2025[[#This Row],[NOMBRE COMPLETO]])</f>
        <v>YESICA GARZON ZAPATA</v>
      </c>
    </row>
    <row r="129" spans="1:9" x14ac:dyDescent="0.25">
      <c r="A129">
        <v>71701539.400000006</v>
      </c>
      <c r="B129" t="s">
        <v>6455</v>
      </c>
      <c r="C129" t="s">
        <v>1368</v>
      </c>
      <c r="D129" t="s">
        <v>6456</v>
      </c>
      <c r="E129" t="s">
        <v>1368</v>
      </c>
      <c r="F129" t="s">
        <v>6457</v>
      </c>
      <c r="G129" t="s">
        <v>6458</v>
      </c>
      <c r="H129">
        <v>71701539</v>
      </c>
      <c r="I129" t="str">
        <f>TRIM(PERSONAL_ACTIVO_2025[[#This Row],[NOMBRE COMPLETO]])</f>
        <v>YESID COPETE</v>
      </c>
    </row>
    <row r="130" spans="1:9" x14ac:dyDescent="0.25">
      <c r="A130">
        <v>1038116125</v>
      </c>
      <c r="B130" t="s">
        <v>6459</v>
      </c>
      <c r="C130" t="s">
        <v>6361</v>
      </c>
      <c r="D130" t="s">
        <v>6460</v>
      </c>
      <c r="E130" t="s">
        <v>6412</v>
      </c>
      <c r="F130" t="s">
        <v>6461</v>
      </c>
      <c r="G130" t="s">
        <v>6462</v>
      </c>
      <c r="H130">
        <v>1038116125</v>
      </c>
      <c r="I130" t="str">
        <f>TRIM(PERSONAL_ACTIVO_2025[[#This Row],[NOMBRE COMPLETO]])</f>
        <v>YESSICA YULIETH MENDOZA HERNANDEZ</v>
      </c>
    </row>
    <row r="131" spans="1:9" x14ac:dyDescent="0.25">
      <c r="A131">
        <v>39205838.799999997</v>
      </c>
      <c r="B131" t="s">
        <v>6463</v>
      </c>
      <c r="C131" t="s">
        <v>6464</v>
      </c>
      <c r="D131" t="s">
        <v>6465</v>
      </c>
      <c r="E131" t="s">
        <v>6466</v>
      </c>
      <c r="F131" t="s">
        <v>6467</v>
      </c>
      <c r="G131" t="s">
        <v>6468</v>
      </c>
      <c r="H131">
        <v>39205838</v>
      </c>
      <c r="I131" t="str">
        <f>TRIM(PERSONAL_ACTIVO_2025[[#This Row],[NOMBRE COMPLETO]])</f>
        <v>ZENEIDA DE J. TAPIAS CASTRILLON</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dimension ref="A1:AR398"/>
  <sheetViews>
    <sheetView zoomScale="85" zoomScaleNormal="85" workbookViewId="0">
      <pane xSplit="2" ySplit="1" topLeftCell="C388" activePane="bottomRight" state="frozen"/>
      <selection pane="topRight" activeCell="C1" sqref="C1"/>
      <selection pane="bottomLeft" activeCell="A2" sqref="A2"/>
      <selection pane="bottomRight" activeCell="B396" sqref="B396"/>
    </sheetView>
  </sheetViews>
  <sheetFormatPr baseColWidth="10" defaultColWidth="11.42578125" defaultRowHeight="15.75" x14ac:dyDescent="0.25"/>
  <cols>
    <col min="1" max="1" width="14.85546875" style="89" customWidth="1"/>
    <col min="2" max="2" width="24.42578125" style="111" customWidth="1"/>
    <col min="3" max="3" width="81.42578125" style="128" customWidth="1"/>
    <col min="4" max="4" width="24.7109375" style="125" customWidth="1"/>
    <col min="5" max="5" width="38.5703125" style="110" customWidth="1"/>
    <col min="6" max="6" width="41" style="125" customWidth="1"/>
    <col min="7" max="7" width="43.7109375" style="124" customWidth="1"/>
    <col min="8" max="8" width="23.140625" style="89" customWidth="1"/>
    <col min="9" max="9" width="20.7109375" style="291" customWidth="1"/>
    <col min="10" max="10" width="25.28515625" style="291" bestFit="1" customWidth="1"/>
    <col min="11" max="11" width="26" style="89" customWidth="1"/>
    <col min="12" max="12" width="21.5703125" style="129" customWidth="1"/>
    <col min="13" max="13" width="28.140625" style="130" customWidth="1"/>
    <col min="14" max="14" width="19" style="131" customWidth="1"/>
    <col min="15" max="15" width="28.140625" style="130" customWidth="1"/>
    <col min="16" max="16" width="20.5703125" style="132" customWidth="1"/>
    <col min="17" max="17" width="11.5703125" style="123" customWidth="1"/>
    <col min="18" max="18" width="24.140625" style="89" customWidth="1"/>
    <col min="19" max="19" width="24.140625" style="126" customWidth="1"/>
    <col min="20" max="20" width="24.140625" style="89" customWidth="1"/>
    <col min="21" max="21" width="24.140625" style="91" customWidth="1"/>
    <col min="22" max="22" width="24.140625" style="127" customWidth="1"/>
    <col min="23" max="24" width="29.28515625" style="133" customWidth="1"/>
    <col min="25" max="25" width="32.42578125" style="134" customWidth="1"/>
    <col min="26" max="26" width="32.42578125" style="159" customWidth="1"/>
    <col min="27" max="27" width="119.7109375" style="124" bestFit="1" customWidth="1"/>
    <col min="28" max="28" width="19" style="110" customWidth="1"/>
    <col min="29" max="29" width="18.5703125" style="110" bestFit="1" customWidth="1"/>
    <col min="30" max="30" width="44" style="109" customWidth="1"/>
    <col min="31" max="31" width="49.140625" style="89" customWidth="1"/>
    <col min="32" max="32" width="32.85546875" style="89" customWidth="1"/>
    <col min="33" max="33" width="28" style="89" customWidth="1"/>
    <col min="34" max="34" width="34.42578125" style="89" customWidth="1"/>
    <col min="35" max="35" width="17.5703125" style="91" customWidth="1"/>
    <col min="36" max="37" width="17.5703125" style="89" customWidth="1"/>
    <col min="38" max="38" width="24.7109375" style="89" bestFit="1" customWidth="1"/>
    <col min="39" max="39" width="11.42578125" style="89"/>
    <col min="40" max="40" width="23.140625" style="89" bestFit="1" customWidth="1"/>
    <col min="41" max="41" width="43.85546875" style="89" customWidth="1"/>
    <col min="42" max="42" width="41.28515625" style="89" customWidth="1"/>
    <col min="43" max="43" width="28.5703125" style="89" customWidth="1"/>
    <col min="44" max="44" width="29.42578125" style="89" customWidth="1"/>
    <col min="45" max="16384" width="11.42578125" style="89"/>
  </cols>
  <sheetData>
    <row r="1" spans="1:44" s="27" customFormat="1" ht="45.75" customHeight="1" x14ac:dyDescent="0.25">
      <c r="A1" s="60" t="s">
        <v>840</v>
      </c>
      <c r="B1" s="37" t="s">
        <v>841</v>
      </c>
      <c r="C1" s="29" t="s">
        <v>842</v>
      </c>
      <c r="D1" s="29" t="s">
        <v>843</v>
      </c>
      <c r="E1" s="29" t="s">
        <v>844</v>
      </c>
      <c r="F1" s="29" t="s">
        <v>845</v>
      </c>
      <c r="G1" s="61" t="s">
        <v>31</v>
      </c>
      <c r="H1" s="62" t="s">
        <v>846</v>
      </c>
      <c r="I1" s="289" t="s">
        <v>847</v>
      </c>
      <c r="J1" s="289" t="s">
        <v>848</v>
      </c>
      <c r="K1" s="95" t="s">
        <v>849</v>
      </c>
      <c r="L1" s="94" t="s">
        <v>850</v>
      </c>
      <c r="M1" s="30" t="s">
        <v>851</v>
      </c>
      <c r="N1" s="30" t="s">
        <v>852</v>
      </c>
      <c r="O1" s="30" t="s">
        <v>853</v>
      </c>
      <c r="P1" s="30" t="s">
        <v>854</v>
      </c>
      <c r="Q1" s="63" t="s">
        <v>855</v>
      </c>
      <c r="R1" s="64" t="s">
        <v>856</v>
      </c>
      <c r="S1" s="65" t="s">
        <v>857</v>
      </c>
      <c r="T1" s="64" t="s">
        <v>858</v>
      </c>
      <c r="U1" s="66" t="s">
        <v>859</v>
      </c>
      <c r="V1" s="67" t="s">
        <v>860</v>
      </c>
      <c r="W1" s="31" t="s">
        <v>861</v>
      </c>
      <c r="X1" s="31" t="s">
        <v>862</v>
      </c>
      <c r="Y1" s="32" t="s">
        <v>863</v>
      </c>
      <c r="Z1" s="464" t="s">
        <v>864</v>
      </c>
      <c r="AA1" s="68" t="s">
        <v>865</v>
      </c>
      <c r="AB1" s="31" t="s">
        <v>866</v>
      </c>
      <c r="AC1" s="31" t="s">
        <v>867</v>
      </c>
      <c r="AD1" s="108" t="s">
        <v>868</v>
      </c>
      <c r="AE1" s="69" t="s">
        <v>869</v>
      </c>
      <c r="AF1" s="70" t="s">
        <v>870</v>
      </c>
      <c r="AG1" s="71" t="s">
        <v>871</v>
      </c>
      <c r="AH1" s="72" t="s">
        <v>872</v>
      </c>
      <c r="AI1" s="73" t="s">
        <v>873</v>
      </c>
      <c r="AJ1" s="73" t="s">
        <v>874</v>
      </c>
      <c r="AK1" s="73" t="s">
        <v>875</v>
      </c>
      <c r="AL1" s="74" t="s">
        <v>876</v>
      </c>
      <c r="AM1" s="74" t="s">
        <v>877</v>
      </c>
      <c r="AN1" s="72" t="s">
        <v>878</v>
      </c>
      <c r="AO1" s="74" t="s">
        <v>879</v>
      </c>
      <c r="AP1" s="74" t="s">
        <v>880</v>
      </c>
      <c r="AQ1" s="74" t="s">
        <v>881</v>
      </c>
      <c r="AR1" s="72" t="s">
        <v>882</v>
      </c>
    </row>
    <row r="2" spans="1:44" s="111" customFormat="1" ht="36" customHeight="1" x14ac:dyDescent="0.25">
      <c r="A2" s="38">
        <v>46</v>
      </c>
      <c r="B2" s="27">
        <v>5522020</v>
      </c>
      <c r="C2" s="88" t="s">
        <v>148</v>
      </c>
      <c r="D2" s="192" t="s">
        <v>883</v>
      </c>
      <c r="E2" s="193" t="s">
        <v>146</v>
      </c>
      <c r="F2" s="194" t="s">
        <v>142</v>
      </c>
      <c r="G2" s="195" t="s">
        <v>884</v>
      </c>
      <c r="H2" s="167">
        <v>890984761</v>
      </c>
      <c r="I2" s="292" t="s">
        <v>41</v>
      </c>
      <c r="J2" s="290">
        <v>499313250</v>
      </c>
      <c r="K2" s="158"/>
      <c r="L2" s="196" t="s">
        <v>885</v>
      </c>
      <c r="M2" s="114" t="s">
        <v>886</v>
      </c>
      <c r="N2" s="113" t="e" cm="1">
        <f t="array" aca="1" ref="N2" ca="1">_xlfn.XLOOKUP(Contrato[[#This Row],[SUPERVISOR TITULAR]],PERSONAL_ACTIVO_2025[[#All],[NOMBRES Y APELLIDOS]],PERSONAL_ACTIVO_2025[[#All],[DOCUMENTO]],"",0)</f>
        <v>#NAME?</v>
      </c>
      <c r="O2" s="114" t="s">
        <v>887</v>
      </c>
      <c r="P2" s="115" t="e" cm="1">
        <f t="array" aca="1" ref="P2" ca="1">_xlfn.XLOOKUP(Contrato[[#This Row],[SUPERVISOR SUPLENTE ]],PERSONAL_ACTIVO_2025[[#All],[NOMBRES Y APELLIDOS]],PERSONAL_ACTIVO_2025[[#All],[DOCUMENTO]],"",0)</f>
        <v>#NAME?</v>
      </c>
      <c r="Q2" s="116">
        <v>2</v>
      </c>
      <c r="R2" s="137" t="e" cm="1">
        <f t="array" aca="1" ref="R2" ca="1">_xlfn.XLOOKUP(Contrato[[#This Row],[CDP]],DISPONIBILIDADES_2025[[#All],[consecutivo]],DISPONIBILIDADES_2025[[#All],[fecha_aprobacion]],"",0)</f>
        <v>#NAME?</v>
      </c>
      <c r="S2" s="92">
        <f>SUMIF(DISPONIBILIDADES_2025[[#All],[consecutivo]],Contrato[[#This Row],[CDP]],DISPONIBILIDADES_2025[[#All],[valor_total_rubro]])</f>
        <v>499313250</v>
      </c>
      <c r="T2" s="118" t="e" cm="1">
        <f t="array" aca="1" ref="T2" ca="1">_xlfn.XLOOKUP(Contrato[[#This Row],[CONTRATO]]&amp;Contrato[[#This Row],[CDP]],Corr_Contr_CDP[[#All],[CONTRATO-CDP]],Corr_Contr_CDP[[#All],[CRP]],_xlfn.XLOOKUP(Contrato[[#This Row],[CDP]],COMPROMISOS_2025[[#All],[disponibilidad]],COMPROMISOS_2025[[#All],[consecutivo]],"",0),0)</f>
        <v>#NAME?</v>
      </c>
      <c r="U2" s="117" t="e" cm="1">
        <f t="array" aca="1" ref="U2" ca="1">+_xlfn.XLOOKUP(Contrato[[#This Row],[RCP]],COMPROMISOS_2025[[#All],[consecutivo]],COMPROMISOS_2025[[#All],[fecha_aprobacion]],"",0)</f>
        <v>#NAME?</v>
      </c>
      <c r="V2" s="93">
        <f ca="1">SUMIF(COMPROMISOS_2025[[#All],[consecutivo]],Contrato[[#This Row],[RCP]],COMPROMISOS_2025[[#All],[valor_total]])</f>
        <v>0</v>
      </c>
      <c r="W2" s="169"/>
      <c r="X2" s="243"/>
      <c r="Y2" s="96"/>
      <c r="Z2" s="161"/>
      <c r="AA2" s="198"/>
      <c r="AB2" s="119" t="s">
        <v>149</v>
      </c>
      <c r="AC2" s="112"/>
      <c r="AD2" s="543"/>
      <c r="AE2" s="38"/>
      <c r="AF2" s="120" t="str">
        <f>TEXT(LEFT(Contrato[[#This Row],[CONTRATO]],3),"0")</f>
        <v>552</v>
      </c>
      <c r="AG2" s="120" t="str">
        <f>IF(LEN(Contrato[[#This Row],[Contrato2]])=3,Contrato[[#This Row],[Contrato2]],TEXT(Contrato[[#This Row],[Contrato2]],"000"))</f>
        <v>552</v>
      </c>
      <c r="AH2" s="90">
        <f ca="1">IFERROR(_xlfn.DAYS(Contrato[[#This Row],[Fecha Proyectada liquidación]],TODAY())/30,"")</f>
        <v>-1522.1</v>
      </c>
      <c r="AI2" s="121">
        <f>+Contrato[[#This Row],[FECHA TERMINACIÓN ]]+120</f>
        <v>120</v>
      </c>
      <c r="AJ2" s="89"/>
      <c r="AK2" s="91" t="str">
        <f ca="1">IF(Contrato[[#This Row],[FECHA TERMINACIÓN ]]&lt;TODAY(), "Terminado",IF(ISNUMBER(Contrato[[#This Row],[Fecha Real de liquiidación ]]),"Liquidado",IF(Contrato[[#This Row],[FECHA TERMINACIÓN ]]&gt;=TODAY(),"En ejecución","")))</f>
        <v>Terminado</v>
      </c>
      <c r="AL2" s="107">
        <f ca="1">SUMIF(COMPROMISOS_2025[[#All],[consecutivo]],Contrato[[#This Row],[RCP]],COMPROMISOS_2025[[#All],[Total pagado]])</f>
        <v>0</v>
      </c>
      <c r="AM2" s="122">
        <f ca="1">IFERROR(Contrato[[#This Row],[Pagos]]/Contrato[[#This Row],[VALOR CONTRATO]],0)</f>
        <v>0</v>
      </c>
      <c r="AN2" s="160">
        <f ca="1">+Contrato[[#This Row],[VALOR CONTRATO]]-Contrato[[#This Row],[Pagos]]</f>
        <v>499313250</v>
      </c>
      <c r="AO2" s="111" t="e" cm="1">
        <f t="array" aca="1" ref="AO2" ca="1">_xlfn.XLOOKUP(Contrato[[#This Row],[DOCUMENTO ]],PERSONAL_ACTIVO_2025[[#All],[DOCUMENTO]],PERSONAL_ACTIVO_2025[[#All],[email]],0,0)</f>
        <v>#NAME?</v>
      </c>
      <c r="AP2" s="111" t="e" cm="1">
        <f t="array" aca="1" ref="AP2" ca="1">_xlfn.XLOOKUP(Contrato[[#This Row],[DOCUMENTO]],PERSONAL_ACTIVO_2025[[#All],[DOCUMENTO]],PERSONAL_ACTIVO_2025[[#All],[email]],0,0)</f>
        <v>#NAME?</v>
      </c>
      <c r="AQ2" s="111" cm="1">
        <f t="array" aca="1" ref="AQ2" ca="1">IF(ISBLANK(Contrato[[#This Row],[DEPENDENCIA ]]),0,IFERROR(_xlfn.XLOOKUP(Contrato[[#This Row],[DEPENDENCIA ]],#REF!,#REF!,0,0),0))</f>
        <v>0</v>
      </c>
      <c r="AR2" s="553">
        <f ca="1">+_xlfn.DAYS(Contrato[[#This Row],[FECHA TERMINACIÓN ]],TODAY())</f>
        <v>-45783</v>
      </c>
    </row>
    <row r="3" spans="1:44" s="111" customFormat="1" ht="36" customHeight="1" x14ac:dyDescent="0.25">
      <c r="A3" s="38">
        <v>45</v>
      </c>
      <c r="B3" s="27">
        <v>3652024</v>
      </c>
      <c r="C3" s="88" t="s">
        <v>145</v>
      </c>
      <c r="D3" s="192" t="s">
        <v>883</v>
      </c>
      <c r="E3" s="193" t="s">
        <v>146</v>
      </c>
      <c r="F3" s="194" t="s">
        <v>142</v>
      </c>
      <c r="G3" s="197" t="s">
        <v>888</v>
      </c>
      <c r="H3" s="547">
        <v>900453988</v>
      </c>
      <c r="I3" s="293" t="s">
        <v>41</v>
      </c>
      <c r="J3" s="290">
        <v>241791568</v>
      </c>
      <c r="K3" s="158" t="s">
        <v>41</v>
      </c>
      <c r="L3" s="196" t="s">
        <v>885</v>
      </c>
      <c r="M3" s="114" t="s">
        <v>887</v>
      </c>
      <c r="N3" s="113" t="e" cm="1">
        <f t="array" aca="1" ref="N3" ca="1">_xlfn.XLOOKUP(Contrato[[#This Row],[SUPERVISOR TITULAR]],PERSONAL_ACTIVO_2025[[#All],[NOMBRES Y APELLIDOS]],PERSONAL_ACTIVO_2025[[#All],[DOCUMENTO]],"",0)</f>
        <v>#NAME?</v>
      </c>
      <c r="O3" s="114" t="s">
        <v>886</v>
      </c>
      <c r="P3" s="115" t="e" cm="1">
        <f t="array" aca="1" ref="P3" ca="1">_xlfn.XLOOKUP(Contrato[[#This Row],[SUPERVISOR SUPLENTE ]],PERSONAL_ACTIVO_2025[[#All],[NOMBRES Y APELLIDOS]],PERSONAL_ACTIVO_2025[[#All],[DOCUMENTO]],"",0)</f>
        <v>#NAME?</v>
      </c>
      <c r="Q3" s="116">
        <v>3</v>
      </c>
      <c r="R3" s="137" t="e" cm="1">
        <f t="array" aca="1" ref="R3" ca="1">_xlfn.XLOOKUP(Contrato[[#This Row],[CDP]],DISPONIBILIDADES_2025[[#All],[consecutivo]],DISPONIBILIDADES_2025[[#All],[fecha_aprobacion]],"",0)</f>
        <v>#NAME?</v>
      </c>
      <c r="S3" s="92">
        <f>SUMIF(DISPONIBILIDADES_2025[[#All],[consecutivo]],Contrato[[#This Row],[CDP]],DISPONIBILIDADES_2025[[#All],[valor_total_rubro]])</f>
        <v>241791568</v>
      </c>
      <c r="T3" s="118" t="e" cm="1">
        <f t="array" aca="1" ref="T3" ca="1">_xlfn.XLOOKUP(Contrato[[#This Row],[CONTRATO]]&amp;Contrato[[#This Row],[CDP]],Corr_Contr_CDP[[#All],[CONTRATO-CDP]],Corr_Contr_CDP[[#All],[CRP]],_xlfn.XLOOKUP(Contrato[[#This Row],[CDP]],COMPROMISOS_2025[[#All],[disponibilidad]],COMPROMISOS_2025[[#All],[consecutivo]],"",0),0)</f>
        <v>#NAME?</v>
      </c>
      <c r="U3" s="117" t="e" cm="1">
        <f t="array" aca="1" ref="U3" ca="1">+_xlfn.XLOOKUP(Contrato[[#This Row],[RCP]],COMPROMISOS_2025[[#All],[consecutivo]],COMPROMISOS_2025[[#All],[fecha_aprobacion]],"",0)</f>
        <v>#NAME?</v>
      </c>
      <c r="V3" s="93">
        <f ca="1">SUMIF(COMPROMISOS_2025[[#All],[consecutivo]],Contrato[[#This Row],[RCP]],COMPROMISOS_2025[[#All],[valor_total]])</f>
        <v>0</v>
      </c>
      <c r="W3" s="243">
        <v>45653</v>
      </c>
      <c r="X3" s="243">
        <v>45705</v>
      </c>
      <c r="Y3" s="96">
        <v>45658</v>
      </c>
      <c r="Z3" s="161">
        <v>45762</v>
      </c>
      <c r="AA3" s="244"/>
      <c r="AB3" s="119" t="s">
        <v>889</v>
      </c>
      <c r="AC3" s="112"/>
      <c r="AD3" s="543"/>
      <c r="AE3" s="38"/>
      <c r="AF3" s="120" t="str">
        <f>TEXT(LEFT(Contrato[[#This Row],[CONTRATO]],3),"0")</f>
        <v>365</v>
      </c>
      <c r="AG3" s="120" t="str">
        <f>IF(LEN(Contrato[[#This Row],[Contrato2]])=3,Contrato[[#This Row],[Contrato2]],TEXT(Contrato[[#This Row],[Contrato2]],"000"))</f>
        <v>365</v>
      </c>
      <c r="AH3" s="90">
        <f ca="1">IFERROR(_xlfn.DAYS(Contrato[[#This Row],[Fecha Proyectada liquidación]],TODAY())/30,"")</f>
        <v>3.3</v>
      </c>
      <c r="AI3" s="121">
        <f>+Contrato[[#This Row],[FECHA TERMINACIÓN ]]+120</f>
        <v>45882</v>
      </c>
      <c r="AJ3" s="89"/>
      <c r="AK3" s="91" t="str">
        <f ca="1">IF(Contrato[[#This Row],[FECHA TERMINACIÓN ]]&lt;TODAY(), "Terminado",IF(ISNUMBER(Contrato[[#This Row],[Fecha Real de liquiidación ]]),"Liquidado",IF(Contrato[[#This Row],[FECHA TERMINACIÓN ]]&gt;=TODAY(),"En ejecución","")))</f>
        <v>Terminado</v>
      </c>
      <c r="AL3" s="107">
        <f ca="1">SUMIF(COMPROMISOS_2025[[#All],[consecutivo]],Contrato[[#This Row],[RCP]],COMPROMISOS_2025[[#All],[Total pagado]])</f>
        <v>0</v>
      </c>
      <c r="AM3" s="122">
        <f ca="1">IFERROR(Contrato[[#This Row],[Pagos]]/Contrato[[#This Row],[VALOR CONTRATO]],0)</f>
        <v>0</v>
      </c>
      <c r="AN3" s="160">
        <f ca="1">+Contrato[[#This Row],[VALOR CONTRATO]]-Contrato[[#This Row],[Pagos]]</f>
        <v>241791568</v>
      </c>
      <c r="AO3" s="111" t="e" cm="1">
        <f t="array" aca="1" ref="AO3" ca="1">_xlfn.XLOOKUP(Contrato[[#This Row],[DOCUMENTO ]],PERSONAL_ACTIVO_2025[[#All],[DOCUMENTO]],PERSONAL_ACTIVO_2025[[#All],[email]],0,0)</f>
        <v>#NAME?</v>
      </c>
      <c r="AP3" s="111" t="e" cm="1">
        <f t="array" aca="1" ref="AP3" ca="1">_xlfn.XLOOKUP(Contrato[[#This Row],[DOCUMENTO]],PERSONAL_ACTIVO_2025[[#All],[DOCUMENTO]],PERSONAL_ACTIVO_2025[[#All],[email]],0,0)</f>
        <v>#NAME?</v>
      </c>
      <c r="AQ3" s="111" cm="1">
        <f t="array" aca="1" ref="AQ3" ca="1">IF(ISBLANK(Contrato[[#This Row],[DEPENDENCIA ]]),0,IFERROR(_xlfn.XLOOKUP(Contrato[[#This Row],[DEPENDENCIA ]],#REF!,#REF!,0,0),0))</f>
        <v>0</v>
      </c>
      <c r="AR3" s="553">
        <f ca="1">+_xlfn.DAYS(Contrato[[#This Row],[FECHA TERMINACIÓN ]],TODAY())</f>
        <v>-21</v>
      </c>
    </row>
    <row r="4" spans="1:44" s="111" customFormat="1" ht="36" customHeight="1" x14ac:dyDescent="0.25">
      <c r="A4" s="38">
        <v>488</v>
      </c>
      <c r="B4" s="27">
        <v>6052024</v>
      </c>
      <c r="C4" s="88" t="s">
        <v>699</v>
      </c>
      <c r="D4" s="192" t="s">
        <v>890</v>
      </c>
      <c r="E4" s="193" t="s">
        <v>146</v>
      </c>
      <c r="F4" s="194" t="s">
        <v>142</v>
      </c>
      <c r="G4" s="197" t="s">
        <v>891</v>
      </c>
      <c r="H4" s="399">
        <v>900092385</v>
      </c>
      <c r="I4" s="293" t="s">
        <v>41</v>
      </c>
      <c r="J4" s="290">
        <v>81847907</v>
      </c>
      <c r="K4" s="158" t="s">
        <v>41</v>
      </c>
      <c r="L4" s="196" t="s">
        <v>892</v>
      </c>
      <c r="M4" s="114" t="s">
        <v>893</v>
      </c>
      <c r="N4" s="113" t="e" cm="1">
        <f t="array" aca="1" ref="N4" ca="1">_xlfn.XLOOKUP(Contrato[[#This Row],[SUPERVISOR TITULAR]],PERSONAL_ACTIVO_2025[[#All],[NOMBRES Y APELLIDOS]],PERSONAL_ACTIVO_2025[[#All],[DOCUMENTO]],"",0)</f>
        <v>#NAME?</v>
      </c>
      <c r="O4" s="114" t="s">
        <v>894</v>
      </c>
      <c r="P4" s="115" t="e" cm="1">
        <f t="array" aca="1" ref="P4" ca="1">_xlfn.XLOOKUP(Contrato[[#This Row],[SUPERVISOR SUPLENTE ]],PERSONAL_ACTIVO_2025[[#All],[NOMBRES Y APELLIDOS]],PERSONAL_ACTIVO_2025[[#All],[DOCUMENTO]],"",0)</f>
        <v>#NAME?</v>
      </c>
      <c r="Q4" s="116">
        <v>1</v>
      </c>
      <c r="R4" s="137" t="e" cm="1">
        <f t="array" aca="1" ref="R4" ca="1">_xlfn.XLOOKUP(Contrato[[#This Row],[CDP]],DISPONIBILIDADES_2025[[#All],[consecutivo]],DISPONIBILIDADES_2025[[#All],[fecha_aprobacion]],"",0)</f>
        <v>#NAME?</v>
      </c>
      <c r="S4" s="92">
        <f>SUMIF(DISPONIBILIDADES_2025[[#All],[consecutivo]],Contrato[[#This Row],[CDP]],DISPONIBILIDADES_2025[[#All],[valor_total_rubro]])</f>
        <v>81847907</v>
      </c>
      <c r="T4" s="118" t="e" cm="1">
        <f t="array" aca="1" ref="T4" ca="1">_xlfn.XLOOKUP(Contrato[[#This Row],[CONTRATO]]&amp;Contrato[[#This Row],[CDP]],Corr_Contr_CDP[[#All],[CONTRATO-CDP]],Corr_Contr_CDP[[#All],[CRP]],_xlfn.XLOOKUP(Contrato[[#This Row],[CDP]],COMPROMISOS_2025[[#All],[disponibilidad]],COMPROMISOS_2025[[#All],[consecutivo]],"",0),0)</f>
        <v>#NAME?</v>
      </c>
      <c r="U4" s="117" t="e" cm="1">
        <f t="array" aca="1" ref="U4" ca="1">+_xlfn.XLOOKUP(Contrato[[#This Row],[RCP]],COMPROMISOS_2025[[#All],[consecutivo]],COMPROMISOS_2025[[#All],[fecha_aprobacion]],"",0)</f>
        <v>#NAME?</v>
      </c>
      <c r="V4" s="93">
        <f ca="1">SUMIF(COMPROMISOS_2025[[#All],[consecutivo]],Contrato[[#This Row],[RCP]],COMPROMISOS_2025[[#All],[valor_total]])</f>
        <v>0</v>
      </c>
      <c r="W4" s="243">
        <v>45656</v>
      </c>
      <c r="X4" s="243">
        <v>45716</v>
      </c>
      <c r="Y4" s="96">
        <v>45658</v>
      </c>
      <c r="Z4" s="161">
        <v>45717</v>
      </c>
      <c r="AA4" s="244"/>
      <c r="AB4" s="119" t="s">
        <v>895</v>
      </c>
      <c r="AC4" s="112"/>
      <c r="AD4" s="543"/>
      <c r="AE4" s="38"/>
      <c r="AF4" s="120" t="str">
        <f>TEXT(LEFT(Contrato[[#This Row],[CONTRATO]],3),"0")</f>
        <v>605</v>
      </c>
      <c r="AG4" s="120" t="str">
        <f>IF(LEN(Contrato[[#This Row],[Contrato2]])=3,Contrato[[#This Row],[Contrato2]],TEXT(Contrato[[#This Row],[Contrato2]],"000"))</f>
        <v>605</v>
      </c>
      <c r="AH4" s="90">
        <f ca="1">IFERROR(_xlfn.DAYS(Contrato[[#This Row],[Fecha Proyectada liquidación]],TODAY())/30,"")</f>
        <v>1.8</v>
      </c>
      <c r="AI4" s="121">
        <f>+Contrato[[#This Row],[FECHA TERMINACIÓN ]]+120</f>
        <v>45837</v>
      </c>
      <c r="AJ4" s="89"/>
      <c r="AK4" s="91" t="str">
        <f ca="1">IF(Contrato[[#This Row],[FECHA TERMINACIÓN ]]&lt;TODAY(), "Terminado",IF(ISNUMBER(Contrato[[#This Row],[Fecha Real de liquiidación ]]),"Liquidado",IF(Contrato[[#This Row],[FECHA TERMINACIÓN ]]&gt;=TODAY(),"En ejecución","")))</f>
        <v>Terminado</v>
      </c>
      <c r="AL4" s="107">
        <f ca="1">SUMIF(COMPROMISOS_2025[[#All],[consecutivo]],Contrato[[#This Row],[RCP]],COMPROMISOS_2025[[#All],[Total pagado]])</f>
        <v>0</v>
      </c>
      <c r="AM4" s="122">
        <f ca="1">IFERROR(Contrato[[#This Row],[Pagos]]/Contrato[[#This Row],[VALOR CONTRATO]],0)</f>
        <v>0</v>
      </c>
      <c r="AN4" s="160">
        <f ca="1">+Contrato[[#This Row],[VALOR CONTRATO]]-Contrato[[#This Row],[Pagos]]</f>
        <v>81847907</v>
      </c>
      <c r="AO4" s="111" t="e" cm="1">
        <f t="array" aca="1" ref="AO4" ca="1">_xlfn.XLOOKUP(Contrato[[#This Row],[DOCUMENTO ]],PERSONAL_ACTIVO_2025[[#All],[DOCUMENTO]],PERSONAL_ACTIVO_2025[[#All],[email]],0,0)</f>
        <v>#NAME?</v>
      </c>
      <c r="AP4" s="111" t="e" cm="1">
        <f t="array" aca="1" ref="AP4" ca="1">_xlfn.XLOOKUP(Contrato[[#This Row],[DOCUMENTO]],PERSONAL_ACTIVO_2025[[#All],[DOCUMENTO]],PERSONAL_ACTIVO_2025[[#All],[email]],0,0)</f>
        <v>#NAME?</v>
      </c>
      <c r="AQ4" s="111" cm="1">
        <f t="array" aca="1" ref="AQ4" ca="1">IF(ISBLANK(Contrato[[#This Row],[DEPENDENCIA ]]),0,IFERROR(_xlfn.XLOOKUP(Contrato[[#This Row],[DEPENDENCIA ]],#REF!,#REF!,0,0),0))</f>
        <v>0</v>
      </c>
      <c r="AR4" s="553">
        <f ca="1">+_xlfn.DAYS(Contrato[[#This Row],[FECHA TERMINACIÓN ]],TODAY())</f>
        <v>-66</v>
      </c>
    </row>
    <row r="5" spans="1:44" s="111" customFormat="1" ht="36" customHeight="1" x14ac:dyDescent="0.25">
      <c r="A5" s="38">
        <v>489</v>
      </c>
      <c r="B5" s="27">
        <v>6122024</v>
      </c>
      <c r="C5" s="88" t="s">
        <v>699</v>
      </c>
      <c r="D5" s="192" t="s">
        <v>890</v>
      </c>
      <c r="E5" s="193" t="s">
        <v>146</v>
      </c>
      <c r="F5" s="194" t="s">
        <v>142</v>
      </c>
      <c r="G5" s="197" t="s">
        <v>896</v>
      </c>
      <c r="H5" s="399"/>
      <c r="I5" s="293" t="s">
        <v>41</v>
      </c>
      <c r="J5" s="290">
        <v>41481095</v>
      </c>
      <c r="K5" s="158" t="s">
        <v>41</v>
      </c>
      <c r="L5" s="196" t="s">
        <v>892</v>
      </c>
      <c r="M5" s="114" t="s">
        <v>893</v>
      </c>
      <c r="N5" s="113" t="e" cm="1">
        <f t="array" aca="1" ref="N5" ca="1">_xlfn.XLOOKUP(Contrato[[#This Row],[SUPERVISOR TITULAR]],PERSONAL_ACTIVO_2025[[#All],[NOMBRES Y APELLIDOS]],PERSONAL_ACTIVO_2025[[#All],[DOCUMENTO]],"",0)</f>
        <v>#NAME?</v>
      </c>
      <c r="O5" s="114" t="s">
        <v>894</v>
      </c>
      <c r="P5" s="115" t="e" cm="1">
        <f t="array" aca="1" ref="P5" ca="1">_xlfn.XLOOKUP(Contrato[[#This Row],[SUPERVISOR SUPLENTE ]],PERSONAL_ACTIVO_2025[[#All],[NOMBRES Y APELLIDOS]],PERSONAL_ACTIVO_2025[[#All],[DOCUMENTO]],"",0)</f>
        <v>#NAME?</v>
      </c>
      <c r="Q5" s="116">
        <v>5</v>
      </c>
      <c r="R5" s="137" t="e" cm="1">
        <f t="array" aca="1" ref="R5" ca="1">_xlfn.XLOOKUP(Contrato[[#This Row],[CDP]],DISPONIBILIDADES_2025[[#All],[consecutivo]],DISPONIBILIDADES_2025[[#All],[fecha_aprobacion]],"",0)</f>
        <v>#NAME?</v>
      </c>
      <c r="S5" s="92">
        <f>SUMIF(DISPONIBILIDADES_2025[[#All],[consecutivo]],Contrato[[#This Row],[CDP]],DISPONIBILIDADES_2025[[#All],[valor_total_rubro]])</f>
        <v>41481095</v>
      </c>
      <c r="T5" s="118" t="e" cm="1">
        <f t="array" aca="1" ref="T5" ca="1">_xlfn.XLOOKUP(Contrato[[#This Row],[CONTRATO]]&amp;Contrato[[#This Row],[CDP]],Corr_Contr_CDP[[#All],[CONTRATO-CDP]],Corr_Contr_CDP[[#All],[CRP]],_xlfn.XLOOKUP(Contrato[[#This Row],[CDP]],COMPROMISOS_2025[[#All],[disponibilidad]],COMPROMISOS_2025[[#All],[consecutivo]],"",0),0)</f>
        <v>#NAME?</v>
      </c>
      <c r="U5" s="117" t="e" cm="1">
        <f t="array" aca="1" ref="U5" ca="1">+_xlfn.XLOOKUP(Contrato[[#This Row],[RCP]],COMPROMISOS_2025[[#All],[consecutivo]],COMPROMISOS_2025[[#All],[fecha_aprobacion]],"",0)</f>
        <v>#NAME?</v>
      </c>
      <c r="V5" s="93">
        <f ca="1">SUMIF(COMPROMISOS_2025[[#All],[consecutivo]],Contrato[[#This Row],[RCP]],COMPROMISOS_2025[[#All],[valor_total]])</f>
        <v>0</v>
      </c>
      <c r="W5" s="243">
        <v>46021</v>
      </c>
      <c r="X5" s="243">
        <v>45687</v>
      </c>
      <c r="Y5" s="96">
        <v>45658</v>
      </c>
      <c r="Z5" s="161">
        <v>45716</v>
      </c>
      <c r="AA5" s="244"/>
      <c r="AB5" s="119"/>
      <c r="AC5" s="112"/>
      <c r="AD5" s="543"/>
      <c r="AE5" s="38"/>
      <c r="AF5" s="120" t="str">
        <f>TEXT(LEFT(Contrato[[#This Row],[CONTRATO]],3),"0")</f>
        <v>612</v>
      </c>
      <c r="AG5" s="120" t="str">
        <f>IF(LEN(Contrato[[#This Row],[Contrato2]])=3,Contrato[[#This Row],[Contrato2]],TEXT(Contrato[[#This Row],[Contrato2]],"000"))</f>
        <v>612</v>
      </c>
      <c r="AH5" s="90">
        <f ca="1">IFERROR(_xlfn.DAYS(Contrato[[#This Row],[Fecha Proyectada liquidación]],TODAY())/30,"")</f>
        <v>1.7666666666666666</v>
      </c>
      <c r="AI5" s="121">
        <f>+Contrato[[#This Row],[FECHA TERMINACIÓN ]]+120</f>
        <v>45836</v>
      </c>
      <c r="AJ5" s="89"/>
      <c r="AK5" s="91" t="str">
        <f ca="1">IF(Contrato[[#This Row],[FECHA TERMINACIÓN ]]&lt;TODAY(), "Terminado",IF(ISNUMBER(Contrato[[#This Row],[Fecha Real de liquiidación ]]),"Liquidado",IF(Contrato[[#This Row],[FECHA TERMINACIÓN ]]&gt;=TODAY(),"En ejecución","")))</f>
        <v>Terminado</v>
      </c>
      <c r="AL5" s="107">
        <f ca="1">SUMIF(COMPROMISOS_2025[[#All],[consecutivo]],Contrato[[#This Row],[RCP]],COMPROMISOS_2025[[#All],[Total pagado]])</f>
        <v>0</v>
      </c>
      <c r="AM5" s="122">
        <f ca="1">IFERROR(Contrato[[#This Row],[Pagos]]/Contrato[[#This Row],[VALOR CONTRATO]],0)</f>
        <v>0</v>
      </c>
      <c r="AN5" s="160">
        <f ca="1">+Contrato[[#This Row],[VALOR CONTRATO]]-Contrato[[#This Row],[Pagos]]</f>
        <v>41481095</v>
      </c>
      <c r="AO5" s="111" t="e" cm="1">
        <f t="array" aca="1" ref="AO5" ca="1">_xlfn.XLOOKUP(Contrato[[#This Row],[DOCUMENTO ]],PERSONAL_ACTIVO_2025[[#All],[DOCUMENTO]],PERSONAL_ACTIVO_2025[[#All],[email]],0,0)</f>
        <v>#NAME?</v>
      </c>
      <c r="AP5" s="111" t="e" cm="1">
        <f t="array" aca="1" ref="AP5" ca="1">_xlfn.XLOOKUP(Contrato[[#This Row],[DOCUMENTO]],PERSONAL_ACTIVO_2025[[#All],[DOCUMENTO]],PERSONAL_ACTIVO_2025[[#All],[email]],0,0)</f>
        <v>#NAME?</v>
      </c>
      <c r="AQ5" s="111" cm="1">
        <f t="array" aca="1" ref="AQ5" ca="1">IF(ISBLANK(Contrato[[#This Row],[DEPENDENCIA ]]),0,IFERROR(_xlfn.XLOOKUP(Contrato[[#This Row],[DEPENDENCIA ]],#REF!,#REF!,0,0),0))</f>
        <v>0</v>
      </c>
      <c r="AR5" s="553">
        <f ca="1">+_xlfn.DAYS(Contrato[[#This Row],[FECHA TERMINACIÓN ]],TODAY())</f>
        <v>-67</v>
      </c>
    </row>
    <row r="6" spans="1:44" s="111" customFormat="1" ht="36" customHeight="1" x14ac:dyDescent="0.25">
      <c r="A6" s="38">
        <v>504</v>
      </c>
      <c r="B6" s="226">
        <v>1</v>
      </c>
      <c r="C6" s="88" t="s">
        <v>714</v>
      </c>
      <c r="D6" s="192" t="s">
        <v>883</v>
      </c>
      <c r="E6" s="193" t="s">
        <v>112</v>
      </c>
      <c r="F6" s="194" t="s">
        <v>113</v>
      </c>
      <c r="G6" s="195" t="s">
        <v>897</v>
      </c>
      <c r="H6" s="167">
        <v>15512612</v>
      </c>
      <c r="I6" s="292">
        <v>9573200</v>
      </c>
      <c r="J6" s="290">
        <v>47866000</v>
      </c>
      <c r="K6" s="158" t="s">
        <v>41</v>
      </c>
      <c r="L6" s="196" t="s">
        <v>898</v>
      </c>
      <c r="M6" s="114" t="s">
        <v>899</v>
      </c>
      <c r="N6" s="113" t="e" cm="1">
        <f t="array" aca="1" ref="N6" ca="1">_xlfn.XLOOKUP(Contrato[[#This Row],[SUPERVISOR TITULAR]],PERSONAL_ACTIVO_2025[[#All],[NOMBRES Y APELLIDOS]],PERSONAL_ACTIVO_2025[[#All],[DOCUMENTO]],"",0)</f>
        <v>#NAME?</v>
      </c>
      <c r="O6" s="114" t="s">
        <v>900</v>
      </c>
      <c r="P6" s="115" t="e" cm="1">
        <f t="array" aca="1" ref="P6" ca="1">_xlfn.XLOOKUP(Contrato[[#This Row],[SUPERVISOR SUPLENTE ]],PERSONAL_ACTIVO_2025[[#All],[NOMBRES Y APELLIDOS]],PERSONAL_ACTIVO_2025[[#All],[DOCUMENTO]],"",0)</f>
        <v>#NAME?</v>
      </c>
      <c r="Q6" s="116">
        <v>14</v>
      </c>
      <c r="R6" s="137" t="e" cm="1">
        <f t="array" aca="1" ref="R6" ca="1">_xlfn.XLOOKUP(Contrato[[#This Row],[CDP]],DISPONIBILIDADES_2025[[#All],[consecutivo]],DISPONIBILIDADES_2025[[#All],[fecha_aprobacion]],"",0)</f>
        <v>#NAME?</v>
      </c>
      <c r="S6" s="92">
        <f>SUMIF(DISPONIBILIDADES_2025[[#All],[consecutivo]],Contrato[[#This Row],[CDP]],DISPONIBILIDADES_2025[[#All],[valor_total_rubro]])</f>
        <v>47866000</v>
      </c>
      <c r="T6" s="118" t="e" cm="1">
        <f t="array" aca="1" ref="T6" ca="1">_xlfn.XLOOKUP(Contrato[[#This Row],[CONTRATO]]&amp;Contrato[[#This Row],[CDP]],Corr_Contr_CDP[[#All],[CONTRATO-CDP]],Corr_Contr_CDP[[#All],[CRP]],_xlfn.XLOOKUP(Contrato[[#This Row],[CDP]],COMPROMISOS_2025[[#All],[disponibilidad]],COMPROMISOS_2025[[#All],[consecutivo]],"",0),0)</f>
        <v>#NAME?</v>
      </c>
      <c r="U6" s="117" t="e" cm="1">
        <f t="array" aca="1" ref="U6" ca="1">+_xlfn.XLOOKUP(Contrato[[#This Row],[RCP]],COMPROMISOS_2025[[#All],[consecutivo]],COMPROMISOS_2025[[#All],[fecha_aprobacion]],"",0)</f>
        <v>#NAME?</v>
      </c>
      <c r="V6" s="93">
        <f ca="1">SUMIF(COMPROMISOS_2025[[#All],[consecutivo]],Contrato[[#This Row],[RCP]],COMPROMISOS_2025[[#All],[valor_total]])</f>
        <v>0</v>
      </c>
      <c r="W6" s="169">
        <v>45684</v>
      </c>
      <c r="X6" s="243" t="s">
        <v>901</v>
      </c>
      <c r="Y6" s="96">
        <v>45685</v>
      </c>
      <c r="Z6" s="161">
        <v>45836</v>
      </c>
      <c r="AA6" s="198" t="s">
        <v>902</v>
      </c>
      <c r="AB6" s="119" t="s">
        <v>903</v>
      </c>
      <c r="AC6" s="112"/>
      <c r="AD6" s="279">
        <v>202000005915</v>
      </c>
      <c r="AE6" s="38" t="s">
        <v>904</v>
      </c>
      <c r="AF6" s="120" t="str">
        <f>TEXT(LEFT(Contrato[[#This Row],[CONTRATO]],3),"0")</f>
        <v>1</v>
      </c>
      <c r="AG6" s="120" t="str">
        <f>IF(LEN(Contrato[[#This Row],[Contrato2]])=3,Contrato[[#This Row],[Contrato2]],TEXT(Contrato[[#This Row],[Contrato2]],"000"))</f>
        <v>001</v>
      </c>
      <c r="AH6" s="90">
        <f ca="1">IFERROR(_xlfn.DAYS(Contrato[[#This Row],[Fecha Proyectada liquidación]],TODAY())/30,"")</f>
        <v>5.7666666666666666</v>
      </c>
      <c r="AI6" s="121">
        <f>+Contrato[[#This Row],[FECHA TERMINACIÓN ]]+120</f>
        <v>45956</v>
      </c>
      <c r="AJ6" s="89"/>
      <c r="AK6" s="91" t="str">
        <f ca="1">IF(Contrato[[#This Row],[FECHA TERMINACIÓN ]]&lt;TODAY(), "Terminado",IF(ISNUMBER(Contrato[[#This Row],[Fecha Real de liquiidación ]]),"Liquidado",IF(Contrato[[#This Row],[FECHA TERMINACIÓN ]]&gt;=TODAY(),"En ejecución","")))</f>
        <v>En ejecución</v>
      </c>
      <c r="AL6" s="107">
        <f ca="1">SUMIF(COMPROMISOS_2025[[#All],[consecutivo]],Contrato[[#This Row],[RCP]],COMPROMISOS_2025[[#All],[Total pagado]])</f>
        <v>0</v>
      </c>
      <c r="AM6" s="122">
        <f ca="1">IFERROR(Contrato[[#This Row],[Pagos]]/Contrato[[#This Row],[VALOR CONTRATO]],0)</f>
        <v>0</v>
      </c>
      <c r="AN6" s="160">
        <f ca="1">+Contrato[[#This Row],[VALOR CONTRATO]]-Contrato[[#This Row],[Pagos]]</f>
        <v>47866000</v>
      </c>
      <c r="AO6" s="111" t="e" cm="1">
        <f t="array" aca="1" ref="AO6" ca="1">_xlfn.XLOOKUP(Contrato[[#This Row],[DOCUMENTO ]],PERSONAL_ACTIVO_2025[[#All],[DOCUMENTO]],PERSONAL_ACTIVO_2025[[#All],[email]],0,0)</f>
        <v>#NAME?</v>
      </c>
      <c r="AP6" s="111" t="e" cm="1">
        <f t="array" aca="1" ref="AP6" ca="1">_xlfn.XLOOKUP(Contrato[[#This Row],[DOCUMENTO]],PERSONAL_ACTIVO_2025[[#All],[DOCUMENTO]],PERSONAL_ACTIVO_2025[[#All],[email]],0,0)</f>
        <v>#NAME?</v>
      </c>
      <c r="AQ6" s="111" cm="1">
        <f t="array" aca="1" ref="AQ6" ca="1">IF(ISBLANK(Contrato[[#This Row],[DEPENDENCIA ]]),0,IFERROR(_xlfn.XLOOKUP(Contrato[[#This Row],[DEPENDENCIA ]],#REF!,#REF!,0,0),0))</f>
        <v>0</v>
      </c>
      <c r="AR6" s="553">
        <f ca="1">+_xlfn.DAYS(Contrato[[#This Row],[FECHA TERMINACIÓN ]],TODAY())</f>
        <v>53</v>
      </c>
    </row>
    <row r="7" spans="1:44" s="111" customFormat="1" ht="36" customHeight="1" x14ac:dyDescent="0.25">
      <c r="A7" s="38">
        <v>505</v>
      </c>
      <c r="B7" s="226">
        <v>2</v>
      </c>
      <c r="C7" s="88" t="s">
        <v>715</v>
      </c>
      <c r="D7" s="192" t="s">
        <v>905</v>
      </c>
      <c r="E7" s="193" t="s">
        <v>112</v>
      </c>
      <c r="F7" s="194" t="s">
        <v>113</v>
      </c>
      <c r="G7" s="195" t="s">
        <v>906</v>
      </c>
      <c r="H7" s="167">
        <v>98564999</v>
      </c>
      <c r="I7" s="292">
        <v>9573200</v>
      </c>
      <c r="J7" s="290">
        <v>50099747</v>
      </c>
      <c r="K7" s="158" t="s">
        <v>41</v>
      </c>
      <c r="L7" s="196" t="s">
        <v>898</v>
      </c>
      <c r="M7" s="114" t="s">
        <v>907</v>
      </c>
      <c r="N7" s="113" t="e" cm="1">
        <f t="array" aca="1" ref="N7" ca="1">_xlfn.XLOOKUP(Contrato[[#This Row],[SUPERVISOR TITULAR]],PERSONAL_ACTIVO_2025[[#All],[NOMBRES Y APELLIDOS]],PERSONAL_ACTIVO_2025[[#All],[DOCUMENTO]],"",0)</f>
        <v>#NAME?</v>
      </c>
      <c r="O7" s="114" t="s">
        <v>908</v>
      </c>
      <c r="P7" s="115" t="e" cm="1">
        <f t="array" aca="1" ref="P7" ca="1">_xlfn.XLOOKUP(Contrato[[#This Row],[SUPERVISOR SUPLENTE ]],PERSONAL_ACTIVO_2025[[#All],[NOMBRES Y APELLIDOS]],PERSONAL_ACTIVO_2025[[#All],[DOCUMENTO]],"",0)</f>
        <v>#NAME?</v>
      </c>
      <c r="Q7" s="116">
        <v>26</v>
      </c>
      <c r="R7" s="137" t="e" cm="1">
        <f t="array" aca="1" ref="R7" ca="1">_xlfn.XLOOKUP(Contrato[[#This Row],[CDP]],DISPONIBILIDADES_2025[[#All],[consecutivo]],DISPONIBILIDADES_2025[[#All],[fecha_aprobacion]],"",0)</f>
        <v>#NAME?</v>
      </c>
      <c r="S7" s="92">
        <f>SUMIF(DISPONIBILIDADES_2025[[#All],[consecutivo]],Contrato[[#This Row],[CDP]],DISPONIBILIDADES_2025[[#All],[valor_total_rubro]])</f>
        <v>50418853</v>
      </c>
      <c r="T7" s="118" t="e" cm="1">
        <f t="array" aca="1" ref="T7" ca="1">_xlfn.XLOOKUP(Contrato[[#This Row],[CONTRATO]]&amp;Contrato[[#This Row],[CDP]],Corr_Contr_CDP[[#All],[CONTRATO-CDP]],Corr_Contr_CDP[[#All],[CRP]],_xlfn.XLOOKUP(Contrato[[#This Row],[CDP]],COMPROMISOS_2025[[#All],[disponibilidad]],COMPROMISOS_2025[[#All],[consecutivo]],"",0),0)</f>
        <v>#NAME?</v>
      </c>
      <c r="U7" s="117" t="e" cm="1">
        <f t="array" aca="1" ref="U7" ca="1">+_xlfn.XLOOKUP(Contrato[[#This Row],[RCP]],COMPROMISOS_2025[[#All],[consecutivo]],COMPROMISOS_2025[[#All],[fecha_aprobacion]],"",0)</f>
        <v>#NAME?</v>
      </c>
      <c r="V7" s="93">
        <f ca="1">SUMIF(COMPROMISOS_2025[[#All],[consecutivo]],Contrato[[#This Row],[RCP]],COMPROMISOS_2025[[#All],[valor_total]])</f>
        <v>0</v>
      </c>
      <c r="W7" s="169">
        <v>45686</v>
      </c>
      <c r="X7" s="243" t="s">
        <v>901</v>
      </c>
      <c r="Y7" s="96">
        <v>45686</v>
      </c>
      <c r="Z7" s="161">
        <v>45838</v>
      </c>
      <c r="AA7" s="198" t="s">
        <v>909</v>
      </c>
      <c r="AB7" s="119" t="s">
        <v>910</v>
      </c>
      <c r="AC7" s="112"/>
      <c r="AD7" s="279">
        <v>202000005918</v>
      </c>
      <c r="AE7" s="38" t="s">
        <v>904</v>
      </c>
      <c r="AF7" s="120" t="str">
        <f>TEXT(LEFT(Contrato[[#This Row],[CONTRATO]],3),"0")</f>
        <v>2</v>
      </c>
      <c r="AG7" s="120" t="str">
        <f>IF(LEN(Contrato[[#This Row],[Contrato2]])=3,Contrato[[#This Row],[Contrato2]],TEXT(Contrato[[#This Row],[Contrato2]],"000"))</f>
        <v>002</v>
      </c>
      <c r="AH7" s="90">
        <f ca="1">IFERROR(_xlfn.DAYS(Contrato[[#This Row],[Fecha Proyectada liquidación]],TODAY())/30,"")</f>
        <v>5.833333333333333</v>
      </c>
      <c r="AI7" s="121">
        <f>+Contrato[[#This Row],[FECHA TERMINACIÓN ]]+120</f>
        <v>45958</v>
      </c>
      <c r="AJ7" s="89"/>
      <c r="AK7" s="91" t="str">
        <f ca="1">IF(Contrato[[#This Row],[FECHA TERMINACIÓN ]]&lt;TODAY(), "Terminado",IF(ISNUMBER(Contrato[[#This Row],[Fecha Real de liquiidación ]]),"Liquidado",IF(Contrato[[#This Row],[FECHA TERMINACIÓN ]]&gt;=TODAY(),"En ejecución","")))</f>
        <v>En ejecución</v>
      </c>
      <c r="AL7" s="107">
        <f ca="1">SUMIF(COMPROMISOS_2025[[#All],[consecutivo]],Contrato[[#This Row],[RCP]],COMPROMISOS_2025[[#All],[Total pagado]])</f>
        <v>0</v>
      </c>
      <c r="AM7" s="122">
        <f ca="1">IFERROR(Contrato[[#This Row],[Pagos]]/Contrato[[#This Row],[VALOR CONTRATO]],0)</f>
        <v>0</v>
      </c>
      <c r="AN7" s="160">
        <f ca="1">+Contrato[[#This Row],[VALOR CONTRATO]]-Contrato[[#This Row],[Pagos]]</f>
        <v>50099747</v>
      </c>
      <c r="AO7" s="111" t="e" cm="1">
        <f t="array" aca="1" ref="AO7" ca="1">_xlfn.XLOOKUP(Contrato[[#This Row],[DOCUMENTO ]],PERSONAL_ACTIVO_2025[[#All],[DOCUMENTO]],PERSONAL_ACTIVO_2025[[#All],[email]],0,0)</f>
        <v>#NAME?</v>
      </c>
      <c r="AP7" s="111" t="e" cm="1">
        <f t="array" aca="1" ref="AP7" ca="1">_xlfn.XLOOKUP(Contrato[[#This Row],[DOCUMENTO]],PERSONAL_ACTIVO_2025[[#All],[DOCUMENTO]],PERSONAL_ACTIVO_2025[[#All],[email]],0,0)</f>
        <v>#NAME?</v>
      </c>
      <c r="AQ7" s="111" cm="1">
        <f t="array" aca="1" ref="AQ7" ca="1">IF(ISBLANK(Contrato[[#This Row],[DEPENDENCIA ]]),0,IFERROR(_xlfn.XLOOKUP(Contrato[[#This Row],[DEPENDENCIA ]],#REF!,#REF!,0,0),0))</f>
        <v>0</v>
      </c>
      <c r="AR7" s="553">
        <f ca="1">+_xlfn.DAYS(Contrato[[#This Row],[FECHA TERMINACIÓN ]],TODAY())</f>
        <v>55</v>
      </c>
    </row>
    <row r="8" spans="1:44" s="111" customFormat="1" ht="36" customHeight="1" x14ac:dyDescent="0.25">
      <c r="A8" s="38">
        <v>211</v>
      </c>
      <c r="B8" s="226">
        <v>3</v>
      </c>
      <c r="C8" s="88" t="s">
        <v>397</v>
      </c>
      <c r="D8" s="192" t="s">
        <v>911</v>
      </c>
      <c r="E8" s="193" t="s">
        <v>112</v>
      </c>
      <c r="F8" s="194" t="s">
        <v>113</v>
      </c>
      <c r="G8" s="195" t="s">
        <v>912</v>
      </c>
      <c r="H8" s="167">
        <v>1037577309</v>
      </c>
      <c r="I8" s="292">
        <v>9573200</v>
      </c>
      <c r="J8" s="290">
        <v>49142427</v>
      </c>
      <c r="K8" s="158" t="s">
        <v>41</v>
      </c>
      <c r="L8" s="196" t="s">
        <v>913</v>
      </c>
      <c r="M8" s="114" t="s">
        <v>914</v>
      </c>
      <c r="N8" s="113" t="e" cm="1">
        <f t="array" aca="1" ref="N8" ca="1">_xlfn.XLOOKUP(Contrato[[#This Row],[SUPERVISOR TITULAR]],PERSONAL_ACTIVO_2025[[#All],[NOMBRES Y APELLIDOS]],PERSONAL_ACTIVO_2025[[#All],[DOCUMENTO]],"",0)</f>
        <v>#NAME?</v>
      </c>
      <c r="O8" s="114" t="s">
        <v>915</v>
      </c>
      <c r="P8" s="115" t="e" cm="1">
        <f t="array" aca="1" ref="P8" ca="1">_xlfn.XLOOKUP(Contrato[[#This Row],[SUPERVISOR SUPLENTE ]],PERSONAL_ACTIVO_2025[[#All],[NOMBRES Y APELLIDOS]],PERSONAL_ACTIVO_2025[[#All],[DOCUMENTO]],"",0)</f>
        <v>#NAME?</v>
      </c>
      <c r="Q8" s="116">
        <v>19</v>
      </c>
      <c r="R8" s="137" t="e" cm="1">
        <f t="array" aca="1" ref="R8" ca="1">_xlfn.XLOOKUP(Contrato[[#This Row],[CDP]],DISPONIBILIDADES_2025[[#All],[consecutivo]],DISPONIBILIDADES_2025[[#All],[fecha_aprobacion]],"",0)</f>
        <v>#NAME?</v>
      </c>
      <c r="S8" s="92">
        <f>SUMIF(DISPONIBILIDADES_2025[[#All],[consecutivo]],Contrato[[#This Row],[CDP]],DISPONIBILIDADES_2025[[#All],[valor_total_rubro]])</f>
        <v>49142427</v>
      </c>
      <c r="T8" s="118" t="e" cm="1">
        <f t="array" aca="1" ref="T8" ca="1">_xlfn.XLOOKUP(Contrato[[#This Row],[CONTRATO]]&amp;Contrato[[#This Row],[CDP]],Corr_Contr_CDP[[#All],[CONTRATO-CDP]],Corr_Contr_CDP[[#All],[CRP]],_xlfn.XLOOKUP(Contrato[[#This Row],[CDP]],COMPROMISOS_2025[[#All],[disponibilidad]],COMPROMISOS_2025[[#All],[consecutivo]],"",0),0)</f>
        <v>#NAME?</v>
      </c>
      <c r="U8" s="117" t="e" cm="1">
        <f t="array" aca="1" ref="U8" ca="1">+_xlfn.XLOOKUP(Contrato[[#This Row],[RCP]],COMPROMISOS_2025[[#All],[consecutivo]],COMPROMISOS_2025[[#All],[fecha_aprobacion]],"",0)</f>
        <v>#NAME?</v>
      </c>
      <c r="V8" s="93">
        <f ca="1">SUMIF(COMPROMISOS_2025[[#All],[consecutivo]],Contrato[[#This Row],[RCP]],COMPROMISOS_2025[[#All],[valor_total]])</f>
        <v>0</v>
      </c>
      <c r="W8" s="169">
        <v>45687</v>
      </c>
      <c r="X8" s="243" t="s">
        <v>901</v>
      </c>
      <c r="Y8" s="96">
        <v>45688</v>
      </c>
      <c r="Z8" s="161">
        <v>45838</v>
      </c>
      <c r="AA8" s="198" t="s">
        <v>916</v>
      </c>
      <c r="AB8" s="119" t="s">
        <v>917</v>
      </c>
      <c r="AC8" s="112"/>
      <c r="AD8" s="279">
        <v>202000005919</v>
      </c>
      <c r="AE8" s="38" t="s">
        <v>904</v>
      </c>
      <c r="AF8" s="120" t="str">
        <f>TEXT(LEFT(Contrato[[#This Row],[CONTRATO]],3),"0")</f>
        <v>3</v>
      </c>
      <c r="AG8" s="120" t="str">
        <f>IF(LEN(Contrato[[#This Row],[Contrato2]])=3,Contrato[[#This Row],[Contrato2]],TEXT(Contrato[[#This Row],[Contrato2]],"000"))</f>
        <v>003</v>
      </c>
      <c r="AH8" s="90">
        <f ca="1">IFERROR(_xlfn.DAYS(Contrato[[#This Row],[Fecha Proyectada liquidación]],TODAY())/30,"")</f>
        <v>5.833333333333333</v>
      </c>
      <c r="AI8" s="121">
        <f>+Contrato[[#This Row],[FECHA TERMINACIÓN ]]+120</f>
        <v>45958</v>
      </c>
      <c r="AJ8" s="89"/>
      <c r="AK8" s="91" t="str">
        <f ca="1">IF(Contrato[[#This Row],[FECHA TERMINACIÓN ]]&lt;TODAY(), "Terminado",IF(ISNUMBER(Contrato[[#This Row],[Fecha Real de liquiidación ]]),"Liquidado",IF(Contrato[[#This Row],[FECHA TERMINACIÓN ]]&gt;=TODAY(),"En ejecución","")))</f>
        <v>En ejecución</v>
      </c>
      <c r="AL8" s="107">
        <f ca="1">SUMIF(COMPROMISOS_2025[[#All],[consecutivo]],Contrato[[#This Row],[RCP]],COMPROMISOS_2025[[#All],[Total pagado]])</f>
        <v>0</v>
      </c>
      <c r="AM8" s="122">
        <f ca="1">IFERROR(Contrato[[#This Row],[Pagos]]/Contrato[[#This Row],[VALOR CONTRATO]],0)</f>
        <v>0</v>
      </c>
      <c r="AN8" s="160">
        <f ca="1">+Contrato[[#This Row],[VALOR CONTRATO]]-Contrato[[#This Row],[Pagos]]</f>
        <v>49142427</v>
      </c>
      <c r="AO8" s="111" t="e" cm="1">
        <f t="array" aca="1" ref="AO8" ca="1">_xlfn.XLOOKUP(Contrato[[#This Row],[DOCUMENTO ]],PERSONAL_ACTIVO_2025[[#All],[DOCUMENTO]],PERSONAL_ACTIVO_2025[[#All],[email]],0,0)</f>
        <v>#NAME?</v>
      </c>
      <c r="AP8" s="111" t="e" cm="1">
        <f t="array" aca="1" ref="AP8" ca="1">_xlfn.XLOOKUP(Contrato[[#This Row],[DOCUMENTO]],PERSONAL_ACTIVO_2025[[#All],[DOCUMENTO]],PERSONAL_ACTIVO_2025[[#All],[email]],0,0)</f>
        <v>#NAME?</v>
      </c>
      <c r="AQ8" s="111" cm="1">
        <f t="array" aca="1" ref="AQ8" ca="1">IF(ISBLANK(Contrato[[#This Row],[DEPENDENCIA ]]),0,IFERROR(_xlfn.XLOOKUP(Contrato[[#This Row],[DEPENDENCIA ]],#REF!,#REF!,0,0),0))</f>
        <v>0</v>
      </c>
      <c r="AR8" s="553">
        <f ca="1">+_xlfn.DAYS(Contrato[[#This Row],[FECHA TERMINACIÓN ]],TODAY())</f>
        <v>55</v>
      </c>
    </row>
    <row r="9" spans="1:44" s="111" customFormat="1" ht="36" customHeight="1" x14ac:dyDescent="0.25">
      <c r="A9" s="38">
        <v>493</v>
      </c>
      <c r="B9" s="226">
        <v>4</v>
      </c>
      <c r="C9" s="88" t="s">
        <v>704</v>
      </c>
      <c r="D9" s="192" t="s">
        <v>883</v>
      </c>
      <c r="E9" s="193" t="s">
        <v>112</v>
      </c>
      <c r="F9" s="194" t="s">
        <v>113</v>
      </c>
      <c r="G9" s="195" t="s">
        <v>918</v>
      </c>
      <c r="H9" s="167">
        <v>1037571358</v>
      </c>
      <c r="I9" s="292">
        <v>9573200</v>
      </c>
      <c r="J9" s="290">
        <v>47866000</v>
      </c>
      <c r="K9" s="158" t="s">
        <v>41</v>
      </c>
      <c r="L9" s="196" t="s">
        <v>913</v>
      </c>
      <c r="M9" s="114" t="s">
        <v>886</v>
      </c>
      <c r="N9" s="113" t="e" cm="1">
        <f t="array" aca="1" ref="N9" ca="1">_xlfn.XLOOKUP(Contrato[[#This Row],[SUPERVISOR TITULAR]],PERSONAL_ACTIVO_2025[[#All],[NOMBRES Y APELLIDOS]],PERSONAL_ACTIVO_2025[[#All],[DOCUMENTO]],"",0)</f>
        <v>#NAME?</v>
      </c>
      <c r="O9" s="114" t="s">
        <v>887</v>
      </c>
      <c r="P9" s="115" t="e" cm="1">
        <f t="array" aca="1" ref="P9" ca="1">_xlfn.XLOOKUP(Contrato[[#This Row],[SUPERVISOR SUPLENTE ]],PERSONAL_ACTIVO_2025[[#All],[NOMBRES Y APELLIDOS]],PERSONAL_ACTIVO_2025[[#All],[DOCUMENTO]],"",0)</f>
        <v>#NAME?</v>
      </c>
      <c r="Q9" s="116">
        <v>21</v>
      </c>
      <c r="R9" s="137" t="e" cm="1">
        <f t="array" aca="1" ref="R9" ca="1">_xlfn.XLOOKUP(Contrato[[#This Row],[CDP]],DISPONIBILIDADES_2025[[#All],[consecutivo]],DISPONIBILIDADES_2025[[#All],[fecha_aprobacion]],"",0)</f>
        <v>#NAME?</v>
      </c>
      <c r="S9" s="92">
        <f>SUMIF(DISPONIBILIDADES_2025[[#All],[consecutivo]],Contrato[[#This Row],[CDP]],DISPONIBILIDADES_2025[[#All],[valor_total_rubro]])</f>
        <v>47866000</v>
      </c>
      <c r="T9" s="118" t="e" cm="1">
        <f t="array" aca="1" ref="T9" ca="1">_xlfn.XLOOKUP(Contrato[[#This Row],[CONTRATO]]&amp;Contrato[[#This Row],[CDP]],Corr_Contr_CDP[[#All],[CONTRATO-CDP]],Corr_Contr_CDP[[#All],[CRP]],_xlfn.XLOOKUP(Contrato[[#This Row],[CDP]],COMPROMISOS_2025[[#All],[disponibilidad]],COMPROMISOS_2025[[#All],[consecutivo]],"",0),0)</f>
        <v>#NAME?</v>
      </c>
      <c r="U9" s="117" t="e" cm="1">
        <f t="array" aca="1" ref="U9" ca="1">+_xlfn.XLOOKUP(Contrato[[#This Row],[RCP]],COMPROMISOS_2025[[#All],[consecutivo]],COMPROMISOS_2025[[#All],[fecha_aprobacion]],"",0)</f>
        <v>#NAME?</v>
      </c>
      <c r="V9" s="93">
        <f ca="1">SUMIF(COMPROMISOS_2025[[#All],[consecutivo]],Contrato[[#This Row],[RCP]],COMPROMISOS_2025[[#All],[valor_total]])</f>
        <v>0</v>
      </c>
      <c r="W9" s="169">
        <v>45691</v>
      </c>
      <c r="X9" s="243" t="s">
        <v>901</v>
      </c>
      <c r="Y9" s="96">
        <v>45692</v>
      </c>
      <c r="Z9" s="161">
        <v>45838</v>
      </c>
      <c r="AA9" s="309" t="s">
        <v>919</v>
      </c>
      <c r="AB9" s="119" t="s">
        <v>920</v>
      </c>
      <c r="AC9" s="112"/>
      <c r="AD9" s="548">
        <v>202000006111</v>
      </c>
      <c r="AE9" s="38" t="s">
        <v>904</v>
      </c>
      <c r="AF9" s="120" t="str">
        <f>TEXT(LEFT(Contrato[[#This Row],[CONTRATO]],3),"0")</f>
        <v>4</v>
      </c>
      <c r="AG9" s="120" t="str">
        <f>IF(LEN(Contrato[[#This Row],[Contrato2]])=3,Contrato[[#This Row],[Contrato2]],TEXT(Contrato[[#This Row],[Contrato2]],"000"))</f>
        <v>004</v>
      </c>
      <c r="AH9" s="90">
        <f ca="1">IFERROR(_xlfn.DAYS(Contrato[[#This Row],[Fecha Proyectada liquidación]],TODAY())/30,"")</f>
        <v>5.833333333333333</v>
      </c>
      <c r="AI9" s="121">
        <f>+Contrato[[#This Row],[FECHA TERMINACIÓN ]]+120</f>
        <v>45958</v>
      </c>
      <c r="AJ9" s="89"/>
      <c r="AK9" s="91" t="str">
        <f ca="1">IF(Contrato[[#This Row],[FECHA TERMINACIÓN ]]&lt;TODAY(), "Terminado",IF(ISNUMBER(Contrato[[#This Row],[Fecha Real de liquiidación ]]),"Liquidado",IF(Contrato[[#This Row],[FECHA TERMINACIÓN ]]&gt;=TODAY(),"En ejecución","")))</f>
        <v>En ejecución</v>
      </c>
      <c r="AL9" s="107">
        <f ca="1">SUMIF(COMPROMISOS_2025[[#All],[consecutivo]],Contrato[[#This Row],[RCP]],COMPROMISOS_2025[[#All],[Total pagado]])</f>
        <v>0</v>
      </c>
      <c r="AM9" s="122">
        <f ca="1">IFERROR(Contrato[[#This Row],[Pagos]]/Contrato[[#This Row],[VALOR CONTRATO]],0)</f>
        <v>0</v>
      </c>
      <c r="AN9" s="160">
        <f ca="1">+Contrato[[#This Row],[VALOR CONTRATO]]-Contrato[[#This Row],[Pagos]]</f>
        <v>47866000</v>
      </c>
      <c r="AO9" s="111" t="e" cm="1">
        <f t="array" aca="1" ref="AO9" ca="1">_xlfn.XLOOKUP(Contrato[[#This Row],[DOCUMENTO ]],PERSONAL_ACTIVO_2025[[#All],[DOCUMENTO]],PERSONAL_ACTIVO_2025[[#All],[email]],0,0)</f>
        <v>#NAME?</v>
      </c>
      <c r="AP9" s="111" t="e" cm="1">
        <f t="array" aca="1" ref="AP9" ca="1">_xlfn.XLOOKUP(Contrato[[#This Row],[DOCUMENTO]],PERSONAL_ACTIVO_2025[[#All],[DOCUMENTO]],PERSONAL_ACTIVO_2025[[#All],[email]],0,0)</f>
        <v>#NAME?</v>
      </c>
      <c r="AQ9" s="111" cm="1">
        <f t="array" aca="1" ref="AQ9" ca="1">IF(ISBLANK(Contrato[[#This Row],[DEPENDENCIA ]]),0,IFERROR(_xlfn.XLOOKUP(Contrato[[#This Row],[DEPENDENCIA ]],#REF!,#REF!,0,0),0))</f>
        <v>0</v>
      </c>
      <c r="AR9" s="553">
        <f ca="1">+_xlfn.DAYS(Contrato[[#This Row],[FECHA TERMINACIÓN ]],TODAY())</f>
        <v>55</v>
      </c>
    </row>
    <row r="10" spans="1:44" s="111" customFormat="1" ht="36" customHeight="1" x14ac:dyDescent="0.25">
      <c r="A10" s="38">
        <v>492</v>
      </c>
      <c r="B10" s="226">
        <v>5</v>
      </c>
      <c r="C10" s="88" t="s">
        <v>703</v>
      </c>
      <c r="D10" s="192" t="s">
        <v>883</v>
      </c>
      <c r="E10" s="193" t="s">
        <v>112</v>
      </c>
      <c r="F10" s="194" t="s">
        <v>113</v>
      </c>
      <c r="G10" s="195" t="s">
        <v>921</v>
      </c>
      <c r="H10" s="167">
        <v>39430907</v>
      </c>
      <c r="I10" s="292">
        <v>9573200</v>
      </c>
      <c r="J10" s="290">
        <v>47866000</v>
      </c>
      <c r="K10" s="158" t="s">
        <v>41</v>
      </c>
      <c r="L10" s="196" t="s">
        <v>913</v>
      </c>
      <c r="M10" s="114" t="s">
        <v>886</v>
      </c>
      <c r="N10" s="113" t="e" cm="1">
        <f t="array" aca="1" ref="N10" ca="1">_xlfn.XLOOKUP(Contrato[[#This Row],[SUPERVISOR TITULAR]],PERSONAL_ACTIVO_2025[[#All],[NOMBRES Y APELLIDOS]],PERSONAL_ACTIVO_2025[[#All],[DOCUMENTO]],"",0)</f>
        <v>#NAME?</v>
      </c>
      <c r="O10" s="114" t="s">
        <v>887</v>
      </c>
      <c r="P10" s="115" t="e" cm="1">
        <f t="array" aca="1" ref="P10" ca="1">_xlfn.XLOOKUP(Contrato[[#This Row],[SUPERVISOR SUPLENTE ]],PERSONAL_ACTIVO_2025[[#All],[NOMBRES Y APELLIDOS]],PERSONAL_ACTIVO_2025[[#All],[DOCUMENTO]],"",0)</f>
        <v>#NAME?</v>
      </c>
      <c r="Q10" s="116">
        <v>25</v>
      </c>
      <c r="R10" s="137" t="e" cm="1">
        <f t="array" aca="1" ref="R10" ca="1">_xlfn.XLOOKUP(Contrato[[#This Row],[CDP]],DISPONIBILIDADES_2025[[#All],[consecutivo]],DISPONIBILIDADES_2025[[#All],[fecha_aprobacion]],"",0)</f>
        <v>#NAME?</v>
      </c>
      <c r="S10" s="92">
        <f>SUMIF(DISPONIBILIDADES_2025[[#All],[consecutivo]],Contrato[[#This Row],[CDP]],DISPONIBILIDADES_2025[[#All],[valor_total_rubro]])</f>
        <v>47866000</v>
      </c>
      <c r="T10" s="118" t="e" cm="1">
        <f t="array" aca="1" ref="T10" ca="1">_xlfn.XLOOKUP(Contrato[[#This Row],[CONTRATO]]&amp;Contrato[[#This Row],[CDP]],Corr_Contr_CDP[[#All],[CONTRATO-CDP]],Corr_Contr_CDP[[#All],[CRP]],_xlfn.XLOOKUP(Contrato[[#This Row],[CDP]],COMPROMISOS_2025[[#All],[disponibilidad]],COMPROMISOS_2025[[#All],[consecutivo]],"",0),0)</f>
        <v>#NAME?</v>
      </c>
      <c r="U10" s="117" t="e" cm="1">
        <f t="array" aca="1" ref="U10" ca="1">+_xlfn.XLOOKUP(Contrato[[#This Row],[RCP]],COMPROMISOS_2025[[#All],[consecutivo]],COMPROMISOS_2025[[#All],[fecha_aprobacion]],"",0)</f>
        <v>#NAME?</v>
      </c>
      <c r="V10" s="93">
        <f ca="1">SUMIF(COMPROMISOS_2025[[#All],[consecutivo]],Contrato[[#This Row],[RCP]],COMPROMISOS_2025[[#All],[valor_total]])</f>
        <v>0</v>
      </c>
      <c r="W10" s="169">
        <v>45691</v>
      </c>
      <c r="X10" s="243" t="s">
        <v>901</v>
      </c>
      <c r="Y10" s="96">
        <v>45693</v>
      </c>
      <c r="Z10" s="161">
        <v>45841</v>
      </c>
      <c r="AA10" s="309" t="s">
        <v>922</v>
      </c>
      <c r="AB10" s="119" t="s">
        <v>920</v>
      </c>
      <c r="AC10" s="112"/>
      <c r="AD10" s="548">
        <v>202000006112</v>
      </c>
      <c r="AE10" s="38" t="s">
        <v>904</v>
      </c>
      <c r="AF10" s="120" t="str">
        <f>TEXT(LEFT(Contrato[[#This Row],[CONTRATO]],3),"0")</f>
        <v>5</v>
      </c>
      <c r="AG10" s="120" t="str">
        <f>IF(LEN(Contrato[[#This Row],[Contrato2]])=3,Contrato[[#This Row],[Contrato2]],TEXT(Contrato[[#This Row],[Contrato2]],"000"))</f>
        <v>005</v>
      </c>
      <c r="AH10" s="90">
        <f ca="1">IFERROR(_xlfn.DAYS(Contrato[[#This Row],[Fecha Proyectada liquidación]],TODAY())/30,"")</f>
        <v>5.9333333333333336</v>
      </c>
      <c r="AI10" s="121">
        <f>+Contrato[[#This Row],[FECHA TERMINACIÓN ]]+120</f>
        <v>45961</v>
      </c>
      <c r="AJ10" s="89"/>
      <c r="AK10" s="91" t="str">
        <f ca="1">IF(Contrato[[#This Row],[FECHA TERMINACIÓN ]]&lt;TODAY(), "Terminado",IF(ISNUMBER(Contrato[[#This Row],[Fecha Real de liquiidación ]]),"Liquidado",IF(Contrato[[#This Row],[FECHA TERMINACIÓN ]]&gt;=TODAY(),"En ejecución","")))</f>
        <v>En ejecución</v>
      </c>
      <c r="AL10" s="107">
        <f ca="1">SUMIF(COMPROMISOS_2025[[#All],[consecutivo]],Contrato[[#This Row],[RCP]],COMPROMISOS_2025[[#All],[Total pagado]])</f>
        <v>0</v>
      </c>
      <c r="AM10" s="122">
        <f ca="1">IFERROR(Contrato[[#This Row],[Pagos]]/Contrato[[#This Row],[VALOR CONTRATO]],0)</f>
        <v>0</v>
      </c>
      <c r="AN10" s="160">
        <f ca="1">+Contrato[[#This Row],[VALOR CONTRATO]]-Contrato[[#This Row],[Pagos]]</f>
        <v>47866000</v>
      </c>
      <c r="AO10" s="111" t="e" cm="1">
        <f t="array" aca="1" ref="AO10" ca="1">_xlfn.XLOOKUP(Contrato[[#This Row],[DOCUMENTO ]],PERSONAL_ACTIVO_2025[[#All],[DOCUMENTO]],PERSONAL_ACTIVO_2025[[#All],[email]],0,0)</f>
        <v>#NAME?</v>
      </c>
      <c r="AP10" s="111" t="e" cm="1">
        <f t="array" aca="1" ref="AP10" ca="1">_xlfn.XLOOKUP(Contrato[[#This Row],[DOCUMENTO]],PERSONAL_ACTIVO_2025[[#All],[DOCUMENTO]],PERSONAL_ACTIVO_2025[[#All],[email]],0,0)</f>
        <v>#NAME?</v>
      </c>
      <c r="AQ10" s="111" cm="1">
        <f t="array" aca="1" ref="AQ10" ca="1">IF(ISBLANK(Contrato[[#This Row],[DEPENDENCIA ]]),0,IFERROR(_xlfn.XLOOKUP(Contrato[[#This Row],[DEPENDENCIA ]],#REF!,#REF!,0,0),0))</f>
        <v>0</v>
      </c>
      <c r="AR10" s="553">
        <f ca="1">+_xlfn.DAYS(Contrato[[#This Row],[FECHA TERMINACIÓN ]],TODAY())</f>
        <v>58</v>
      </c>
    </row>
    <row r="11" spans="1:44" s="111" customFormat="1" ht="36" customHeight="1" x14ac:dyDescent="0.25">
      <c r="A11" s="38">
        <v>495</v>
      </c>
      <c r="B11" s="226">
        <v>6</v>
      </c>
      <c r="C11" s="88" t="s">
        <v>706</v>
      </c>
      <c r="D11" s="192" t="s">
        <v>883</v>
      </c>
      <c r="E11" s="193" t="s">
        <v>112</v>
      </c>
      <c r="F11" s="194" t="s">
        <v>113</v>
      </c>
      <c r="G11" s="195" t="s">
        <v>923</v>
      </c>
      <c r="H11" s="167">
        <v>15444242</v>
      </c>
      <c r="I11" s="292">
        <v>7521800</v>
      </c>
      <c r="J11" s="290">
        <v>37609000</v>
      </c>
      <c r="K11" s="158" t="s">
        <v>41</v>
      </c>
      <c r="L11" s="196" t="s">
        <v>913</v>
      </c>
      <c r="M11" s="114" t="s">
        <v>924</v>
      </c>
      <c r="N11" s="113" t="e" cm="1">
        <f t="array" aca="1" ref="N11" ca="1">_xlfn.XLOOKUP(Contrato[[#This Row],[SUPERVISOR TITULAR]],PERSONAL_ACTIVO_2025[[#All],[NOMBRES Y APELLIDOS]],PERSONAL_ACTIVO_2025[[#All],[DOCUMENTO]],"",0)</f>
        <v>#NAME?</v>
      </c>
      <c r="O11" s="114" t="s">
        <v>925</v>
      </c>
      <c r="P11" s="115" t="e" cm="1">
        <f t="array" aca="1" ref="P11" ca="1">_xlfn.XLOOKUP(Contrato[[#This Row],[SUPERVISOR SUPLENTE ]],PERSONAL_ACTIVO_2025[[#All],[NOMBRES Y APELLIDOS]],PERSONAL_ACTIVO_2025[[#All],[DOCUMENTO]],"",0)</f>
        <v>#NAME?</v>
      </c>
      <c r="Q11" s="116">
        <v>24</v>
      </c>
      <c r="R11" s="137" t="e" cm="1">
        <f t="array" aca="1" ref="R11" ca="1">_xlfn.XLOOKUP(Contrato[[#This Row],[CDP]],DISPONIBILIDADES_2025[[#All],[consecutivo]],DISPONIBILIDADES_2025[[#All],[fecha_aprobacion]],"",0)</f>
        <v>#NAME?</v>
      </c>
      <c r="S11" s="92">
        <f>SUMIF(DISPONIBILIDADES_2025[[#All],[consecutivo]],Contrato[[#This Row],[CDP]],DISPONIBILIDADES_2025[[#All],[valor_total_rubro]])</f>
        <v>37609000</v>
      </c>
      <c r="T11" s="118" t="e" cm="1">
        <f t="array" aca="1" ref="T11" ca="1">_xlfn.XLOOKUP(Contrato[[#This Row],[CONTRATO]]&amp;Contrato[[#This Row],[CDP]],Corr_Contr_CDP[[#All],[CONTRATO-CDP]],Corr_Contr_CDP[[#All],[CRP]],_xlfn.XLOOKUP(Contrato[[#This Row],[CDP]],COMPROMISOS_2025[[#All],[disponibilidad]],COMPROMISOS_2025[[#All],[consecutivo]],"",0),0)</f>
        <v>#NAME?</v>
      </c>
      <c r="U11" s="117" t="e" cm="1">
        <f t="array" aca="1" ref="U11" ca="1">+_xlfn.XLOOKUP(Contrato[[#This Row],[RCP]],COMPROMISOS_2025[[#All],[consecutivo]],COMPROMISOS_2025[[#All],[fecha_aprobacion]],"",0)</f>
        <v>#NAME?</v>
      </c>
      <c r="V11" s="93">
        <f ca="1">SUMIF(COMPROMISOS_2025[[#All],[consecutivo]],Contrato[[#This Row],[RCP]],COMPROMISOS_2025[[#All],[valor_total]])</f>
        <v>0</v>
      </c>
      <c r="W11" s="169">
        <v>45691</v>
      </c>
      <c r="X11" s="243" t="s">
        <v>901</v>
      </c>
      <c r="Y11" s="307">
        <v>45693</v>
      </c>
      <c r="Z11" s="308">
        <v>45842</v>
      </c>
      <c r="AA11" s="310" t="s">
        <v>926</v>
      </c>
      <c r="AB11" s="119" t="s">
        <v>920</v>
      </c>
      <c r="AC11" s="112"/>
      <c r="AD11" s="548">
        <v>202000006113</v>
      </c>
      <c r="AE11" s="38" t="s">
        <v>904</v>
      </c>
      <c r="AF11" s="120" t="str">
        <f>TEXT(LEFT(Contrato[[#This Row],[CONTRATO]],3),"0")</f>
        <v>6</v>
      </c>
      <c r="AG11" s="120" t="str">
        <f>IF(LEN(Contrato[[#This Row],[Contrato2]])=3,Contrato[[#This Row],[Contrato2]],TEXT(Contrato[[#This Row],[Contrato2]],"000"))</f>
        <v>006</v>
      </c>
      <c r="AH11" s="90">
        <f ca="1">IFERROR(_xlfn.DAYS(Contrato[[#This Row],[Fecha Proyectada liquidación]],TODAY())/30,"")</f>
        <v>5.9666666666666668</v>
      </c>
      <c r="AI11" s="121">
        <f>+Contrato[[#This Row],[FECHA TERMINACIÓN ]]+120</f>
        <v>45962</v>
      </c>
      <c r="AJ11" s="89"/>
      <c r="AK11" s="91" t="str">
        <f ca="1">IF(Contrato[[#This Row],[FECHA TERMINACIÓN ]]&lt;TODAY(), "Terminado",IF(ISNUMBER(Contrato[[#This Row],[Fecha Real de liquiidación ]]),"Liquidado",IF(Contrato[[#This Row],[FECHA TERMINACIÓN ]]&gt;=TODAY(),"En ejecución","")))</f>
        <v>En ejecución</v>
      </c>
      <c r="AL11" s="107">
        <f ca="1">SUMIF(COMPROMISOS_2025[[#All],[consecutivo]],Contrato[[#This Row],[RCP]],COMPROMISOS_2025[[#All],[Total pagado]])</f>
        <v>0</v>
      </c>
      <c r="AM11" s="122">
        <f ca="1">IFERROR(Contrato[[#This Row],[Pagos]]/Contrato[[#This Row],[VALOR CONTRATO]],0)</f>
        <v>0</v>
      </c>
      <c r="AN11" s="160">
        <f ca="1">+Contrato[[#This Row],[VALOR CONTRATO]]-Contrato[[#This Row],[Pagos]]</f>
        <v>37609000</v>
      </c>
      <c r="AO11" s="111" t="e" cm="1">
        <f t="array" aca="1" ref="AO11" ca="1">_xlfn.XLOOKUP(Contrato[[#This Row],[DOCUMENTO ]],PERSONAL_ACTIVO_2025[[#All],[DOCUMENTO]],PERSONAL_ACTIVO_2025[[#All],[email]],0,0)</f>
        <v>#NAME?</v>
      </c>
      <c r="AP11" s="111" t="e" cm="1">
        <f t="array" aca="1" ref="AP11" ca="1">_xlfn.XLOOKUP(Contrato[[#This Row],[DOCUMENTO]],PERSONAL_ACTIVO_2025[[#All],[DOCUMENTO]],PERSONAL_ACTIVO_2025[[#All],[email]],0,0)</f>
        <v>#NAME?</v>
      </c>
      <c r="AQ11" s="111" cm="1">
        <f t="array" aca="1" ref="AQ11" ca="1">IF(ISBLANK(Contrato[[#This Row],[DEPENDENCIA ]]),0,IFERROR(_xlfn.XLOOKUP(Contrato[[#This Row],[DEPENDENCIA ]],#REF!,#REF!,0,0),0))</f>
        <v>0</v>
      </c>
      <c r="AR11" s="553">
        <f ca="1">+_xlfn.DAYS(Contrato[[#This Row],[FECHA TERMINACIÓN ]],TODAY())</f>
        <v>59</v>
      </c>
    </row>
    <row r="12" spans="1:44" s="111" customFormat="1" ht="36" customHeight="1" x14ac:dyDescent="0.25">
      <c r="A12" s="38">
        <v>501</v>
      </c>
      <c r="B12" s="226">
        <v>7</v>
      </c>
      <c r="C12" s="88" t="s">
        <v>712</v>
      </c>
      <c r="D12" s="192" t="s">
        <v>883</v>
      </c>
      <c r="E12" s="193" t="s">
        <v>112</v>
      </c>
      <c r="F12" s="194" t="s">
        <v>113</v>
      </c>
      <c r="G12" s="195" t="s">
        <v>927</v>
      </c>
      <c r="H12" s="167">
        <v>1128438943</v>
      </c>
      <c r="I12" s="292">
        <v>7521800</v>
      </c>
      <c r="J12" s="290">
        <v>37609000</v>
      </c>
      <c r="K12" s="158" t="s">
        <v>41</v>
      </c>
      <c r="L12" s="196" t="s">
        <v>913</v>
      </c>
      <c r="M12" s="114" t="s">
        <v>928</v>
      </c>
      <c r="N12" s="113" t="e" cm="1">
        <f t="array" aca="1" ref="N12" ca="1">_xlfn.XLOOKUP(Contrato[[#This Row],[SUPERVISOR TITULAR]],PERSONAL_ACTIVO_2025[[#All],[NOMBRES Y APELLIDOS]],PERSONAL_ACTIVO_2025[[#All],[DOCUMENTO]],"",0)</f>
        <v>#NAME?</v>
      </c>
      <c r="O12" s="114" t="s">
        <v>915</v>
      </c>
      <c r="P12" s="115" t="e" cm="1">
        <f t="array" aca="1" ref="P12" ca="1">_xlfn.XLOOKUP(Contrato[[#This Row],[SUPERVISOR SUPLENTE ]],PERSONAL_ACTIVO_2025[[#All],[NOMBRES Y APELLIDOS]],PERSONAL_ACTIVO_2025[[#All],[DOCUMENTO]],"",0)</f>
        <v>#NAME?</v>
      </c>
      <c r="Q12" s="116">
        <v>33</v>
      </c>
      <c r="R12" s="137" t="e" cm="1">
        <f t="array" aca="1" ref="R12" ca="1">_xlfn.XLOOKUP(Contrato[[#This Row],[CDP]],DISPONIBILIDADES_2025[[#All],[consecutivo]],DISPONIBILIDADES_2025[[#All],[fecha_aprobacion]],"",0)</f>
        <v>#NAME?</v>
      </c>
      <c r="S12" s="92">
        <f>SUMIF(DISPONIBILIDADES_2025[[#All],[consecutivo]],Contrato[[#This Row],[CDP]],DISPONIBILIDADES_2025[[#All],[valor_total_rubro]])</f>
        <v>37609000</v>
      </c>
      <c r="T12" s="118" t="e" cm="1">
        <f t="array" aca="1" ref="T12" ca="1">_xlfn.XLOOKUP(Contrato[[#This Row],[CONTRATO]]&amp;Contrato[[#This Row],[CDP]],Corr_Contr_CDP[[#All],[CONTRATO-CDP]],Corr_Contr_CDP[[#All],[CRP]],_xlfn.XLOOKUP(Contrato[[#This Row],[CDP]],COMPROMISOS_2025[[#All],[disponibilidad]],COMPROMISOS_2025[[#All],[consecutivo]],"",0),0)</f>
        <v>#NAME?</v>
      </c>
      <c r="U12" s="117" t="e" cm="1">
        <f t="array" aca="1" ref="U12" ca="1">+_xlfn.XLOOKUP(Contrato[[#This Row],[RCP]],COMPROMISOS_2025[[#All],[consecutivo]],COMPROMISOS_2025[[#All],[fecha_aprobacion]],"",0)</f>
        <v>#NAME?</v>
      </c>
      <c r="V12" s="93">
        <f ca="1">SUMIF(COMPROMISOS_2025[[#All],[consecutivo]],Contrato[[#This Row],[RCP]],COMPROMISOS_2025[[#All],[valor_total]])</f>
        <v>0</v>
      </c>
      <c r="W12" s="169">
        <v>45691</v>
      </c>
      <c r="X12" s="243" t="s">
        <v>901</v>
      </c>
      <c r="Y12" s="307">
        <v>45693</v>
      </c>
      <c r="Z12" s="161">
        <v>45838</v>
      </c>
      <c r="AA12" s="309" t="s">
        <v>929</v>
      </c>
      <c r="AB12" s="119" t="s">
        <v>920</v>
      </c>
      <c r="AC12" s="112"/>
      <c r="AD12" s="548">
        <v>202000006114</v>
      </c>
      <c r="AE12" s="38" t="s">
        <v>904</v>
      </c>
      <c r="AF12" s="120" t="str">
        <f>TEXT(LEFT(Contrato[[#This Row],[CONTRATO]],3),"0")</f>
        <v>7</v>
      </c>
      <c r="AG12" s="120" t="str">
        <f>IF(LEN(Contrato[[#This Row],[Contrato2]])=3,Contrato[[#This Row],[Contrato2]],TEXT(Contrato[[#This Row],[Contrato2]],"000"))</f>
        <v>007</v>
      </c>
      <c r="AH12" s="90">
        <f ca="1">IFERROR(_xlfn.DAYS(Contrato[[#This Row],[Fecha Proyectada liquidación]],TODAY())/30,"")</f>
        <v>5.833333333333333</v>
      </c>
      <c r="AI12" s="121">
        <f>+Contrato[[#This Row],[FECHA TERMINACIÓN ]]+120</f>
        <v>45958</v>
      </c>
      <c r="AJ12" s="89"/>
      <c r="AK12" s="91" t="str">
        <f ca="1">IF(Contrato[[#This Row],[FECHA TERMINACIÓN ]]&lt;TODAY(), "Terminado",IF(ISNUMBER(Contrato[[#This Row],[Fecha Real de liquiidación ]]),"Liquidado",IF(Contrato[[#This Row],[FECHA TERMINACIÓN ]]&gt;=TODAY(),"En ejecución","")))</f>
        <v>En ejecución</v>
      </c>
      <c r="AL12" s="107">
        <f ca="1">SUMIF(COMPROMISOS_2025[[#All],[consecutivo]],Contrato[[#This Row],[RCP]],COMPROMISOS_2025[[#All],[Total pagado]])</f>
        <v>0</v>
      </c>
      <c r="AM12" s="122">
        <f ca="1">IFERROR(Contrato[[#This Row],[Pagos]]/Contrato[[#This Row],[VALOR CONTRATO]],0)</f>
        <v>0</v>
      </c>
      <c r="AN12" s="160">
        <f ca="1">+Contrato[[#This Row],[VALOR CONTRATO]]-Contrato[[#This Row],[Pagos]]</f>
        <v>37609000</v>
      </c>
      <c r="AO12" s="111" t="e" cm="1">
        <f t="array" aca="1" ref="AO12" ca="1">_xlfn.XLOOKUP(Contrato[[#This Row],[DOCUMENTO ]],PERSONAL_ACTIVO_2025[[#All],[DOCUMENTO]],PERSONAL_ACTIVO_2025[[#All],[email]],0,0)</f>
        <v>#NAME?</v>
      </c>
      <c r="AP12" s="111" t="e" cm="1">
        <f t="array" aca="1" ref="AP12" ca="1">_xlfn.XLOOKUP(Contrato[[#This Row],[DOCUMENTO]],PERSONAL_ACTIVO_2025[[#All],[DOCUMENTO]],PERSONAL_ACTIVO_2025[[#All],[email]],0,0)</f>
        <v>#NAME?</v>
      </c>
      <c r="AQ12" s="111" cm="1">
        <f t="array" aca="1" ref="AQ12" ca="1">IF(ISBLANK(Contrato[[#This Row],[DEPENDENCIA ]]),0,IFERROR(_xlfn.XLOOKUP(Contrato[[#This Row],[DEPENDENCIA ]],#REF!,#REF!,0,0),0))</f>
        <v>0</v>
      </c>
      <c r="AR12" s="553">
        <f ca="1">+_xlfn.DAYS(Contrato[[#This Row],[FECHA TERMINACIÓN ]],TODAY())</f>
        <v>55</v>
      </c>
    </row>
    <row r="13" spans="1:44" s="111" customFormat="1" ht="36" customHeight="1" x14ac:dyDescent="0.25">
      <c r="A13" s="38">
        <v>114</v>
      </c>
      <c r="B13" s="226">
        <v>8</v>
      </c>
      <c r="C13" s="88" t="s">
        <v>280</v>
      </c>
      <c r="D13" s="192" t="s">
        <v>930</v>
      </c>
      <c r="E13" s="193" t="s">
        <v>112</v>
      </c>
      <c r="F13" s="194" t="s">
        <v>113</v>
      </c>
      <c r="G13" s="195" t="s">
        <v>931</v>
      </c>
      <c r="H13" s="167">
        <v>43578164</v>
      </c>
      <c r="I13" s="292">
        <v>9573200</v>
      </c>
      <c r="J13" s="290">
        <v>85585600</v>
      </c>
      <c r="K13" s="246" t="s">
        <v>932</v>
      </c>
      <c r="L13" s="196" t="s">
        <v>913</v>
      </c>
      <c r="M13" s="114" t="s">
        <v>933</v>
      </c>
      <c r="N13" s="113" t="e" cm="1">
        <f t="array" aca="1" ref="N13" ca="1">_xlfn.XLOOKUP(Contrato[[#This Row],[SUPERVISOR TITULAR]],PERSONAL_ACTIVO_2025[[#All],[NOMBRES Y APELLIDOS]],PERSONAL_ACTIVO_2025[[#All],[DOCUMENTO]],"",0)</f>
        <v>#NAME?</v>
      </c>
      <c r="O13" s="114" t="s">
        <v>934</v>
      </c>
      <c r="P13" s="115" t="e" cm="1">
        <f t="array" aca="1" ref="P13" ca="1">_xlfn.XLOOKUP(Contrato[[#This Row],[SUPERVISOR SUPLENTE ]],PERSONAL_ACTIVO_2025[[#All],[NOMBRES Y APELLIDOS]],PERSONAL_ACTIVO_2025[[#All],[DOCUMENTO]],"",0)</f>
        <v>#NAME?</v>
      </c>
      <c r="Q13" s="116">
        <v>45</v>
      </c>
      <c r="R13" s="137" t="e" cm="1">
        <f t="array" aca="1" ref="R13" ca="1">_xlfn.XLOOKUP(Contrato[[#This Row],[CDP]],DISPONIBILIDADES_2025[[#All],[consecutivo]],DISPONIBILIDADES_2025[[#All],[fecha_aprobacion]],"",0)</f>
        <v>#NAME?</v>
      </c>
      <c r="S13" s="92">
        <f>SUMIF(DISPONIBILIDADES_2025[[#All],[consecutivo]],Contrato[[#This Row],[CDP]],DISPONIBILIDADES_2025[[#All],[valor_total_rubro]])</f>
        <v>85585600</v>
      </c>
      <c r="T13" s="118" t="e" cm="1">
        <f t="array" aca="1" ref="T13" ca="1">_xlfn.XLOOKUP(Contrato[[#This Row],[CONTRATO]]&amp;Contrato[[#This Row],[CDP]],Corr_Contr_CDP[[#All],[CONTRATO-CDP]],Corr_Contr_CDP[[#All],[CRP]],_xlfn.XLOOKUP(Contrato[[#This Row],[CDP]],COMPROMISOS_2025[[#All],[disponibilidad]],COMPROMISOS_2025[[#All],[consecutivo]],"",0),0)</f>
        <v>#NAME?</v>
      </c>
      <c r="U13" s="117" t="e" cm="1">
        <f t="array" aca="1" ref="U13" ca="1">+_xlfn.XLOOKUP(Contrato[[#This Row],[RCP]],COMPROMISOS_2025[[#All],[consecutivo]],COMPROMISOS_2025[[#All],[fecha_aprobacion]],"",0)</f>
        <v>#NAME?</v>
      </c>
      <c r="V13" s="93">
        <f ca="1">SUMIF(COMPROMISOS_2025[[#All],[consecutivo]],Contrato[[#This Row],[RCP]],COMPROMISOS_2025[[#All],[valor_total]])</f>
        <v>0</v>
      </c>
      <c r="W13" s="169">
        <v>45687</v>
      </c>
      <c r="X13" s="243" t="s">
        <v>901</v>
      </c>
      <c r="Y13" s="96">
        <v>45687</v>
      </c>
      <c r="Z13" s="161">
        <v>45930</v>
      </c>
      <c r="AA13" s="198" t="s">
        <v>935</v>
      </c>
      <c r="AB13" s="119" t="s">
        <v>936</v>
      </c>
      <c r="AC13" s="112"/>
      <c r="AD13" s="279">
        <v>202000005920</v>
      </c>
      <c r="AE13" s="38" t="s">
        <v>904</v>
      </c>
      <c r="AF13" s="120" t="str">
        <f>TEXT(LEFT(Contrato[[#This Row],[CONTRATO]],3),"0")</f>
        <v>8</v>
      </c>
      <c r="AG13" s="120" t="str">
        <f>IF(LEN(Contrato[[#This Row],[Contrato2]])=3,Contrato[[#This Row],[Contrato2]],TEXT(Contrato[[#This Row],[Contrato2]],"000"))</f>
        <v>008</v>
      </c>
      <c r="AH13" s="90">
        <f ca="1">IFERROR(_xlfn.DAYS(Contrato[[#This Row],[Fecha Proyectada liquidación]],TODAY())/30,"")</f>
        <v>8.9</v>
      </c>
      <c r="AI13" s="121">
        <f>+Contrato[[#This Row],[FECHA TERMINACIÓN ]]+120</f>
        <v>46050</v>
      </c>
      <c r="AJ13" s="89"/>
      <c r="AK13" s="91" t="str">
        <f ca="1">IF(Contrato[[#This Row],[FECHA TERMINACIÓN ]]&lt;TODAY(), "Terminado",IF(ISNUMBER(Contrato[[#This Row],[Fecha Real de liquiidación ]]),"Liquidado",IF(Contrato[[#This Row],[FECHA TERMINACIÓN ]]&gt;=TODAY(),"En ejecución","")))</f>
        <v>En ejecución</v>
      </c>
      <c r="AL13" s="107">
        <f ca="1">SUMIF(COMPROMISOS_2025[[#All],[consecutivo]],Contrato[[#This Row],[RCP]],COMPROMISOS_2025[[#All],[Total pagado]])</f>
        <v>0</v>
      </c>
      <c r="AM13" s="122">
        <f ca="1">IFERROR(Contrato[[#This Row],[Pagos]]/Contrato[[#This Row],[VALOR CONTRATO]],0)</f>
        <v>0</v>
      </c>
      <c r="AN13" s="160">
        <f ca="1">+Contrato[[#This Row],[VALOR CONTRATO]]-Contrato[[#This Row],[Pagos]]</f>
        <v>85585600</v>
      </c>
      <c r="AO13" s="111" t="e" cm="1">
        <f t="array" aca="1" ref="AO13" ca="1">_xlfn.XLOOKUP(Contrato[[#This Row],[DOCUMENTO ]],PERSONAL_ACTIVO_2025[[#All],[DOCUMENTO]],PERSONAL_ACTIVO_2025[[#All],[email]],0,0)</f>
        <v>#NAME?</v>
      </c>
      <c r="AP13" s="111" t="e" cm="1">
        <f t="array" aca="1" ref="AP13" ca="1">_xlfn.XLOOKUP(Contrato[[#This Row],[DOCUMENTO]],PERSONAL_ACTIVO_2025[[#All],[DOCUMENTO]],PERSONAL_ACTIVO_2025[[#All],[email]],0,0)</f>
        <v>#NAME?</v>
      </c>
      <c r="AQ13" s="111" cm="1">
        <f t="array" aca="1" ref="AQ13" ca="1">IF(ISBLANK(Contrato[[#This Row],[DEPENDENCIA ]]),0,IFERROR(_xlfn.XLOOKUP(Contrato[[#This Row],[DEPENDENCIA ]],#REF!,#REF!,0,0),0))</f>
        <v>0</v>
      </c>
      <c r="AR13" s="553">
        <f ca="1">+_xlfn.DAYS(Contrato[[#This Row],[FECHA TERMINACIÓN ]],TODAY())</f>
        <v>147</v>
      </c>
    </row>
    <row r="14" spans="1:44" s="111" customFormat="1" ht="36" customHeight="1" x14ac:dyDescent="0.25">
      <c r="A14" s="38">
        <v>212</v>
      </c>
      <c r="B14" s="226">
        <v>9</v>
      </c>
      <c r="C14" s="88" t="s">
        <v>401</v>
      </c>
      <c r="D14" s="192" t="s">
        <v>911</v>
      </c>
      <c r="E14" s="193" t="s">
        <v>112</v>
      </c>
      <c r="F14" s="194" t="s">
        <v>113</v>
      </c>
      <c r="G14" s="195" t="s">
        <v>937</v>
      </c>
      <c r="H14" s="167">
        <v>32209970</v>
      </c>
      <c r="I14" s="292">
        <v>9573200</v>
      </c>
      <c r="J14" s="290">
        <v>49142427</v>
      </c>
      <c r="K14" s="158" t="s">
        <v>41</v>
      </c>
      <c r="L14" s="196" t="s">
        <v>913</v>
      </c>
      <c r="M14" s="114" t="s">
        <v>938</v>
      </c>
      <c r="N14" s="113" t="e" cm="1">
        <f t="array" aca="1" ref="N14" ca="1">_xlfn.XLOOKUP(Contrato[[#This Row],[SUPERVISOR TITULAR]],PERSONAL_ACTIVO_2025[[#All],[NOMBRES Y APELLIDOS]],PERSONAL_ACTIVO_2025[[#All],[DOCUMENTO]],"",0)</f>
        <v>#NAME?</v>
      </c>
      <c r="O14" s="114" t="s">
        <v>939</v>
      </c>
      <c r="P14" s="115" t="e" cm="1">
        <f t="array" aca="1" ref="P14" ca="1">_xlfn.XLOOKUP(Contrato[[#This Row],[SUPERVISOR SUPLENTE ]],PERSONAL_ACTIVO_2025[[#All],[NOMBRES Y APELLIDOS]],PERSONAL_ACTIVO_2025[[#All],[DOCUMENTO]],"",0)</f>
        <v>#NAME?</v>
      </c>
      <c r="Q14" s="116">
        <v>20</v>
      </c>
      <c r="R14" s="137" t="e" cm="1">
        <f t="array" aca="1" ref="R14" ca="1">_xlfn.XLOOKUP(Contrato[[#This Row],[CDP]],DISPONIBILIDADES_2025[[#All],[consecutivo]],DISPONIBILIDADES_2025[[#All],[fecha_aprobacion]],"",0)</f>
        <v>#NAME?</v>
      </c>
      <c r="S14" s="92">
        <f>SUMIF(DISPONIBILIDADES_2025[[#All],[consecutivo]],Contrato[[#This Row],[CDP]],DISPONIBILIDADES_2025[[#All],[valor_total_rubro]])</f>
        <v>49142427</v>
      </c>
      <c r="T14" s="118" t="e" cm="1">
        <f t="array" aca="1" ref="T14" ca="1">_xlfn.XLOOKUP(Contrato[[#This Row],[CONTRATO]]&amp;Contrato[[#This Row],[CDP]],Corr_Contr_CDP[[#All],[CONTRATO-CDP]],Corr_Contr_CDP[[#All],[CRP]],_xlfn.XLOOKUP(Contrato[[#This Row],[CDP]],COMPROMISOS_2025[[#All],[disponibilidad]],COMPROMISOS_2025[[#All],[consecutivo]],"",0),0)</f>
        <v>#NAME?</v>
      </c>
      <c r="U14" s="117" t="e" cm="1">
        <f t="array" aca="1" ref="U14" ca="1">+_xlfn.XLOOKUP(Contrato[[#This Row],[RCP]],COMPROMISOS_2025[[#All],[consecutivo]],COMPROMISOS_2025[[#All],[fecha_aprobacion]],"",0)</f>
        <v>#NAME?</v>
      </c>
      <c r="V14" s="93">
        <f ca="1">SUMIF(COMPROMISOS_2025[[#All],[consecutivo]],Contrato[[#This Row],[RCP]],COMPROMISOS_2025[[#All],[valor_total]])</f>
        <v>0</v>
      </c>
      <c r="W14" s="169">
        <v>45687</v>
      </c>
      <c r="X14" s="243" t="s">
        <v>901</v>
      </c>
      <c r="Y14" s="96">
        <v>45688</v>
      </c>
      <c r="Z14" s="161">
        <v>45838</v>
      </c>
      <c r="AA14" s="198" t="s">
        <v>940</v>
      </c>
      <c r="AB14" s="119" t="s">
        <v>941</v>
      </c>
      <c r="AC14" s="112"/>
      <c r="AD14" s="279">
        <v>202000005921</v>
      </c>
      <c r="AE14" s="38" t="s">
        <v>904</v>
      </c>
      <c r="AF14" s="120" t="str">
        <f>TEXT(LEFT(Contrato[[#This Row],[CONTRATO]],3),"0")</f>
        <v>9</v>
      </c>
      <c r="AG14" s="120" t="str">
        <f>IF(LEN(Contrato[[#This Row],[Contrato2]])=3,Contrato[[#This Row],[Contrato2]],TEXT(Contrato[[#This Row],[Contrato2]],"000"))</f>
        <v>009</v>
      </c>
      <c r="AH14" s="90">
        <f ca="1">IFERROR(_xlfn.DAYS(Contrato[[#This Row],[Fecha Proyectada liquidación]],TODAY())/30,"")</f>
        <v>5.833333333333333</v>
      </c>
      <c r="AI14" s="121">
        <f>+Contrato[[#This Row],[FECHA TERMINACIÓN ]]+120</f>
        <v>45958</v>
      </c>
      <c r="AJ14" s="89"/>
      <c r="AK14" s="91" t="str">
        <f ca="1">IF(Contrato[[#This Row],[FECHA TERMINACIÓN ]]&lt;TODAY(), "Terminado",IF(ISNUMBER(Contrato[[#This Row],[Fecha Real de liquiidación ]]),"Liquidado",IF(Contrato[[#This Row],[FECHA TERMINACIÓN ]]&gt;=TODAY(),"En ejecución","")))</f>
        <v>En ejecución</v>
      </c>
      <c r="AL14" s="107">
        <f ca="1">SUMIF(COMPROMISOS_2025[[#All],[consecutivo]],Contrato[[#This Row],[RCP]],COMPROMISOS_2025[[#All],[Total pagado]])</f>
        <v>0</v>
      </c>
      <c r="AM14" s="122">
        <f ca="1">IFERROR(Contrato[[#This Row],[Pagos]]/Contrato[[#This Row],[VALOR CONTRATO]],0)</f>
        <v>0</v>
      </c>
      <c r="AN14" s="160">
        <f ca="1">+Contrato[[#This Row],[VALOR CONTRATO]]-Contrato[[#This Row],[Pagos]]</f>
        <v>49142427</v>
      </c>
      <c r="AO14" s="111" t="e" cm="1">
        <f t="array" aca="1" ref="AO14" ca="1">_xlfn.XLOOKUP(Contrato[[#This Row],[DOCUMENTO ]],PERSONAL_ACTIVO_2025[[#All],[DOCUMENTO]],PERSONAL_ACTIVO_2025[[#All],[email]],0,0)</f>
        <v>#NAME?</v>
      </c>
      <c r="AP14" s="111" t="e" cm="1">
        <f t="array" aca="1" ref="AP14" ca="1">_xlfn.XLOOKUP(Contrato[[#This Row],[DOCUMENTO]],PERSONAL_ACTIVO_2025[[#All],[DOCUMENTO]],PERSONAL_ACTIVO_2025[[#All],[email]],0,0)</f>
        <v>#NAME?</v>
      </c>
      <c r="AQ14" s="111" cm="1">
        <f t="array" aca="1" ref="AQ14" ca="1">IF(ISBLANK(Contrato[[#This Row],[DEPENDENCIA ]]),0,IFERROR(_xlfn.XLOOKUP(Contrato[[#This Row],[DEPENDENCIA ]],#REF!,#REF!,0,0),0))</f>
        <v>0</v>
      </c>
      <c r="AR14" s="553">
        <f ca="1">+_xlfn.DAYS(Contrato[[#This Row],[FECHA TERMINACIÓN ]],TODAY())</f>
        <v>55</v>
      </c>
    </row>
    <row r="15" spans="1:44" s="111" customFormat="1" ht="36" customHeight="1" x14ac:dyDescent="0.25">
      <c r="A15" s="38">
        <v>219</v>
      </c>
      <c r="B15" s="226">
        <v>10</v>
      </c>
      <c r="C15" s="88" t="s">
        <v>409</v>
      </c>
      <c r="D15" s="192" t="s">
        <v>911</v>
      </c>
      <c r="E15" s="193" t="s">
        <v>112</v>
      </c>
      <c r="F15" s="194" t="s">
        <v>113</v>
      </c>
      <c r="G15" s="195" t="s">
        <v>942</v>
      </c>
      <c r="H15" s="167">
        <v>1001248974</v>
      </c>
      <c r="I15" s="292">
        <v>4786600</v>
      </c>
      <c r="J15" s="290">
        <v>24571213</v>
      </c>
      <c r="K15" s="158" t="s">
        <v>41</v>
      </c>
      <c r="L15" s="196" t="s">
        <v>913</v>
      </c>
      <c r="M15" s="114" t="s">
        <v>939</v>
      </c>
      <c r="N15" s="113" t="e" cm="1">
        <f t="array" aca="1" ref="N15" ca="1">_xlfn.XLOOKUP(Contrato[[#This Row],[SUPERVISOR TITULAR]],PERSONAL_ACTIVO_2025[[#All],[NOMBRES Y APELLIDOS]],PERSONAL_ACTIVO_2025[[#All],[DOCUMENTO]],"",0)</f>
        <v>#NAME?</v>
      </c>
      <c r="O15" s="114" t="s">
        <v>943</v>
      </c>
      <c r="P15" s="115" t="e" cm="1">
        <f t="array" aca="1" ref="P15" ca="1">_xlfn.XLOOKUP(Contrato[[#This Row],[SUPERVISOR SUPLENTE ]],PERSONAL_ACTIVO_2025[[#All],[NOMBRES Y APELLIDOS]],PERSONAL_ACTIVO_2025[[#All],[DOCUMENTO]],"",0)</f>
        <v>#NAME?</v>
      </c>
      <c r="Q15" s="116">
        <v>17</v>
      </c>
      <c r="R15" s="137" t="e" cm="1">
        <f t="array" aca="1" ref="R15" ca="1">_xlfn.XLOOKUP(Contrato[[#This Row],[CDP]],DISPONIBILIDADES_2025[[#All],[consecutivo]],DISPONIBILIDADES_2025[[#All],[fecha_aprobacion]],"",0)</f>
        <v>#NAME?</v>
      </c>
      <c r="S15" s="92">
        <f>SUMIF(DISPONIBILIDADES_2025[[#All],[consecutivo]],Contrato[[#This Row],[CDP]],DISPONIBILIDADES_2025[[#All],[valor_total_rubro]])</f>
        <v>24571213</v>
      </c>
      <c r="T15" s="118" t="e" cm="1">
        <f t="array" aca="1" ref="T15" ca="1">_xlfn.XLOOKUP(Contrato[[#This Row],[CONTRATO]]&amp;Contrato[[#This Row],[CDP]],Corr_Contr_CDP[[#All],[CONTRATO-CDP]],Corr_Contr_CDP[[#All],[CRP]],_xlfn.XLOOKUP(Contrato[[#This Row],[CDP]],COMPROMISOS_2025[[#All],[disponibilidad]],COMPROMISOS_2025[[#All],[consecutivo]],"",0),0)</f>
        <v>#NAME?</v>
      </c>
      <c r="U15" s="117" t="e" cm="1">
        <f t="array" aca="1" ref="U15" ca="1">+_xlfn.XLOOKUP(Contrato[[#This Row],[RCP]],COMPROMISOS_2025[[#All],[consecutivo]],COMPROMISOS_2025[[#All],[fecha_aprobacion]],"",0)</f>
        <v>#NAME?</v>
      </c>
      <c r="V15" s="93">
        <f ca="1">SUMIF(COMPROMISOS_2025[[#All],[consecutivo]],Contrato[[#This Row],[RCP]],COMPROMISOS_2025[[#All],[valor_total]])</f>
        <v>0</v>
      </c>
      <c r="W15" s="169">
        <v>45688</v>
      </c>
      <c r="X15" s="243" t="s">
        <v>901</v>
      </c>
      <c r="Y15" s="96">
        <v>45689</v>
      </c>
      <c r="Z15" s="161">
        <v>45838</v>
      </c>
      <c r="AA15" s="311" t="s">
        <v>944</v>
      </c>
      <c r="AB15" s="119" t="s">
        <v>917</v>
      </c>
      <c r="AC15" s="112"/>
      <c r="AD15" s="279">
        <v>202000006115</v>
      </c>
      <c r="AE15" s="38" t="s">
        <v>904</v>
      </c>
      <c r="AF15" s="120" t="str">
        <f>TEXT(LEFT(Contrato[[#This Row],[CONTRATO]],3),"0")</f>
        <v>10</v>
      </c>
      <c r="AG15" s="120" t="str">
        <f>IF(LEN(Contrato[[#This Row],[Contrato2]])=3,Contrato[[#This Row],[Contrato2]],TEXT(Contrato[[#This Row],[Contrato2]],"000"))</f>
        <v>010</v>
      </c>
      <c r="AH15" s="90">
        <f ca="1">IFERROR(_xlfn.DAYS(Contrato[[#This Row],[Fecha Proyectada liquidación]],TODAY())/30,"")</f>
        <v>5.833333333333333</v>
      </c>
      <c r="AI15" s="121">
        <f>+Contrato[[#This Row],[FECHA TERMINACIÓN ]]+120</f>
        <v>45958</v>
      </c>
      <c r="AJ15" s="89"/>
      <c r="AK15" s="91" t="str">
        <f ca="1">IF(Contrato[[#This Row],[FECHA TERMINACIÓN ]]&lt;TODAY(), "Terminado",IF(ISNUMBER(Contrato[[#This Row],[Fecha Real de liquiidación ]]),"Liquidado",IF(Contrato[[#This Row],[FECHA TERMINACIÓN ]]&gt;=TODAY(),"En ejecución","")))</f>
        <v>En ejecución</v>
      </c>
      <c r="AL15" s="107">
        <f ca="1">SUMIF(COMPROMISOS_2025[[#All],[consecutivo]],Contrato[[#This Row],[RCP]],COMPROMISOS_2025[[#All],[Total pagado]])</f>
        <v>0</v>
      </c>
      <c r="AM15" s="122">
        <f ca="1">IFERROR(Contrato[[#This Row],[Pagos]]/Contrato[[#This Row],[VALOR CONTRATO]],0)</f>
        <v>0</v>
      </c>
      <c r="AN15" s="160">
        <f ca="1">+Contrato[[#This Row],[VALOR CONTRATO]]-Contrato[[#This Row],[Pagos]]</f>
        <v>24571213</v>
      </c>
      <c r="AO15" s="111" t="e" cm="1">
        <f t="array" aca="1" ref="AO15" ca="1">_xlfn.XLOOKUP(Contrato[[#This Row],[DOCUMENTO ]],PERSONAL_ACTIVO_2025[[#All],[DOCUMENTO]],PERSONAL_ACTIVO_2025[[#All],[email]],0,0)</f>
        <v>#NAME?</v>
      </c>
      <c r="AP15" s="111" t="e" cm="1">
        <f t="array" aca="1" ref="AP15" ca="1">_xlfn.XLOOKUP(Contrato[[#This Row],[DOCUMENTO]],PERSONAL_ACTIVO_2025[[#All],[DOCUMENTO]],PERSONAL_ACTIVO_2025[[#All],[email]],0,0)</f>
        <v>#NAME?</v>
      </c>
      <c r="AQ15" s="111" cm="1">
        <f t="array" aca="1" ref="AQ15" ca="1">IF(ISBLANK(Contrato[[#This Row],[DEPENDENCIA ]]),0,IFERROR(_xlfn.XLOOKUP(Contrato[[#This Row],[DEPENDENCIA ]],#REF!,#REF!,0,0),0))</f>
        <v>0</v>
      </c>
      <c r="AR15" s="553">
        <f ca="1">+_xlfn.DAYS(Contrato[[#This Row],[FECHA TERMINACIÓN ]],TODAY())</f>
        <v>55</v>
      </c>
    </row>
    <row r="16" spans="1:44" s="111" customFormat="1" ht="36" customHeight="1" x14ac:dyDescent="0.25">
      <c r="A16" s="38">
        <v>490</v>
      </c>
      <c r="B16" s="226">
        <v>11</v>
      </c>
      <c r="C16" s="88" t="s">
        <v>701</v>
      </c>
      <c r="D16" s="192" t="s">
        <v>945</v>
      </c>
      <c r="E16" s="193" t="s">
        <v>112</v>
      </c>
      <c r="F16" s="194" t="s">
        <v>751</v>
      </c>
      <c r="G16" s="195" t="s">
        <v>946</v>
      </c>
      <c r="H16" s="167">
        <v>890981341</v>
      </c>
      <c r="I16" s="292">
        <v>0</v>
      </c>
      <c r="J16" s="290">
        <v>50000000</v>
      </c>
      <c r="K16" s="158" t="s">
        <v>41</v>
      </c>
      <c r="L16" s="196" t="s">
        <v>898</v>
      </c>
      <c r="M16" s="114" t="s">
        <v>947</v>
      </c>
      <c r="N16" s="113" t="e" cm="1">
        <f t="array" aca="1" ref="N16" ca="1">_xlfn.XLOOKUP(Contrato[[#This Row],[SUPERVISOR TITULAR]],PERSONAL_ACTIVO_2025[[#All],[NOMBRES Y APELLIDOS]],PERSONAL_ACTIVO_2025[[#All],[DOCUMENTO]],"",0)</f>
        <v>#NAME?</v>
      </c>
      <c r="O16" s="114" t="s">
        <v>948</v>
      </c>
      <c r="P16" s="115" t="e" cm="1">
        <f t="array" aca="1" ref="P16" ca="1">_xlfn.XLOOKUP(Contrato[[#This Row],[SUPERVISOR SUPLENTE ]],PERSONAL_ACTIVO_2025[[#All],[NOMBRES Y APELLIDOS]],PERSONAL_ACTIVO_2025[[#All],[DOCUMENTO]],"",0)</f>
        <v>#NAME?</v>
      </c>
      <c r="Q16" s="116">
        <v>29</v>
      </c>
      <c r="R16" s="137" t="e" cm="1">
        <f t="array" aca="1" ref="R16" ca="1">_xlfn.XLOOKUP(Contrato[[#This Row],[CDP]],DISPONIBILIDADES_2025[[#All],[consecutivo]],DISPONIBILIDADES_2025[[#All],[fecha_aprobacion]],"",0)</f>
        <v>#NAME?</v>
      </c>
      <c r="S16" s="92">
        <f>SUMIF(DISPONIBILIDADES_2025[[#All],[consecutivo]],Contrato[[#This Row],[CDP]],DISPONIBILIDADES_2025[[#All],[valor_total_rubro]])</f>
        <v>50000000</v>
      </c>
      <c r="T16" s="118" t="e" cm="1">
        <f t="array" aca="1" ref="T16" ca="1">_xlfn.XLOOKUP(Contrato[[#This Row],[CONTRATO]]&amp;Contrato[[#This Row],[CDP]],Corr_Contr_CDP[[#All],[CONTRATO-CDP]],Corr_Contr_CDP[[#All],[CRP]],_xlfn.XLOOKUP(Contrato[[#This Row],[CDP]],COMPROMISOS_2025[[#All],[disponibilidad]],COMPROMISOS_2025[[#All],[consecutivo]],"",0),0)</f>
        <v>#NAME?</v>
      </c>
      <c r="U16" s="117" t="e" cm="1">
        <f t="array" aca="1" ref="U16" ca="1">+_xlfn.XLOOKUP(Contrato[[#This Row],[RCP]],COMPROMISOS_2025[[#All],[consecutivo]],COMPROMISOS_2025[[#All],[fecha_aprobacion]],"",0)</f>
        <v>#NAME?</v>
      </c>
      <c r="V16" s="93">
        <f ca="1">SUMIF(COMPROMISOS_2025[[#All],[consecutivo]],Contrato[[#This Row],[RCP]],COMPROMISOS_2025[[#All],[valor_total]])</f>
        <v>0</v>
      </c>
      <c r="W16" s="169">
        <v>45687</v>
      </c>
      <c r="X16" s="243" t="s">
        <v>901</v>
      </c>
      <c r="Y16" s="96">
        <v>45688</v>
      </c>
      <c r="Z16" s="161">
        <v>45746</v>
      </c>
      <c r="AA16" s="198" t="s">
        <v>949</v>
      </c>
      <c r="AB16" s="119" t="s">
        <v>950</v>
      </c>
      <c r="AC16" s="112"/>
      <c r="AD16" s="279">
        <v>202000005922</v>
      </c>
      <c r="AE16" s="38" t="s">
        <v>904</v>
      </c>
      <c r="AF16" s="120" t="str">
        <f>TEXT(LEFT(Contrato[[#This Row],[CONTRATO]],3),"0")</f>
        <v>11</v>
      </c>
      <c r="AG16" s="120" t="str">
        <f>IF(LEN(Contrato[[#This Row],[Contrato2]])=3,Contrato[[#This Row],[Contrato2]],TEXT(Contrato[[#This Row],[Contrato2]],"000"))</f>
        <v>011</v>
      </c>
      <c r="AH16" s="90">
        <f ca="1">IFERROR(_xlfn.DAYS(Contrato[[#This Row],[Fecha Proyectada liquidación]],TODAY())/30,"")</f>
        <v>2.7666666666666666</v>
      </c>
      <c r="AI16" s="121">
        <f>+Contrato[[#This Row],[FECHA TERMINACIÓN ]]+120</f>
        <v>45866</v>
      </c>
      <c r="AJ16" s="89"/>
      <c r="AK16" s="91" t="str">
        <f ca="1">IF(Contrato[[#This Row],[FECHA TERMINACIÓN ]]&lt;TODAY(), "Terminado",IF(ISNUMBER(Contrato[[#This Row],[Fecha Real de liquiidación ]]),"Liquidado",IF(Contrato[[#This Row],[FECHA TERMINACIÓN ]]&gt;=TODAY(),"En ejecución","")))</f>
        <v>Terminado</v>
      </c>
      <c r="AL16" s="107">
        <f ca="1">SUMIF(COMPROMISOS_2025[[#All],[consecutivo]],Contrato[[#This Row],[RCP]],COMPROMISOS_2025[[#All],[Total pagado]])</f>
        <v>0</v>
      </c>
      <c r="AM16" s="122">
        <f ca="1">IFERROR(Contrato[[#This Row],[Pagos]]/Contrato[[#This Row],[VALOR CONTRATO]],0)</f>
        <v>0</v>
      </c>
      <c r="AN16" s="160">
        <f ca="1">+Contrato[[#This Row],[VALOR CONTRATO]]-Contrato[[#This Row],[Pagos]]</f>
        <v>50000000</v>
      </c>
      <c r="AO16" s="111" t="e" cm="1">
        <f t="array" aca="1" ref="AO16" ca="1">_xlfn.XLOOKUP(Contrato[[#This Row],[DOCUMENTO ]],PERSONAL_ACTIVO_2025[[#All],[DOCUMENTO]],PERSONAL_ACTIVO_2025[[#All],[email]],0,0)</f>
        <v>#NAME?</v>
      </c>
      <c r="AP16" s="111" t="e" cm="1">
        <f t="array" aca="1" ref="AP16" ca="1">_xlfn.XLOOKUP(Contrato[[#This Row],[DOCUMENTO]],PERSONAL_ACTIVO_2025[[#All],[DOCUMENTO]],PERSONAL_ACTIVO_2025[[#All],[email]],0,0)</f>
        <v>#NAME?</v>
      </c>
      <c r="AQ16" s="111" cm="1">
        <f t="array" aca="1" ref="AQ16" ca="1">IF(ISBLANK(Contrato[[#This Row],[DEPENDENCIA ]]),0,IFERROR(_xlfn.XLOOKUP(Contrato[[#This Row],[DEPENDENCIA ]],#REF!,#REF!,0,0),0))</f>
        <v>0</v>
      </c>
      <c r="AR16" s="553">
        <f ca="1">+_xlfn.DAYS(Contrato[[#This Row],[FECHA TERMINACIÓN ]],TODAY())</f>
        <v>-37</v>
      </c>
    </row>
    <row r="17" spans="1:44" s="111" customFormat="1" ht="36" customHeight="1" x14ac:dyDescent="0.25">
      <c r="A17" s="38">
        <v>222</v>
      </c>
      <c r="B17" s="226">
        <v>12</v>
      </c>
      <c r="C17" s="88" t="s">
        <v>412</v>
      </c>
      <c r="D17" s="192" t="s">
        <v>911</v>
      </c>
      <c r="E17" s="193" t="s">
        <v>112</v>
      </c>
      <c r="F17" s="194" t="s">
        <v>113</v>
      </c>
      <c r="G17" s="195" t="s">
        <v>951</v>
      </c>
      <c r="H17" s="167">
        <v>1036933694</v>
      </c>
      <c r="I17" s="292">
        <v>7521800</v>
      </c>
      <c r="J17" s="290">
        <v>38611907</v>
      </c>
      <c r="K17" s="158" t="s">
        <v>41</v>
      </c>
      <c r="L17" s="247" t="s">
        <v>913</v>
      </c>
      <c r="M17" s="114" t="s">
        <v>928</v>
      </c>
      <c r="N17" s="113" t="e" cm="1">
        <f t="array" aca="1" ref="N17" ca="1">_xlfn.XLOOKUP(Contrato[[#This Row],[SUPERVISOR TITULAR]],PERSONAL_ACTIVO_2025[[#All],[NOMBRES Y APELLIDOS]],PERSONAL_ACTIVO_2025[[#All],[DOCUMENTO]],"",0)</f>
        <v>#NAME?</v>
      </c>
      <c r="O17" s="114" t="s">
        <v>914</v>
      </c>
      <c r="P17" s="115" t="e" cm="1">
        <f t="array" aca="1" ref="P17" ca="1">_xlfn.XLOOKUP(Contrato[[#This Row],[SUPERVISOR SUPLENTE ]],PERSONAL_ACTIVO_2025[[#All],[NOMBRES Y APELLIDOS]],PERSONAL_ACTIVO_2025[[#All],[DOCUMENTO]],"",0)</f>
        <v>#NAME?</v>
      </c>
      <c r="Q17" s="116">
        <v>18</v>
      </c>
      <c r="R17" s="137" t="e" cm="1">
        <f t="array" aca="1" ref="R17" ca="1">_xlfn.XLOOKUP(Contrato[[#This Row],[CDP]],DISPONIBILIDADES_2025[[#All],[consecutivo]],DISPONIBILIDADES_2025[[#All],[fecha_aprobacion]],"",0)</f>
        <v>#NAME?</v>
      </c>
      <c r="S17" s="92">
        <f>SUMIF(DISPONIBILIDADES_2025[[#All],[consecutivo]],Contrato[[#This Row],[CDP]],DISPONIBILIDADES_2025[[#All],[valor_total_rubro]])</f>
        <v>38611907</v>
      </c>
      <c r="T17" s="118" t="e" cm="1">
        <f t="array" aca="1" ref="T17" ca="1">_xlfn.XLOOKUP(Contrato[[#This Row],[CONTRATO]]&amp;Contrato[[#This Row],[CDP]],Corr_Contr_CDP[[#All],[CONTRATO-CDP]],Corr_Contr_CDP[[#All],[CRP]],_xlfn.XLOOKUP(Contrato[[#This Row],[CDP]],COMPROMISOS_2025[[#All],[disponibilidad]],COMPROMISOS_2025[[#All],[consecutivo]],"",0),0)</f>
        <v>#NAME?</v>
      </c>
      <c r="U17" s="117" t="e" cm="1">
        <f t="array" aca="1" ref="U17" ca="1">+_xlfn.XLOOKUP(Contrato[[#This Row],[RCP]],COMPROMISOS_2025[[#All],[consecutivo]],COMPROMISOS_2025[[#All],[fecha_aprobacion]],"",0)</f>
        <v>#NAME?</v>
      </c>
      <c r="V17" s="93">
        <f ca="1">SUMIF(COMPROMISOS_2025[[#All],[consecutivo]],Contrato[[#This Row],[RCP]],COMPROMISOS_2025[[#All],[valor_total]])</f>
        <v>0</v>
      </c>
      <c r="W17" s="169">
        <v>45694</v>
      </c>
      <c r="X17" s="243" t="s">
        <v>901</v>
      </c>
      <c r="Y17" s="96">
        <v>45695</v>
      </c>
      <c r="Z17" s="161">
        <v>45838</v>
      </c>
      <c r="AA17" s="311" t="s">
        <v>952</v>
      </c>
      <c r="AB17" s="119" t="s">
        <v>917</v>
      </c>
      <c r="AC17" s="112"/>
      <c r="AD17" s="279">
        <v>202000006116</v>
      </c>
      <c r="AE17" s="38" t="s">
        <v>904</v>
      </c>
      <c r="AF17" s="120" t="str">
        <f>TEXT(LEFT(Contrato[[#This Row],[CONTRATO]],3),"0")</f>
        <v>12</v>
      </c>
      <c r="AG17" s="120" t="str">
        <f>IF(LEN(Contrato[[#This Row],[Contrato2]])=3,Contrato[[#This Row],[Contrato2]],TEXT(Contrato[[#This Row],[Contrato2]],"000"))</f>
        <v>012</v>
      </c>
      <c r="AH17" s="90">
        <f ca="1">IFERROR(_xlfn.DAYS(Contrato[[#This Row],[Fecha Proyectada liquidación]],TODAY())/30,"")</f>
        <v>5.833333333333333</v>
      </c>
      <c r="AI17" s="121">
        <f>+Contrato[[#This Row],[FECHA TERMINACIÓN ]]+120</f>
        <v>45958</v>
      </c>
      <c r="AJ17" s="89"/>
      <c r="AK17" s="91" t="str">
        <f ca="1">IF(Contrato[[#This Row],[FECHA TERMINACIÓN ]]&lt;TODAY(), "Terminado",IF(ISNUMBER(Contrato[[#This Row],[Fecha Real de liquiidación ]]),"Liquidado",IF(Contrato[[#This Row],[FECHA TERMINACIÓN ]]&gt;=TODAY(),"En ejecución","")))</f>
        <v>En ejecución</v>
      </c>
      <c r="AL17" s="107">
        <f ca="1">SUMIF(COMPROMISOS_2025[[#All],[consecutivo]],Contrato[[#This Row],[RCP]],COMPROMISOS_2025[[#All],[Total pagado]])</f>
        <v>0</v>
      </c>
      <c r="AM17" s="122">
        <f ca="1">IFERROR(Contrato[[#This Row],[Pagos]]/Contrato[[#This Row],[VALOR CONTRATO]],0)</f>
        <v>0</v>
      </c>
      <c r="AN17" s="160">
        <f ca="1">+Contrato[[#This Row],[VALOR CONTRATO]]-Contrato[[#This Row],[Pagos]]</f>
        <v>38611907</v>
      </c>
      <c r="AO17" s="111" t="e" cm="1">
        <f t="array" aca="1" ref="AO17" ca="1">_xlfn.XLOOKUP(Contrato[[#This Row],[DOCUMENTO ]],PERSONAL_ACTIVO_2025[[#All],[DOCUMENTO]],PERSONAL_ACTIVO_2025[[#All],[email]],0,0)</f>
        <v>#NAME?</v>
      </c>
      <c r="AP17" s="111" t="e" cm="1">
        <f t="array" aca="1" ref="AP17" ca="1">_xlfn.XLOOKUP(Contrato[[#This Row],[DOCUMENTO]],PERSONAL_ACTIVO_2025[[#All],[DOCUMENTO]],PERSONAL_ACTIVO_2025[[#All],[email]],0,0)</f>
        <v>#NAME?</v>
      </c>
      <c r="AQ17" s="111" cm="1">
        <f t="array" aca="1" ref="AQ17" ca="1">IF(ISBLANK(Contrato[[#This Row],[DEPENDENCIA ]]),0,IFERROR(_xlfn.XLOOKUP(Contrato[[#This Row],[DEPENDENCIA ]],#REF!,#REF!,0,0),0))</f>
        <v>0</v>
      </c>
      <c r="AR17" s="553">
        <f ca="1">+_xlfn.DAYS(Contrato[[#This Row],[FECHA TERMINACIÓN ]],TODAY())</f>
        <v>55</v>
      </c>
    </row>
    <row r="18" spans="1:44" s="111" customFormat="1" ht="36" customHeight="1" x14ac:dyDescent="0.25">
      <c r="A18" s="38">
        <v>37</v>
      </c>
      <c r="B18" s="226">
        <v>13</v>
      </c>
      <c r="C18" s="88" t="s">
        <v>121</v>
      </c>
      <c r="D18" s="192" t="s">
        <v>883</v>
      </c>
      <c r="E18" s="193" t="s">
        <v>112</v>
      </c>
      <c r="F18" s="194" t="s">
        <v>113</v>
      </c>
      <c r="G18" s="195" t="s">
        <v>953</v>
      </c>
      <c r="H18" s="167">
        <v>43676890</v>
      </c>
      <c r="I18" s="292">
        <v>3419000</v>
      </c>
      <c r="J18" s="290">
        <v>17095000</v>
      </c>
      <c r="K18" s="158" t="s">
        <v>41</v>
      </c>
      <c r="L18" s="247" t="s">
        <v>913</v>
      </c>
      <c r="M18" s="114" t="s">
        <v>954</v>
      </c>
      <c r="N18" s="113" t="e" cm="1">
        <f t="array" aca="1" ref="N18" ca="1">_xlfn.XLOOKUP(Contrato[[#This Row],[SUPERVISOR TITULAR]],PERSONAL_ACTIVO_2025[[#All],[NOMBRES Y APELLIDOS]],PERSONAL_ACTIVO_2025[[#All],[DOCUMENTO]],"",0)</f>
        <v>#NAME?</v>
      </c>
      <c r="O18" s="114" t="s">
        <v>955</v>
      </c>
      <c r="P18" s="115" t="e" cm="1">
        <f t="array" aca="1" ref="P18" ca="1">_xlfn.XLOOKUP(Contrato[[#This Row],[SUPERVISOR SUPLENTE ]],PERSONAL_ACTIVO_2025[[#All],[NOMBRES Y APELLIDOS]],PERSONAL_ACTIVO_2025[[#All],[DOCUMENTO]],"",0)</f>
        <v>#NAME?</v>
      </c>
      <c r="Q18" s="116">
        <v>38</v>
      </c>
      <c r="R18" s="137" t="e" cm="1">
        <f t="array" aca="1" ref="R18" ca="1">_xlfn.XLOOKUP(Contrato[[#This Row],[CDP]],DISPONIBILIDADES_2025[[#All],[consecutivo]],DISPONIBILIDADES_2025[[#All],[fecha_aprobacion]],"",0)</f>
        <v>#NAME?</v>
      </c>
      <c r="S18" s="92">
        <f>SUMIF(DISPONIBILIDADES_2025[[#All],[consecutivo]],Contrato[[#This Row],[CDP]],DISPONIBILIDADES_2025[[#All],[valor_total_rubro]])</f>
        <v>17095000</v>
      </c>
      <c r="T18" s="118" t="e" cm="1">
        <f t="array" aca="1" ref="T18" ca="1">_xlfn.XLOOKUP(Contrato[[#This Row],[CONTRATO]]&amp;Contrato[[#This Row],[CDP]],Corr_Contr_CDP[[#All],[CONTRATO-CDP]],Corr_Contr_CDP[[#All],[CRP]],_xlfn.XLOOKUP(Contrato[[#This Row],[CDP]],COMPROMISOS_2025[[#All],[disponibilidad]],COMPROMISOS_2025[[#All],[consecutivo]],"",0),0)</f>
        <v>#NAME?</v>
      </c>
      <c r="U18" s="117" t="e" cm="1">
        <f t="array" aca="1" ref="U18" ca="1">+_xlfn.XLOOKUP(Contrato[[#This Row],[RCP]],COMPROMISOS_2025[[#All],[consecutivo]],COMPROMISOS_2025[[#All],[fecha_aprobacion]],"",0)</f>
        <v>#NAME?</v>
      </c>
      <c r="V18" s="93">
        <f ca="1">SUMIF(COMPROMISOS_2025[[#All],[consecutivo]],Contrato[[#This Row],[RCP]],COMPROMISOS_2025[[#All],[valor_total]])</f>
        <v>0</v>
      </c>
      <c r="W18" s="169">
        <v>45691</v>
      </c>
      <c r="X18" s="243" t="s">
        <v>901</v>
      </c>
      <c r="Y18" s="96">
        <v>45692</v>
      </c>
      <c r="Z18" s="161">
        <v>45841</v>
      </c>
      <c r="AA18" s="198" t="s">
        <v>956</v>
      </c>
      <c r="AB18" s="119" t="s">
        <v>920</v>
      </c>
      <c r="AC18" s="112"/>
      <c r="AD18" s="279">
        <v>202000006117</v>
      </c>
      <c r="AE18" s="38" t="s">
        <v>904</v>
      </c>
      <c r="AF18" s="120" t="str">
        <f>TEXT(LEFT(Contrato[[#This Row],[CONTRATO]],3),"0")</f>
        <v>13</v>
      </c>
      <c r="AG18" s="120" t="str">
        <f>IF(LEN(Contrato[[#This Row],[Contrato2]])=3,Contrato[[#This Row],[Contrato2]],TEXT(Contrato[[#This Row],[Contrato2]],"000"))</f>
        <v>013</v>
      </c>
      <c r="AH18" s="90">
        <f ca="1">IFERROR(_xlfn.DAYS(Contrato[[#This Row],[Fecha Proyectada liquidación]],TODAY())/30,"")</f>
        <v>5.9333333333333336</v>
      </c>
      <c r="AI18" s="121">
        <f>+Contrato[[#This Row],[FECHA TERMINACIÓN ]]+120</f>
        <v>45961</v>
      </c>
      <c r="AJ18" s="89"/>
      <c r="AK18" s="91" t="str">
        <f ca="1">IF(Contrato[[#This Row],[FECHA TERMINACIÓN ]]&lt;TODAY(), "Terminado",IF(ISNUMBER(Contrato[[#This Row],[Fecha Real de liquiidación ]]),"Liquidado",IF(Contrato[[#This Row],[FECHA TERMINACIÓN ]]&gt;=TODAY(),"En ejecución","")))</f>
        <v>En ejecución</v>
      </c>
      <c r="AL18" s="107">
        <f ca="1">SUMIF(COMPROMISOS_2025[[#All],[consecutivo]],Contrato[[#This Row],[RCP]],COMPROMISOS_2025[[#All],[Total pagado]])</f>
        <v>0</v>
      </c>
      <c r="AM18" s="122">
        <f ca="1">IFERROR(Contrato[[#This Row],[Pagos]]/Contrato[[#This Row],[VALOR CONTRATO]],0)</f>
        <v>0</v>
      </c>
      <c r="AN18" s="160">
        <f ca="1">+Contrato[[#This Row],[VALOR CONTRATO]]-Contrato[[#This Row],[Pagos]]</f>
        <v>17095000</v>
      </c>
      <c r="AO18" s="111" t="e" cm="1">
        <f t="array" aca="1" ref="AO18" ca="1">_xlfn.XLOOKUP(Contrato[[#This Row],[DOCUMENTO ]],PERSONAL_ACTIVO_2025[[#All],[DOCUMENTO]],PERSONAL_ACTIVO_2025[[#All],[email]],0,0)</f>
        <v>#NAME?</v>
      </c>
      <c r="AP18" s="111" t="e" cm="1">
        <f t="array" aca="1" ref="AP18" ca="1">_xlfn.XLOOKUP(Contrato[[#This Row],[DOCUMENTO]],PERSONAL_ACTIVO_2025[[#All],[DOCUMENTO]],PERSONAL_ACTIVO_2025[[#All],[email]],0,0)</f>
        <v>#NAME?</v>
      </c>
      <c r="AQ18" s="111" cm="1">
        <f t="array" aca="1" ref="AQ18" ca="1">IF(ISBLANK(Contrato[[#This Row],[DEPENDENCIA ]]),0,IFERROR(_xlfn.XLOOKUP(Contrato[[#This Row],[DEPENDENCIA ]],#REF!,#REF!,0,0),0))</f>
        <v>0</v>
      </c>
      <c r="AR18" s="553">
        <f ca="1">+_xlfn.DAYS(Contrato[[#This Row],[FECHA TERMINACIÓN ]],TODAY())</f>
        <v>58</v>
      </c>
    </row>
    <row r="19" spans="1:44" s="111" customFormat="1" ht="36" customHeight="1" x14ac:dyDescent="0.25">
      <c r="A19" s="38">
        <v>486</v>
      </c>
      <c r="B19" s="226">
        <v>14</v>
      </c>
      <c r="C19" s="88" t="s">
        <v>695</v>
      </c>
      <c r="D19" s="192" t="s">
        <v>890</v>
      </c>
      <c r="E19" s="193" t="s">
        <v>112</v>
      </c>
      <c r="F19" s="194" t="s">
        <v>113</v>
      </c>
      <c r="G19" s="195" t="s">
        <v>957</v>
      </c>
      <c r="H19" s="167">
        <v>1214728340</v>
      </c>
      <c r="I19" s="292">
        <v>4786600</v>
      </c>
      <c r="J19" s="290">
        <v>20103720</v>
      </c>
      <c r="K19" s="158" t="s">
        <v>41</v>
      </c>
      <c r="L19" s="196" t="s">
        <v>958</v>
      </c>
      <c r="M19" s="114" t="s">
        <v>894</v>
      </c>
      <c r="N19" s="113" t="e" cm="1">
        <f t="array" aca="1" ref="N19" ca="1">_xlfn.XLOOKUP(Contrato[[#This Row],[SUPERVISOR TITULAR]],PERSONAL_ACTIVO_2025[[#All],[NOMBRES Y APELLIDOS]],PERSONAL_ACTIVO_2025[[#All],[DOCUMENTO]],"",0)</f>
        <v>#NAME?</v>
      </c>
      <c r="O19" s="114" t="s">
        <v>893</v>
      </c>
      <c r="P19" s="115" t="e" cm="1">
        <f t="array" aca="1" ref="P19" ca="1">_xlfn.XLOOKUP(Contrato[[#This Row],[SUPERVISOR SUPLENTE ]],PERSONAL_ACTIVO_2025[[#All],[NOMBRES Y APELLIDOS]],PERSONAL_ACTIVO_2025[[#All],[DOCUMENTO]],"",0)</f>
        <v>#NAME?</v>
      </c>
      <c r="Q19" s="116">
        <v>11</v>
      </c>
      <c r="R19" s="137" t="e" cm="1">
        <f t="array" aca="1" ref="R19" ca="1">_xlfn.XLOOKUP(Contrato[[#This Row],[CDP]],DISPONIBILIDADES_2025[[#All],[consecutivo]],DISPONIBILIDADES_2025[[#All],[fecha_aprobacion]],"",0)</f>
        <v>#NAME?</v>
      </c>
      <c r="S19" s="92">
        <f>SUMIF(DISPONIBILIDADES_2025[[#All],[consecutivo]],Contrato[[#This Row],[CDP]],DISPONIBILIDADES_2025[[#All],[valor_total_rubro]])</f>
        <v>20244709</v>
      </c>
      <c r="T19" s="118" t="e" cm="1">
        <f t="array" aca="1" ref="T19" ca="1">_xlfn.XLOOKUP(Contrato[[#This Row],[CONTRATO]]&amp;Contrato[[#This Row],[CDP]],Corr_Contr_CDP[[#All],[CONTRATO-CDP]],Corr_Contr_CDP[[#All],[CRP]],_xlfn.XLOOKUP(Contrato[[#This Row],[CDP]],COMPROMISOS_2025[[#All],[disponibilidad]],COMPROMISOS_2025[[#All],[consecutivo]],"",0),0)</f>
        <v>#NAME?</v>
      </c>
      <c r="U19" s="117" t="e" cm="1">
        <f t="array" aca="1" ref="U19" ca="1">+_xlfn.XLOOKUP(Contrato[[#This Row],[RCP]],COMPROMISOS_2025[[#All],[consecutivo]],COMPROMISOS_2025[[#All],[fecha_aprobacion]],"",0)</f>
        <v>#NAME?</v>
      </c>
      <c r="V19" s="93">
        <f ca="1">SUMIF(COMPROMISOS_2025[[#All],[consecutivo]],Contrato[[#This Row],[RCP]],COMPROMISOS_2025[[#All],[valor_total]])</f>
        <v>0</v>
      </c>
      <c r="W19" s="169">
        <v>45695</v>
      </c>
      <c r="X19" s="243" t="s">
        <v>901</v>
      </c>
      <c r="Y19" s="96">
        <v>45699</v>
      </c>
      <c r="Z19" s="161">
        <v>45821</v>
      </c>
      <c r="AA19" s="198" t="s">
        <v>959</v>
      </c>
      <c r="AB19" s="119" t="s">
        <v>960</v>
      </c>
      <c r="AC19" s="112"/>
      <c r="AD19" s="279">
        <v>202000006118</v>
      </c>
      <c r="AE19" s="38" t="s">
        <v>904</v>
      </c>
      <c r="AF19" s="120" t="str">
        <f>TEXT(LEFT(Contrato[[#This Row],[CONTRATO]],3),"0")</f>
        <v>14</v>
      </c>
      <c r="AG19" s="120" t="str">
        <f>IF(LEN(Contrato[[#This Row],[Contrato2]])=3,Contrato[[#This Row],[Contrato2]],TEXT(Contrato[[#This Row],[Contrato2]],"000"))</f>
        <v>014</v>
      </c>
      <c r="AH19" s="90">
        <f ca="1">IFERROR(_xlfn.DAYS(Contrato[[#This Row],[Fecha Proyectada liquidación]],TODAY())/30,"")</f>
        <v>5.2666666666666666</v>
      </c>
      <c r="AI19" s="121">
        <f>+Contrato[[#This Row],[FECHA TERMINACIÓN ]]+120</f>
        <v>45941</v>
      </c>
      <c r="AJ19" s="89"/>
      <c r="AK19" s="91" t="str">
        <f ca="1">IF(Contrato[[#This Row],[FECHA TERMINACIÓN ]]&lt;TODAY(), "Terminado",IF(ISNUMBER(Contrato[[#This Row],[Fecha Real de liquiidación ]]),"Liquidado",IF(Contrato[[#This Row],[FECHA TERMINACIÓN ]]&gt;=TODAY(),"En ejecución","")))</f>
        <v>En ejecución</v>
      </c>
      <c r="AL19" s="107">
        <f ca="1">SUMIF(COMPROMISOS_2025[[#All],[consecutivo]],Contrato[[#This Row],[RCP]],COMPROMISOS_2025[[#All],[Total pagado]])</f>
        <v>0</v>
      </c>
      <c r="AM19" s="122">
        <f ca="1">IFERROR(Contrato[[#This Row],[Pagos]]/Contrato[[#This Row],[VALOR CONTRATO]],0)</f>
        <v>0</v>
      </c>
      <c r="AN19" s="160">
        <f ca="1">+Contrato[[#This Row],[VALOR CONTRATO]]-Contrato[[#This Row],[Pagos]]</f>
        <v>20103720</v>
      </c>
      <c r="AO19" s="111" t="e" cm="1">
        <f t="array" aca="1" ref="AO19" ca="1">_xlfn.XLOOKUP(Contrato[[#This Row],[DOCUMENTO ]],PERSONAL_ACTIVO_2025[[#All],[DOCUMENTO]],PERSONAL_ACTIVO_2025[[#All],[email]],0,0)</f>
        <v>#NAME?</v>
      </c>
      <c r="AP19" s="111" t="e" cm="1">
        <f t="array" aca="1" ref="AP19" ca="1">_xlfn.XLOOKUP(Contrato[[#This Row],[DOCUMENTO]],PERSONAL_ACTIVO_2025[[#All],[DOCUMENTO]],PERSONAL_ACTIVO_2025[[#All],[email]],0,0)</f>
        <v>#NAME?</v>
      </c>
      <c r="AQ19" s="111" cm="1">
        <f t="array" aca="1" ref="AQ19" ca="1">IF(ISBLANK(Contrato[[#This Row],[DEPENDENCIA ]]),0,IFERROR(_xlfn.XLOOKUP(Contrato[[#This Row],[DEPENDENCIA ]],#REF!,#REF!,0,0),0))</f>
        <v>0</v>
      </c>
      <c r="AR19" s="553">
        <f ca="1">+_xlfn.DAYS(Contrato[[#This Row],[FECHA TERMINACIÓN ]],TODAY())</f>
        <v>38</v>
      </c>
    </row>
    <row r="20" spans="1:44" s="111" customFormat="1" ht="36" customHeight="1" x14ac:dyDescent="0.25">
      <c r="A20" s="38">
        <v>33</v>
      </c>
      <c r="B20" s="226">
        <v>15</v>
      </c>
      <c r="C20" s="88" t="s">
        <v>111</v>
      </c>
      <c r="D20" s="192" t="s">
        <v>883</v>
      </c>
      <c r="E20" s="193" t="s">
        <v>112</v>
      </c>
      <c r="F20" s="194" t="s">
        <v>113</v>
      </c>
      <c r="G20" s="195" t="s">
        <v>961</v>
      </c>
      <c r="H20" s="167">
        <v>43560822</v>
      </c>
      <c r="I20" s="292">
        <v>7521800</v>
      </c>
      <c r="J20" s="290">
        <v>37609000</v>
      </c>
      <c r="K20" s="158" t="s">
        <v>41</v>
      </c>
      <c r="L20" s="196" t="s">
        <v>958</v>
      </c>
      <c r="M20" s="114" t="s">
        <v>955</v>
      </c>
      <c r="N20" s="113" t="e" cm="1">
        <f t="array" aca="1" ref="N20" ca="1">_xlfn.XLOOKUP(Contrato[[#This Row],[SUPERVISOR TITULAR]],PERSONAL_ACTIVO_2025[[#All],[NOMBRES Y APELLIDOS]],PERSONAL_ACTIVO_2025[[#All],[DOCUMENTO]],"",0)</f>
        <v>#NAME?</v>
      </c>
      <c r="O20" s="114" t="s">
        <v>962</v>
      </c>
      <c r="P20" s="115" t="e" cm="1">
        <f t="array" aca="1" ref="P20" ca="1">_xlfn.XLOOKUP(Contrato[[#This Row],[SUPERVISOR SUPLENTE ]],PERSONAL_ACTIVO_2025[[#All],[NOMBRES Y APELLIDOS]],PERSONAL_ACTIVO_2025[[#All],[DOCUMENTO]],"",0)</f>
        <v>#NAME?</v>
      </c>
      <c r="Q20" s="116">
        <v>27</v>
      </c>
      <c r="R20" s="137" t="e" cm="1">
        <f t="array" aca="1" ref="R20" ca="1">_xlfn.XLOOKUP(Contrato[[#This Row],[CDP]],DISPONIBILIDADES_2025[[#All],[consecutivo]],DISPONIBILIDADES_2025[[#All],[fecha_aprobacion]],"",0)</f>
        <v>#NAME?</v>
      </c>
      <c r="S20" s="92">
        <f>SUMIF(DISPONIBILIDADES_2025[[#All],[consecutivo]],Contrato[[#This Row],[CDP]],DISPONIBILIDADES_2025[[#All],[valor_total_rubro]])</f>
        <v>37609000</v>
      </c>
      <c r="T20" s="118" t="e" cm="1">
        <f t="array" aca="1" ref="T20" ca="1">_xlfn.XLOOKUP(Contrato[[#This Row],[CONTRATO]]&amp;Contrato[[#This Row],[CDP]],Corr_Contr_CDP[[#All],[CONTRATO-CDP]],Corr_Contr_CDP[[#All],[CRP]],_xlfn.XLOOKUP(Contrato[[#This Row],[CDP]],COMPROMISOS_2025[[#All],[disponibilidad]],COMPROMISOS_2025[[#All],[consecutivo]],"",0),0)</f>
        <v>#NAME?</v>
      </c>
      <c r="U20" s="117" t="e" cm="1">
        <f t="array" aca="1" ref="U20" ca="1">+_xlfn.XLOOKUP(Contrato[[#This Row],[RCP]],COMPROMISOS_2025[[#All],[consecutivo]],COMPROMISOS_2025[[#All],[fecha_aprobacion]],"",0)</f>
        <v>#NAME?</v>
      </c>
      <c r="V20" s="93">
        <f ca="1">SUMIF(COMPROMISOS_2025[[#All],[consecutivo]],Contrato[[#This Row],[RCP]],COMPROMISOS_2025[[#All],[valor_total]])</f>
        <v>0</v>
      </c>
      <c r="W20" s="169">
        <v>45694</v>
      </c>
      <c r="X20" s="243" t="s">
        <v>901</v>
      </c>
      <c r="Y20" s="96">
        <v>45695</v>
      </c>
      <c r="Z20" s="161">
        <v>45843</v>
      </c>
      <c r="AA20" s="198" t="s">
        <v>963</v>
      </c>
      <c r="AB20" s="119" t="s">
        <v>920</v>
      </c>
      <c r="AC20" s="112"/>
      <c r="AD20" s="279">
        <v>202000006119</v>
      </c>
      <c r="AE20" s="38" t="s">
        <v>904</v>
      </c>
      <c r="AF20" s="120" t="str">
        <f>TEXT(LEFT(Contrato[[#This Row],[CONTRATO]],3),"0")</f>
        <v>15</v>
      </c>
      <c r="AG20" s="120" t="str">
        <f>IF(LEN(Contrato[[#This Row],[Contrato2]])=3,Contrato[[#This Row],[Contrato2]],TEXT(Contrato[[#This Row],[Contrato2]],"000"))</f>
        <v>015</v>
      </c>
      <c r="AH20" s="90">
        <f ca="1">IFERROR(_xlfn.DAYS(Contrato[[#This Row],[Fecha Proyectada liquidación]],TODAY())/30,"")</f>
        <v>6</v>
      </c>
      <c r="AI20" s="121">
        <f>+Contrato[[#This Row],[FECHA TERMINACIÓN ]]+120</f>
        <v>45963</v>
      </c>
      <c r="AJ20" s="89"/>
      <c r="AK20" s="91" t="str">
        <f ca="1">IF(Contrato[[#This Row],[FECHA TERMINACIÓN ]]&lt;TODAY(), "Terminado",IF(ISNUMBER(Contrato[[#This Row],[Fecha Real de liquiidación ]]),"Liquidado",IF(Contrato[[#This Row],[FECHA TERMINACIÓN ]]&gt;=TODAY(),"En ejecución","")))</f>
        <v>En ejecución</v>
      </c>
      <c r="AL20" s="107">
        <f ca="1">SUMIF(COMPROMISOS_2025[[#All],[consecutivo]],Contrato[[#This Row],[RCP]],COMPROMISOS_2025[[#All],[Total pagado]])</f>
        <v>0</v>
      </c>
      <c r="AM20" s="122">
        <f ca="1">IFERROR(Contrato[[#This Row],[Pagos]]/Contrato[[#This Row],[VALOR CONTRATO]],0)</f>
        <v>0</v>
      </c>
      <c r="AN20" s="160">
        <f ca="1">+Contrato[[#This Row],[VALOR CONTRATO]]-Contrato[[#This Row],[Pagos]]</f>
        <v>37609000</v>
      </c>
      <c r="AO20" s="111" t="e" cm="1">
        <f t="array" aca="1" ref="AO20" ca="1">_xlfn.XLOOKUP(Contrato[[#This Row],[DOCUMENTO ]],PERSONAL_ACTIVO_2025[[#All],[DOCUMENTO]],PERSONAL_ACTIVO_2025[[#All],[email]],0,0)</f>
        <v>#NAME?</v>
      </c>
      <c r="AP20" s="111" t="e" cm="1">
        <f t="array" aca="1" ref="AP20" ca="1">_xlfn.XLOOKUP(Contrato[[#This Row],[DOCUMENTO]],PERSONAL_ACTIVO_2025[[#All],[DOCUMENTO]],PERSONAL_ACTIVO_2025[[#All],[email]],0,0)</f>
        <v>#NAME?</v>
      </c>
      <c r="AQ20" s="111" cm="1">
        <f t="array" aca="1" ref="AQ20" ca="1">IF(ISBLANK(Contrato[[#This Row],[DEPENDENCIA ]]),0,IFERROR(_xlfn.XLOOKUP(Contrato[[#This Row],[DEPENDENCIA ]],#REF!,#REF!,0,0),0))</f>
        <v>0</v>
      </c>
      <c r="AR20" s="553">
        <f ca="1">+_xlfn.DAYS(Contrato[[#This Row],[FECHA TERMINACIÓN ]],TODAY())</f>
        <v>60</v>
      </c>
    </row>
    <row r="21" spans="1:44" s="111" customFormat="1" ht="36" customHeight="1" x14ac:dyDescent="0.25">
      <c r="A21" s="38">
        <v>491</v>
      </c>
      <c r="B21" s="226">
        <v>16</v>
      </c>
      <c r="C21" s="88" t="s">
        <v>702</v>
      </c>
      <c r="D21" s="192" t="s">
        <v>883</v>
      </c>
      <c r="E21" s="193" t="s">
        <v>112</v>
      </c>
      <c r="F21" s="194" t="s">
        <v>113</v>
      </c>
      <c r="G21" s="195" t="s">
        <v>964</v>
      </c>
      <c r="H21" s="167">
        <v>1045434598</v>
      </c>
      <c r="I21" s="292">
        <v>3419000</v>
      </c>
      <c r="J21" s="290">
        <v>17095000</v>
      </c>
      <c r="K21" s="158" t="s">
        <v>41</v>
      </c>
      <c r="L21" s="196" t="s">
        <v>958</v>
      </c>
      <c r="M21" s="114" t="s">
        <v>886</v>
      </c>
      <c r="N21" s="113" t="e" cm="1">
        <f t="array" aca="1" ref="N21" ca="1">_xlfn.XLOOKUP(Contrato[[#This Row],[SUPERVISOR TITULAR]],PERSONAL_ACTIVO_2025[[#All],[NOMBRES Y APELLIDOS]],PERSONAL_ACTIVO_2025[[#All],[DOCUMENTO]],"",0)</f>
        <v>#NAME?</v>
      </c>
      <c r="O21" s="114" t="s">
        <v>965</v>
      </c>
      <c r="P21" s="115" t="e" cm="1">
        <f t="array" aca="1" ref="P21" ca="1">_xlfn.XLOOKUP(Contrato[[#This Row],[SUPERVISOR SUPLENTE ]],PERSONAL_ACTIVO_2025[[#All],[NOMBRES Y APELLIDOS]],PERSONAL_ACTIVO_2025[[#All],[DOCUMENTO]],"",0)</f>
        <v>#NAME?</v>
      </c>
      <c r="Q21" s="116">
        <v>22</v>
      </c>
      <c r="R21" s="137" t="e" cm="1">
        <f t="array" aca="1" ref="R21" ca="1">_xlfn.XLOOKUP(Contrato[[#This Row],[CDP]],DISPONIBILIDADES_2025[[#All],[consecutivo]],DISPONIBILIDADES_2025[[#All],[fecha_aprobacion]],"",0)</f>
        <v>#NAME?</v>
      </c>
      <c r="S21" s="92">
        <f>SUMIF(DISPONIBILIDADES_2025[[#All],[consecutivo]],Contrato[[#This Row],[CDP]],DISPONIBILIDADES_2025[[#All],[valor_total_rubro]])</f>
        <v>17095000</v>
      </c>
      <c r="T21" s="118" t="e" cm="1">
        <f t="array" aca="1" ref="T21" ca="1">_xlfn.XLOOKUP(Contrato[[#This Row],[CONTRATO]]&amp;Contrato[[#This Row],[CDP]],Corr_Contr_CDP[[#All],[CONTRATO-CDP]],Corr_Contr_CDP[[#All],[CRP]],_xlfn.XLOOKUP(Contrato[[#This Row],[CDP]],COMPROMISOS_2025[[#All],[disponibilidad]],COMPROMISOS_2025[[#All],[consecutivo]],"",0),0)</f>
        <v>#NAME?</v>
      </c>
      <c r="U21" s="117" t="e" cm="1">
        <f t="array" aca="1" ref="U21" ca="1">+_xlfn.XLOOKUP(Contrato[[#This Row],[RCP]],COMPROMISOS_2025[[#All],[consecutivo]],COMPROMISOS_2025[[#All],[fecha_aprobacion]],"",0)</f>
        <v>#NAME?</v>
      </c>
      <c r="V21" s="93">
        <f ca="1">SUMIF(COMPROMISOS_2025[[#All],[consecutivo]],Contrato[[#This Row],[RCP]],COMPROMISOS_2025[[#All],[valor_total]])</f>
        <v>0</v>
      </c>
      <c r="W21" s="169">
        <v>45694</v>
      </c>
      <c r="X21" s="243" t="s">
        <v>901</v>
      </c>
      <c r="Y21" s="96">
        <v>45695</v>
      </c>
      <c r="Z21" s="161">
        <v>45844</v>
      </c>
      <c r="AA21" s="198" t="s">
        <v>966</v>
      </c>
      <c r="AB21" s="119" t="s">
        <v>920</v>
      </c>
      <c r="AC21" s="112"/>
      <c r="AD21" s="279">
        <v>202000006120</v>
      </c>
      <c r="AE21" s="38" t="s">
        <v>904</v>
      </c>
      <c r="AF21" s="120" t="str">
        <f>TEXT(LEFT(Contrato[[#This Row],[CONTRATO]],3),"0")</f>
        <v>16</v>
      </c>
      <c r="AG21" s="120" t="str">
        <f>IF(LEN(Contrato[[#This Row],[Contrato2]])=3,Contrato[[#This Row],[Contrato2]],TEXT(Contrato[[#This Row],[Contrato2]],"000"))</f>
        <v>016</v>
      </c>
      <c r="AH21" s="90">
        <f ca="1">IFERROR(_xlfn.DAYS(Contrato[[#This Row],[Fecha Proyectada liquidación]],TODAY())/30,"")</f>
        <v>6.0333333333333332</v>
      </c>
      <c r="AI21" s="121">
        <f>+Contrato[[#This Row],[FECHA TERMINACIÓN ]]+120</f>
        <v>45964</v>
      </c>
      <c r="AJ21" s="89"/>
      <c r="AK21" s="91" t="str">
        <f ca="1">IF(Contrato[[#This Row],[FECHA TERMINACIÓN ]]&lt;TODAY(), "Terminado",IF(ISNUMBER(Contrato[[#This Row],[Fecha Real de liquiidación ]]),"Liquidado",IF(Contrato[[#This Row],[FECHA TERMINACIÓN ]]&gt;=TODAY(),"En ejecución","")))</f>
        <v>En ejecución</v>
      </c>
      <c r="AL21" s="107">
        <f ca="1">SUMIF(COMPROMISOS_2025[[#All],[consecutivo]],Contrato[[#This Row],[RCP]],COMPROMISOS_2025[[#All],[Total pagado]])</f>
        <v>0</v>
      </c>
      <c r="AM21" s="122">
        <f ca="1">IFERROR(Contrato[[#This Row],[Pagos]]/Contrato[[#This Row],[VALOR CONTRATO]],0)</f>
        <v>0</v>
      </c>
      <c r="AN21" s="160">
        <f ca="1">+Contrato[[#This Row],[VALOR CONTRATO]]-Contrato[[#This Row],[Pagos]]</f>
        <v>17095000</v>
      </c>
      <c r="AO21" s="111" t="e" cm="1">
        <f t="array" aca="1" ref="AO21" ca="1">_xlfn.XLOOKUP(Contrato[[#This Row],[DOCUMENTO ]],PERSONAL_ACTIVO_2025[[#All],[DOCUMENTO]],PERSONAL_ACTIVO_2025[[#All],[email]],0,0)</f>
        <v>#NAME?</v>
      </c>
      <c r="AP21" s="111" t="e" cm="1">
        <f t="array" aca="1" ref="AP21" ca="1">_xlfn.XLOOKUP(Contrato[[#This Row],[DOCUMENTO]],PERSONAL_ACTIVO_2025[[#All],[DOCUMENTO]],PERSONAL_ACTIVO_2025[[#All],[email]],0,0)</f>
        <v>#NAME?</v>
      </c>
      <c r="AQ21" s="111" cm="1">
        <f t="array" aca="1" ref="AQ21" ca="1">IF(ISBLANK(Contrato[[#This Row],[DEPENDENCIA ]]),0,IFERROR(_xlfn.XLOOKUP(Contrato[[#This Row],[DEPENDENCIA ]],#REF!,#REF!,0,0),0))</f>
        <v>0</v>
      </c>
      <c r="AR21" s="553">
        <f ca="1">+_xlfn.DAYS(Contrato[[#This Row],[FECHA TERMINACIÓN ]],TODAY())</f>
        <v>61</v>
      </c>
    </row>
    <row r="22" spans="1:44" s="111" customFormat="1" ht="36" customHeight="1" x14ac:dyDescent="0.25">
      <c r="A22" s="38">
        <v>514</v>
      </c>
      <c r="B22" s="226">
        <v>17</v>
      </c>
      <c r="C22" s="88" t="s">
        <v>719</v>
      </c>
      <c r="D22" s="192" t="s">
        <v>883</v>
      </c>
      <c r="E22" s="193" t="s">
        <v>112</v>
      </c>
      <c r="F22" s="194" t="s">
        <v>113</v>
      </c>
      <c r="G22" s="195" t="s">
        <v>967</v>
      </c>
      <c r="H22" s="167">
        <v>1017222456</v>
      </c>
      <c r="I22" s="292">
        <v>7521800</v>
      </c>
      <c r="J22" s="290">
        <v>40609000</v>
      </c>
      <c r="K22" s="246" t="s">
        <v>968</v>
      </c>
      <c r="L22" s="196" t="s">
        <v>958</v>
      </c>
      <c r="M22" s="114" t="s">
        <v>899</v>
      </c>
      <c r="N22" s="113" t="e" cm="1">
        <f t="array" aca="1" ref="N22" ca="1">_xlfn.XLOOKUP(Contrato[[#This Row],[SUPERVISOR TITULAR]],PERSONAL_ACTIVO_2025[[#All],[NOMBRES Y APELLIDOS]],PERSONAL_ACTIVO_2025[[#All],[DOCUMENTO]],"",0)</f>
        <v>#NAME?</v>
      </c>
      <c r="O22" s="114" t="s">
        <v>900</v>
      </c>
      <c r="P22" s="115" t="e" cm="1">
        <f t="array" aca="1" ref="P22" ca="1">_xlfn.XLOOKUP(Contrato[[#This Row],[SUPERVISOR SUPLENTE ]],PERSONAL_ACTIVO_2025[[#All],[NOMBRES Y APELLIDOS]],PERSONAL_ACTIVO_2025[[#All],[DOCUMENTO]],"",0)</f>
        <v>#NAME?</v>
      </c>
      <c r="Q22" s="116">
        <v>62</v>
      </c>
      <c r="R22" s="137" t="e" cm="1">
        <f t="array" aca="1" ref="R22" ca="1">_xlfn.XLOOKUP(Contrato[[#This Row],[CDP]],DISPONIBILIDADES_2025[[#All],[consecutivo]],DISPONIBILIDADES_2025[[#All],[fecha_aprobacion]],"",0)</f>
        <v>#NAME?</v>
      </c>
      <c r="S22" s="92">
        <f>SUMIF(DISPONIBILIDADES_2025[[#All],[consecutivo]],Contrato[[#This Row],[CDP]],DISPONIBILIDADES_2025[[#All],[valor_total_rubro]])</f>
        <v>40609000</v>
      </c>
      <c r="T22" s="118" t="e" cm="1">
        <f t="array" aca="1" ref="T22" ca="1">_xlfn.XLOOKUP(Contrato[[#This Row],[CONTRATO]]&amp;Contrato[[#This Row],[CDP]],Corr_Contr_CDP[[#All],[CONTRATO-CDP]],Corr_Contr_CDP[[#All],[CRP]],_xlfn.XLOOKUP(Contrato[[#This Row],[CDP]],COMPROMISOS_2025[[#All],[disponibilidad]],COMPROMISOS_2025[[#All],[consecutivo]],"",0),0)</f>
        <v>#NAME?</v>
      </c>
      <c r="U22" s="117" t="e" cm="1">
        <f t="array" aca="1" ref="U22" ca="1">+_xlfn.XLOOKUP(Contrato[[#This Row],[RCP]],COMPROMISOS_2025[[#All],[consecutivo]],COMPROMISOS_2025[[#All],[fecha_aprobacion]],"",0)</f>
        <v>#NAME?</v>
      </c>
      <c r="V22" s="93">
        <f ca="1">SUMIF(COMPROMISOS_2025[[#All],[consecutivo]],Contrato[[#This Row],[RCP]],COMPROMISOS_2025[[#All],[valor_total]])</f>
        <v>0</v>
      </c>
      <c r="W22" s="169">
        <v>45692</v>
      </c>
      <c r="X22" s="243" t="s">
        <v>901</v>
      </c>
      <c r="Y22" s="96">
        <v>45693</v>
      </c>
      <c r="Z22" s="161">
        <v>45842</v>
      </c>
      <c r="AA22" s="198" t="s">
        <v>969</v>
      </c>
      <c r="AB22" s="119" t="s">
        <v>920</v>
      </c>
      <c r="AC22" s="112"/>
      <c r="AD22" s="279">
        <v>202000006122</v>
      </c>
      <c r="AE22" s="38" t="s">
        <v>904</v>
      </c>
      <c r="AF22" s="120" t="str">
        <f>TEXT(LEFT(Contrato[[#This Row],[CONTRATO]],3),"0")</f>
        <v>17</v>
      </c>
      <c r="AG22" s="120" t="str">
        <f>IF(LEN(Contrato[[#This Row],[Contrato2]])=3,Contrato[[#This Row],[Contrato2]],TEXT(Contrato[[#This Row],[Contrato2]],"000"))</f>
        <v>017</v>
      </c>
      <c r="AH22" s="90">
        <f ca="1">IFERROR(_xlfn.DAYS(Contrato[[#This Row],[Fecha Proyectada liquidación]],TODAY())/30,"")</f>
        <v>5.9666666666666668</v>
      </c>
      <c r="AI22" s="121">
        <f>+Contrato[[#This Row],[FECHA TERMINACIÓN ]]+120</f>
        <v>45962</v>
      </c>
      <c r="AJ22" s="89"/>
      <c r="AK22" s="91" t="str">
        <f ca="1">IF(Contrato[[#This Row],[FECHA TERMINACIÓN ]]&lt;TODAY(), "Terminado",IF(ISNUMBER(Contrato[[#This Row],[Fecha Real de liquiidación ]]),"Liquidado",IF(Contrato[[#This Row],[FECHA TERMINACIÓN ]]&gt;=TODAY(),"En ejecución","")))</f>
        <v>En ejecución</v>
      </c>
      <c r="AL22" s="107">
        <f ca="1">SUMIF(COMPROMISOS_2025[[#All],[consecutivo]],Contrato[[#This Row],[RCP]],COMPROMISOS_2025[[#All],[Total pagado]])</f>
        <v>0</v>
      </c>
      <c r="AM22" s="122">
        <f ca="1">IFERROR(Contrato[[#This Row],[Pagos]]/Contrato[[#This Row],[VALOR CONTRATO]],0)</f>
        <v>0</v>
      </c>
      <c r="AN22" s="160">
        <f ca="1">+Contrato[[#This Row],[VALOR CONTRATO]]-Contrato[[#This Row],[Pagos]]</f>
        <v>40609000</v>
      </c>
      <c r="AO22" s="111" t="e" cm="1">
        <f t="array" aca="1" ref="AO22" ca="1">_xlfn.XLOOKUP(Contrato[[#This Row],[DOCUMENTO ]],PERSONAL_ACTIVO_2025[[#All],[DOCUMENTO]],PERSONAL_ACTIVO_2025[[#All],[email]],0,0)</f>
        <v>#NAME?</v>
      </c>
      <c r="AP22" s="111" t="e" cm="1">
        <f t="array" aca="1" ref="AP22" ca="1">_xlfn.XLOOKUP(Contrato[[#This Row],[DOCUMENTO]],PERSONAL_ACTIVO_2025[[#All],[DOCUMENTO]],PERSONAL_ACTIVO_2025[[#All],[email]],0,0)</f>
        <v>#NAME?</v>
      </c>
      <c r="AQ22" s="111" cm="1">
        <f t="array" aca="1" ref="AQ22" ca="1">IF(ISBLANK(Contrato[[#This Row],[DEPENDENCIA ]]),0,IFERROR(_xlfn.XLOOKUP(Contrato[[#This Row],[DEPENDENCIA ]],#REF!,#REF!,0,0),0))</f>
        <v>0</v>
      </c>
      <c r="AR22" s="553">
        <f ca="1">+_xlfn.DAYS(Contrato[[#This Row],[FECHA TERMINACIÓN ]],TODAY())</f>
        <v>59</v>
      </c>
    </row>
    <row r="23" spans="1:44" s="111" customFormat="1" ht="36" customHeight="1" x14ac:dyDescent="0.25">
      <c r="A23" s="38">
        <v>519</v>
      </c>
      <c r="B23" s="226">
        <v>18</v>
      </c>
      <c r="C23" s="194" t="s">
        <v>724</v>
      </c>
      <c r="D23" s="192" t="s">
        <v>930</v>
      </c>
      <c r="E23" s="193" t="s">
        <v>112</v>
      </c>
      <c r="F23" s="194" t="s">
        <v>113</v>
      </c>
      <c r="G23" s="195" t="s">
        <v>970</v>
      </c>
      <c r="H23" s="167">
        <v>1128276230</v>
      </c>
      <c r="I23" s="292">
        <v>7521800</v>
      </c>
      <c r="J23" s="290">
        <v>60174400</v>
      </c>
      <c r="K23" s="158" t="s">
        <v>41</v>
      </c>
      <c r="L23" s="196" t="s">
        <v>958</v>
      </c>
      <c r="M23" s="114" t="s">
        <v>971</v>
      </c>
      <c r="N23" s="113" t="e" cm="1">
        <f t="array" aca="1" ref="N23" ca="1">_xlfn.XLOOKUP(Contrato[[#This Row],[SUPERVISOR TITULAR]],PERSONAL_ACTIVO_2025[[#All],[NOMBRES Y APELLIDOS]],PERSONAL_ACTIVO_2025[[#All],[DOCUMENTO]],"",0)</f>
        <v>#NAME?</v>
      </c>
      <c r="O23" s="114" t="s">
        <v>972</v>
      </c>
      <c r="P23" s="115" t="e" cm="1">
        <f t="array" aca="1" ref="P23" ca="1">_xlfn.XLOOKUP(Contrato[[#This Row],[SUPERVISOR SUPLENTE ]],PERSONAL_ACTIVO_2025[[#All],[NOMBRES Y APELLIDOS]],PERSONAL_ACTIVO_2025[[#All],[DOCUMENTO]],"",0)</f>
        <v>#NAME?</v>
      </c>
      <c r="Q23" s="116">
        <v>53</v>
      </c>
      <c r="R23" s="137" t="e" cm="1">
        <f t="array" aca="1" ref="R23" ca="1">_xlfn.XLOOKUP(Contrato[[#This Row],[CDP]],DISPONIBILIDADES_2025[[#All],[consecutivo]],DISPONIBILIDADES_2025[[#All],[fecha_aprobacion]],"",0)</f>
        <v>#NAME?</v>
      </c>
      <c r="S23" s="92">
        <f>SUMIF(DISPONIBILIDADES_2025[[#All],[consecutivo]],Contrato[[#This Row],[CDP]],DISPONIBILIDADES_2025[[#All],[valor_total_rubro]])</f>
        <v>60174400</v>
      </c>
      <c r="T23" s="118" t="e" cm="1">
        <f t="array" aca="1" ref="T23" ca="1">_xlfn.XLOOKUP(Contrato[[#This Row],[CONTRATO]]&amp;Contrato[[#This Row],[CDP]],Corr_Contr_CDP[[#All],[CONTRATO-CDP]],Corr_Contr_CDP[[#All],[CRP]],_xlfn.XLOOKUP(Contrato[[#This Row],[CDP]],COMPROMISOS_2025[[#All],[disponibilidad]],COMPROMISOS_2025[[#All],[consecutivo]],"",0),0)</f>
        <v>#NAME?</v>
      </c>
      <c r="U23" s="117" t="e" cm="1">
        <f t="array" aca="1" ref="U23" ca="1">+_xlfn.XLOOKUP(Contrato[[#This Row],[RCP]],COMPROMISOS_2025[[#All],[consecutivo]],COMPROMISOS_2025[[#All],[fecha_aprobacion]],"",0)</f>
        <v>#NAME?</v>
      </c>
      <c r="V23" s="93">
        <f ca="1">SUMIF(COMPROMISOS_2025[[#All],[consecutivo]],Contrato[[#This Row],[RCP]],COMPROMISOS_2025[[#All],[valor_total]])</f>
        <v>0</v>
      </c>
      <c r="W23" s="169">
        <v>45692</v>
      </c>
      <c r="X23" s="243" t="s">
        <v>901</v>
      </c>
      <c r="Y23" s="96">
        <v>45692</v>
      </c>
      <c r="Z23" s="161">
        <v>45935</v>
      </c>
      <c r="AA23" s="198" t="s">
        <v>973</v>
      </c>
      <c r="AB23" s="119" t="s">
        <v>936</v>
      </c>
      <c r="AC23" s="112"/>
      <c r="AD23" s="279">
        <v>202000006123</v>
      </c>
      <c r="AE23" s="38" t="s">
        <v>904</v>
      </c>
      <c r="AF23" s="120" t="str">
        <f>TEXT(LEFT(Contrato[[#This Row],[CONTRATO]],3),"0")</f>
        <v>18</v>
      </c>
      <c r="AG23" s="120" t="str">
        <f>IF(LEN(Contrato[[#This Row],[Contrato2]])=3,Contrato[[#This Row],[Contrato2]],TEXT(Contrato[[#This Row],[Contrato2]],"000"))</f>
        <v>018</v>
      </c>
      <c r="AH23" s="90">
        <f ca="1">IFERROR(_xlfn.DAYS(Contrato[[#This Row],[Fecha Proyectada liquidación]],TODAY())/30,"")</f>
        <v>9.0666666666666664</v>
      </c>
      <c r="AI23" s="121">
        <f>+Contrato[[#This Row],[FECHA TERMINACIÓN ]]+120</f>
        <v>46055</v>
      </c>
      <c r="AJ23" s="89"/>
      <c r="AK23" s="91" t="str">
        <f ca="1">IF(Contrato[[#This Row],[FECHA TERMINACIÓN ]]&lt;TODAY(), "Terminado",IF(ISNUMBER(Contrato[[#This Row],[Fecha Real de liquiidación ]]),"Liquidado",IF(Contrato[[#This Row],[FECHA TERMINACIÓN ]]&gt;=TODAY(),"En ejecución","")))</f>
        <v>En ejecución</v>
      </c>
      <c r="AL23" s="107">
        <f ca="1">SUMIF(COMPROMISOS_2025[[#All],[consecutivo]],Contrato[[#This Row],[RCP]],COMPROMISOS_2025[[#All],[Total pagado]])</f>
        <v>0</v>
      </c>
      <c r="AM23" s="122">
        <f ca="1">IFERROR(Contrato[[#This Row],[Pagos]]/Contrato[[#This Row],[VALOR CONTRATO]],0)</f>
        <v>0</v>
      </c>
      <c r="AN23" s="160">
        <f ca="1">+Contrato[[#This Row],[VALOR CONTRATO]]-Contrato[[#This Row],[Pagos]]</f>
        <v>60174400</v>
      </c>
      <c r="AO23" s="111" t="e" cm="1">
        <f t="array" aca="1" ref="AO23" ca="1">_xlfn.XLOOKUP(Contrato[[#This Row],[DOCUMENTO ]],PERSONAL_ACTIVO_2025[[#All],[DOCUMENTO]],PERSONAL_ACTIVO_2025[[#All],[email]],0,0)</f>
        <v>#NAME?</v>
      </c>
      <c r="AP23" s="111" t="e" cm="1">
        <f t="array" aca="1" ref="AP23" ca="1">_xlfn.XLOOKUP(Contrato[[#This Row],[DOCUMENTO]],PERSONAL_ACTIVO_2025[[#All],[DOCUMENTO]],PERSONAL_ACTIVO_2025[[#All],[email]],0,0)</f>
        <v>#NAME?</v>
      </c>
      <c r="AQ23" s="111" cm="1">
        <f t="array" aca="1" ref="AQ23" ca="1">IF(ISBLANK(Contrato[[#This Row],[DEPENDENCIA ]]),0,IFERROR(_xlfn.XLOOKUP(Contrato[[#This Row],[DEPENDENCIA ]],#REF!,#REF!,0,0),0))</f>
        <v>0</v>
      </c>
      <c r="AR23" s="553">
        <f ca="1">+_xlfn.DAYS(Contrato[[#This Row],[FECHA TERMINACIÓN ]],TODAY())</f>
        <v>152</v>
      </c>
    </row>
    <row r="24" spans="1:44" s="111" customFormat="1" ht="36" customHeight="1" x14ac:dyDescent="0.25">
      <c r="A24" s="38">
        <v>107</v>
      </c>
      <c r="B24" s="226">
        <v>19</v>
      </c>
      <c r="C24" s="88" t="s">
        <v>265</v>
      </c>
      <c r="D24" s="192" t="s">
        <v>930</v>
      </c>
      <c r="E24" s="193" t="s">
        <v>112</v>
      </c>
      <c r="F24" s="194" t="s">
        <v>113</v>
      </c>
      <c r="G24" s="195" t="s">
        <v>974</v>
      </c>
      <c r="H24" s="167">
        <v>1017208914</v>
      </c>
      <c r="I24" s="292">
        <v>7521800</v>
      </c>
      <c r="J24" s="290">
        <v>60174400</v>
      </c>
      <c r="K24" s="158" t="s">
        <v>41</v>
      </c>
      <c r="L24" s="196" t="s">
        <v>958</v>
      </c>
      <c r="M24" s="114" t="s">
        <v>972</v>
      </c>
      <c r="N24" s="113" t="e" cm="1">
        <f t="array" aca="1" ref="N24" ca="1">_xlfn.XLOOKUP(Contrato[[#This Row],[SUPERVISOR TITULAR]],PERSONAL_ACTIVO_2025[[#All],[NOMBRES Y APELLIDOS]],PERSONAL_ACTIVO_2025[[#All],[DOCUMENTO]],"",0)</f>
        <v>#NAME?</v>
      </c>
      <c r="O24" s="114" t="s">
        <v>971</v>
      </c>
      <c r="P24" s="115" t="e" cm="1">
        <f t="array" aca="1" ref="P24" ca="1">_xlfn.XLOOKUP(Contrato[[#This Row],[SUPERVISOR SUPLENTE ]],PERSONAL_ACTIVO_2025[[#All],[NOMBRES Y APELLIDOS]],PERSONAL_ACTIVO_2025[[#All],[DOCUMENTO]],"",0)</f>
        <v>#NAME?</v>
      </c>
      <c r="Q24" s="116">
        <v>47</v>
      </c>
      <c r="R24" s="137" t="e" cm="1">
        <f t="array" aca="1" ref="R24" ca="1">_xlfn.XLOOKUP(Contrato[[#This Row],[CDP]],DISPONIBILIDADES_2025[[#All],[consecutivo]],DISPONIBILIDADES_2025[[#All],[fecha_aprobacion]],"",0)</f>
        <v>#NAME?</v>
      </c>
      <c r="S24" s="92">
        <f>SUMIF(DISPONIBILIDADES_2025[[#All],[consecutivo]],Contrato[[#This Row],[CDP]],DISPONIBILIDADES_2025[[#All],[valor_total_rubro]])</f>
        <v>60174400</v>
      </c>
      <c r="T24" s="118" t="e" cm="1">
        <f t="array" aca="1" ref="T24" ca="1">_xlfn.XLOOKUP(Contrato[[#This Row],[CONTRATO]]&amp;Contrato[[#This Row],[CDP]],Corr_Contr_CDP[[#All],[CONTRATO-CDP]],Corr_Contr_CDP[[#All],[CRP]],_xlfn.XLOOKUP(Contrato[[#This Row],[CDP]],COMPROMISOS_2025[[#All],[disponibilidad]],COMPROMISOS_2025[[#All],[consecutivo]],"",0),0)</f>
        <v>#NAME?</v>
      </c>
      <c r="U24" s="117" t="e" cm="1">
        <f t="array" aca="1" ref="U24" ca="1">+_xlfn.XLOOKUP(Contrato[[#This Row],[RCP]],COMPROMISOS_2025[[#All],[consecutivo]],COMPROMISOS_2025[[#All],[fecha_aprobacion]],"",0)</f>
        <v>#NAME?</v>
      </c>
      <c r="V24" s="93">
        <f ca="1">SUMIF(COMPROMISOS_2025[[#All],[consecutivo]],Contrato[[#This Row],[RCP]],COMPROMISOS_2025[[#All],[valor_total]])</f>
        <v>0</v>
      </c>
      <c r="W24" s="169">
        <v>45693</v>
      </c>
      <c r="X24" s="243" t="s">
        <v>901</v>
      </c>
      <c r="Y24" s="96">
        <v>45693</v>
      </c>
      <c r="Z24" s="161">
        <v>45935</v>
      </c>
      <c r="AA24" s="198" t="s">
        <v>975</v>
      </c>
      <c r="AB24" s="119" t="s">
        <v>936</v>
      </c>
      <c r="AC24" s="112"/>
      <c r="AD24" s="279">
        <v>202000006124</v>
      </c>
      <c r="AE24" s="38" t="s">
        <v>904</v>
      </c>
      <c r="AF24" s="120" t="str">
        <f>TEXT(LEFT(Contrato[[#This Row],[CONTRATO]],3),"0")</f>
        <v>19</v>
      </c>
      <c r="AG24" s="120" t="str">
        <f>IF(LEN(Contrato[[#This Row],[Contrato2]])=3,Contrato[[#This Row],[Contrato2]],TEXT(Contrato[[#This Row],[Contrato2]],"000"))</f>
        <v>019</v>
      </c>
      <c r="AH24" s="90">
        <f ca="1">IFERROR(_xlfn.DAYS(Contrato[[#This Row],[Fecha Proyectada liquidación]],TODAY())/30,"")</f>
        <v>9.0666666666666664</v>
      </c>
      <c r="AI24" s="121">
        <f>+Contrato[[#This Row],[FECHA TERMINACIÓN ]]+120</f>
        <v>46055</v>
      </c>
      <c r="AJ24" s="89"/>
      <c r="AK24" s="91" t="str">
        <f ca="1">IF(Contrato[[#This Row],[FECHA TERMINACIÓN ]]&lt;TODAY(), "Terminado",IF(ISNUMBER(Contrato[[#This Row],[Fecha Real de liquiidación ]]),"Liquidado",IF(Contrato[[#This Row],[FECHA TERMINACIÓN ]]&gt;=TODAY(),"En ejecución","")))</f>
        <v>En ejecución</v>
      </c>
      <c r="AL24" s="107">
        <f ca="1">SUMIF(COMPROMISOS_2025[[#All],[consecutivo]],Contrato[[#This Row],[RCP]],COMPROMISOS_2025[[#All],[Total pagado]])</f>
        <v>0</v>
      </c>
      <c r="AM24" s="122">
        <f ca="1">IFERROR(Contrato[[#This Row],[Pagos]]/Contrato[[#This Row],[VALOR CONTRATO]],0)</f>
        <v>0</v>
      </c>
      <c r="AN24" s="160">
        <f ca="1">+Contrato[[#This Row],[VALOR CONTRATO]]-Contrato[[#This Row],[Pagos]]</f>
        <v>60174400</v>
      </c>
      <c r="AO24" s="111" t="e" cm="1">
        <f t="array" aca="1" ref="AO24" ca="1">_xlfn.XLOOKUP(Contrato[[#This Row],[DOCUMENTO ]],PERSONAL_ACTIVO_2025[[#All],[DOCUMENTO]],PERSONAL_ACTIVO_2025[[#All],[email]],0,0)</f>
        <v>#NAME?</v>
      </c>
      <c r="AP24" s="111" t="e" cm="1">
        <f t="array" aca="1" ref="AP24" ca="1">_xlfn.XLOOKUP(Contrato[[#This Row],[DOCUMENTO]],PERSONAL_ACTIVO_2025[[#All],[DOCUMENTO]],PERSONAL_ACTIVO_2025[[#All],[email]],0,0)</f>
        <v>#NAME?</v>
      </c>
      <c r="AQ24" s="111" cm="1">
        <f t="array" aca="1" ref="AQ24" ca="1">IF(ISBLANK(Contrato[[#This Row],[DEPENDENCIA ]]),0,IFERROR(_xlfn.XLOOKUP(Contrato[[#This Row],[DEPENDENCIA ]],#REF!,#REF!,0,0),0))</f>
        <v>0</v>
      </c>
      <c r="AR24" s="553">
        <f ca="1">+_xlfn.DAYS(Contrato[[#This Row],[FECHA TERMINACIÓN ]],TODAY())</f>
        <v>152</v>
      </c>
    </row>
    <row r="25" spans="1:44" s="111" customFormat="1" ht="36" customHeight="1" x14ac:dyDescent="0.25">
      <c r="A25" s="38">
        <v>110</v>
      </c>
      <c r="B25" s="226">
        <v>20</v>
      </c>
      <c r="C25" s="88" t="s">
        <v>277</v>
      </c>
      <c r="D25" s="192" t="s">
        <v>930</v>
      </c>
      <c r="E25" s="193" t="s">
        <v>112</v>
      </c>
      <c r="F25" s="194" t="s">
        <v>113</v>
      </c>
      <c r="G25" s="195" t="s">
        <v>976</v>
      </c>
      <c r="H25" s="167">
        <v>43689871</v>
      </c>
      <c r="I25" s="292">
        <v>7521800</v>
      </c>
      <c r="J25" s="290">
        <v>69174400</v>
      </c>
      <c r="K25" s="246" t="s">
        <v>932</v>
      </c>
      <c r="L25" s="196" t="s">
        <v>958</v>
      </c>
      <c r="M25" s="114" t="s">
        <v>972</v>
      </c>
      <c r="N25" s="113" t="e" cm="1">
        <f t="array" aca="1" ref="N25" ca="1">_xlfn.XLOOKUP(Contrato[[#This Row],[SUPERVISOR TITULAR]],PERSONAL_ACTIVO_2025[[#All],[NOMBRES Y APELLIDOS]],PERSONAL_ACTIVO_2025[[#All],[DOCUMENTO]],"",0)</f>
        <v>#NAME?</v>
      </c>
      <c r="O25" s="114" t="s">
        <v>971</v>
      </c>
      <c r="P25" s="115" t="e" cm="1">
        <f t="array" aca="1" ref="P25" ca="1">_xlfn.XLOOKUP(Contrato[[#This Row],[SUPERVISOR SUPLENTE ]],PERSONAL_ACTIVO_2025[[#All],[NOMBRES Y APELLIDOS]],PERSONAL_ACTIVO_2025[[#All],[DOCUMENTO]],"",0)</f>
        <v>#NAME?</v>
      </c>
      <c r="Q25" s="116">
        <v>50</v>
      </c>
      <c r="R25" s="137" t="e" cm="1">
        <f t="array" aca="1" ref="R25" ca="1">_xlfn.XLOOKUP(Contrato[[#This Row],[CDP]],DISPONIBILIDADES_2025[[#All],[consecutivo]],DISPONIBILIDADES_2025[[#All],[fecha_aprobacion]],"",0)</f>
        <v>#NAME?</v>
      </c>
      <c r="S25" s="92">
        <f>SUMIF(DISPONIBILIDADES_2025[[#All],[consecutivo]],Contrato[[#This Row],[CDP]],DISPONIBILIDADES_2025[[#All],[valor_total_rubro]])</f>
        <v>69174400</v>
      </c>
      <c r="T25" s="118" t="e" cm="1">
        <f t="array" aca="1" ref="T25" ca="1">_xlfn.XLOOKUP(Contrato[[#This Row],[CONTRATO]]&amp;Contrato[[#This Row],[CDP]],Corr_Contr_CDP[[#All],[CONTRATO-CDP]],Corr_Contr_CDP[[#All],[CRP]],_xlfn.XLOOKUP(Contrato[[#This Row],[CDP]],COMPROMISOS_2025[[#All],[disponibilidad]],COMPROMISOS_2025[[#All],[consecutivo]],"",0),0)</f>
        <v>#NAME?</v>
      </c>
      <c r="U25" s="117" t="e" cm="1">
        <f t="array" aca="1" ref="U25" ca="1">+_xlfn.XLOOKUP(Contrato[[#This Row],[RCP]],COMPROMISOS_2025[[#All],[consecutivo]],COMPROMISOS_2025[[#All],[fecha_aprobacion]],"",0)</f>
        <v>#NAME?</v>
      </c>
      <c r="V25" s="93">
        <f ca="1">SUMIF(COMPROMISOS_2025[[#All],[consecutivo]],Contrato[[#This Row],[RCP]],COMPROMISOS_2025[[#All],[valor_total]])</f>
        <v>0</v>
      </c>
      <c r="W25" s="169">
        <v>45691</v>
      </c>
      <c r="X25" s="243" t="s">
        <v>901</v>
      </c>
      <c r="Y25" s="96">
        <v>45692</v>
      </c>
      <c r="Z25" s="161">
        <v>45934</v>
      </c>
      <c r="AA25" s="198" t="s">
        <v>977</v>
      </c>
      <c r="AB25" s="119" t="s">
        <v>936</v>
      </c>
      <c r="AC25" s="112"/>
      <c r="AD25" s="279">
        <v>202000006125</v>
      </c>
      <c r="AE25" s="38" t="s">
        <v>904</v>
      </c>
      <c r="AF25" s="120" t="str">
        <f>TEXT(LEFT(Contrato[[#This Row],[CONTRATO]],3),"0")</f>
        <v>20</v>
      </c>
      <c r="AG25" s="120" t="str">
        <f>IF(LEN(Contrato[[#This Row],[Contrato2]])=3,Contrato[[#This Row],[Contrato2]],TEXT(Contrato[[#This Row],[Contrato2]],"000"))</f>
        <v>020</v>
      </c>
      <c r="AH25" s="90">
        <f ca="1">IFERROR(_xlfn.DAYS(Contrato[[#This Row],[Fecha Proyectada liquidación]],TODAY())/30,"")</f>
        <v>9.0333333333333332</v>
      </c>
      <c r="AI25" s="121">
        <f>+Contrato[[#This Row],[FECHA TERMINACIÓN ]]+120</f>
        <v>46054</v>
      </c>
      <c r="AJ25" s="89"/>
      <c r="AK25" s="91" t="str">
        <f ca="1">IF(Contrato[[#This Row],[FECHA TERMINACIÓN ]]&lt;TODAY(), "Terminado",IF(ISNUMBER(Contrato[[#This Row],[Fecha Real de liquiidación ]]),"Liquidado",IF(Contrato[[#This Row],[FECHA TERMINACIÓN ]]&gt;=TODAY(),"En ejecución","")))</f>
        <v>En ejecución</v>
      </c>
      <c r="AL25" s="107">
        <f ca="1">SUMIF(COMPROMISOS_2025[[#All],[consecutivo]],Contrato[[#This Row],[RCP]],COMPROMISOS_2025[[#All],[Total pagado]])</f>
        <v>0</v>
      </c>
      <c r="AM25" s="122">
        <f ca="1">IFERROR(Contrato[[#This Row],[Pagos]]/Contrato[[#This Row],[VALOR CONTRATO]],0)</f>
        <v>0</v>
      </c>
      <c r="AN25" s="160">
        <f ca="1">+Contrato[[#This Row],[VALOR CONTRATO]]-Contrato[[#This Row],[Pagos]]</f>
        <v>69174400</v>
      </c>
      <c r="AO25" s="111" t="e" cm="1">
        <f t="array" aca="1" ref="AO25" ca="1">_xlfn.XLOOKUP(Contrato[[#This Row],[DOCUMENTO ]],PERSONAL_ACTIVO_2025[[#All],[DOCUMENTO]],PERSONAL_ACTIVO_2025[[#All],[email]],0,0)</f>
        <v>#NAME?</v>
      </c>
      <c r="AP25" s="111" t="e" cm="1">
        <f t="array" aca="1" ref="AP25" ca="1">_xlfn.XLOOKUP(Contrato[[#This Row],[DOCUMENTO]],PERSONAL_ACTIVO_2025[[#All],[DOCUMENTO]],PERSONAL_ACTIVO_2025[[#All],[email]],0,0)</f>
        <v>#NAME?</v>
      </c>
      <c r="AQ25" s="111" cm="1">
        <f t="array" aca="1" ref="AQ25" ca="1">IF(ISBLANK(Contrato[[#This Row],[DEPENDENCIA ]]),0,IFERROR(_xlfn.XLOOKUP(Contrato[[#This Row],[DEPENDENCIA ]],#REF!,#REF!,0,0),0))</f>
        <v>0</v>
      </c>
      <c r="AR25" s="553">
        <f ca="1">+_xlfn.DAYS(Contrato[[#This Row],[FECHA TERMINACIÓN ]],TODAY())</f>
        <v>151</v>
      </c>
    </row>
    <row r="26" spans="1:44" s="111" customFormat="1" ht="36" customHeight="1" x14ac:dyDescent="0.25">
      <c r="A26" s="38">
        <v>108</v>
      </c>
      <c r="B26" s="226">
        <v>21</v>
      </c>
      <c r="C26" s="88" t="s">
        <v>275</v>
      </c>
      <c r="D26" s="192" t="s">
        <v>930</v>
      </c>
      <c r="E26" s="193" t="s">
        <v>112</v>
      </c>
      <c r="F26" s="194" t="s">
        <v>113</v>
      </c>
      <c r="G26" s="195" t="s">
        <v>978</v>
      </c>
      <c r="H26" s="167">
        <v>1039451091</v>
      </c>
      <c r="I26" s="292">
        <v>7521800</v>
      </c>
      <c r="J26" s="290">
        <v>60174400</v>
      </c>
      <c r="K26" s="158" t="s">
        <v>41</v>
      </c>
      <c r="L26" s="196" t="s">
        <v>958</v>
      </c>
      <c r="M26" s="114" t="s">
        <v>979</v>
      </c>
      <c r="N26" s="113" t="e" cm="1">
        <f t="array" aca="1" ref="N26" ca="1">_xlfn.XLOOKUP(Contrato[[#This Row],[SUPERVISOR TITULAR]],PERSONAL_ACTIVO_2025[[#All],[NOMBRES Y APELLIDOS]],PERSONAL_ACTIVO_2025[[#All],[DOCUMENTO]],"",0)</f>
        <v>#NAME?</v>
      </c>
      <c r="O26" s="114" t="s">
        <v>980</v>
      </c>
      <c r="P26" s="115" t="e" cm="1">
        <f t="array" aca="1" ref="P26" ca="1">_xlfn.XLOOKUP(Contrato[[#This Row],[SUPERVISOR SUPLENTE ]],PERSONAL_ACTIVO_2025[[#All],[NOMBRES Y APELLIDOS]],PERSONAL_ACTIVO_2025[[#All],[DOCUMENTO]],"",0)</f>
        <v>#NAME?</v>
      </c>
      <c r="Q26" s="116">
        <v>48</v>
      </c>
      <c r="R26" s="137" t="e" cm="1">
        <f t="array" aca="1" ref="R26" ca="1">_xlfn.XLOOKUP(Contrato[[#This Row],[CDP]],DISPONIBILIDADES_2025[[#All],[consecutivo]],DISPONIBILIDADES_2025[[#All],[fecha_aprobacion]],"",0)</f>
        <v>#NAME?</v>
      </c>
      <c r="S26" s="92">
        <f>SUMIF(DISPONIBILIDADES_2025[[#All],[consecutivo]],Contrato[[#This Row],[CDP]],DISPONIBILIDADES_2025[[#All],[valor_total_rubro]])</f>
        <v>60174400</v>
      </c>
      <c r="T26" s="118" t="e" cm="1">
        <f t="array" aca="1" ref="T26" ca="1">_xlfn.XLOOKUP(Contrato[[#This Row],[CONTRATO]]&amp;Contrato[[#This Row],[CDP]],Corr_Contr_CDP[[#All],[CONTRATO-CDP]],Corr_Contr_CDP[[#All],[CRP]],_xlfn.XLOOKUP(Contrato[[#This Row],[CDP]],COMPROMISOS_2025[[#All],[disponibilidad]],COMPROMISOS_2025[[#All],[consecutivo]],"",0),0)</f>
        <v>#NAME?</v>
      </c>
      <c r="U26" s="117" t="e" cm="1">
        <f t="array" aca="1" ref="U26" ca="1">+_xlfn.XLOOKUP(Contrato[[#This Row],[RCP]],COMPROMISOS_2025[[#All],[consecutivo]],COMPROMISOS_2025[[#All],[fecha_aprobacion]],"",0)</f>
        <v>#NAME?</v>
      </c>
      <c r="V26" s="93">
        <f ca="1">SUMIF(COMPROMISOS_2025[[#All],[consecutivo]],Contrato[[#This Row],[RCP]],COMPROMISOS_2025[[#All],[valor_total]])</f>
        <v>0</v>
      </c>
      <c r="W26" s="169">
        <v>45692</v>
      </c>
      <c r="X26" s="243" t="s">
        <v>901</v>
      </c>
      <c r="Y26" s="96">
        <v>45692</v>
      </c>
      <c r="Z26" s="161">
        <v>45934</v>
      </c>
      <c r="AA26" s="198" t="s">
        <v>981</v>
      </c>
      <c r="AB26" s="119" t="s">
        <v>936</v>
      </c>
      <c r="AC26" s="112"/>
      <c r="AD26" s="279">
        <v>202000006126</v>
      </c>
      <c r="AE26" s="38" t="s">
        <v>904</v>
      </c>
      <c r="AF26" s="120" t="str">
        <f>TEXT(LEFT(Contrato[[#This Row],[CONTRATO]],3),"0")</f>
        <v>21</v>
      </c>
      <c r="AG26" s="120" t="str">
        <f>IF(LEN(Contrato[[#This Row],[Contrato2]])=3,Contrato[[#This Row],[Contrato2]],TEXT(Contrato[[#This Row],[Contrato2]],"000"))</f>
        <v>021</v>
      </c>
      <c r="AH26" s="90">
        <f ca="1">IFERROR(_xlfn.DAYS(Contrato[[#This Row],[Fecha Proyectada liquidación]],TODAY())/30,"")</f>
        <v>9.0333333333333332</v>
      </c>
      <c r="AI26" s="121">
        <f>+Contrato[[#This Row],[FECHA TERMINACIÓN ]]+120</f>
        <v>46054</v>
      </c>
      <c r="AJ26" s="89"/>
      <c r="AK26" s="91" t="str">
        <f ca="1">IF(Contrato[[#This Row],[FECHA TERMINACIÓN ]]&lt;TODAY(), "Terminado",IF(ISNUMBER(Contrato[[#This Row],[Fecha Real de liquiidación ]]),"Liquidado",IF(Contrato[[#This Row],[FECHA TERMINACIÓN ]]&gt;=TODAY(),"En ejecución","")))</f>
        <v>En ejecución</v>
      </c>
      <c r="AL26" s="107">
        <f ca="1">SUMIF(COMPROMISOS_2025[[#All],[consecutivo]],Contrato[[#This Row],[RCP]],COMPROMISOS_2025[[#All],[Total pagado]])</f>
        <v>0</v>
      </c>
      <c r="AM26" s="122">
        <f ca="1">IFERROR(Contrato[[#This Row],[Pagos]]/Contrato[[#This Row],[VALOR CONTRATO]],0)</f>
        <v>0</v>
      </c>
      <c r="AN26" s="160">
        <f ca="1">+Contrato[[#This Row],[VALOR CONTRATO]]-Contrato[[#This Row],[Pagos]]</f>
        <v>60174400</v>
      </c>
      <c r="AO26" s="111" t="e" cm="1">
        <f t="array" aca="1" ref="AO26" ca="1">_xlfn.XLOOKUP(Contrato[[#This Row],[DOCUMENTO ]],PERSONAL_ACTIVO_2025[[#All],[DOCUMENTO]],PERSONAL_ACTIVO_2025[[#All],[email]],0,0)</f>
        <v>#NAME?</v>
      </c>
      <c r="AP26" s="111" t="e" cm="1">
        <f t="array" aca="1" ref="AP26" ca="1">_xlfn.XLOOKUP(Contrato[[#This Row],[DOCUMENTO]],PERSONAL_ACTIVO_2025[[#All],[DOCUMENTO]],PERSONAL_ACTIVO_2025[[#All],[email]],0,0)</f>
        <v>#NAME?</v>
      </c>
      <c r="AQ26" s="111" cm="1">
        <f t="array" aca="1" ref="AQ26" ca="1">IF(ISBLANK(Contrato[[#This Row],[DEPENDENCIA ]]),0,IFERROR(_xlfn.XLOOKUP(Contrato[[#This Row],[DEPENDENCIA ]],#REF!,#REF!,0,0),0))</f>
        <v>0</v>
      </c>
      <c r="AR26" s="553">
        <f ca="1">+_xlfn.DAYS(Contrato[[#This Row],[FECHA TERMINACIÓN ]],TODAY())</f>
        <v>151</v>
      </c>
    </row>
    <row r="27" spans="1:44" s="111" customFormat="1" ht="36" customHeight="1" x14ac:dyDescent="0.25">
      <c r="A27" s="38">
        <v>518</v>
      </c>
      <c r="B27" s="226">
        <v>22</v>
      </c>
      <c r="C27" s="88" t="s">
        <v>723</v>
      </c>
      <c r="D27" s="192" t="s">
        <v>930</v>
      </c>
      <c r="E27" s="193" t="s">
        <v>112</v>
      </c>
      <c r="F27" s="194" t="s">
        <v>113</v>
      </c>
      <c r="G27" s="195" t="s">
        <v>982</v>
      </c>
      <c r="H27" s="167">
        <v>1001738517</v>
      </c>
      <c r="I27" s="292">
        <v>3419000</v>
      </c>
      <c r="J27" s="290">
        <v>36352000</v>
      </c>
      <c r="K27" s="246" t="s">
        <v>932</v>
      </c>
      <c r="L27" s="196" t="s">
        <v>958</v>
      </c>
      <c r="M27" s="114" t="s">
        <v>971</v>
      </c>
      <c r="N27" s="113" t="e" cm="1">
        <f t="array" aca="1" ref="N27" ca="1">_xlfn.XLOOKUP(Contrato[[#This Row],[SUPERVISOR TITULAR]],PERSONAL_ACTIVO_2025[[#All],[NOMBRES Y APELLIDOS]],PERSONAL_ACTIVO_2025[[#All],[DOCUMENTO]],"",0)</f>
        <v>#NAME?</v>
      </c>
      <c r="O27" s="114" t="s">
        <v>972</v>
      </c>
      <c r="P27" s="115" t="e" cm="1">
        <f t="array" aca="1" ref="P27" ca="1">_xlfn.XLOOKUP(Contrato[[#This Row],[SUPERVISOR SUPLENTE ]],PERSONAL_ACTIVO_2025[[#All],[NOMBRES Y APELLIDOS]],PERSONAL_ACTIVO_2025[[#All],[DOCUMENTO]],"",0)</f>
        <v>#NAME?</v>
      </c>
      <c r="Q27" s="116">
        <v>52</v>
      </c>
      <c r="R27" s="137" t="e" cm="1">
        <f t="array" aca="1" ref="R27" ca="1">_xlfn.XLOOKUP(Contrato[[#This Row],[CDP]],DISPONIBILIDADES_2025[[#All],[consecutivo]],DISPONIBILIDADES_2025[[#All],[fecha_aprobacion]],"",0)</f>
        <v>#NAME?</v>
      </c>
      <c r="S27" s="92">
        <f>SUMIF(DISPONIBILIDADES_2025[[#All],[consecutivo]],Contrato[[#This Row],[CDP]],DISPONIBILIDADES_2025[[#All],[valor_total_rubro]])</f>
        <v>36352000</v>
      </c>
      <c r="T27" s="118" t="e" cm="1">
        <f t="array" aca="1" ref="T27" ca="1">_xlfn.XLOOKUP(Contrato[[#This Row],[CONTRATO]]&amp;Contrato[[#This Row],[CDP]],Corr_Contr_CDP[[#All],[CONTRATO-CDP]],Corr_Contr_CDP[[#All],[CRP]],_xlfn.XLOOKUP(Contrato[[#This Row],[CDP]],COMPROMISOS_2025[[#All],[disponibilidad]],COMPROMISOS_2025[[#All],[consecutivo]],"",0),0)</f>
        <v>#NAME?</v>
      </c>
      <c r="U27" s="117" t="e" cm="1">
        <f t="array" aca="1" ref="U27" ca="1">+_xlfn.XLOOKUP(Contrato[[#This Row],[RCP]],COMPROMISOS_2025[[#All],[consecutivo]],COMPROMISOS_2025[[#All],[fecha_aprobacion]],"",0)</f>
        <v>#NAME?</v>
      </c>
      <c r="V27" s="93">
        <f ca="1">SUMIF(COMPROMISOS_2025[[#All],[consecutivo]],Contrato[[#This Row],[RCP]],COMPROMISOS_2025[[#All],[valor_total]])</f>
        <v>0</v>
      </c>
      <c r="W27" s="169">
        <v>45692</v>
      </c>
      <c r="X27" s="243" t="s">
        <v>901</v>
      </c>
      <c r="Y27" s="96">
        <v>45692</v>
      </c>
      <c r="Z27" s="161">
        <v>45934</v>
      </c>
      <c r="AA27" s="198" t="s">
        <v>983</v>
      </c>
      <c r="AB27" s="119" t="s">
        <v>936</v>
      </c>
      <c r="AC27" s="112"/>
      <c r="AD27" s="279">
        <v>202000006127</v>
      </c>
      <c r="AE27" s="38" t="s">
        <v>904</v>
      </c>
      <c r="AF27" s="120" t="str">
        <f>TEXT(LEFT(Contrato[[#This Row],[CONTRATO]],3),"0")</f>
        <v>22</v>
      </c>
      <c r="AG27" s="120" t="str">
        <f>IF(LEN(Contrato[[#This Row],[Contrato2]])=3,Contrato[[#This Row],[Contrato2]],TEXT(Contrato[[#This Row],[Contrato2]],"000"))</f>
        <v>022</v>
      </c>
      <c r="AH27" s="90">
        <f ca="1">IFERROR(_xlfn.DAYS(Contrato[[#This Row],[Fecha Proyectada liquidación]],TODAY())/30,"")</f>
        <v>9.0333333333333332</v>
      </c>
      <c r="AI27" s="121">
        <f>+Contrato[[#This Row],[FECHA TERMINACIÓN ]]+120</f>
        <v>46054</v>
      </c>
      <c r="AJ27" s="89"/>
      <c r="AK27" s="91" t="str">
        <f ca="1">IF(Contrato[[#This Row],[FECHA TERMINACIÓN ]]&lt;TODAY(), "Terminado",IF(ISNUMBER(Contrato[[#This Row],[Fecha Real de liquiidación ]]),"Liquidado",IF(Contrato[[#This Row],[FECHA TERMINACIÓN ]]&gt;=TODAY(),"En ejecución","")))</f>
        <v>En ejecución</v>
      </c>
      <c r="AL27" s="107">
        <f ca="1">SUMIF(COMPROMISOS_2025[[#All],[consecutivo]],Contrato[[#This Row],[RCP]],COMPROMISOS_2025[[#All],[Total pagado]])</f>
        <v>0</v>
      </c>
      <c r="AM27" s="122">
        <f ca="1">IFERROR(Contrato[[#This Row],[Pagos]]/Contrato[[#This Row],[VALOR CONTRATO]],0)</f>
        <v>0</v>
      </c>
      <c r="AN27" s="160">
        <f ca="1">+Contrato[[#This Row],[VALOR CONTRATO]]-Contrato[[#This Row],[Pagos]]</f>
        <v>36352000</v>
      </c>
      <c r="AO27" s="111" t="e" cm="1">
        <f t="array" aca="1" ref="AO27" ca="1">_xlfn.XLOOKUP(Contrato[[#This Row],[DOCUMENTO ]],PERSONAL_ACTIVO_2025[[#All],[DOCUMENTO]],PERSONAL_ACTIVO_2025[[#All],[email]],0,0)</f>
        <v>#NAME?</v>
      </c>
      <c r="AP27" s="111" t="e" cm="1">
        <f t="array" aca="1" ref="AP27" ca="1">_xlfn.XLOOKUP(Contrato[[#This Row],[DOCUMENTO]],PERSONAL_ACTIVO_2025[[#All],[DOCUMENTO]],PERSONAL_ACTIVO_2025[[#All],[email]],0,0)</f>
        <v>#NAME?</v>
      </c>
      <c r="AQ27" s="111" cm="1">
        <f t="array" aca="1" ref="AQ27" ca="1">IF(ISBLANK(Contrato[[#This Row],[DEPENDENCIA ]]),0,IFERROR(_xlfn.XLOOKUP(Contrato[[#This Row],[DEPENDENCIA ]],#REF!,#REF!,0,0),0))</f>
        <v>0</v>
      </c>
      <c r="AR27" s="553">
        <f ca="1">+_xlfn.DAYS(Contrato[[#This Row],[FECHA TERMINACIÓN ]],TODAY())</f>
        <v>151</v>
      </c>
    </row>
    <row r="28" spans="1:44" s="111" customFormat="1" ht="36" customHeight="1" x14ac:dyDescent="0.25">
      <c r="A28" s="38">
        <v>508</v>
      </c>
      <c r="B28" s="226">
        <v>23</v>
      </c>
      <c r="C28" s="88" t="s">
        <v>717</v>
      </c>
      <c r="D28" s="192" t="s">
        <v>905</v>
      </c>
      <c r="E28" s="193" t="s">
        <v>112</v>
      </c>
      <c r="F28" s="194" t="s">
        <v>113</v>
      </c>
      <c r="G28" s="195" t="s">
        <v>984</v>
      </c>
      <c r="H28" s="167">
        <v>3377434</v>
      </c>
      <c r="I28" s="292">
        <v>7521800</v>
      </c>
      <c r="J28" s="290">
        <v>39614813</v>
      </c>
      <c r="K28" s="246" t="s">
        <v>985</v>
      </c>
      <c r="L28" s="196" t="s">
        <v>958</v>
      </c>
      <c r="M28" s="114" t="s">
        <v>907</v>
      </c>
      <c r="N28" s="113" t="e" cm="1">
        <f t="array" aca="1" ref="N28" ca="1">_xlfn.XLOOKUP(Contrato[[#This Row],[SUPERVISOR TITULAR]],PERSONAL_ACTIVO_2025[[#All],[NOMBRES Y APELLIDOS]],PERSONAL_ACTIVO_2025[[#All],[DOCUMENTO]],"",0)</f>
        <v>#NAME?</v>
      </c>
      <c r="O28" s="114" t="s">
        <v>908</v>
      </c>
      <c r="P28" s="115" t="e" cm="1">
        <f t="array" aca="1" ref="P28" ca="1">_xlfn.XLOOKUP(Contrato[[#This Row],[SUPERVISOR SUPLENTE ]],PERSONAL_ACTIVO_2025[[#All],[NOMBRES Y APELLIDOS]],PERSONAL_ACTIVO_2025[[#All],[DOCUMENTO]],"",0)</f>
        <v>#NAME?</v>
      </c>
      <c r="Q28" s="116">
        <v>44</v>
      </c>
      <c r="R28" s="137" t="e" cm="1">
        <f t="array" aca="1" ref="R28" ca="1">_xlfn.XLOOKUP(Contrato[[#This Row],[CDP]],DISPONIBILIDADES_2025[[#All],[consecutivo]],DISPONIBILIDADES_2025[[#All],[fecha_aprobacion]],"",0)</f>
        <v>#NAME?</v>
      </c>
      <c r="S28" s="92">
        <f>SUMIF(DISPONIBILIDADES_2025[[#All],[consecutivo]],Contrato[[#This Row],[CDP]],DISPONIBILIDADES_2025[[#All],[valor_total_rubro]])</f>
        <v>39614813</v>
      </c>
      <c r="T28" s="118" t="e" cm="1">
        <f t="array" aca="1" ref="T28" ca="1">_xlfn.XLOOKUP(Contrato[[#This Row],[CONTRATO]]&amp;Contrato[[#This Row],[CDP]],Corr_Contr_CDP[[#All],[CONTRATO-CDP]],Corr_Contr_CDP[[#All],[CRP]],_xlfn.XLOOKUP(Contrato[[#This Row],[CDP]],COMPROMISOS_2025[[#All],[disponibilidad]],COMPROMISOS_2025[[#All],[consecutivo]],"",0),0)</f>
        <v>#NAME?</v>
      </c>
      <c r="U28" s="117" t="e" cm="1">
        <f t="array" aca="1" ref="U28" ca="1">+_xlfn.XLOOKUP(Contrato[[#This Row],[RCP]],COMPROMISOS_2025[[#All],[consecutivo]],COMPROMISOS_2025[[#All],[fecha_aprobacion]],"",0)</f>
        <v>#NAME?</v>
      </c>
      <c r="V28" s="93">
        <f ca="1">SUMIF(COMPROMISOS_2025[[#All],[consecutivo]],Contrato[[#This Row],[RCP]],COMPROMISOS_2025[[#All],[valor_total]])</f>
        <v>0</v>
      </c>
      <c r="W28" s="169">
        <v>45700</v>
      </c>
      <c r="X28" s="243" t="s">
        <v>901</v>
      </c>
      <c r="Y28" s="96">
        <v>45700</v>
      </c>
      <c r="Z28" s="161">
        <v>45838</v>
      </c>
      <c r="AA28" s="311" t="s">
        <v>986</v>
      </c>
      <c r="AB28" s="119" t="s">
        <v>920</v>
      </c>
      <c r="AC28" s="112"/>
      <c r="AD28" s="279">
        <v>202000006128</v>
      </c>
      <c r="AE28" s="38"/>
      <c r="AF28" s="120" t="str">
        <f>TEXT(LEFT(Contrato[[#This Row],[CONTRATO]],3),"0")</f>
        <v>23</v>
      </c>
      <c r="AG28" s="120" t="str">
        <f>IF(LEN(Contrato[[#This Row],[Contrato2]])=3,Contrato[[#This Row],[Contrato2]],TEXT(Contrato[[#This Row],[Contrato2]],"000"))</f>
        <v>023</v>
      </c>
      <c r="AH28" s="90">
        <f ca="1">IFERROR(_xlfn.DAYS(Contrato[[#This Row],[Fecha Proyectada liquidación]],TODAY())/30,"")</f>
        <v>5.833333333333333</v>
      </c>
      <c r="AI28" s="121">
        <f>+Contrato[[#This Row],[FECHA TERMINACIÓN ]]+120</f>
        <v>45958</v>
      </c>
      <c r="AJ28" s="89"/>
      <c r="AK28" s="91" t="str">
        <f ca="1">IF(Contrato[[#This Row],[FECHA TERMINACIÓN ]]&lt;TODAY(), "Terminado",IF(ISNUMBER(Contrato[[#This Row],[Fecha Real de liquiidación ]]),"Liquidado",IF(Contrato[[#This Row],[FECHA TERMINACIÓN ]]&gt;=TODAY(),"En ejecución","")))</f>
        <v>En ejecución</v>
      </c>
      <c r="AL28" s="107">
        <f ca="1">SUMIF(COMPROMISOS_2025[[#All],[consecutivo]],Contrato[[#This Row],[RCP]],COMPROMISOS_2025[[#All],[Total pagado]])</f>
        <v>0</v>
      </c>
      <c r="AM28" s="122">
        <f ca="1">IFERROR(Contrato[[#This Row],[Pagos]]/Contrato[[#This Row],[VALOR CONTRATO]],0)</f>
        <v>0</v>
      </c>
      <c r="AN28" s="160">
        <f ca="1">+Contrato[[#This Row],[VALOR CONTRATO]]-Contrato[[#This Row],[Pagos]]</f>
        <v>39614813</v>
      </c>
      <c r="AO28" s="111" t="e" cm="1">
        <f t="array" aca="1" ref="AO28" ca="1">_xlfn.XLOOKUP(Contrato[[#This Row],[DOCUMENTO ]],PERSONAL_ACTIVO_2025[[#All],[DOCUMENTO]],PERSONAL_ACTIVO_2025[[#All],[email]],0,0)</f>
        <v>#NAME?</v>
      </c>
      <c r="AP28" s="111" t="e" cm="1">
        <f t="array" aca="1" ref="AP28" ca="1">_xlfn.XLOOKUP(Contrato[[#This Row],[DOCUMENTO]],PERSONAL_ACTIVO_2025[[#All],[DOCUMENTO]],PERSONAL_ACTIVO_2025[[#All],[email]],0,0)</f>
        <v>#NAME?</v>
      </c>
      <c r="AQ28" s="111" cm="1">
        <f t="array" aca="1" ref="AQ28" ca="1">IF(ISBLANK(Contrato[[#This Row],[DEPENDENCIA ]]),0,IFERROR(_xlfn.XLOOKUP(Contrato[[#This Row],[DEPENDENCIA ]],#REF!,#REF!,0,0),0))</f>
        <v>0</v>
      </c>
      <c r="AR28" s="553">
        <f ca="1">+_xlfn.DAYS(Contrato[[#This Row],[FECHA TERMINACIÓN ]],TODAY())</f>
        <v>55</v>
      </c>
    </row>
    <row r="29" spans="1:44" s="111" customFormat="1" ht="36" customHeight="1" x14ac:dyDescent="0.25">
      <c r="A29" s="38">
        <v>509</v>
      </c>
      <c r="B29" s="226">
        <v>24</v>
      </c>
      <c r="C29" s="88" t="s">
        <v>717</v>
      </c>
      <c r="D29" s="192" t="s">
        <v>905</v>
      </c>
      <c r="E29" s="193" t="s">
        <v>112</v>
      </c>
      <c r="F29" s="194" t="s">
        <v>113</v>
      </c>
      <c r="G29" s="195" t="s">
        <v>987</v>
      </c>
      <c r="H29" s="167">
        <v>1042063929</v>
      </c>
      <c r="I29" s="292">
        <v>7521800</v>
      </c>
      <c r="J29" s="290">
        <v>39614813</v>
      </c>
      <c r="K29" s="246" t="s">
        <v>985</v>
      </c>
      <c r="L29" s="196" t="s">
        <v>958</v>
      </c>
      <c r="M29" s="114" t="s">
        <v>907</v>
      </c>
      <c r="N29" s="113" t="e" cm="1">
        <f t="array" aca="1" ref="N29" ca="1">_xlfn.XLOOKUP(Contrato[[#This Row],[SUPERVISOR TITULAR]],PERSONAL_ACTIVO_2025[[#All],[NOMBRES Y APELLIDOS]],PERSONAL_ACTIVO_2025[[#All],[DOCUMENTO]],"",0)</f>
        <v>#NAME?</v>
      </c>
      <c r="O29" s="114" t="s">
        <v>988</v>
      </c>
      <c r="P29" s="115" t="e" cm="1">
        <f t="array" aca="1" ref="P29" ca="1">_xlfn.XLOOKUP(Contrato[[#This Row],[SUPERVISOR SUPLENTE ]],PERSONAL_ACTIVO_2025[[#All],[NOMBRES Y APELLIDOS]],PERSONAL_ACTIVO_2025[[#All],[DOCUMENTO]],"",0)</f>
        <v>#NAME?</v>
      </c>
      <c r="Q29" s="116">
        <v>41</v>
      </c>
      <c r="R29" s="137" t="e" cm="1">
        <f t="array" aca="1" ref="R29" ca="1">_xlfn.XLOOKUP(Contrato[[#This Row],[CDP]],DISPONIBILIDADES_2025[[#All],[consecutivo]],DISPONIBILIDADES_2025[[#All],[fecha_aprobacion]],"",0)</f>
        <v>#NAME?</v>
      </c>
      <c r="S29" s="92">
        <f>SUMIF(DISPONIBILIDADES_2025[[#All],[consecutivo]],Contrato[[#This Row],[CDP]],DISPONIBILIDADES_2025[[#All],[valor_total_rubro]])</f>
        <v>39614813</v>
      </c>
      <c r="T29" s="118" t="e" cm="1">
        <f t="array" aca="1" ref="T29" ca="1">_xlfn.XLOOKUP(Contrato[[#This Row],[CONTRATO]]&amp;Contrato[[#This Row],[CDP]],Corr_Contr_CDP[[#All],[CONTRATO-CDP]],Corr_Contr_CDP[[#All],[CRP]],_xlfn.XLOOKUP(Contrato[[#This Row],[CDP]],COMPROMISOS_2025[[#All],[disponibilidad]],COMPROMISOS_2025[[#All],[consecutivo]],"",0),0)</f>
        <v>#NAME?</v>
      </c>
      <c r="U29" s="117" t="e" cm="1">
        <f t="array" aca="1" ref="U29" ca="1">+_xlfn.XLOOKUP(Contrato[[#This Row],[RCP]],COMPROMISOS_2025[[#All],[consecutivo]],COMPROMISOS_2025[[#All],[fecha_aprobacion]],"",0)</f>
        <v>#NAME?</v>
      </c>
      <c r="V29" s="93">
        <f ca="1">SUMIF(COMPROMISOS_2025[[#All],[consecutivo]],Contrato[[#This Row],[RCP]],COMPROMISOS_2025[[#All],[valor_total]])</f>
        <v>0</v>
      </c>
      <c r="W29" s="169">
        <v>45698</v>
      </c>
      <c r="X29" s="243" t="s">
        <v>901</v>
      </c>
      <c r="Y29" s="96">
        <v>45699</v>
      </c>
      <c r="Z29" s="161">
        <v>45838</v>
      </c>
      <c r="AA29" s="198" t="s">
        <v>989</v>
      </c>
      <c r="AB29" s="119" t="s">
        <v>920</v>
      </c>
      <c r="AC29" s="112"/>
      <c r="AD29" s="279">
        <v>202000006129</v>
      </c>
      <c r="AE29" s="38" t="s">
        <v>904</v>
      </c>
      <c r="AF29" s="120" t="str">
        <f>TEXT(LEFT(Contrato[[#This Row],[CONTRATO]],3),"0")</f>
        <v>24</v>
      </c>
      <c r="AG29" s="120" t="str">
        <f>IF(LEN(Contrato[[#This Row],[Contrato2]])=3,Contrato[[#This Row],[Contrato2]],TEXT(Contrato[[#This Row],[Contrato2]],"000"))</f>
        <v>024</v>
      </c>
      <c r="AH29" s="90">
        <f ca="1">IFERROR(_xlfn.DAYS(Contrato[[#This Row],[Fecha Proyectada liquidación]],TODAY())/30,"")</f>
        <v>5.833333333333333</v>
      </c>
      <c r="AI29" s="121">
        <f>+Contrato[[#This Row],[FECHA TERMINACIÓN ]]+120</f>
        <v>45958</v>
      </c>
      <c r="AJ29" s="89"/>
      <c r="AK29" s="91" t="str">
        <f ca="1">IF(Contrato[[#This Row],[FECHA TERMINACIÓN ]]&lt;TODAY(), "Terminado",IF(ISNUMBER(Contrato[[#This Row],[Fecha Real de liquiidación ]]),"Liquidado",IF(Contrato[[#This Row],[FECHA TERMINACIÓN ]]&gt;=TODAY(),"En ejecución","")))</f>
        <v>En ejecución</v>
      </c>
      <c r="AL29" s="107">
        <f ca="1">SUMIF(COMPROMISOS_2025[[#All],[consecutivo]],Contrato[[#This Row],[RCP]],COMPROMISOS_2025[[#All],[Total pagado]])</f>
        <v>0</v>
      </c>
      <c r="AM29" s="122">
        <f ca="1">IFERROR(Contrato[[#This Row],[Pagos]]/Contrato[[#This Row],[VALOR CONTRATO]],0)</f>
        <v>0</v>
      </c>
      <c r="AN29" s="160">
        <f ca="1">+Contrato[[#This Row],[VALOR CONTRATO]]-Contrato[[#This Row],[Pagos]]</f>
        <v>39614813</v>
      </c>
      <c r="AO29" s="111" t="e" cm="1">
        <f t="array" aca="1" ref="AO29" ca="1">_xlfn.XLOOKUP(Contrato[[#This Row],[DOCUMENTO ]],PERSONAL_ACTIVO_2025[[#All],[DOCUMENTO]],PERSONAL_ACTIVO_2025[[#All],[email]],0,0)</f>
        <v>#NAME?</v>
      </c>
      <c r="AP29" s="111" t="e" cm="1">
        <f t="array" aca="1" ref="AP29" ca="1">_xlfn.XLOOKUP(Contrato[[#This Row],[DOCUMENTO]],PERSONAL_ACTIVO_2025[[#All],[DOCUMENTO]],PERSONAL_ACTIVO_2025[[#All],[email]],0,0)</f>
        <v>#NAME?</v>
      </c>
      <c r="AQ29" s="111" cm="1">
        <f t="array" aca="1" ref="AQ29" ca="1">IF(ISBLANK(Contrato[[#This Row],[DEPENDENCIA ]]),0,IFERROR(_xlfn.XLOOKUP(Contrato[[#This Row],[DEPENDENCIA ]],#REF!,#REF!,0,0),0))</f>
        <v>0</v>
      </c>
      <c r="AR29" s="553">
        <f ca="1">+_xlfn.DAYS(Contrato[[#This Row],[FECHA TERMINACIÓN ]],TODAY())</f>
        <v>55</v>
      </c>
    </row>
    <row r="30" spans="1:44" s="111" customFormat="1" ht="36" customHeight="1" x14ac:dyDescent="0.25">
      <c r="A30" s="38">
        <v>494</v>
      </c>
      <c r="B30" s="226">
        <v>25</v>
      </c>
      <c r="C30" s="88" t="s">
        <v>717</v>
      </c>
      <c r="D30" s="192" t="s">
        <v>883</v>
      </c>
      <c r="E30" s="193" t="s">
        <v>112</v>
      </c>
      <c r="F30" s="194" t="s">
        <v>113</v>
      </c>
      <c r="G30" s="195" t="s">
        <v>990</v>
      </c>
      <c r="H30" s="167">
        <v>15443567</v>
      </c>
      <c r="I30" s="292">
        <v>9573200</v>
      </c>
      <c r="J30" s="290">
        <v>47866000</v>
      </c>
      <c r="K30" s="158" t="s">
        <v>41</v>
      </c>
      <c r="L30" s="196" t="s">
        <v>913</v>
      </c>
      <c r="M30" s="114" t="s">
        <v>991</v>
      </c>
      <c r="N30" s="113" t="e" cm="1">
        <f t="array" aca="1" ref="N30" ca="1">_xlfn.XLOOKUP(Contrato[[#This Row],[SUPERVISOR TITULAR]],PERSONAL_ACTIVO_2025[[#All],[NOMBRES Y APELLIDOS]],PERSONAL_ACTIVO_2025[[#All],[DOCUMENTO]],"",0)</f>
        <v>#NAME?</v>
      </c>
      <c r="O30" s="114" t="s">
        <v>887</v>
      </c>
      <c r="P30" s="115" t="e" cm="1">
        <f t="array" aca="1" ref="P30" ca="1">_xlfn.XLOOKUP(Contrato[[#This Row],[SUPERVISOR SUPLENTE ]],PERSONAL_ACTIVO_2025[[#All],[NOMBRES Y APELLIDOS]],PERSONAL_ACTIVO_2025[[#All],[DOCUMENTO]],"",0)</f>
        <v>#NAME?</v>
      </c>
      <c r="Q30" s="116">
        <v>15</v>
      </c>
      <c r="R30" s="137" t="e" cm="1">
        <f t="array" aca="1" ref="R30" ca="1">_xlfn.XLOOKUP(Contrato[[#This Row],[CDP]],DISPONIBILIDADES_2025[[#All],[consecutivo]],DISPONIBILIDADES_2025[[#All],[fecha_aprobacion]],"",0)</f>
        <v>#NAME?</v>
      </c>
      <c r="S30" s="92">
        <f>SUMIF(DISPONIBILIDADES_2025[[#All],[consecutivo]],Contrato[[#This Row],[CDP]],DISPONIBILIDADES_2025[[#All],[valor_total_rubro]])</f>
        <v>47866000</v>
      </c>
      <c r="T30" s="118" t="e" cm="1">
        <f t="array" aca="1" ref="T30" ca="1">_xlfn.XLOOKUP(Contrato[[#This Row],[CONTRATO]]&amp;Contrato[[#This Row],[CDP]],Corr_Contr_CDP[[#All],[CONTRATO-CDP]],Corr_Contr_CDP[[#All],[CRP]],_xlfn.XLOOKUP(Contrato[[#This Row],[CDP]],COMPROMISOS_2025[[#All],[disponibilidad]],COMPROMISOS_2025[[#All],[consecutivo]],"",0),0)</f>
        <v>#NAME?</v>
      </c>
      <c r="U30" s="117" t="e" cm="1">
        <f t="array" aca="1" ref="U30" ca="1">+_xlfn.XLOOKUP(Contrato[[#This Row],[RCP]],COMPROMISOS_2025[[#All],[consecutivo]],COMPROMISOS_2025[[#All],[fecha_aprobacion]],"",0)</f>
        <v>#NAME?</v>
      </c>
      <c r="V30" s="93">
        <f ca="1">SUMIF(COMPROMISOS_2025[[#All],[consecutivo]],Contrato[[#This Row],[RCP]],COMPROMISOS_2025[[#All],[valor_total]])</f>
        <v>0</v>
      </c>
      <c r="W30" s="169">
        <v>45691</v>
      </c>
      <c r="X30" s="243" t="s">
        <v>901</v>
      </c>
      <c r="Y30" s="96">
        <v>45692</v>
      </c>
      <c r="Z30" s="161">
        <v>45841</v>
      </c>
      <c r="AA30" s="198" t="s">
        <v>992</v>
      </c>
      <c r="AB30" s="119" t="s">
        <v>920</v>
      </c>
      <c r="AC30" s="112"/>
      <c r="AD30" s="279">
        <v>202000006136</v>
      </c>
      <c r="AE30" s="38" t="s">
        <v>904</v>
      </c>
      <c r="AF30" s="120" t="str">
        <f>TEXT(LEFT(Contrato[[#This Row],[CONTRATO]],3),"0")</f>
        <v>25</v>
      </c>
      <c r="AG30" s="120" t="str">
        <f>IF(LEN(Contrato[[#This Row],[Contrato2]])=3,Contrato[[#This Row],[Contrato2]],TEXT(Contrato[[#This Row],[Contrato2]],"000"))</f>
        <v>025</v>
      </c>
      <c r="AH30" s="90">
        <f ca="1">IFERROR(_xlfn.DAYS(Contrato[[#This Row],[Fecha Proyectada liquidación]],TODAY())/30,"")</f>
        <v>5.9333333333333336</v>
      </c>
      <c r="AI30" s="121">
        <f>+Contrato[[#This Row],[FECHA TERMINACIÓN ]]+120</f>
        <v>45961</v>
      </c>
      <c r="AJ30" s="89"/>
      <c r="AK30" s="91" t="str">
        <f ca="1">IF(Contrato[[#This Row],[FECHA TERMINACIÓN ]]&lt;TODAY(), "Terminado",IF(ISNUMBER(Contrato[[#This Row],[Fecha Real de liquiidación ]]),"Liquidado",IF(Contrato[[#This Row],[FECHA TERMINACIÓN ]]&gt;=TODAY(),"En ejecución","")))</f>
        <v>En ejecución</v>
      </c>
      <c r="AL30" s="107">
        <f ca="1">SUMIF(COMPROMISOS_2025[[#All],[consecutivo]],Contrato[[#This Row],[RCP]],COMPROMISOS_2025[[#All],[Total pagado]])</f>
        <v>0</v>
      </c>
      <c r="AM30" s="122">
        <f ca="1">IFERROR(Contrato[[#This Row],[Pagos]]/Contrato[[#This Row],[VALOR CONTRATO]],0)</f>
        <v>0</v>
      </c>
      <c r="AN30" s="160">
        <f ca="1">+Contrato[[#This Row],[VALOR CONTRATO]]-Contrato[[#This Row],[Pagos]]</f>
        <v>47866000</v>
      </c>
      <c r="AO30" s="111" t="e" cm="1">
        <f t="array" aca="1" ref="AO30" ca="1">_xlfn.XLOOKUP(Contrato[[#This Row],[DOCUMENTO ]],PERSONAL_ACTIVO_2025[[#All],[DOCUMENTO]],PERSONAL_ACTIVO_2025[[#All],[email]],0,0)</f>
        <v>#NAME?</v>
      </c>
      <c r="AP30" s="111" t="e" cm="1">
        <f t="array" aca="1" ref="AP30" ca="1">_xlfn.XLOOKUP(Contrato[[#This Row],[DOCUMENTO]],PERSONAL_ACTIVO_2025[[#All],[DOCUMENTO]],PERSONAL_ACTIVO_2025[[#All],[email]],0,0)</f>
        <v>#NAME?</v>
      </c>
      <c r="AQ30" s="111" cm="1">
        <f t="array" aca="1" ref="AQ30" ca="1">IF(ISBLANK(Contrato[[#This Row],[DEPENDENCIA ]]),0,IFERROR(_xlfn.XLOOKUP(Contrato[[#This Row],[DEPENDENCIA ]],#REF!,#REF!,0,0),0))</f>
        <v>0</v>
      </c>
      <c r="AR30" s="553">
        <f ca="1">+_xlfn.DAYS(Contrato[[#This Row],[FECHA TERMINACIÓN ]],TODAY())</f>
        <v>58</v>
      </c>
    </row>
    <row r="31" spans="1:44" s="111" customFormat="1" ht="36" customHeight="1" x14ac:dyDescent="0.25">
      <c r="A31" s="38">
        <v>109</v>
      </c>
      <c r="B31" s="226">
        <v>26</v>
      </c>
      <c r="C31" s="88" t="s">
        <v>276</v>
      </c>
      <c r="D31" s="192" t="s">
        <v>930</v>
      </c>
      <c r="E31" s="193" t="s">
        <v>112</v>
      </c>
      <c r="F31" s="194" t="s">
        <v>113</v>
      </c>
      <c r="G31" s="195" t="s">
        <v>993</v>
      </c>
      <c r="H31" s="167">
        <v>1017165383</v>
      </c>
      <c r="I31" s="292">
        <v>7521800</v>
      </c>
      <c r="J31" s="290">
        <v>60174400</v>
      </c>
      <c r="K31" s="158" t="s">
        <v>41</v>
      </c>
      <c r="L31" s="196" t="s">
        <v>958</v>
      </c>
      <c r="M31" s="114" t="s">
        <v>980</v>
      </c>
      <c r="N31" s="113" t="e" cm="1">
        <f t="array" aca="1" ref="N31" ca="1">_xlfn.XLOOKUP(Contrato[[#This Row],[SUPERVISOR TITULAR]],PERSONAL_ACTIVO_2025[[#All],[NOMBRES Y APELLIDOS]],PERSONAL_ACTIVO_2025[[#All],[DOCUMENTO]],"",0)</f>
        <v>#NAME?</v>
      </c>
      <c r="O31" s="114" t="s">
        <v>994</v>
      </c>
      <c r="P31" s="115" t="e" cm="1">
        <f t="array" aca="1" ref="P31" ca="1">_xlfn.XLOOKUP(Contrato[[#This Row],[SUPERVISOR SUPLENTE ]],PERSONAL_ACTIVO_2025[[#All],[NOMBRES Y APELLIDOS]],PERSONAL_ACTIVO_2025[[#All],[DOCUMENTO]],"",0)</f>
        <v>#NAME?</v>
      </c>
      <c r="Q31" s="116">
        <v>49</v>
      </c>
      <c r="R31" s="137" t="e" cm="1">
        <f t="array" aca="1" ref="R31" ca="1">_xlfn.XLOOKUP(Contrato[[#This Row],[CDP]],DISPONIBILIDADES_2025[[#All],[consecutivo]],DISPONIBILIDADES_2025[[#All],[fecha_aprobacion]],"",0)</f>
        <v>#NAME?</v>
      </c>
      <c r="S31" s="92">
        <f>SUMIF(DISPONIBILIDADES_2025[[#All],[consecutivo]],Contrato[[#This Row],[CDP]],DISPONIBILIDADES_2025[[#All],[valor_total_rubro]])</f>
        <v>60174400</v>
      </c>
      <c r="T31" s="118" t="e" cm="1">
        <f t="array" aca="1" ref="T31" ca="1">_xlfn.XLOOKUP(Contrato[[#This Row],[CONTRATO]]&amp;Contrato[[#This Row],[CDP]],Corr_Contr_CDP[[#All],[CONTRATO-CDP]],Corr_Contr_CDP[[#All],[CRP]],_xlfn.XLOOKUP(Contrato[[#This Row],[CDP]],COMPROMISOS_2025[[#All],[disponibilidad]],COMPROMISOS_2025[[#All],[consecutivo]],"",0),0)</f>
        <v>#NAME?</v>
      </c>
      <c r="U31" s="117" t="e" cm="1">
        <f t="array" aca="1" ref="U31" ca="1">+_xlfn.XLOOKUP(Contrato[[#This Row],[RCP]],COMPROMISOS_2025[[#All],[consecutivo]],COMPROMISOS_2025[[#All],[fecha_aprobacion]],"",0)</f>
        <v>#NAME?</v>
      </c>
      <c r="V31" s="93">
        <f ca="1">SUMIF(COMPROMISOS_2025[[#All],[consecutivo]],Contrato[[#This Row],[RCP]],COMPROMISOS_2025[[#All],[valor_total]])</f>
        <v>0</v>
      </c>
      <c r="W31" s="169">
        <v>45694</v>
      </c>
      <c r="X31" s="243" t="s">
        <v>901</v>
      </c>
      <c r="Y31" s="96">
        <v>45695</v>
      </c>
      <c r="Z31" s="161">
        <v>45936</v>
      </c>
      <c r="AA31" s="198" t="s">
        <v>995</v>
      </c>
      <c r="AB31" s="119" t="s">
        <v>936</v>
      </c>
      <c r="AC31" s="112"/>
      <c r="AD31" s="279">
        <v>202000006130</v>
      </c>
      <c r="AE31" s="38" t="s">
        <v>904</v>
      </c>
      <c r="AF31" s="120" t="str">
        <f>TEXT(LEFT(Contrato[[#This Row],[CONTRATO]],3),"0")</f>
        <v>26</v>
      </c>
      <c r="AG31" s="120" t="str">
        <f>IF(LEN(Contrato[[#This Row],[Contrato2]])=3,Contrato[[#This Row],[Contrato2]],TEXT(Contrato[[#This Row],[Contrato2]],"000"))</f>
        <v>026</v>
      </c>
      <c r="AH31" s="90">
        <f ca="1">IFERROR(_xlfn.DAYS(Contrato[[#This Row],[Fecha Proyectada liquidación]],TODAY())/30,"")</f>
        <v>9.1</v>
      </c>
      <c r="AI31" s="121">
        <f>+Contrato[[#This Row],[FECHA TERMINACIÓN ]]+120</f>
        <v>46056</v>
      </c>
      <c r="AJ31" s="89"/>
      <c r="AK31" s="91" t="str">
        <f ca="1">IF(Contrato[[#This Row],[FECHA TERMINACIÓN ]]&lt;TODAY(), "Terminado",IF(ISNUMBER(Contrato[[#This Row],[Fecha Real de liquiidación ]]),"Liquidado",IF(Contrato[[#This Row],[FECHA TERMINACIÓN ]]&gt;=TODAY(),"En ejecución","")))</f>
        <v>En ejecución</v>
      </c>
      <c r="AL31" s="107">
        <f ca="1">SUMIF(COMPROMISOS_2025[[#All],[consecutivo]],Contrato[[#This Row],[RCP]],COMPROMISOS_2025[[#All],[Total pagado]])</f>
        <v>0</v>
      </c>
      <c r="AM31" s="122">
        <f ca="1">IFERROR(Contrato[[#This Row],[Pagos]]/Contrato[[#This Row],[VALOR CONTRATO]],0)</f>
        <v>0</v>
      </c>
      <c r="AN31" s="160">
        <f ca="1">+Contrato[[#This Row],[VALOR CONTRATO]]-Contrato[[#This Row],[Pagos]]</f>
        <v>60174400</v>
      </c>
      <c r="AO31" s="111" t="e" cm="1">
        <f t="array" aca="1" ref="AO31" ca="1">_xlfn.XLOOKUP(Contrato[[#This Row],[DOCUMENTO ]],PERSONAL_ACTIVO_2025[[#All],[DOCUMENTO]],PERSONAL_ACTIVO_2025[[#All],[email]],0,0)</f>
        <v>#NAME?</v>
      </c>
      <c r="AP31" s="111" t="e" cm="1">
        <f t="array" aca="1" ref="AP31" ca="1">_xlfn.XLOOKUP(Contrato[[#This Row],[DOCUMENTO]],PERSONAL_ACTIVO_2025[[#All],[DOCUMENTO]],PERSONAL_ACTIVO_2025[[#All],[email]],0,0)</f>
        <v>#NAME?</v>
      </c>
      <c r="AQ31" s="111" cm="1">
        <f t="array" aca="1" ref="AQ31" ca="1">IF(ISBLANK(Contrato[[#This Row],[DEPENDENCIA ]]),0,IFERROR(_xlfn.XLOOKUP(Contrato[[#This Row],[DEPENDENCIA ]],#REF!,#REF!,0,0),0))</f>
        <v>0</v>
      </c>
      <c r="AR31" s="553">
        <f ca="1">+_xlfn.DAYS(Contrato[[#This Row],[FECHA TERMINACIÓN ]],TODAY())</f>
        <v>153</v>
      </c>
    </row>
    <row r="32" spans="1:44" s="111" customFormat="1" ht="36" customHeight="1" x14ac:dyDescent="0.25">
      <c r="A32" s="38">
        <v>111</v>
      </c>
      <c r="B32" s="226">
        <v>27</v>
      </c>
      <c r="C32" s="88" t="s">
        <v>278</v>
      </c>
      <c r="D32" s="192" t="s">
        <v>930</v>
      </c>
      <c r="E32" s="193" t="s">
        <v>112</v>
      </c>
      <c r="F32" s="194" t="s">
        <v>113</v>
      </c>
      <c r="G32" s="195" t="s">
        <v>996</v>
      </c>
      <c r="H32" s="167">
        <v>1037612757</v>
      </c>
      <c r="I32" s="292">
        <v>7521800</v>
      </c>
      <c r="J32" s="290">
        <v>60174400</v>
      </c>
      <c r="K32" s="158" t="s">
        <v>41</v>
      </c>
      <c r="L32" s="196" t="s">
        <v>958</v>
      </c>
      <c r="M32" s="114" t="s">
        <v>980</v>
      </c>
      <c r="N32" s="113" t="e" cm="1">
        <f t="array" aca="1" ref="N32" ca="1">_xlfn.XLOOKUP(Contrato[[#This Row],[SUPERVISOR TITULAR]],PERSONAL_ACTIVO_2025[[#All],[NOMBRES Y APELLIDOS]],PERSONAL_ACTIVO_2025[[#All],[DOCUMENTO]],"",0)</f>
        <v>#NAME?</v>
      </c>
      <c r="O32" s="114" t="s">
        <v>994</v>
      </c>
      <c r="P32" s="115" t="e" cm="1">
        <f t="array" aca="1" ref="P32" ca="1">_xlfn.XLOOKUP(Contrato[[#This Row],[SUPERVISOR SUPLENTE ]],PERSONAL_ACTIVO_2025[[#All],[NOMBRES Y APELLIDOS]],PERSONAL_ACTIVO_2025[[#All],[DOCUMENTO]],"",0)</f>
        <v>#NAME?</v>
      </c>
      <c r="Q32" s="116">
        <v>51</v>
      </c>
      <c r="R32" s="137" t="e" cm="1">
        <f t="array" aca="1" ref="R32" ca="1">_xlfn.XLOOKUP(Contrato[[#This Row],[CDP]],DISPONIBILIDADES_2025[[#All],[consecutivo]],DISPONIBILIDADES_2025[[#All],[fecha_aprobacion]],"",0)</f>
        <v>#NAME?</v>
      </c>
      <c r="S32" s="92">
        <f>SUMIF(DISPONIBILIDADES_2025[[#All],[consecutivo]],Contrato[[#This Row],[CDP]],DISPONIBILIDADES_2025[[#All],[valor_total_rubro]])</f>
        <v>60174400</v>
      </c>
      <c r="T32" s="118" t="e" cm="1">
        <f t="array" aca="1" ref="T32" ca="1">_xlfn.XLOOKUP(Contrato[[#This Row],[CONTRATO]]&amp;Contrato[[#This Row],[CDP]],Corr_Contr_CDP[[#All],[CONTRATO-CDP]],Corr_Contr_CDP[[#All],[CRP]],_xlfn.XLOOKUP(Contrato[[#This Row],[CDP]],COMPROMISOS_2025[[#All],[disponibilidad]],COMPROMISOS_2025[[#All],[consecutivo]],"",0),0)</f>
        <v>#NAME?</v>
      </c>
      <c r="U32" s="117" t="e" cm="1">
        <f t="array" aca="1" ref="U32" ca="1">+_xlfn.XLOOKUP(Contrato[[#This Row],[RCP]],COMPROMISOS_2025[[#All],[consecutivo]],COMPROMISOS_2025[[#All],[fecha_aprobacion]],"",0)</f>
        <v>#NAME?</v>
      </c>
      <c r="V32" s="93">
        <f ca="1">SUMIF(COMPROMISOS_2025[[#All],[consecutivo]],Contrato[[#This Row],[RCP]],COMPROMISOS_2025[[#All],[valor_total]])</f>
        <v>0</v>
      </c>
      <c r="W32" s="169">
        <v>45695</v>
      </c>
      <c r="X32" s="243" t="s">
        <v>901</v>
      </c>
      <c r="Y32" s="96">
        <v>45695</v>
      </c>
      <c r="Z32" s="161">
        <v>45936</v>
      </c>
      <c r="AA32" s="198" t="s">
        <v>997</v>
      </c>
      <c r="AB32" s="119" t="s">
        <v>936</v>
      </c>
      <c r="AC32" s="112"/>
      <c r="AD32" s="279">
        <v>202000006131</v>
      </c>
      <c r="AE32" s="38" t="s">
        <v>904</v>
      </c>
      <c r="AF32" s="120" t="str">
        <f>TEXT(LEFT(Contrato[[#This Row],[CONTRATO]],3),"0")</f>
        <v>27</v>
      </c>
      <c r="AG32" s="120" t="str">
        <f>IF(LEN(Contrato[[#This Row],[Contrato2]])=3,Contrato[[#This Row],[Contrato2]],TEXT(Contrato[[#This Row],[Contrato2]],"000"))</f>
        <v>027</v>
      </c>
      <c r="AH32" s="90">
        <f ca="1">IFERROR(_xlfn.DAYS(Contrato[[#This Row],[Fecha Proyectada liquidación]],TODAY())/30,"")</f>
        <v>9.1</v>
      </c>
      <c r="AI32" s="121">
        <f>+Contrato[[#This Row],[FECHA TERMINACIÓN ]]+120</f>
        <v>46056</v>
      </c>
      <c r="AJ32" s="89"/>
      <c r="AK32" s="91" t="str">
        <f ca="1">IF(Contrato[[#This Row],[FECHA TERMINACIÓN ]]&lt;TODAY(), "Terminado",IF(ISNUMBER(Contrato[[#This Row],[Fecha Real de liquiidación ]]),"Liquidado",IF(Contrato[[#This Row],[FECHA TERMINACIÓN ]]&gt;=TODAY(),"En ejecución","")))</f>
        <v>En ejecución</v>
      </c>
      <c r="AL32" s="107">
        <f ca="1">SUMIF(COMPROMISOS_2025[[#All],[consecutivo]],Contrato[[#This Row],[RCP]],COMPROMISOS_2025[[#All],[Total pagado]])</f>
        <v>0</v>
      </c>
      <c r="AM32" s="122">
        <f ca="1">IFERROR(Contrato[[#This Row],[Pagos]]/Contrato[[#This Row],[VALOR CONTRATO]],0)</f>
        <v>0</v>
      </c>
      <c r="AN32" s="160">
        <f ca="1">+Contrato[[#This Row],[VALOR CONTRATO]]-Contrato[[#This Row],[Pagos]]</f>
        <v>60174400</v>
      </c>
      <c r="AO32" s="111" t="e" cm="1">
        <f t="array" aca="1" ref="AO32" ca="1">_xlfn.XLOOKUP(Contrato[[#This Row],[DOCUMENTO ]],PERSONAL_ACTIVO_2025[[#All],[DOCUMENTO]],PERSONAL_ACTIVO_2025[[#All],[email]],0,0)</f>
        <v>#NAME?</v>
      </c>
      <c r="AP32" s="111" t="e" cm="1">
        <f t="array" aca="1" ref="AP32" ca="1">_xlfn.XLOOKUP(Contrato[[#This Row],[DOCUMENTO]],PERSONAL_ACTIVO_2025[[#All],[DOCUMENTO]],PERSONAL_ACTIVO_2025[[#All],[email]],0,0)</f>
        <v>#NAME?</v>
      </c>
      <c r="AQ32" s="111" cm="1">
        <f t="array" aca="1" ref="AQ32" ca="1">IF(ISBLANK(Contrato[[#This Row],[DEPENDENCIA ]]),0,IFERROR(_xlfn.XLOOKUP(Contrato[[#This Row],[DEPENDENCIA ]],#REF!,#REF!,0,0),0))</f>
        <v>0</v>
      </c>
      <c r="AR32" s="553">
        <f ca="1">+_xlfn.DAYS(Contrato[[#This Row],[FECHA TERMINACIÓN ]],TODAY())</f>
        <v>153</v>
      </c>
    </row>
    <row r="33" spans="1:44" s="111" customFormat="1" ht="36" customHeight="1" x14ac:dyDescent="0.25">
      <c r="A33" s="38">
        <v>503</v>
      </c>
      <c r="B33" s="226">
        <v>28</v>
      </c>
      <c r="C33" s="88" t="s">
        <v>713</v>
      </c>
      <c r="D33" s="192" t="s">
        <v>883</v>
      </c>
      <c r="E33" s="193" t="s">
        <v>112</v>
      </c>
      <c r="F33" s="194" t="s">
        <v>113</v>
      </c>
      <c r="G33" s="195" t="s">
        <v>998</v>
      </c>
      <c r="H33" s="167">
        <v>43105287</v>
      </c>
      <c r="I33" s="292">
        <v>7521800</v>
      </c>
      <c r="J33" s="290">
        <v>37609000</v>
      </c>
      <c r="K33" s="158" t="s">
        <v>41</v>
      </c>
      <c r="L33" s="196" t="s">
        <v>913</v>
      </c>
      <c r="M33" s="114" t="s">
        <v>999</v>
      </c>
      <c r="N33" s="113" t="e" cm="1">
        <f t="array" aca="1" ref="N33" ca="1">_xlfn.XLOOKUP(Contrato[[#This Row],[SUPERVISOR TITULAR]],PERSONAL_ACTIVO_2025[[#All],[NOMBRES Y APELLIDOS]],PERSONAL_ACTIVO_2025[[#All],[DOCUMENTO]],"",0)</f>
        <v>#NAME?</v>
      </c>
      <c r="O33" s="114" t="s">
        <v>915</v>
      </c>
      <c r="P33" s="115" t="e" cm="1">
        <f t="array" aca="1" ref="P33" ca="1">_xlfn.XLOOKUP(Contrato[[#This Row],[SUPERVISOR SUPLENTE ]],PERSONAL_ACTIVO_2025[[#All],[NOMBRES Y APELLIDOS]],PERSONAL_ACTIVO_2025[[#All],[DOCUMENTO]],"",0)</f>
        <v>#NAME?</v>
      </c>
      <c r="Q33" s="116">
        <v>30</v>
      </c>
      <c r="R33" s="137" t="e" cm="1">
        <f t="array" aca="1" ref="R33" ca="1">_xlfn.XLOOKUP(Contrato[[#This Row],[CDP]],DISPONIBILIDADES_2025[[#All],[consecutivo]],DISPONIBILIDADES_2025[[#All],[fecha_aprobacion]],"",0)</f>
        <v>#NAME?</v>
      </c>
      <c r="S33" s="92">
        <f>SUMIF(DISPONIBILIDADES_2025[[#All],[consecutivo]],Contrato[[#This Row],[CDP]],DISPONIBILIDADES_2025[[#All],[valor_total_rubro]])</f>
        <v>37609000</v>
      </c>
      <c r="T33" s="118" t="e" cm="1">
        <f t="array" aca="1" ref="T33" ca="1">_xlfn.XLOOKUP(Contrato[[#This Row],[CONTRATO]]&amp;Contrato[[#This Row],[CDP]],Corr_Contr_CDP[[#All],[CONTRATO-CDP]],Corr_Contr_CDP[[#All],[CRP]],_xlfn.XLOOKUP(Contrato[[#This Row],[CDP]],COMPROMISOS_2025[[#All],[disponibilidad]],COMPROMISOS_2025[[#All],[consecutivo]],"",0),0)</f>
        <v>#NAME?</v>
      </c>
      <c r="U33" s="117" t="e" cm="1">
        <f t="array" aca="1" ref="U33" ca="1">+_xlfn.XLOOKUP(Contrato[[#This Row],[RCP]],COMPROMISOS_2025[[#All],[consecutivo]],COMPROMISOS_2025[[#All],[fecha_aprobacion]],"",0)</f>
        <v>#NAME?</v>
      </c>
      <c r="V33" s="93">
        <f ca="1">SUMIF(COMPROMISOS_2025[[#All],[consecutivo]],Contrato[[#This Row],[RCP]],COMPROMISOS_2025[[#All],[valor_total]])</f>
        <v>0</v>
      </c>
      <c r="W33" s="169">
        <v>45693</v>
      </c>
      <c r="X33" s="243" t="s">
        <v>901</v>
      </c>
      <c r="Y33" s="96">
        <v>45693</v>
      </c>
      <c r="Z33" s="161">
        <v>45843</v>
      </c>
      <c r="AA33" s="198" t="s">
        <v>1000</v>
      </c>
      <c r="AB33" s="119" t="s">
        <v>920</v>
      </c>
      <c r="AC33" s="112"/>
      <c r="AD33" s="279">
        <v>202000006132</v>
      </c>
      <c r="AE33" s="38" t="s">
        <v>904</v>
      </c>
      <c r="AF33" s="120" t="str">
        <f>TEXT(LEFT(Contrato[[#This Row],[CONTRATO]],3),"0")</f>
        <v>28</v>
      </c>
      <c r="AG33" s="120" t="str">
        <f>IF(LEN(Contrato[[#This Row],[Contrato2]])=3,Contrato[[#This Row],[Contrato2]],TEXT(Contrato[[#This Row],[Contrato2]],"000"))</f>
        <v>028</v>
      </c>
      <c r="AH33" s="90">
        <f ca="1">IFERROR(_xlfn.DAYS(Contrato[[#This Row],[Fecha Proyectada liquidación]],TODAY())/30,"")</f>
        <v>6</v>
      </c>
      <c r="AI33" s="121">
        <f>+Contrato[[#This Row],[FECHA TERMINACIÓN ]]+120</f>
        <v>45963</v>
      </c>
      <c r="AJ33" s="89"/>
      <c r="AK33" s="91" t="str">
        <f ca="1">IF(Contrato[[#This Row],[FECHA TERMINACIÓN ]]&lt;TODAY(), "Terminado",IF(ISNUMBER(Contrato[[#This Row],[Fecha Real de liquiidación ]]),"Liquidado",IF(Contrato[[#This Row],[FECHA TERMINACIÓN ]]&gt;=TODAY(),"En ejecución","")))</f>
        <v>En ejecución</v>
      </c>
      <c r="AL33" s="107">
        <f ca="1">SUMIF(COMPROMISOS_2025[[#All],[consecutivo]],Contrato[[#This Row],[RCP]],COMPROMISOS_2025[[#All],[Total pagado]])</f>
        <v>0</v>
      </c>
      <c r="AM33" s="122">
        <f ca="1">IFERROR(Contrato[[#This Row],[Pagos]]/Contrato[[#This Row],[VALOR CONTRATO]],0)</f>
        <v>0</v>
      </c>
      <c r="AN33" s="160">
        <f ca="1">+Contrato[[#This Row],[VALOR CONTRATO]]-Contrato[[#This Row],[Pagos]]</f>
        <v>37609000</v>
      </c>
      <c r="AO33" s="111" t="e" cm="1">
        <f t="array" aca="1" ref="AO33" ca="1">_xlfn.XLOOKUP(Contrato[[#This Row],[DOCUMENTO ]],PERSONAL_ACTIVO_2025[[#All],[DOCUMENTO]],PERSONAL_ACTIVO_2025[[#All],[email]],0,0)</f>
        <v>#NAME?</v>
      </c>
      <c r="AP33" s="111" t="e" cm="1">
        <f t="array" aca="1" ref="AP33" ca="1">_xlfn.XLOOKUP(Contrato[[#This Row],[DOCUMENTO]],PERSONAL_ACTIVO_2025[[#All],[DOCUMENTO]],PERSONAL_ACTIVO_2025[[#All],[email]],0,0)</f>
        <v>#NAME?</v>
      </c>
      <c r="AQ33" s="111" cm="1">
        <f t="array" aca="1" ref="AQ33" ca="1">IF(ISBLANK(Contrato[[#This Row],[DEPENDENCIA ]]),0,IFERROR(_xlfn.XLOOKUP(Contrato[[#This Row],[DEPENDENCIA ]],#REF!,#REF!,0,0),0))</f>
        <v>0</v>
      </c>
      <c r="AR33" s="553">
        <f ca="1">+_xlfn.DAYS(Contrato[[#This Row],[FECHA TERMINACIÓN ]],TODAY())</f>
        <v>60</v>
      </c>
    </row>
    <row r="34" spans="1:44" s="111" customFormat="1" ht="36" customHeight="1" x14ac:dyDescent="0.25">
      <c r="A34" s="38">
        <v>217</v>
      </c>
      <c r="B34" s="226">
        <v>29</v>
      </c>
      <c r="C34" s="88" t="s">
        <v>407</v>
      </c>
      <c r="D34" s="192" t="s">
        <v>911</v>
      </c>
      <c r="E34" s="193" t="s">
        <v>112</v>
      </c>
      <c r="F34" s="194" t="s">
        <v>113</v>
      </c>
      <c r="G34" s="195" t="s">
        <v>1001</v>
      </c>
      <c r="H34" s="167">
        <v>1048017635</v>
      </c>
      <c r="I34" s="292">
        <v>7521800</v>
      </c>
      <c r="J34" s="290">
        <v>75218000</v>
      </c>
      <c r="K34" s="158" t="s">
        <v>41</v>
      </c>
      <c r="L34" s="196" t="s">
        <v>1002</v>
      </c>
      <c r="M34" s="114" t="s">
        <v>939</v>
      </c>
      <c r="N34" s="113" t="e" cm="1">
        <f t="array" aca="1" ref="N34" ca="1">_xlfn.XLOOKUP(Contrato[[#This Row],[SUPERVISOR TITULAR]],PERSONAL_ACTIVO_2025[[#All],[NOMBRES Y APELLIDOS]],PERSONAL_ACTIVO_2025[[#All],[DOCUMENTO]],"",0)</f>
        <v>#NAME?</v>
      </c>
      <c r="O34" s="114" t="s">
        <v>943</v>
      </c>
      <c r="P34" s="115" t="e" cm="1">
        <f t="array" aca="1" ref="P34" ca="1">_xlfn.XLOOKUP(Contrato[[#This Row],[SUPERVISOR SUPLENTE ]],PERSONAL_ACTIVO_2025[[#All],[NOMBRES Y APELLIDOS]],PERSONAL_ACTIVO_2025[[#All],[DOCUMENTO]],"",0)</f>
        <v>#NAME?</v>
      </c>
      <c r="Q34" s="116">
        <v>67</v>
      </c>
      <c r="R34" s="137" t="e" cm="1">
        <f t="array" aca="1" ref="R34" ca="1">_xlfn.XLOOKUP(Contrato[[#This Row],[CDP]],DISPONIBILIDADES_2025[[#All],[consecutivo]],DISPONIBILIDADES_2025[[#All],[fecha_aprobacion]],"",0)</f>
        <v>#NAME?</v>
      </c>
      <c r="S34" s="92">
        <f>SUMIF(DISPONIBILIDADES_2025[[#All],[consecutivo]],Contrato[[#This Row],[CDP]],DISPONIBILIDADES_2025[[#All],[valor_total_rubro]])</f>
        <v>75218000</v>
      </c>
      <c r="T34" s="118" t="e" cm="1">
        <f t="array" aca="1" ref="T34" ca="1">_xlfn.XLOOKUP(Contrato[[#This Row],[CONTRATO]]&amp;Contrato[[#This Row],[CDP]],Corr_Contr_CDP[[#All],[CONTRATO-CDP]],Corr_Contr_CDP[[#All],[CRP]],_xlfn.XLOOKUP(Contrato[[#This Row],[CDP]],COMPROMISOS_2025[[#All],[disponibilidad]],COMPROMISOS_2025[[#All],[consecutivo]],"",0),0)</f>
        <v>#NAME?</v>
      </c>
      <c r="U34" s="117" t="e" cm="1">
        <f t="array" aca="1" ref="U34" ca="1">+_xlfn.XLOOKUP(Contrato[[#This Row],[RCP]],COMPROMISOS_2025[[#All],[consecutivo]],COMPROMISOS_2025[[#All],[fecha_aprobacion]],"",0)</f>
        <v>#NAME?</v>
      </c>
      <c r="V34" s="93">
        <f ca="1">SUMIF(COMPROMISOS_2025[[#All],[consecutivo]],Contrato[[#This Row],[RCP]],COMPROMISOS_2025[[#All],[valor_total]])</f>
        <v>0</v>
      </c>
      <c r="W34" s="169">
        <v>45695</v>
      </c>
      <c r="X34" s="243" t="s">
        <v>901</v>
      </c>
      <c r="Y34" s="96">
        <v>45695</v>
      </c>
      <c r="Z34" s="161">
        <v>45997</v>
      </c>
      <c r="AA34" s="198" t="s">
        <v>1003</v>
      </c>
      <c r="AB34" s="119" t="s">
        <v>1004</v>
      </c>
      <c r="AC34" s="112"/>
      <c r="AD34" s="279">
        <v>202000006133</v>
      </c>
      <c r="AE34" s="38" t="s">
        <v>904</v>
      </c>
      <c r="AF34" s="120" t="str">
        <f>TEXT(LEFT(Contrato[[#This Row],[CONTRATO]],3),"0")</f>
        <v>29</v>
      </c>
      <c r="AG34" s="120" t="str">
        <f>IF(LEN(Contrato[[#This Row],[Contrato2]])=3,Contrato[[#This Row],[Contrato2]],TEXT(Contrato[[#This Row],[Contrato2]],"000"))</f>
        <v>029</v>
      </c>
      <c r="AH34" s="90">
        <f ca="1">IFERROR(_xlfn.DAYS(Contrato[[#This Row],[Fecha Proyectada liquidación]],TODAY())/30,"")</f>
        <v>11.133333333333333</v>
      </c>
      <c r="AI34" s="121">
        <f>+Contrato[[#This Row],[FECHA TERMINACIÓN ]]+120</f>
        <v>46117</v>
      </c>
      <c r="AJ34" s="89"/>
      <c r="AK34" s="91" t="str">
        <f ca="1">IF(Contrato[[#This Row],[FECHA TERMINACIÓN ]]&lt;TODAY(), "Terminado",IF(ISNUMBER(Contrato[[#This Row],[Fecha Real de liquiidación ]]),"Liquidado",IF(Contrato[[#This Row],[FECHA TERMINACIÓN ]]&gt;=TODAY(),"En ejecución","")))</f>
        <v>En ejecución</v>
      </c>
      <c r="AL34" s="107">
        <f ca="1">SUMIF(COMPROMISOS_2025[[#All],[consecutivo]],Contrato[[#This Row],[RCP]],COMPROMISOS_2025[[#All],[Total pagado]])</f>
        <v>0</v>
      </c>
      <c r="AM34" s="122">
        <f ca="1">IFERROR(Contrato[[#This Row],[Pagos]]/Contrato[[#This Row],[VALOR CONTRATO]],0)</f>
        <v>0</v>
      </c>
      <c r="AN34" s="160">
        <f ca="1">+Contrato[[#This Row],[VALOR CONTRATO]]-Contrato[[#This Row],[Pagos]]</f>
        <v>75218000</v>
      </c>
      <c r="AO34" s="111" t="e" cm="1">
        <f t="array" aca="1" ref="AO34" ca="1">_xlfn.XLOOKUP(Contrato[[#This Row],[DOCUMENTO ]],PERSONAL_ACTIVO_2025[[#All],[DOCUMENTO]],PERSONAL_ACTIVO_2025[[#All],[email]],0,0)</f>
        <v>#NAME?</v>
      </c>
      <c r="AP34" s="111" t="e" cm="1">
        <f t="array" aca="1" ref="AP34" ca="1">_xlfn.XLOOKUP(Contrato[[#This Row],[DOCUMENTO]],PERSONAL_ACTIVO_2025[[#All],[DOCUMENTO]],PERSONAL_ACTIVO_2025[[#All],[email]],0,0)</f>
        <v>#NAME?</v>
      </c>
      <c r="AQ34" s="111" cm="1">
        <f t="array" aca="1" ref="AQ34" ca="1">IF(ISBLANK(Contrato[[#This Row],[DEPENDENCIA ]]),0,IFERROR(_xlfn.XLOOKUP(Contrato[[#This Row],[DEPENDENCIA ]],#REF!,#REF!,0,0),0))</f>
        <v>0</v>
      </c>
      <c r="AR34" s="553">
        <f ca="1">+_xlfn.DAYS(Contrato[[#This Row],[FECHA TERMINACIÓN ]],TODAY())</f>
        <v>214</v>
      </c>
    </row>
    <row r="35" spans="1:44" s="111" customFormat="1" ht="36" customHeight="1" x14ac:dyDescent="0.25">
      <c r="A35" s="38">
        <v>464</v>
      </c>
      <c r="B35" s="226">
        <v>30</v>
      </c>
      <c r="C35" s="88" t="s">
        <v>667</v>
      </c>
      <c r="D35" s="192" t="s">
        <v>911</v>
      </c>
      <c r="E35" s="193" t="s">
        <v>112</v>
      </c>
      <c r="F35" s="194" t="s">
        <v>113</v>
      </c>
      <c r="G35" s="195" t="s">
        <v>1005</v>
      </c>
      <c r="H35" s="167">
        <v>1001478996</v>
      </c>
      <c r="I35" s="292">
        <v>4102800</v>
      </c>
      <c r="J35" s="290">
        <v>41028000</v>
      </c>
      <c r="K35" s="158" t="s">
        <v>41</v>
      </c>
      <c r="L35" s="196" t="s">
        <v>1002</v>
      </c>
      <c r="M35" s="114" t="s">
        <v>1006</v>
      </c>
      <c r="N35" s="113" t="e" cm="1">
        <f t="array" aca="1" ref="N35" ca="1">_xlfn.XLOOKUP(Contrato[[#This Row],[SUPERVISOR TITULAR]],PERSONAL_ACTIVO_2025[[#All],[NOMBRES Y APELLIDOS]],PERSONAL_ACTIVO_2025[[#All],[DOCUMENTO]],"",0)</f>
        <v>#NAME?</v>
      </c>
      <c r="O35" s="114" t="s">
        <v>1007</v>
      </c>
      <c r="P35" s="115" t="e" cm="1">
        <f t="array" aca="1" ref="P35" ca="1">_xlfn.XLOOKUP(Contrato[[#This Row],[SUPERVISOR SUPLENTE ]],PERSONAL_ACTIVO_2025[[#All],[NOMBRES Y APELLIDOS]],PERSONAL_ACTIVO_2025[[#All],[DOCUMENTO]],"",0)</f>
        <v>#NAME?</v>
      </c>
      <c r="Q35" s="116">
        <v>70</v>
      </c>
      <c r="R35" s="137" t="e" cm="1">
        <f t="array" aca="1" ref="R35" ca="1">_xlfn.XLOOKUP(Contrato[[#This Row],[CDP]],DISPONIBILIDADES_2025[[#All],[consecutivo]],DISPONIBILIDADES_2025[[#All],[fecha_aprobacion]],"",0)</f>
        <v>#NAME?</v>
      </c>
      <c r="S35" s="92">
        <f>SUMIF(DISPONIBILIDADES_2025[[#All],[consecutivo]],Contrato[[#This Row],[CDP]],DISPONIBILIDADES_2025[[#All],[valor_total_rubro]])</f>
        <v>41028000</v>
      </c>
      <c r="T35" s="118" t="e" cm="1">
        <f t="array" aca="1" ref="T35" ca="1">_xlfn.XLOOKUP(Contrato[[#This Row],[CONTRATO]]&amp;Contrato[[#This Row],[CDP]],Corr_Contr_CDP[[#All],[CONTRATO-CDP]],Corr_Contr_CDP[[#All],[CRP]],_xlfn.XLOOKUP(Contrato[[#This Row],[CDP]],COMPROMISOS_2025[[#All],[disponibilidad]],COMPROMISOS_2025[[#All],[consecutivo]],"",0),0)</f>
        <v>#NAME?</v>
      </c>
      <c r="U35" s="117" t="e" cm="1">
        <f t="array" aca="1" ref="U35" ca="1">+_xlfn.XLOOKUP(Contrato[[#This Row],[RCP]],COMPROMISOS_2025[[#All],[consecutivo]],COMPROMISOS_2025[[#All],[fecha_aprobacion]],"",0)</f>
        <v>#NAME?</v>
      </c>
      <c r="V35" s="93">
        <f ca="1">SUMIF(COMPROMISOS_2025[[#All],[consecutivo]],Contrato[[#This Row],[RCP]],COMPROMISOS_2025[[#All],[valor_total]])</f>
        <v>0</v>
      </c>
      <c r="W35" s="169">
        <v>45695</v>
      </c>
      <c r="X35" s="243" t="s">
        <v>901</v>
      </c>
      <c r="Y35" s="96">
        <v>45695</v>
      </c>
      <c r="Z35" s="161">
        <v>45997</v>
      </c>
      <c r="AA35" s="311" t="s">
        <v>1008</v>
      </c>
      <c r="AB35" s="119" t="s">
        <v>1004</v>
      </c>
      <c r="AC35" s="112"/>
      <c r="AD35" s="279">
        <v>202000006134</v>
      </c>
      <c r="AE35" s="38"/>
      <c r="AF35" s="120" t="str">
        <f>TEXT(LEFT(Contrato[[#This Row],[CONTRATO]],3),"0")</f>
        <v>30</v>
      </c>
      <c r="AG35" s="120" t="str">
        <f>IF(LEN(Contrato[[#This Row],[Contrato2]])=3,Contrato[[#This Row],[Contrato2]],TEXT(Contrato[[#This Row],[Contrato2]],"000"))</f>
        <v>030</v>
      </c>
      <c r="AH35" s="90">
        <f ca="1">IFERROR(_xlfn.DAYS(Contrato[[#This Row],[Fecha Proyectada liquidación]],TODAY())/30,"")</f>
        <v>11.133333333333333</v>
      </c>
      <c r="AI35" s="121">
        <f>+Contrato[[#This Row],[FECHA TERMINACIÓN ]]+120</f>
        <v>46117</v>
      </c>
      <c r="AJ35" s="89"/>
      <c r="AK35" s="91" t="str">
        <f ca="1">IF(Contrato[[#This Row],[FECHA TERMINACIÓN ]]&lt;TODAY(), "Terminado",IF(ISNUMBER(Contrato[[#This Row],[Fecha Real de liquiidación ]]),"Liquidado",IF(Contrato[[#This Row],[FECHA TERMINACIÓN ]]&gt;=TODAY(),"En ejecución","")))</f>
        <v>En ejecución</v>
      </c>
      <c r="AL35" s="107">
        <f ca="1">SUMIF(COMPROMISOS_2025[[#All],[consecutivo]],Contrato[[#This Row],[RCP]],COMPROMISOS_2025[[#All],[Total pagado]])</f>
        <v>0</v>
      </c>
      <c r="AM35" s="122">
        <f ca="1">IFERROR(Contrato[[#This Row],[Pagos]]/Contrato[[#This Row],[VALOR CONTRATO]],0)</f>
        <v>0</v>
      </c>
      <c r="AN35" s="160">
        <f ca="1">+Contrato[[#This Row],[VALOR CONTRATO]]-Contrato[[#This Row],[Pagos]]</f>
        <v>41028000</v>
      </c>
      <c r="AO35" s="111" t="e" cm="1">
        <f t="array" aca="1" ref="AO35" ca="1">_xlfn.XLOOKUP(Contrato[[#This Row],[DOCUMENTO ]],PERSONAL_ACTIVO_2025[[#All],[DOCUMENTO]],PERSONAL_ACTIVO_2025[[#All],[email]],0,0)</f>
        <v>#NAME?</v>
      </c>
      <c r="AP35" s="111" t="e" cm="1">
        <f t="array" aca="1" ref="AP35" ca="1">_xlfn.XLOOKUP(Contrato[[#This Row],[DOCUMENTO]],PERSONAL_ACTIVO_2025[[#All],[DOCUMENTO]],PERSONAL_ACTIVO_2025[[#All],[email]],0,0)</f>
        <v>#NAME?</v>
      </c>
      <c r="AQ35" s="111" cm="1">
        <f t="array" aca="1" ref="AQ35" ca="1">IF(ISBLANK(Contrato[[#This Row],[DEPENDENCIA ]]),0,IFERROR(_xlfn.XLOOKUP(Contrato[[#This Row],[DEPENDENCIA ]],#REF!,#REF!,0,0),0))</f>
        <v>0</v>
      </c>
      <c r="AR35" s="553">
        <f ca="1">+_xlfn.DAYS(Contrato[[#This Row],[FECHA TERMINACIÓN ]],TODAY())</f>
        <v>214</v>
      </c>
    </row>
    <row r="36" spans="1:44" s="111" customFormat="1" ht="36" customHeight="1" x14ac:dyDescent="0.25">
      <c r="A36" s="38">
        <v>218</v>
      </c>
      <c r="B36" s="226">
        <v>31</v>
      </c>
      <c r="C36" s="88" t="s">
        <v>408</v>
      </c>
      <c r="D36" s="192" t="s">
        <v>911</v>
      </c>
      <c r="E36" s="193" t="s">
        <v>112</v>
      </c>
      <c r="F36" s="194" t="s">
        <v>113</v>
      </c>
      <c r="G36" s="195" t="s">
        <v>1009</v>
      </c>
      <c r="H36" s="167">
        <v>1127802529</v>
      </c>
      <c r="I36" s="292">
        <v>7521800</v>
      </c>
      <c r="J36" s="290">
        <v>75218000</v>
      </c>
      <c r="K36" s="158" t="s">
        <v>41</v>
      </c>
      <c r="L36" s="196" t="s">
        <v>1002</v>
      </c>
      <c r="M36" s="114" t="s">
        <v>943</v>
      </c>
      <c r="N36" s="113" t="e" cm="1">
        <f t="array" aca="1" ref="N36" ca="1">_xlfn.XLOOKUP(Contrato[[#This Row],[SUPERVISOR TITULAR]],PERSONAL_ACTIVO_2025[[#All],[NOMBRES Y APELLIDOS]],PERSONAL_ACTIVO_2025[[#All],[DOCUMENTO]],"",0)</f>
        <v>#NAME?</v>
      </c>
      <c r="O36" s="114" t="s">
        <v>939</v>
      </c>
      <c r="P36" s="115" t="e" cm="1">
        <f t="array" aca="1" ref="P36" ca="1">_xlfn.XLOOKUP(Contrato[[#This Row],[SUPERVISOR SUPLENTE ]],PERSONAL_ACTIVO_2025[[#All],[NOMBRES Y APELLIDOS]],PERSONAL_ACTIVO_2025[[#All],[DOCUMENTO]],"",0)</f>
        <v>#NAME?</v>
      </c>
      <c r="Q36" s="116">
        <v>68</v>
      </c>
      <c r="R36" s="137" t="e" cm="1">
        <f t="array" aca="1" ref="R36" ca="1">_xlfn.XLOOKUP(Contrato[[#This Row],[CDP]],DISPONIBILIDADES_2025[[#All],[consecutivo]],DISPONIBILIDADES_2025[[#All],[fecha_aprobacion]],"",0)</f>
        <v>#NAME?</v>
      </c>
      <c r="S36" s="92">
        <f>SUMIF(DISPONIBILIDADES_2025[[#All],[consecutivo]],Contrato[[#This Row],[CDP]],DISPONIBILIDADES_2025[[#All],[valor_total_rubro]])</f>
        <v>75218000</v>
      </c>
      <c r="T36" s="118" t="e" cm="1">
        <f t="array" aca="1" ref="T36" ca="1">_xlfn.XLOOKUP(Contrato[[#This Row],[CONTRATO]]&amp;Contrato[[#This Row],[CDP]],Corr_Contr_CDP[[#All],[CONTRATO-CDP]],Corr_Contr_CDP[[#All],[CRP]],_xlfn.XLOOKUP(Contrato[[#This Row],[CDP]],COMPROMISOS_2025[[#All],[disponibilidad]],COMPROMISOS_2025[[#All],[consecutivo]],"",0),0)</f>
        <v>#NAME?</v>
      </c>
      <c r="U36" s="117" t="e" cm="1">
        <f t="array" aca="1" ref="U36" ca="1">+_xlfn.XLOOKUP(Contrato[[#This Row],[RCP]],COMPROMISOS_2025[[#All],[consecutivo]],COMPROMISOS_2025[[#All],[fecha_aprobacion]],"",0)</f>
        <v>#NAME?</v>
      </c>
      <c r="V36" s="93">
        <f ca="1">SUMIF(COMPROMISOS_2025[[#All],[consecutivo]],Contrato[[#This Row],[RCP]],COMPROMISOS_2025[[#All],[valor_total]])</f>
        <v>0</v>
      </c>
      <c r="W36" s="169">
        <v>45695</v>
      </c>
      <c r="X36" s="243" t="s">
        <v>901</v>
      </c>
      <c r="Y36" s="96">
        <v>45695</v>
      </c>
      <c r="Z36" s="161">
        <v>45997</v>
      </c>
      <c r="AA36" s="198" t="s">
        <v>1003</v>
      </c>
      <c r="AB36" s="119" t="s">
        <v>1004</v>
      </c>
      <c r="AC36" s="112"/>
      <c r="AD36" s="279">
        <v>202000006137</v>
      </c>
      <c r="AE36" s="38" t="s">
        <v>904</v>
      </c>
      <c r="AF36" s="120" t="str">
        <f>TEXT(LEFT(Contrato[[#This Row],[CONTRATO]],3),"0")</f>
        <v>31</v>
      </c>
      <c r="AG36" s="120" t="str">
        <f>IF(LEN(Contrato[[#This Row],[Contrato2]])=3,Contrato[[#This Row],[Contrato2]],TEXT(Contrato[[#This Row],[Contrato2]],"000"))</f>
        <v>031</v>
      </c>
      <c r="AH36" s="90">
        <f ca="1">IFERROR(_xlfn.DAYS(Contrato[[#This Row],[Fecha Proyectada liquidación]],TODAY())/30,"")</f>
        <v>11.133333333333333</v>
      </c>
      <c r="AI36" s="121">
        <f>+Contrato[[#This Row],[FECHA TERMINACIÓN ]]+120</f>
        <v>46117</v>
      </c>
      <c r="AJ36" s="89"/>
      <c r="AK36" s="91" t="str">
        <f ca="1">IF(Contrato[[#This Row],[FECHA TERMINACIÓN ]]&lt;TODAY(), "Terminado",IF(ISNUMBER(Contrato[[#This Row],[Fecha Real de liquiidación ]]),"Liquidado",IF(Contrato[[#This Row],[FECHA TERMINACIÓN ]]&gt;=TODAY(),"En ejecución","")))</f>
        <v>En ejecución</v>
      </c>
      <c r="AL36" s="107">
        <f ca="1">SUMIF(COMPROMISOS_2025[[#All],[consecutivo]],Contrato[[#This Row],[RCP]],COMPROMISOS_2025[[#All],[Total pagado]])</f>
        <v>0</v>
      </c>
      <c r="AM36" s="122">
        <f ca="1">IFERROR(Contrato[[#This Row],[Pagos]]/Contrato[[#This Row],[VALOR CONTRATO]],0)</f>
        <v>0</v>
      </c>
      <c r="AN36" s="160">
        <f ca="1">+Contrato[[#This Row],[VALOR CONTRATO]]-Contrato[[#This Row],[Pagos]]</f>
        <v>75218000</v>
      </c>
      <c r="AO36" s="111" t="e" cm="1">
        <f t="array" aca="1" ref="AO36" ca="1">_xlfn.XLOOKUP(Contrato[[#This Row],[DOCUMENTO ]],PERSONAL_ACTIVO_2025[[#All],[DOCUMENTO]],PERSONAL_ACTIVO_2025[[#All],[email]],0,0)</f>
        <v>#NAME?</v>
      </c>
      <c r="AP36" s="111" t="e" cm="1">
        <f t="array" aca="1" ref="AP36" ca="1">_xlfn.XLOOKUP(Contrato[[#This Row],[DOCUMENTO]],PERSONAL_ACTIVO_2025[[#All],[DOCUMENTO]],PERSONAL_ACTIVO_2025[[#All],[email]],0,0)</f>
        <v>#NAME?</v>
      </c>
      <c r="AQ36" s="111" cm="1">
        <f t="array" aca="1" ref="AQ36" ca="1">IF(ISBLANK(Contrato[[#This Row],[DEPENDENCIA ]]),0,IFERROR(_xlfn.XLOOKUP(Contrato[[#This Row],[DEPENDENCIA ]],#REF!,#REF!,0,0),0))</f>
        <v>0</v>
      </c>
      <c r="AR36" s="553">
        <f ca="1">+_xlfn.DAYS(Contrato[[#This Row],[FECHA TERMINACIÓN ]],TODAY())</f>
        <v>214</v>
      </c>
    </row>
    <row r="37" spans="1:44" s="111" customFormat="1" ht="36" customHeight="1" x14ac:dyDescent="0.25">
      <c r="A37" s="38">
        <v>215</v>
      </c>
      <c r="B37" s="226">
        <v>32</v>
      </c>
      <c r="C37" s="88" t="s">
        <v>404</v>
      </c>
      <c r="D37" s="192" t="s">
        <v>911</v>
      </c>
      <c r="E37" s="193" t="s">
        <v>112</v>
      </c>
      <c r="F37" s="194" t="s">
        <v>113</v>
      </c>
      <c r="G37" s="195" t="s">
        <v>1010</v>
      </c>
      <c r="H37" s="167">
        <v>1035920530</v>
      </c>
      <c r="I37" s="292">
        <v>7521800</v>
      </c>
      <c r="J37" s="290">
        <v>75218000</v>
      </c>
      <c r="K37" s="158" t="s">
        <v>41</v>
      </c>
      <c r="L37" s="196" t="s">
        <v>1002</v>
      </c>
      <c r="M37" s="114" t="s">
        <v>939</v>
      </c>
      <c r="N37" s="113" t="e" cm="1">
        <f t="array" aca="1" ref="N37" ca="1">_xlfn.XLOOKUP(Contrato[[#This Row],[SUPERVISOR TITULAR]],PERSONAL_ACTIVO_2025[[#All],[NOMBRES Y APELLIDOS]],PERSONAL_ACTIVO_2025[[#All],[DOCUMENTO]],"",0)</f>
        <v>#NAME?</v>
      </c>
      <c r="O37" s="114" t="s">
        <v>943</v>
      </c>
      <c r="P37" s="115" t="e" cm="1">
        <f t="array" aca="1" ref="P37" ca="1">_xlfn.XLOOKUP(Contrato[[#This Row],[SUPERVISOR SUPLENTE ]],PERSONAL_ACTIVO_2025[[#All],[NOMBRES Y APELLIDOS]],PERSONAL_ACTIVO_2025[[#All],[DOCUMENTO]],"",0)</f>
        <v>#NAME?</v>
      </c>
      <c r="Q37" s="116">
        <v>66</v>
      </c>
      <c r="R37" s="137" t="e" cm="1">
        <f t="array" aca="1" ref="R37" ca="1">_xlfn.XLOOKUP(Contrato[[#This Row],[CDP]],DISPONIBILIDADES_2025[[#All],[consecutivo]],DISPONIBILIDADES_2025[[#All],[fecha_aprobacion]],"",0)</f>
        <v>#NAME?</v>
      </c>
      <c r="S37" s="92">
        <f>SUMIF(DISPONIBILIDADES_2025[[#All],[consecutivo]],Contrato[[#This Row],[CDP]],DISPONIBILIDADES_2025[[#All],[valor_total_rubro]])</f>
        <v>75218000</v>
      </c>
      <c r="T37" s="118" t="e" cm="1">
        <f t="array" aca="1" ref="T37" ca="1">_xlfn.XLOOKUP(Contrato[[#This Row],[CONTRATO]]&amp;Contrato[[#This Row],[CDP]],Corr_Contr_CDP[[#All],[CONTRATO-CDP]],Corr_Contr_CDP[[#All],[CRP]],_xlfn.XLOOKUP(Contrato[[#This Row],[CDP]],COMPROMISOS_2025[[#All],[disponibilidad]],COMPROMISOS_2025[[#All],[consecutivo]],"",0),0)</f>
        <v>#NAME?</v>
      </c>
      <c r="U37" s="117" t="e" cm="1">
        <f t="array" aca="1" ref="U37" ca="1">+_xlfn.XLOOKUP(Contrato[[#This Row],[RCP]],COMPROMISOS_2025[[#All],[consecutivo]],COMPROMISOS_2025[[#All],[fecha_aprobacion]],"",0)</f>
        <v>#NAME?</v>
      </c>
      <c r="V37" s="93">
        <f ca="1">SUMIF(COMPROMISOS_2025[[#All],[consecutivo]],Contrato[[#This Row],[RCP]],COMPROMISOS_2025[[#All],[valor_total]])</f>
        <v>0</v>
      </c>
      <c r="W37" s="169">
        <v>45695</v>
      </c>
      <c r="X37" s="243" t="s">
        <v>901</v>
      </c>
      <c r="Y37" s="96">
        <v>45695</v>
      </c>
      <c r="Z37" s="161">
        <v>45997</v>
      </c>
      <c r="AA37" s="198" t="s">
        <v>1011</v>
      </c>
      <c r="AB37" s="119" t="s">
        <v>1004</v>
      </c>
      <c r="AC37" s="112"/>
      <c r="AD37" s="279">
        <v>202000006138</v>
      </c>
      <c r="AE37" s="38" t="s">
        <v>904</v>
      </c>
      <c r="AF37" s="120" t="str">
        <f>TEXT(LEFT(Contrato[[#This Row],[CONTRATO]],3),"0")</f>
        <v>32</v>
      </c>
      <c r="AG37" s="120" t="str">
        <f>IF(LEN(Contrato[[#This Row],[Contrato2]])=3,Contrato[[#This Row],[Contrato2]],TEXT(Contrato[[#This Row],[Contrato2]],"000"))</f>
        <v>032</v>
      </c>
      <c r="AH37" s="90">
        <f ca="1">IFERROR(_xlfn.DAYS(Contrato[[#This Row],[Fecha Proyectada liquidación]],TODAY())/30,"")</f>
        <v>11.133333333333333</v>
      </c>
      <c r="AI37" s="121">
        <f>+Contrato[[#This Row],[FECHA TERMINACIÓN ]]+120</f>
        <v>46117</v>
      </c>
      <c r="AJ37" s="89"/>
      <c r="AK37" s="91" t="str">
        <f ca="1">IF(Contrato[[#This Row],[FECHA TERMINACIÓN ]]&lt;TODAY(), "Terminado",IF(ISNUMBER(Contrato[[#This Row],[Fecha Real de liquiidación ]]),"Liquidado",IF(Contrato[[#This Row],[FECHA TERMINACIÓN ]]&gt;=TODAY(),"En ejecución","")))</f>
        <v>En ejecución</v>
      </c>
      <c r="AL37" s="107">
        <f ca="1">SUMIF(COMPROMISOS_2025[[#All],[consecutivo]],Contrato[[#This Row],[RCP]],COMPROMISOS_2025[[#All],[Total pagado]])</f>
        <v>0</v>
      </c>
      <c r="AM37" s="122">
        <f ca="1">IFERROR(Contrato[[#This Row],[Pagos]]/Contrato[[#This Row],[VALOR CONTRATO]],0)</f>
        <v>0</v>
      </c>
      <c r="AN37" s="160">
        <f ca="1">+Contrato[[#This Row],[VALOR CONTRATO]]-Contrato[[#This Row],[Pagos]]</f>
        <v>75218000</v>
      </c>
      <c r="AO37" s="111" t="e" cm="1">
        <f t="array" aca="1" ref="AO37" ca="1">_xlfn.XLOOKUP(Contrato[[#This Row],[DOCUMENTO ]],PERSONAL_ACTIVO_2025[[#All],[DOCUMENTO]],PERSONAL_ACTIVO_2025[[#All],[email]],0,0)</f>
        <v>#NAME?</v>
      </c>
      <c r="AP37" s="111" t="e" cm="1">
        <f t="array" aca="1" ref="AP37" ca="1">_xlfn.XLOOKUP(Contrato[[#This Row],[DOCUMENTO]],PERSONAL_ACTIVO_2025[[#All],[DOCUMENTO]],PERSONAL_ACTIVO_2025[[#All],[email]],0,0)</f>
        <v>#NAME?</v>
      </c>
      <c r="AQ37" s="111" cm="1">
        <f t="array" aca="1" ref="AQ37" ca="1">IF(ISBLANK(Contrato[[#This Row],[DEPENDENCIA ]]),0,IFERROR(_xlfn.XLOOKUP(Contrato[[#This Row],[DEPENDENCIA ]],#REF!,#REF!,0,0),0))</f>
        <v>0</v>
      </c>
      <c r="AR37" s="553">
        <f ca="1">+_xlfn.DAYS(Contrato[[#This Row],[FECHA TERMINACIÓN ]],TODAY())</f>
        <v>214</v>
      </c>
    </row>
    <row r="38" spans="1:44" s="111" customFormat="1" ht="36" customHeight="1" x14ac:dyDescent="0.25">
      <c r="A38" s="38">
        <v>502</v>
      </c>
      <c r="B38" s="226">
        <v>33</v>
      </c>
      <c r="C38" s="88" t="s">
        <v>712</v>
      </c>
      <c r="D38" s="192" t="s">
        <v>883</v>
      </c>
      <c r="E38" s="193" t="s">
        <v>112</v>
      </c>
      <c r="F38" s="194" t="s">
        <v>113</v>
      </c>
      <c r="G38" s="195" t="s">
        <v>1012</v>
      </c>
      <c r="H38" s="167">
        <v>1037574148</v>
      </c>
      <c r="I38" s="292">
        <v>7521800</v>
      </c>
      <c r="J38" s="290">
        <v>37609000</v>
      </c>
      <c r="K38" s="158" t="s">
        <v>41</v>
      </c>
      <c r="L38" s="196" t="s">
        <v>913</v>
      </c>
      <c r="M38" s="114" t="s">
        <v>933</v>
      </c>
      <c r="N38" s="113" t="e" cm="1">
        <f t="array" aca="1" ref="N38" ca="1">_xlfn.XLOOKUP(Contrato[[#This Row],[SUPERVISOR TITULAR]],PERSONAL_ACTIVO_2025[[#All],[NOMBRES Y APELLIDOS]],PERSONAL_ACTIVO_2025[[#All],[DOCUMENTO]],"",0)</f>
        <v>#NAME?</v>
      </c>
      <c r="O38" s="114" t="s">
        <v>914</v>
      </c>
      <c r="P38" s="115" t="e" cm="1">
        <f t="array" aca="1" ref="P38" ca="1">_xlfn.XLOOKUP(Contrato[[#This Row],[SUPERVISOR SUPLENTE ]],PERSONAL_ACTIVO_2025[[#All],[NOMBRES Y APELLIDOS]],PERSONAL_ACTIVO_2025[[#All],[DOCUMENTO]],"",0)</f>
        <v>#NAME?</v>
      </c>
      <c r="Q38" s="116">
        <v>46</v>
      </c>
      <c r="R38" s="137" t="e" cm="1">
        <f t="array" aca="1" ref="R38" ca="1">_xlfn.XLOOKUP(Contrato[[#This Row],[CDP]],DISPONIBILIDADES_2025[[#All],[consecutivo]],DISPONIBILIDADES_2025[[#All],[fecha_aprobacion]],"",0)</f>
        <v>#NAME?</v>
      </c>
      <c r="S38" s="92">
        <f>SUMIF(DISPONIBILIDADES_2025[[#All],[consecutivo]],Contrato[[#This Row],[CDP]],DISPONIBILIDADES_2025[[#All],[valor_total_rubro]])</f>
        <v>37609000</v>
      </c>
      <c r="T38" s="118" t="e" cm="1">
        <f t="array" aca="1" ref="T38" ca="1">_xlfn.XLOOKUP(Contrato[[#This Row],[CONTRATO]]&amp;Contrato[[#This Row],[CDP]],Corr_Contr_CDP[[#All],[CONTRATO-CDP]],Corr_Contr_CDP[[#All],[CRP]],_xlfn.XLOOKUP(Contrato[[#This Row],[CDP]],COMPROMISOS_2025[[#All],[disponibilidad]],COMPROMISOS_2025[[#All],[consecutivo]],"",0),0)</f>
        <v>#NAME?</v>
      </c>
      <c r="U38" s="117" t="e" cm="1">
        <f t="array" aca="1" ref="U38" ca="1">+_xlfn.XLOOKUP(Contrato[[#This Row],[RCP]],COMPROMISOS_2025[[#All],[consecutivo]],COMPROMISOS_2025[[#All],[fecha_aprobacion]],"",0)</f>
        <v>#NAME?</v>
      </c>
      <c r="V38" s="93">
        <f ca="1">SUMIF(COMPROMISOS_2025[[#All],[consecutivo]],Contrato[[#This Row],[RCP]],COMPROMISOS_2025[[#All],[valor_total]])</f>
        <v>0</v>
      </c>
      <c r="W38" s="169">
        <v>45698</v>
      </c>
      <c r="X38" s="243" t="s">
        <v>901</v>
      </c>
      <c r="Y38" s="96">
        <v>45699</v>
      </c>
      <c r="Z38" s="161">
        <v>45848</v>
      </c>
      <c r="AA38" s="198" t="s">
        <v>1013</v>
      </c>
      <c r="AB38" s="119" t="s">
        <v>920</v>
      </c>
      <c r="AC38" s="112"/>
      <c r="AD38" s="279">
        <v>202000006139</v>
      </c>
      <c r="AE38" s="38" t="s">
        <v>904</v>
      </c>
      <c r="AF38" s="120" t="str">
        <f>TEXT(LEFT(Contrato[[#This Row],[CONTRATO]],3),"0")</f>
        <v>33</v>
      </c>
      <c r="AG38" s="120" t="str">
        <f>IF(LEN(Contrato[[#This Row],[Contrato2]])=3,Contrato[[#This Row],[Contrato2]],TEXT(Contrato[[#This Row],[Contrato2]],"000"))</f>
        <v>033</v>
      </c>
      <c r="AH38" s="90">
        <f ca="1">IFERROR(_xlfn.DAYS(Contrato[[#This Row],[Fecha Proyectada liquidación]],TODAY())/30,"")</f>
        <v>6.166666666666667</v>
      </c>
      <c r="AI38" s="121">
        <f>+Contrato[[#This Row],[FECHA TERMINACIÓN ]]+120</f>
        <v>45968</v>
      </c>
      <c r="AJ38" s="89"/>
      <c r="AK38" s="91" t="str">
        <f ca="1">IF(Contrato[[#This Row],[FECHA TERMINACIÓN ]]&lt;TODAY(), "Terminado",IF(ISNUMBER(Contrato[[#This Row],[Fecha Real de liquiidación ]]),"Liquidado",IF(Contrato[[#This Row],[FECHA TERMINACIÓN ]]&gt;=TODAY(),"En ejecución","")))</f>
        <v>En ejecución</v>
      </c>
      <c r="AL38" s="107">
        <f ca="1">SUMIF(COMPROMISOS_2025[[#All],[consecutivo]],Contrato[[#This Row],[RCP]],COMPROMISOS_2025[[#All],[Total pagado]])</f>
        <v>0</v>
      </c>
      <c r="AM38" s="122">
        <f ca="1">IFERROR(Contrato[[#This Row],[Pagos]]/Contrato[[#This Row],[VALOR CONTRATO]],0)</f>
        <v>0</v>
      </c>
      <c r="AN38" s="160">
        <f ca="1">+Contrato[[#This Row],[VALOR CONTRATO]]-Contrato[[#This Row],[Pagos]]</f>
        <v>37609000</v>
      </c>
      <c r="AO38" s="111" t="e" cm="1">
        <f t="array" aca="1" ref="AO38" ca="1">_xlfn.XLOOKUP(Contrato[[#This Row],[DOCUMENTO ]],PERSONAL_ACTIVO_2025[[#All],[DOCUMENTO]],PERSONAL_ACTIVO_2025[[#All],[email]],0,0)</f>
        <v>#NAME?</v>
      </c>
      <c r="AP38" s="111" t="e" cm="1">
        <f t="array" aca="1" ref="AP38" ca="1">_xlfn.XLOOKUP(Contrato[[#This Row],[DOCUMENTO]],PERSONAL_ACTIVO_2025[[#All],[DOCUMENTO]],PERSONAL_ACTIVO_2025[[#All],[email]],0,0)</f>
        <v>#NAME?</v>
      </c>
      <c r="AQ38" s="111" cm="1">
        <f t="array" aca="1" ref="AQ38" ca="1">IF(ISBLANK(Contrato[[#This Row],[DEPENDENCIA ]]),0,IFERROR(_xlfn.XLOOKUP(Contrato[[#This Row],[DEPENDENCIA ]],#REF!,#REF!,0,0),0))</f>
        <v>0</v>
      </c>
      <c r="AR38" s="553">
        <f ca="1">+_xlfn.DAYS(Contrato[[#This Row],[FECHA TERMINACIÓN ]],TODAY())</f>
        <v>65</v>
      </c>
    </row>
    <row r="39" spans="1:44" s="111" customFormat="1" ht="36" customHeight="1" x14ac:dyDescent="0.25">
      <c r="A39" s="38">
        <v>513</v>
      </c>
      <c r="B39" s="226">
        <v>34</v>
      </c>
      <c r="C39" s="88" t="s">
        <v>718</v>
      </c>
      <c r="D39" s="192" t="s">
        <v>883</v>
      </c>
      <c r="E39" s="193" t="s">
        <v>112</v>
      </c>
      <c r="F39" s="194" t="s">
        <v>113</v>
      </c>
      <c r="G39" s="195" t="s">
        <v>1014</v>
      </c>
      <c r="H39" s="167">
        <v>43524445</v>
      </c>
      <c r="I39" s="292">
        <v>3419000</v>
      </c>
      <c r="J39" s="290">
        <v>17095000</v>
      </c>
      <c r="K39" s="158" t="s">
        <v>41</v>
      </c>
      <c r="L39" s="196" t="s">
        <v>1002</v>
      </c>
      <c r="M39" s="114" t="s">
        <v>965</v>
      </c>
      <c r="N39" s="113" t="e" cm="1">
        <f t="array" aca="1" ref="N39" ca="1">_xlfn.XLOOKUP(Contrato[[#This Row],[SUPERVISOR TITULAR]],PERSONAL_ACTIVO_2025[[#All],[NOMBRES Y APELLIDOS]],PERSONAL_ACTIVO_2025[[#All],[DOCUMENTO]],"",0)</f>
        <v>#NAME?</v>
      </c>
      <c r="O39" s="114" t="s">
        <v>1015</v>
      </c>
      <c r="P39" s="115" t="e" cm="1">
        <f t="array" aca="1" ref="P39" ca="1">_xlfn.XLOOKUP(Contrato[[#This Row],[SUPERVISOR SUPLENTE ]],PERSONAL_ACTIVO_2025[[#All],[NOMBRES Y APELLIDOS]],PERSONAL_ACTIVO_2025[[#All],[DOCUMENTO]],"",0)</f>
        <v>#NAME?</v>
      </c>
      <c r="Q39" s="116">
        <v>37</v>
      </c>
      <c r="R39" s="137" t="e" cm="1">
        <f t="array" aca="1" ref="R39" ca="1">_xlfn.XLOOKUP(Contrato[[#This Row],[CDP]],DISPONIBILIDADES_2025[[#All],[consecutivo]],DISPONIBILIDADES_2025[[#All],[fecha_aprobacion]],"",0)</f>
        <v>#NAME?</v>
      </c>
      <c r="S39" s="92">
        <f>SUMIF(DISPONIBILIDADES_2025[[#All],[consecutivo]],Contrato[[#This Row],[CDP]],DISPONIBILIDADES_2025[[#All],[valor_total_rubro]])</f>
        <v>20514000</v>
      </c>
      <c r="T39" s="118" t="e" cm="1">
        <f t="array" aca="1" ref="T39" ca="1">_xlfn.XLOOKUP(Contrato[[#This Row],[CONTRATO]]&amp;Contrato[[#This Row],[CDP]],Corr_Contr_CDP[[#All],[CONTRATO-CDP]],Corr_Contr_CDP[[#All],[CRP]],_xlfn.XLOOKUP(Contrato[[#This Row],[CDP]],COMPROMISOS_2025[[#All],[disponibilidad]],COMPROMISOS_2025[[#All],[consecutivo]],"",0),0)</f>
        <v>#NAME?</v>
      </c>
      <c r="U39" s="117" t="e" cm="1">
        <f t="array" aca="1" ref="U39" ca="1">+_xlfn.XLOOKUP(Contrato[[#This Row],[RCP]],COMPROMISOS_2025[[#All],[consecutivo]],COMPROMISOS_2025[[#All],[fecha_aprobacion]],"",0)</f>
        <v>#NAME?</v>
      </c>
      <c r="V39" s="93">
        <f ca="1">SUMIF(COMPROMISOS_2025[[#All],[consecutivo]],Contrato[[#This Row],[RCP]],COMPROMISOS_2025[[#All],[valor_total]])</f>
        <v>0</v>
      </c>
      <c r="W39" s="169">
        <v>45695</v>
      </c>
      <c r="X39" s="243" t="s">
        <v>901</v>
      </c>
      <c r="Y39" s="96">
        <v>45699</v>
      </c>
      <c r="Z39" s="161">
        <v>45848</v>
      </c>
      <c r="AA39" s="198" t="s">
        <v>1016</v>
      </c>
      <c r="AB39" s="119" t="s">
        <v>920</v>
      </c>
      <c r="AC39" s="112"/>
      <c r="AD39" s="279">
        <v>202000006140</v>
      </c>
      <c r="AE39" s="38" t="s">
        <v>904</v>
      </c>
      <c r="AF39" s="120" t="str">
        <f>TEXT(LEFT(Contrato[[#This Row],[CONTRATO]],3),"0")</f>
        <v>34</v>
      </c>
      <c r="AG39" s="120" t="str">
        <f>IF(LEN(Contrato[[#This Row],[Contrato2]])=3,Contrato[[#This Row],[Contrato2]],TEXT(Contrato[[#This Row],[Contrato2]],"000"))</f>
        <v>034</v>
      </c>
      <c r="AH39" s="90">
        <f ca="1">IFERROR(_xlfn.DAYS(Contrato[[#This Row],[Fecha Proyectada liquidación]],TODAY())/30,"")</f>
        <v>6.166666666666667</v>
      </c>
      <c r="AI39" s="121">
        <f>+Contrato[[#This Row],[FECHA TERMINACIÓN ]]+120</f>
        <v>45968</v>
      </c>
      <c r="AJ39" s="89"/>
      <c r="AK39" s="91" t="str">
        <f ca="1">IF(Contrato[[#This Row],[FECHA TERMINACIÓN ]]&lt;TODAY(), "Terminado",IF(ISNUMBER(Contrato[[#This Row],[Fecha Real de liquiidación ]]),"Liquidado",IF(Contrato[[#This Row],[FECHA TERMINACIÓN ]]&gt;=TODAY(),"En ejecución","")))</f>
        <v>En ejecución</v>
      </c>
      <c r="AL39" s="107">
        <f ca="1">SUMIF(COMPROMISOS_2025[[#All],[consecutivo]],Contrato[[#This Row],[RCP]],COMPROMISOS_2025[[#All],[Total pagado]])</f>
        <v>0</v>
      </c>
      <c r="AM39" s="122">
        <f ca="1">IFERROR(Contrato[[#This Row],[Pagos]]/Contrato[[#This Row],[VALOR CONTRATO]],0)</f>
        <v>0</v>
      </c>
      <c r="AN39" s="160">
        <f ca="1">+Contrato[[#This Row],[VALOR CONTRATO]]-Contrato[[#This Row],[Pagos]]</f>
        <v>17095000</v>
      </c>
      <c r="AO39" s="111" t="e" cm="1">
        <f t="array" aca="1" ref="AO39" ca="1">_xlfn.XLOOKUP(Contrato[[#This Row],[DOCUMENTO ]],PERSONAL_ACTIVO_2025[[#All],[DOCUMENTO]],PERSONAL_ACTIVO_2025[[#All],[email]],0,0)</f>
        <v>#NAME?</v>
      </c>
      <c r="AP39" s="111" t="e" cm="1">
        <f t="array" aca="1" ref="AP39" ca="1">_xlfn.XLOOKUP(Contrato[[#This Row],[DOCUMENTO]],PERSONAL_ACTIVO_2025[[#All],[DOCUMENTO]],PERSONAL_ACTIVO_2025[[#All],[email]],0,0)</f>
        <v>#NAME?</v>
      </c>
      <c r="AQ39" s="111" cm="1">
        <f t="array" aca="1" ref="AQ39" ca="1">IF(ISBLANK(Contrato[[#This Row],[DEPENDENCIA ]]),0,IFERROR(_xlfn.XLOOKUP(Contrato[[#This Row],[DEPENDENCIA ]],#REF!,#REF!,0,0),0))</f>
        <v>0</v>
      </c>
      <c r="AR39" s="553">
        <f ca="1">+_xlfn.DAYS(Contrato[[#This Row],[FECHA TERMINACIÓN ]],TODAY())</f>
        <v>65</v>
      </c>
    </row>
    <row r="40" spans="1:44" s="111" customFormat="1" ht="36" customHeight="1" x14ac:dyDescent="0.25">
      <c r="A40" s="38">
        <v>79</v>
      </c>
      <c r="B40" s="226">
        <v>35</v>
      </c>
      <c r="C40" s="88" t="s">
        <v>224</v>
      </c>
      <c r="D40" s="192" t="s">
        <v>883</v>
      </c>
      <c r="E40" s="193" t="s">
        <v>112</v>
      </c>
      <c r="F40" s="194" t="s">
        <v>113</v>
      </c>
      <c r="G40" s="195" t="s">
        <v>1017</v>
      </c>
      <c r="H40" s="167">
        <v>43625894</v>
      </c>
      <c r="I40" s="292">
        <v>7521800</v>
      </c>
      <c r="J40" s="290">
        <v>55661320</v>
      </c>
      <c r="K40" s="158" t="s">
        <v>41</v>
      </c>
      <c r="L40" s="196" t="s">
        <v>1002</v>
      </c>
      <c r="M40" s="114" t="s">
        <v>1018</v>
      </c>
      <c r="N40" s="113" t="e" cm="1">
        <f t="array" aca="1" ref="N40" ca="1">_xlfn.XLOOKUP(Contrato[[#This Row],[SUPERVISOR TITULAR]],PERSONAL_ACTIVO_2025[[#All],[NOMBRES Y APELLIDOS]],PERSONAL_ACTIVO_2025[[#All],[DOCUMENTO]],"",0)</f>
        <v>#NAME?</v>
      </c>
      <c r="O40" s="114" t="s">
        <v>1019</v>
      </c>
      <c r="P40" s="115" t="e" cm="1">
        <f t="array" aca="1" ref="P40" ca="1">_xlfn.XLOOKUP(Contrato[[#This Row],[SUPERVISOR SUPLENTE ]],PERSONAL_ACTIVO_2025[[#All],[NOMBRES Y APELLIDOS]],PERSONAL_ACTIVO_2025[[#All],[DOCUMENTO]],"",0)</f>
        <v>#NAME?</v>
      </c>
      <c r="Q40" s="116">
        <v>57</v>
      </c>
      <c r="R40" s="137" t="e" cm="1">
        <f t="array" aca="1" ref="R40" ca="1">_xlfn.XLOOKUP(Contrato[[#This Row],[CDP]],DISPONIBILIDADES_2025[[#All],[consecutivo]],DISPONIBILIDADES_2025[[#All],[fecha_aprobacion]],"",0)</f>
        <v>#NAME?</v>
      </c>
      <c r="S40" s="92">
        <f>SUMIF(DISPONIBILIDADES_2025[[#All],[consecutivo]],Contrato[[#This Row],[CDP]],DISPONIBILIDADES_2025[[#All],[valor_total_rubro]])</f>
        <v>55661320</v>
      </c>
      <c r="T40" s="118" t="e" cm="1">
        <f t="array" aca="1" ref="T40" ca="1">_xlfn.XLOOKUP(Contrato[[#This Row],[CONTRATO]]&amp;Contrato[[#This Row],[CDP]],Corr_Contr_CDP[[#All],[CONTRATO-CDP]],Corr_Contr_CDP[[#All],[CRP]],_xlfn.XLOOKUP(Contrato[[#This Row],[CDP]],COMPROMISOS_2025[[#All],[disponibilidad]],COMPROMISOS_2025[[#All],[consecutivo]],"",0),0)</f>
        <v>#NAME?</v>
      </c>
      <c r="U40" s="117" t="e" cm="1">
        <f t="array" aca="1" ref="U40" ca="1">+_xlfn.XLOOKUP(Contrato[[#This Row],[RCP]],COMPROMISOS_2025[[#All],[consecutivo]],COMPROMISOS_2025[[#All],[fecha_aprobacion]],"",0)</f>
        <v>#NAME?</v>
      </c>
      <c r="V40" s="93">
        <f ca="1">SUMIF(COMPROMISOS_2025[[#All],[consecutivo]],Contrato[[#This Row],[RCP]],COMPROMISOS_2025[[#All],[valor_total]])</f>
        <v>0</v>
      </c>
      <c r="W40" s="169">
        <v>45695</v>
      </c>
      <c r="X40" s="243" t="s">
        <v>901</v>
      </c>
      <c r="Y40" s="96">
        <v>45698</v>
      </c>
      <c r="Z40" s="161">
        <v>45921</v>
      </c>
      <c r="AA40" s="198" t="s">
        <v>1020</v>
      </c>
      <c r="AB40" s="119" t="s">
        <v>1021</v>
      </c>
      <c r="AC40" s="112"/>
      <c r="AD40" s="279">
        <v>202000006141</v>
      </c>
      <c r="AE40" s="38" t="s">
        <v>904</v>
      </c>
      <c r="AF40" s="120" t="str">
        <f>TEXT(LEFT(Contrato[[#This Row],[CONTRATO]],3),"0")</f>
        <v>35</v>
      </c>
      <c r="AG40" s="120" t="str">
        <f>IF(LEN(Contrato[[#This Row],[Contrato2]])=3,Contrato[[#This Row],[Contrato2]],TEXT(Contrato[[#This Row],[Contrato2]],"000"))</f>
        <v>035</v>
      </c>
      <c r="AH40" s="90">
        <f ca="1">IFERROR(_xlfn.DAYS(Contrato[[#This Row],[Fecha Proyectada liquidación]],TODAY())/30,"")</f>
        <v>8.6</v>
      </c>
      <c r="AI40" s="121">
        <f>+Contrato[[#This Row],[FECHA TERMINACIÓN ]]+120</f>
        <v>46041</v>
      </c>
      <c r="AJ40" s="89"/>
      <c r="AK40" s="91" t="str">
        <f ca="1">IF(Contrato[[#This Row],[FECHA TERMINACIÓN ]]&lt;TODAY(), "Terminado",IF(ISNUMBER(Contrato[[#This Row],[Fecha Real de liquiidación ]]),"Liquidado",IF(Contrato[[#This Row],[FECHA TERMINACIÓN ]]&gt;=TODAY(),"En ejecución","")))</f>
        <v>En ejecución</v>
      </c>
      <c r="AL40" s="107">
        <f ca="1">SUMIF(COMPROMISOS_2025[[#All],[consecutivo]],Contrato[[#This Row],[RCP]],COMPROMISOS_2025[[#All],[Total pagado]])</f>
        <v>0</v>
      </c>
      <c r="AM40" s="122">
        <f ca="1">IFERROR(Contrato[[#This Row],[Pagos]]/Contrato[[#This Row],[VALOR CONTRATO]],0)</f>
        <v>0</v>
      </c>
      <c r="AN40" s="160">
        <f ca="1">+Contrato[[#This Row],[VALOR CONTRATO]]-Contrato[[#This Row],[Pagos]]</f>
        <v>55661320</v>
      </c>
      <c r="AO40" s="111" t="e" cm="1">
        <f t="array" aca="1" ref="AO40" ca="1">_xlfn.XLOOKUP(Contrato[[#This Row],[DOCUMENTO ]],PERSONAL_ACTIVO_2025[[#All],[DOCUMENTO]],PERSONAL_ACTIVO_2025[[#All],[email]],0,0)</f>
        <v>#NAME?</v>
      </c>
      <c r="AP40" s="111" t="e" cm="1">
        <f t="array" aca="1" ref="AP40" ca="1">_xlfn.XLOOKUP(Contrato[[#This Row],[DOCUMENTO]],PERSONAL_ACTIVO_2025[[#All],[DOCUMENTO]],PERSONAL_ACTIVO_2025[[#All],[email]],0,0)</f>
        <v>#NAME?</v>
      </c>
      <c r="AQ40" s="111" cm="1">
        <f t="array" aca="1" ref="AQ40" ca="1">IF(ISBLANK(Contrato[[#This Row],[DEPENDENCIA ]]),0,IFERROR(_xlfn.XLOOKUP(Contrato[[#This Row],[DEPENDENCIA ]],#REF!,#REF!,0,0),0))</f>
        <v>0</v>
      </c>
      <c r="AR40" s="553">
        <f ca="1">+_xlfn.DAYS(Contrato[[#This Row],[FECHA TERMINACIÓN ]],TODAY())</f>
        <v>138</v>
      </c>
    </row>
    <row r="41" spans="1:44" s="111" customFormat="1" ht="36" customHeight="1" x14ac:dyDescent="0.25">
      <c r="A41" s="38">
        <v>83</v>
      </c>
      <c r="B41" s="226">
        <v>36</v>
      </c>
      <c r="C41" s="88" t="s">
        <v>233</v>
      </c>
      <c r="D41" s="192" t="s">
        <v>883</v>
      </c>
      <c r="E41" s="193" t="s">
        <v>112</v>
      </c>
      <c r="F41" s="194" t="s">
        <v>113</v>
      </c>
      <c r="G41" s="195" t="s">
        <v>1022</v>
      </c>
      <c r="H41" s="167">
        <v>1036966894</v>
      </c>
      <c r="I41" s="292">
        <v>7521800</v>
      </c>
      <c r="J41" s="290">
        <v>55661320</v>
      </c>
      <c r="K41" s="158" t="s">
        <v>41</v>
      </c>
      <c r="L41" s="196" t="s">
        <v>1002</v>
      </c>
      <c r="M41" s="114" t="s">
        <v>1019</v>
      </c>
      <c r="N41" s="113" t="e" cm="1">
        <f t="array" aca="1" ref="N41" ca="1">_xlfn.XLOOKUP(Contrato[[#This Row],[SUPERVISOR TITULAR]],PERSONAL_ACTIVO_2025[[#All],[NOMBRES Y APELLIDOS]],PERSONAL_ACTIVO_2025[[#All],[DOCUMENTO]],"",0)</f>
        <v>#NAME?</v>
      </c>
      <c r="O41" s="114" t="s">
        <v>1018</v>
      </c>
      <c r="P41" s="115" t="e" cm="1">
        <f t="array" aca="1" ref="P41" ca="1">_xlfn.XLOOKUP(Contrato[[#This Row],[SUPERVISOR SUPLENTE ]],PERSONAL_ACTIVO_2025[[#All],[NOMBRES Y APELLIDOS]],PERSONAL_ACTIVO_2025[[#All],[DOCUMENTO]],"",0)</f>
        <v>#NAME?</v>
      </c>
      <c r="Q41" s="116">
        <v>59</v>
      </c>
      <c r="R41" s="137" t="e" cm="1">
        <f t="array" aca="1" ref="R41" ca="1">_xlfn.XLOOKUP(Contrato[[#This Row],[CDP]],DISPONIBILIDADES_2025[[#All],[consecutivo]],DISPONIBILIDADES_2025[[#All],[fecha_aprobacion]],"",0)</f>
        <v>#NAME?</v>
      </c>
      <c r="S41" s="92">
        <f>SUMIF(DISPONIBILIDADES_2025[[#All],[consecutivo]],Contrato[[#This Row],[CDP]],DISPONIBILIDADES_2025[[#All],[valor_total_rubro]])</f>
        <v>55661320</v>
      </c>
      <c r="T41" s="118" t="e" cm="1">
        <f t="array" aca="1" ref="T41" ca="1">_xlfn.XLOOKUP(Contrato[[#This Row],[CONTRATO]]&amp;Contrato[[#This Row],[CDP]],Corr_Contr_CDP[[#All],[CONTRATO-CDP]],Corr_Contr_CDP[[#All],[CRP]],_xlfn.XLOOKUP(Contrato[[#This Row],[CDP]],COMPROMISOS_2025[[#All],[disponibilidad]],COMPROMISOS_2025[[#All],[consecutivo]],"",0),0)</f>
        <v>#NAME?</v>
      </c>
      <c r="U41" s="117" t="e" cm="1">
        <f t="array" aca="1" ref="U41" ca="1">+_xlfn.XLOOKUP(Contrato[[#This Row],[RCP]],COMPROMISOS_2025[[#All],[consecutivo]],COMPROMISOS_2025[[#All],[fecha_aprobacion]],"",0)</f>
        <v>#NAME?</v>
      </c>
      <c r="V41" s="93">
        <f ca="1">SUMIF(COMPROMISOS_2025[[#All],[consecutivo]],Contrato[[#This Row],[RCP]],COMPROMISOS_2025[[#All],[valor_total]])</f>
        <v>0</v>
      </c>
      <c r="W41" s="169">
        <v>45698</v>
      </c>
      <c r="X41" s="243" t="s">
        <v>901</v>
      </c>
      <c r="Y41" s="96">
        <v>45698</v>
      </c>
      <c r="Z41" s="161">
        <v>45921</v>
      </c>
      <c r="AA41" s="198" t="s">
        <v>1023</v>
      </c>
      <c r="AB41" s="119" t="s">
        <v>1021</v>
      </c>
      <c r="AC41" s="112"/>
      <c r="AD41" s="279">
        <v>202000006142</v>
      </c>
      <c r="AE41" s="38" t="s">
        <v>904</v>
      </c>
      <c r="AF41" s="120" t="str">
        <f>TEXT(LEFT(Contrato[[#This Row],[CONTRATO]],3),"0")</f>
        <v>36</v>
      </c>
      <c r="AG41" s="120" t="str">
        <f>IF(LEN(Contrato[[#This Row],[Contrato2]])=3,Contrato[[#This Row],[Contrato2]],TEXT(Contrato[[#This Row],[Contrato2]],"000"))</f>
        <v>036</v>
      </c>
      <c r="AH41" s="90">
        <f ca="1">IFERROR(_xlfn.DAYS(Contrato[[#This Row],[Fecha Proyectada liquidación]],TODAY())/30,"")</f>
        <v>8.6</v>
      </c>
      <c r="AI41" s="121">
        <f>+Contrato[[#This Row],[FECHA TERMINACIÓN ]]+120</f>
        <v>46041</v>
      </c>
      <c r="AJ41" s="89"/>
      <c r="AK41" s="91" t="str">
        <f ca="1">IF(Contrato[[#This Row],[FECHA TERMINACIÓN ]]&lt;TODAY(), "Terminado",IF(ISNUMBER(Contrato[[#This Row],[Fecha Real de liquiidación ]]),"Liquidado",IF(Contrato[[#This Row],[FECHA TERMINACIÓN ]]&gt;=TODAY(),"En ejecución","")))</f>
        <v>En ejecución</v>
      </c>
      <c r="AL41" s="107">
        <f ca="1">SUMIF(COMPROMISOS_2025[[#All],[consecutivo]],Contrato[[#This Row],[RCP]],COMPROMISOS_2025[[#All],[Total pagado]])</f>
        <v>0</v>
      </c>
      <c r="AM41" s="122">
        <f ca="1">IFERROR(Contrato[[#This Row],[Pagos]]/Contrato[[#This Row],[VALOR CONTRATO]],0)</f>
        <v>0</v>
      </c>
      <c r="AN41" s="160">
        <f ca="1">+Contrato[[#This Row],[VALOR CONTRATO]]-Contrato[[#This Row],[Pagos]]</f>
        <v>55661320</v>
      </c>
      <c r="AO41" s="111" t="e" cm="1">
        <f t="array" aca="1" ref="AO41" ca="1">_xlfn.XLOOKUP(Contrato[[#This Row],[DOCUMENTO ]],PERSONAL_ACTIVO_2025[[#All],[DOCUMENTO]],PERSONAL_ACTIVO_2025[[#All],[email]],0,0)</f>
        <v>#NAME?</v>
      </c>
      <c r="AP41" s="111" t="e" cm="1">
        <f t="array" aca="1" ref="AP41" ca="1">_xlfn.XLOOKUP(Contrato[[#This Row],[DOCUMENTO]],PERSONAL_ACTIVO_2025[[#All],[DOCUMENTO]],PERSONAL_ACTIVO_2025[[#All],[email]],0,0)</f>
        <v>#NAME?</v>
      </c>
      <c r="AQ41" s="111" cm="1">
        <f t="array" aca="1" ref="AQ41" ca="1">IF(ISBLANK(Contrato[[#This Row],[DEPENDENCIA ]]),0,IFERROR(_xlfn.XLOOKUP(Contrato[[#This Row],[DEPENDENCIA ]],#REF!,#REF!,0,0),0))</f>
        <v>0</v>
      </c>
      <c r="AR41" s="553">
        <f ca="1">+_xlfn.DAYS(Contrato[[#This Row],[FECHA TERMINACIÓN ]],TODAY())</f>
        <v>138</v>
      </c>
    </row>
    <row r="42" spans="1:44" s="111" customFormat="1" ht="36" customHeight="1" x14ac:dyDescent="0.25">
      <c r="A42" s="38">
        <v>80</v>
      </c>
      <c r="B42" s="226">
        <v>37</v>
      </c>
      <c r="C42" s="88" t="s">
        <v>226</v>
      </c>
      <c r="D42" s="192" t="s">
        <v>883</v>
      </c>
      <c r="E42" s="193" t="s">
        <v>112</v>
      </c>
      <c r="F42" s="194" t="s">
        <v>113</v>
      </c>
      <c r="G42" s="195" t="s">
        <v>1024</v>
      </c>
      <c r="H42" s="167">
        <v>1017223580</v>
      </c>
      <c r="I42" s="292">
        <v>7521800</v>
      </c>
      <c r="J42" s="290">
        <v>55661320</v>
      </c>
      <c r="K42" s="158" t="s">
        <v>41</v>
      </c>
      <c r="L42" s="196" t="s">
        <v>1002</v>
      </c>
      <c r="M42" s="114" t="s">
        <v>1019</v>
      </c>
      <c r="N42" s="113" t="e" cm="1">
        <f t="array" aca="1" ref="N42" ca="1">_xlfn.XLOOKUP(Contrato[[#This Row],[SUPERVISOR TITULAR]],PERSONAL_ACTIVO_2025[[#All],[NOMBRES Y APELLIDOS]],PERSONAL_ACTIVO_2025[[#All],[DOCUMENTO]],"",0)</f>
        <v>#NAME?</v>
      </c>
      <c r="O42" s="114" t="s">
        <v>1018</v>
      </c>
      <c r="P42" s="115" t="e" cm="1">
        <f t="array" aca="1" ref="P42" ca="1">_xlfn.XLOOKUP(Contrato[[#This Row],[SUPERVISOR SUPLENTE ]],PERSONAL_ACTIVO_2025[[#All],[NOMBRES Y APELLIDOS]],PERSONAL_ACTIVO_2025[[#All],[DOCUMENTO]],"",0)</f>
        <v>#NAME?</v>
      </c>
      <c r="Q42" s="116">
        <v>58</v>
      </c>
      <c r="R42" s="137" t="e" cm="1">
        <f t="array" aca="1" ref="R42" ca="1">_xlfn.XLOOKUP(Contrato[[#This Row],[CDP]],DISPONIBILIDADES_2025[[#All],[consecutivo]],DISPONIBILIDADES_2025[[#All],[fecha_aprobacion]],"",0)</f>
        <v>#NAME?</v>
      </c>
      <c r="S42" s="92">
        <f>SUMIF(DISPONIBILIDADES_2025[[#All],[consecutivo]],Contrato[[#This Row],[CDP]],DISPONIBILIDADES_2025[[#All],[valor_total_rubro]])</f>
        <v>55661320</v>
      </c>
      <c r="T42" s="118" t="e" cm="1">
        <f t="array" aca="1" ref="T42" ca="1">_xlfn.XLOOKUP(Contrato[[#This Row],[CONTRATO]]&amp;Contrato[[#This Row],[CDP]],Corr_Contr_CDP[[#All],[CONTRATO-CDP]],Corr_Contr_CDP[[#All],[CRP]],_xlfn.XLOOKUP(Contrato[[#This Row],[CDP]],COMPROMISOS_2025[[#All],[disponibilidad]],COMPROMISOS_2025[[#All],[consecutivo]],"",0),0)</f>
        <v>#NAME?</v>
      </c>
      <c r="U42" s="117" t="e" cm="1">
        <f t="array" aca="1" ref="U42" ca="1">+_xlfn.XLOOKUP(Contrato[[#This Row],[RCP]],COMPROMISOS_2025[[#All],[consecutivo]],COMPROMISOS_2025[[#All],[fecha_aprobacion]],"",0)</f>
        <v>#NAME?</v>
      </c>
      <c r="V42" s="93">
        <f ca="1">SUMIF(COMPROMISOS_2025[[#All],[consecutivo]],Contrato[[#This Row],[RCP]],COMPROMISOS_2025[[#All],[valor_total]])</f>
        <v>0</v>
      </c>
      <c r="W42" s="169">
        <v>45695</v>
      </c>
      <c r="X42" s="243" t="s">
        <v>901</v>
      </c>
      <c r="Y42" s="96">
        <v>45695</v>
      </c>
      <c r="Z42" s="161">
        <v>45918</v>
      </c>
      <c r="AA42" s="198" t="s">
        <v>1025</v>
      </c>
      <c r="AB42" s="119" t="s">
        <v>1021</v>
      </c>
      <c r="AC42" s="112"/>
      <c r="AD42" s="279">
        <v>202000006143</v>
      </c>
      <c r="AE42" s="38" t="s">
        <v>904</v>
      </c>
      <c r="AF42" s="120" t="str">
        <f>TEXT(LEFT(Contrato[[#This Row],[CONTRATO]],3),"0")</f>
        <v>37</v>
      </c>
      <c r="AG42" s="120" t="str">
        <f>IF(LEN(Contrato[[#This Row],[Contrato2]])=3,Contrato[[#This Row],[Contrato2]],TEXT(Contrato[[#This Row],[Contrato2]],"000"))</f>
        <v>037</v>
      </c>
      <c r="AH42" s="90">
        <f ca="1">IFERROR(_xlfn.DAYS(Contrato[[#This Row],[Fecha Proyectada liquidación]],TODAY())/30,"")</f>
        <v>8.5</v>
      </c>
      <c r="AI42" s="121">
        <f>+Contrato[[#This Row],[FECHA TERMINACIÓN ]]+120</f>
        <v>46038</v>
      </c>
      <c r="AJ42" s="89"/>
      <c r="AK42" s="91" t="str">
        <f ca="1">IF(Contrato[[#This Row],[FECHA TERMINACIÓN ]]&lt;TODAY(), "Terminado",IF(ISNUMBER(Contrato[[#This Row],[Fecha Real de liquiidación ]]),"Liquidado",IF(Contrato[[#This Row],[FECHA TERMINACIÓN ]]&gt;=TODAY(),"En ejecución","")))</f>
        <v>En ejecución</v>
      </c>
      <c r="AL42" s="107">
        <f ca="1">SUMIF(COMPROMISOS_2025[[#All],[consecutivo]],Contrato[[#This Row],[RCP]],COMPROMISOS_2025[[#All],[Total pagado]])</f>
        <v>0</v>
      </c>
      <c r="AM42" s="122">
        <f ca="1">IFERROR(Contrato[[#This Row],[Pagos]]/Contrato[[#This Row],[VALOR CONTRATO]],0)</f>
        <v>0</v>
      </c>
      <c r="AN42" s="160">
        <f ca="1">+Contrato[[#This Row],[VALOR CONTRATO]]-Contrato[[#This Row],[Pagos]]</f>
        <v>55661320</v>
      </c>
      <c r="AO42" s="111" t="e" cm="1">
        <f t="array" aca="1" ref="AO42" ca="1">_xlfn.XLOOKUP(Contrato[[#This Row],[DOCUMENTO ]],PERSONAL_ACTIVO_2025[[#All],[DOCUMENTO]],PERSONAL_ACTIVO_2025[[#All],[email]],0,0)</f>
        <v>#NAME?</v>
      </c>
      <c r="AP42" s="111" t="e" cm="1">
        <f t="array" aca="1" ref="AP42" ca="1">_xlfn.XLOOKUP(Contrato[[#This Row],[DOCUMENTO]],PERSONAL_ACTIVO_2025[[#All],[DOCUMENTO]],PERSONAL_ACTIVO_2025[[#All],[email]],0,0)</f>
        <v>#NAME?</v>
      </c>
      <c r="AQ42" s="111" cm="1">
        <f t="array" aca="1" ref="AQ42" ca="1">IF(ISBLANK(Contrato[[#This Row],[DEPENDENCIA ]]),0,IFERROR(_xlfn.XLOOKUP(Contrato[[#This Row],[DEPENDENCIA ]],#REF!,#REF!,0,0),0))</f>
        <v>0</v>
      </c>
      <c r="AR42" s="553">
        <f ca="1">+_xlfn.DAYS(Contrato[[#This Row],[FECHA TERMINACIÓN ]],TODAY())</f>
        <v>135</v>
      </c>
    </row>
    <row r="43" spans="1:44" s="111" customFormat="1" ht="36" customHeight="1" x14ac:dyDescent="0.25">
      <c r="A43" s="38">
        <v>84</v>
      </c>
      <c r="B43" s="226">
        <v>38</v>
      </c>
      <c r="C43" s="88" t="s">
        <v>1026</v>
      </c>
      <c r="D43" s="192" t="s">
        <v>883</v>
      </c>
      <c r="E43" s="193" t="s">
        <v>112</v>
      </c>
      <c r="F43" s="194" t="s">
        <v>113</v>
      </c>
      <c r="G43" s="195" t="s">
        <v>1027</v>
      </c>
      <c r="H43" s="167">
        <v>1128430986</v>
      </c>
      <c r="I43" s="292">
        <v>9573200</v>
      </c>
      <c r="J43" s="290">
        <v>70841680</v>
      </c>
      <c r="K43" s="158" t="s">
        <v>41</v>
      </c>
      <c r="L43" s="196" t="s">
        <v>1002</v>
      </c>
      <c r="M43" s="114" t="s">
        <v>1019</v>
      </c>
      <c r="N43" s="113" t="e" cm="1">
        <f t="array" aca="1" ref="N43" ca="1">_xlfn.XLOOKUP(Contrato[[#This Row],[SUPERVISOR TITULAR]],PERSONAL_ACTIVO_2025[[#All],[NOMBRES Y APELLIDOS]],PERSONAL_ACTIVO_2025[[#All],[DOCUMENTO]],"",0)</f>
        <v>#NAME?</v>
      </c>
      <c r="O43" s="114" t="s">
        <v>1018</v>
      </c>
      <c r="P43" s="115" t="e" cm="1">
        <f t="array" aca="1" ref="P43" ca="1">_xlfn.XLOOKUP(Contrato[[#This Row],[SUPERVISOR SUPLENTE ]],PERSONAL_ACTIVO_2025[[#All],[NOMBRES Y APELLIDOS]],PERSONAL_ACTIVO_2025[[#All],[DOCUMENTO]],"",0)</f>
        <v>#NAME?</v>
      </c>
      <c r="Q43" s="116">
        <v>60</v>
      </c>
      <c r="R43" s="137" t="e" cm="1">
        <f t="array" aca="1" ref="R43" ca="1">_xlfn.XLOOKUP(Contrato[[#This Row],[CDP]],DISPONIBILIDADES_2025[[#All],[consecutivo]],DISPONIBILIDADES_2025[[#All],[fecha_aprobacion]],"",0)</f>
        <v>#NAME?</v>
      </c>
      <c r="S43" s="92">
        <f>SUMIF(DISPONIBILIDADES_2025[[#All],[consecutivo]],Contrato[[#This Row],[CDP]],DISPONIBILIDADES_2025[[#All],[valor_total_rubro]])</f>
        <v>70841680</v>
      </c>
      <c r="T43" s="118" t="e" cm="1">
        <f t="array" aca="1" ref="T43" ca="1">_xlfn.XLOOKUP(Contrato[[#This Row],[CONTRATO]]&amp;Contrato[[#This Row],[CDP]],Corr_Contr_CDP[[#All],[CONTRATO-CDP]],Corr_Contr_CDP[[#All],[CRP]],_xlfn.XLOOKUP(Contrato[[#This Row],[CDP]],COMPROMISOS_2025[[#All],[disponibilidad]],COMPROMISOS_2025[[#All],[consecutivo]],"",0),0)</f>
        <v>#NAME?</v>
      </c>
      <c r="U43" s="117" t="e" cm="1">
        <f t="array" aca="1" ref="U43" ca="1">+_xlfn.XLOOKUP(Contrato[[#This Row],[RCP]],COMPROMISOS_2025[[#All],[consecutivo]],COMPROMISOS_2025[[#All],[fecha_aprobacion]],"",0)</f>
        <v>#NAME?</v>
      </c>
      <c r="V43" s="93">
        <f ca="1">SUMIF(COMPROMISOS_2025[[#All],[consecutivo]],Contrato[[#This Row],[RCP]],COMPROMISOS_2025[[#All],[valor_total]])</f>
        <v>0</v>
      </c>
      <c r="W43" s="169">
        <v>45695</v>
      </c>
      <c r="X43" s="243" t="s">
        <v>901</v>
      </c>
      <c r="Y43" s="96">
        <v>45698</v>
      </c>
      <c r="Z43" s="161">
        <v>45921</v>
      </c>
      <c r="AA43" s="198" t="s">
        <v>1028</v>
      </c>
      <c r="AB43" s="119" t="s">
        <v>1021</v>
      </c>
      <c r="AC43" s="112"/>
      <c r="AD43" s="279">
        <v>202000006144</v>
      </c>
      <c r="AE43" s="38" t="s">
        <v>904</v>
      </c>
      <c r="AF43" s="120" t="str">
        <f>TEXT(LEFT(Contrato[[#This Row],[CONTRATO]],3),"0")</f>
        <v>38</v>
      </c>
      <c r="AG43" s="120" t="str">
        <f>IF(LEN(Contrato[[#This Row],[Contrato2]])=3,Contrato[[#This Row],[Contrato2]],TEXT(Contrato[[#This Row],[Contrato2]],"000"))</f>
        <v>038</v>
      </c>
      <c r="AH43" s="90">
        <f ca="1">IFERROR(_xlfn.DAYS(Contrato[[#This Row],[Fecha Proyectada liquidación]],TODAY())/30,"")</f>
        <v>8.6</v>
      </c>
      <c r="AI43" s="121">
        <f>+Contrato[[#This Row],[FECHA TERMINACIÓN ]]+120</f>
        <v>46041</v>
      </c>
      <c r="AJ43" s="89"/>
      <c r="AK43" s="91" t="str">
        <f ca="1">IF(Contrato[[#This Row],[FECHA TERMINACIÓN ]]&lt;TODAY(), "Terminado",IF(ISNUMBER(Contrato[[#This Row],[Fecha Real de liquiidación ]]),"Liquidado",IF(Contrato[[#This Row],[FECHA TERMINACIÓN ]]&gt;=TODAY(),"En ejecución","")))</f>
        <v>En ejecución</v>
      </c>
      <c r="AL43" s="107">
        <f ca="1">SUMIF(COMPROMISOS_2025[[#All],[consecutivo]],Contrato[[#This Row],[RCP]],COMPROMISOS_2025[[#All],[Total pagado]])</f>
        <v>0</v>
      </c>
      <c r="AM43" s="122">
        <f ca="1">IFERROR(Contrato[[#This Row],[Pagos]]/Contrato[[#This Row],[VALOR CONTRATO]],0)</f>
        <v>0</v>
      </c>
      <c r="AN43" s="160">
        <f ca="1">+Contrato[[#This Row],[VALOR CONTRATO]]-Contrato[[#This Row],[Pagos]]</f>
        <v>70841680</v>
      </c>
      <c r="AO43" s="111" t="e" cm="1">
        <f t="array" aca="1" ref="AO43" ca="1">_xlfn.XLOOKUP(Contrato[[#This Row],[DOCUMENTO ]],PERSONAL_ACTIVO_2025[[#All],[DOCUMENTO]],PERSONAL_ACTIVO_2025[[#All],[email]],0,0)</f>
        <v>#NAME?</v>
      </c>
      <c r="AP43" s="111" t="e" cm="1">
        <f t="array" aca="1" ref="AP43" ca="1">_xlfn.XLOOKUP(Contrato[[#This Row],[DOCUMENTO]],PERSONAL_ACTIVO_2025[[#All],[DOCUMENTO]],PERSONAL_ACTIVO_2025[[#All],[email]],0,0)</f>
        <v>#NAME?</v>
      </c>
      <c r="AQ43" s="111" cm="1">
        <f t="array" aca="1" ref="AQ43" ca="1">IF(ISBLANK(Contrato[[#This Row],[DEPENDENCIA ]]),0,IFERROR(_xlfn.XLOOKUP(Contrato[[#This Row],[DEPENDENCIA ]],#REF!,#REF!,0,0),0))</f>
        <v>0</v>
      </c>
      <c r="AR43" s="553">
        <f ca="1">+_xlfn.DAYS(Contrato[[#This Row],[FECHA TERMINACIÓN ]],TODAY())</f>
        <v>138</v>
      </c>
    </row>
    <row r="44" spans="1:44" s="111" customFormat="1" ht="36" customHeight="1" x14ac:dyDescent="0.25">
      <c r="A44" s="38">
        <v>496</v>
      </c>
      <c r="B44" s="226">
        <v>39</v>
      </c>
      <c r="C44" s="88" t="s">
        <v>707</v>
      </c>
      <c r="D44" s="192" t="s">
        <v>883</v>
      </c>
      <c r="E44" s="193" t="s">
        <v>112</v>
      </c>
      <c r="F44" s="194" t="s">
        <v>113</v>
      </c>
      <c r="G44" s="195" t="s">
        <v>1029</v>
      </c>
      <c r="H44" s="167">
        <v>39455394</v>
      </c>
      <c r="I44" s="292">
        <v>7521800</v>
      </c>
      <c r="J44" s="290">
        <v>37609000</v>
      </c>
      <c r="K44" s="158" t="s">
        <v>41</v>
      </c>
      <c r="L44" s="196" t="s">
        <v>1030</v>
      </c>
      <c r="M44" s="114" t="s">
        <v>887</v>
      </c>
      <c r="N44" s="113" t="e" cm="1">
        <f t="array" aca="1" ref="N44" ca="1">_xlfn.XLOOKUP(Contrato[[#This Row],[SUPERVISOR TITULAR]],PERSONAL_ACTIVO_2025[[#All],[NOMBRES Y APELLIDOS]],PERSONAL_ACTIVO_2025[[#All],[DOCUMENTO]],"",0)</f>
        <v>#NAME?</v>
      </c>
      <c r="O44" s="114" t="s">
        <v>1031</v>
      </c>
      <c r="P44" s="115" t="e" cm="1">
        <f t="array" aca="1" ref="P44" ca="1">_xlfn.XLOOKUP(Contrato[[#This Row],[SUPERVISOR SUPLENTE ]],PERSONAL_ACTIVO_2025[[#All],[NOMBRES Y APELLIDOS]],PERSONAL_ACTIVO_2025[[#All],[DOCUMENTO]],"",0)</f>
        <v>#NAME?</v>
      </c>
      <c r="Q44" s="116">
        <v>32</v>
      </c>
      <c r="R44" s="137" t="e" cm="1">
        <f t="array" aca="1" ref="R44" ca="1">_xlfn.XLOOKUP(Contrato[[#This Row],[CDP]],DISPONIBILIDADES_2025[[#All],[consecutivo]],DISPONIBILIDADES_2025[[#All],[fecha_aprobacion]],"",0)</f>
        <v>#NAME?</v>
      </c>
      <c r="S44" s="92">
        <f>SUMIF(DISPONIBILIDADES_2025[[#All],[consecutivo]],Contrato[[#This Row],[CDP]],DISPONIBILIDADES_2025[[#All],[valor_total_rubro]])</f>
        <v>37609000</v>
      </c>
      <c r="T44" s="118" t="e" cm="1">
        <f t="array" aca="1" ref="T44" ca="1">_xlfn.XLOOKUP(Contrato[[#This Row],[CONTRATO]]&amp;Contrato[[#This Row],[CDP]],Corr_Contr_CDP[[#All],[CONTRATO-CDP]],Corr_Contr_CDP[[#All],[CRP]],_xlfn.XLOOKUP(Contrato[[#This Row],[CDP]],COMPROMISOS_2025[[#All],[disponibilidad]],COMPROMISOS_2025[[#All],[consecutivo]],"",0),0)</f>
        <v>#NAME?</v>
      </c>
      <c r="U44" s="117" t="e" cm="1">
        <f t="array" aca="1" ref="U44" ca="1">+_xlfn.XLOOKUP(Contrato[[#This Row],[RCP]],COMPROMISOS_2025[[#All],[consecutivo]],COMPROMISOS_2025[[#All],[fecha_aprobacion]],"",0)</f>
        <v>#NAME?</v>
      </c>
      <c r="V44" s="93">
        <f ca="1">SUMIF(COMPROMISOS_2025[[#All],[consecutivo]],Contrato[[#This Row],[RCP]],COMPROMISOS_2025[[#All],[valor_total]])</f>
        <v>0</v>
      </c>
      <c r="W44" s="169">
        <v>45700</v>
      </c>
      <c r="X44" s="243" t="s">
        <v>901</v>
      </c>
      <c r="Y44" s="96">
        <v>45701</v>
      </c>
      <c r="Z44" s="161">
        <v>45850</v>
      </c>
      <c r="AA44" s="198" t="s">
        <v>1032</v>
      </c>
      <c r="AB44" s="119" t="s">
        <v>920</v>
      </c>
      <c r="AC44" s="112"/>
      <c r="AD44" s="279">
        <v>202000006145</v>
      </c>
      <c r="AE44" s="38" t="s">
        <v>904</v>
      </c>
      <c r="AF44" s="120" t="str">
        <f>TEXT(LEFT(Contrato[[#This Row],[CONTRATO]],3),"0")</f>
        <v>39</v>
      </c>
      <c r="AG44" s="120" t="str">
        <f>IF(LEN(Contrato[[#This Row],[Contrato2]])=3,Contrato[[#This Row],[Contrato2]],TEXT(Contrato[[#This Row],[Contrato2]],"000"))</f>
        <v>039</v>
      </c>
      <c r="AH44" s="90">
        <f ca="1">IFERROR(_xlfn.DAYS(Contrato[[#This Row],[Fecha Proyectada liquidación]],TODAY())/30,"")</f>
        <v>6.2333333333333334</v>
      </c>
      <c r="AI44" s="121">
        <f>+Contrato[[#This Row],[FECHA TERMINACIÓN ]]+120</f>
        <v>45970</v>
      </c>
      <c r="AJ44" s="89"/>
      <c r="AK44" s="91" t="str">
        <f ca="1">IF(Contrato[[#This Row],[FECHA TERMINACIÓN ]]&lt;TODAY(), "Terminado",IF(ISNUMBER(Contrato[[#This Row],[Fecha Real de liquiidación ]]),"Liquidado",IF(Contrato[[#This Row],[FECHA TERMINACIÓN ]]&gt;=TODAY(),"En ejecución","")))</f>
        <v>En ejecución</v>
      </c>
      <c r="AL44" s="107">
        <f ca="1">SUMIF(COMPROMISOS_2025[[#All],[consecutivo]],Contrato[[#This Row],[RCP]],COMPROMISOS_2025[[#All],[Total pagado]])</f>
        <v>0</v>
      </c>
      <c r="AM44" s="122">
        <f ca="1">IFERROR(Contrato[[#This Row],[Pagos]]/Contrato[[#This Row],[VALOR CONTRATO]],0)</f>
        <v>0</v>
      </c>
      <c r="AN44" s="160">
        <f ca="1">+Contrato[[#This Row],[VALOR CONTRATO]]-Contrato[[#This Row],[Pagos]]</f>
        <v>37609000</v>
      </c>
      <c r="AO44" s="111" t="e" cm="1">
        <f t="array" aca="1" ref="AO44" ca="1">_xlfn.XLOOKUP(Contrato[[#This Row],[DOCUMENTO ]],PERSONAL_ACTIVO_2025[[#All],[DOCUMENTO]],PERSONAL_ACTIVO_2025[[#All],[email]],0,0)</f>
        <v>#NAME?</v>
      </c>
      <c r="AP44" s="111" t="e" cm="1">
        <f t="array" aca="1" ref="AP44" ca="1">_xlfn.XLOOKUP(Contrato[[#This Row],[DOCUMENTO]],PERSONAL_ACTIVO_2025[[#All],[DOCUMENTO]],PERSONAL_ACTIVO_2025[[#All],[email]],0,0)</f>
        <v>#NAME?</v>
      </c>
      <c r="AQ44" s="111" cm="1">
        <f t="array" aca="1" ref="AQ44" ca="1">IF(ISBLANK(Contrato[[#This Row],[DEPENDENCIA ]]),0,IFERROR(_xlfn.XLOOKUP(Contrato[[#This Row],[DEPENDENCIA ]],#REF!,#REF!,0,0),0))</f>
        <v>0</v>
      </c>
      <c r="AR44" s="553">
        <f ca="1">+_xlfn.DAYS(Contrato[[#This Row],[FECHA TERMINACIÓN ]],TODAY())</f>
        <v>67</v>
      </c>
    </row>
    <row r="45" spans="1:44" s="111" customFormat="1" ht="36" customHeight="1" x14ac:dyDescent="0.25">
      <c r="A45" s="38">
        <v>497</v>
      </c>
      <c r="B45" s="226">
        <v>40</v>
      </c>
      <c r="C45" s="88" t="s">
        <v>708</v>
      </c>
      <c r="D45" s="192" t="s">
        <v>883</v>
      </c>
      <c r="E45" s="193" t="s">
        <v>112</v>
      </c>
      <c r="F45" s="194" t="s">
        <v>113</v>
      </c>
      <c r="G45" s="195" t="s">
        <v>1033</v>
      </c>
      <c r="H45" s="167">
        <v>70135960</v>
      </c>
      <c r="I45" s="292">
        <v>3419000</v>
      </c>
      <c r="J45" s="290">
        <v>17095000</v>
      </c>
      <c r="K45" s="158" t="s">
        <v>41</v>
      </c>
      <c r="L45" s="196" t="s">
        <v>1030</v>
      </c>
      <c r="M45" s="114" t="s">
        <v>886</v>
      </c>
      <c r="N45" s="113" t="e" cm="1">
        <f t="array" aca="1" ref="N45" ca="1">_xlfn.XLOOKUP(Contrato[[#This Row],[SUPERVISOR TITULAR]],PERSONAL_ACTIVO_2025[[#All],[NOMBRES Y APELLIDOS]],PERSONAL_ACTIVO_2025[[#All],[DOCUMENTO]],"",0)</f>
        <v>#NAME?</v>
      </c>
      <c r="O45" s="114" t="s">
        <v>1034</v>
      </c>
      <c r="P45" s="115" t="e" cm="1">
        <f t="array" aca="1" ref="P45" ca="1">_xlfn.XLOOKUP(Contrato[[#This Row],[SUPERVISOR SUPLENTE ]],PERSONAL_ACTIVO_2025[[#All],[NOMBRES Y APELLIDOS]],PERSONAL_ACTIVO_2025[[#All],[DOCUMENTO]],"",0)</f>
        <v>#NAME?</v>
      </c>
      <c r="Q45" s="116">
        <v>23</v>
      </c>
      <c r="R45" s="137" t="e" cm="1">
        <f t="array" aca="1" ref="R45" ca="1">_xlfn.XLOOKUP(Contrato[[#This Row],[CDP]],DISPONIBILIDADES_2025[[#All],[consecutivo]],DISPONIBILIDADES_2025[[#All],[fecha_aprobacion]],"",0)</f>
        <v>#NAME?</v>
      </c>
      <c r="S45" s="92">
        <f>SUMIF(DISPONIBILIDADES_2025[[#All],[consecutivo]],Contrato[[#This Row],[CDP]],DISPONIBILIDADES_2025[[#All],[valor_total_rubro]])</f>
        <v>17095000</v>
      </c>
      <c r="T45" s="118" t="e" cm="1">
        <f t="array" aca="1" ref="T45" ca="1">_xlfn.XLOOKUP(Contrato[[#This Row],[CONTRATO]]&amp;Contrato[[#This Row],[CDP]],Corr_Contr_CDP[[#All],[CONTRATO-CDP]],Corr_Contr_CDP[[#All],[CRP]],_xlfn.XLOOKUP(Contrato[[#This Row],[CDP]],COMPROMISOS_2025[[#All],[disponibilidad]],COMPROMISOS_2025[[#All],[consecutivo]],"",0),0)</f>
        <v>#NAME?</v>
      </c>
      <c r="U45" s="117" t="e" cm="1">
        <f t="array" aca="1" ref="U45" ca="1">+_xlfn.XLOOKUP(Contrato[[#This Row],[RCP]],COMPROMISOS_2025[[#All],[consecutivo]],COMPROMISOS_2025[[#All],[fecha_aprobacion]],"",0)</f>
        <v>#NAME?</v>
      </c>
      <c r="V45" s="93">
        <f ca="1">SUMIF(COMPROMISOS_2025[[#All],[consecutivo]],Contrato[[#This Row],[RCP]],COMPROMISOS_2025[[#All],[valor_total]])</f>
        <v>0</v>
      </c>
      <c r="W45" s="169">
        <v>45700</v>
      </c>
      <c r="X45" s="243" t="s">
        <v>901</v>
      </c>
      <c r="Y45" s="96">
        <v>45701</v>
      </c>
      <c r="Z45" s="161">
        <v>45850</v>
      </c>
      <c r="AA45" s="198" t="s">
        <v>1035</v>
      </c>
      <c r="AB45" s="119" t="s">
        <v>920</v>
      </c>
      <c r="AC45" s="112"/>
      <c r="AD45" s="279">
        <v>202000006146</v>
      </c>
      <c r="AE45" s="38" t="s">
        <v>904</v>
      </c>
      <c r="AF45" s="120" t="str">
        <f>TEXT(LEFT(Contrato[[#This Row],[CONTRATO]],3),"0")</f>
        <v>40</v>
      </c>
      <c r="AG45" s="120" t="str">
        <f>IF(LEN(Contrato[[#This Row],[Contrato2]])=3,Contrato[[#This Row],[Contrato2]],TEXT(Contrato[[#This Row],[Contrato2]],"000"))</f>
        <v>040</v>
      </c>
      <c r="AH45" s="90">
        <f ca="1">IFERROR(_xlfn.DAYS(Contrato[[#This Row],[Fecha Proyectada liquidación]],TODAY())/30,"")</f>
        <v>6.2333333333333334</v>
      </c>
      <c r="AI45" s="121">
        <f>+Contrato[[#This Row],[FECHA TERMINACIÓN ]]+120</f>
        <v>45970</v>
      </c>
      <c r="AJ45" s="89"/>
      <c r="AK45" s="91" t="str">
        <f ca="1">IF(Contrato[[#This Row],[FECHA TERMINACIÓN ]]&lt;TODAY(), "Terminado",IF(ISNUMBER(Contrato[[#This Row],[Fecha Real de liquiidación ]]),"Liquidado",IF(Contrato[[#This Row],[FECHA TERMINACIÓN ]]&gt;=TODAY(),"En ejecución","")))</f>
        <v>En ejecución</v>
      </c>
      <c r="AL45" s="107">
        <f ca="1">SUMIF(COMPROMISOS_2025[[#All],[consecutivo]],Contrato[[#This Row],[RCP]],COMPROMISOS_2025[[#All],[Total pagado]])</f>
        <v>0</v>
      </c>
      <c r="AM45" s="122">
        <f ca="1">IFERROR(Contrato[[#This Row],[Pagos]]/Contrato[[#This Row],[VALOR CONTRATO]],0)</f>
        <v>0</v>
      </c>
      <c r="AN45" s="160">
        <f ca="1">+Contrato[[#This Row],[VALOR CONTRATO]]-Contrato[[#This Row],[Pagos]]</f>
        <v>17095000</v>
      </c>
      <c r="AO45" s="111" t="e" cm="1">
        <f t="array" aca="1" ref="AO45" ca="1">_xlfn.XLOOKUP(Contrato[[#This Row],[DOCUMENTO ]],PERSONAL_ACTIVO_2025[[#All],[DOCUMENTO]],PERSONAL_ACTIVO_2025[[#All],[email]],0,0)</f>
        <v>#NAME?</v>
      </c>
      <c r="AP45" s="111" t="e" cm="1">
        <f t="array" aca="1" ref="AP45" ca="1">_xlfn.XLOOKUP(Contrato[[#This Row],[DOCUMENTO]],PERSONAL_ACTIVO_2025[[#All],[DOCUMENTO]],PERSONAL_ACTIVO_2025[[#All],[email]],0,0)</f>
        <v>#NAME?</v>
      </c>
      <c r="AQ45" s="111" cm="1">
        <f t="array" aca="1" ref="AQ45" ca="1">IF(ISBLANK(Contrato[[#This Row],[DEPENDENCIA ]]),0,IFERROR(_xlfn.XLOOKUP(Contrato[[#This Row],[DEPENDENCIA ]],#REF!,#REF!,0,0),0))</f>
        <v>0</v>
      </c>
      <c r="AR45" s="553">
        <f ca="1">+_xlfn.DAYS(Contrato[[#This Row],[FECHA TERMINACIÓN ]],TODAY())</f>
        <v>67</v>
      </c>
    </row>
    <row r="46" spans="1:44" s="111" customFormat="1" ht="36" customHeight="1" x14ac:dyDescent="0.25">
      <c r="A46" s="38">
        <v>507</v>
      </c>
      <c r="B46" s="226">
        <v>41</v>
      </c>
      <c r="C46" s="88" t="s">
        <v>717</v>
      </c>
      <c r="D46" s="192" t="s">
        <v>905</v>
      </c>
      <c r="E46" s="193" t="s">
        <v>112</v>
      </c>
      <c r="F46" s="194" t="s">
        <v>113</v>
      </c>
      <c r="G46" s="195" t="s">
        <v>1036</v>
      </c>
      <c r="H46" s="167">
        <v>1040182805</v>
      </c>
      <c r="I46" s="292">
        <v>7521800</v>
      </c>
      <c r="J46" s="290">
        <v>39614813</v>
      </c>
      <c r="K46" s="246" t="s">
        <v>985</v>
      </c>
      <c r="L46" s="196" t="s">
        <v>1030</v>
      </c>
      <c r="M46" s="114" t="s">
        <v>907</v>
      </c>
      <c r="N46" s="113" t="e" cm="1">
        <f t="array" aca="1" ref="N46" ca="1">_xlfn.XLOOKUP(Contrato[[#This Row],[SUPERVISOR TITULAR]],PERSONAL_ACTIVO_2025[[#All],[NOMBRES Y APELLIDOS]],PERSONAL_ACTIVO_2025[[#All],[DOCUMENTO]],"",0)</f>
        <v>#NAME?</v>
      </c>
      <c r="O46" s="114" t="s">
        <v>908</v>
      </c>
      <c r="P46" s="115" t="e" cm="1">
        <f t="array" aca="1" ref="P46" ca="1">_xlfn.XLOOKUP(Contrato[[#This Row],[SUPERVISOR SUPLENTE ]],PERSONAL_ACTIVO_2025[[#All],[NOMBRES Y APELLIDOS]],PERSONAL_ACTIVO_2025[[#All],[DOCUMENTO]],"",0)</f>
        <v>#NAME?</v>
      </c>
      <c r="Q46" s="116">
        <v>28</v>
      </c>
      <c r="R46" s="137" t="e" cm="1">
        <f t="array" aca="1" ref="R46" ca="1">_xlfn.XLOOKUP(Contrato[[#This Row],[CDP]],DISPONIBILIDADES_2025[[#All],[consecutivo]],DISPONIBILIDADES_2025[[#All],[fecha_aprobacion]],"",0)</f>
        <v>#NAME?</v>
      </c>
      <c r="S46" s="92">
        <f>SUMIF(DISPONIBILIDADES_2025[[#All],[consecutivo]],Contrato[[#This Row],[CDP]],DISPONIBILIDADES_2025[[#All],[valor_total_rubro]])</f>
        <v>39614813</v>
      </c>
      <c r="T46" s="118" t="e" cm="1">
        <f t="array" aca="1" ref="T46" ca="1">_xlfn.XLOOKUP(Contrato[[#This Row],[CONTRATO]]&amp;Contrato[[#This Row],[CDP]],Corr_Contr_CDP[[#All],[CONTRATO-CDP]],Corr_Contr_CDP[[#All],[CRP]],_xlfn.XLOOKUP(Contrato[[#This Row],[CDP]],COMPROMISOS_2025[[#All],[disponibilidad]],COMPROMISOS_2025[[#All],[consecutivo]],"",0),0)</f>
        <v>#NAME?</v>
      </c>
      <c r="U46" s="117" t="e" cm="1">
        <f t="array" aca="1" ref="U46" ca="1">+_xlfn.XLOOKUP(Contrato[[#This Row],[RCP]],COMPROMISOS_2025[[#All],[consecutivo]],COMPROMISOS_2025[[#All],[fecha_aprobacion]],"",0)</f>
        <v>#NAME?</v>
      </c>
      <c r="V46" s="93">
        <f ca="1">SUMIF(COMPROMISOS_2025[[#All],[consecutivo]],Contrato[[#This Row],[RCP]],COMPROMISOS_2025[[#All],[valor_total]])</f>
        <v>0</v>
      </c>
      <c r="W46" s="169">
        <v>45701</v>
      </c>
      <c r="X46" s="243" t="s">
        <v>901</v>
      </c>
      <c r="Y46" s="96">
        <v>45701</v>
      </c>
      <c r="Z46" s="161">
        <v>45838</v>
      </c>
      <c r="AA46" s="198" t="s">
        <v>1035</v>
      </c>
      <c r="AB46" s="119" t="s">
        <v>920</v>
      </c>
      <c r="AC46" s="112"/>
      <c r="AD46" s="279">
        <v>202000006147</v>
      </c>
      <c r="AE46" s="38" t="s">
        <v>904</v>
      </c>
      <c r="AF46" s="120" t="str">
        <f>TEXT(LEFT(Contrato[[#This Row],[CONTRATO]],3),"0")</f>
        <v>41</v>
      </c>
      <c r="AG46" s="120" t="str">
        <f>IF(LEN(Contrato[[#This Row],[Contrato2]])=3,Contrato[[#This Row],[Contrato2]],TEXT(Contrato[[#This Row],[Contrato2]],"000"))</f>
        <v>041</v>
      </c>
      <c r="AH46" s="90">
        <f ca="1">IFERROR(_xlfn.DAYS(Contrato[[#This Row],[Fecha Proyectada liquidación]],TODAY())/30,"")</f>
        <v>5.833333333333333</v>
      </c>
      <c r="AI46" s="121">
        <f>+Contrato[[#This Row],[FECHA TERMINACIÓN ]]+120</f>
        <v>45958</v>
      </c>
      <c r="AJ46" s="89"/>
      <c r="AK46" s="91" t="str">
        <f ca="1">IF(Contrato[[#This Row],[FECHA TERMINACIÓN ]]&lt;TODAY(), "Terminado",IF(ISNUMBER(Contrato[[#This Row],[Fecha Real de liquiidación ]]),"Liquidado",IF(Contrato[[#This Row],[FECHA TERMINACIÓN ]]&gt;=TODAY(),"En ejecución","")))</f>
        <v>En ejecución</v>
      </c>
      <c r="AL46" s="107">
        <f ca="1">SUMIF(COMPROMISOS_2025[[#All],[consecutivo]],Contrato[[#This Row],[RCP]],COMPROMISOS_2025[[#All],[Total pagado]])</f>
        <v>0</v>
      </c>
      <c r="AM46" s="122">
        <f ca="1">IFERROR(Contrato[[#This Row],[Pagos]]/Contrato[[#This Row],[VALOR CONTRATO]],0)</f>
        <v>0</v>
      </c>
      <c r="AN46" s="160">
        <f ca="1">+Contrato[[#This Row],[VALOR CONTRATO]]-Contrato[[#This Row],[Pagos]]</f>
        <v>39614813</v>
      </c>
      <c r="AO46" s="111" t="e" cm="1">
        <f t="array" aca="1" ref="AO46" ca="1">_xlfn.XLOOKUP(Contrato[[#This Row],[DOCUMENTO ]],PERSONAL_ACTIVO_2025[[#All],[DOCUMENTO]],PERSONAL_ACTIVO_2025[[#All],[email]],0,0)</f>
        <v>#NAME?</v>
      </c>
      <c r="AP46" s="111" t="e" cm="1">
        <f t="array" aca="1" ref="AP46" ca="1">_xlfn.XLOOKUP(Contrato[[#This Row],[DOCUMENTO]],PERSONAL_ACTIVO_2025[[#All],[DOCUMENTO]],PERSONAL_ACTIVO_2025[[#All],[email]],0,0)</f>
        <v>#NAME?</v>
      </c>
      <c r="AQ46" s="111" cm="1">
        <f t="array" aca="1" ref="AQ46" ca="1">IF(ISBLANK(Contrato[[#This Row],[DEPENDENCIA ]]),0,IFERROR(_xlfn.XLOOKUP(Contrato[[#This Row],[DEPENDENCIA ]],#REF!,#REF!,0,0),0))</f>
        <v>0</v>
      </c>
      <c r="AR46" s="553">
        <f ca="1">+_xlfn.DAYS(Contrato[[#This Row],[FECHA TERMINACIÓN ]],TODAY())</f>
        <v>55</v>
      </c>
    </row>
    <row r="47" spans="1:44" s="111" customFormat="1" ht="36" customHeight="1" x14ac:dyDescent="0.25">
      <c r="A47" s="38">
        <v>510</v>
      </c>
      <c r="B47" s="226">
        <v>42</v>
      </c>
      <c r="C47" s="88" t="s">
        <v>717</v>
      </c>
      <c r="D47" s="192" t="s">
        <v>905</v>
      </c>
      <c r="E47" s="193" t="s">
        <v>112</v>
      </c>
      <c r="F47" s="194" t="s">
        <v>113</v>
      </c>
      <c r="G47" s="195" t="s">
        <v>1037</v>
      </c>
      <c r="H47" s="167">
        <v>1036951700</v>
      </c>
      <c r="I47" s="292">
        <v>7521800</v>
      </c>
      <c r="J47" s="290">
        <v>39614813</v>
      </c>
      <c r="K47" s="246" t="s">
        <v>985</v>
      </c>
      <c r="L47" s="196" t="s">
        <v>1030</v>
      </c>
      <c r="M47" s="114" t="s">
        <v>908</v>
      </c>
      <c r="N47" s="113" t="e" cm="1">
        <f t="array" aca="1" ref="N47" ca="1">_xlfn.XLOOKUP(Contrato[[#This Row],[SUPERVISOR TITULAR]],PERSONAL_ACTIVO_2025[[#All],[NOMBRES Y APELLIDOS]],PERSONAL_ACTIVO_2025[[#All],[DOCUMENTO]],"",0)</f>
        <v>#NAME?</v>
      </c>
      <c r="O47" s="114" t="s">
        <v>988</v>
      </c>
      <c r="P47" s="115" t="e" cm="1">
        <f t="array" aca="1" ref="P47" ca="1">_xlfn.XLOOKUP(Contrato[[#This Row],[SUPERVISOR SUPLENTE ]],PERSONAL_ACTIVO_2025[[#All],[NOMBRES Y APELLIDOS]],PERSONAL_ACTIVO_2025[[#All],[DOCUMENTO]],"",0)</f>
        <v>#NAME?</v>
      </c>
      <c r="Q47" s="116">
        <v>42</v>
      </c>
      <c r="R47" s="137" t="e" cm="1">
        <f t="array" aca="1" ref="R47" ca="1">_xlfn.XLOOKUP(Contrato[[#This Row],[CDP]],DISPONIBILIDADES_2025[[#All],[consecutivo]],DISPONIBILIDADES_2025[[#All],[fecha_aprobacion]],"",0)</f>
        <v>#NAME?</v>
      </c>
      <c r="S47" s="92">
        <f>SUMIF(DISPONIBILIDADES_2025[[#All],[consecutivo]],Contrato[[#This Row],[CDP]],DISPONIBILIDADES_2025[[#All],[valor_total_rubro]])</f>
        <v>39614813</v>
      </c>
      <c r="T47" s="118" t="e" cm="1">
        <f t="array" aca="1" ref="T47" ca="1">_xlfn.XLOOKUP(Contrato[[#This Row],[CONTRATO]]&amp;Contrato[[#This Row],[CDP]],Corr_Contr_CDP[[#All],[CONTRATO-CDP]],Corr_Contr_CDP[[#All],[CRP]],_xlfn.XLOOKUP(Contrato[[#This Row],[CDP]],COMPROMISOS_2025[[#All],[disponibilidad]],COMPROMISOS_2025[[#All],[consecutivo]],"",0),0)</f>
        <v>#NAME?</v>
      </c>
      <c r="U47" s="117" t="e" cm="1">
        <f t="array" aca="1" ref="U47" ca="1">+_xlfn.XLOOKUP(Contrato[[#This Row],[RCP]],COMPROMISOS_2025[[#All],[consecutivo]],COMPROMISOS_2025[[#All],[fecha_aprobacion]],"",0)</f>
        <v>#NAME?</v>
      </c>
      <c r="V47" s="93">
        <f ca="1">SUMIF(COMPROMISOS_2025[[#All],[consecutivo]],Contrato[[#This Row],[RCP]],COMPROMISOS_2025[[#All],[valor_total]])</f>
        <v>0</v>
      </c>
      <c r="W47" s="169">
        <v>45701</v>
      </c>
      <c r="X47" s="243" t="s">
        <v>901</v>
      </c>
      <c r="Y47" s="96">
        <v>45701</v>
      </c>
      <c r="Z47" s="161">
        <v>45838</v>
      </c>
      <c r="AA47" s="198" t="s">
        <v>1038</v>
      </c>
      <c r="AB47" s="119" t="s">
        <v>920</v>
      </c>
      <c r="AC47" s="112"/>
      <c r="AD47" s="279">
        <v>202000006148</v>
      </c>
      <c r="AE47" s="38" t="s">
        <v>904</v>
      </c>
      <c r="AF47" s="120" t="str">
        <f>TEXT(LEFT(Contrato[[#This Row],[CONTRATO]],3),"0")</f>
        <v>42</v>
      </c>
      <c r="AG47" s="120" t="str">
        <f>IF(LEN(Contrato[[#This Row],[Contrato2]])=3,Contrato[[#This Row],[Contrato2]],TEXT(Contrato[[#This Row],[Contrato2]],"000"))</f>
        <v>042</v>
      </c>
      <c r="AH47" s="90">
        <f ca="1">IFERROR(_xlfn.DAYS(Contrato[[#This Row],[Fecha Proyectada liquidación]],TODAY())/30,"")</f>
        <v>5.833333333333333</v>
      </c>
      <c r="AI47" s="121">
        <f>+Contrato[[#This Row],[FECHA TERMINACIÓN ]]+120</f>
        <v>45958</v>
      </c>
      <c r="AJ47" s="89"/>
      <c r="AK47" s="91" t="str">
        <f ca="1">IF(Contrato[[#This Row],[FECHA TERMINACIÓN ]]&lt;TODAY(), "Terminado",IF(ISNUMBER(Contrato[[#This Row],[Fecha Real de liquiidación ]]),"Liquidado",IF(Contrato[[#This Row],[FECHA TERMINACIÓN ]]&gt;=TODAY(),"En ejecución","")))</f>
        <v>En ejecución</v>
      </c>
      <c r="AL47" s="107">
        <f ca="1">SUMIF(COMPROMISOS_2025[[#All],[consecutivo]],Contrato[[#This Row],[RCP]],COMPROMISOS_2025[[#All],[Total pagado]])</f>
        <v>0</v>
      </c>
      <c r="AM47" s="122">
        <f ca="1">IFERROR(Contrato[[#This Row],[Pagos]]/Contrato[[#This Row],[VALOR CONTRATO]],0)</f>
        <v>0</v>
      </c>
      <c r="AN47" s="160">
        <f ca="1">+Contrato[[#This Row],[VALOR CONTRATO]]-Contrato[[#This Row],[Pagos]]</f>
        <v>39614813</v>
      </c>
      <c r="AO47" s="111" t="e" cm="1">
        <f t="array" aca="1" ref="AO47" ca="1">_xlfn.XLOOKUP(Contrato[[#This Row],[DOCUMENTO ]],PERSONAL_ACTIVO_2025[[#All],[DOCUMENTO]],PERSONAL_ACTIVO_2025[[#All],[email]],0,0)</f>
        <v>#NAME?</v>
      </c>
      <c r="AP47" s="111" t="e" cm="1">
        <f t="array" aca="1" ref="AP47" ca="1">_xlfn.XLOOKUP(Contrato[[#This Row],[DOCUMENTO]],PERSONAL_ACTIVO_2025[[#All],[DOCUMENTO]],PERSONAL_ACTIVO_2025[[#All],[email]],0,0)</f>
        <v>#NAME?</v>
      </c>
      <c r="AQ47" s="111" cm="1">
        <f t="array" aca="1" ref="AQ47" ca="1">IF(ISBLANK(Contrato[[#This Row],[DEPENDENCIA ]]),0,IFERROR(_xlfn.XLOOKUP(Contrato[[#This Row],[DEPENDENCIA ]],#REF!,#REF!,0,0),0))</f>
        <v>0</v>
      </c>
      <c r="AR47" s="553">
        <f ca="1">+_xlfn.DAYS(Contrato[[#This Row],[FECHA TERMINACIÓN ]],TODAY())</f>
        <v>55</v>
      </c>
    </row>
    <row r="48" spans="1:44" s="111" customFormat="1" ht="36" customHeight="1" x14ac:dyDescent="0.25">
      <c r="A48" s="38">
        <v>511</v>
      </c>
      <c r="B48" s="226">
        <v>43</v>
      </c>
      <c r="C48" s="88" t="s">
        <v>717</v>
      </c>
      <c r="D48" s="192" t="s">
        <v>905</v>
      </c>
      <c r="E48" s="193" t="s">
        <v>112</v>
      </c>
      <c r="F48" s="194" t="s">
        <v>113</v>
      </c>
      <c r="G48" s="195" t="s">
        <v>1039</v>
      </c>
      <c r="H48" s="167">
        <v>1216971942</v>
      </c>
      <c r="I48" s="292">
        <v>7521800</v>
      </c>
      <c r="J48" s="290">
        <v>39614813</v>
      </c>
      <c r="K48" s="246" t="s">
        <v>985</v>
      </c>
      <c r="L48" s="196" t="s">
        <v>1030</v>
      </c>
      <c r="M48" s="114" t="s">
        <v>988</v>
      </c>
      <c r="N48" s="113" t="e" cm="1">
        <f t="array" aca="1" ref="N48" ca="1">_xlfn.XLOOKUP(Contrato[[#This Row],[SUPERVISOR TITULAR]],PERSONAL_ACTIVO_2025[[#All],[NOMBRES Y APELLIDOS]],PERSONAL_ACTIVO_2025[[#All],[DOCUMENTO]],"",0)</f>
        <v>#NAME?</v>
      </c>
      <c r="O48" s="114" t="s">
        <v>907</v>
      </c>
      <c r="P48" s="115" t="e" cm="1">
        <f t="array" aca="1" ref="P48" ca="1">_xlfn.XLOOKUP(Contrato[[#This Row],[SUPERVISOR SUPLENTE ]],PERSONAL_ACTIVO_2025[[#All],[NOMBRES Y APELLIDOS]],PERSONAL_ACTIVO_2025[[#All],[DOCUMENTO]],"",0)</f>
        <v>#NAME?</v>
      </c>
      <c r="Q48" s="116">
        <v>39</v>
      </c>
      <c r="R48" s="137" t="e" cm="1">
        <f t="array" aca="1" ref="R48" ca="1">_xlfn.XLOOKUP(Contrato[[#This Row],[CDP]],DISPONIBILIDADES_2025[[#All],[consecutivo]],DISPONIBILIDADES_2025[[#All],[fecha_aprobacion]],"",0)</f>
        <v>#NAME?</v>
      </c>
      <c r="S48" s="92">
        <f>SUMIF(DISPONIBILIDADES_2025[[#All],[consecutivo]],Contrato[[#This Row],[CDP]],DISPONIBILIDADES_2025[[#All],[valor_total_rubro]])</f>
        <v>39614813</v>
      </c>
      <c r="T48" s="118" t="e" cm="1">
        <f t="array" aca="1" ref="T48" ca="1">_xlfn.XLOOKUP(Contrato[[#This Row],[CONTRATO]]&amp;Contrato[[#This Row],[CDP]],Corr_Contr_CDP[[#All],[CONTRATO-CDP]],Corr_Contr_CDP[[#All],[CRP]],_xlfn.XLOOKUP(Contrato[[#This Row],[CDP]],COMPROMISOS_2025[[#All],[disponibilidad]],COMPROMISOS_2025[[#All],[consecutivo]],"",0),0)</f>
        <v>#NAME?</v>
      </c>
      <c r="U48" s="117" t="e" cm="1">
        <f t="array" aca="1" ref="U48" ca="1">+_xlfn.XLOOKUP(Contrato[[#This Row],[RCP]],COMPROMISOS_2025[[#All],[consecutivo]],COMPROMISOS_2025[[#All],[fecha_aprobacion]],"",0)</f>
        <v>#NAME?</v>
      </c>
      <c r="V48" s="93">
        <f ca="1">SUMIF(COMPROMISOS_2025[[#All],[consecutivo]],Contrato[[#This Row],[RCP]],COMPROMISOS_2025[[#All],[valor_total]])</f>
        <v>0</v>
      </c>
      <c r="W48" s="169">
        <v>45701</v>
      </c>
      <c r="X48" s="243" t="s">
        <v>901</v>
      </c>
      <c r="Y48" s="96">
        <v>45702</v>
      </c>
      <c r="Z48" s="161">
        <v>45838</v>
      </c>
      <c r="AA48" s="198" t="s">
        <v>1040</v>
      </c>
      <c r="AB48" s="119" t="s">
        <v>920</v>
      </c>
      <c r="AC48" s="112"/>
      <c r="AD48" s="279">
        <v>202000006149</v>
      </c>
      <c r="AE48" s="38" t="s">
        <v>904</v>
      </c>
      <c r="AF48" s="120" t="str">
        <f>TEXT(LEFT(Contrato[[#This Row],[CONTRATO]],3),"0")</f>
        <v>43</v>
      </c>
      <c r="AG48" s="120" t="str">
        <f>IF(LEN(Contrato[[#This Row],[Contrato2]])=3,Contrato[[#This Row],[Contrato2]],TEXT(Contrato[[#This Row],[Contrato2]],"000"))</f>
        <v>043</v>
      </c>
      <c r="AH48" s="90">
        <f ca="1">IFERROR(_xlfn.DAYS(Contrato[[#This Row],[Fecha Proyectada liquidación]],TODAY())/30,"")</f>
        <v>5.833333333333333</v>
      </c>
      <c r="AI48" s="121">
        <f>+Contrato[[#This Row],[FECHA TERMINACIÓN ]]+120</f>
        <v>45958</v>
      </c>
      <c r="AJ48" s="89"/>
      <c r="AK48" s="91" t="str">
        <f ca="1">IF(Contrato[[#This Row],[FECHA TERMINACIÓN ]]&lt;TODAY(), "Terminado",IF(ISNUMBER(Contrato[[#This Row],[Fecha Real de liquiidación ]]),"Liquidado",IF(Contrato[[#This Row],[FECHA TERMINACIÓN ]]&gt;=TODAY(),"En ejecución","")))</f>
        <v>En ejecución</v>
      </c>
      <c r="AL48" s="107">
        <f ca="1">SUMIF(COMPROMISOS_2025[[#All],[consecutivo]],Contrato[[#This Row],[RCP]],COMPROMISOS_2025[[#All],[Total pagado]])</f>
        <v>0</v>
      </c>
      <c r="AM48" s="122">
        <f ca="1">IFERROR(Contrato[[#This Row],[Pagos]]/Contrato[[#This Row],[VALOR CONTRATO]],0)</f>
        <v>0</v>
      </c>
      <c r="AN48" s="160">
        <f ca="1">+Contrato[[#This Row],[VALOR CONTRATO]]-Contrato[[#This Row],[Pagos]]</f>
        <v>39614813</v>
      </c>
      <c r="AO48" s="111" t="e" cm="1">
        <f t="array" aca="1" ref="AO48" ca="1">_xlfn.XLOOKUP(Contrato[[#This Row],[DOCUMENTO ]],PERSONAL_ACTIVO_2025[[#All],[DOCUMENTO]],PERSONAL_ACTIVO_2025[[#All],[email]],0,0)</f>
        <v>#NAME?</v>
      </c>
      <c r="AP48" s="111" t="e" cm="1">
        <f t="array" aca="1" ref="AP48" ca="1">_xlfn.XLOOKUP(Contrato[[#This Row],[DOCUMENTO]],PERSONAL_ACTIVO_2025[[#All],[DOCUMENTO]],PERSONAL_ACTIVO_2025[[#All],[email]],0,0)</f>
        <v>#NAME?</v>
      </c>
      <c r="AQ48" s="111" cm="1">
        <f t="array" aca="1" ref="AQ48" ca="1">IF(ISBLANK(Contrato[[#This Row],[DEPENDENCIA ]]),0,IFERROR(_xlfn.XLOOKUP(Contrato[[#This Row],[DEPENDENCIA ]],#REF!,#REF!,0,0),0))</f>
        <v>0</v>
      </c>
      <c r="AR48" s="553">
        <f ca="1">+_xlfn.DAYS(Contrato[[#This Row],[FECHA TERMINACIÓN ]],TODAY())</f>
        <v>55</v>
      </c>
    </row>
    <row r="49" spans="1:44" s="111" customFormat="1" ht="36" customHeight="1" x14ac:dyDescent="0.25">
      <c r="A49" s="38">
        <v>512</v>
      </c>
      <c r="B49" s="226">
        <v>44</v>
      </c>
      <c r="C49" s="88" t="s">
        <v>717</v>
      </c>
      <c r="D49" s="192" t="s">
        <v>905</v>
      </c>
      <c r="E49" s="193" t="s">
        <v>112</v>
      </c>
      <c r="F49" s="194" t="s">
        <v>113</v>
      </c>
      <c r="G49" s="195" t="s">
        <v>1041</v>
      </c>
      <c r="H49" s="167">
        <v>1152208409</v>
      </c>
      <c r="I49" s="292">
        <v>7521800</v>
      </c>
      <c r="J49" s="290">
        <v>39614813</v>
      </c>
      <c r="K49" s="246" t="s">
        <v>985</v>
      </c>
      <c r="L49" s="196" t="s">
        <v>1030</v>
      </c>
      <c r="M49" s="114" t="s">
        <v>988</v>
      </c>
      <c r="N49" s="113" t="e" cm="1">
        <f t="array" aca="1" ref="N49" ca="1">_xlfn.XLOOKUP(Contrato[[#This Row],[SUPERVISOR TITULAR]],PERSONAL_ACTIVO_2025[[#All],[NOMBRES Y APELLIDOS]],PERSONAL_ACTIVO_2025[[#All],[DOCUMENTO]],"",0)</f>
        <v>#NAME?</v>
      </c>
      <c r="O49" s="114" t="s">
        <v>907</v>
      </c>
      <c r="P49" s="115" t="e" cm="1">
        <f t="array" aca="1" ref="P49" ca="1">_xlfn.XLOOKUP(Contrato[[#This Row],[SUPERVISOR SUPLENTE ]],PERSONAL_ACTIVO_2025[[#All],[NOMBRES Y APELLIDOS]],PERSONAL_ACTIVO_2025[[#All],[DOCUMENTO]],"",0)</f>
        <v>#NAME?</v>
      </c>
      <c r="Q49" s="116">
        <v>40</v>
      </c>
      <c r="R49" s="137" t="e" cm="1">
        <f t="array" aca="1" ref="R49" ca="1">_xlfn.XLOOKUP(Contrato[[#This Row],[CDP]],DISPONIBILIDADES_2025[[#All],[consecutivo]],DISPONIBILIDADES_2025[[#All],[fecha_aprobacion]],"",0)</f>
        <v>#NAME?</v>
      </c>
      <c r="S49" s="92">
        <f>SUMIF(DISPONIBILIDADES_2025[[#All],[consecutivo]],Contrato[[#This Row],[CDP]],DISPONIBILIDADES_2025[[#All],[valor_total_rubro]])</f>
        <v>39614813</v>
      </c>
      <c r="T49" s="118" t="e" cm="1">
        <f t="array" aca="1" ref="T49" ca="1">_xlfn.XLOOKUP(Contrato[[#This Row],[CONTRATO]]&amp;Contrato[[#This Row],[CDP]],Corr_Contr_CDP[[#All],[CONTRATO-CDP]],Corr_Contr_CDP[[#All],[CRP]],_xlfn.XLOOKUP(Contrato[[#This Row],[CDP]],COMPROMISOS_2025[[#All],[disponibilidad]],COMPROMISOS_2025[[#All],[consecutivo]],"",0),0)</f>
        <v>#NAME?</v>
      </c>
      <c r="U49" s="117" t="e" cm="1">
        <f t="array" aca="1" ref="U49" ca="1">+_xlfn.XLOOKUP(Contrato[[#This Row],[RCP]],COMPROMISOS_2025[[#All],[consecutivo]],COMPROMISOS_2025[[#All],[fecha_aprobacion]],"",0)</f>
        <v>#NAME?</v>
      </c>
      <c r="V49" s="93">
        <f ca="1">SUMIF(COMPROMISOS_2025[[#All],[consecutivo]],Contrato[[#This Row],[RCP]],COMPROMISOS_2025[[#All],[valor_total]])</f>
        <v>0</v>
      </c>
      <c r="W49" s="169">
        <v>45701</v>
      </c>
      <c r="X49" s="243" t="s">
        <v>901</v>
      </c>
      <c r="Y49" s="96">
        <v>45702</v>
      </c>
      <c r="Z49" s="161">
        <v>45838</v>
      </c>
      <c r="AA49" s="198" t="s">
        <v>1042</v>
      </c>
      <c r="AB49" s="119" t="s">
        <v>920</v>
      </c>
      <c r="AC49" s="112"/>
      <c r="AD49" s="279">
        <v>202000006150</v>
      </c>
      <c r="AE49" s="38"/>
      <c r="AF49" s="120" t="str">
        <f>TEXT(LEFT(Contrato[[#This Row],[CONTRATO]],3),"0")</f>
        <v>44</v>
      </c>
      <c r="AG49" s="120" t="str">
        <f>IF(LEN(Contrato[[#This Row],[Contrato2]])=3,Contrato[[#This Row],[Contrato2]],TEXT(Contrato[[#This Row],[Contrato2]],"000"))</f>
        <v>044</v>
      </c>
      <c r="AH49" s="90">
        <f ca="1">IFERROR(_xlfn.DAYS(Contrato[[#This Row],[Fecha Proyectada liquidación]],TODAY())/30,"")</f>
        <v>5.833333333333333</v>
      </c>
      <c r="AI49" s="121">
        <f>+Contrato[[#This Row],[FECHA TERMINACIÓN ]]+120</f>
        <v>45958</v>
      </c>
      <c r="AJ49" s="89"/>
      <c r="AK49" s="91" t="str">
        <f ca="1">IF(Contrato[[#This Row],[FECHA TERMINACIÓN ]]&lt;TODAY(), "Terminado",IF(ISNUMBER(Contrato[[#This Row],[Fecha Real de liquiidación ]]),"Liquidado",IF(Contrato[[#This Row],[FECHA TERMINACIÓN ]]&gt;=TODAY(),"En ejecución","")))</f>
        <v>En ejecución</v>
      </c>
      <c r="AL49" s="107">
        <f ca="1">SUMIF(COMPROMISOS_2025[[#All],[consecutivo]],Contrato[[#This Row],[RCP]],COMPROMISOS_2025[[#All],[Total pagado]])</f>
        <v>0</v>
      </c>
      <c r="AM49" s="122">
        <f ca="1">IFERROR(Contrato[[#This Row],[Pagos]]/Contrato[[#This Row],[VALOR CONTRATO]],0)</f>
        <v>0</v>
      </c>
      <c r="AN49" s="160">
        <f ca="1">+Contrato[[#This Row],[VALOR CONTRATO]]-Contrato[[#This Row],[Pagos]]</f>
        <v>39614813</v>
      </c>
      <c r="AO49" s="111" t="e" cm="1">
        <f t="array" aca="1" ref="AO49" ca="1">_xlfn.XLOOKUP(Contrato[[#This Row],[DOCUMENTO ]],PERSONAL_ACTIVO_2025[[#All],[DOCUMENTO]],PERSONAL_ACTIVO_2025[[#All],[email]],0,0)</f>
        <v>#NAME?</v>
      </c>
      <c r="AP49" s="111" t="e" cm="1">
        <f t="array" aca="1" ref="AP49" ca="1">_xlfn.XLOOKUP(Contrato[[#This Row],[DOCUMENTO]],PERSONAL_ACTIVO_2025[[#All],[DOCUMENTO]],PERSONAL_ACTIVO_2025[[#All],[email]],0,0)</f>
        <v>#NAME?</v>
      </c>
      <c r="AQ49" s="111" cm="1">
        <f t="array" aca="1" ref="AQ49" ca="1">IF(ISBLANK(Contrato[[#This Row],[DEPENDENCIA ]]),0,IFERROR(_xlfn.XLOOKUP(Contrato[[#This Row],[DEPENDENCIA ]],#REF!,#REF!,0,0),0))</f>
        <v>0</v>
      </c>
      <c r="AR49" s="553">
        <f ca="1">+_xlfn.DAYS(Contrato[[#This Row],[FECHA TERMINACIÓN ]],TODAY())</f>
        <v>55</v>
      </c>
    </row>
    <row r="50" spans="1:44" s="111" customFormat="1" ht="36" customHeight="1" x14ac:dyDescent="0.25">
      <c r="A50" s="38">
        <v>498</v>
      </c>
      <c r="B50" s="226">
        <v>45</v>
      </c>
      <c r="C50" s="88" t="s">
        <v>709</v>
      </c>
      <c r="D50" s="192" t="s">
        <v>1043</v>
      </c>
      <c r="E50" s="193" t="s">
        <v>112</v>
      </c>
      <c r="F50" s="194" t="s">
        <v>113</v>
      </c>
      <c r="G50" s="195" t="s">
        <v>1044</v>
      </c>
      <c r="H50" s="167">
        <v>1128417217</v>
      </c>
      <c r="I50" s="292">
        <v>7521800</v>
      </c>
      <c r="J50" s="290">
        <v>37609000</v>
      </c>
      <c r="K50" s="158" t="s">
        <v>41</v>
      </c>
      <c r="L50" s="196" t="s">
        <v>1002</v>
      </c>
      <c r="M50" s="114" t="s">
        <v>1045</v>
      </c>
      <c r="N50" s="113" t="e" cm="1">
        <f t="array" aca="1" ref="N50" ca="1">_xlfn.XLOOKUP(Contrato[[#This Row],[SUPERVISOR TITULAR]],PERSONAL_ACTIVO_2025[[#All],[NOMBRES Y APELLIDOS]],PERSONAL_ACTIVO_2025[[#All],[DOCUMENTO]],"",0)</f>
        <v>#NAME?</v>
      </c>
      <c r="O50" s="114" t="s">
        <v>1046</v>
      </c>
      <c r="P50" s="115" t="e" cm="1">
        <f t="array" aca="1" ref="P50" ca="1">_xlfn.XLOOKUP(Contrato[[#This Row],[SUPERVISOR SUPLENTE ]],PERSONAL_ACTIVO_2025[[#All],[NOMBRES Y APELLIDOS]],PERSONAL_ACTIVO_2025[[#All],[DOCUMENTO]],"",0)</f>
        <v>#NAME?</v>
      </c>
      <c r="Q50" s="116">
        <v>55</v>
      </c>
      <c r="R50" s="137" t="e" cm="1">
        <f t="array" aca="1" ref="R50" ca="1">_xlfn.XLOOKUP(Contrato[[#This Row],[CDP]],DISPONIBILIDADES_2025[[#All],[consecutivo]],DISPONIBILIDADES_2025[[#All],[fecha_aprobacion]],"",0)</f>
        <v>#NAME?</v>
      </c>
      <c r="S50" s="92">
        <f>SUMIF(DISPONIBILIDADES_2025[[#All],[consecutivo]],Contrato[[#This Row],[CDP]],DISPONIBILIDADES_2025[[#All],[valor_total_rubro]])</f>
        <v>37609000</v>
      </c>
      <c r="T50" s="118" t="e" cm="1">
        <f t="array" aca="1" ref="T50" ca="1">_xlfn.XLOOKUP(Contrato[[#This Row],[CONTRATO]]&amp;Contrato[[#This Row],[CDP]],Corr_Contr_CDP[[#All],[CONTRATO-CDP]],Corr_Contr_CDP[[#All],[CRP]],_xlfn.XLOOKUP(Contrato[[#This Row],[CDP]],COMPROMISOS_2025[[#All],[disponibilidad]],COMPROMISOS_2025[[#All],[consecutivo]],"",0),0)</f>
        <v>#NAME?</v>
      </c>
      <c r="U50" s="117" t="e" cm="1">
        <f t="array" aca="1" ref="U50" ca="1">+_xlfn.XLOOKUP(Contrato[[#This Row],[RCP]],COMPROMISOS_2025[[#All],[consecutivo]],COMPROMISOS_2025[[#All],[fecha_aprobacion]],"",0)</f>
        <v>#NAME?</v>
      </c>
      <c r="V50" s="93">
        <f ca="1">SUMIF(COMPROMISOS_2025[[#All],[consecutivo]],Contrato[[#This Row],[RCP]],COMPROMISOS_2025[[#All],[valor_total]])</f>
        <v>0</v>
      </c>
      <c r="W50" s="169">
        <v>45700</v>
      </c>
      <c r="X50" s="243" t="s">
        <v>901</v>
      </c>
      <c r="Y50" s="96">
        <v>45701</v>
      </c>
      <c r="Z50" s="161">
        <v>45851</v>
      </c>
      <c r="AA50" s="198" t="s">
        <v>1042</v>
      </c>
      <c r="AB50" s="119" t="s">
        <v>920</v>
      </c>
      <c r="AC50" s="112"/>
      <c r="AD50" s="279">
        <v>202000006151</v>
      </c>
      <c r="AE50" s="38" t="s">
        <v>904</v>
      </c>
      <c r="AF50" s="120" t="str">
        <f>TEXT(LEFT(Contrato[[#This Row],[CONTRATO]],3),"0")</f>
        <v>45</v>
      </c>
      <c r="AG50" s="120" t="str">
        <f>IF(LEN(Contrato[[#This Row],[Contrato2]])=3,Contrato[[#This Row],[Contrato2]],TEXT(Contrato[[#This Row],[Contrato2]],"000"))</f>
        <v>045</v>
      </c>
      <c r="AH50" s="90">
        <f ca="1">IFERROR(_xlfn.DAYS(Contrato[[#This Row],[Fecha Proyectada liquidación]],TODAY())/30,"")</f>
        <v>6.2666666666666666</v>
      </c>
      <c r="AI50" s="121">
        <f>+Contrato[[#This Row],[FECHA TERMINACIÓN ]]+120</f>
        <v>45971</v>
      </c>
      <c r="AJ50" s="89"/>
      <c r="AK50" s="91" t="str">
        <f ca="1">IF(Contrato[[#This Row],[FECHA TERMINACIÓN ]]&lt;TODAY(), "Terminado",IF(ISNUMBER(Contrato[[#This Row],[Fecha Real de liquiidación ]]),"Liquidado",IF(Contrato[[#This Row],[FECHA TERMINACIÓN ]]&gt;=TODAY(),"En ejecución","")))</f>
        <v>En ejecución</v>
      </c>
      <c r="AL50" s="107">
        <f ca="1">SUMIF(COMPROMISOS_2025[[#All],[consecutivo]],Contrato[[#This Row],[RCP]],COMPROMISOS_2025[[#All],[Total pagado]])</f>
        <v>0</v>
      </c>
      <c r="AM50" s="122">
        <f ca="1">IFERROR(Contrato[[#This Row],[Pagos]]/Contrato[[#This Row],[VALOR CONTRATO]],0)</f>
        <v>0</v>
      </c>
      <c r="AN50" s="160">
        <f ca="1">+Contrato[[#This Row],[VALOR CONTRATO]]-Contrato[[#This Row],[Pagos]]</f>
        <v>37609000</v>
      </c>
      <c r="AO50" s="111" t="e" cm="1">
        <f t="array" aca="1" ref="AO50" ca="1">_xlfn.XLOOKUP(Contrato[[#This Row],[DOCUMENTO ]],PERSONAL_ACTIVO_2025[[#All],[DOCUMENTO]],PERSONAL_ACTIVO_2025[[#All],[email]],0,0)</f>
        <v>#NAME?</v>
      </c>
      <c r="AP50" s="111" t="e" cm="1">
        <f t="array" aca="1" ref="AP50" ca="1">_xlfn.XLOOKUP(Contrato[[#This Row],[DOCUMENTO]],PERSONAL_ACTIVO_2025[[#All],[DOCUMENTO]],PERSONAL_ACTIVO_2025[[#All],[email]],0,0)</f>
        <v>#NAME?</v>
      </c>
      <c r="AQ50" s="111" cm="1">
        <f t="array" aca="1" ref="AQ50" ca="1">IF(ISBLANK(Contrato[[#This Row],[DEPENDENCIA ]]),0,IFERROR(_xlfn.XLOOKUP(Contrato[[#This Row],[DEPENDENCIA ]],#REF!,#REF!,0,0),0))</f>
        <v>0</v>
      </c>
      <c r="AR50" s="553">
        <f ca="1">+_xlfn.DAYS(Contrato[[#This Row],[FECHA TERMINACIÓN ]],TODAY())</f>
        <v>68</v>
      </c>
    </row>
    <row r="51" spans="1:44" s="111" customFormat="1" ht="36" customHeight="1" x14ac:dyDescent="0.25">
      <c r="A51" s="38">
        <v>536</v>
      </c>
      <c r="B51" s="226">
        <v>46</v>
      </c>
      <c r="C51" s="88" t="s">
        <v>738</v>
      </c>
      <c r="D51" s="192" t="s">
        <v>883</v>
      </c>
      <c r="E51" s="193" t="s">
        <v>112</v>
      </c>
      <c r="F51" s="194" t="s">
        <v>113</v>
      </c>
      <c r="G51" s="195" t="s">
        <v>1047</v>
      </c>
      <c r="H51" s="167">
        <v>43816660</v>
      </c>
      <c r="I51" s="292">
        <v>7521800</v>
      </c>
      <c r="J51" s="290">
        <v>37609000</v>
      </c>
      <c r="K51" s="158" t="s">
        <v>41</v>
      </c>
      <c r="L51" s="196" t="s">
        <v>1030</v>
      </c>
      <c r="M51" s="114" t="s">
        <v>954</v>
      </c>
      <c r="N51" s="113" t="e" cm="1">
        <f t="array" aca="1" ref="N51" ca="1">_xlfn.XLOOKUP(Contrato[[#This Row],[SUPERVISOR TITULAR]],PERSONAL_ACTIVO_2025[[#All],[NOMBRES Y APELLIDOS]],PERSONAL_ACTIVO_2025[[#All],[DOCUMENTO]],"",0)</f>
        <v>#NAME?</v>
      </c>
      <c r="O51" s="114" t="s">
        <v>1031</v>
      </c>
      <c r="P51" s="115" t="e" cm="1">
        <f t="array" aca="1" ref="P51" ca="1">_xlfn.XLOOKUP(Contrato[[#This Row],[SUPERVISOR SUPLENTE ]],PERSONAL_ACTIVO_2025[[#All],[NOMBRES Y APELLIDOS]],PERSONAL_ACTIVO_2025[[#All],[DOCUMENTO]],"",0)</f>
        <v>#NAME?</v>
      </c>
      <c r="Q51" s="116">
        <v>285</v>
      </c>
      <c r="R51" s="137" t="e" cm="1">
        <f t="array" aca="1" ref="R51" ca="1">_xlfn.XLOOKUP(Contrato[[#This Row],[CDP]],DISPONIBILIDADES_2025[[#All],[consecutivo]],DISPONIBILIDADES_2025[[#All],[fecha_aprobacion]],"",0)</f>
        <v>#NAME?</v>
      </c>
      <c r="S51" s="92">
        <f>SUMIF(DISPONIBILIDADES_2025[[#All],[consecutivo]],Contrato[[#This Row],[CDP]],DISPONIBILIDADES_2025[[#All],[valor_total_rubro]])</f>
        <v>37609000</v>
      </c>
      <c r="T51" s="118" t="e" cm="1">
        <f t="array" aca="1" ref="T51" ca="1">_xlfn.XLOOKUP(Contrato[[#This Row],[CONTRATO]]&amp;Contrato[[#This Row],[CDP]],Corr_Contr_CDP[[#All],[CONTRATO-CDP]],Corr_Contr_CDP[[#All],[CRP]],_xlfn.XLOOKUP(Contrato[[#This Row],[CDP]],COMPROMISOS_2025[[#All],[disponibilidad]],COMPROMISOS_2025[[#All],[consecutivo]],"",0),0)</f>
        <v>#NAME?</v>
      </c>
      <c r="U51" s="117" t="e" cm="1">
        <f t="array" aca="1" ref="U51" ca="1">+_xlfn.XLOOKUP(Contrato[[#This Row],[RCP]],COMPROMISOS_2025[[#All],[consecutivo]],COMPROMISOS_2025[[#All],[fecha_aprobacion]],"",0)</f>
        <v>#NAME?</v>
      </c>
      <c r="V51" s="93">
        <f ca="1">SUMIF(COMPROMISOS_2025[[#All],[consecutivo]],Contrato[[#This Row],[RCP]],COMPROMISOS_2025[[#All],[valor_total]])</f>
        <v>0</v>
      </c>
      <c r="W51" s="169">
        <v>45701</v>
      </c>
      <c r="X51" s="243" t="s">
        <v>901</v>
      </c>
      <c r="Y51" s="96">
        <v>45702</v>
      </c>
      <c r="Z51" s="161">
        <v>45851</v>
      </c>
      <c r="AA51" s="198" t="s">
        <v>1048</v>
      </c>
      <c r="AB51" s="119" t="s">
        <v>920</v>
      </c>
      <c r="AC51" s="112"/>
      <c r="AD51" s="279">
        <v>202000006152</v>
      </c>
      <c r="AE51" s="38"/>
      <c r="AF51" s="120" t="str">
        <f>TEXT(LEFT(Contrato[[#This Row],[CONTRATO]],3),"0")</f>
        <v>46</v>
      </c>
      <c r="AG51" s="120" t="str">
        <f>IF(LEN(Contrato[[#This Row],[Contrato2]])=3,Contrato[[#This Row],[Contrato2]],TEXT(Contrato[[#This Row],[Contrato2]],"000"))</f>
        <v>046</v>
      </c>
      <c r="AH51" s="90">
        <f ca="1">IFERROR(_xlfn.DAYS(Contrato[[#This Row],[Fecha Proyectada liquidación]],TODAY())/30,"")</f>
        <v>6.2666666666666666</v>
      </c>
      <c r="AI51" s="121">
        <f>+Contrato[[#This Row],[FECHA TERMINACIÓN ]]+120</f>
        <v>45971</v>
      </c>
      <c r="AJ51" s="89"/>
      <c r="AK51" s="91" t="str">
        <f ca="1">IF(Contrato[[#This Row],[FECHA TERMINACIÓN ]]&lt;TODAY(), "Terminado",IF(ISNUMBER(Contrato[[#This Row],[Fecha Real de liquiidación ]]),"Liquidado",IF(Contrato[[#This Row],[FECHA TERMINACIÓN ]]&gt;=TODAY(),"En ejecución","")))</f>
        <v>En ejecución</v>
      </c>
      <c r="AL51" s="107">
        <f ca="1">SUMIF(COMPROMISOS_2025[[#All],[consecutivo]],Contrato[[#This Row],[RCP]],COMPROMISOS_2025[[#All],[Total pagado]])</f>
        <v>0</v>
      </c>
      <c r="AM51" s="122">
        <f ca="1">IFERROR(Contrato[[#This Row],[Pagos]]/Contrato[[#This Row],[VALOR CONTRATO]],0)</f>
        <v>0</v>
      </c>
      <c r="AN51" s="160">
        <f ca="1">+Contrato[[#This Row],[VALOR CONTRATO]]-Contrato[[#This Row],[Pagos]]</f>
        <v>37609000</v>
      </c>
      <c r="AO51" s="111" t="e" cm="1">
        <f t="array" aca="1" ref="AO51" ca="1">_xlfn.XLOOKUP(Contrato[[#This Row],[DOCUMENTO ]],PERSONAL_ACTIVO_2025[[#All],[DOCUMENTO]],PERSONAL_ACTIVO_2025[[#All],[email]],0,0)</f>
        <v>#NAME?</v>
      </c>
      <c r="AP51" s="111" t="e" cm="1">
        <f t="array" aca="1" ref="AP51" ca="1">_xlfn.XLOOKUP(Contrato[[#This Row],[DOCUMENTO]],PERSONAL_ACTIVO_2025[[#All],[DOCUMENTO]],PERSONAL_ACTIVO_2025[[#All],[email]],0,0)</f>
        <v>#NAME?</v>
      </c>
      <c r="AQ51" s="111" cm="1">
        <f t="array" aca="1" ref="AQ51" ca="1">IF(ISBLANK(Contrato[[#This Row],[DEPENDENCIA ]]),0,IFERROR(_xlfn.XLOOKUP(Contrato[[#This Row],[DEPENDENCIA ]],#REF!,#REF!,0,0),0))</f>
        <v>0</v>
      </c>
      <c r="AR51" s="553">
        <f ca="1">+_xlfn.DAYS(Contrato[[#This Row],[FECHA TERMINACIÓN ]],TODAY())</f>
        <v>68</v>
      </c>
    </row>
    <row r="52" spans="1:44" s="111" customFormat="1" ht="36" customHeight="1" x14ac:dyDescent="0.25">
      <c r="A52" s="38">
        <v>465</v>
      </c>
      <c r="B52" s="226">
        <v>47</v>
      </c>
      <c r="C52" s="88" t="s">
        <v>669</v>
      </c>
      <c r="D52" s="192" t="s">
        <v>911</v>
      </c>
      <c r="E52" s="193" t="s">
        <v>112</v>
      </c>
      <c r="F52" s="194" t="s">
        <v>113</v>
      </c>
      <c r="G52" s="195" t="s">
        <v>1049</v>
      </c>
      <c r="H52" s="167">
        <v>1017126471</v>
      </c>
      <c r="I52" s="292">
        <v>4786600</v>
      </c>
      <c r="J52" s="290">
        <v>47706447</v>
      </c>
      <c r="K52" s="158" t="s">
        <v>41</v>
      </c>
      <c r="L52" s="196" t="s">
        <v>1050</v>
      </c>
      <c r="M52" s="114" t="s">
        <v>886</v>
      </c>
      <c r="N52" s="113" t="e" cm="1">
        <f t="array" aca="1" ref="N52" ca="1">_xlfn.XLOOKUP(Contrato[[#This Row],[SUPERVISOR TITULAR]],PERSONAL_ACTIVO_2025[[#All],[NOMBRES Y APELLIDOS]],PERSONAL_ACTIVO_2025[[#All],[DOCUMENTO]],"",0)</f>
        <v>#NAME?</v>
      </c>
      <c r="O52" s="114" t="s">
        <v>991</v>
      </c>
      <c r="P52" s="115" t="e" cm="1">
        <f t="array" aca="1" ref="P52" ca="1">_xlfn.XLOOKUP(Contrato[[#This Row],[SUPERVISOR SUPLENTE ]],PERSONAL_ACTIVO_2025[[#All],[NOMBRES Y APELLIDOS]],PERSONAL_ACTIVO_2025[[#All],[DOCUMENTO]],"",0)</f>
        <v>#NAME?</v>
      </c>
      <c r="Q52" s="116">
        <v>69</v>
      </c>
      <c r="R52" s="137" t="e" cm="1">
        <f t="array" aca="1" ref="R52" ca="1">_xlfn.XLOOKUP(Contrato[[#This Row],[CDP]],DISPONIBILIDADES_2025[[#All],[consecutivo]],DISPONIBILIDADES_2025[[#All],[fecha_aprobacion]],"",0)</f>
        <v>#NAME?</v>
      </c>
      <c r="S52" s="92">
        <f>SUMIF(DISPONIBILIDADES_2025[[#All],[consecutivo]],Contrato[[#This Row],[CDP]],DISPONIBILIDADES_2025[[#All],[valor_total_rubro]])</f>
        <v>47860000</v>
      </c>
      <c r="T52" s="118" t="e" cm="1">
        <f t="array" aca="1" ref="T52" ca="1">_xlfn.XLOOKUP(Contrato[[#This Row],[CONTRATO]]&amp;Contrato[[#This Row],[CDP]],Corr_Contr_CDP[[#All],[CONTRATO-CDP]],Corr_Contr_CDP[[#All],[CRP]],_xlfn.XLOOKUP(Contrato[[#This Row],[CDP]],COMPROMISOS_2025[[#All],[disponibilidad]],COMPROMISOS_2025[[#All],[consecutivo]],"",0),0)</f>
        <v>#NAME?</v>
      </c>
      <c r="U52" s="117" t="e" cm="1">
        <f t="array" aca="1" ref="U52" ca="1">+_xlfn.XLOOKUP(Contrato[[#This Row],[RCP]],COMPROMISOS_2025[[#All],[consecutivo]],COMPROMISOS_2025[[#All],[fecha_aprobacion]],"",0)</f>
        <v>#NAME?</v>
      </c>
      <c r="V52" s="93">
        <f ca="1">SUMIF(COMPROMISOS_2025[[#All],[consecutivo]],Contrato[[#This Row],[RCP]],COMPROMISOS_2025[[#All],[valor_total]])</f>
        <v>0</v>
      </c>
      <c r="W52" s="169">
        <v>45700</v>
      </c>
      <c r="X52" s="243" t="s">
        <v>901</v>
      </c>
      <c r="Y52" s="96">
        <v>45701</v>
      </c>
      <c r="Z52" s="161">
        <v>46003</v>
      </c>
      <c r="AA52" s="198" t="s">
        <v>1051</v>
      </c>
      <c r="AB52" s="119" t="s">
        <v>1052</v>
      </c>
      <c r="AC52" s="112"/>
      <c r="AD52" s="279">
        <v>202000006153</v>
      </c>
      <c r="AE52" s="38" t="s">
        <v>904</v>
      </c>
      <c r="AF52" s="120" t="str">
        <f>TEXT(LEFT(Contrato[[#This Row],[CONTRATO]],3),"0")</f>
        <v>47</v>
      </c>
      <c r="AG52" s="120" t="str">
        <f>IF(LEN(Contrato[[#This Row],[Contrato2]])=3,Contrato[[#This Row],[Contrato2]],TEXT(Contrato[[#This Row],[Contrato2]],"000"))</f>
        <v>047</v>
      </c>
      <c r="AH52" s="90">
        <f ca="1">IFERROR(_xlfn.DAYS(Contrato[[#This Row],[Fecha Proyectada liquidación]],TODAY())/30,"")</f>
        <v>11.333333333333334</v>
      </c>
      <c r="AI52" s="121">
        <f>+Contrato[[#This Row],[FECHA TERMINACIÓN ]]+120</f>
        <v>46123</v>
      </c>
      <c r="AJ52" s="89"/>
      <c r="AK52" s="91" t="str">
        <f ca="1">IF(Contrato[[#This Row],[FECHA TERMINACIÓN ]]&lt;TODAY(), "Terminado",IF(ISNUMBER(Contrato[[#This Row],[Fecha Real de liquiidación ]]),"Liquidado",IF(Contrato[[#This Row],[FECHA TERMINACIÓN ]]&gt;=TODAY(),"En ejecución","")))</f>
        <v>En ejecución</v>
      </c>
      <c r="AL52" s="107">
        <f ca="1">SUMIF(COMPROMISOS_2025[[#All],[consecutivo]],Contrato[[#This Row],[RCP]],COMPROMISOS_2025[[#All],[Total pagado]])</f>
        <v>0</v>
      </c>
      <c r="AM52" s="122">
        <f ca="1">IFERROR(Contrato[[#This Row],[Pagos]]/Contrato[[#This Row],[VALOR CONTRATO]],0)</f>
        <v>0</v>
      </c>
      <c r="AN52" s="160">
        <f ca="1">+Contrato[[#This Row],[VALOR CONTRATO]]-Contrato[[#This Row],[Pagos]]</f>
        <v>47706447</v>
      </c>
      <c r="AO52" s="111" t="e" cm="1">
        <f t="array" aca="1" ref="AO52" ca="1">_xlfn.XLOOKUP(Contrato[[#This Row],[DOCUMENTO ]],PERSONAL_ACTIVO_2025[[#All],[DOCUMENTO]],PERSONAL_ACTIVO_2025[[#All],[email]],0,0)</f>
        <v>#NAME?</v>
      </c>
      <c r="AP52" s="111" t="e" cm="1">
        <f t="array" aca="1" ref="AP52" ca="1">_xlfn.XLOOKUP(Contrato[[#This Row],[DOCUMENTO]],PERSONAL_ACTIVO_2025[[#All],[DOCUMENTO]],PERSONAL_ACTIVO_2025[[#All],[email]],0,0)</f>
        <v>#NAME?</v>
      </c>
      <c r="AQ52" s="111" cm="1">
        <f t="array" aca="1" ref="AQ52" ca="1">IF(ISBLANK(Contrato[[#This Row],[DEPENDENCIA ]]),0,IFERROR(_xlfn.XLOOKUP(Contrato[[#This Row],[DEPENDENCIA ]],#REF!,#REF!,0,0),0))</f>
        <v>0</v>
      </c>
      <c r="AR52" s="553">
        <f ca="1">+_xlfn.DAYS(Contrato[[#This Row],[FECHA TERMINACIÓN ]],TODAY())</f>
        <v>220</v>
      </c>
    </row>
    <row r="53" spans="1:44" s="111" customFormat="1" ht="36" customHeight="1" x14ac:dyDescent="0.25">
      <c r="A53" s="38">
        <v>535</v>
      </c>
      <c r="B53" s="226">
        <v>48</v>
      </c>
      <c r="C53" s="88" t="s">
        <v>737</v>
      </c>
      <c r="D53" s="192" t="s">
        <v>930</v>
      </c>
      <c r="E53" s="193" t="s">
        <v>112</v>
      </c>
      <c r="F53" s="194" t="s">
        <v>113</v>
      </c>
      <c r="G53" s="195" t="s">
        <v>1053</v>
      </c>
      <c r="H53" s="167">
        <v>1017164201</v>
      </c>
      <c r="I53" s="292">
        <v>4786600</v>
      </c>
      <c r="J53" s="290">
        <v>56616000</v>
      </c>
      <c r="K53" s="246" t="s">
        <v>1054</v>
      </c>
      <c r="L53" s="196" t="s">
        <v>1050</v>
      </c>
      <c r="M53" s="114" t="s">
        <v>971</v>
      </c>
      <c r="N53" s="113" t="e" cm="1">
        <f t="array" aca="1" ref="N53" ca="1">_xlfn.XLOOKUP(Contrato[[#This Row],[SUPERVISOR TITULAR]],PERSONAL_ACTIVO_2025[[#All],[NOMBRES Y APELLIDOS]],PERSONAL_ACTIVO_2025[[#All],[DOCUMENTO]],"",0)</f>
        <v>#NAME?</v>
      </c>
      <c r="O53" s="114" t="s">
        <v>1055</v>
      </c>
      <c r="P53" s="115" t="e" cm="1">
        <f t="array" aca="1" ref="P53" ca="1">_xlfn.XLOOKUP(Contrato[[#This Row],[SUPERVISOR SUPLENTE ]],PERSONAL_ACTIVO_2025[[#All],[NOMBRES Y APELLIDOS]],PERSONAL_ACTIVO_2025[[#All],[DOCUMENTO]],"",0)</f>
        <v>#NAME?</v>
      </c>
      <c r="Q53" s="116">
        <v>77</v>
      </c>
      <c r="R53" s="137" t="e" cm="1">
        <f t="array" aca="1" ref="R53" ca="1">_xlfn.XLOOKUP(Contrato[[#This Row],[CDP]],DISPONIBILIDADES_2025[[#All],[consecutivo]],DISPONIBILIDADES_2025[[#All],[fecha_aprobacion]],"",0)</f>
        <v>#NAME?</v>
      </c>
      <c r="S53" s="92">
        <f>SUMIF(DISPONIBILIDADES_2025[[#All],[consecutivo]],Contrato[[#This Row],[CDP]],DISPONIBILIDADES_2025[[#All],[valor_total_rubro]])</f>
        <v>56616000</v>
      </c>
      <c r="T53" s="118" t="e" cm="1">
        <f t="array" aca="1" ref="T53" ca="1">_xlfn.XLOOKUP(Contrato[[#This Row],[CONTRATO]]&amp;Contrato[[#This Row],[CDP]],Corr_Contr_CDP[[#All],[CONTRATO-CDP]],Corr_Contr_CDP[[#All],[CRP]],_xlfn.XLOOKUP(Contrato[[#This Row],[CDP]],COMPROMISOS_2025[[#All],[disponibilidad]],COMPROMISOS_2025[[#All],[consecutivo]],"",0),0)</f>
        <v>#NAME?</v>
      </c>
      <c r="U53" s="117" t="e" cm="1">
        <f t="array" aca="1" ref="U53" ca="1">+_xlfn.XLOOKUP(Contrato[[#This Row],[RCP]],COMPROMISOS_2025[[#All],[consecutivo]],COMPROMISOS_2025[[#All],[fecha_aprobacion]],"",0)</f>
        <v>#NAME?</v>
      </c>
      <c r="V53" s="93">
        <f ca="1">SUMIF(COMPROMISOS_2025[[#All],[consecutivo]],Contrato[[#This Row],[RCP]],COMPROMISOS_2025[[#All],[valor_total]])</f>
        <v>0</v>
      </c>
      <c r="W53" s="169">
        <v>45701</v>
      </c>
      <c r="X53" s="243" t="s">
        <v>901</v>
      </c>
      <c r="Y53" s="96">
        <v>45702</v>
      </c>
      <c r="Z53" s="161">
        <v>46004</v>
      </c>
      <c r="AA53" s="198" t="s">
        <v>1056</v>
      </c>
      <c r="AB53" s="119" t="s">
        <v>1004</v>
      </c>
      <c r="AC53" s="112"/>
      <c r="AD53" s="279">
        <v>202000006162</v>
      </c>
      <c r="AE53" s="38" t="s">
        <v>904</v>
      </c>
      <c r="AF53" s="120" t="str">
        <f>TEXT(LEFT(Contrato[[#This Row],[CONTRATO]],3),"0")</f>
        <v>48</v>
      </c>
      <c r="AG53" s="120" t="str">
        <f>IF(LEN(Contrato[[#This Row],[Contrato2]])=3,Contrato[[#This Row],[Contrato2]],TEXT(Contrato[[#This Row],[Contrato2]],"000"))</f>
        <v>048</v>
      </c>
      <c r="AH53" s="90">
        <f ca="1">IFERROR(_xlfn.DAYS(Contrato[[#This Row],[Fecha Proyectada liquidación]],TODAY())/30,"")</f>
        <v>11.366666666666667</v>
      </c>
      <c r="AI53" s="121">
        <f>+Contrato[[#This Row],[FECHA TERMINACIÓN ]]+120</f>
        <v>46124</v>
      </c>
      <c r="AJ53" s="89"/>
      <c r="AK53" s="91" t="str">
        <f ca="1">IF(Contrato[[#This Row],[FECHA TERMINACIÓN ]]&lt;TODAY(), "Terminado",IF(ISNUMBER(Contrato[[#This Row],[Fecha Real de liquiidación ]]),"Liquidado",IF(Contrato[[#This Row],[FECHA TERMINACIÓN ]]&gt;=TODAY(),"En ejecución","")))</f>
        <v>En ejecución</v>
      </c>
      <c r="AL53" s="107">
        <f ca="1">SUMIF(COMPROMISOS_2025[[#All],[consecutivo]],Contrato[[#This Row],[RCP]],COMPROMISOS_2025[[#All],[Total pagado]])</f>
        <v>0</v>
      </c>
      <c r="AM53" s="122">
        <f ca="1">IFERROR(Contrato[[#This Row],[Pagos]]/Contrato[[#This Row],[VALOR CONTRATO]],0)</f>
        <v>0</v>
      </c>
      <c r="AN53" s="160">
        <f ca="1">+Contrato[[#This Row],[VALOR CONTRATO]]-Contrato[[#This Row],[Pagos]]</f>
        <v>56616000</v>
      </c>
      <c r="AO53" s="111" t="e" cm="1">
        <f t="array" aca="1" ref="AO53" ca="1">_xlfn.XLOOKUP(Contrato[[#This Row],[DOCUMENTO ]],PERSONAL_ACTIVO_2025[[#All],[DOCUMENTO]],PERSONAL_ACTIVO_2025[[#All],[email]],0,0)</f>
        <v>#NAME?</v>
      </c>
      <c r="AP53" s="111" t="e" cm="1">
        <f t="array" aca="1" ref="AP53" ca="1">_xlfn.XLOOKUP(Contrato[[#This Row],[DOCUMENTO]],PERSONAL_ACTIVO_2025[[#All],[DOCUMENTO]],PERSONAL_ACTIVO_2025[[#All],[email]],0,0)</f>
        <v>#NAME?</v>
      </c>
      <c r="AQ53" s="111" cm="1">
        <f t="array" aca="1" ref="AQ53" ca="1">IF(ISBLANK(Contrato[[#This Row],[DEPENDENCIA ]]),0,IFERROR(_xlfn.XLOOKUP(Contrato[[#This Row],[DEPENDENCIA ]],#REF!,#REF!,0,0),0))</f>
        <v>0</v>
      </c>
      <c r="AR53" s="553">
        <f ca="1">+_xlfn.DAYS(Contrato[[#This Row],[FECHA TERMINACIÓN ]],TODAY())</f>
        <v>221</v>
      </c>
    </row>
    <row r="54" spans="1:44" s="111" customFormat="1" ht="36" customHeight="1" x14ac:dyDescent="0.25">
      <c r="A54" s="38">
        <v>522</v>
      </c>
      <c r="B54" s="226">
        <v>49</v>
      </c>
      <c r="C54" s="88" t="s">
        <v>727</v>
      </c>
      <c r="D54" s="192" t="s">
        <v>930</v>
      </c>
      <c r="E54" s="193" t="s">
        <v>112</v>
      </c>
      <c r="F54" s="194" t="s">
        <v>113</v>
      </c>
      <c r="G54" s="195" t="s">
        <v>1057</v>
      </c>
      <c r="H54" s="167">
        <v>1036927426</v>
      </c>
      <c r="I54" s="292">
        <v>7521800</v>
      </c>
      <c r="J54" s="290">
        <v>87093000</v>
      </c>
      <c r="K54" s="246" t="s">
        <v>1058</v>
      </c>
      <c r="L54" s="196" t="s">
        <v>1050</v>
      </c>
      <c r="M54" s="114" t="s">
        <v>972</v>
      </c>
      <c r="N54" s="113" t="e" cm="1">
        <f t="array" aca="1" ref="N54" ca="1">_xlfn.XLOOKUP(Contrato[[#This Row],[SUPERVISOR TITULAR]],PERSONAL_ACTIVO_2025[[#All],[NOMBRES Y APELLIDOS]],PERSONAL_ACTIVO_2025[[#All],[DOCUMENTO]],"",0)</f>
        <v>#NAME?</v>
      </c>
      <c r="O54" s="114" t="s">
        <v>1059</v>
      </c>
      <c r="P54" s="115" t="e" cm="1">
        <f t="array" aca="1" ref="P54" ca="1">_xlfn.XLOOKUP(Contrato[[#This Row],[SUPERVISOR SUPLENTE ]],PERSONAL_ACTIVO_2025[[#All],[NOMBRES Y APELLIDOS]],PERSONAL_ACTIVO_2025[[#All],[DOCUMENTO]],"",0)</f>
        <v>#NAME?</v>
      </c>
      <c r="Q54" s="116">
        <v>76</v>
      </c>
      <c r="R54" s="137" t="e" cm="1">
        <f t="array" aca="1" ref="R54" ca="1">_xlfn.XLOOKUP(Contrato[[#This Row],[CDP]],DISPONIBILIDADES_2025[[#All],[consecutivo]],DISPONIBILIDADES_2025[[#All],[fecha_aprobacion]],"",0)</f>
        <v>#NAME?</v>
      </c>
      <c r="S54" s="92">
        <f>SUMIF(DISPONIBILIDADES_2025[[#All],[consecutivo]],Contrato[[#This Row],[CDP]],DISPONIBILIDADES_2025[[#All],[valor_total_rubro]])</f>
        <v>87093000</v>
      </c>
      <c r="T54" s="118" t="e" cm="1">
        <f t="array" aca="1" ref="T54" ca="1">_xlfn.XLOOKUP(Contrato[[#This Row],[CONTRATO]]&amp;Contrato[[#This Row],[CDP]],Corr_Contr_CDP[[#All],[CONTRATO-CDP]],Corr_Contr_CDP[[#All],[CRP]],_xlfn.XLOOKUP(Contrato[[#This Row],[CDP]],COMPROMISOS_2025[[#All],[disponibilidad]],COMPROMISOS_2025[[#All],[consecutivo]],"",0),0)</f>
        <v>#NAME?</v>
      </c>
      <c r="U54" s="117" t="e" cm="1">
        <f t="array" aca="1" ref="U54" ca="1">+_xlfn.XLOOKUP(Contrato[[#This Row],[RCP]],COMPROMISOS_2025[[#All],[consecutivo]],COMPROMISOS_2025[[#All],[fecha_aprobacion]],"",0)</f>
        <v>#NAME?</v>
      </c>
      <c r="V54" s="93">
        <f ca="1">SUMIF(COMPROMISOS_2025[[#All],[consecutivo]],Contrato[[#This Row],[RCP]],COMPROMISOS_2025[[#All],[valor_total]])</f>
        <v>0</v>
      </c>
      <c r="W54" s="169">
        <v>45701</v>
      </c>
      <c r="X54" s="243" t="s">
        <v>901</v>
      </c>
      <c r="Y54" s="96">
        <v>45702</v>
      </c>
      <c r="Z54" s="161">
        <v>46005</v>
      </c>
      <c r="AA54" s="198" t="s">
        <v>1060</v>
      </c>
      <c r="AB54" s="119" t="s">
        <v>1004</v>
      </c>
      <c r="AC54" s="112"/>
      <c r="AD54" s="279">
        <v>202000006154</v>
      </c>
      <c r="AE54" s="38" t="s">
        <v>904</v>
      </c>
      <c r="AF54" s="120" t="str">
        <f>TEXT(LEFT(Contrato[[#This Row],[CONTRATO]],3),"0")</f>
        <v>49</v>
      </c>
      <c r="AG54" s="120" t="str">
        <f>IF(LEN(Contrato[[#This Row],[Contrato2]])=3,Contrato[[#This Row],[Contrato2]],TEXT(Contrato[[#This Row],[Contrato2]],"000"))</f>
        <v>049</v>
      </c>
      <c r="AH54" s="90">
        <f ca="1">IFERROR(_xlfn.DAYS(Contrato[[#This Row],[Fecha Proyectada liquidación]],TODAY())/30,"")</f>
        <v>11.4</v>
      </c>
      <c r="AI54" s="121">
        <f>+Contrato[[#This Row],[FECHA TERMINACIÓN ]]+120</f>
        <v>46125</v>
      </c>
      <c r="AJ54" s="89"/>
      <c r="AK54" s="91" t="str">
        <f ca="1">IF(Contrato[[#This Row],[FECHA TERMINACIÓN ]]&lt;TODAY(), "Terminado",IF(ISNUMBER(Contrato[[#This Row],[Fecha Real de liquiidación ]]),"Liquidado",IF(Contrato[[#This Row],[FECHA TERMINACIÓN ]]&gt;=TODAY(),"En ejecución","")))</f>
        <v>En ejecución</v>
      </c>
      <c r="AL54" s="107">
        <f ca="1">SUMIF(COMPROMISOS_2025[[#All],[consecutivo]],Contrato[[#This Row],[RCP]],COMPROMISOS_2025[[#All],[Total pagado]])</f>
        <v>0</v>
      </c>
      <c r="AM54" s="122">
        <f ca="1">IFERROR(Contrato[[#This Row],[Pagos]]/Contrato[[#This Row],[VALOR CONTRATO]],0)</f>
        <v>0</v>
      </c>
      <c r="AN54" s="160">
        <f ca="1">+Contrato[[#This Row],[VALOR CONTRATO]]-Contrato[[#This Row],[Pagos]]</f>
        <v>87093000</v>
      </c>
      <c r="AO54" s="111" t="e" cm="1">
        <f t="array" aca="1" ref="AO54" ca="1">_xlfn.XLOOKUP(Contrato[[#This Row],[DOCUMENTO ]],PERSONAL_ACTIVO_2025[[#All],[DOCUMENTO]],PERSONAL_ACTIVO_2025[[#All],[email]],0,0)</f>
        <v>#NAME?</v>
      </c>
      <c r="AP54" s="111" t="e" cm="1">
        <f t="array" aca="1" ref="AP54" ca="1">_xlfn.XLOOKUP(Contrato[[#This Row],[DOCUMENTO]],PERSONAL_ACTIVO_2025[[#All],[DOCUMENTO]],PERSONAL_ACTIVO_2025[[#All],[email]],0,0)</f>
        <v>#NAME?</v>
      </c>
      <c r="AQ54" s="111" cm="1">
        <f t="array" aca="1" ref="AQ54" ca="1">IF(ISBLANK(Contrato[[#This Row],[DEPENDENCIA ]]),0,IFERROR(_xlfn.XLOOKUP(Contrato[[#This Row],[DEPENDENCIA ]],#REF!,#REF!,0,0),0))</f>
        <v>0</v>
      </c>
      <c r="AR54" s="553">
        <f ca="1">+_xlfn.DAYS(Contrato[[#This Row],[FECHA TERMINACIÓN ]],TODAY())</f>
        <v>222</v>
      </c>
    </row>
    <row r="55" spans="1:44" s="111" customFormat="1" ht="36" customHeight="1" x14ac:dyDescent="0.25">
      <c r="A55" s="38">
        <v>506</v>
      </c>
      <c r="B55" s="226">
        <v>50</v>
      </c>
      <c r="C55" s="88" t="s">
        <v>716</v>
      </c>
      <c r="D55" s="192" t="s">
        <v>905</v>
      </c>
      <c r="E55" s="193" t="s">
        <v>112</v>
      </c>
      <c r="F55" s="194" t="s">
        <v>113</v>
      </c>
      <c r="G55" s="195" t="s">
        <v>1061</v>
      </c>
      <c r="H55" s="167">
        <v>1152221162</v>
      </c>
      <c r="I55" s="292">
        <v>7521800</v>
      </c>
      <c r="J55" s="290">
        <v>39614813</v>
      </c>
      <c r="K55" s="246" t="s">
        <v>985</v>
      </c>
      <c r="L55" s="196" t="s">
        <v>1050</v>
      </c>
      <c r="M55" s="114" t="s">
        <v>908</v>
      </c>
      <c r="N55" s="113" t="e" cm="1">
        <f t="array" aca="1" ref="N55" ca="1">_xlfn.XLOOKUP(Contrato[[#This Row],[SUPERVISOR TITULAR]],PERSONAL_ACTIVO_2025[[#All],[NOMBRES Y APELLIDOS]],PERSONAL_ACTIVO_2025[[#All],[DOCUMENTO]],"",0)</f>
        <v>#NAME?</v>
      </c>
      <c r="O55" s="114" t="s">
        <v>988</v>
      </c>
      <c r="P55" s="115" t="e" cm="1">
        <f t="array" aca="1" ref="P55" ca="1">_xlfn.XLOOKUP(Contrato[[#This Row],[SUPERVISOR SUPLENTE ]],PERSONAL_ACTIVO_2025[[#All],[NOMBRES Y APELLIDOS]],PERSONAL_ACTIVO_2025[[#All],[DOCUMENTO]],"",0)</f>
        <v>#NAME?</v>
      </c>
      <c r="Q55" s="116">
        <v>43</v>
      </c>
      <c r="R55" s="137" t="e" cm="1">
        <f t="array" aca="1" ref="R55" ca="1">_xlfn.XLOOKUP(Contrato[[#This Row],[CDP]],DISPONIBILIDADES_2025[[#All],[consecutivo]],DISPONIBILIDADES_2025[[#All],[fecha_aprobacion]],"",0)</f>
        <v>#NAME?</v>
      </c>
      <c r="S55" s="92">
        <f>SUMIF(DISPONIBILIDADES_2025[[#All],[consecutivo]],Contrato[[#This Row],[CDP]],DISPONIBILIDADES_2025[[#All],[valor_total_rubro]])</f>
        <v>39614813</v>
      </c>
      <c r="T55" s="118" t="e" cm="1">
        <f t="array" aca="1" ref="T55" ca="1">_xlfn.XLOOKUP(Contrato[[#This Row],[CONTRATO]]&amp;Contrato[[#This Row],[CDP]],Corr_Contr_CDP[[#All],[CONTRATO-CDP]],Corr_Contr_CDP[[#All],[CRP]],_xlfn.XLOOKUP(Contrato[[#This Row],[CDP]],COMPROMISOS_2025[[#All],[disponibilidad]],COMPROMISOS_2025[[#All],[consecutivo]],"",0),0)</f>
        <v>#NAME?</v>
      </c>
      <c r="U55" s="117" t="e" cm="1">
        <f t="array" aca="1" ref="U55" ca="1">+_xlfn.XLOOKUP(Contrato[[#This Row],[RCP]],COMPROMISOS_2025[[#All],[consecutivo]],COMPROMISOS_2025[[#All],[fecha_aprobacion]],"",0)</f>
        <v>#NAME?</v>
      </c>
      <c r="V55" s="93">
        <f ca="1">SUMIF(COMPROMISOS_2025[[#All],[consecutivo]],Contrato[[#This Row],[RCP]],COMPROMISOS_2025[[#All],[valor_total]])</f>
        <v>0</v>
      </c>
      <c r="W55" s="169">
        <v>45700</v>
      </c>
      <c r="X55" s="243" t="s">
        <v>901</v>
      </c>
      <c r="Y55" s="96">
        <v>45701</v>
      </c>
      <c r="Z55" s="161">
        <v>45838</v>
      </c>
      <c r="AA55" s="198" t="s">
        <v>1062</v>
      </c>
      <c r="AB55" s="119" t="s">
        <v>920</v>
      </c>
      <c r="AC55" s="112"/>
      <c r="AD55" s="279">
        <v>202000006155</v>
      </c>
      <c r="AE55" s="38" t="s">
        <v>904</v>
      </c>
      <c r="AF55" s="120" t="str">
        <f>TEXT(LEFT(Contrato[[#This Row],[CONTRATO]],3),"0")</f>
        <v>50</v>
      </c>
      <c r="AG55" s="120" t="str">
        <f>IF(LEN(Contrato[[#This Row],[Contrato2]])=3,Contrato[[#This Row],[Contrato2]],TEXT(Contrato[[#This Row],[Contrato2]],"000"))</f>
        <v>050</v>
      </c>
      <c r="AH55" s="90">
        <f ca="1">IFERROR(_xlfn.DAYS(Contrato[[#This Row],[Fecha Proyectada liquidación]],TODAY())/30,"")</f>
        <v>5.833333333333333</v>
      </c>
      <c r="AI55" s="121">
        <f>+Contrato[[#This Row],[FECHA TERMINACIÓN ]]+120</f>
        <v>45958</v>
      </c>
      <c r="AJ55" s="89"/>
      <c r="AK55" s="91" t="str">
        <f ca="1">IF(Contrato[[#This Row],[FECHA TERMINACIÓN ]]&lt;TODAY(), "Terminado",IF(ISNUMBER(Contrato[[#This Row],[Fecha Real de liquiidación ]]),"Liquidado",IF(Contrato[[#This Row],[FECHA TERMINACIÓN ]]&gt;=TODAY(),"En ejecución","")))</f>
        <v>En ejecución</v>
      </c>
      <c r="AL55" s="107">
        <f ca="1">SUMIF(COMPROMISOS_2025[[#All],[consecutivo]],Contrato[[#This Row],[RCP]],COMPROMISOS_2025[[#All],[Total pagado]])</f>
        <v>0</v>
      </c>
      <c r="AM55" s="122">
        <f ca="1">IFERROR(Contrato[[#This Row],[Pagos]]/Contrato[[#This Row],[VALOR CONTRATO]],0)</f>
        <v>0</v>
      </c>
      <c r="AN55" s="160">
        <f ca="1">+Contrato[[#This Row],[VALOR CONTRATO]]-Contrato[[#This Row],[Pagos]]</f>
        <v>39614813</v>
      </c>
      <c r="AO55" s="111" t="e" cm="1">
        <f t="array" aca="1" ref="AO55" ca="1">_xlfn.XLOOKUP(Contrato[[#This Row],[DOCUMENTO ]],PERSONAL_ACTIVO_2025[[#All],[DOCUMENTO]],PERSONAL_ACTIVO_2025[[#All],[email]],0,0)</f>
        <v>#NAME?</v>
      </c>
      <c r="AP55" s="111" t="e" cm="1">
        <f t="array" aca="1" ref="AP55" ca="1">_xlfn.XLOOKUP(Contrato[[#This Row],[DOCUMENTO]],PERSONAL_ACTIVO_2025[[#All],[DOCUMENTO]],PERSONAL_ACTIVO_2025[[#All],[email]],0,0)</f>
        <v>#NAME?</v>
      </c>
      <c r="AQ55" s="111" cm="1">
        <f t="array" aca="1" ref="AQ55" ca="1">IF(ISBLANK(Contrato[[#This Row],[DEPENDENCIA ]]),0,IFERROR(_xlfn.XLOOKUP(Contrato[[#This Row],[DEPENDENCIA ]],#REF!,#REF!,0,0),0))</f>
        <v>0</v>
      </c>
      <c r="AR55" s="553">
        <f ca="1">+_xlfn.DAYS(Contrato[[#This Row],[FECHA TERMINACIÓN ]],TODAY())</f>
        <v>55</v>
      </c>
    </row>
    <row r="56" spans="1:44" s="111" customFormat="1" ht="36" customHeight="1" x14ac:dyDescent="0.25">
      <c r="A56" s="38">
        <v>523</v>
      </c>
      <c r="B56" s="226">
        <v>51</v>
      </c>
      <c r="C56" s="88" t="s">
        <v>728</v>
      </c>
      <c r="D56" s="192" t="s">
        <v>930</v>
      </c>
      <c r="E56" s="193" t="s">
        <v>112</v>
      </c>
      <c r="F56" s="194" t="s">
        <v>113</v>
      </c>
      <c r="G56" s="195" t="s">
        <v>1063</v>
      </c>
      <c r="H56" s="167">
        <v>1040180223</v>
      </c>
      <c r="I56" s="292">
        <v>7521800</v>
      </c>
      <c r="J56" s="290">
        <v>85843000</v>
      </c>
      <c r="K56" s="246" t="s">
        <v>1064</v>
      </c>
      <c r="L56" s="196" t="s">
        <v>1050</v>
      </c>
      <c r="M56" s="114" t="s">
        <v>972</v>
      </c>
      <c r="N56" s="113" t="e" cm="1">
        <f t="array" aca="1" ref="N56" ca="1">_xlfn.XLOOKUP(Contrato[[#This Row],[SUPERVISOR TITULAR]],PERSONAL_ACTIVO_2025[[#All],[NOMBRES Y APELLIDOS]],PERSONAL_ACTIVO_2025[[#All],[DOCUMENTO]],"",0)</f>
        <v>#NAME?</v>
      </c>
      <c r="O56" s="114" t="s">
        <v>1059</v>
      </c>
      <c r="P56" s="115" t="e" cm="1">
        <f t="array" aca="1" ref="P56" ca="1">_xlfn.XLOOKUP(Contrato[[#This Row],[SUPERVISOR SUPLENTE ]],PERSONAL_ACTIVO_2025[[#All],[NOMBRES Y APELLIDOS]],PERSONAL_ACTIVO_2025[[#All],[DOCUMENTO]],"",0)</f>
        <v>#NAME?</v>
      </c>
      <c r="Q56" s="116">
        <v>75</v>
      </c>
      <c r="R56" s="137" t="e" cm="1">
        <f t="array" aca="1" ref="R56" ca="1">_xlfn.XLOOKUP(Contrato[[#This Row],[CDP]],DISPONIBILIDADES_2025[[#All],[consecutivo]],DISPONIBILIDADES_2025[[#All],[fecha_aprobacion]],"",0)</f>
        <v>#NAME?</v>
      </c>
      <c r="S56" s="92">
        <f>SUMIF(DISPONIBILIDADES_2025[[#All],[consecutivo]],Contrato[[#This Row],[CDP]],DISPONIBILIDADES_2025[[#All],[valor_total_rubro]])</f>
        <v>85843000</v>
      </c>
      <c r="T56" s="118" t="e" cm="1">
        <f t="array" aca="1" ref="T56" ca="1">_xlfn.XLOOKUP(Contrato[[#This Row],[CONTRATO]]&amp;Contrato[[#This Row],[CDP]],Corr_Contr_CDP[[#All],[CONTRATO-CDP]],Corr_Contr_CDP[[#All],[CRP]],_xlfn.XLOOKUP(Contrato[[#This Row],[CDP]],COMPROMISOS_2025[[#All],[disponibilidad]],COMPROMISOS_2025[[#All],[consecutivo]],"",0),0)</f>
        <v>#NAME?</v>
      </c>
      <c r="U56" s="117" t="e" cm="1">
        <f t="array" aca="1" ref="U56" ca="1">+_xlfn.XLOOKUP(Contrato[[#This Row],[RCP]],COMPROMISOS_2025[[#All],[consecutivo]],COMPROMISOS_2025[[#All],[fecha_aprobacion]],"",0)</f>
        <v>#NAME?</v>
      </c>
      <c r="V56" s="93">
        <f ca="1">SUMIF(COMPROMISOS_2025[[#All],[consecutivo]],Contrato[[#This Row],[RCP]],COMPROMISOS_2025[[#All],[valor_total]])</f>
        <v>0</v>
      </c>
      <c r="W56" s="169">
        <v>45702</v>
      </c>
      <c r="X56" s="243" t="s">
        <v>901</v>
      </c>
      <c r="Y56" s="96">
        <v>45702</v>
      </c>
      <c r="Z56" s="161">
        <v>46005</v>
      </c>
      <c r="AA56" s="311" t="s">
        <v>1065</v>
      </c>
      <c r="AB56" s="119" t="s">
        <v>1004</v>
      </c>
      <c r="AC56" s="112"/>
      <c r="AD56" s="279">
        <v>202000006156</v>
      </c>
      <c r="AE56" s="38" t="s">
        <v>904</v>
      </c>
      <c r="AF56" s="120" t="str">
        <f>TEXT(LEFT(Contrato[[#This Row],[CONTRATO]],3),"0")</f>
        <v>51</v>
      </c>
      <c r="AG56" s="120" t="str">
        <f>IF(LEN(Contrato[[#This Row],[Contrato2]])=3,Contrato[[#This Row],[Contrato2]],TEXT(Contrato[[#This Row],[Contrato2]],"000"))</f>
        <v>051</v>
      </c>
      <c r="AH56" s="90">
        <f ca="1">IFERROR(_xlfn.DAYS(Contrato[[#This Row],[Fecha Proyectada liquidación]],TODAY())/30,"")</f>
        <v>11.4</v>
      </c>
      <c r="AI56" s="121">
        <f>+Contrato[[#This Row],[FECHA TERMINACIÓN ]]+120</f>
        <v>46125</v>
      </c>
      <c r="AJ56" s="89"/>
      <c r="AK56" s="91" t="str">
        <f ca="1">IF(Contrato[[#This Row],[FECHA TERMINACIÓN ]]&lt;TODAY(), "Terminado",IF(ISNUMBER(Contrato[[#This Row],[Fecha Real de liquiidación ]]),"Liquidado",IF(Contrato[[#This Row],[FECHA TERMINACIÓN ]]&gt;=TODAY(),"En ejecución","")))</f>
        <v>En ejecución</v>
      </c>
      <c r="AL56" s="107">
        <f ca="1">SUMIF(COMPROMISOS_2025[[#All],[consecutivo]],Contrato[[#This Row],[RCP]],COMPROMISOS_2025[[#All],[Total pagado]])</f>
        <v>0</v>
      </c>
      <c r="AM56" s="122">
        <f ca="1">IFERROR(Contrato[[#This Row],[Pagos]]/Contrato[[#This Row],[VALOR CONTRATO]],0)</f>
        <v>0</v>
      </c>
      <c r="AN56" s="160">
        <f ca="1">+Contrato[[#This Row],[VALOR CONTRATO]]-Contrato[[#This Row],[Pagos]]</f>
        <v>85843000</v>
      </c>
      <c r="AO56" s="111" t="e" cm="1">
        <f t="array" aca="1" ref="AO56" ca="1">_xlfn.XLOOKUP(Contrato[[#This Row],[DOCUMENTO ]],PERSONAL_ACTIVO_2025[[#All],[DOCUMENTO]],PERSONAL_ACTIVO_2025[[#All],[email]],0,0)</f>
        <v>#NAME?</v>
      </c>
      <c r="AP56" s="111" t="e" cm="1">
        <f t="array" aca="1" ref="AP56" ca="1">_xlfn.XLOOKUP(Contrato[[#This Row],[DOCUMENTO]],PERSONAL_ACTIVO_2025[[#All],[DOCUMENTO]],PERSONAL_ACTIVO_2025[[#All],[email]],0,0)</f>
        <v>#NAME?</v>
      </c>
      <c r="AQ56" s="111" cm="1">
        <f t="array" aca="1" ref="AQ56" ca="1">IF(ISBLANK(Contrato[[#This Row],[DEPENDENCIA ]]),0,IFERROR(_xlfn.XLOOKUP(Contrato[[#This Row],[DEPENDENCIA ]],#REF!,#REF!,0,0),0))</f>
        <v>0</v>
      </c>
      <c r="AR56" s="553">
        <f ca="1">+_xlfn.DAYS(Contrato[[#This Row],[FECHA TERMINACIÓN ]],TODAY())</f>
        <v>222</v>
      </c>
    </row>
    <row r="57" spans="1:44" s="111" customFormat="1" ht="36" customHeight="1" x14ac:dyDescent="0.25">
      <c r="A57" s="38">
        <v>239</v>
      </c>
      <c r="B57" s="226">
        <v>52</v>
      </c>
      <c r="C57" s="88" t="s">
        <v>435</v>
      </c>
      <c r="D57" s="192" t="s">
        <v>1066</v>
      </c>
      <c r="E57" s="193" t="s">
        <v>112</v>
      </c>
      <c r="F57" s="194" t="s">
        <v>113</v>
      </c>
      <c r="G57" s="195" t="s">
        <v>1067</v>
      </c>
      <c r="H57" s="167">
        <v>1040181548</v>
      </c>
      <c r="I57" s="292">
        <v>7521800</v>
      </c>
      <c r="J57" s="290">
        <v>60174400</v>
      </c>
      <c r="K57" s="158" t="s">
        <v>41</v>
      </c>
      <c r="L57" s="196" t="s">
        <v>1050</v>
      </c>
      <c r="M57" s="114" t="s">
        <v>1068</v>
      </c>
      <c r="N57" s="113" t="e" cm="1">
        <f t="array" aca="1" ref="N57" ca="1">_xlfn.XLOOKUP(Contrato[[#This Row],[SUPERVISOR TITULAR]],PERSONAL_ACTIVO_2025[[#All],[NOMBRES Y APELLIDOS]],PERSONAL_ACTIVO_2025[[#All],[DOCUMENTO]],"",0)</f>
        <v>#NAME?</v>
      </c>
      <c r="O57" s="114" t="s">
        <v>1069</v>
      </c>
      <c r="P57" s="115" t="e" cm="1">
        <f t="array" aca="1" ref="P57" ca="1">_xlfn.XLOOKUP(Contrato[[#This Row],[SUPERVISOR SUPLENTE ]],PERSONAL_ACTIVO_2025[[#All],[NOMBRES Y APELLIDOS]],PERSONAL_ACTIVO_2025[[#All],[DOCUMENTO]],"",0)</f>
        <v>#NAME?</v>
      </c>
      <c r="Q57" s="116">
        <v>290</v>
      </c>
      <c r="R57" s="137" t="e" cm="1">
        <f t="array" aca="1" ref="R57" ca="1">_xlfn.XLOOKUP(Contrato[[#This Row],[CDP]],DISPONIBILIDADES_2025[[#All],[consecutivo]],DISPONIBILIDADES_2025[[#All],[fecha_aprobacion]],"",0)</f>
        <v>#NAME?</v>
      </c>
      <c r="S57" s="92">
        <f>SUMIF(DISPONIBILIDADES_2025[[#All],[consecutivo]],Contrato[[#This Row],[CDP]],DISPONIBILIDADES_2025[[#All],[valor_total_rubro]])</f>
        <v>60174400</v>
      </c>
      <c r="T57" s="118" t="e" cm="1">
        <f t="array" aca="1" ref="T57" ca="1">_xlfn.XLOOKUP(Contrato[[#This Row],[CONTRATO]]&amp;Contrato[[#This Row],[CDP]],Corr_Contr_CDP[[#All],[CONTRATO-CDP]],Corr_Contr_CDP[[#All],[CRP]],_xlfn.XLOOKUP(Contrato[[#This Row],[CDP]],COMPROMISOS_2025[[#All],[disponibilidad]],COMPROMISOS_2025[[#All],[consecutivo]],"",0),0)</f>
        <v>#NAME?</v>
      </c>
      <c r="U57" s="117" t="e" cm="1">
        <f t="array" aca="1" ref="U57" ca="1">+_xlfn.XLOOKUP(Contrato[[#This Row],[RCP]],COMPROMISOS_2025[[#All],[consecutivo]],COMPROMISOS_2025[[#All],[fecha_aprobacion]],"",0)</f>
        <v>#NAME?</v>
      </c>
      <c r="V57" s="93">
        <f ca="1">SUMIF(COMPROMISOS_2025[[#All],[consecutivo]],Contrato[[#This Row],[RCP]],COMPROMISOS_2025[[#All],[valor_total]])</f>
        <v>0</v>
      </c>
      <c r="W57" s="169">
        <v>45702</v>
      </c>
      <c r="X57" s="243" t="s">
        <v>901</v>
      </c>
      <c r="Y57" s="96">
        <v>45706</v>
      </c>
      <c r="Z57" s="161">
        <v>45944</v>
      </c>
      <c r="AA57" s="311" t="s">
        <v>1070</v>
      </c>
      <c r="AB57" s="119" t="s">
        <v>936</v>
      </c>
      <c r="AC57" s="112"/>
      <c r="AD57" s="279">
        <v>202000006157</v>
      </c>
      <c r="AE57" s="38" t="s">
        <v>904</v>
      </c>
      <c r="AF57" s="120" t="str">
        <f>TEXT(LEFT(Contrato[[#This Row],[CONTRATO]],3),"0")</f>
        <v>52</v>
      </c>
      <c r="AG57" s="120" t="str">
        <f>IF(LEN(Contrato[[#This Row],[Contrato2]])=3,Contrato[[#This Row],[Contrato2]],TEXT(Contrato[[#This Row],[Contrato2]],"000"))</f>
        <v>052</v>
      </c>
      <c r="AH57" s="90">
        <f ca="1">IFERROR(_xlfn.DAYS(Contrato[[#This Row],[Fecha Proyectada liquidación]],TODAY())/30,"")</f>
        <v>9.3666666666666671</v>
      </c>
      <c r="AI57" s="121">
        <f>+Contrato[[#This Row],[FECHA TERMINACIÓN ]]+120</f>
        <v>46064</v>
      </c>
      <c r="AJ57" s="89"/>
      <c r="AK57" s="91" t="str">
        <f ca="1">IF(Contrato[[#This Row],[FECHA TERMINACIÓN ]]&lt;TODAY(), "Terminado",IF(ISNUMBER(Contrato[[#This Row],[Fecha Real de liquiidación ]]),"Liquidado",IF(Contrato[[#This Row],[FECHA TERMINACIÓN ]]&gt;=TODAY(),"En ejecución","")))</f>
        <v>En ejecución</v>
      </c>
      <c r="AL57" s="107">
        <f ca="1">SUMIF(COMPROMISOS_2025[[#All],[consecutivo]],Contrato[[#This Row],[RCP]],COMPROMISOS_2025[[#All],[Total pagado]])</f>
        <v>0</v>
      </c>
      <c r="AM57" s="122">
        <f ca="1">IFERROR(Contrato[[#This Row],[Pagos]]/Contrato[[#This Row],[VALOR CONTRATO]],0)</f>
        <v>0</v>
      </c>
      <c r="AN57" s="160">
        <f ca="1">+Contrato[[#This Row],[VALOR CONTRATO]]-Contrato[[#This Row],[Pagos]]</f>
        <v>60174400</v>
      </c>
      <c r="AO57" s="111" t="e" cm="1">
        <f t="array" aca="1" ref="AO57" ca="1">_xlfn.XLOOKUP(Contrato[[#This Row],[DOCUMENTO ]],PERSONAL_ACTIVO_2025[[#All],[DOCUMENTO]],PERSONAL_ACTIVO_2025[[#All],[email]],0,0)</f>
        <v>#NAME?</v>
      </c>
      <c r="AP57" s="111" t="e" cm="1">
        <f t="array" aca="1" ref="AP57" ca="1">_xlfn.XLOOKUP(Contrato[[#This Row],[DOCUMENTO]],PERSONAL_ACTIVO_2025[[#All],[DOCUMENTO]],PERSONAL_ACTIVO_2025[[#All],[email]],0,0)</f>
        <v>#NAME?</v>
      </c>
      <c r="AQ57" s="111" cm="1">
        <f t="array" aca="1" ref="AQ57" ca="1">IF(ISBLANK(Contrato[[#This Row],[DEPENDENCIA ]]),0,IFERROR(_xlfn.XLOOKUP(Contrato[[#This Row],[DEPENDENCIA ]],#REF!,#REF!,0,0),0))</f>
        <v>0</v>
      </c>
      <c r="AR57" s="553">
        <f ca="1">+_xlfn.DAYS(Contrato[[#This Row],[FECHA TERMINACIÓN ]],TODAY())</f>
        <v>161</v>
      </c>
    </row>
    <row r="58" spans="1:44" s="111" customFormat="1" ht="36" customHeight="1" x14ac:dyDescent="0.25">
      <c r="A58" s="38">
        <v>540</v>
      </c>
      <c r="B58" s="226">
        <v>53</v>
      </c>
      <c r="C58" s="88" t="s">
        <v>731</v>
      </c>
      <c r="D58" s="192" t="s">
        <v>930</v>
      </c>
      <c r="E58" s="193" t="s">
        <v>112</v>
      </c>
      <c r="F58" s="194" t="s">
        <v>113</v>
      </c>
      <c r="G58" s="195" t="s">
        <v>1071</v>
      </c>
      <c r="H58" s="167">
        <v>1037976825</v>
      </c>
      <c r="I58" s="292">
        <v>3419000</v>
      </c>
      <c r="J58" s="290">
        <v>42940000</v>
      </c>
      <c r="K58" s="246" t="s">
        <v>1054</v>
      </c>
      <c r="L58" s="196" t="s">
        <v>1050</v>
      </c>
      <c r="M58" s="114" t="s">
        <v>994</v>
      </c>
      <c r="N58" s="113" t="e" cm="1">
        <f t="array" aca="1" ref="N58" ca="1">_xlfn.XLOOKUP(Contrato[[#This Row],[SUPERVISOR TITULAR]],PERSONAL_ACTIVO_2025[[#All],[NOMBRES Y APELLIDOS]],PERSONAL_ACTIVO_2025[[#All],[DOCUMENTO]],"",0)</f>
        <v>#NAME?</v>
      </c>
      <c r="O58" s="114" t="s">
        <v>1072</v>
      </c>
      <c r="P58" s="115" t="e" cm="1">
        <f t="array" aca="1" ref="P58" ca="1">_xlfn.XLOOKUP(Contrato[[#This Row],[SUPERVISOR SUPLENTE ]],PERSONAL_ACTIVO_2025[[#All],[NOMBRES Y APELLIDOS]],PERSONAL_ACTIVO_2025[[#All],[DOCUMENTO]],"",0)</f>
        <v>#NAME?</v>
      </c>
      <c r="Q58" s="116">
        <v>292</v>
      </c>
      <c r="R58" s="137" t="e" cm="1">
        <f t="array" aca="1" ref="R58" ca="1">_xlfn.XLOOKUP(Contrato[[#This Row],[CDP]],DISPONIBILIDADES_2025[[#All],[consecutivo]],DISPONIBILIDADES_2025[[#All],[fecha_aprobacion]],"",0)</f>
        <v>#NAME?</v>
      </c>
      <c r="S58" s="92">
        <f>SUMIF(DISPONIBILIDADES_2025[[#All],[consecutivo]],Contrato[[#This Row],[CDP]],DISPONIBILIDADES_2025[[#All],[valor_total_rubro]])</f>
        <v>42940000</v>
      </c>
      <c r="T58" s="118" t="e" cm="1">
        <f t="array" aca="1" ref="T58" ca="1">_xlfn.XLOOKUP(Contrato[[#This Row],[CONTRATO]]&amp;Contrato[[#This Row],[CDP]],Corr_Contr_CDP[[#All],[CONTRATO-CDP]],Corr_Contr_CDP[[#All],[CRP]],_xlfn.XLOOKUP(Contrato[[#This Row],[CDP]],COMPROMISOS_2025[[#All],[disponibilidad]],COMPROMISOS_2025[[#All],[consecutivo]],"",0),0)</f>
        <v>#NAME?</v>
      </c>
      <c r="U58" s="117" t="e" cm="1">
        <f t="array" aca="1" ref="U58" ca="1">+_xlfn.XLOOKUP(Contrato[[#This Row],[RCP]],COMPROMISOS_2025[[#All],[consecutivo]],COMPROMISOS_2025[[#All],[fecha_aprobacion]],"",0)</f>
        <v>#NAME?</v>
      </c>
      <c r="V58" s="93">
        <f ca="1">SUMIF(COMPROMISOS_2025[[#All],[consecutivo]],Contrato[[#This Row],[RCP]],COMPROMISOS_2025[[#All],[valor_total]])</f>
        <v>0</v>
      </c>
      <c r="W58" s="169">
        <v>45702</v>
      </c>
      <c r="X58" s="243" t="s">
        <v>901</v>
      </c>
      <c r="Y58" s="96">
        <v>45705</v>
      </c>
      <c r="Z58" s="161">
        <v>46007</v>
      </c>
      <c r="AA58" s="311" t="s">
        <v>1073</v>
      </c>
      <c r="AB58" s="119" t="s">
        <v>1004</v>
      </c>
      <c r="AC58" s="112"/>
      <c r="AD58" s="279">
        <v>202000006158</v>
      </c>
      <c r="AE58" s="38"/>
      <c r="AF58" s="120" t="str">
        <f>TEXT(LEFT(Contrato[[#This Row],[CONTRATO]],3),"0")</f>
        <v>53</v>
      </c>
      <c r="AG58" s="120" t="str">
        <f>IF(LEN(Contrato[[#This Row],[Contrato2]])=3,Contrato[[#This Row],[Contrato2]],TEXT(Contrato[[#This Row],[Contrato2]],"000"))</f>
        <v>053</v>
      </c>
      <c r="AH58" s="90">
        <f ca="1">IFERROR(_xlfn.DAYS(Contrato[[#This Row],[Fecha Proyectada liquidación]],TODAY())/30,"")</f>
        <v>11.466666666666667</v>
      </c>
      <c r="AI58" s="121">
        <f>+Contrato[[#This Row],[FECHA TERMINACIÓN ]]+120</f>
        <v>46127</v>
      </c>
      <c r="AJ58" s="89"/>
      <c r="AK58" s="91" t="str">
        <f ca="1">IF(Contrato[[#This Row],[FECHA TERMINACIÓN ]]&lt;TODAY(), "Terminado",IF(ISNUMBER(Contrato[[#This Row],[Fecha Real de liquiidación ]]),"Liquidado",IF(Contrato[[#This Row],[FECHA TERMINACIÓN ]]&gt;=TODAY(),"En ejecución","")))</f>
        <v>En ejecución</v>
      </c>
      <c r="AL58" s="107">
        <f ca="1">SUMIF(COMPROMISOS_2025[[#All],[consecutivo]],Contrato[[#This Row],[RCP]],COMPROMISOS_2025[[#All],[Total pagado]])</f>
        <v>0</v>
      </c>
      <c r="AM58" s="122">
        <f ca="1">IFERROR(Contrato[[#This Row],[Pagos]]/Contrato[[#This Row],[VALOR CONTRATO]],0)</f>
        <v>0</v>
      </c>
      <c r="AN58" s="160">
        <f ca="1">+Contrato[[#This Row],[VALOR CONTRATO]]-Contrato[[#This Row],[Pagos]]</f>
        <v>42940000</v>
      </c>
      <c r="AO58" s="111" t="e" cm="1">
        <f t="array" aca="1" ref="AO58" ca="1">_xlfn.XLOOKUP(Contrato[[#This Row],[DOCUMENTO ]],PERSONAL_ACTIVO_2025[[#All],[DOCUMENTO]],PERSONAL_ACTIVO_2025[[#All],[email]],0,0)</f>
        <v>#NAME?</v>
      </c>
      <c r="AP58" s="111" t="e" cm="1">
        <f t="array" aca="1" ref="AP58" ca="1">_xlfn.XLOOKUP(Contrato[[#This Row],[DOCUMENTO]],PERSONAL_ACTIVO_2025[[#All],[DOCUMENTO]],PERSONAL_ACTIVO_2025[[#All],[email]],0,0)</f>
        <v>#NAME?</v>
      </c>
      <c r="AQ58" s="111" cm="1">
        <f t="array" aca="1" ref="AQ58" ca="1">IF(ISBLANK(Contrato[[#This Row],[DEPENDENCIA ]]),0,IFERROR(_xlfn.XLOOKUP(Contrato[[#This Row],[DEPENDENCIA ]],#REF!,#REF!,0,0),0))</f>
        <v>0</v>
      </c>
      <c r="AR58" s="553">
        <f ca="1">+_xlfn.DAYS(Contrato[[#This Row],[FECHA TERMINACIÓN ]],TODAY())</f>
        <v>224</v>
      </c>
    </row>
    <row r="59" spans="1:44" s="111" customFormat="1" ht="36" customHeight="1" x14ac:dyDescent="0.25">
      <c r="A59" s="38">
        <v>539</v>
      </c>
      <c r="B59" s="226">
        <v>54</v>
      </c>
      <c r="C59" s="88" t="s">
        <v>741</v>
      </c>
      <c r="D59" s="192" t="s">
        <v>930</v>
      </c>
      <c r="E59" s="193" t="s">
        <v>112</v>
      </c>
      <c r="F59" s="194" t="s">
        <v>113</v>
      </c>
      <c r="G59" s="195" t="s">
        <v>1074</v>
      </c>
      <c r="H59" s="167">
        <v>43738275</v>
      </c>
      <c r="I59" s="292">
        <v>7521800</v>
      </c>
      <c r="J59" s="290">
        <v>83968000</v>
      </c>
      <c r="K59" s="246" t="s">
        <v>1054</v>
      </c>
      <c r="L59" s="196" t="s">
        <v>1050</v>
      </c>
      <c r="M59" s="114" t="s">
        <v>971</v>
      </c>
      <c r="N59" s="113" t="e" cm="1">
        <f t="array" aca="1" ref="N59" ca="1">_xlfn.XLOOKUP(Contrato[[#This Row],[SUPERVISOR TITULAR]],PERSONAL_ACTIVO_2025[[#All],[NOMBRES Y APELLIDOS]],PERSONAL_ACTIVO_2025[[#All],[DOCUMENTO]],"",0)</f>
        <v>#NAME?</v>
      </c>
      <c r="O59" s="114" t="s">
        <v>1055</v>
      </c>
      <c r="P59" s="115" t="e" cm="1">
        <f t="array" aca="1" ref="P59" ca="1">_xlfn.XLOOKUP(Contrato[[#This Row],[SUPERVISOR SUPLENTE ]],PERSONAL_ACTIVO_2025[[#All],[NOMBRES Y APELLIDOS]],PERSONAL_ACTIVO_2025[[#All],[DOCUMENTO]],"",0)</f>
        <v>#NAME?</v>
      </c>
      <c r="Q59" s="116">
        <v>291</v>
      </c>
      <c r="R59" s="137" t="e" cm="1">
        <f t="array" aca="1" ref="R59" ca="1">_xlfn.XLOOKUP(Contrato[[#This Row],[CDP]],DISPONIBILIDADES_2025[[#All],[consecutivo]],DISPONIBILIDADES_2025[[#All],[fecha_aprobacion]],"",0)</f>
        <v>#NAME?</v>
      </c>
      <c r="S59" s="92">
        <f>SUMIF(DISPONIBILIDADES_2025[[#All],[consecutivo]],Contrato[[#This Row],[CDP]],DISPONIBILIDADES_2025[[#All],[valor_total_rubro]])</f>
        <v>83968000</v>
      </c>
      <c r="T59" s="118" t="e" cm="1">
        <f t="array" aca="1" ref="T59" ca="1">_xlfn.XLOOKUP(Contrato[[#This Row],[CONTRATO]]&amp;Contrato[[#This Row],[CDP]],Corr_Contr_CDP[[#All],[CONTRATO-CDP]],Corr_Contr_CDP[[#All],[CRP]],_xlfn.XLOOKUP(Contrato[[#This Row],[CDP]],COMPROMISOS_2025[[#All],[disponibilidad]],COMPROMISOS_2025[[#All],[consecutivo]],"",0),0)</f>
        <v>#NAME?</v>
      </c>
      <c r="U59" s="117" t="e" cm="1">
        <f t="array" aca="1" ref="U59" ca="1">+_xlfn.XLOOKUP(Contrato[[#This Row],[RCP]],COMPROMISOS_2025[[#All],[consecutivo]],COMPROMISOS_2025[[#All],[fecha_aprobacion]],"",0)</f>
        <v>#NAME?</v>
      </c>
      <c r="V59" s="93">
        <f ca="1">SUMIF(COMPROMISOS_2025[[#All],[consecutivo]],Contrato[[#This Row],[RCP]],COMPROMISOS_2025[[#All],[valor_total]])</f>
        <v>0</v>
      </c>
      <c r="W59" s="169">
        <v>45701</v>
      </c>
      <c r="X59" s="243" t="s">
        <v>901</v>
      </c>
      <c r="Y59" s="96">
        <v>45702</v>
      </c>
      <c r="Z59" s="161">
        <v>46004</v>
      </c>
      <c r="AA59" s="198" t="s">
        <v>1075</v>
      </c>
      <c r="AB59" s="119" t="s">
        <v>1004</v>
      </c>
      <c r="AC59" s="112"/>
      <c r="AD59" s="279">
        <v>202000006159</v>
      </c>
      <c r="AE59" s="38" t="s">
        <v>904</v>
      </c>
      <c r="AF59" s="120" t="str">
        <f>TEXT(LEFT(Contrato[[#This Row],[CONTRATO]],3),"0")</f>
        <v>54</v>
      </c>
      <c r="AG59" s="120" t="str">
        <f>IF(LEN(Contrato[[#This Row],[Contrato2]])=3,Contrato[[#This Row],[Contrato2]],TEXT(Contrato[[#This Row],[Contrato2]],"000"))</f>
        <v>054</v>
      </c>
      <c r="AH59" s="90">
        <f ca="1">IFERROR(_xlfn.DAYS(Contrato[[#This Row],[Fecha Proyectada liquidación]],TODAY())/30,"")</f>
        <v>11.366666666666667</v>
      </c>
      <c r="AI59" s="121">
        <f>+Contrato[[#This Row],[FECHA TERMINACIÓN ]]+120</f>
        <v>46124</v>
      </c>
      <c r="AJ59" s="89"/>
      <c r="AK59" s="91" t="str">
        <f ca="1">IF(Contrato[[#This Row],[FECHA TERMINACIÓN ]]&lt;TODAY(), "Terminado",IF(ISNUMBER(Contrato[[#This Row],[Fecha Real de liquiidación ]]),"Liquidado",IF(Contrato[[#This Row],[FECHA TERMINACIÓN ]]&gt;=TODAY(),"En ejecución","")))</f>
        <v>En ejecución</v>
      </c>
      <c r="AL59" s="107">
        <f ca="1">SUMIF(COMPROMISOS_2025[[#All],[consecutivo]],Contrato[[#This Row],[RCP]],COMPROMISOS_2025[[#All],[Total pagado]])</f>
        <v>0</v>
      </c>
      <c r="AM59" s="122">
        <f ca="1">IFERROR(Contrato[[#This Row],[Pagos]]/Contrato[[#This Row],[VALOR CONTRATO]],0)</f>
        <v>0</v>
      </c>
      <c r="AN59" s="160">
        <f ca="1">+Contrato[[#This Row],[VALOR CONTRATO]]-Contrato[[#This Row],[Pagos]]</f>
        <v>83968000</v>
      </c>
      <c r="AO59" s="111" t="e" cm="1">
        <f t="array" aca="1" ref="AO59" ca="1">_xlfn.XLOOKUP(Contrato[[#This Row],[DOCUMENTO ]],PERSONAL_ACTIVO_2025[[#All],[DOCUMENTO]],PERSONAL_ACTIVO_2025[[#All],[email]],0,0)</f>
        <v>#NAME?</v>
      </c>
      <c r="AP59" s="111" t="e" cm="1">
        <f t="array" aca="1" ref="AP59" ca="1">_xlfn.XLOOKUP(Contrato[[#This Row],[DOCUMENTO]],PERSONAL_ACTIVO_2025[[#All],[DOCUMENTO]],PERSONAL_ACTIVO_2025[[#All],[email]],0,0)</f>
        <v>#NAME?</v>
      </c>
      <c r="AQ59" s="111" cm="1">
        <f t="array" aca="1" ref="AQ59" ca="1">IF(ISBLANK(Contrato[[#This Row],[DEPENDENCIA ]]),0,IFERROR(_xlfn.XLOOKUP(Contrato[[#This Row],[DEPENDENCIA ]],#REF!,#REF!,0,0),0))</f>
        <v>0</v>
      </c>
      <c r="AR59" s="553">
        <f ca="1">+_xlfn.DAYS(Contrato[[#This Row],[FECHA TERMINACIÓN ]],TODAY())</f>
        <v>221</v>
      </c>
    </row>
    <row r="60" spans="1:44" s="111" customFormat="1" ht="36" customHeight="1" x14ac:dyDescent="0.25">
      <c r="A60" s="38">
        <v>481</v>
      </c>
      <c r="B60" s="226">
        <v>55</v>
      </c>
      <c r="C60" s="88" t="s">
        <v>690</v>
      </c>
      <c r="D60" s="192" t="s">
        <v>890</v>
      </c>
      <c r="E60" s="193" t="s">
        <v>112</v>
      </c>
      <c r="F60" s="194" t="s">
        <v>113</v>
      </c>
      <c r="G60" s="195" t="s">
        <v>1076</v>
      </c>
      <c r="H60" s="167">
        <v>1128470360</v>
      </c>
      <c r="I60" s="292">
        <v>7521800</v>
      </c>
      <c r="J60" s="290">
        <v>34600280</v>
      </c>
      <c r="K60" s="158" t="s">
        <v>41</v>
      </c>
      <c r="L60" s="196" t="s">
        <v>958</v>
      </c>
      <c r="M60" s="114" t="s">
        <v>893</v>
      </c>
      <c r="N60" s="113" t="e" cm="1">
        <f t="array" aca="1" ref="N60" ca="1">_xlfn.XLOOKUP(Contrato[[#This Row],[SUPERVISOR TITULAR]],PERSONAL_ACTIVO_2025[[#All],[NOMBRES Y APELLIDOS]],PERSONAL_ACTIVO_2025[[#All],[DOCUMENTO]],"",0)</f>
        <v>#NAME?</v>
      </c>
      <c r="O60" s="114" t="s">
        <v>894</v>
      </c>
      <c r="P60" s="115" t="e" cm="1">
        <f t="array" aca="1" ref="P60" ca="1">_xlfn.XLOOKUP(Contrato[[#This Row],[SUPERVISOR SUPLENTE ]],PERSONAL_ACTIVO_2025[[#All],[NOMBRES Y APELLIDOS]],PERSONAL_ACTIVO_2025[[#All],[DOCUMENTO]],"",0)</f>
        <v>#NAME?</v>
      </c>
      <c r="Q60" s="116">
        <v>12</v>
      </c>
      <c r="R60" s="137" t="e" cm="1">
        <f t="array" aca="1" ref="R60" ca="1">_xlfn.XLOOKUP(Contrato[[#This Row],[CDP]],DISPONIBILIDADES_2025[[#All],[consecutivo]],DISPONIBILIDADES_2025[[#All],[fecha_aprobacion]],"",0)</f>
        <v>#NAME?</v>
      </c>
      <c r="S60" s="92">
        <f>SUMIF(DISPONIBILIDADES_2025[[#All],[consecutivo]],Contrato[[#This Row],[CDP]],DISPONIBILIDADES_2025[[#All],[valor_total_rubro]])</f>
        <v>34797836</v>
      </c>
      <c r="T60" s="118" t="e" cm="1">
        <f t="array" aca="1" ref="T60" ca="1">_xlfn.XLOOKUP(Contrato[[#This Row],[CONTRATO]]&amp;Contrato[[#This Row],[CDP]],Corr_Contr_CDP[[#All],[CONTRATO-CDP]],Corr_Contr_CDP[[#All],[CRP]],_xlfn.XLOOKUP(Contrato[[#This Row],[CDP]],COMPROMISOS_2025[[#All],[disponibilidad]],COMPROMISOS_2025[[#All],[consecutivo]],"",0),0)</f>
        <v>#NAME?</v>
      </c>
      <c r="U60" s="117" t="e" cm="1">
        <f t="array" aca="1" ref="U60" ca="1">+_xlfn.XLOOKUP(Contrato[[#This Row],[RCP]],COMPROMISOS_2025[[#All],[consecutivo]],COMPROMISOS_2025[[#All],[fecha_aprobacion]],"",0)</f>
        <v>#NAME?</v>
      </c>
      <c r="V60" s="93">
        <f ca="1">SUMIF(COMPROMISOS_2025[[#All],[consecutivo]],Contrato[[#This Row],[RCP]],COMPROMISOS_2025[[#All],[valor_total]])</f>
        <v>0</v>
      </c>
      <c r="W60" s="169">
        <v>45700</v>
      </c>
      <c r="X60" s="243" t="s">
        <v>901</v>
      </c>
      <c r="Y60" s="96">
        <v>45701</v>
      </c>
      <c r="Z60" s="161">
        <v>45839</v>
      </c>
      <c r="AA60" s="198" t="s">
        <v>1077</v>
      </c>
      <c r="AB60" s="119" t="s">
        <v>1078</v>
      </c>
      <c r="AC60" s="112"/>
      <c r="AD60" s="279">
        <v>202000006160</v>
      </c>
      <c r="AE60" s="38" t="s">
        <v>904</v>
      </c>
      <c r="AF60" s="120" t="str">
        <f>TEXT(LEFT(Contrato[[#This Row],[CONTRATO]],3),"0")</f>
        <v>55</v>
      </c>
      <c r="AG60" s="120" t="str">
        <f>IF(LEN(Contrato[[#This Row],[Contrato2]])=3,Contrato[[#This Row],[Contrato2]],TEXT(Contrato[[#This Row],[Contrato2]],"000"))</f>
        <v>055</v>
      </c>
      <c r="AH60" s="90">
        <f ca="1">IFERROR(_xlfn.DAYS(Contrato[[#This Row],[Fecha Proyectada liquidación]],TODAY())/30,"")</f>
        <v>5.8666666666666663</v>
      </c>
      <c r="AI60" s="121">
        <f>+Contrato[[#This Row],[FECHA TERMINACIÓN ]]+120</f>
        <v>45959</v>
      </c>
      <c r="AJ60" s="89"/>
      <c r="AK60" s="91" t="str">
        <f ca="1">IF(Contrato[[#This Row],[FECHA TERMINACIÓN ]]&lt;TODAY(), "Terminado",IF(ISNUMBER(Contrato[[#This Row],[Fecha Real de liquiidación ]]),"Liquidado",IF(Contrato[[#This Row],[FECHA TERMINACIÓN ]]&gt;=TODAY(),"En ejecución","")))</f>
        <v>En ejecución</v>
      </c>
      <c r="AL60" s="107">
        <f ca="1">SUMIF(COMPROMISOS_2025[[#All],[consecutivo]],Contrato[[#This Row],[RCP]],COMPROMISOS_2025[[#All],[Total pagado]])</f>
        <v>0</v>
      </c>
      <c r="AM60" s="122">
        <f ca="1">IFERROR(Contrato[[#This Row],[Pagos]]/Contrato[[#This Row],[VALOR CONTRATO]],0)</f>
        <v>0</v>
      </c>
      <c r="AN60" s="160">
        <f ca="1">+Contrato[[#This Row],[VALOR CONTRATO]]-Contrato[[#This Row],[Pagos]]</f>
        <v>34600280</v>
      </c>
      <c r="AO60" s="111" t="e" cm="1">
        <f t="array" aca="1" ref="AO60" ca="1">_xlfn.XLOOKUP(Contrato[[#This Row],[DOCUMENTO ]],PERSONAL_ACTIVO_2025[[#All],[DOCUMENTO]],PERSONAL_ACTIVO_2025[[#All],[email]],0,0)</f>
        <v>#NAME?</v>
      </c>
      <c r="AP60" s="111" t="e" cm="1">
        <f t="array" aca="1" ref="AP60" ca="1">_xlfn.XLOOKUP(Contrato[[#This Row],[DOCUMENTO]],PERSONAL_ACTIVO_2025[[#All],[DOCUMENTO]],PERSONAL_ACTIVO_2025[[#All],[email]],0,0)</f>
        <v>#NAME?</v>
      </c>
      <c r="AQ60" s="111" cm="1">
        <f t="array" aca="1" ref="AQ60" ca="1">IF(ISBLANK(Contrato[[#This Row],[DEPENDENCIA ]]),0,IFERROR(_xlfn.XLOOKUP(Contrato[[#This Row],[DEPENDENCIA ]],#REF!,#REF!,0,0),0))</f>
        <v>0</v>
      </c>
      <c r="AR60" s="553">
        <f ca="1">+_xlfn.DAYS(Contrato[[#This Row],[FECHA TERMINACIÓN ]],TODAY())</f>
        <v>56</v>
      </c>
    </row>
    <row r="61" spans="1:44" s="111" customFormat="1" ht="36" customHeight="1" x14ac:dyDescent="0.25">
      <c r="A61" s="38">
        <v>515</v>
      </c>
      <c r="B61" s="226">
        <v>56</v>
      </c>
      <c r="C61" s="88" t="s">
        <v>720</v>
      </c>
      <c r="D61" s="192" t="s">
        <v>945</v>
      </c>
      <c r="E61" s="193" t="s">
        <v>112</v>
      </c>
      <c r="F61" s="194" t="s">
        <v>113</v>
      </c>
      <c r="G61" s="195" t="s">
        <v>1079</v>
      </c>
      <c r="H61" s="167">
        <v>1036649446</v>
      </c>
      <c r="I61" s="292">
        <v>7521800</v>
      </c>
      <c r="J61" s="290">
        <v>42609000</v>
      </c>
      <c r="K61" s="246" t="s">
        <v>1080</v>
      </c>
      <c r="L61" s="196" t="s">
        <v>1002</v>
      </c>
      <c r="M61" s="114" t="s">
        <v>948</v>
      </c>
      <c r="N61" s="113" t="e" cm="1">
        <f t="array" aca="1" ref="N61" ca="1">_xlfn.XLOOKUP(Contrato[[#This Row],[SUPERVISOR TITULAR]],PERSONAL_ACTIVO_2025[[#All],[NOMBRES Y APELLIDOS]],PERSONAL_ACTIVO_2025[[#All],[DOCUMENTO]],"",0)</f>
        <v>#NAME?</v>
      </c>
      <c r="O61" s="114" t="s">
        <v>947</v>
      </c>
      <c r="P61" s="115" t="e" cm="1">
        <f t="array" aca="1" ref="P61" ca="1">_xlfn.XLOOKUP(Contrato[[#This Row],[SUPERVISOR SUPLENTE ]],PERSONAL_ACTIVO_2025[[#All],[NOMBRES Y APELLIDOS]],PERSONAL_ACTIVO_2025[[#All],[DOCUMENTO]],"",0)</f>
        <v>#NAME?</v>
      </c>
      <c r="Q61" s="116">
        <v>36</v>
      </c>
      <c r="R61" s="137" t="e" cm="1">
        <f t="array" aca="1" ref="R61" ca="1">_xlfn.XLOOKUP(Contrato[[#This Row],[CDP]],DISPONIBILIDADES_2025[[#All],[consecutivo]],DISPONIBILIDADES_2025[[#All],[fecha_aprobacion]],"",0)</f>
        <v>#NAME?</v>
      </c>
      <c r="S61" s="92">
        <f>SUMIF(DISPONIBILIDADES_2025[[#All],[consecutivo]],Contrato[[#This Row],[CDP]],DISPONIBILIDADES_2025[[#All],[valor_total_rubro]])</f>
        <v>42609000</v>
      </c>
      <c r="T61" s="118" t="e" cm="1">
        <f t="array" aca="1" ref="T61" ca="1">_xlfn.XLOOKUP(Contrato[[#This Row],[CONTRATO]]&amp;Contrato[[#This Row],[CDP]],Corr_Contr_CDP[[#All],[CONTRATO-CDP]],Corr_Contr_CDP[[#All],[CRP]],_xlfn.XLOOKUP(Contrato[[#This Row],[CDP]],COMPROMISOS_2025[[#All],[disponibilidad]],COMPROMISOS_2025[[#All],[consecutivo]],"",0),0)</f>
        <v>#NAME?</v>
      </c>
      <c r="U61" s="117" t="e" cm="1">
        <f t="array" aca="1" ref="U61" ca="1">+_xlfn.XLOOKUP(Contrato[[#This Row],[RCP]],COMPROMISOS_2025[[#All],[consecutivo]],COMPROMISOS_2025[[#All],[fecha_aprobacion]],"",0)</f>
        <v>#NAME?</v>
      </c>
      <c r="V61" s="93">
        <f ca="1">SUMIF(COMPROMISOS_2025[[#All],[consecutivo]],Contrato[[#This Row],[RCP]],COMPROMISOS_2025[[#All],[valor_total]])</f>
        <v>0</v>
      </c>
      <c r="W61" s="169">
        <v>45700</v>
      </c>
      <c r="X61" s="243" t="s">
        <v>901</v>
      </c>
      <c r="Y61" s="96">
        <v>45701</v>
      </c>
      <c r="Z61" s="161">
        <v>45851</v>
      </c>
      <c r="AA61" s="198" t="s">
        <v>1081</v>
      </c>
      <c r="AB61" s="119" t="s">
        <v>920</v>
      </c>
      <c r="AC61" s="112"/>
      <c r="AD61" s="279">
        <v>202000006161</v>
      </c>
      <c r="AE61" s="38" t="s">
        <v>904</v>
      </c>
      <c r="AF61" s="120" t="str">
        <f>TEXT(LEFT(Contrato[[#This Row],[CONTRATO]],3),"0")</f>
        <v>56</v>
      </c>
      <c r="AG61" s="120" t="str">
        <f>IF(LEN(Contrato[[#This Row],[Contrato2]])=3,Contrato[[#This Row],[Contrato2]],TEXT(Contrato[[#This Row],[Contrato2]],"000"))</f>
        <v>056</v>
      </c>
      <c r="AH61" s="90">
        <f ca="1">IFERROR(_xlfn.DAYS(Contrato[[#This Row],[Fecha Proyectada liquidación]],TODAY())/30,"")</f>
        <v>6.2666666666666666</v>
      </c>
      <c r="AI61" s="121">
        <f>+Contrato[[#This Row],[FECHA TERMINACIÓN ]]+120</f>
        <v>45971</v>
      </c>
      <c r="AJ61" s="89"/>
      <c r="AK61" s="91" t="str">
        <f ca="1">IF(Contrato[[#This Row],[FECHA TERMINACIÓN ]]&lt;TODAY(), "Terminado",IF(ISNUMBER(Contrato[[#This Row],[Fecha Real de liquiidación ]]),"Liquidado",IF(Contrato[[#This Row],[FECHA TERMINACIÓN ]]&gt;=TODAY(),"En ejecución","")))</f>
        <v>En ejecución</v>
      </c>
      <c r="AL61" s="107">
        <f ca="1">SUMIF(COMPROMISOS_2025[[#All],[consecutivo]],Contrato[[#This Row],[RCP]],COMPROMISOS_2025[[#All],[Total pagado]])</f>
        <v>0</v>
      </c>
      <c r="AM61" s="122">
        <f ca="1">IFERROR(Contrato[[#This Row],[Pagos]]/Contrato[[#This Row],[VALOR CONTRATO]],0)</f>
        <v>0</v>
      </c>
      <c r="AN61" s="160">
        <f ca="1">+Contrato[[#This Row],[VALOR CONTRATO]]-Contrato[[#This Row],[Pagos]]</f>
        <v>42609000</v>
      </c>
      <c r="AO61" s="111" t="e" cm="1">
        <f t="array" aca="1" ref="AO61" ca="1">_xlfn.XLOOKUP(Contrato[[#This Row],[DOCUMENTO ]],PERSONAL_ACTIVO_2025[[#All],[DOCUMENTO]],PERSONAL_ACTIVO_2025[[#All],[email]],0,0)</f>
        <v>#NAME?</v>
      </c>
      <c r="AP61" s="111" t="e" cm="1">
        <f t="array" aca="1" ref="AP61" ca="1">_xlfn.XLOOKUP(Contrato[[#This Row],[DOCUMENTO]],PERSONAL_ACTIVO_2025[[#All],[DOCUMENTO]],PERSONAL_ACTIVO_2025[[#All],[email]],0,0)</f>
        <v>#NAME?</v>
      </c>
      <c r="AQ61" s="111" cm="1">
        <f t="array" aca="1" ref="AQ61" ca="1">IF(ISBLANK(Contrato[[#This Row],[DEPENDENCIA ]]),0,IFERROR(_xlfn.XLOOKUP(Contrato[[#This Row],[DEPENDENCIA ]],#REF!,#REF!,0,0),0))</f>
        <v>0</v>
      </c>
      <c r="AR61" s="553">
        <f ca="1">+_xlfn.DAYS(Contrato[[#This Row],[FECHA TERMINACIÓN ]],TODAY())</f>
        <v>68</v>
      </c>
    </row>
    <row r="62" spans="1:44" s="111" customFormat="1" ht="36" customHeight="1" x14ac:dyDescent="0.25">
      <c r="A62" s="38">
        <v>527</v>
      </c>
      <c r="B62" s="226">
        <v>57</v>
      </c>
      <c r="C62" s="88" t="s">
        <v>731</v>
      </c>
      <c r="D62" s="192" t="s">
        <v>930</v>
      </c>
      <c r="E62" s="193" t="s">
        <v>112</v>
      </c>
      <c r="F62" s="194" t="s">
        <v>113</v>
      </c>
      <c r="G62" s="195" t="s">
        <v>1082</v>
      </c>
      <c r="H62" s="167">
        <v>1037977238</v>
      </c>
      <c r="I62" s="292">
        <v>3419000</v>
      </c>
      <c r="J62" s="290">
        <v>42940000</v>
      </c>
      <c r="K62" s="246" t="s">
        <v>1054</v>
      </c>
      <c r="L62" s="196" t="s">
        <v>1050</v>
      </c>
      <c r="M62" s="114" t="s">
        <v>994</v>
      </c>
      <c r="N62" s="113" t="e" cm="1">
        <f t="array" aca="1" ref="N62" ca="1">_xlfn.XLOOKUP(Contrato[[#This Row],[SUPERVISOR TITULAR]],PERSONAL_ACTIVO_2025[[#All],[NOMBRES Y APELLIDOS]],PERSONAL_ACTIVO_2025[[#All],[DOCUMENTO]],"",0)</f>
        <v>#NAME?</v>
      </c>
      <c r="O62" s="114" t="s">
        <v>1072</v>
      </c>
      <c r="P62" s="115" t="e" cm="1">
        <f t="array" aca="1" ref="P62" ca="1">_xlfn.XLOOKUP(Contrato[[#This Row],[SUPERVISOR SUPLENTE ]],PERSONAL_ACTIVO_2025[[#All],[NOMBRES Y APELLIDOS]],PERSONAL_ACTIVO_2025[[#All],[DOCUMENTO]],"",0)</f>
        <v>#NAME?</v>
      </c>
      <c r="Q62" s="116">
        <v>81</v>
      </c>
      <c r="R62" s="137" t="e" cm="1">
        <f t="array" aca="1" ref="R62" ca="1">_xlfn.XLOOKUP(Contrato[[#This Row],[CDP]],DISPONIBILIDADES_2025[[#All],[consecutivo]],DISPONIBILIDADES_2025[[#All],[fecha_aprobacion]],"",0)</f>
        <v>#NAME?</v>
      </c>
      <c r="S62" s="92">
        <f>SUMIF(DISPONIBILIDADES_2025[[#All],[consecutivo]],Contrato[[#This Row],[CDP]],DISPONIBILIDADES_2025[[#All],[valor_total_rubro]])</f>
        <v>42940000</v>
      </c>
      <c r="T62" s="118" t="e" cm="1">
        <f t="array" aca="1" ref="T62" ca="1">_xlfn.XLOOKUP(Contrato[[#This Row],[CONTRATO]]&amp;Contrato[[#This Row],[CDP]],Corr_Contr_CDP[[#All],[CONTRATO-CDP]],Corr_Contr_CDP[[#All],[CRP]],_xlfn.XLOOKUP(Contrato[[#This Row],[CDP]],COMPROMISOS_2025[[#All],[disponibilidad]],COMPROMISOS_2025[[#All],[consecutivo]],"",0),0)</f>
        <v>#NAME?</v>
      </c>
      <c r="U62" s="117" t="e" cm="1">
        <f t="array" aca="1" ref="U62" ca="1">+_xlfn.XLOOKUP(Contrato[[#This Row],[RCP]],COMPROMISOS_2025[[#All],[consecutivo]],COMPROMISOS_2025[[#All],[fecha_aprobacion]],"",0)</f>
        <v>#NAME?</v>
      </c>
      <c r="V62" s="93">
        <f ca="1">SUMIF(COMPROMISOS_2025[[#All],[consecutivo]],Contrato[[#This Row],[RCP]],COMPROMISOS_2025[[#All],[valor_total]])</f>
        <v>0</v>
      </c>
      <c r="W62" s="169">
        <v>45702</v>
      </c>
      <c r="X62" s="243" t="s">
        <v>901</v>
      </c>
      <c r="Y62" s="96">
        <v>45705</v>
      </c>
      <c r="Z62" s="161">
        <v>46007</v>
      </c>
      <c r="AA62" s="198" t="s">
        <v>1083</v>
      </c>
      <c r="AB62" s="119" t="s">
        <v>1004</v>
      </c>
      <c r="AC62" s="112"/>
      <c r="AD62" s="279">
        <v>202000006163</v>
      </c>
      <c r="AE62" s="38" t="s">
        <v>904</v>
      </c>
      <c r="AF62" s="120" t="str">
        <f>TEXT(LEFT(Contrato[[#This Row],[CONTRATO]],3),"0")</f>
        <v>57</v>
      </c>
      <c r="AG62" s="120" t="str">
        <f>IF(LEN(Contrato[[#This Row],[Contrato2]])=3,Contrato[[#This Row],[Contrato2]],TEXT(Contrato[[#This Row],[Contrato2]],"000"))</f>
        <v>057</v>
      </c>
      <c r="AH62" s="90">
        <f ca="1">IFERROR(_xlfn.DAYS(Contrato[[#This Row],[Fecha Proyectada liquidación]],TODAY())/30,"")</f>
        <v>11.466666666666667</v>
      </c>
      <c r="AI62" s="121">
        <f>+Contrato[[#This Row],[FECHA TERMINACIÓN ]]+120</f>
        <v>46127</v>
      </c>
      <c r="AJ62" s="89"/>
      <c r="AK62" s="91" t="str">
        <f ca="1">IF(Contrato[[#This Row],[FECHA TERMINACIÓN ]]&lt;TODAY(), "Terminado",IF(ISNUMBER(Contrato[[#This Row],[Fecha Real de liquiidación ]]),"Liquidado",IF(Contrato[[#This Row],[FECHA TERMINACIÓN ]]&gt;=TODAY(),"En ejecución","")))</f>
        <v>En ejecución</v>
      </c>
      <c r="AL62" s="107">
        <f ca="1">SUMIF(COMPROMISOS_2025[[#All],[consecutivo]],Contrato[[#This Row],[RCP]],COMPROMISOS_2025[[#All],[Total pagado]])</f>
        <v>0</v>
      </c>
      <c r="AM62" s="122">
        <f ca="1">IFERROR(Contrato[[#This Row],[Pagos]]/Contrato[[#This Row],[VALOR CONTRATO]],0)</f>
        <v>0</v>
      </c>
      <c r="AN62" s="160">
        <f ca="1">+Contrato[[#This Row],[VALOR CONTRATO]]-Contrato[[#This Row],[Pagos]]</f>
        <v>42940000</v>
      </c>
      <c r="AO62" s="111" t="e" cm="1">
        <f t="array" aca="1" ref="AO62" ca="1">_xlfn.XLOOKUP(Contrato[[#This Row],[DOCUMENTO ]],PERSONAL_ACTIVO_2025[[#All],[DOCUMENTO]],PERSONAL_ACTIVO_2025[[#All],[email]],0,0)</f>
        <v>#NAME?</v>
      </c>
      <c r="AP62" s="111" t="e" cm="1">
        <f t="array" aca="1" ref="AP62" ca="1">_xlfn.XLOOKUP(Contrato[[#This Row],[DOCUMENTO]],PERSONAL_ACTIVO_2025[[#All],[DOCUMENTO]],PERSONAL_ACTIVO_2025[[#All],[email]],0,0)</f>
        <v>#NAME?</v>
      </c>
      <c r="AQ62" s="111" cm="1">
        <f t="array" aca="1" ref="AQ62" ca="1">IF(ISBLANK(Contrato[[#This Row],[DEPENDENCIA ]]),0,IFERROR(_xlfn.XLOOKUP(Contrato[[#This Row],[DEPENDENCIA ]],#REF!,#REF!,0,0),0))</f>
        <v>0</v>
      </c>
      <c r="AR62" s="553">
        <f ca="1">+_xlfn.DAYS(Contrato[[#This Row],[FECHA TERMINACIÓN ]],TODAY())</f>
        <v>224</v>
      </c>
    </row>
    <row r="63" spans="1:44" s="111" customFormat="1" ht="36" customHeight="1" x14ac:dyDescent="0.25">
      <c r="A63" s="38">
        <v>526</v>
      </c>
      <c r="B63" s="226">
        <v>58</v>
      </c>
      <c r="C63" s="88" t="s">
        <v>294</v>
      </c>
      <c r="D63" s="192" t="s">
        <v>930</v>
      </c>
      <c r="E63" s="193" t="s">
        <v>112</v>
      </c>
      <c r="F63" s="194" t="s">
        <v>113</v>
      </c>
      <c r="G63" s="195" t="s">
        <v>1084</v>
      </c>
      <c r="H63" s="167">
        <v>71654167</v>
      </c>
      <c r="I63" s="292">
        <v>7521800</v>
      </c>
      <c r="J63" s="290">
        <v>83968000</v>
      </c>
      <c r="K63" s="246" t="s">
        <v>1054</v>
      </c>
      <c r="L63" s="196" t="s">
        <v>1050</v>
      </c>
      <c r="M63" s="114" t="s">
        <v>994</v>
      </c>
      <c r="N63" s="113" t="e" cm="1">
        <f t="array" aca="1" ref="N63" ca="1">_xlfn.XLOOKUP(Contrato[[#This Row],[SUPERVISOR TITULAR]],PERSONAL_ACTIVO_2025[[#All],[NOMBRES Y APELLIDOS]],PERSONAL_ACTIVO_2025[[#All],[DOCUMENTO]],"",0)</f>
        <v>#NAME?</v>
      </c>
      <c r="O63" s="114" t="s">
        <v>1072</v>
      </c>
      <c r="P63" s="115" t="e" cm="1">
        <f t="array" aca="1" ref="P63" ca="1">_xlfn.XLOOKUP(Contrato[[#This Row],[SUPERVISOR SUPLENTE ]],PERSONAL_ACTIVO_2025[[#All],[NOMBRES Y APELLIDOS]],PERSONAL_ACTIVO_2025[[#All],[DOCUMENTO]],"",0)</f>
        <v>#NAME?</v>
      </c>
      <c r="Q63" s="116">
        <v>80</v>
      </c>
      <c r="R63" s="137" t="e" cm="1">
        <f t="array" aca="1" ref="R63" ca="1">_xlfn.XLOOKUP(Contrato[[#This Row],[CDP]],DISPONIBILIDADES_2025[[#All],[consecutivo]],DISPONIBILIDADES_2025[[#All],[fecha_aprobacion]],"",0)</f>
        <v>#NAME?</v>
      </c>
      <c r="S63" s="92">
        <f>SUMIF(DISPONIBILIDADES_2025[[#All],[consecutivo]],Contrato[[#This Row],[CDP]],DISPONIBILIDADES_2025[[#All],[valor_total_rubro]])</f>
        <v>83968000</v>
      </c>
      <c r="T63" s="118" t="e" cm="1">
        <f t="array" aca="1" ref="T63" ca="1">_xlfn.XLOOKUP(Contrato[[#This Row],[CONTRATO]]&amp;Contrato[[#This Row],[CDP]],Corr_Contr_CDP[[#All],[CONTRATO-CDP]],Corr_Contr_CDP[[#All],[CRP]],_xlfn.XLOOKUP(Contrato[[#This Row],[CDP]],COMPROMISOS_2025[[#All],[disponibilidad]],COMPROMISOS_2025[[#All],[consecutivo]],"",0),0)</f>
        <v>#NAME?</v>
      </c>
      <c r="U63" s="117" t="e" cm="1">
        <f t="array" aca="1" ref="U63" ca="1">+_xlfn.XLOOKUP(Contrato[[#This Row],[RCP]],COMPROMISOS_2025[[#All],[consecutivo]],COMPROMISOS_2025[[#All],[fecha_aprobacion]],"",0)</f>
        <v>#NAME?</v>
      </c>
      <c r="V63" s="93">
        <f ca="1">SUMIF(COMPROMISOS_2025[[#All],[consecutivo]],Contrato[[#This Row],[RCP]],COMPROMISOS_2025[[#All],[valor_total]])</f>
        <v>0</v>
      </c>
      <c r="W63" s="169">
        <v>45702</v>
      </c>
      <c r="X63" s="243" t="s">
        <v>901</v>
      </c>
      <c r="Y63" s="96">
        <v>45705</v>
      </c>
      <c r="Z63" s="161">
        <v>46007</v>
      </c>
      <c r="AA63" s="198" t="s">
        <v>1085</v>
      </c>
      <c r="AB63" s="119" t="s">
        <v>1004</v>
      </c>
      <c r="AC63" s="112"/>
      <c r="AD63" s="279">
        <v>202000006164</v>
      </c>
      <c r="AE63" s="38" t="s">
        <v>904</v>
      </c>
      <c r="AF63" s="120" t="str">
        <f>TEXT(LEFT(Contrato[[#This Row],[CONTRATO]],3),"0")</f>
        <v>58</v>
      </c>
      <c r="AG63" s="120" t="str">
        <f>IF(LEN(Contrato[[#This Row],[Contrato2]])=3,Contrato[[#This Row],[Contrato2]],TEXT(Contrato[[#This Row],[Contrato2]],"000"))</f>
        <v>058</v>
      </c>
      <c r="AH63" s="90">
        <f ca="1">IFERROR(_xlfn.DAYS(Contrato[[#This Row],[Fecha Proyectada liquidación]],TODAY())/30,"")</f>
        <v>11.466666666666667</v>
      </c>
      <c r="AI63" s="121">
        <f>+Contrato[[#This Row],[FECHA TERMINACIÓN ]]+120</f>
        <v>46127</v>
      </c>
      <c r="AJ63" s="89"/>
      <c r="AK63" s="91" t="str">
        <f ca="1">IF(Contrato[[#This Row],[FECHA TERMINACIÓN ]]&lt;TODAY(), "Terminado",IF(ISNUMBER(Contrato[[#This Row],[Fecha Real de liquiidación ]]),"Liquidado",IF(Contrato[[#This Row],[FECHA TERMINACIÓN ]]&gt;=TODAY(),"En ejecución","")))</f>
        <v>En ejecución</v>
      </c>
      <c r="AL63" s="107">
        <f ca="1">SUMIF(COMPROMISOS_2025[[#All],[consecutivo]],Contrato[[#This Row],[RCP]],COMPROMISOS_2025[[#All],[Total pagado]])</f>
        <v>0</v>
      </c>
      <c r="AM63" s="122">
        <f ca="1">IFERROR(Contrato[[#This Row],[Pagos]]/Contrato[[#This Row],[VALOR CONTRATO]],0)</f>
        <v>0</v>
      </c>
      <c r="AN63" s="160">
        <f ca="1">+Contrato[[#This Row],[VALOR CONTRATO]]-Contrato[[#This Row],[Pagos]]</f>
        <v>83968000</v>
      </c>
      <c r="AO63" s="111" t="e" cm="1">
        <f t="array" aca="1" ref="AO63" ca="1">_xlfn.XLOOKUP(Contrato[[#This Row],[DOCUMENTO ]],PERSONAL_ACTIVO_2025[[#All],[DOCUMENTO]],PERSONAL_ACTIVO_2025[[#All],[email]],0,0)</f>
        <v>#NAME?</v>
      </c>
      <c r="AP63" s="111" t="e" cm="1">
        <f t="array" aca="1" ref="AP63" ca="1">_xlfn.XLOOKUP(Contrato[[#This Row],[DOCUMENTO]],PERSONAL_ACTIVO_2025[[#All],[DOCUMENTO]],PERSONAL_ACTIVO_2025[[#All],[email]],0,0)</f>
        <v>#NAME?</v>
      </c>
      <c r="AQ63" s="111" cm="1">
        <f t="array" aca="1" ref="AQ63" ca="1">IF(ISBLANK(Contrato[[#This Row],[DEPENDENCIA ]]),0,IFERROR(_xlfn.XLOOKUP(Contrato[[#This Row],[DEPENDENCIA ]],#REF!,#REF!,0,0),0))</f>
        <v>0</v>
      </c>
      <c r="AR63" s="553">
        <f ca="1">+_xlfn.DAYS(Contrato[[#This Row],[FECHA TERMINACIÓN ]],TODAY())</f>
        <v>224</v>
      </c>
    </row>
    <row r="64" spans="1:44" s="111" customFormat="1" ht="36" customHeight="1" x14ac:dyDescent="0.25">
      <c r="A64" s="38">
        <v>538</v>
      </c>
      <c r="B64" s="226">
        <v>59</v>
      </c>
      <c r="C64" s="88" t="s">
        <v>740</v>
      </c>
      <c r="D64" s="192" t="s">
        <v>930</v>
      </c>
      <c r="E64" s="193" t="s">
        <v>112</v>
      </c>
      <c r="F64" s="194" t="s">
        <v>113</v>
      </c>
      <c r="G64" s="195" t="s">
        <v>1086</v>
      </c>
      <c r="H64" s="167">
        <v>43744041</v>
      </c>
      <c r="I64" s="292">
        <v>7521800</v>
      </c>
      <c r="J64" s="290">
        <v>83968000</v>
      </c>
      <c r="K64" s="246" t="s">
        <v>1054</v>
      </c>
      <c r="L64" s="196" t="s">
        <v>1087</v>
      </c>
      <c r="M64" s="114" t="s">
        <v>979</v>
      </c>
      <c r="N64" s="113" t="e" cm="1">
        <f t="array" aca="1" ref="N64" ca="1">_xlfn.XLOOKUP(Contrato[[#This Row],[SUPERVISOR TITULAR]],PERSONAL_ACTIVO_2025[[#All],[NOMBRES Y APELLIDOS]],PERSONAL_ACTIVO_2025[[#All],[DOCUMENTO]],"",0)</f>
        <v>#NAME?</v>
      </c>
      <c r="O64" s="114" t="s">
        <v>1088</v>
      </c>
      <c r="P64" s="115" t="e" cm="1">
        <f t="array" aca="1" ref="P64" ca="1">_xlfn.XLOOKUP(Contrato[[#This Row],[SUPERVISOR SUPLENTE ]],PERSONAL_ACTIVO_2025[[#All],[NOMBRES Y APELLIDOS]],PERSONAL_ACTIVO_2025[[#All],[DOCUMENTO]],"",0)</f>
        <v>#NAME?</v>
      </c>
      <c r="Q64" s="116">
        <v>287</v>
      </c>
      <c r="R64" s="137" t="e" cm="1">
        <f t="array" aca="1" ref="R64" ca="1">_xlfn.XLOOKUP(Contrato[[#This Row],[CDP]],DISPONIBILIDADES_2025[[#All],[consecutivo]],DISPONIBILIDADES_2025[[#All],[fecha_aprobacion]],"",0)</f>
        <v>#NAME?</v>
      </c>
      <c r="S64" s="92">
        <f>SUMIF(DISPONIBILIDADES_2025[[#All],[consecutivo]],Contrato[[#This Row],[CDP]],DISPONIBILIDADES_2025[[#All],[valor_total_rubro]])</f>
        <v>83968000</v>
      </c>
      <c r="T64" s="118" t="e" cm="1">
        <f t="array" aca="1" ref="T64" ca="1">_xlfn.XLOOKUP(Contrato[[#This Row],[CONTRATO]]&amp;Contrato[[#This Row],[CDP]],Corr_Contr_CDP[[#All],[CONTRATO-CDP]],Corr_Contr_CDP[[#All],[CRP]],_xlfn.XLOOKUP(Contrato[[#This Row],[CDP]],COMPROMISOS_2025[[#All],[disponibilidad]],COMPROMISOS_2025[[#All],[consecutivo]],"",0),0)</f>
        <v>#NAME?</v>
      </c>
      <c r="U64" s="117" t="e" cm="1">
        <f t="array" aca="1" ref="U64" ca="1">+_xlfn.XLOOKUP(Contrato[[#This Row],[RCP]],COMPROMISOS_2025[[#All],[consecutivo]],COMPROMISOS_2025[[#All],[fecha_aprobacion]],"",0)</f>
        <v>#NAME?</v>
      </c>
      <c r="V64" s="93">
        <f ca="1">SUMIF(COMPROMISOS_2025[[#All],[consecutivo]],Contrato[[#This Row],[RCP]],COMPROMISOS_2025[[#All],[valor_total]])</f>
        <v>0</v>
      </c>
      <c r="W64" s="169">
        <v>45706</v>
      </c>
      <c r="X64" s="243" t="s">
        <v>901</v>
      </c>
      <c r="Y64" s="96">
        <v>45706</v>
      </c>
      <c r="Z64" s="161">
        <v>46008</v>
      </c>
      <c r="AA64" s="311" t="s">
        <v>1089</v>
      </c>
      <c r="AB64" s="119" t="s">
        <v>1004</v>
      </c>
      <c r="AC64" s="112"/>
      <c r="AD64" s="279">
        <v>202000006165</v>
      </c>
      <c r="AE64" s="38"/>
      <c r="AF64" s="120" t="str">
        <f>TEXT(LEFT(Contrato[[#This Row],[CONTRATO]],3),"0")</f>
        <v>59</v>
      </c>
      <c r="AG64" s="120" t="str">
        <f>IF(LEN(Contrato[[#This Row],[Contrato2]])=3,Contrato[[#This Row],[Contrato2]],TEXT(Contrato[[#This Row],[Contrato2]],"000"))</f>
        <v>059</v>
      </c>
      <c r="AH64" s="90">
        <f ca="1">IFERROR(_xlfn.DAYS(Contrato[[#This Row],[Fecha Proyectada liquidación]],TODAY())/30,"")</f>
        <v>11.5</v>
      </c>
      <c r="AI64" s="121">
        <f>+Contrato[[#This Row],[FECHA TERMINACIÓN ]]+120</f>
        <v>46128</v>
      </c>
      <c r="AJ64" s="89"/>
      <c r="AK64" s="91" t="str">
        <f ca="1">IF(Contrato[[#This Row],[FECHA TERMINACIÓN ]]&lt;TODAY(), "Terminado",IF(ISNUMBER(Contrato[[#This Row],[Fecha Real de liquiidación ]]),"Liquidado",IF(Contrato[[#This Row],[FECHA TERMINACIÓN ]]&gt;=TODAY(),"En ejecución","")))</f>
        <v>En ejecución</v>
      </c>
      <c r="AL64" s="107">
        <f ca="1">SUMIF(COMPROMISOS_2025[[#All],[consecutivo]],Contrato[[#This Row],[RCP]],COMPROMISOS_2025[[#All],[Total pagado]])</f>
        <v>0</v>
      </c>
      <c r="AM64" s="122">
        <f ca="1">IFERROR(Contrato[[#This Row],[Pagos]]/Contrato[[#This Row],[VALOR CONTRATO]],0)</f>
        <v>0</v>
      </c>
      <c r="AN64" s="160">
        <f ca="1">+Contrato[[#This Row],[VALOR CONTRATO]]-Contrato[[#This Row],[Pagos]]</f>
        <v>83968000</v>
      </c>
      <c r="AO64" s="111" t="e" cm="1">
        <f t="array" aca="1" ref="AO64" ca="1">_xlfn.XLOOKUP(Contrato[[#This Row],[DOCUMENTO ]],PERSONAL_ACTIVO_2025[[#All],[DOCUMENTO]],PERSONAL_ACTIVO_2025[[#All],[email]],0,0)</f>
        <v>#NAME?</v>
      </c>
      <c r="AP64" s="111" t="e" cm="1">
        <f t="array" aca="1" ref="AP64" ca="1">_xlfn.XLOOKUP(Contrato[[#This Row],[DOCUMENTO]],PERSONAL_ACTIVO_2025[[#All],[DOCUMENTO]],PERSONAL_ACTIVO_2025[[#All],[email]],0,0)</f>
        <v>#NAME?</v>
      </c>
      <c r="AQ64" s="111" cm="1">
        <f t="array" aca="1" ref="AQ64" ca="1">IF(ISBLANK(Contrato[[#This Row],[DEPENDENCIA ]]),0,IFERROR(_xlfn.XLOOKUP(Contrato[[#This Row],[DEPENDENCIA ]],#REF!,#REF!,0,0),0))</f>
        <v>0</v>
      </c>
      <c r="AR64" s="553">
        <f ca="1">+_xlfn.DAYS(Contrato[[#This Row],[FECHA TERMINACIÓN ]],TODAY())</f>
        <v>225</v>
      </c>
    </row>
    <row r="65" spans="1:44" s="111" customFormat="1" ht="36" customHeight="1" x14ac:dyDescent="0.25">
      <c r="A65" s="38">
        <v>467</v>
      </c>
      <c r="B65" s="226">
        <v>60</v>
      </c>
      <c r="C65" s="88" t="s">
        <v>671</v>
      </c>
      <c r="D65" s="192" t="s">
        <v>911</v>
      </c>
      <c r="E65" s="193" t="s">
        <v>112</v>
      </c>
      <c r="F65" s="194" t="s">
        <v>113</v>
      </c>
      <c r="G65" s="195" t="s">
        <v>1090</v>
      </c>
      <c r="H65" s="167">
        <v>37864662</v>
      </c>
      <c r="I65" s="292">
        <v>7521800</v>
      </c>
      <c r="J65" s="290">
        <v>75218000</v>
      </c>
      <c r="K65" s="158" t="s">
        <v>41</v>
      </c>
      <c r="L65" s="196" t="s">
        <v>1087</v>
      </c>
      <c r="M65" s="114" t="s">
        <v>938</v>
      </c>
      <c r="N65" s="113" t="e" cm="1">
        <f t="array" aca="1" ref="N65" ca="1">_xlfn.XLOOKUP(Contrato[[#This Row],[SUPERVISOR TITULAR]],PERSONAL_ACTIVO_2025[[#All],[NOMBRES Y APELLIDOS]],PERSONAL_ACTIVO_2025[[#All],[DOCUMENTO]],"",0)</f>
        <v>#NAME?</v>
      </c>
      <c r="O65" s="114" t="s">
        <v>1091</v>
      </c>
      <c r="P65" s="115" t="e" cm="1">
        <f t="array" aca="1" ref="P65" ca="1">_xlfn.XLOOKUP(Contrato[[#This Row],[SUPERVISOR SUPLENTE ]],PERSONAL_ACTIVO_2025[[#All],[NOMBRES Y APELLIDOS]],PERSONAL_ACTIVO_2025[[#All],[DOCUMENTO]],"",0)</f>
        <v>#NAME?</v>
      </c>
      <c r="Q65" s="116">
        <v>306</v>
      </c>
      <c r="R65" s="137" t="e" cm="1">
        <f t="array" aca="1" ref="R65" ca="1">_xlfn.XLOOKUP(Contrato[[#This Row],[CDP]],DISPONIBILIDADES_2025[[#All],[consecutivo]],DISPONIBILIDADES_2025[[#All],[fecha_aprobacion]],"",0)</f>
        <v>#NAME?</v>
      </c>
      <c r="S65" s="92">
        <f>SUMIF(DISPONIBILIDADES_2025[[#All],[consecutivo]],Contrato[[#This Row],[CDP]],DISPONIBILIDADES_2025[[#All],[valor_total_rubro]])</f>
        <v>75218000</v>
      </c>
      <c r="T65" s="118" t="e" cm="1">
        <f t="array" aca="1" ref="T65" ca="1">_xlfn.XLOOKUP(Contrato[[#This Row],[CONTRATO]]&amp;Contrato[[#This Row],[CDP]],Corr_Contr_CDP[[#All],[CONTRATO-CDP]],Corr_Contr_CDP[[#All],[CRP]],_xlfn.XLOOKUP(Contrato[[#This Row],[CDP]],COMPROMISOS_2025[[#All],[disponibilidad]],COMPROMISOS_2025[[#All],[consecutivo]],"",0),0)</f>
        <v>#NAME?</v>
      </c>
      <c r="U65" s="117" t="e" cm="1">
        <f t="array" aca="1" ref="U65" ca="1">+_xlfn.XLOOKUP(Contrato[[#This Row],[RCP]],COMPROMISOS_2025[[#All],[consecutivo]],COMPROMISOS_2025[[#All],[fecha_aprobacion]],"",0)</f>
        <v>#NAME?</v>
      </c>
      <c r="V65" s="93">
        <f ca="1">SUMIF(COMPROMISOS_2025[[#All],[consecutivo]],Contrato[[#This Row],[RCP]],COMPROMISOS_2025[[#All],[valor_total]])</f>
        <v>0</v>
      </c>
      <c r="W65" s="169">
        <v>45702</v>
      </c>
      <c r="X65" s="243" t="s">
        <v>901</v>
      </c>
      <c r="Y65" s="96">
        <v>45705</v>
      </c>
      <c r="Z65" s="161">
        <v>46007</v>
      </c>
      <c r="AA65" s="311" t="s">
        <v>1092</v>
      </c>
      <c r="AB65" s="119" t="s">
        <v>1004</v>
      </c>
      <c r="AC65" s="112"/>
      <c r="AD65" s="279">
        <v>202000006166</v>
      </c>
      <c r="AE65" s="38"/>
      <c r="AF65" s="120" t="str">
        <f>TEXT(LEFT(Contrato[[#This Row],[CONTRATO]],3),"0")</f>
        <v>60</v>
      </c>
      <c r="AG65" s="120" t="str">
        <f>IF(LEN(Contrato[[#This Row],[Contrato2]])=3,Contrato[[#This Row],[Contrato2]],TEXT(Contrato[[#This Row],[Contrato2]],"000"))</f>
        <v>060</v>
      </c>
      <c r="AH65" s="90">
        <f ca="1">IFERROR(_xlfn.DAYS(Contrato[[#This Row],[Fecha Proyectada liquidación]],TODAY())/30,"")</f>
        <v>11.466666666666667</v>
      </c>
      <c r="AI65" s="121">
        <f>+Contrato[[#This Row],[FECHA TERMINACIÓN ]]+120</f>
        <v>46127</v>
      </c>
      <c r="AJ65" s="89"/>
      <c r="AK65" s="91" t="str">
        <f ca="1">IF(Contrato[[#This Row],[FECHA TERMINACIÓN ]]&lt;TODAY(), "Terminado",IF(ISNUMBER(Contrato[[#This Row],[Fecha Real de liquiidación ]]),"Liquidado",IF(Contrato[[#This Row],[FECHA TERMINACIÓN ]]&gt;=TODAY(),"En ejecución","")))</f>
        <v>En ejecución</v>
      </c>
      <c r="AL65" s="107">
        <f ca="1">SUMIF(COMPROMISOS_2025[[#All],[consecutivo]],Contrato[[#This Row],[RCP]],COMPROMISOS_2025[[#All],[Total pagado]])</f>
        <v>0</v>
      </c>
      <c r="AM65" s="122">
        <f ca="1">IFERROR(Contrato[[#This Row],[Pagos]]/Contrato[[#This Row],[VALOR CONTRATO]],0)</f>
        <v>0</v>
      </c>
      <c r="AN65" s="160">
        <f ca="1">+Contrato[[#This Row],[VALOR CONTRATO]]-Contrato[[#This Row],[Pagos]]</f>
        <v>75218000</v>
      </c>
      <c r="AO65" s="111" t="e" cm="1">
        <f t="array" aca="1" ref="AO65" ca="1">_xlfn.XLOOKUP(Contrato[[#This Row],[DOCUMENTO ]],PERSONAL_ACTIVO_2025[[#All],[DOCUMENTO]],PERSONAL_ACTIVO_2025[[#All],[email]],0,0)</f>
        <v>#NAME?</v>
      </c>
      <c r="AP65" s="111" t="e" cm="1">
        <f t="array" aca="1" ref="AP65" ca="1">_xlfn.XLOOKUP(Contrato[[#This Row],[DOCUMENTO]],PERSONAL_ACTIVO_2025[[#All],[DOCUMENTO]],PERSONAL_ACTIVO_2025[[#All],[email]],0,0)</f>
        <v>#NAME?</v>
      </c>
      <c r="AQ65" s="111" cm="1">
        <f t="array" aca="1" ref="AQ65" ca="1">IF(ISBLANK(Contrato[[#This Row],[DEPENDENCIA ]]),0,IFERROR(_xlfn.XLOOKUP(Contrato[[#This Row],[DEPENDENCIA ]],#REF!,#REF!,0,0),0))</f>
        <v>0</v>
      </c>
      <c r="AR65" s="553">
        <f ca="1">+_xlfn.DAYS(Contrato[[#This Row],[FECHA TERMINACIÓN ]],TODAY())</f>
        <v>224</v>
      </c>
    </row>
    <row r="66" spans="1:44" s="111" customFormat="1" ht="36" customHeight="1" x14ac:dyDescent="0.25">
      <c r="A66" s="38">
        <v>545</v>
      </c>
      <c r="B66" s="226">
        <v>61</v>
      </c>
      <c r="C66" s="88" t="s">
        <v>745</v>
      </c>
      <c r="D66" s="192" t="s">
        <v>911</v>
      </c>
      <c r="E66" s="193" t="s">
        <v>112</v>
      </c>
      <c r="F66" s="194" t="s">
        <v>113</v>
      </c>
      <c r="G66" s="195" t="s">
        <v>1093</v>
      </c>
      <c r="H66" s="167">
        <v>1128393576</v>
      </c>
      <c r="I66" s="292">
        <v>9573200</v>
      </c>
      <c r="J66" s="290">
        <v>76585600</v>
      </c>
      <c r="K66" s="158" t="s">
        <v>41</v>
      </c>
      <c r="L66" s="196" t="s">
        <v>1087</v>
      </c>
      <c r="M66" s="114" t="s">
        <v>948</v>
      </c>
      <c r="N66" s="113" t="e" cm="1">
        <f t="array" aca="1" ref="N66" ca="1">_xlfn.XLOOKUP(Contrato[[#This Row],[SUPERVISOR TITULAR]],PERSONAL_ACTIVO_2025[[#All],[NOMBRES Y APELLIDOS]],PERSONAL_ACTIVO_2025[[#All],[DOCUMENTO]],"",0)</f>
        <v>#NAME?</v>
      </c>
      <c r="O66" s="114" t="s">
        <v>947</v>
      </c>
      <c r="P66" s="115" t="e" cm="1">
        <f t="array" aca="1" ref="P66" ca="1">_xlfn.XLOOKUP(Contrato[[#This Row],[SUPERVISOR SUPLENTE ]],PERSONAL_ACTIVO_2025[[#All],[NOMBRES Y APELLIDOS]],PERSONAL_ACTIVO_2025[[#All],[DOCUMENTO]],"",0)</f>
        <v>#NAME?</v>
      </c>
      <c r="Q66" s="116">
        <v>297</v>
      </c>
      <c r="R66" s="137" t="e" cm="1">
        <f t="array" aca="1" ref="R66" ca="1">_xlfn.XLOOKUP(Contrato[[#This Row],[CDP]],DISPONIBILIDADES_2025[[#All],[consecutivo]],DISPONIBILIDADES_2025[[#All],[fecha_aprobacion]],"",0)</f>
        <v>#NAME?</v>
      </c>
      <c r="S66" s="92">
        <f>SUMIF(DISPONIBILIDADES_2025[[#All],[consecutivo]],Contrato[[#This Row],[CDP]],DISPONIBILIDADES_2025[[#All],[valor_total_rubro]])</f>
        <v>76585600</v>
      </c>
      <c r="T66" s="118" t="e" cm="1">
        <f t="array" aca="1" ref="T66" ca="1">_xlfn.XLOOKUP(Contrato[[#This Row],[CONTRATO]]&amp;Contrato[[#This Row],[CDP]],Corr_Contr_CDP[[#All],[CONTRATO-CDP]],Corr_Contr_CDP[[#All],[CRP]],_xlfn.XLOOKUP(Contrato[[#This Row],[CDP]],COMPROMISOS_2025[[#All],[disponibilidad]],COMPROMISOS_2025[[#All],[consecutivo]],"",0),0)</f>
        <v>#NAME?</v>
      </c>
      <c r="U66" s="117" t="e" cm="1">
        <f t="array" aca="1" ref="U66" ca="1">+_xlfn.XLOOKUP(Contrato[[#This Row],[RCP]],COMPROMISOS_2025[[#All],[consecutivo]],COMPROMISOS_2025[[#All],[fecha_aprobacion]],"",0)</f>
        <v>#NAME?</v>
      </c>
      <c r="V66" s="93">
        <f ca="1">SUMIF(COMPROMISOS_2025[[#All],[consecutivo]],Contrato[[#This Row],[RCP]],COMPROMISOS_2025[[#All],[valor_total]])</f>
        <v>0</v>
      </c>
      <c r="W66" s="169">
        <v>45702</v>
      </c>
      <c r="X66" s="243" t="s">
        <v>901</v>
      </c>
      <c r="Y66" s="96">
        <v>45702</v>
      </c>
      <c r="Z66" s="161">
        <v>45946</v>
      </c>
      <c r="AA66" s="198" t="s">
        <v>1094</v>
      </c>
      <c r="AB66" s="119" t="s">
        <v>936</v>
      </c>
      <c r="AC66" s="112"/>
      <c r="AD66" s="279">
        <v>202000006167</v>
      </c>
      <c r="AE66" s="38" t="s">
        <v>904</v>
      </c>
      <c r="AF66" s="120" t="str">
        <f>TEXT(LEFT(Contrato[[#This Row],[CONTRATO]],3),"0")</f>
        <v>61</v>
      </c>
      <c r="AG66" s="120" t="str">
        <f>IF(LEN(Contrato[[#This Row],[Contrato2]])=3,Contrato[[#This Row],[Contrato2]],TEXT(Contrato[[#This Row],[Contrato2]],"000"))</f>
        <v>061</v>
      </c>
      <c r="AH66" s="90">
        <f ca="1">IFERROR(_xlfn.DAYS(Contrato[[#This Row],[Fecha Proyectada liquidación]],TODAY())/30,"")</f>
        <v>9.4333333333333336</v>
      </c>
      <c r="AI66" s="121">
        <f>+Contrato[[#This Row],[FECHA TERMINACIÓN ]]+120</f>
        <v>46066</v>
      </c>
      <c r="AJ66" s="89"/>
      <c r="AK66" s="91" t="str">
        <f ca="1">IF(Contrato[[#This Row],[FECHA TERMINACIÓN ]]&lt;TODAY(), "Terminado",IF(ISNUMBER(Contrato[[#This Row],[Fecha Real de liquiidación ]]),"Liquidado",IF(Contrato[[#This Row],[FECHA TERMINACIÓN ]]&gt;=TODAY(),"En ejecución","")))</f>
        <v>En ejecución</v>
      </c>
      <c r="AL66" s="107">
        <f ca="1">SUMIF(COMPROMISOS_2025[[#All],[consecutivo]],Contrato[[#This Row],[RCP]],COMPROMISOS_2025[[#All],[Total pagado]])</f>
        <v>0</v>
      </c>
      <c r="AM66" s="122">
        <f ca="1">IFERROR(Contrato[[#This Row],[Pagos]]/Contrato[[#This Row],[VALOR CONTRATO]],0)</f>
        <v>0</v>
      </c>
      <c r="AN66" s="160">
        <f ca="1">+Contrato[[#This Row],[VALOR CONTRATO]]-Contrato[[#This Row],[Pagos]]</f>
        <v>76585600</v>
      </c>
      <c r="AO66" s="111" t="e" cm="1">
        <f t="array" aca="1" ref="AO66" ca="1">_xlfn.XLOOKUP(Contrato[[#This Row],[DOCUMENTO ]],PERSONAL_ACTIVO_2025[[#All],[DOCUMENTO]],PERSONAL_ACTIVO_2025[[#All],[email]],0,0)</f>
        <v>#NAME?</v>
      </c>
      <c r="AP66" s="111" t="e" cm="1">
        <f t="array" aca="1" ref="AP66" ca="1">_xlfn.XLOOKUP(Contrato[[#This Row],[DOCUMENTO]],PERSONAL_ACTIVO_2025[[#All],[DOCUMENTO]],PERSONAL_ACTIVO_2025[[#All],[email]],0,0)</f>
        <v>#NAME?</v>
      </c>
      <c r="AQ66" s="111" cm="1">
        <f t="array" aca="1" ref="AQ66" ca="1">IF(ISBLANK(Contrato[[#This Row],[DEPENDENCIA ]]),0,IFERROR(_xlfn.XLOOKUP(Contrato[[#This Row],[DEPENDENCIA ]],#REF!,#REF!,0,0),0))</f>
        <v>0</v>
      </c>
      <c r="AR66" s="553">
        <f ca="1">+_xlfn.DAYS(Contrato[[#This Row],[FECHA TERMINACIÓN ]],TODAY())</f>
        <v>163</v>
      </c>
    </row>
    <row r="67" spans="1:44" s="111" customFormat="1" ht="36" customHeight="1" x14ac:dyDescent="0.25">
      <c r="A67" s="38">
        <v>568</v>
      </c>
      <c r="B67" s="226">
        <v>61</v>
      </c>
      <c r="C67" s="88" t="s">
        <v>781</v>
      </c>
      <c r="D67" s="192" t="s">
        <v>911</v>
      </c>
      <c r="E67" s="193" t="s">
        <v>146</v>
      </c>
      <c r="F67" s="194" t="s">
        <v>113</v>
      </c>
      <c r="G67" s="195" t="s">
        <v>1093</v>
      </c>
      <c r="H67" s="167">
        <v>1128393576</v>
      </c>
      <c r="I67" s="290">
        <v>0</v>
      </c>
      <c r="J67" s="290">
        <v>18000000</v>
      </c>
      <c r="K67" s="416" t="s">
        <v>1095</v>
      </c>
      <c r="L67" s="196" t="s">
        <v>1096</v>
      </c>
      <c r="M67" s="114" t="s">
        <v>948</v>
      </c>
      <c r="N67" s="113" t="e" cm="1">
        <f t="array" aca="1" ref="N67" ca="1">_xlfn.XLOOKUP(Contrato[[#This Row],[SUPERVISOR TITULAR]],PERSONAL_ACTIVO_2025[[#All],[NOMBRES Y APELLIDOS]],PERSONAL_ACTIVO_2025[[#All],[DOCUMENTO]],"",0)</f>
        <v>#NAME?</v>
      </c>
      <c r="O67" s="114" t="s">
        <v>947</v>
      </c>
      <c r="P67" s="115" t="e" cm="1">
        <f t="array" aca="1" ref="P67" ca="1">_xlfn.XLOOKUP(Contrato[[#This Row],[SUPERVISOR SUPLENTE ]],PERSONAL_ACTIVO_2025[[#All],[NOMBRES Y APELLIDOS]],PERSONAL_ACTIVO_2025[[#All],[DOCUMENTO]],"",0)</f>
        <v>#NAME?</v>
      </c>
      <c r="Q67" s="116">
        <v>397</v>
      </c>
      <c r="R67" s="137" t="e" cm="1">
        <f t="array" aca="1" ref="R67" ca="1">_xlfn.XLOOKUP(Contrato[[#This Row],[CDP]],DISPONIBILIDADES_2025[[#All],[consecutivo]],DISPONIBILIDADES_2025[[#All],[fecha_aprobacion]],"",0)</f>
        <v>#NAME?</v>
      </c>
      <c r="S67" s="92">
        <f>SUMIF(DISPONIBILIDADES_2025[[#All],[consecutivo]],Contrato[[#This Row],[CDP]],DISPONIBILIDADES_2025[[#All],[valor_total_rubro]])</f>
        <v>18000000</v>
      </c>
      <c r="T67" s="118" t="e" cm="1">
        <f t="array" aca="1" ref="T67" ca="1">_xlfn.XLOOKUP(Contrato[[#This Row],[CONTRATO]]&amp;Contrato[[#This Row],[CDP]],Corr_Contr_CDP[[#All],[CONTRATO-CDP]],Corr_Contr_CDP[[#All],[CRP]],_xlfn.XLOOKUP(Contrato[[#This Row],[CDP]],COMPROMISOS_2025[[#All],[disponibilidad]],COMPROMISOS_2025[[#All],[consecutivo]],"",0),0)</f>
        <v>#NAME?</v>
      </c>
      <c r="U67" s="117" t="e" cm="1">
        <f t="array" aca="1" ref="U67" ca="1">+_xlfn.XLOOKUP(Contrato[[#This Row],[RCP]],COMPROMISOS_2025[[#All],[consecutivo]],COMPROMISOS_2025[[#All],[fecha_aprobacion]],"",0)</f>
        <v>#NAME?</v>
      </c>
      <c r="V67" s="93">
        <f ca="1">SUMIF(COMPROMISOS_2025[[#All],[consecutivo]],Contrato[[#This Row],[RCP]],COMPROMISOS_2025[[#All],[valor_total]])</f>
        <v>0</v>
      </c>
      <c r="W67" s="243">
        <v>45728</v>
      </c>
      <c r="X67" s="243" t="s">
        <v>901</v>
      </c>
      <c r="Y67" s="96">
        <v>45702</v>
      </c>
      <c r="Z67" s="161">
        <v>45946</v>
      </c>
      <c r="AA67" s="244"/>
      <c r="AB67" s="119" t="s">
        <v>41</v>
      </c>
      <c r="AC67" s="112"/>
      <c r="AD67" s="544"/>
      <c r="AE67" s="38"/>
      <c r="AF67" s="120" t="str">
        <f>TEXT(LEFT(Contrato[[#This Row],[CONTRATO]],3),"0")</f>
        <v>61</v>
      </c>
      <c r="AG67" s="120" t="str">
        <f>IF(LEN(Contrato[[#This Row],[Contrato2]])=3,Contrato[[#This Row],[Contrato2]],TEXT(Contrato[[#This Row],[Contrato2]],"000"))</f>
        <v>061</v>
      </c>
      <c r="AH67" s="90">
        <f ca="1">IFERROR(_xlfn.DAYS(Contrato[[#This Row],[Fecha Proyectada liquidación]],TODAY())/30,"")</f>
        <v>9.4333333333333336</v>
      </c>
      <c r="AI67" s="121">
        <f>+Contrato[[#This Row],[FECHA TERMINACIÓN ]]+120</f>
        <v>46066</v>
      </c>
      <c r="AJ67" s="89"/>
      <c r="AK67" s="91" t="str">
        <f ca="1">IF(Contrato[[#This Row],[FECHA TERMINACIÓN ]]&lt;TODAY(), "Terminado",IF(ISNUMBER(Contrato[[#This Row],[Fecha Real de liquiidación ]]),"Liquidado",IF(Contrato[[#This Row],[FECHA TERMINACIÓN ]]&gt;=TODAY(),"En ejecución","")))</f>
        <v>En ejecución</v>
      </c>
      <c r="AL67" s="107">
        <f ca="1">SUMIF(COMPROMISOS_2025[[#All],[consecutivo]],Contrato[[#This Row],[RCP]],COMPROMISOS_2025[[#All],[Total pagado]])</f>
        <v>0</v>
      </c>
      <c r="AM67" s="122">
        <f ca="1">IFERROR(Contrato[[#This Row],[Pagos]]/Contrato[[#This Row],[VALOR CONTRATO]],0)</f>
        <v>0</v>
      </c>
      <c r="AN67" s="160">
        <f ca="1">+Contrato[[#This Row],[VALOR CONTRATO]]-Contrato[[#This Row],[Pagos]]</f>
        <v>18000000</v>
      </c>
      <c r="AO67" s="111" t="e" cm="1">
        <f t="array" aca="1" ref="AO67" ca="1">_xlfn.XLOOKUP(Contrato[[#This Row],[DOCUMENTO ]],PERSONAL_ACTIVO_2025[[#All],[DOCUMENTO]],PERSONAL_ACTIVO_2025[[#All],[email]],0,0)</f>
        <v>#NAME?</v>
      </c>
      <c r="AP67" s="111" t="e" cm="1">
        <f t="array" aca="1" ref="AP67" ca="1">_xlfn.XLOOKUP(Contrato[[#This Row],[DOCUMENTO]],PERSONAL_ACTIVO_2025[[#All],[DOCUMENTO]],PERSONAL_ACTIVO_2025[[#All],[email]],0,0)</f>
        <v>#NAME?</v>
      </c>
      <c r="AQ67" s="111" cm="1">
        <f t="array" aca="1" ref="AQ67" ca="1">IF(ISBLANK(Contrato[[#This Row],[DEPENDENCIA ]]),0,IFERROR(_xlfn.XLOOKUP(Contrato[[#This Row],[DEPENDENCIA ]],#REF!,#REF!,0,0),0))</f>
        <v>0</v>
      </c>
      <c r="AR67" s="553">
        <f ca="1">+_xlfn.DAYS(Contrato[[#This Row],[FECHA TERMINACIÓN ]],TODAY())</f>
        <v>163</v>
      </c>
    </row>
    <row r="68" spans="1:44" s="111" customFormat="1" ht="36" customHeight="1" x14ac:dyDescent="0.25">
      <c r="A68" s="38">
        <v>461</v>
      </c>
      <c r="B68" s="226">
        <v>62</v>
      </c>
      <c r="C68" s="88" t="s">
        <v>659</v>
      </c>
      <c r="D68" s="192" t="s">
        <v>911</v>
      </c>
      <c r="E68" s="193" t="s">
        <v>112</v>
      </c>
      <c r="F68" s="194" t="s">
        <v>113</v>
      </c>
      <c r="G68" s="195" t="s">
        <v>1097</v>
      </c>
      <c r="H68" s="167">
        <v>1036607096</v>
      </c>
      <c r="I68" s="292">
        <v>7521800</v>
      </c>
      <c r="J68" s="290">
        <v>75218000</v>
      </c>
      <c r="K68" s="158" t="s">
        <v>41</v>
      </c>
      <c r="L68" s="196" t="s">
        <v>1087</v>
      </c>
      <c r="M68" s="114" t="s">
        <v>938</v>
      </c>
      <c r="N68" s="113" t="e" cm="1">
        <f t="array" aca="1" ref="N68" ca="1">_xlfn.XLOOKUP(Contrato[[#This Row],[SUPERVISOR TITULAR]],PERSONAL_ACTIVO_2025[[#All],[NOMBRES Y APELLIDOS]],PERSONAL_ACTIVO_2025[[#All],[DOCUMENTO]],"",0)</f>
        <v>#NAME?</v>
      </c>
      <c r="O68" s="114" t="s">
        <v>1091</v>
      </c>
      <c r="P68" s="115" t="e" cm="1">
        <f t="array" aca="1" ref="P68" ca="1">_xlfn.XLOOKUP(Contrato[[#This Row],[SUPERVISOR SUPLENTE ]],PERSONAL_ACTIVO_2025[[#All],[NOMBRES Y APELLIDOS]],PERSONAL_ACTIVO_2025[[#All],[DOCUMENTO]],"",0)</f>
        <v>#NAME?</v>
      </c>
      <c r="Q68" s="116">
        <v>298</v>
      </c>
      <c r="R68" s="137" t="e" cm="1">
        <f t="array" aca="1" ref="R68" ca="1">_xlfn.XLOOKUP(Contrato[[#This Row],[CDP]],DISPONIBILIDADES_2025[[#All],[consecutivo]],DISPONIBILIDADES_2025[[#All],[fecha_aprobacion]],"",0)</f>
        <v>#NAME?</v>
      </c>
      <c r="S68" s="92">
        <f>SUMIF(DISPONIBILIDADES_2025[[#All],[consecutivo]],Contrato[[#This Row],[CDP]],DISPONIBILIDADES_2025[[#All],[valor_total_rubro]])</f>
        <v>75218000</v>
      </c>
      <c r="T68" s="118" t="e" cm="1">
        <f t="array" aca="1" ref="T68" ca="1">_xlfn.XLOOKUP(Contrato[[#This Row],[CONTRATO]]&amp;Contrato[[#This Row],[CDP]],Corr_Contr_CDP[[#All],[CONTRATO-CDP]],Corr_Contr_CDP[[#All],[CRP]],_xlfn.XLOOKUP(Contrato[[#This Row],[CDP]],COMPROMISOS_2025[[#All],[disponibilidad]],COMPROMISOS_2025[[#All],[consecutivo]],"",0),0)</f>
        <v>#NAME?</v>
      </c>
      <c r="U68" s="117" t="e" cm="1">
        <f t="array" aca="1" ref="U68" ca="1">+_xlfn.XLOOKUP(Contrato[[#This Row],[RCP]],COMPROMISOS_2025[[#All],[consecutivo]],COMPROMISOS_2025[[#All],[fecha_aprobacion]],"",0)</f>
        <v>#NAME?</v>
      </c>
      <c r="V68" s="93">
        <f ca="1">SUMIF(COMPROMISOS_2025[[#All],[consecutivo]],Contrato[[#This Row],[RCP]],COMPROMISOS_2025[[#All],[valor_total]])</f>
        <v>0</v>
      </c>
      <c r="W68" s="169">
        <v>45702</v>
      </c>
      <c r="X68" s="243" t="s">
        <v>901</v>
      </c>
      <c r="Y68" s="96">
        <v>45705</v>
      </c>
      <c r="Z68" s="161">
        <v>46007</v>
      </c>
      <c r="AA68" s="311" t="s">
        <v>1098</v>
      </c>
      <c r="AB68" s="119" t="s">
        <v>1004</v>
      </c>
      <c r="AC68" s="112"/>
      <c r="AD68" s="545">
        <v>202000006168</v>
      </c>
      <c r="AE68" s="38" t="s">
        <v>904</v>
      </c>
      <c r="AF68" s="120" t="str">
        <f>TEXT(LEFT(Contrato[[#This Row],[CONTRATO]],3),"0")</f>
        <v>62</v>
      </c>
      <c r="AG68" s="120" t="str">
        <f>IF(LEN(Contrato[[#This Row],[Contrato2]])=3,Contrato[[#This Row],[Contrato2]],TEXT(Contrato[[#This Row],[Contrato2]],"000"))</f>
        <v>062</v>
      </c>
      <c r="AH68" s="90">
        <f ca="1">IFERROR(_xlfn.DAYS(Contrato[[#This Row],[Fecha Proyectada liquidación]],TODAY())/30,"")</f>
        <v>11.466666666666667</v>
      </c>
      <c r="AI68" s="121">
        <f>+Contrato[[#This Row],[FECHA TERMINACIÓN ]]+120</f>
        <v>46127</v>
      </c>
      <c r="AJ68" s="89"/>
      <c r="AK68" s="91" t="str">
        <f ca="1">IF(Contrato[[#This Row],[FECHA TERMINACIÓN ]]&lt;TODAY(), "Terminado",IF(ISNUMBER(Contrato[[#This Row],[Fecha Real de liquiidación ]]),"Liquidado",IF(Contrato[[#This Row],[FECHA TERMINACIÓN ]]&gt;=TODAY(),"En ejecución","")))</f>
        <v>En ejecución</v>
      </c>
      <c r="AL68" s="107">
        <f ca="1">SUMIF(COMPROMISOS_2025[[#All],[consecutivo]],Contrato[[#This Row],[RCP]],COMPROMISOS_2025[[#All],[Total pagado]])</f>
        <v>0</v>
      </c>
      <c r="AM68" s="122">
        <f ca="1">IFERROR(Contrato[[#This Row],[Pagos]]/Contrato[[#This Row],[VALOR CONTRATO]],0)</f>
        <v>0</v>
      </c>
      <c r="AN68" s="160">
        <f ca="1">+Contrato[[#This Row],[VALOR CONTRATO]]-Contrato[[#This Row],[Pagos]]</f>
        <v>75218000</v>
      </c>
      <c r="AO68" s="111" t="e" cm="1">
        <f t="array" aca="1" ref="AO68" ca="1">_xlfn.XLOOKUP(Contrato[[#This Row],[DOCUMENTO ]],PERSONAL_ACTIVO_2025[[#All],[DOCUMENTO]],PERSONAL_ACTIVO_2025[[#All],[email]],0,0)</f>
        <v>#NAME?</v>
      </c>
      <c r="AP68" s="111" t="e" cm="1">
        <f t="array" aca="1" ref="AP68" ca="1">_xlfn.XLOOKUP(Contrato[[#This Row],[DOCUMENTO]],PERSONAL_ACTIVO_2025[[#All],[DOCUMENTO]],PERSONAL_ACTIVO_2025[[#All],[email]],0,0)</f>
        <v>#NAME?</v>
      </c>
      <c r="AQ68" s="111" cm="1">
        <f t="array" aca="1" ref="AQ68" ca="1">IF(ISBLANK(Contrato[[#This Row],[DEPENDENCIA ]]),0,IFERROR(_xlfn.XLOOKUP(Contrato[[#This Row],[DEPENDENCIA ]],#REF!,#REF!,0,0),0))</f>
        <v>0</v>
      </c>
      <c r="AR68" s="553">
        <f ca="1">+_xlfn.DAYS(Contrato[[#This Row],[FECHA TERMINACIÓN ]],TODAY())</f>
        <v>224</v>
      </c>
    </row>
    <row r="69" spans="1:44" s="111" customFormat="1" ht="36" customHeight="1" x14ac:dyDescent="0.25">
      <c r="A69" s="38">
        <v>537</v>
      </c>
      <c r="B69" s="226">
        <v>63</v>
      </c>
      <c r="C69" s="88" t="s">
        <v>739</v>
      </c>
      <c r="D69" s="192" t="s">
        <v>930</v>
      </c>
      <c r="E69" s="193" t="s">
        <v>112</v>
      </c>
      <c r="F69" s="194" t="s">
        <v>113</v>
      </c>
      <c r="G69" s="345" t="s">
        <v>1099</v>
      </c>
      <c r="H69" s="167">
        <v>98635620</v>
      </c>
      <c r="I69" s="292">
        <v>7521800</v>
      </c>
      <c r="J69" s="290">
        <v>83968000</v>
      </c>
      <c r="K69" s="246" t="s">
        <v>1054</v>
      </c>
      <c r="L69" s="196" t="s">
        <v>1087</v>
      </c>
      <c r="M69" s="114" t="s">
        <v>979</v>
      </c>
      <c r="N69" s="113" t="e" cm="1">
        <f t="array" aca="1" ref="N69" ca="1">_xlfn.XLOOKUP(Contrato[[#This Row],[SUPERVISOR TITULAR]],PERSONAL_ACTIVO_2025[[#All],[NOMBRES Y APELLIDOS]],PERSONAL_ACTIVO_2025[[#All],[DOCUMENTO]],"",0)</f>
        <v>#NAME?</v>
      </c>
      <c r="O69" s="114" t="s">
        <v>1055</v>
      </c>
      <c r="P69" s="115" t="e" cm="1">
        <f t="array" aca="1" ref="P69" ca="1">_xlfn.XLOOKUP(Contrato[[#This Row],[SUPERVISOR SUPLENTE ]],PERSONAL_ACTIVO_2025[[#All],[NOMBRES Y APELLIDOS]],PERSONAL_ACTIVO_2025[[#All],[DOCUMENTO]],"",0)</f>
        <v>#NAME?</v>
      </c>
      <c r="Q69" s="116">
        <v>286</v>
      </c>
      <c r="R69" s="137" t="e" cm="1">
        <f t="array" aca="1" ref="R69" ca="1">_xlfn.XLOOKUP(Contrato[[#This Row],[CDP]],DISPONIBILIDADES_2025[[#All],[consecutivo]],DISPONIBILIDADES_2025[[#All],[fecha_aprobacion]],"",0)</f>
        <v>#NAME?</v>
      </c>
      <c r="S69" s="92">
        <f>SUMIF(DISPONIBILIDADES_2025[[#All],[consecutivo]],Contrato[[#This Row],[CDP]],DISPONIBILIDADES_2025[[#All],[valor_total_rubro]])</f>
        <v>83968000</v>
      </c>
      <c r="T69" s="118" t="e" cm="1">
        <f t="array" aca="1" ref="T69" ca="1">_xlfn.XLOOKUP(Contrato[[#This Row],[CONTRATO]]&amp;Contrato[[#This Row],[CDP]],Corr_Contr_CDP[[#All],[CONTRATO-CDP]],Corr_Contr_CDP[[#All],[CRP]],_xlfn.XLOOKUP(Contrato[[#This Row],[CDP]],COMPROMISOS_2025[[#All],[disponibilidad]],COMPROMISOS_2025[[#All],[consecutivo]],"",0),0)</f>
        <v>#NAME?</v>
      </c>
      <c r="U69" s="117" t="e" cm="1">
        <f t="array" aca="1" ref="U69" ca="1">+_xlfn.XLOOKUP(Contrato[[#This Row],[RCP]],COMPROMISOS_2025[[#All],[consecutivo]],COMPROMISOS_2025[[#All],[fecha_aprobacion]],"",0)</f>
        <v>#NAME?</v>
      </c>
      <c r="V69" s="93">
        <f ca="1">SUMIF(COMPROMISOS_2025[[#All],[consecutivo]],Contrato[[#This Row],[RCP]],COMPROMISOS_2025[[#All],[valor_total]])</f>
        <v>0</v>
      </c>
      <c r="W69" s="169">
        <v>45705</v>
      </c>
      <c r="X69" s="243" t="s">
        <v>901</v>
      </c>
      <c r="Y69" s="96">
        <v>45706</v>
      </c>
      <c r="Z69" s="161">
        <v>46008</v>
      </c>
      <c r="AA69" s="311" t="s">
        <v>1100</v>
      </c>
      <c r="AB69" s="119" t="s">
        <v>1004</v>
      </c>
      <c r="AC69" s="112"/>
      <c r="AD69" s="545">
        <v>202000006169</v>
      </c>
      <c r="AE69" s="38" t="s">
        <v>904</v>
      </c>
      <c r="AF69" s="120" t="str">
        <f>TEXT(LEFT(Contrato[[#This Row],[CONTRATO]],3),"0")</f>
        <v>63</v>
      </c>
      <c r="AG69" s="120" t="str">
        <f>IF(LEN(Contrato[[#This Row],[Contrato2]])=3,Contrato[[#This Row],[Contrato2]],TEXT(Contrato[[#This Row],[Contrato2]],"000"))</f>
        <v>063</v>
      </c>
      <c r="AH69" s="90">
        <f ca="1">IFERROR(_xlfn.DAYS(Contrato[[#This Row],[Fecha Proyectada liquidación]],TODAY())/30,"")</f>
        <v>11.5</v>
      </c>
      <c r="AI69" s="121">
        <f>+Contrato[[#This Row],[FECHA TERMINACIÓN ]]+120</f>
        <v>46128</v>
      </c>
      <c r="AJ69" s="89"/>
      <c r="AK69" s="91" t="str">
        <f ca="1">IF(Contrato[[#This Row],[FECHA TERMINACIÓN ]]&lt;TODAY(), "Terminado",IF(ISNUMBER(Contrato[[#This Row],[Fecha Real de liquiidación ]]),"Liquidado",IF(Contrato[[#This Row],[FECHA TERMINACIÓN ]]&gt;=TODAY(),"En ejecución","")))</f>
        <v>En ejecución</v>
      </c>
      <c r="AL69" s="107">
        <f ca="1">SUMIF(COMPROMISOS_2025[[#All],[consecutivo]],Contrato[[#This Row],[RCP]],COMPROMISOS_2025[[#All],[Total pagado]])</f>
        <v>0</v>
      </c>
      <c r="AM69" s="122">
        <f ca="1">IFERROR(Contrato[[#This Row],[Pagos]]/Contrato[[#This Row],[VALOR CONTRATO]],0)</f>
        <v>0</v>
      </c>
      <c r="AN69" s="160">
        <f ca="1">+Contrato[[#This Row],[VALOR CONTRATO]]-Contrato[[#This Row],[Pagos]]</f>
        <v>83968000</v>
      </c>
      <c r="AO69" s="111" t="e" cm="1">
        <f t="array" aca="1" ref="AO69" ca="1">_xlfn.XLOOKUP(Contrato[[#This Row],[DOCUMENTO ]],PERSONAL_ACTIVO_2025[[#All],[DOCUMENTO]],PERSONAL_ACTIVO_2025[[#All],[email]],0,0)</f>
        <v>#NAME?</v>
      </c>
      <c r="AP69" s="111" t="e" cm="1">
        <f t="array" aca="1" ref="AP69" ca="1">_xlfn.XLOOKUP(Contrato[[#This Row],[DOCUMENTO]],PERSONAL_ACTIVO_2025[[#All],[DOCUMENTO]],PERSONAL_ACTIVO_2025[[#All],[email]],0,0)</f>
        <v>#NAME?</v>
      </c>
      <c r="AQ69" s="111" cm="1">
        <f t="array" aca="1" ref="AQ69" ca="1">IF(ISBLANK(Contrato[[#This Row],[DEPENDENCIA ]]),0,IFERROR(_xlfn.XLOOKUP(Contrato[[#This Row],[DEPENDENCIA ]],#REF!,#REF!,0,0),0))</f>
        <v>0</v>
      </c>
      <c r="AR69" s="553">
        <f ca="1">+_xlfn.DAYS(Contrato[[#This Row],[FECHA TERMINACIÓN ]],TODAY())</f>
        <v>225</v>
      </c>
    </row>
    <row r="70" spans="1:44" s="111" customFormat="1" ht="36" customHeight="1" x14ac:dyDescent="0.25">
      <c r="A70" s="38">
        <v>38</v>
      </c>
      <c r="B70" s="226">
        <v>64</v>
      </c>
      <c r="C70" s="88" t="s">
        <v>122</v>
      </c>
      <c r="D70" s="192" t="s">
        <v>883</v>
      </c>
      <c r="E70" s="193" t="s">
        <v>112</v>
      </c>
      <c r="F70" s="194" t="s">
        <v>113</v>
      </c>
      <c r="G70" s="195" t="s">
        <v>1101</v>
      </c>
      <c r="H70" s="167">
        <v>43063996</v>
      </c>
      <c r="I70" s="292">
        <v>4786600</v>
      </c>
      <c r="J70" s="290">
        <v>23933000</v>
      </c>
      <c r="K70" s="158" t="s">
        <v>41</v>
      </c>
      <c r="L70" s="196" t="s">
        <v>1087</v>
      </c>
      <c r="M70" s="114" t="s">
        <v>965</v>
      </c>
      <c r="N70" s="113" t="e" cm="1">
        <f t="array" aca="1" ref="N70" ca="1">_xlfn.XLOOKUP(Contrato[[#This Row],[SUPERVISOR TITULAR]],PERSONAL_ACTIVO_2025[[#All],[NOMBRES Y APELLIDOS]],PERSONAL_ACTIVO_2025[[#All],[DOCUMENTO]],"",0)</f>
        <v>#NAME?</v>
      </c>
      <c r="O70" s="114" t="s">
        <v>934</v>
      </c>
      <c r="P70" s="115" t="e" cm="1">
        <f t="array" aca="1" ref="P70" ca="1">_xlfn.XLOOKUP(Contrato[[#This Row],[SUPERVISOR SUPLENTE ]],PERSONAL_ACTIVO_2025[[#All],[NOMBRES Y APELLIDOS]],PERSONAL_ACTIVO_2025[[#All],[DOCUMENTO]],"",0)</f>
        <v>#NAME?</v>
      </c>
      <c r="Q70" s="116">
        <v>296</v>
      </c>
      <c r="R70" s="137" t="e" cm="1">
        <f t="array" aca="1" ref="R70" ca="1">_xlfn.XLOOKUP(Contrato[[#This Row],[CDP]],DISPONIBILIDADES_2025[[#All],[consecutivo]],DISPONIBILIDADES_2025[[#All],[fecha_aprobacion]],"",0)</f>
        <v>#NAME?</v>
      </c>
      <c r="S70" s="92">
        <f>SUMIF(DISPONIBILIDADES_2025[[#All],[consecutivo]],Contrato[[#This Row],[CDP]],DISPONIBILIDADES_2025[[#All],[valor_total_rubro]])</f>
        <v>23933000</v>
      </c>
      <c r="T70" s="118" t="e" cm="1">
        <f t="array" aca="1" ref="T70" ca="1">_xlfn.XLOOKUP(Contrato[[#This Row],[CONTRATO]]&amp;Contrato[[#This Row],[CDP]],Corr_Contr_CDP[[#All],[CONTRATO-CDP]],Corr_Contr_CDP[[#All],[CRP]],_xlfn.XLOOKUP(Contrato[[#This Row],[CDP]],COMPROMISOS_2025[[#All],[disponibilidad]],COMPROMISOS_2025[[#All],[consecutivo]],"",0),0)</f>
        <v>#NAME?</v>
      </c>
      <c r="U70" s="117" t="e" cm="1">
        <f t="array" aca="1" ref="U70" ca="1">+_xlfn.XLOOKUP(Contrato[[#This Row],[RCP]],COMPROMISOS_2025[[#All],[consecutivo]],COMPROMISOS_2025[[#All],[fecha_aprobacion]],"",0)</f>
        <v>#NAME?</v>
      </c>
      <c r="V70" s="93">
        <f ca="1">SUMIF(COMPROMISOS_2025[[#All],[consecutivo]],Contrato[[#This Row],[RCP]],COMPROMISOS_2025[[#All],[valor_total]])</f>
        <v>0</v>
      </c>
      <c r="W70" s="169">
        <v>45705</v>
      </c>
      <c r="X70" s="243" t="s">
        <v>901</v>
      </c>
      <c r="Y70" s="96">
        <v>45707</v>
      </c>
      <c r="Z70" s="161">
        <v>45856</v>
      </c>
      <c r="AA70" s="311" t="s">
        <v>1102</v>
      </c>
      <c r="AB70" s="119" t="s">
        <v>920</v>
      </c>
      <c r="AC70" s="112"/>
      <c r="AD70" s="545">
        <v>202000006170</v>
      </c>
      <c r="AE70" s="38" t="s">
        <v>904</v>
      </c>
      <c r="AF70" s="120" t="str">
        <f>TEXT(LEFT(Contrato[[#This Row],[CONTRATO]],3),"0")</f>
        <v>64</v>
      </c>
      <c r="AG70" s="120" t="str">
        <f>IF(LEN(Contrato[[#This Row],[Contrato2]])=3,Contrato[[#This Row],[Contrato2]],TEXT(Contrato[[#This Row],[Contrato2]],"000"))</f>
        <v>064</v>
      </c>
      <c r="AH70" s="90">
        <f ca="1">IFERROR(_xlfn.DAYS(Contrato[[#This Row],[Fecha Proyectada liquidación]],TODAY())/30,"")</f>
        <v>6.4333333333333336</v>
      </c>
      <c r="AI70" s="121">
        <f>+Contrato[[#This Row],[FECHA TERMINACIÓN ]]+120</f>
        <v>45976</v>
      </c>
      <c r="AJ70" s="89"/>
      <c r="AK70" s="91" t="str">
        <f ca="1">IF(Contrato[[#This Row],[FECHA TERMINACIÓN ]]&lt;TODAY(), "Terminado",IF(ISNUMBER(Contrato[[#This Row],[Fecha Real de liquiidación ]]),"Liquidado",IF(Contrato[[#This Row],[FECHA TERMINACIÓN ]]&gt;=TODAY(),"En ejecución","")))</f>
        <v>En ejecución</v>
      </c>
      <c r="AL70" s="107">
        <f ca="1">SUMIF(COMPROMISOS_2025[[#All],[consecutivo]],Contrato[[#This Row],[RCP]],COMPROMISOS_2025[[#All],[Total pagado]])</f>
        <v>0</v>
      </c>
      <c r="AM70" s="122">
        <f ca="1">IFERROR(Contrato[[#This Row],[Pagos]]/Contrato[[#This Row],[VALOR CONTRATO]],0)</f>
        <v>0</v>
      </c>
      <c r="AN70" s="160">
        <f ca="1">+Contrato[[#This Row],[VALOR CONTRATO]]-Contrato[[#This Row],[Pagos]]</f>
        <v>23933000</v>
      </c>
      <c r="AO70" s="111" t="e" cm="1">
        <f t="array" aca="1" ref="AO70" ca="1">_xlfn.XLOOKUP(Contrato[[#This Row],[DOCUMENTO ]],PERSONAL_ACTIVO_2025[[#All],[DOCUMENTO]],PERSONAL_ACTIVO_2025[[#All],[email]],0,0)</f>
        <v>#NAME?</v>
      </c>
      <c r="AP70" s="111" t="e" cm="1">
        <f t="array" aca="1" ref="AP70" ca="1">_xlfn.XLOOKUP(Contrato[[#This Row],[DOCUMENTO]],PERSONAL_ACTIVO_2025[[#All],[DOCUMENTO]],PERSONAL_ACTIVO_2025[[#All],[email]],0,0)</f>
        <v>#NAME?</v>
      </c>
      <c r="AQ70" s="111" cm="1">
        <f t="array" aca="1" ref="AQ70" ca="1">IF(ISBLANK(Contrato[[#This Row],[DEPENDENCIA ]]),0,IFERROR(_xlfn.XLOOKUP(Contrato[[#This Row],[DEPENDENCIA ]],#REF!,#REF!,0,0),0))</f>
        <v>0</v>
      </c>
      <c r="AR70" s="553">
        <f ca="1">+_xlfn.DAYS(Contrato[[#This Row],[FECHA TERMINACIÓN ]],TODAY())</f>
        <v>73</v>
      </c>
    </row>
    <row r="71" spans="1:44" s="111" customFormat="1" ht="36" customHeight="1" x14ac:dyDescent="0.25">
      <c r="A71" s="38">
        <v>521</v>
      </c>
      <c r="B71" s="226">
        <v>65</v>
      </c>
      <c r="C71" s="88" t="s">
        <v>726</v>
      </c>
      <c r="D71" s="192" t="s">
        <v>930</v>
      </c>
      <c r="E71" s="193" t="s">
        <v>112</v>
      </c>
      <c r="F71" s="194" t="s">
        <v>113</v>
      </c>
      <c r="G71" s="195" t="s">
        <v>1103</v>
      </c>
      <c r="H71" s="167">
        <v>8105506</v>
      </c>
      <c r="I71" s="292">
        <v>7521800</v>
      </c>
      <c r="J71" s="290">
        <v>85843000</v>
      </c>
      <c r="K71" s="246" t="s">
        <v>1064</v>
      </c>
      <c r="L71" s="196" t="s">
        <v>1087</v>
      </c>
      <c r="M71" s="114" t="s">
        <v>972</v>
      </c>
      <c r="N71" s="113" t="e" cm="1">
        <f t="array" aca="1" ref="N71" ca="1">_xlfn.XLOOKUP(Contrato[[#This Row],[SUPERVISOR TITULAR]],PERSONAL_ACTIVO_2025[[#All],[NOMBRES Y APELLIDOS]],PERSONAL_ACTIVO_2025[[#All],[DOCUMENTO]],"",0)</f>
        <v>#NAME?</v>
      </c>
      <c r="O71" s="114" t="s">
        <v>1059</v>
      </c>
      <c r="P71" s="115" t="e" cm="1">
        <f t="array" aca="1" ref="P71" ca="1">_xlfn.XLOOKUP(Contrato[[#This Row],[SUPERVISOR SUPLENTE ]],PERSONAL_ACTIVO_2025[[#All],[NOMBRES Y APELLIDOS]],PERSONAL_ACTIVO_2025[[#All],[DOCUMENTO]],"",0)</f>
        <v>#NAME?</v>
      </c>
      <c r="Q71" s="116">
        <v>74</v>
      </c>
      <c r="R71" s="137" t="e" cm="1">
        <f t="array" aca="1" ref="R71" ca="1">_xlfn.XLOOKUP(Contrato[[#This Row],[CDP]],DISPONIBILIDADES_2025[[#All],[consecutivo]],DISPONIBILIDADES_2025[[#All],[fecha_aprobacion]],"",0)</f>
        <v>#NAME?</v>
      </c>
      <c r="S71" s="92">
        <f>SUMIF(DISPONIBILIDADES_2025[[#All],[consecutivo]],Contrato[[#This Row],[CDP]],DISPONIBILIDADES_2025[[#All],[valor_total_rubro]])</f>
        <v>85843000</v>
      </c>
      <c r="T71" s="118" t="e" cm="1">
        <f t="array" aca="1" ref="T71" ca="1">_xlfn.XLOOKUP(Contrato[[#This Row],[CONTRATO]]&amp;Contrato[[#This Row],[CDP]],Corr_Contr_CDP[[#All],[CONTRATO-CDP]],Corr_Contr_CDP[[#All],[CRP]],_xlfn.XLOOKUP(Contrato[[#This Row],[CDP]],COMPROMISOS_2025[[#All],[disponibilidad]],COMPROMISOS_2025[[#All],[consecutivo]],"",0),0)</f>
        <v>#NAME?</v>
      </c>
      <c r="U71" s="117" t="e" cm="1">
        <f t="array" aca="1" ref="U71" ca="1">+_xlfn.XLOOKUP(Contrato[[#This Row],[RCP]],COMPROMISOS_2025[[#All],[consecutivo]],COMPROMISOS_2025[[#All],[fecha_aprobacion]],"",0)</f>
        <v>#NAME?</v>
      </c>
      <c r="V71" s="93">
        <f ca="1">SUMIF(COMPROMISOS_2025[[#All],[consecutivo]],Contrato[[#This Row],[RCP]],COMPROMISOS_2025[[#All],[valor_total]])</f>
        <v>0</v>
      </c>
      <c r="W71" s="169">
        <v>45705</v>
      </c>
      <c r="X71" s="243" t="s">
        <v>901</v>
      </c>
      <c r="Y71" s="96">
        <v>45706</v>
      </c>
      <c r="Z71" s="161">
        <v>46009</v>
      </c>
      <c r="AA71" s="311" t="s">
        <v>1104</v>
      </c>
      <c r="AB71" s="119" t="s">
        <v>1004</v>
      </c>
      <c r="AC71" s="112"/>
      <c r="AD71" s="545">
        <v>202000006171</v>
      </c>
      <c r="AE71" s="38" t="s">
        <v>904</v>
      </c>
      <c r="AF71" s="120" t="str">
        <f>TEXT(LEFT(Contrato[[#This Row],[CONTRATO]],3),"0")</f>
        <v>65</v>
      </c>
      <c r="AG71" s="120" t="str">
        <f>IF(LEN(Contrato[[#This Row],[Contrato2]])=3,Contrato[[#This Row],[Contrato2]],TEXT(Contrato[[#This Row],[Contrato2]],"000"))</f>
        <v>065</v>
      </c>
      <c r="AH71" s="90">
        <f ca="1">IFERROR(_xlfn.DAYS(Contrato[[#This Row],[Fecha Proyectada liquidación]],TODAY())/30,"")</f>
        <v>11.533333333333333</v>
      </c>
      <c r="AI71" s="121">
        <f>+Contrato[[#This Row],[FECHA TERMINACIÓN ]]+120</f>
        <v>46129</v>
      </c>
      <c r="AJ71" s="89"/>
      <c r="AK71" s="91" t="str">
        <f ca="1">IF(Contrato[[#This Row],[FECHA TERMINACIÓN ]]&lt;TODAY(), "Terminado",IF(ISNUMBER(Contrato[[#This Row],[Fecha Real de liquiidación ]]),"Liquidado",IF(Contrato[[#This Row],[FECHA TERMINACIÓN ]]&gt;=TODAY(),"En ejecución","")))</f>
        <v>En ejecución</v>
      </c>
      <c r="AL71" s="107">
        <f ca="1">SUMIF(COMPROMISOS_2025[[#All],[consecutivo]],Contrato[[#This Row],[RCP]],COMPROMISOS_2025[[#All],[Total pagado]])</f>
        <v>0</v>
      </c>
      <c r="AM71" s="122">
        <f ca="1">IFERROR(Contrato[[#This Row],[Pagos]]/Contrato[[#This Row],[VALOR CONTRATO]],0)</f>
        <v>0</v>
      </c>
      <c r="AN71" s="160">
        <f ca="1">+Contrato[[#This Row],[VALOR CONTRATO]]-Contrato[[#This Row],[Pagos]]</f>
        <v>85843000</v>
      </c>
      <c r="AO71" s="111" t="e" cm="1">
        <f t="array" aca="1" ref="AO71" ca="1">_xlfn.XLOOKUP(Contrato[[#This Row],[DOCUMENTO ]],PERSONAL_ACTIVO_2025[[#All],[DOCUMENTO]],PERSONAL_ACTIVO_2025[[#All],[email]],0,0)</f>
        <v>#NAME?</v>
      </c>
      <c r="AP71" s="111" t="e" cm="1">
        <f t="array" aca="1" ref="AP71" ca="1">_xlfn.XLOOKUP(Contrato[[#This Row],[DOCUMENTO]],PERSONAL_ACTIVO_2025[[#All],[DOCUMENTO]],PERSONAL_ACTIVO_2025[[#All],[email]],0,0)</f>
        <v>#NAME?</v>
      </c>
      <c r="AQ71" s="111" cm="1">
        <f t="array" aca="1" ref="AQ71" ca="1">IF(ISBLANK(Contrato[[#This Row],[DEPENDENCIA ]]),0,IFERROR(_xlfn.XLOOKUP(Contrato[[#This Row],[DEPENDENCIA ]],#REF!,#REF!,0,0),0))</f>
        <v>0</v>
      </c>
      <c r="AR71" s="553">
        <f ca="1">+_xlfn.DAYS(Contrato[[#This Row],[FECHA TERMINACIÓN ]],TODAY())</f>
        <v>226</v>
      </c>
    </row>
    <row r="72" spans="1:44" s="111" customFormat="1" ht="36" customHeight="1" x14ac:dyDescent="0.25">
      <c r="A72" s="38">
        <v>236</v>
      </c>
      <c r="B72" s="226">
        <v>66</v>
      </c>
      <c r="C72" s="88" t="s">
        <v>431</v>
      </c>
      <c r="D72" s="192" t="s">
        <v>1066</v>
      </c>
      <c r="E72" s="193" t="s">
        <v>112</v>
      </c>
      <c r="F72" s="194" t="s">
        <v>113</v>
      </c>
      <c r="G72" s="195" t="s">
        <v>1105</v>
      </c>
      <c r="H72" s="167">
        <v>98763224</v>
      </c>
      <c r="I72" s="292">
        <v>7521800</v>
      </c>
      <c r="J72" s="290">
        <v>60174400</v>
      </c>
      <c r="K72" s="158" t="s">
        <v>41</v>
      </c>
      <c r="L72" s="196" t="s">
        <v>1087</v>
      </c>
      <c r="M72" s="114" t="s">
        <v>1069</v>
      </c>
      <c r="N72" s="113" t="e" cm="1">
        <f t="array" aca="1" ref="N72" ca="1">_xlfn.XLOOKUP(Contrato[[#This Row],[SUPERVISOR TITULAR]],PERSONAL_ACTIVO_2025[[#All],[NOMBRES Y APELLIDOS]],PERSONAL_ACTIVO_2025[[#All],[DOCUMENTO]],"",0)</f>
        <v>#NAME?</v>
      </c>
      <c r="O72" s="114" t="s">
        <v>1106</v>
      </c>
      <c r="P72" s="115" t="e" cm="1">
        <f t="array" aca="1" ref="P72" ca="1">_xlfn.XLOOKUP(Contrato[[#This Row],[SUPERVISOR SUPLENTE ]],PERSONAL_ACTIVO_2025[[#All],[NOMBRES Y APELLIDOS]],PERSONAL_ACTIVO_2025[[#All],[DOCUMENTO]],"",0)</f>
        <v>#NAME?</v>
      </c>
      <c r="Q72" s="116">
        <v>289</v>
      </c>
      <c r="R72" s="137" t="e" cm="1">
        <f t="array" aca="1" ref="R72" ca="1">_xlfn.XLOOKUP(Contrato[[#This Row],[CDP]],DISPONIBILIDADES_2025[[#All],[consecutivo]],DISPONIBILIDADES_2025[[#All],[fecha_aprobacion]],"",0)</f>
        <v>#NAME?</v>
      </c>
      <c r="S72" s="92">
        <f>SUMIF(DISPONIBILIDADES_2025[[#All],[consecutivo]],Contrato[[#This Row],[CDP]],DISPONIBILIDADES_2025[[#All],[valor_total_rubro]])</f>
        <v>60174400</v>
      </c>
      <c r="T72" s="118" t="e" cm="1">
        <f t="array" aca="1" ref="T72" ca="1">_xlfn.XLOOKUP(Contrato[[#This Row],[CONTRATO]]&amp;Contrato[[#This Row],[CDP]],Corr_Contr_CDP[[#All],[CONTRATO-CDP]],Corr_Contr_CDP[[#All],[CRP]],_xlfn.XLOOKUP(Contrato[[#This Row],[CDP]],COMPROMISOS_2025[[#All],[disponibilidad]],COMPROMISOS_2025[[#All],[consecutivo]],"",0),0)</f>
        <v>#NAME?</v>
      </c>
      <c r="U72" s="117" t="e" cm="1">
        <f t="array" aca="1" ref="U72" ca="1">+_xlfn.XLOOKUP(Contrato[[#This Row],[RCP]],COMPROMISOS_2025[[#All],[consecutivo]],COMPROMISOS_2025[[#All],[fecha_aprobacion]],"",0)</f>
        <v>#NAME?</v>
      </c>
      <c r="V72" s="93">
        <f ca="1">SUMIF(COMPROMISOS_2025[[#All],[consecutivo]],Contrato[[#This Row],[RCP]],COMPROMISOS_2025[[#All],[valor_total]])</f>
        <v>0</v>
      </c>
      <c r="W72" s="169">
        <v>45705</v>
      </c>
      <c r="X72" s="243" t="s">
        <v>901</v>
      </c>
      <c r="Y72" s="96">
        <v>45706</v>
      </c>
      <c r="Z72" s="161">
        <v>45948</v>
      </c>
      <c r="AA72" s="311" t="s">
        <v>1107</v>
      </c>
      <c r="AB72" s="119" t="s">
        <v>936</v>
      </c>
      <c r="AC72" s="112"/>
      <c r="AD72" s="545">
        <v>202000006172</v>
      </c>
      <c r="AE72" s="38" t="s">
        <v>904</v>
      </c>
      <c r="AF72" s="120" t="str">
        <f>TEXT(LEFT(Contrato[[#This Row],[CONTRATO]],3),"0")</f>
        <v>66</v>
      </c>
      <c r="AG72" s="120" t="str">
        <f>IF(LEN(Contrato[[#This Row],[Contrato2]])=3,Contrato[[#This Row],[Contrato2]],TEXT(Contrato[[#This Row],[Contrato2]],"000"))</f>
        <v>066</v>
      </c>
      <c r="AH72" s="90">
        <f ca="1">IFERROR(_xlfn.DAYS(Contrato[[#This Row],[Fecha Proyectada liquidación]],TODAY())/30,"")</f>
        <v>9.5</v>
      </c>
      <c r="AI72" s="121">
        <f>+Contrato[[#This Row],[FECHA TERMINACIÓN ]]+120</f>
        <v>46068</v>
      </c>
      <c r="AJ72" s="89"/>
      <c r="AK72" s="91" t="str">
        <f ca="1">IF(Contrato[[#This Row],[FECHA TERMINACIÓN ]]&lt;TODAY(), "Terminado",IF(ISNUMBER(Contrato[[#This Row],[Fecha Real de liquiidación ]]),"Liquidado",IF(Contrato[[#This Row],[FECHA TERMINACIÓN ]]&gt;=TODAY(),"En ejecución","")))</f>
        <v>En ejecución</v>
      </c>
      <c r="AL72" s="107">
        <f ca="1">SUMIF(COMPROMISOS_2025[[#All],[consecutivo]],Contrato[[#This Row],[RCP]],COMPROMISOS_2025[[#All],[Total pagado]])</f>
        <v>0</v>
      </c>
      <c r="AM72" s="122">
        <f ca="1">IFERROR(Contrato[[#This Row],[Pagos]]/Contrato[[#This Row],[VALOR CONTRATO]],0)</f>
        <v>0</v>
      </c>
      <c r="AN72" s="160">
        <f ca="1">+Contrato[[#This Row],[VALOR CONTRATO]]-Contrato[[#This Row],[Pagos]]</f>
        <v>60174400</v>
      </c>
      <c r="AO72" s="111" t="e" cm="1">
        <f t="array" aca="1" ref="AO72" ca="1">_xlfn.XLOOKUP(Contrato[[#This Row],[DOCUMENTO ]],PERSONAL_ACTIVO_2025[[#All],[DOCUMENTO]],PERSONAL_ACTIVO_2025[[#All],[email]],0,0)</f>
        <v>#NAME?</v>
      </c>
      <c r="AP72" s="111" t="e" cm="1">
        <f t="array" aca="1" ref="AP72" ca="1">_xlfn.XLOOKUP(Contrato[[#This Row],[DOCUMENTO]],PERSONAL_ACTIVO_2025[[#All],[DOCUMENTO]],PERSONAL_ACTIVO_2025[[#All],[email]],0,0)</f>
        <v>#NAME?</v>
      </c>
      <c r="AQ72" s="111" cm="1">
        <f t="array" aca="1" ref="AQ72" ca="1">IF(ISBLANK(Contrato[[#This Row],[DEPENDENCIA ]]),0,IFERROR(_xlfn.XLOOKUP(Contrato[[#This Row],[DEPENDENCIA ]],#REF!,#REF!,0,0),0))</f>
        <v>0</v>
      </c>
      <c r="AR72" s="553">
        <f ca="1">+_xlfn.DAYS(Contrato[[#This Row],[FECHA TERMINACIÓN ]],TODAY())</f>
        <v>165</v>
      </c>
    </row>
    <row r="73" spans="1:44" s="111" customFormat="1" ht="36" customHeight="1" x14ac:dyDescent="0.25">
      <c r="A73" s="38">
        <v>524</v>
      </c>
      <c r="B73" s="226">
        <v>67</v>
      </c>
      <c r="C73" s="88" t="s">
        <v>729</v>
      </c>
      <c r="D73" s="192" t="s">
        <v>930</v>
      </c>
      <c r="E73" s="193" t="s">
        <v>112</v>
      </c>
      <c r="F73" s="194" t="s">
        <v>113</v>
      </c>
      <c r="G73" s="195" t="s">
        <v>1108</v>
      </c>
      <c r="H73" s="167">
        <v>1035437740</v>
      </c>
      <c r="I73" s="292">
        <v>7521800</v>
      </c>
      <c r="J73" s="290">
        <v>85218000</v>
      </c>
      <c r="K73" s="246" t="s">
        <v>1109</v>
      </c>
      <c r="L73" s="196" t="s">
        <v>1087</v>
      </c>
      <c r="M73" s="114" t="s">
        <v>980</v>
      </c>
      <c r="N73" s="113" t="e" cm="1">
        <f t="array" aca="1" ref="N73" ca="1">_xlfn.XLOOKUP(Contrato[[#This Row],[SUPERVISOR TITULAR]],PERSONAL_ACTIVO_2025[[#All],[NOMBRES Y APELLIDOS]],PERSONAL_ACTIVO_2025[[#All],[DOCUMENTO]],"",0)</f>
        <v>#NAME?</v>
      </c>
      <c r="O73" s="114" t="s">
        <v>1110</v>
      </c>
      <c r="P73" s="115" t="e" cm="1">
        <f t="array" aca="1" ref="P73" ca="1">_xlfn.XLOOKUP(Contrato[[#This Row],[SUPERVISOR SUPLENTE ]],PERSONAL_ACTIVO_2025[[#All],[NOMBRES Y APELLIDOS]],PERSONAL_ACTIVO_2025[[#All],[DOCUMENTO]],"",0)</f>
        <v>#NAME?</v>
      </c>
      <c r="Q73" s="116">
        <v>78</v>
      </c>
      <c r="R73" s="137" t="e" cm="1">
        <f t="array" aca="1" ref="R73" ca="1">_xlfn.XLOOKUP(Contrato[[#This Row],[CDP]],DISPONIBILIDADES_2025[[#All],[consecutivo]],DISPONIBILIDADES_2025[[#All],[fecha_aprobacion]],"",0)</f>
        <v>#NAME?</v>
      </c>
      <c r="S73" s="92">
        <f>SUMIF(DISPONIBILIDADES_2025[[#All],[consecutivo]],Contrato[[#This Row],[CDP]],DISPONIBILIDADES_2025[[#All],[valor_total_rubro]])</f>
        <v>85218000</v>
      </c>
      <c r="T73" s="118" t="e" cm="1">
        <f t="array" aca="1" ref="T73" ca="1">_xlfn.XLOOKUP(Contrato[[#This Row],[CONTRATO]]&amp;Contrato[[#This Row],[CDP]],Corr_Contr_CDP[[#All],[CONTRATO-CDP]],Corr_Contr_CDP[[#All],[CRP]],_xlfn.XLOOKUP(Contrato[[#This Row],[CDP]],COMPROMISOS_2025[[#All],[disponibilidad]],COMPROMISOS_2025[[#All],[consecutivo]],"",0),0)</f>
        <v>#NAME?</v>
      </c>
      <c r="U73" s="117" t="e" cm="1">
        <f t="array" aca="1" ref="U73" ca="1">+_xlfn.XLOOKUP(Contrato[[#This Row],[RCP]],COMPROMISOS_2025[[#All],[consecutivo]],COMPROMISOS_2025[[#All],[fecha_aprobacion]],"",0)</f>
        <v>#NAME?</v>
      </c>
      <c r="V73" s="93">
        <f ca="1">SUMIF(COMPROMISOS_2025[[#All],[consecutivo]],Contrato[[#This Row],[RCP]],COMPROMISOS_2025[[#All],[valor_total]])</f>
        <v>0</v>
      </c>
      <c r="W73" s="169">
        <v>45707</v>
      </c>
      <c r="X73" s="243" t="s">
        <v>901</v>
      </c>
      <c r="Y73" s="96">
        <v>45708</v>
      </c>
      <c r="Z73" s="161">
        <v>46010</v>
      </c>
      <c r="AA73" s="311" t="s">
        <v>1111</v>
      </c>
      <c r="AB73" s="119" t="s">
        <v>1004</v>
      </c>
      <c r="AC73" s="112"/>
      <c r="AD73" s="545">
        <v>202000006173</v>
      </c>
      <c r="AE73" s="38" t="s">
        <v>904</v>
      </c>
      <c r="AF73" s="120" t="str">
        <f>TEXT(LEFT(Contrato[[#This Row],[CONTRATO]],3),"0")</f>
        <v>67</v>
      </c>
      <c r="AG73" s="120" t="str">
        <f>IF(LEN(Contrato[[#This Row],[Contrato2]])=3,Contrato[[#This Row],[Contrato2]],TEXT(Contrato[[#This Row],[Contrato2]],"000"))</f>
        <v>067</v>
      </c>
      <c r="AH73" s="90">
        <f ca="1">IFERROR(_xlfn.DAYS(Contrato[[#This Row],[Fecha Proyectada liquidación]],TODAY())/30,"")</f>
        <v>11.566666666666666</v>
      </c>
      <c r="AI73" s="121">
        <f>+Contrato[[#This Row],[FECHA TERMINACIÓN ]]+120</f>
        <v>46130</v>
      </c>
      <c r="AJ73" s="89"/>
      <c r="AK73" s="91" t="str">
        <f ca="1">IF(Contrato[[#This Row],[FECHA TERMINACIÓN ]]&lt;TODAY(), "Terminado",IF(ISNUMBER(Contrato[[#This Row],[Fecha Real de liquiidación ]]),"Liquidado",IF(Contrato[[#This Row],[FECHA TERMINACIÓN ]]&gt;=TODAY(),"En ejecución","")))</f>
        <v>En ejecución</v>
      </c>
      <c r="AL73" s="107">
        <f ca="1">SUMIF(COMPROMISOS_2025[[#All],[consecutivo]],Contrato[[#This Row],[RCP]],COMPROMISOS_2025[[#All],[Total pagado]])</f>
        <v>0</v>
      </c>
      <c r="AM73" s="122">
        <f ca="1">IFERROR(Contrato[[#This Row],[Pagos]]/Contrato[[#This Row],[VALOR CONTRATO]],0)</f>
        <v>0</v>
      </c>
      <c r="AN73" s="160">
        <f ca="1">+Contrato[[#This Row],[VALOR CONTRATO]]-Contrato[[#This Row],[Pagos]]</f>
        <v>85218000</v>
      </c>
      <c r="AO73" s="111" t="e" cm="1">
        <f t="array" aca="1" ref="AO73" ca="1">_xlfn.XLOOKUP(Contrato[[#This Row],[DOCUMENTO ]],PERSONAL_ACTIVO_2025[[#All],[DOCUMENTO]],PERSONAL_ACTIVO_2025[[#All],[email]],0,0)</f>
        <v>#NAME?</v>
      </c>
      <c r="AP73" s="111" t="e" cm="1">
        <f t="array" aca="1" ref="AP73" ca="1">_xlfn.XLOOKUP(Contrato[[#This Row],[DOCUMENTO]],PERSONAL_ACTIVO_2025[[#All],[DOCUMENTO]],PERSONAL_ACTIVO_2025[[#All],[email]],0,0)</f>
        <v>#NAME?</v>
      </c>
      <c r="AQ73" s="111" cm="1">
        <f t="array" aca="1" ref="AQ73" ca="1">IF(ISBLANK(Contrato[[#This Row],[DEPENDENCIA ]]),0,IFERROR(_xlfn.XLOOKUP(Contrato[[#This Row],[DEPENDENCIA ]],#REF!,#REF!,0,0),0))</f>
        <v>0</v>
      </c>
      <c r="AR73" s="553">
        <f ca="1">+_xlfn.DAYS(Contrato[[#This Row],[FECHA TERMINACIÓN ]],TODAY())</f>
        <v>227</v>
      </c>
    </row>
    <row r="74" spans="1:44" s="111" customFormat="1" ht="36" customHeight="1" x14ac:dyDescent="0.25">
      <c r="A74" s="38">
        <v>543</v>
      </c>
      <c r="B74" s="226">
        <v>68</v>
      </c>
      <c r="C74" s="88" t="s">
        <v>729</v>
      </c>
      <c r="D74" s="192" t="s">
        <v>930</v>
      </c>
      <c r="E74" s="193" t="s">
        <v>112</v>
      </c>
      <c r="F74" s="194" t="s">
        <v>113</v>
      </c>
      <c r="G74" s="195" t="s">
        <v>1112</v>
      </c>
      <c r="H74" s="167">
        <v>1037524775</v>
      </c>
      <c r="I74" s="292">
        <v>7521800</v>
      </c>
      <c r="J74" s="290">
        <v>85218000</v>
      </c>
      <c r="K74" s="246" t="s">
        <v>1109</v>
      </c>
      <c r="L74" s="196" t="s">
        <v>1087</v>
      </c>
      <c r="M74" s="114" t="s">
        <v>980</v>
      </c>
      <c r="N74" s="113" t="e" cm="1">
        <f t="array" aca="1" ref="N74" ca="1">_xlfn.XLOOKUP(Contrato[[#This Row],[SUPERVISOR TITULAR]],PERSONAL_ACTIVO_2025[[#All],[NOMBRES Y APELLIDOS]],PERSONAL_ACTIVO_2025[[#All],[DOCUMENTO]],"",0)</f>
        <v>#NAME?</v>
      </c>
      <c r="O74" s="114" t="s">
        <v>1110</v>
      </c>
      <c r="P74" s="115" t="e" cm="1">
        <f t="array" aca="1" ref="P74" ca="1">_xlfn.XLOOKUP(Contrato[[#This Row],[SUPERVISOR SUPLENTE ]],PERSONAL_ACTIVO_2025[[#All],[NOMBRES Y APELLIDOS]],PERSONAL_ACTIVO_2025[[#All],[DOCUMENTO]],"",0)</f>
        <v>#NAME?</v>
      </c>
      <c r="Q74" s="116">
        <v>294</v>
      </c>
      <c r="R74" s="137" t="e" cm="1">
        <f t="array" aca="1" ref="R74" ca="1">_xlfn.XLOOKUP(Contrato[[#This Row],[CDP]],DISPONIBILIDADES_2025[[#All],[consecutivo]],DISPONIBILIDADES_2025[[#All],[fecha_aprobacion]],"",0)</f>
        <v>#NAME?</v>
      </c>
      <c r="S74" s="92">
        <f>SUMIF(DISPONIBILIDADES_2025[[#All],[consecutivo]],Contrato[[#This Row],[CDP]],DISPONIBILIDADES_2025[[#All],[valor_total_rubro]])</f>
        <v>85218000</v>
      </c>
      <c r="T74" s="118" t="e" cm="1">
        <f t="array" aca="1" ref="T74" ca="1">_xlfn.XLOOKUP(Contrato[[#This Row],[CONTRATO]]&amp;Contrato[[#This Row],[CDP]],Corr_Contr_CDP[[#All],[CONTRATO-CDP]],Corr_Contr_CDP[[#All],[CRP]],_xlfn.XLOOKUP(Contrato[[#This Row],[CDP]],COMPROMISOS_2025[[#All],[disponibilidad]],COMPROMISOS_2025[[#All],[consecutivo]],"",0),0)</f>
        <v>#NAME?</v>
      </c>
      <c r="U74" s="117" t="e" cm="1">
        <f t="array" aca="1" ref="U74" ca="1">+_xlfn.XLOOKUP(Contrato[[#This Row],[RCP]],COMPROMISOS_2025[[#All],[consecutivo]],COMPROMISOS_2025[[#All],[fecha_aprobacion]],"",0)</f>
        <v>#NAME?</v>
      </c>
      <c r="V74" s="93">
        <f ca="1">SUMIF(COMPROMISOS_2025[[#All],[consecutivo]],Contrato[[#This Row],[RCP]],COMPROMISOS_2025[[#All],[valor_total]])</f>
        <v>0</v>
      </c>
      <c r="W74" s="169">
        <v>45707</v>
      </c>
      <c r="X74" s="243" t="s">
        <v>901</v>
      </c>
      <c r="Y74" s="96">
        <v>45708</v>
      </c>
      <c r="Z74" s="161">
        <v>46010</v>
      </c>
      <c r="AA74" s="198" t="s">
        <v>1113</v>
      </c>
      <c r="AB74" s="119" t="s">
        <v>1004</v>
      </c>
      <c r="AC74" s="112"/>
      <c r="AD74" s="545">
        <v>202000006174</v>
      </c>
      <c r="AE74" s="38" t="s">
        <v>904</v>
      </c>
      <c r="AF74" s="120" t="str">
        <f>TEXT(LEFT(Contrato[[#This Row],[CONTRATO]],3),"0")</f>
        <v>68</v>
      </c>
      <c r="AG74" s="120" t="str">
        <f>IF(LEN(Contrato[[#This Row],[Contrato2]])=3,Contrato[[#This Row],[Contrato2]],TEXT(Contrato[[#This Row],[Contrato2]],"000"))</f>
        <v>068</v>
      </c>
      <c r="AH74" s="90">
        <f ca="1">IFERROR(_xlfn.DAYS(Contrato[[#This Row],[Fecha Proyectada liquidación]],TODAY())/30,"")</f>
        <v>11.566666666666666</v>
      </c>
      <c r="AI74" s="121">
        <f>+Contrato[[#This Row],[FECHA TERMINACIÓN ]]+120</f>
        <v>46130</v>
      </c>
      <c r="AJ74" s="89"/>
      <c r="AK74" s="91" t="str">
        <f ca="1">IF(Contrato[[#This Row],[FECHA TERMINACIÓN ]]&lt;TODAY(), "Terminado",IF(ISNUMBER(Contrato[[#This Row],[Fecha Real de liquiidación ]]),"Liquidado",IF(Contrato[[#This Row],[FECHA TERMINACIÓN ]]&gt;=TODAY(),"En ejecución","")))</f>
        <v>En ejecución</v>
      </c>
      <c r="AL74" s="107">
        <f ca="1">SUMIF(COMPROMISOS_2025[[#All],[consecutivo]],Contrato[[#This Row],[RCP]],COMPROMISOS_2025[[#All],[Total pagado]])</f>
        <v>0</v>
      </c>
      <c r="AM74" s="122">
        <f ca="1">IFERROR(Contrato[[#This Row],[Pagos]]/Contrato[[#This Row],[VALOR CONTRATO]],0)</f>
        <v>0</v>
      </c>
      <c r="AN74" s="160">
        <f ca="1">+Contrato[[#This Row],[VALOR CONTRATO]]-Contrato[[#This Row],[Pagos]]</f>
        <v>85218000</v>
      </c>
      <c r="AO74" s="111" t="e" cm="1">
        <f t="array" aca="1" ref="AO74" ca="1">_xlfn.XLOOKUP(Contrato[[#This Row],[DOCUMENTO ]],PERSONAL_ACTIVO_2025[[#All],[DOCUMENTO]],PERSONAL_ACTIVO_2025[[#All],[email]],0,0)</f>
        <v>#NAME?</v>
      </c>
      <c r="AP74" s="111" t="e" cm="1">
        <f t="array" aca="1" ref="AP74" ca="1">_xlfn.XLOOKUP(Contrato[[#This Row],[DOCUMENTO]],PERSONAL_ACTIVO_2025[[#All],[DOCUMENTO]],PERSONAL_ACTIVO_2025[[#All],[email]],0,0)</f>
        <v>#NAME?</v>
      </c>
      <c r="AQ74" s="111" cm="1">
        <f t="array" aca="1" ref="AQ74" ca="1">IF(ISBLANK(Contrato[[#This Row],[DEPENDENCIA ]]),0,IFERROR(_xlfn.XLOOKUP(Contrato[[#This Row],[DEPENDENCIA ]],#REF!,#REF!,0,0),0))</f>
        <v>0</v>
      </c>
      <c r="AR74" s="553">
        <f ca="1">+_xlfn.DAYS(Contrato[[#This Row],[FECHA TERMINACIÓN ]],TODAY())</f>
        <v>227</v>
      </c>
    </row>
    <row r="75" spans="1:44" s="111" customFormat="1" ht="36" customHeight="1" x14ac:dyDescent="0.25">
      <c r="A75" s="38">
        <v>528</v>
      </c>
      <c r="B75" s="226">
        <v>69</v>
      </c>
      <c r="C75" s="88" t="s">
        <v>732</v>
      </c>
      <c r="D75" s="192" t="s">
        <v>930</v>
      </c>
      <c r="E75" s="193" t="s">
        <v>112</v>
      </c>
      <c r="F75" s="194" t="s">
        <v>113</v>
      </c>
      <c r="G75" s="195" t="s">
        <v>1114</v>
      </c>
      <c r="H75" s="167">
        <v>70166500</v>
      </c>
      <c r="I75" s="292">
        <v>7521800</v>
      </c>
      <c r="J75" s="290">
        <v>93968000</v>
      </c>
      <c r="K75" s="246" t="s">
        <v>1115</v>
      </c>
      <c r="L75" s="196" t="s">
        <v>1087</v>
      </c>
      <c r="M75" s="114" t="s">
        <v>1116</v>
      </c>
      <c r="N75" s="113" t="e" cm="1">
        <f t="array" aca="1" ref="N75" ca="1">_xlfn.XLOOKUP(Contrato[[#This Row],[SUPERVISOR TITULAR]],PERSONAL_ACTIVO_2025[[#All],[NOMBRES Y APELLIDOS]],PERSONAL_ACTIVO_2025[[#All],[DOCUMENTO]],"",0)</f>
        <v>#NAME?</v>
      </c>
      <c r="O75" s="114" t="s">
        <v>1117</v>
      </c>
      <c r="P75" s="115" t="e" cm="1">
        <f t="array" aca="1" ref="P75" ca="1">_xlfn.XLOOKUP(Contrato[[#This Row],[SUPERVISOR SUPLENTE ]],PERSONAL_ACTIVO_2025[[#All],[NOMBRES Y APELLIDOS]],PERSONAL_ACTIVO_2025[[#All],[DOCUMENTO]],"",0)</f>
        <v>#NAME?</v>
      </c>
      <c r="Q75" s="116">
        <v>82</v>
      </c>
      <c r="R75" s="137" t="e" cm="1">
        <f t="array" aca="1" ref="R75" ca="1">_xlfn.XLOOKUP(Contrato[[#This Row],[CDP]],DISPONIBILIDADES_2025[[#All],[consecutivo]],DISPONIBILIDADES_2025[[#All],[fecha_aprobacion]],"",0)</f>
        <v>#NAME?</v>
      </c>
      <c r="S75" s="92">
        <f>SUMIF(DISPONIBILIDADES_2025[[#All],[consecutivo]],Contrato[[#This Row],[CDP]],DISPONIBILIDADES_2025[[#All],[valor_total_rubro]])</f>
        <v>93968000</v>
      </c>
      <c r="T75" s="118" t="e" cm="1">
        <f t="array" aca="1" ref="T75" ca="1">_xlfn.XLOOKUP(Contrato[[#This Row],[CONTRATO]]&amp;Contrato[[#This Row],[CDP]],Corr_Contr_CDP[[#All],[CONTRATO-CDP]],Corr_Contr_CDP[[#All],[CRP]],_xlfn.XLOOKUP(Contrato[[#This Row],[CDP]],COMPROMISOS_2025[[#All],[disponibilidad]],COMPROMISOS_2025[[#All],[consecutivo]],"",0),0)</f>
        <v>#NAME?</v>
      </c>
      <c r="U75" s="117" t="e" cm="1">
        <f t="array" aca="1" ref="U75" ca="1">+_xlfn.XLOOKUP(Contrato[[#This Row],[RCP]],COMPROMISOS_2025[[#All],[consecutivo]],COMPROMISOS_2025[[#All],[fecha_aprobacion]],"",0)</f>
        <v>#NAME?</v>
      </c>
      <c r="V75" s="93">
        <f ca="1">SUMIF(COMPROMISOS_2025[[#All],[consecutivo]],Contrato[[#This Row],[RCP]],COMPROMISOS_2025[[#All],[valor_total]])</f>
        <v>0</v>
      </c>
      <c r="W75" s="169">
        <v>45706</v>
      </c>
      <c r="X75" s="243" t="s">
        <v>901</v>
      </c>
      <c r="Y75" s="96">
        <v>45707</v>
      </c>
      <c r="Z75" s="161">
        <v>46010</v>
      </c>
      <c r="AA75" s="198" t="s">
        <v>1118</v>
      </c>
      <c r="AB75" s="119" t="s">
        <v>1004</v>
      </c>
      <c r="AC75" s="112"/>
      <c r="AD75" s="545">
        <v>202000006175</v>
      </c>
      <c r="AE75" s="38" t="s">
        <v>904</v>
      </c>
      <c r="AF75" s="120" t="str">
        <f>TEXT(LEFT(Contrato[[#This Row],[CONTRATO]],3),"0")</f>
        <v>69</v>
      </c>
      <c r="AG75" s="120" t="str">
        <f>IF(LEN(Contrato[[#This Row],[Contrato2]])=3,Contrato[[#This Row],[Contrato2]],TEXT(Contrato[[#This Row],[Contrato2]],"000"))</f>
        <v>069</v>
      </c>
      <c r="AH75" s="90">
        <f ca="1">IFERROR(_xlfn.DAYS(Contrato[[#This Row],[Fecha Proyectada liquidación]],TODAY())/30,"")</f>
        <v>11.566666666666666</v>
      </c>
      <c r="AI75" s="121">
        <f>+Contrato[[#This Row],[FECHA TERMINACIÓN ]]+120</f>
        <v>46130</v>
      </c>
      <c r="AJ75" s="89"/>
      <c r="AK75" s="91" t="str">
        <f ca="1">IF(Contrato[[#This Row],[FECHA TERMINACIÓN ]]&lt;TODAY(), "Terminado",IF(ISNUMBER(Contrato[[#This Row],[Fecha Real de liquiidación ]]),"Liquidado",IF(Contrato[[#This Row],[FECHA TERMINACIÓN ]]&gt;=TODAY(),"En ejecución","")))</f>
        <v>En ejecución</v>
      </c>
      <c r="AL75" s="107">
        <f ca="1">SUMIF(COMPROMISOS_2025[[#All],[consecutivo]],Contrato[[#This Row],[RCP]],COMPROMISOS_2025[[#All],[Total pagado]])</f>
        <v>0</v>
      </c>
      <c r="AM75" s="122">
        <f ca="1">IFERROR(Contrato[[#This Row],[Pagos]]/Contrato[[#This Row],[VALOR CONTRATO]],0)</f>
        <v>0</v>
      </c>
      <c r="AN75" s="160">
        <f ca="1">+Contrato[[#This Row],[VALOR CONTRATO]]-Contrato[[#This Row],[Pagos]]</f>
        <v>93968000</v>
      </c>
      <c r="AO75" s="111" t="e" cm="1">
        <f t="array" aca="1" ref="AO75" ca="1">_xlfn.XLOOKUP(Contrato[[#This Row],[DOCUMENTO ]],PERSONAL_ACTIVO_2025[[#All],[DOCUMENTO]],PERSONAL_ACTIVO_2025[[#All],[email]],0,0)</f>
        <v>#NAME?</v>
      </c>
      <c r="AP75" s="111" t="e" cm="1">
        <f t="array" aca="1" ref="AP75" ca="1">_xlfn.XLOOKUP(Contrato[[#This Row],[DOCUMENTO]],PERSONAL_ACTIVO_2025[[#All],[DOCUMENTO]],PERSONAL_ACTIVO_2025[[#All],[email]],0,0)</f>
        <v>#NAME?</v>
      </c>
      <c r="AQ75" s="111" cm="1">
        <f t="array" aca="1" ref="AQ75" ca="1">IF(ISBLANK(Contrato[[#This Row],[DEPENDENCIA ]]),0,IFERROR(_xlfn.XLOOKUP(Contrato[[#This Row],[DEPENDENCIA ]],#REF!,#REF!,0,0),0))</f>
        <v>0</v>
      </c>
      <c r="AR75" s="553">
        <f ca="1">+_xlfn.DAYS(Contrato[[#This Row],[FECHA TERMINACIÓN ]],TODAY())</f>
        <v>227</v>
      </c>
    </row>
    <row r="76" spans="1:44" s="111" customFormat="1" ht="36" customHeight="1" x14ac:dyDescent="0.25">
      <c r="A76" s="38">
        <v>531</v>
      </c>
      <c r="B76" s="226">
        <v>70</v>
      </c>
      <c r="C76" s="88" t="s">
        <v>735</v>
      </c>
      <c r="D76" s="192" t="s">
        <v>930</v>
      </c>
      <c r="E76" s="193" t="s">
        <v>112</v>
      </c>
      <c r="F76" s="194" t="s">
        <v>113</v>
      </c>
      <c r="G76" s="195" t="s">
        <v>1119</v>
      </c>
      <c r="H76" s="167">
        <v>1036966995</v>
      </c>
      <c r="I76" s="292">
        <v>7521800</v>
      </c>
      <c r="J76" s="290">
        <v>93968000</v>
      </c>
      <c r="K76" s="246" t="s">
        <v>1115</v>
      </c>
      <c r="L76" s="196" t="s">
        <v>1087</v>
      </c>
      <c r="M76" s="114" t="s">
        <v>1116</v>
      </c>
      <c r="N76" s="113" t="e" cm="1">
        <f t="array" aca="1" ref="N76" ca="1">_xlfn.XLOOKUP(Contrato[[#This Row],[SUPERVISOR TITULAR]],PERSONAL_ACTIVO_2025[[#All],[NOMBRES Y APELLIDOS]],PERSONAL_ACTIVO_2025[[#All],[DOCUMENTO]],"",0)</f>
        <v>#NAME?</v>
      </c>
      <c r="O76" s="114" t="s">
        <v>1120</v>
      </c>
      <c r="P76" s="115" t="e" cm="1">
        <f t="array" aca="1" ref="P76" ca="1">_xlfn.XLOOKUP(Contrato[[#This Row],[SUPERVISOR SUPLENTE ]],PERSONAL_ACTIVO_2025[[#All],[NOMBRES Y APELLIDOS]],PERSONAL_ACTIVO_2025[[#All],[DOCUMENTO]],"",0)</f>
        <v>#NAME?</v>
      </c>
      <c r="Q76" s="116">
        <v>85</v>
      </c>
      <c r="R76" s="137" t="e" cm="1">
        <f t="array" aca="1" ref="R76" ca="1">_xlfn.XLOOKUP(Contrato[[#This Row],[CDP]],DISPONIBILIDADES_2025[[#All],[consecutivo]],DISPONIBILIDADES_2025[[#All],[fecha_aprobacion]],"",0)</f>
        <v>#NAME?</v>
      </c>
      <c r="S76" s="92">
        <f>SUMIF(DISPONIBILIDADES_2025[[#All],[consecutivo]],Contrato[[#This Row],[CDP]],DISPONIBILIDADES_2025[[#All],[valor_total_rubro]])</f>
        <v>93968000</v>
      </c>
      <c r="T76" s="118" t="e" cm="1">
        <f t="array" aca="1" ref="T76" ca="1">_xlfn.XLOOKUP(Contrato[[#This Row],[CONTRATO]]&amp;Contrato[[#This Row],[CDP]],Corr_Contr_CDP[[#All],[CONTRATO-CDP]],Corr_Contr_CDP[[#All],[CRP]],_xlfn.XLOOKUP(Contrato[[#This Row],[CDP]],COMPROMISOS_2025[[#All],[disponibilidad]],COMPROMISOS_2025[[#All],[consecutivo]],"",0),0)</f>
        <v>#NAME?</v>
      </c>
      <c r="U76" s="117" t="e" cm="1">
        <f t="array" aca="1" ref="U76" ca="1">+_xlfn.XLOOKUP(Contrato[[#This Row],[RCP]],COMPROMISOS_2025[[#All],[consecutivo]],COMPROMISOS_2025[[#All],[fecha_aprobacion]],"",0)</f>
        <v>#NAME?</v>
      </c>
      <c r="V76" s="93">
        <f ca="1">SUMIF(COMPROMISOS_2025[[#All],[consecutivo]],Contrato[[#This Row],[RCP]],COMPROMISOS_2025[[#All],[valor_total]])</f>
        <v>0</v>
      </c>
      <c r="W76" s="169">
        <v>45706</v>
      </c>
      <c r="X76" s="243" t="s">
        <v>901</v>
      </c>
      <c r="Y76" s="96">
        <v>45707</v>
      </c>
      <c r="Z76" s="161">
        <v>46010</v>
      </c>
      <c r="AA76" s="198" t="s">
        <v>1121</v>
      </c>
      <c r="AB76" s="119" t="s">
        <v>1004</v>
      </c>
      <c r="AC76" s="112"/>
      <c r="AD76" s="279">
        <v>202000006176</v>
      </c>
      <c r="AE76" s="38" t="s">
        <v>904</v>
      </c>
      <c r="AF76" s="120" t="str">
        <f>TEXT(LEFT(Contrato[[#This Row],[CONTRATO]],3),"0")</f>
        <v>70</v>
      </c>
      <c r="AG76" s="120" t="str">
        <f>IF(LEN(Contrato[[#This Row],[Contrato2]])=3,Contrato[[#This Row],[Contrato2]],TEXT(Contrato[[#This Row],[Contrato2]],"000"))</f>
        <v>070</v>
      </c>
      <c r="AH76" s="90">
        <f ca="1">IFERROR(_xlfn.DAYS(Contrato[[#This Row],[Fecha Proyectada liquidación]],TODAY())/30,"")</f>
        <v>11.566666666666666</v>
      </c>
      <c r="AI76" s="121">
        <f>+Contrato[[#This Row],[FECHA TERMINACIÓN ]]+120</f>
        <v>46130</v>
      </c>
      <c r="AJ76" s="89"/>
      <c r="AK76" s="91" t="str">
        <f ca="1">IF(Contrato[[#This Row],[FECHA TERMINACIÓN ]]&lt;TODAY(), "Terminado",IF(ISNUMBER(Contrato[[#This Row],[Fecha Real de liquiidación ]]),"Liquidado",IF(Contrato[[#This Row],[FECHA TERMINACIÓN ]]&gt;=TODAY(),"En ejecución","")))</f>
        <v>En ejecución</v>
      </c>
      <c r="AL76" s="107">
        <f ca="1">SUMIF(COMPROMISOS_2025[[#All],[consecutivo]],Contrato[[#This Row],[RCP]],COMPROMISOS_2025[[#All],[Total pagado]])</f>
        <v>0</v>
      </c>
      <c r="AM76" s="122">
        <f ca="1">IFERROR(Contrato[[#This Row],[Pagos]]/Contrato[[#This Row],[VALOR CONTRATO]],0)</f>
        <v>0</v>
      </c>
      <c r="AN76" s="160">
        <f ca="1">+Contrato[[#This Row],[VALOR CONTRATO]]-Contrato[[#This Row],[Pagos]]</f>
        <v>93968000</v>
      </c>
      <c r="AO76" s="111" t="e" cm="1">
        <f t="array" aca="1" ref="AO76" ca="1">_xlfn.XLOOKUP(Contrato[[#This Row],[DOCUMENTO ]],PERSONAL_ACTIVO_2025[[#All],[DOCUMENTO]],PERSONAL_ACTIVO_2025[[#All],[email]],0,0)</f>
        <v>#NAME?</v>
      </c>
      <c r="AP76" s="111" t="e" cm="1">
        <f t="array" aca="1" ref="AP76" ca="1">_xlfn.XLOOKUP(Contrato[[#This Row],[DOCUMENTO]],PERSONAL_ACTIVO_2025[[#All],[DOCUMENTO]],PERSONAL_ACTIVO_2025[[#All],[email]],0,0)</f>
        <v>#NAME?</v>
      </c>
      <c r="AQ76" s="111" cm="1">
        <f t="array" aca="1" ref="AQ76" ca="1">IF(ISBLANK(Contrato[[#This Row],[DEPENDENCIA ]]),0,IFERROR(_xlfn.XLOOKUP(Contrato[[#This Row],[DEPENDENCIA ]],#REF!,#REF!,0,0),0))</f>
        <v>0</v>
      </c>
      <c r="AR76" s="553">
        <f ca="1">+_xlfn.DAYS(Contrato[[#This Row],[FECHA TERMINACIÓN ]],TODAY())</f>
        <v>227</v>
      </c>
    </row>
    <row r="77" spans="1:44" s="111" customFormat="1" ht="36" customHeight="1" x14ac:dyDescent="0.25">
      <c r="A77" s="38">
        <v>542</v>
      </c>
      <c r="B77" s="226">
        <v>71</v>
      </c>
      <c r="C77" s="88" t="s">
        <v>743</v>
      </c>
      <c r="D77" s="192" t="s">
        <v>930</v>
      </c>
      <c r="E77" s="193" t="s">
        <v>112</v>
      </c>
      <c r="F77" s="194" t="s">
        <v>113</v>
      </c>
      <c r="G77" s="195" t="s">
        <v>1122</v>
      </c>
      <c r="H77" s="167">
        <v>98606974</v>
      </c>
      <c r="I77" s="292">
        <v>7521800</v>
      </c>
      <c r="J77" s="290">
        <v>83968000</v>
      </c>
      <c r="K77" s="246" t="s">
        <v>1054</v>
      </c>
      <c r="L77" s="196" t="s">
        <v>1087</v>
      </c>
      <c r="M77" s="114" t="s">
        <v>979</v>
      </c>
      <c r="N77" s="113" t="e" cm="1">
        <f t="array" aca="1" ref="N77" ca="1">_xlfn.XLOOKUP(Contrato[[#This Row],[SUPERVISOR TITULAR]],PERSONAL_ACTIVO_2025[[#All],[NOMBRES Y APELLIDOS]],PERSONAL_ACTIVO_2025[[#All],[DOCUMENTO]],"",0)</f>
        <v>#NAME?</v>
      </c>
      <c r="O77" s="114" t="s">
        <v>1123</v>
      </c>
      <c r="P77" s="115" t="e" cm="1">
        <f t="array" aca="1" ref="P77" ca="1">_xlfn.XLOOKUP(Contrato[[#This Row],[SUPERVISOR SUPLENTE ]],PERSONAL_ACTIVO_2025[[#All],[NOMBRES Y APELLIDOS]],PERSONAL_ACTIVO_2025[[#All],[DOCUMENTO]],"",0)</f>
        <v>#NAME?</v>
      </c>
      <c r="Q77" s="116">
        <v>293</v>
      </c>
      <c r="R77" s="137" t="e" cm="1">
        <f t="array" aca="1" ref="R77" ca="1">_xlfn.XLOOKUP(Contrato[[#This Row],[CDP]],DISPONIBILIDADES_2025[[#All],[consecutivo]],DISPONIBILIDADES_2025[[#All],[fecha_aprobacion]],"",0)</f>
        <v>#NAME?</v>
      </c>
      <c r="S77" s="92">
        <f>SUMIF(DISPONIBILIDADES_2025[[#All],[consecutivo]],Contrato[[#This Row],[CDP]],DISPONIBILIDADES_2025[[#All],[valor_total_rubro]])</f>
        <v>85218000</v>
      </c>
      <c r="T77" s="118" t="e" cm="1">
        <f t="array" aca="1" ref="T77" ca="1">_xlfn.XLOOKUP(Contrato[[#This Row],[CONTRATO]]&amp;Contrato[[#This Row],[CDP]],Corr_Contr_CDP[[#All],[CONTRATO-CDP]],Corr_Contr_CDP[[#All],[CRP]],_xlfn.XLOOKUP(Contrato[[#This Row],[CDP]],COMPROMISOS_2025[[#All],[disponibilidad]],COMPROMISOS_2025[[#All],[consecutivo]],"",0),0)</f>
        <v>#NAME?</v>
      </c>
      <c r="U77" s="117" t="e" cm="1">
        <f t="array" aca="1" ref="U77" ca="1">+_xlfn.XLOOKUP(Contrato[[#This Row],[RCP]],COMPROMISOS_2025[[#All],[consecutivo]],COMPROMISOS_2025[[#All],[fecha_aprobacion]],"",0)</f>
        <v>#NAME?</v>
      </c>
      <c r="V77" s="93">
        <f ca="1">SUMIF(COMPROMISOS_2025[[#All],[consecutivo]],Contrato[[#This Row],[RCP]],COMPROMISOS_2025[[#All],[valor_total]])</f>
        <v>0</v>
      </c>
      <c r="W77" s="169">
        <v>45706</v>
      </c>
      <c r="X77" s="243" t="s">
        <v>901</v>
      </c>
      <c r="Y77" s="96">
        <v>45706</v>
      </c>
      <c r="Z77" s="161">
        <v>46008</v>
      </c>
      <c r="AA77" s="198" t="s">
        <v>1124</v>
      </c>
      <c r="AB77" s="119" t="s">
        <v>1004</v>
      </c>
      <c r="AC77" s="112"/>
      <c r="AD77" s="279">
        <v>202000006177</v>
      </c>
      <c r="AE77" s="38" t="s">
        <v>904</v>
      </c>
      <c r="AF77" s="120" t="str">
        <f>TEXT(LEFT(Contrato[[#This Row],[CONTRATO]],3),"0")</f>
        <v>71</v>
      </c>
      <c r="AG77" s="120" t="str">
        <f>IF(LEN(Contrato[[#This Row],[Contrato2]])=3,Contrato[[#This Row],[Contrato2]],TEXT(Contrato[[#This Row],[Contrato2]],"000"))</f>
        <v>071</v>
      </c>
      <c r="AH77" s="90">
        <f ca="1">IFERROR(_xlfn.DAYS(Contrato[[#This Row],[Fecha Proyectada liquidación]],TODAY())/30,"")</f>
        <v>11.5</v>
      </c>
      <c r="AI77" s="121">
        <f>+Contrato[[#This Row],[FECHA TERMINACIÓN ]]+120</f>
        <v>46128</v>
      </c>
      <c r="AJ77" s="89"/>
      <c r="AK77" s="91" t="str">
        <f ca="1">IF(Contrato[[#This Row],[FECHA TERMINACIÓN ]]&lt;TODAY(), "Terminado",IF(ISNUMBER(Contrato[[#This Row],[Fecha Real de liquiidación ]]),"Liquidado",IF(Contrato[[#This Row],[FECHA TERMINACIÓN ]]&gt;=TODAY(),"En ejecución","")))</f>
        <v>En ejecución</v>
      </c>
      <c r="AL77" s="107">
        <f ca="1">SUMIF(COMPROMISOS_2025[[#All],[consecutivo]],Contrato[[#This Row],[RCP]],COMPROMISOS_2025[[#All],[Total pagado]])</f>
        <v>0</v>
      </c>
      <c r="AM77" s="122">
        <f ca="1">IFERROR(Contrato[[#This Row],[Pagos]]/Contrato[[#This Row],[VALOR CONTRATO]],0)</f>
        <v>0</v>
      </c>
      <c r="AN77" s="160">
        <f ca="1">+Contrato[[#This Row],[VALOR CONTRATO]]-Contrato[[#This Row],[Pagos]]</f>
        <v>83968000</v>
      </c>
      <c r="AO77" s="111" t="e" cm="1">
        <f t="array" aca="1" ref="AO77" ca="1">_xlfn.XLOOKUP(Contrato[[#This Row],[DOCUMENTO ]],PERSONAL_ACTIVO_2025[[#All],[DOCUMENTO]],PERSONAL_ACTIVO_2025[[#All],[email]],0,0)</f>
        <v>#NAME?</v>
      </c>
      <c r="AP77" s="111" t="e" cm="1">
        <f t="array" aca="1" ref="AP77" ca="1">_xlfn.XLOOKUP(Contrato[[#This Row],[DOCUMENTO]],PERSONAL_ACTIVO_2025[[#All],[DOCUMENTO]],PERSONAL_ACTIVO_2025[[#All],[email]],0,0)</f>
        <v>#NAME?</v>
      </c>
      <c r="AQ77" s="111" cm="1">
        <f t="array" aca="1" ref="AQ77" ca="1">IF(ISBLANK(Contrato[[#This Row],[DEPENDENCIA ]]),0,IFERROR(_xlfn.XLOOKUP(Contrato[[#This Row],[DEPENDENCIA ]],#REF!,#REF!,0,0),0))</f>
        <v>0</v>
      </c>
      <c r="AR77" s="553">
        <f ca="1">+_xlfn.DAYS(Contrato[[#This Row],[FECHA TERMINACIÓN ]],TODAY())</f>
        <v>225</v>
      </c>
    </row>
    <row r="78" spans="1:44" s="111" customFormat="1" ht="36" customHeight="1" x14ac:dyDescent="0.25">
      <c r="A78" s="38">
        <v>254</v>
      </c>
      <c r="B78" s="226">
        <v>72</v>
      </c>
      <c r="C78" s="88" t="s">
        <v>451</v>
      </c>
      <c r="D78" s="192" t="s">
        <v>911</v>
      </c>
      <c r="E78" s="193" t="s">
        <v>112</v>
      </c>
      <c r="F78" s="194" t="s">
        <v>113</v>
      </c>
      <c r="G78" s="195" t="s">
        <v>1125</v>
      </c>
      <c r="H78" s="167">
        <v>71773738</v>
      </c>
      <c r="I78" s="292">
        <v>6239569</v>
      </c>
      <c r="J78" s="290">
        <v>61147776</v>
      </c>
      <c r="K78" s="158" t="s">
        <v>41</v>
      </c>
      <c r="L78" s="196" t="s">
        <v>1087</v>
      </c>
      <c r="M78" s="114" t="s">
        <v>1091</v>
      </c>
      <c r="N78" s="113" t="e" cm="1">
        <f t="array" aca="1" ref="N78" ca="1">_xlfn.XLOOKUP(Contrato[[#This Row],[SUPERVISOR TITULAR]],PERSONAL_ACTIVO_2025[[#All],[NOMBRES Y APELLIDOS]],PERSONAL_ACTIVO_2025[[#All],[DOCUMENTO]],"",0)</f>
        <v>#NAME?</v>
      </c>
      <c r="O78" s="114" t="s">
        <v>938</v>
      </c>
      <c r="P78" s="115" t="e" cm="1">
        <f t="array" aca="1" ref="P78" ca="1">_xlfn.XLOOKUP(Contrato[[#This Row],[SUPERVISOR SUPLENTE ]],PERSONAL_ACTIVO_2025[[#All],[NOMBRES Y APELLIDOS]],PERSONAL_ACTIVO_2025[[#All],[DOCUMENTO]],"",0)</f>
        <v>#NAME?</v>
      </c>
      <c r="Q78" s="116">
        <v>88</v>
      </c>
      <c r="R78" s="137" t="e" cm="1">
        <f t="array" aca="1" ref="R78" ca="1">_xlfn.XLOOKUP(Contrato[[#This Row],[CDP]],DISPONIBILIDADES_2025[[#All],[consecutivo]],DISPONIBILIDADES_2025[[#All],[fecha_aprobacion]],"",0)</f>
        <v>#NAME?</v>
      </c>
      <c r="S78" s="92">
        <f>SUMIF(DISPONIBILIDADES_2025[[#All],[consecutivo]],Contrato[[#This Row],[CDP]],DISPONIBILIDADES_2025[[#All],[valor_total_rubro]])</f>
        <v>61147776</v>
      </c>
      <c r="T78" s="118" t="e" cm="1">
        <f t="array" aca="1" ref="T78" ca="1">_xlfn.XLOOKUP(Contrato[[#This Row],[CONTRATO]]&amp;Contrato[[#This Row],[CDP]],Corr_Contr_CDP[[#All],[CONTRATO-CDP]],Corr_Contr_CDP[[#All],[CRP]],_xlfn.XLOOKUP(Contrato[[#This Row],[CDP]],COMPROMISOS_2025[[#All],[disponibilidad]],COMPROMISOS_2025[[#All],[consecutivo]],"",0),0)</f>
        <v>#NAME?</v>
      </c>
      <c r="U78" s="117" t="e" cm="1">
        <f t="array" aca="1" ref="U78" ca="1">+_xlfn.XLOOKUP(Contrato[[#This Row],[RCP]],COMPROMISOS_2025[[#All],[consecutivo]],COMPROMISOS_2025[[#All],[fecha_aprobacion]],"",0)</f>
        <v>#NAME?</v>
      </c>
      <c r="V78" s="93">
        <f ca="1">SUMIF(COMPROMISOS_2025[[#All],[consecutivo]],Contrato[[#This Row],[RCP]],COMPROMISOS_2025[[#All],[valor_total]])</f>
        <v>0</v>
      </c>
      <c r="W78" s="169">
        <v>45707</v>
      </c>
      <c r="X78" s="243" t="s">
        <v>901</v>
      </c>
      <c r="Y78" s="96">
        <v>45709</v>
      </c>
      <c r="Z78" s="161">
        <v>46005</v>
      </c>
      <c r="AA78" s="392" t="s">
        <v>1126</v>
      </c>
      <c r="AB78" s="119" t="s">
        <v>1127</v>
      </c>
      <c r="AC78" s="298"/>
      <c r="AD78" s="279">
        <v>202000006178</v>
      </c>
      <c r="AE78" s="38" t="s">
        <v>904</v>
      </c>
      <c r="AF78" s="120" t="str">
        <f>TEXT(LEFT(Contrato[[#This Row],[CONTRATO]],3),"0")</f>
        <v>72</v>
      </c>
      <c r="AG78" s="120" t="str">
        <f>IF(LEN(Contrato[[#This Row],[Contrato2]])=3,Contrato[[#This Row],[Contrato2]],TEXT(Contrato[[#This Row],[Contrato2]],"000"))</f>
        <v>072</v>
      </c>
      <c r="AH78" s="90">
        <f ca="1">IFERROR(_xlfn.DAYS(Contrato[[#This Row],[Fecha Proyectada liquidación]],TODAY())/30,"")</f>
        <v>11.4</v>
      </c>
      <c r="AI78" s="121">
        <f>+Contrato[[#This Row],[FECHA TERMINACIÓN ]]+120</f>
        <v>46125</v>
      </c>
      <c r="AJ78" s="89"/>
      <c r="AK78" s="91" t="str">
        <f ca="1">IF(Contrato[[#This Row],[FECHA TERMINACIÓN ]]&lt;TODAY(), "Terminado",IF(ISNUMBER(Contrato[[#This Row],[Fecha Real de liquiidación ]]),"Liquidado",IF(Contrato[[#This Row],[FECHA TERMINACIÓN ]]&gt;=TODAY(),"En ejecución","")))</f>
        <v>En ejecución</v>
      </c>
      <c r="AL78" s="107">
        <f ca="1">SUMIF(COMPROMISOS_2025[[#All],[consecutivo]],Contrato[[#This Row],[RCP]],COMPROMISOS_2025[[#All],[Total pagado]])</f>
        <v>0</v>
      </c>
      <c r="AM78" s="122">
        <f ca="1">IFERROR(Contrato[[#This Row],[Pagos]]/Contrato[[#This Row],[VALOR CONTRATO]],0)</f>
        <v>0</v>
      </c>
      <c r="AN78" s="160">
        <f ca="1">+Contrato[[#This Row],[VALOR CONTRATO]]-Contrato[[#This Row],[Pagos]]</f>
        <v>61147776</v>
      </c>
      <c r="AO78" s="111" t="e" cm="1">
        <f t="array" aca="1" ref="AO78" ca="1">_xlfn.XLOOKUP(Contrato[[#This Row],[DOCUMENTO ]],PERSONAL_ACTIVO_2025[[#All],[DOCUMENTO]],PERSONAL_ACTIVO_2025[[#All],[email]],0,0)</f>
        <v>#NAME?</v>
      </c>
      <c r="AP78" s="111" t="e" cm="1">
        <f t="array" aca="1" ref="AP78" ca="1">_xlfn.XLOOKUP(Contrato[[#This Row],[DOCUMENTO]],PERSONAL_ACTIVO_2025[[#All],[DOCUMENTO]],PERSONAL_ACTIVO_2025[[#All],[email]],0,0)</f>
        <v>#NAME?</v>
      </c>
      <c r="AQ78" s="111" cm="1">
        <f t="array" aca="1" ref="AQ78" ca="1">IF(ISBLANK(Contrato[[#This Row],[DEPENDENCIA ]]),0,IFERROR(_xlfn.XLOOKUP(Contrato[[#This Row],[DEPENDENCIA ]],#REF!,#REF!,0,0),0))</f>
        <v>0</v>
      </c>
      <c r="AR78" s="553">
        <f ca="1">+_xlfn.DAYS(Contrato[[#This Row],[FECHA TERMINACIÓN ]],TODAY())</f>
        <v>222</v>
      </c>
    </row>
    <row r="79" spans="1:44" s="111" customFormat="1" ht="36" customHeight="1" x14ac:dyDescent="0.25">
      <c r="A79" s="38">
        <v>255</v>
      </c>
      <c r="B79" s="226">
        <v>73</v>
      </c>
      <c r="C79" s="88" t="s">
        <v>453</v>
      </c>
      <c r="D79" s="192" t="s">
        <v>911</v>
      </c>
      <c r="E79" s="193" t="s">
        <v>112</v>
      </c>
      <c r="F79" s="194" t="s">
        <v>113</v>
      </c>
      <c r="G79" s="195" t="s">
        <v>1128</v>
      </c>
      <c r="H79" s="167">
        <v>1152452785</v>
      </c>
      <c r="I79" s="292">
        <v>5164201</v>
      </c>
      <c r="J79" s="290">
        <v>50609170</v>
      </c>
      <c r="K79" s="158" t="s">
        <v>41</v>
      </c>
      <c r="L79" s="196" t="s">
        <v>1087</v>
      </c>
      <c r="M79" s="114" t="s">
        <v>1091</v>
      </c>
      <c r="N79" s="113" t="e" cm="1">
        <f t="array" aca="1" ref="N79" ca="1">_xlfn.XLOOKUP(Contrato[[#This Row],[SUPERVISOR TITULAR]],PERSONAL_ACTIVO_2025[[#All],[NOMBRES Y APELLIDOS]],PERSONAL_ACTIVO_2025[[#All],[DOCUMENTO]],"",0)</f>
        <v>#NAME?</v>
      </c>
      <c r="O79" s="114" t="s">
        <v>938</v>
      </c>
      <c r="P79" s="115" t="e" cm="1">
        <f t="array" aca="1" ref="P79" ca="1">_xlfn.XLOOKUP(Contrato[[#This Row],[SUPERVISOR SUPLENTE ]],PERSONAL_ACTIVO_2025[[#All],[NOMBRES Y APELLIDOS]],PERSONAL_ACTIVO_2025[[#All],[DOCUMENTO]],"",0)</f>
        <v>#NAME?</v>
      </c>
      <c r="Q79" s="116">
        <v>89</v>
      </c>
      <c r="R79" s="137" t="e" cm="1">
        <f t="array" aca="1" ref="R79" ca="1">_xlfn.XLOOKUP(Contrato[[#This Row],[CDP]],DISPONIBILIDADES_2025[[#All],[consecutivo]],DISPONIBILIDADES_2025[[#All],[fecha_aprobacion]],"",0)</f>
        <v>#NAME?</v>
      </c>
      <c r="S79" s="92">
        <f>SUMIF(DISPONIBILIDADES_2025[[#All],[consecutivo]],Contrato[[#This Row],[CDP]],DISPONIBILIDADES_2025[[#All],[valor_total_rubro]])</f>
        <v>50609170</v>
      </c>
      <c r="T79" s="118" t="e" cm="1">
        <f t="array" aca="1" ref="T79" ca="1">_xlfn.XLOOKUP(Contrato[[#This Row],[CONTRATO]]&amp;Contrato[[#This Row],[CDP]],Corr_Contr_CDP[[#All],[CONTRATO-CDP]],Corr_Contr_CDP[[#All],[CRP]],_xlfn.XLOOKUP(Contrato[[#This Row],[CDP]],COMPROMISOS_2025[[#All],[disponibilidad]],COMPROMISOS_2025[[#All],[consecutivo]],"",0),0)</f>
        <v>#NAME?</v>
      </c>
      <c r="U79" s="117" t="e" cm="1">
        <f t="array" aca="1" ref="U79" ca="1">+_xlfn.XLOOKUP(Contrato[[#This Row],[RCP]],COMPROMISOS_2025[[#All],[consecutivo]],COMPROMISOS_2025[[#All],[fecha_aprobacion]],"",0)</f>
        <v>#NAME?</v>
      </c>
      <c r="V79" s="93">
        <f ca="1">SUMIF(COMPROMISOS_2025[[#All],[consecutivo]],Contrato[[#This Row],[RCP]],COMPROMISOS_2025[[#All],[valor_total]])</f>
        <v>0</v>
      </c>
      <c r="W79" s="169">
        <v>45707</v>
      </c>
      <c r="X79" s="243" t="s">
        <v>901</v>
      </c>
      <c r="Y79" s="96">
        <v>45709</v>
      </c>
      <c r="Z79" s="161">
        <v>46005</v>
      </c>
      <c r="AA79" s="392" t="s">
        <v>1126</v>
      </c>
      <c r="AB79" s="119" t="s">
        <v>1127</v>
      </c>
      <c r="AC79" s="298"/>
      <c r="AD79" s="279">
        <v>202000006179</v>
      </c>
      <c r="AE79" s="38" t="s">
        <v>904</v>
      </c>
      <c r="AF79" s="120" t="str">
        <f>TEXT(LEFT(Contrato[[#This Row],[CONTRATO]],3),"0")</f>
        <v>73</v>
      </c>
      <c r="AG79" s="120" t="str">
        <f>IF(LEN(Contrato[[#This Row],[Contrato2]])=3,Contrato[[#This Row],[Contrato2]],TEXT(Contrato[[#This Row],[Contrato2]],"000"))</f>
        <v>073</v>
      </c>
      <c r="AH79" s="90">
        <f ca="1">IFERROR(_xlfn.DAYS(Contrato[[#This Row],[Fecha Proyectada liquidación]],TODAY())/30,"")</f>
        <v>11.4</v>
      </c>
      <c r="AI79" s="121">
        <f>+Contrato[[#This Row],[FECHA TERMINACIÓN ]]+120</f>
        <v>46125</v>
      </c>
      <c r="AJ79" s="89"/>
      <c r="AK79" s="91" t="str">
        <f ca="1">IF(Contrato[[#This Row],[FECHA TERMINACIÓN ]]&lt;TODAY(), "Terminado",IF(ISNUMBER(Contrato[[#This Row],[Fecha Real de liquiidación ]]),"Liquidado",IF(Contrato[[#This Row],[FECHA TERMINACIÓN ]]&gt;=TODAY(),"En ejecución","")))</f>
        <v>En ejecución</v>
      </c>
      <c r="AL79" s="107">
        <f ca="1">SUMIF(COMPROMISOS_2025[[#All],[consecutivo]],Contrato[[#This Row],[RCP]],COMPROMISOS_2025[[#All],[Total pagado]])</f>
        <v>0</v>
      </c>
      <c r="AM79" s="122">
        <f ca="1">IFERROR(Contrato[[#This Row],[Pagos]]/Contrato[[#This Row],[VALOR CONTRATO]],0)</f>
        <v>0</v>
      </c>
      <c r="AN79" s="160">
        <f ca="1">+Contrato[[#This Row],[VALOR CONTRATO]]-Contrato[[#This Row],[Pagos]]</f>
        <v>50609170</v>
      </c>
      <c r="AO79" s="111" t="e" cm="1">
        <f t="array" aca="1" ref="AO79" ca="1">_xlfn.XLOOKUP(Contrato[[#This Row],[DOCUMENTO ]],PERSONAL_ACTIVO_2025[[#All],[DOCUMENTO]],PERSONAL_ACTIVO_2025[[#All],[email]],0,0)</f>
        <v>#NAME?</v>
      </c>
      <c r="AP79" s="111" t="e" cm="1">
        <f t="array" aca="1" ref="AP79" ca="1">_xlfn.XLOOKUP(Contrato[[#This Row],[DOCUMENTO]],PERSONAL_ACTIVO_2025[[#All],[DOCUMENTO]],PERSONAL_ACTIVO_2025[[#All],[email]],0,0)</f>
        <v>#NAME?</v>
      </c>
      <c r="AQ79" s="111" cm="1">
        <f t="array" aca="1" ref="AQ79" ca="1">IF(ISBLANK(Contrato[[#This Row],[DEPENDENCIA ]]),0,IFERROR(_xlfn.XLOOKUP(Contrato[[#This Row],[DEPENDENCIA ]],#REF!,#REF!,0,0),0))</f>
        <v>0</v>
      </c>
      <c r="AR79" s="553">
        <f ca="1">+_xlfn.DAYS(Contrato[[#This Row],[FECHA TERMINACIÓN ]],TODAY())</f>
        <v>222</v>
      </c>
    </row>
    <row r="80" spans="1:44" s="111" customFormat="1" ht="36" customHeight="1" x14ac:dyDescent="0.25">
      <c r="A80" s="38">
        <v>256</v>
      </c>
      <c r="B80" s="226">
        <v>74</v>
      </c>
      <c r="C80" s="88" t="s">
        <v>454</v>
      </c>
      <c r="D80" s="192" t="s">
        <v>911</v>
      </c>
      <c r="E80" s="193" t="s">
        <v>112</v>
      </c>
      <c r="F80" s="194" t="s">
        <v>113</v>
      </c>
      <c r="G80" s="195" t="s">
        <v>1129</v>
      </c>
      <c r="H80" s="167">
        <v>1039472052</v>
      </c>
      <c r="I80" s="292">
        <v>4157906</v>
      </c>
      <c r="J80" s="290">
        <v>40747479</v>
      </c>
      <c r="K80" s="158" t="s">
        <v>41</v>
      </c>
      <c r="L80" s="196" t="s">
        <v>1087</v>
      </c>
      <c r="M80" s="114" t="s">
        <v>1091</v>
      </c>
      <c r="N80" s="113" t="e" cm="1">
        <f t="array" aca="1" ref="N80" ca="1">_xlfn.XLOOKUP(Contrato[[#This Row],[SUPERVISOR TITULAR]],PERSONAL_ACTIVO_2025[[#All],[NOMBRES Y APELLIDOS]],PERSONAL_ACTIVO_2025[[#All],[DOCUMENTO]],"",0)</f>
        <v>#NAME?</v>
      </c>
      <c r="O80" s="114" t="s">
        <v>938</v>
      </c>
      <c r="P80" s="115" t="e" cm="1">
        <f t="array" aca="1" ref="P80" ca="1">_xlfn.XLOOKUP(Contrato[[#This Row],[SUPERVISOR SUPLENTE ]],PERSONAL_ACTIVO_2025[[#All],[NOMBRES Y APELLIDOS]],PERSONAL_ACTIVO_2025[[#All],[DOCUMENTO]],"",0)</f>
        <v>#NAME?</v>
      </c>
      <c r="Q80" s="116">
        <v>90</v>
      </c>
      <c r="R80" s="137" t="e" cm="1">
        <f t="array" aca="1" ref="R80" ca="1">_xlfn.XLOOKUP(Contrato[[#This Row],[CDP]],DISPONIBILIDADES_2025[[#All],[consecutivo]],DISPONIBILIDADES_2025[[#All],[fecha_aprobacion]],"",0)</f>
        <v>#NAME?</v>
      </c>
      <c r="S80" s="92">
        <f>SUMIF(DISPONIBILIDADES_2025[[#All],[consecutivo]],Contrato[[#This Row],[CDP]],DISPONIBILIDADES_2025[[#All],[valor_total_rubro]])</f>
        <v>40747479</v>
      </c>
      <c r="T80" s="118" t="e" cm="1">
        <f t="array" aca="1" ref="T80" ca="1">_xlfn.XLOOKUP(Contrato[[#This Row],[CONTRATO]]&amp;Contrato[[#This Row],[CDP]],Corr_Contr_CDP[[#All],[CONTRATO-CDP]],Corr_Contr_CDP[[#All],[CRP]],_xlfn.XLOOKUP(Contrato[[#This Row],[CDP]],COMPROMISOS_2025[[#All],[disponibilidad]],COMPROMISOS_2025[[#All],[consecutivo]],"",0),0)</f>
        <v>#NAME?</v>
      </c>
      <c r="U80" s="117" t="e" cm="1">
        <f t="array" aca="1" ref="U80" ca="1">+_xlfn.XLOOKUP(Contrato[[#This Row],[RCP]],COMPROMISOS_2025[[#All],[consecutivo]],COMPROMISOS_2025[[#All],[fecha_aprobacion]],"",0)</f>
        <v>#NAME?</v>
      </c>
      <c r="V80" s="93">
        <f ca="1">SUMIF(COMPROMISOS_2025[[#All],[consecutivo]],Contrato[[#This Row],[RCP]],COMPROMISOS_2025[[#All],[valor_total]])</f>
        <v>0</v>
      </c>
      <c r="W80" s="169">
        <v>45708</v>
      </c>
      <c r="X80" s="243" t="s">
        <v>901</v>
      </c>
      <c r="Y80" s="96">
        <v>45709</v>
      </c>
      <c r="Z80" s="161">
        <v>46005</v>
      </c>
      <c r="AA80" s="198" t="s">
        <v>1130</v>
      </c>
      <c r="AB80" s="119" t="s">
        <v>1127</v>
      </c>
      <c r="AC80" s="298"/>
      <c r="AD80" s="279">
        <v>202000006180</v>
      </c>
      <c r="AE80" s="38" t="s">
        <v>904</v>
      </c>
      <c r="AF80" s="120" t="str">
        <f>TEXT(LEFT(Contrato[[#This Row],[CONTRATO]],3),"0")</f>
        <v>74</v>
      </c>
      <c r="AG80" s="120" t="str">
        <f>IF(LEN(Contrato[[#This Row],[Contrato2]])=3,Contrato[[#This Row],[Contrato2]],TEXT(Contrato[[#This Row],[Contrato2]],"000"))</f>
        <v>074</v>
      </c>
      <c r="AH80" s="90">
        <f ca="1">IFERROR(_xlfn.DAYS(Contrato[[#This Row],[Fecha Proyectada liquidación]],TODAY())/30,"")</f>
        <v>11.4</v>
      </c>
      <c r="AI80" s="121">
        <f>+Contrato[[#This Row],[FECHA TERMINACIÓN ]]+120</f>
        <v>46125</v>
      </c>
      <c r="AJ80" s="89"/>
      <c r="AK80" s="91" t="str">
        <f ca="1">IF(Contrato[[#This Row],[FECHA TERMINACIÓN ]]&lt;TODAY(), "Terminado",IF(ISNUMBER(Contrato[[#This Row],[Fecha Real de liquiidación ]]),"Liquidado",IF(Contrato[[#This Row],[FECHA TERMINACIÓN ]]&gt;=TODAY(),"En ejecución","")))</f>
        <v>En ejecución</v>
      </c>
      <c r="AL80" s="107">
        <f ca="1">SUMIF(COMPROMISOS_2025[[#All],[consecutivo]],Contrato[[#This Row],[RCP]],COMPROMISOS_2025[[#All],[Total pagado]])</f>
        <v>0</v>
      </c>
      <c r="AM80" s="122">
        <f ca="1">IFERROR(Contrato[[#This Row],[Pagos]]/Contrato[[#This Row],[VALOR CONTRATO]],0)</f>
        <v>0</v>
      </c>
      <c r="AN80" s="160">
        <f ca="1">+Contrato[[#This Row],[VALOR CONTRATO]]-Contrato[[#This Row],[Pagos]]</f>
        <v>40747479</v>
      </c>
      <c r="AO80" s="111" t="e" cm="1">
        <f t="array" aca="1" ref="AO80" ca="1">_xlfn.XLOOKUP(Contrato[[#This Row],[DOCUMENTO ]],PERSONAL_ACTIVO_2025[[#All],[DOCUMENTO]],PERSONAL_ACTIVO_2025[[#All],[email]],0,0)</f>
        <v>#NAME?</v>
      </c>
      <c r="AP80" s="111" t="e" cm="1">
        <f t="array" aca="1" ref="AP80" ca="1">_xlfn.XLOOKUP(Contrato[[#This Row],[DOCUMENTO]],PERSONAL_ACTIVO_2025[[#All],[DOCUMENTO]],PERSONAL_ACTIVO_2025[[#All],[email]],0,0)</f>
        <v>#NAME?</v>
      </c>
      <c r="AQ80" s="111" cm="1">
        <f t="array" aca="1" ref="AQ80" ca="1">IF(ISBLANK(Contrato[[#This Row],[DEPENDENCIA ]]),0,IFERROR(_xlfn.XLOOKUP(Contrato[[#This Row],[DEPENDENCIA ]],#REF!,#REF!,0,0),0))</f>
        <v>0</v>
      </c>
      <c r="AR80" s="553">
        <f ca="1">+_xlfn.DAYS(Contrato[[#This Row],[FECHA TERMINACIÓN ]],TODAY())</f>
        <v>222</v>
      </c>
    </row>
    <row r="81" spans="1:44" s="111" customFormat="1" ht="36" customHeight="1" x14ac:dyDescent="0.25">
      <c r="A81" s="38">
        <v>257</v>
      </c>
      <c r="B81" s="226">
        <v>75</v>
      </c>
      <c r="C81" s="88" t="s">
        <v>455</v>
      </c>
      <c r="D81" s="192" t="s">
        <v>911</v>
      </c>
      <c r="E81" s="193" t="s">
        <v>112</v>
      </c>
      <c r="F81" s="194" t="s">
        <v>113</v>
      </c>
      <c r="G81" s="195" t="s">
        <v>1131</v>
      </c>
      <c r="H81" s="167">
        <v>1017274008</v>
      </c>
      <c r="I81" s="292">
        <v>4157906</v>
      </c>
      <c r="J81" s="290">
        <v>40747479</v>
      </c>
      <c r="K81" s="158" t="s">
        <v>41</v>
      </c>
      <c r="L81" s="196" t="s">
        <v>1087</v>
      </c>
      <c r="M81" s="114" t="s">
        <v>1091</v>
      </c>
      <c r="N81" s="113" t="e" cm="1">
        <f t="array" aca="1" ref="N81" ca="1">_xlfn.XLOOKUP(Contrato[[#This Row],[SUPERVISOR TITULAR]],PERSONAL_ACTIVO_2025[[#All],[NOMBRES Y APELLIDOS]],PERSONAL_ACTIVO_2025[[#All],[DOCUMENTO]],"",0)</f>
        <v>#NAME?</v>
      </c>
      <c r="O81" s="114" t="s">
        <v>938</v>
      </c>
      <c r="P81" s="115" t="e" cm="1">
        <f t="array" aca="1" ref="P81" ca="1">_xlfn.XLOOKUP(Contrato[[#This Row],[SUPERVISOR SUPLENTE ]],PERSONAL_ACTIVO_2025[[#All],[NOMBRES Y APELLIDOS]],PERSONAL_ACTIVO_2025[[#All],[DOCUMENTO]],"",0)</f>
        <v>#NAME?</v>
      </c>
      <c r="Q81" s="116">
        <v>91</v>
      </c>
      <c r="R81" s="137" t="e" cm="1">
        <f t="array" aca="1" ref="R81" ca="1">_xlfn.XLOOKUP(Contrato[[#This Row],[CDP]],DISPONIBILIDADES_2025[[#All],[consecutivo]],DISPONIBILIDADES_2025[[#All],[fecha_aprobacion]],"",0)</f>
        <v>#NAME?</v>
      </c>
      <c r="S81" s="92">
        <f>SUMIF(DISPONIBILIDADES_2025[[#All],[consecutivo]],Contrato[[#This Row],[CDP]],DISPONIBILIDADES_2025[[#All],[valor_total_rubro]])</f>
        <v>40747479</v>
      </c>
      <c r="T81" s="118" t="e" cm="1">
        <f t="array" aca="1" ref="T81" ca="1">_xlfn.XLOOKUP(Contrato[[#This Row],[CONTRATO]]&amp;Contrato[[#This Row],[CDP]],Corr_Contr_CDP[[#All],[CONTRATO-CDP]],Corr_Contr_CDP[[#All],[CRP]],_xlfn.XLOOKUP(Contrato[[#This Row],[CDP]],COMPROMISOS_2025[[#All],[disponibilidad]],COMPROMISOS_2025[[#All],[consecutivo]],"",0),0)</f>
        <v>#NAME?</v>
      </c>
      <c r="U81" s="117" t="e" cm="1">
        <f t="array" aca="1" ref="U81" ca="1">+_xlfn.XLOOKUP(Contrato[[#This Row],[RCP]],COMPROMISOS_2025[[#All],[consecutivo]],COMPROMISOS_2025[[#All],[fecha_aprobacion]],"",0)</f>
        <v>#NAME?</v>
      </c>
      <c r="V81" s="93">
        <f ca="1">SUMIF(COMPROMISOS_2025[[#All],[consecutivo]],Contrato[[#This Row],[RCP]],COMPROMISOS_2025[[#All],[valor_total]])</f>
        <v>0</v>
      </c>
      <c r="W81" s="169">
        <v>45708</v>
      </c>
      <c r="X81" s="243" t="s">
        <v>901</v>
      </c>
      <c r="Y81" s="96">
        <v>45709</v>
      </c>
      <c r="Z81" s="161">
        <v>46009</v>
      </c>
      <c r="AA81" s="198" t="s">
        <v>1130</v>
      </c>
      <c r="AB81" s="119" t="s">
        <v>1127</v>
      </c>
      <c r="AC81" s="298"/>
      <c r="AD81" s="279">
        <v>202000006181</v>
      </c>
      <c r="AE81" s="38" t="s">
        <v>904</v>
      </c>
      <c r="AF81" s="120" t="str">
        <f>TEXT(LEFT(Contrato[[#This Row],[CONTRATO]],3),"0")</f>
        <v>75</v>
      </c>
      <c r="AG81" s="120" t="str">
        <f>IF(LEN(Contrato[[#This Row],[Contrato2]])=3,Contrato[[#This Row],[Contrato2]],TEXT(Contrato[[#This Row],[Contrato2]],"000"))</f>
        <v>075</v>
      </c>
      <c r="AH81" s="90">
        <f ca="1">IFERROR(_xlfn.DAYS(Contrato[[#This Row],[Fecha Proyectada liquidación]],TODAY())/30,"")</f>
        <v>11.533333333333333</v>
      </c>
      <c r="AI81" s="121">
        <f>+Contrato[[#This Row],[FECHA TERMINACIÓN ]]+120</f>
        <v>46129</v>
      </c>
      <c r="AJ81" s="89"/>
      <c r="AK81" s="91" t="str">
        <f ca="1">IF(Contrato[[#This Row],[FECHA TERMINACIÓN ]]&lt;TODAY(), "Terminado",IF(ISNUMBER(Contrato[[#This Row],[Fecha Real de liquiidación ]]),"Liquidado",IF(Contrato[[#This Row],[FECHA TERMINACIÓN ]]&gt;=TODAY(),"En ejecución","")))</f>
        <v>En ejecución</v>
      </c>
      <c r="AL81" s="107">
        <f ca="1">SUMIF(COMPROMISOS_2025[[#All],[consecutivo]],Contrato[[#This Row],[RCP]],COMPROMISOS_2025[[#All],[Total pagado]])</f>
        <v>0</v>
      </c>
      <c r="AM81" s="122">
        <f ca="1">IFERROR(Contrato[[#This Row],[Pagos]]/Contrato[[#This Row],[VALOR CONTRATO]],0)</f>
        <v>0</v>
      </c>
      <c r="AN81" s="160">
        <f ca="1">+Contrato[[#This Row],[VALOR CONTRATO]]-Contrato[[#This Row],[Pagos]]</f>
        <v>40747479</v>
      </c>
      <c r="AO81" s="111" t="e" cm="1">
        <f t="array" aca="1" ref="AO81" ca="1">_xlfn.XLOOKUP(Contrato[[#This Row],[DOCUMENTO ]],PERSONAL_ACTIVO_2025[[#All],[DOCUMENTO]],PERSONAL_ACTIVO_2025[[#All],[email]],0,0)</f>
        <v>#NAME?</v>
      </c>
      <c r="AP81" s="111" t="e" cm="1">
        <f t="array" aca="1" ref="AP81" ca="1">_xlfn.XLOOKUP(Contrato[[#This Row],[DOCUMENTO]],PERSONAL_ACTIVO_2025[[#All],[DOCUMENTO]],PERSONAL_ACTIVO_2025[[#All],[email]],0,0)</f>
        <v>#NAME?</v>
      </c>
      <c r="AQ81" s="111" cm="1">
        <f t="array" aca="1" ref="AQ81" ca="1">IF(ISBLANK(Contrato[[#This Row],[DEPENDENCIA ]]),0,IFERROR(_xlfn.XLOOKUP(Contrato[[#This Row],[DEPENDENCIA ]],#REF!,#REF!,0,0),0))</f>
        <v>0</v>
      </c>
      <c r="AR81" s="553">
        <f ca="1">+_xlfn.DAYS(Contrato[[#This Row],[FECHA TERMINACIÓN ]],TODAY())</f>
        <v>226</v>
      </c>
    </row>
    <row r="82" spans="1:44" s="111" customFormat="1" ht="36" customHeight="1" x14ac:dyDescent="0.25">
      <c r="A82" s="38">
        <v>259</v>
      </c>
      <c r="B82" s="226">
        <v>76</v>
      </c>
      <c r="C82" s="88" t="s">
        <v>457</v>
      </c>
      <c r="D82" s="192" t="s">
        <v>911</v>
      </c>
      <c r="E82" s="193" t="s">
        <v>112</v>
      </c>
      <c r="F82" s="194" t="s">
        <v>113</v>
      </c>
      <c r="G82" s="195" t="s">
        <v>1132</v>
      </c>
      <c r="H82" s="167">
        <v>1020470234</v>
      </c>
      <c r="I82" s="292">
        <v>5164201</v>
      </c>
      <c r="J82" s="290">
        <v>50609170</v>
      </c>
      <c r="K82" s="158" t="s">
        <v>41</v>
      </c>
      <c r="L82" s="196" t="s">
        <v>1087</v>
      </c>
      <c r="M82" s="114" t="s">
        <v>1091</v>
      </c>
      <c r="N82" s="113" t="e" cm="1">
        <f t="array" aca="1" ref="N82" ca="1">_xlfn.XLOOKUP(Contrato[[#This Row],[SUPERVISOR TITULAR]],PERSONAL_ACTIVO_2025[[#All],[NOMBRES Y APELLIDOS]],PERSONAL_ACTIVO_2025[[#All],[DOCUMENTO]],"",0)</f>
        <v>#NAME?</v>
      </c>
      <c r="O82" s="114" t="s">
        <v>938</v>
      </c>
      <c r="P82" s="115" t="e" cm="1">
        <f t="array" aca="1" ref="P82" ca="1">_xlfn.XLOOKUP(Contrato[[#This Row],[SUPERVISOR SUPLENTE ]],PERSONAL_ACTIVO_2025[[#All],[NOMBRES Y APELLIDOS]],PERSONAL_ACTIVO_2025[[#All],[DOCUMENTO]],"",0)</f>
        <v>#NAME?</v>
      </c>
      <c r="Q82" s="116">
        <v>93</v>
      </c>
      <c r="R82" s="137" t="e" cm="1">
        <f t="array" aca="1" ref="R82" ca="1">_xlfn.XLOOKUP(Contrato[[#This Row],[CDP]],DISPONIBILIDADES_2025[[#All],[consecutivo]],DISPONIBILIDADES_2025[[#All],[fecha_aprobacion]],"",0)</f>
        <v>#NAME?</v>
      </c>
      <c r="S82" s="92">
        <f>SUMIF(DISPONIBILIDADES_2025[[#All],[consecutivo]],Contrato[[#This Row],[CDP]],DISPONIBILIDADES_2025[[#All],[valor_total_rubro]])</f>
        <v>50609170</v>
      </c>
      <c r="T82" s="118" t="e" cm="1">
        <f t="array" aca="1" ref="T82" ca="1">_xlfn.XLOOKUP(Contrato[[#This Row],[CONTRATO]]&amp;Contrato[[#This Row],[CDP]],Corr_Contr_CDP[[#All],[CONTRATO-CDP]],Corr_Contr_CDP[[#All],[CRP]],_xlfn.XLOOKUP(Contrato[[#This Row],[CDP]],COMPROMISOS_2025[[#All],[disponibilidad]],COMPROMISOS_2025[[#All],[consecutivo]],"",0),0)</f>
        <v>#NAME?</v>
      </c>
      <c r="U82" s="117" t="e" cm="1">
        <f t="array" aca="1" ref="U82" ca="1">+_xlfn.XLOOKUP(Contrato[[#This Row],[RCP]],COMPROMISOS_2025[[#All],[consecutivo]],COMPROMISOS_2025[[#All],[fecha_aprobacion]],"",0)</f>
        <v>#NAME?</v>
      </c>
      <c r="V82" s="93">
        <f ca="1">SUMIF(COMPROMISOS_2025[[#All],[consecutivo]],Contrato[[#This Row],[RCP]],COMPROMISOS_2025[[#All],[valor_total]])</f>
        <v>0</v>
      </c>
      <c r="W82" s="169">
        <v>45707</v>
      </c>
      <c r="X82" s="243" t="s">
        <v>901</v>
      </c>
      <c r="Y82" s="96">
        <v>45709</v>
      </c>
      <c r="Z82" s="161">
        <v>46005</v>
      </c>
      <c r="AA82" s="392" t="s">
        <v>1126</v>
      </c>
      <c r="AB82" s="119" t="s">
        <v>1127</v>
      </c>
      <c r="AC82" s="298"/>
      <c r="AD82" s="279">
        <v>202000006182</v>
      </c>
      <c r="AE82" s="38" t="s">
        <v>904</v>
      </c>
      <c r="AF82" s="120" t="str">
        <f>TEXT(LEFT(Contrato[[#This Row],[CONTRATO]],3),"0")</f>
        <v>76</v>
      </c>
      <c r="AG82" s="120" t="str">
        <f>IF(LEN(Contrato[[#This Row],[Contrato2]])=3,Contrato[[#This Row],[Contrato2]],TEXT(Contrato[[#This Row],[Contrato2]],"000"))</f>
        <v>076</v>
      </c>
      <c r="AH82" s="90">
        <f ca="1">IFERROR(_xlfn.DAYS(Contrato[[#This Row],[Fecha Proyectada liquidación]],TODAY())/30,"")</f>
        <v>11.4</v>
      </c>
      <c r="AI82" s="121">
        <f>+Contrato[[#This Row],[FECHA TERMINACIÓN ]]+120</f>
        <v>46125</v>
      </c>
      <c r="AJ82" s="89"/>
      <c r="AK82" s="91" t="str">
        <f ca="1">IF(Contrato[[#This Row],[FECHA TERMINACIÓN ]]&lt;TODAY(), "Terminado",IF(ISNUMBER(Contrato[[#This Row],[Fecha Real de liquiidación ]]),"Liquidado",IF(Contrato[[#This Row],[FECHA TERMINACIÓN ]]&gt;=TODAY(),"En ejecución","")))</f>
        <v>En ejecución</v>
      </c>
      <c r="AL82" s="107">
        <f ca="1">SUMIF(COMPROMISOS_2025[[#All],[consecutivo]],Contrato[[#This Row],[RCP]],COMPROMISOS_2025[[#All],[Total pagado]])</f>
        <v>0</v>
      </c>
      <c r="AM82" s="122">
        <f ca="1">IFERROR(Contrato[[#This Row],[Pagos]]/Contrato[[#This Row],[VALOR CONTRATO]],0)</f>
        <v>0</v>
      </c>
      <c r="AN82" s="160">
        <f ca="1">+Contrato[[#This Row],[VALOR CONTRATO]]-Contrato[[#This Row],[Pagos]]</f>
        <v>50609170</v>
      </c>
      <c r="AO82" s="111" t="e" cm="1">
        <f t="array" aca="1" ref="AO82" ca="1">_xlfn.XLOOKUP(Contrato[[#This Row],[DOCUMENTO ]],PERSONAL_ACTIVO_2025[[#All],[DOCUMENTO]],PERSONAL_ACTIVO_2025[[#All],[email]],0,0)</f>
        <v>#NAME?</v>
      </c>
      <c r="AP82" s="111" t="e" cm="1">
        <f t="array" aca="1" ref="AP82" ca="1">_xlfn.XLOOKUP(Contrato[[#This Row],[DOCUMENTO]],PERSONAL_ACTIVO_2025[[#All],[DOCUMENTO]],PERSONAL_ACTIVO_2025[[#All],[email]],0,0)</f>
        <v>#NAME?</v>
      </c>
      <c r="AQ82" s="111" cm="1">
        <f t="array" aca="1" ref="AQ82" ca="1">IF(ISBLANK(Contrato[[#This Row],[DEPENDENCIA ]]),0,IFERROR(_xlfn.XLOOKUP(Contrato[[#This Row],[DEPENDENCIA ]],#REF!,#REF!,0,0),0))</f>
        <v>0</v>
      </c>
      <c r="AR82" s="553">
        <f ca="1">+_xlfn.DAYS(Contrato[[#This Row],[FECHA TERMINACIÓN ]],TODAY())</f>
        <v>222</v>
      </c>
    </row>
    <row r="83" spans="1:44" s="111" customFormat="1" ht="36" customHeight="1" x14ac:dyDescent="0.25">
      <c r="A83" s="38">
        <v>262</v>
      </c>
      <c r="B83" s="226">
        <v>77</v>
      </c>
      <c r="C83" s="88" t="s">
        <v>460</v>
      </c>
      <c r="D83" s="192" t="s">
        <v>911</v>
      </c>
      <c r="E83" s="193" t="s">
        <v>112</v>
      </c>
      <c r="F83" s="194" t="s">
        <v>113</v>
      </c>
      <c r="G83" s="195" t="s">
        <v>1133</v>
      </c>
      <c r="H83" s="167">
        <v>15511044</v>
      </c>
      <c r="I83" s="292">
        <v>7280018</v>
      </c>
      <c r="J83" s="290">
        <v>71344176</v>
      </c>
      <c r="K83" s="158" t="s">
        <v>41</v>
      </c>
      <c r="L83" s="196" t="s">
        <v>1087</v>
      </c>
      <c r="M83" s="114" t="s">
        <v>1091</v>
      </c>
      <c r="N83" s="113" t="e" cm="1">
        <f t="array" aca="1" ref="N83" ca="1">_xlfn.XLOOKUP(Contrato[[#This Row],[SUPERVISOR TITULAR]],PERSONAL_ACTIVO_2025[[#All],[NOMBRES Y APELLIDOS]],PERSONAL_ACTIVO_2025[[#All],[DOCUMENTO]],"",0)</f>
        <v>#NAME?</v>
      </c>
      <c r="O83" s="114" t="s">
        <v>938</v>
      </c>
      <c r="P83" s="115" t="e" cm="1">
        <f t="array" aca="1" ref="P83" ca="1">_xlfn.XLOOKUP(Contrato[[#This Row],[SUPERVISOR SUPLENTE ]],PERSONAL_ACTIVO_2025[[#All],[NOMBRES Y APELLIDOS]],PERSONAL_ACTIVO_2025[[#All],[DOCUMENTO]],"",0)</f>
        <v>#NAME?</v>
      </c>
      <c r="Q83" s="116">
        <v>96</v>
      </c>
      <c r="R83" s="137" t="e" cm="1">
        <f t="array" aca="1" ref="R83" ca="1">_xlfn.XLOOKUP(Contrato[[#This Row],[CDP]],DISPONIBILIDADES_2025[[#All],[consecutivo]],DISPONIBILIDADES_2025[[#All],[fecha_aprobacion]],"",0)</f>
        <v>#NAME?</v>
      </c>
      <c r="S83" s="92">
        <f>SUMIF(DISPONIBILIDADES_2025[[#All],[consecutivo]],Contrato[[#This Row],[CDP]],DISPONIBILIDADES_2025[[#All],[valor_total_rubro]])</f>
        <v>71344176</v>
      </c>
      <c r="T83" s="118" t="e" cm="1">
        <f t="array" aca="1" ref="T83" ca="1">_xlfn.XLOOKUP(Contrato[[#This Row],[CONTRATO]]&amp;Contrato[[#This Row],[CDP]],Corr_Contr_CDP[[#All],[CONTRATO-CDP]],Corr_Contr_CDP[[#All],[CRP]],_xlfn.XLOOKUP(Contrato[[#This Row],[CDP]],COMPROMISOS_2025[[#All],[disponibilidad]],COMPROMISOS_2025[[#All],[consecutivo]],"",0),0)</f>
        <v>#NAME?</v>
      </c>
      <c r="U83" s="117" t="e" cm="1">
        <f t="array" aca="1" ref="U83" ca="1">+_xlfn.XLOOKUP(Contrato[[#This Row],[RCP]],COMPROMISOS_2025[[#All],[consecutivo]],COMPROMISOS_2025[[#All],[fecha_aprobacion]],"",0)</f>
        <v>#NAME?</v>
      </c>
      <c r="V83" s="93">
        <f ca="1">SUMIF(COMPROMISOS_2025[[#All],[consecutivo]],Contrato[[#This Row],[RCP]],COMPROMISOS_2025[[#All],[valor_total]])</f>
        <v>0</v>
      </c>
      <c r="W83" s="169">
        <v>45707</v>
      </c>
      <c r="X83" s="243" t="s">
        <v>901</v>
      </c>
      <c r="Y83" s="96">
        <v>45709</v>
      </c>
      <c r="Z83" s="161">
        <v>46005</v>
      </c>
      <c r="AA83" s="392" t="s">
        <v>1134</v>
      </c>
      <c r="AB83" s="119" t="s">
        <v>1127</v>
      </c>
      <c r="AC83" s="298"/>
      <c r="AD83" s="279">
        <v>202000006183</v>
      </c>
      <c r="AE83" s="38" t="s">
        <v>904</v>
      </c>
      <c r="AF83" s="120" t="str">
        <f>TEXT(LEFT(Contrato[[#This Row],[CONTRATO]],3),"0")</f>
        <v>77</v>
      </c>
      <c r="AG83" s="120" t="str">
        <f>IF(LEN(Contrato[[#This Row],[Contrato2]])=3,Contrato[[#This Row],[Contrato2]],TEXT(Contrato[[#This Row],[Contrato2]],"000"))</f>
        <v>077</v>
      </c>
      <c r="AH83" s="90">
        <f ca="1">IFERROR(_xlfn.DAYS(Contrato[[#This Row],[Fecha Proyectada liquidación]],TODAY())/30,"")</f>
        <v>11.4</v>
      </c>
      <c r="AI83" s="121">
        <f>+Contrato[[#This Row],[FECHA TERMINACIÓN ]]+120</f>
        <v>46125</v>
      </c>
      <c r="AJ83" s="89"/>
      <c r="AK83" s="91" t="str">
        <f ca="1">IF(Contrato[[#This Row],[FECHA TERMINACIÓN ]]&lt;TODAY(), "Terminado",IF(ISNUMBER(Contrato[[#This Row],[Fecha Real de liquiidación ]]),"Liquidado",IF(Contrato[[#This Row],[FECHA TERMINACIÓN ]]&gt;=TODAY(),"En ejecución","")))</f>
        <v>En ejecución</v>
      </c>
      <c r="AL83" s="107">
        <f ca="1">SUMIF(COMPROMISOS_2025[[#All],[consecutivo]],Contrato[[#This Row],[RCP]],COMPROMISOS_2025[[#All],[Total pagado]])</f>
        <v>0</v>
      </c>
      <c r="AM83" s="122">
        <f ca="1">IFERROR(Contrato[[#This Row],[Pagos]]/Contrato[[#This Row],[VALOR CONTRATO]],0)</f>
        <v>0</v>
      </c>
      <c r="AN83" s="160">
        <f ca="1">+Contrato[[#This Row],[VALOR CONTRATO]]-Contrato[[#This Row],[Pagos]]</f>
        <v>71344176</v>
      </c>
      <c r="AO83" s="111" t="e" cm="1">
        <f t="array" aca="1" ref="AO83" ca="1">_xlfn.XLOOKUP(Contrato[[#This Row],[DOCUMENTO ]],PERSONAL_ACTIVO_2025[[#All],[DOCUMENTO]],PERSONAL_ACTIVO_2025[[#All],[email]],0,0)</f>
        <v>#NAME?</v>
      </c>
      <c r="AP83" s="111" t="e" cm="1">
        <f t="array" aca="1" ref="AP83" ca="1">_xlfn.XLOOKUP(Contrato[[#This Row],[DOCUMENTO]],PERSONAL_ACTIVO_2025[[#All],[DOCUMENTO]],PERSONAL_ACTIVO_2025[[#All],[email]],0,0)</f>
        <v>#NAME?</v>
      </c>
      <c r="AQ83" s="111" cm="1">
        <f t="array" aca="1" ref="AQ83" ca="1">IF(ISBLANK(Contrato[[#This Row],[DEPENDENCIA ]]),0,IFERROR(_xlfn.XLOOKUP(Contrato[[#This Row],[DEPENDENCIA ]],#REF!,#REF!,0,0),0))</f>
        <v>0</v>
      </c>
      <c r="AR83" s="553">
        <f ca="1">+_xlfn.DAYS(Contrato[[#This Row],[FECHA TERMINACIÓN ]],TODAY())</f>
        <v>222</v>
      </c>
    </row>
    <row r="84" spans="1:44" s="111" customFormat="1" ht="36" customHeight="1" x14ac:dyDescent="0.25">
      <c r="A84" s="38">
        <v>263</v>
      </c>
      <c r="B84" s="226">
        <v>78</v>
      </c>
      <c r="C84" s="88" t="s">
        <v>461</v>
      </c>
      <c r="D84" s="192" t="s">
        <v>911</v>
      </c>
      <c r="E84" s="193" t="s">
        <v>112</v>
      </c>
      <c r="F84" s="194" t="s">
        <v>113</v>
      </c>
      <c r="G84" s="195" t="s">
        <v>1135</v>
      </c>
      <c r="H84" s="167">
        <v>94537978</v>
      </c>
      <c r="I84" s="292">
        <v>6239569</v>
      </c>
      <c r="J84" s="290">
        <v>61147776</v>
      </c>
      <c r="K84" s="158" t="s">
        <v>41</v>
      </c>
      <c r="L84" s="196" t="s">
        <v>1087</v>
      </c>
      <c r="M84" s="114" t="s">
        <v>1091</v>
      </c>
      <c r="N84" s="113" t="e" cm="1">
        <f t="array" aca="1" ref="N84" ca="1">_xlfn.XLOOKUP(Contrato[[#This Row],[SUPERVISOR TITULAR]],PERSONAL_ACTIVO_2025[[#All],[NOMBRES Y APELLIDOS]],PERSONAL_ACTIVO_2025[[#All],[DOCUMENTO]],"",0)</f>
        <v>#NAME?</v>
      </c>
      <c r="O84" s="114" t="s">
        <v>938</v>
      </c>
      <c r="P84" s="115" t="e" cm="1">
        <f t="array" aca="1" ref="P84" ca="1">_xlfn.XLOOKUP(Contrato[[#This Row],[SUPERVISOR SUPLENTE ]],PERSONAL_ACTIVO_2025[[#All],[NOMBRES Y APELLIDOS]],PERSONAL_ACTIVO_2025[[#All],[DOCUMENTO]],"",0)</f>
        <v>#NAME?</v>
      </c>
      <c r="Q84" s="116">
        <v>97</v>
      </c>
      <c r="R84" s="137" t="e" cm="1">
        <f t="array" aca="1" ref="R84" ca="1">_xlfn.XLOOKUP(Contrato[[#This Row],[CDP]],DISPONIBILIDADES_2025[[#All],[consecutivo]],DISPONIBILIDADES_2025[[#All],[fecha_aprobacion]],"",0)</f>
        <v>#NAME?</v>
      </c>
      <c r="S84" s="92">
        <f>SUMIF(DISPONIBILIDADES_2025[[#All],[consecutivo]],Contrato[[#This Row],[CDP]],DISPONIBILIDADES_2025[[#All],[valor_total_rubro]])</f>
        <v>61147776</v>
      </c>
      <c r="T84" s="118" t="e" cm="1">
        <f t="array" aca="1" ref="T84" ca="1">_xlfn.XLOOKUP(Contrato[[#This Row],[CONTRATO]]&amp;Contrato[[#This Row],[CDP]],Corr_Contr_CDP[[#All],[CONTRATO-CDP]],Corr_Contr_CDP[[#All],[CRP]],_xlfn.XLOOKUP(Contrato[[#This Row],[CDP]],COMPROMISOS_2025[[#All],[disponibilidad]],COMPROMISOS_2025[[#All],[consecutivo]],"",0),0)</f>
        <v>#NAME?</v>
      </c>
      <c r="U84" s="117" t="e" cm="1">
        <f t="array" aca="1" ref="U84" ca="1">+_xlfn.XLOOKUP(Contrato[[#This Row],[RCP]],COMPROMISOS_2025[[#All],[consecutivo]],COMPROMISOS_2025[[#All],[fecha_aprobacion]],"",0)</f>
        <v>#NAME?</v>
      </c>
      <c r="V84" s="93">
        <f ca="1">SUMIF(COMPROMISOS_2025[[#All],[consecutivo]],Contrato[[#This Row],[RCP]],COMPROMISOS_2025[[#All],[valor_total]])</f>
        <v>0</v>
      </c>
      <c r="W84" s="169">
        <v>45707</v>
      </c>
      <c r="X84" s="243" t="s">
        <v>901</v>
      </c>
      <c r="Y84" s="96">
        <v>45709</v>
      </c>
      <c r="Z84" s="161">
        <v>46009</v>
      </c>
      <c r="AA84" s="198" t="s">
        <v>1130</v>
      </c>
      <c r="AB84" s="119" t="s">
        <v>1127</v>
      </c>
      <c r="AC84" s="298"/>
      <c r="AD84" s="279">
        <v>202000006184</v>
      </c>
      <c r="AE84" s="38" t="s">
        <v>904</v>
      </c>
      <c r="AF84" s="120" t="str">
        <f>TEXT(LEFT(Contrato[[#This Row],[CONTRATO]],3),"0")</f>
        <v>78</v>
      </c>
      <c r="AG84" s="120" t="str">
        <f>IF(LEN(Contrato[[#This Row],[Contrato2]])=3,Contrato[[#This Row],[Contrato2]],TEXT(Contrato[[#This Row],[Contrato2]],"000"))</f>
        <v>078</v>
      </c>
      <c r="AH84" s="90">
        <f ca="1">IFERROR(_xlfn.DAYS(Contrato[[#This Row],[Fecha Proyectada liquidación]],TODAY())/30,"")</f>
        <v>11.533333333333333</v>
      </c>
      <c r="AI84" s="121">
        <f>+Contrato[[#This Row],[FECHA TERMINACIÓN ]]+120</f>
        <v>46129</v>
      </c>
      <c r="AJ84" s="89"/>
      <c r="AK84" s="91" t="str">
        <f ca="1">IF(Contrato[[#This Row],[FECHA TERMINACIÓN ]]&lt;TODAY(), "Terminado",IF(ISNUMBER(Contrato[[#This Row],[Fecha Real de liquiidación ]]),"Liquidado",IF(Contrato[[#This Row],[FECHA TERMINACIÓN ]]&gt;=TODAY(),"En ejecución","")))</f>
        <v>En ejecución</v>
      </c>
      <c r="AL84" s="107">
        <f ca="1">SUMIF(COMPROMISOS_2025[[#All],[consecutivo]],Contrato[[#This Row],[RCP]],COMPROMISOS_2025[[#All],[Total pagado]])</f>
        <v>0</v>
      </c>
      <c r="AM84" s="122">
        <f ca="1">IFERROR(Contrato[[#This Row],[Pagos]]/Contrato[[#This Row],[VALOR CONTRATO]],0)</f>
        <v>0</v>
      </c>
      <c r="AN84" s="160">
        <f ca="1">+Contrato[[#This Row],[VALOR CONTRATO]]-Contrato[[#This Row],[Pagos]]</f>
        <v>61147776</v>
      </c>
      <c r="AO84" s="111" t="e" cm="1">
        <f t="array" aca="1" ref="AO84" ca="1">_xlfn.XLOOKUP(Contrato[[#This Row],[DOCUMENTO ]],PERSONAL_ACTIVO_2025[[#All],[DOCUMENTO]],PERSONAL_ACTIVO_2025[[#All],[email]],0,0)</f>
        <v>#NAME?</v>
      </c>
      <c r="AP84" s="111" t="e" cm="1">
        <f t="array" aca="1" ref="AP84" ca="1">_xlfn.XLOOKUP(Contrato[[#This Row],[DOCUMENTO]],PERSONAL_ACTIVO_2025[[#All],[DOCUMENTO]],PERSONAL_ACTIVO_2025[[#All],[email]],0,0)</f>
        <v>#NAME?</v>
      </c>
      <c r="AQ84" s="111" cm="1">
        <f t="array" aca="1" ref="AQ84" ca="1">IF(ISBLANK(Contrato[[#This Row],[DEPENDENCIA ]]),0,IFERROR(_xlfn.XLOOKUP(Contrato[[#This Row],[DEPENDENCIA ]],#REF!,#REF!,0,0),0))</f>
        <v>0</v>
      </c>
      <c r="AR84" s="553">
        <f ca="1">+_xlfn.DAYS(Contrato[[#This Row],[FECHA TERMINACIÓN ]],TODAY())</f>
        <v>226</v>
      </c>
    </row>
    <row r="85" spans="1:44" s="111" customFormat="1" ht="36" customHeight="1" x14ac:dyDescent="0.25">
      <c r="A85" s="38">
        <v>264</v>
      </c>
      <c r="B85" s="226">
        <v>79</v>
      </c>
      <c r="C85" s="88" t="s">
        <v>462</v>
      </c>
      <c r="D85" s="192" t="s">
        <v>911</v>
      </c>
      <c r="E85" s="193" t="s">
        <v>112</v>
      </c>
      <c r="F85" s="194" t="s">
        <v>113</v>
      </c>
      <c r="G85" s="195" t="s">
        <v>1136</v>
      </c>
      <c r="H85" s="167">
        <v>43809808</v>
      </c>
      <c r="I85" s="292">
        <v>6239569</v>
      </c>
      <c r="J85" s="290">
        <v>61147776</v>
      </c>
      <c r="K85" s="158" t="s">
        <v>41</v>
      </c>
      <c r="L85" s="196" t="s">
        <v>1087</v>
      </c>
      <c r="M85" s="114" t="s">
        <v>1091</v>
      </c>
      <c r="N85" s="113" t="e" cm="1">
        <f t="array" aca="1" ref="N85" ca="1">_xlfn.XLOOKUP(Contrato[[#This Row],[SUPERVISOR TITULAR]],PERSONAL_ACTIVO_2025[[#All],[NOMBRES Y APELLIDOS]],PERSONAL_ACTIVO_2025[[#All],[DOCUMENTO]],"",0)</f>
        <v>#NAME?</v>
      </c>
      <c r="O85" s="114" t="s">
        <v>938</v>
      </c>
      <c r="P85" s="115" t="e" cm="1">
        <f t="array" aca="1" ref="P85" ca="1">_xlfn.XLOOKUP(Contrato[[#This Row],[SUPERVISOR SUPLENTE ]],PERSONAL_ACTIVO_2025[[#All],[NOMBRES Y APELLIDOS]],PERSONAL_ACTIVO_2025[[#All],[DOCUMENTO]],"",0)</f>
        <v>#NAME?</v>
      </c>
      <c r="Q85" s="116">
        <v>98</v>
      </c>
      <c r="R85" s="137" t="e" cm="1">
        <f t="array" aca="1" ref="R85" ca="1">_xlfn.XLOOKUP(Contrato[[#This Row],[CDP]],DISPONIBILIDADES_2025[[#All],[consecutivo]],DISPONIBILIDADES_2025[[#All],[fecha_aprobacion]],"",0)</f>
        <v>#NAME?</v>
      </c>
      <c r="S85" s="92">
        <f>SUMIF(DISPONIBILIDADES_2025[[#All],[consecutivo]],Contrato[[#This Row],[CDP]],DISPONIBILIDADES_2025[[#All],[valor_total_rubro]])</f>
        <v>61147776</v>
      </c>
      <c r="T85" s="118" t="e" cm="1">
        <f t="array" aca="1" ref="T85" ca="1">_xlfn.XLOOKUP(Contrato[[#This Row],[CONTRATO]]&amp;Contrato[[#This Row],[CDP]],Corr_Contr_CDP[[#All],[CONTRATO-CDP]],Corr_Contr_CDP[[#All],[CRP]],_xlfn.XLOOKUP(Contrato[[#This Row],[CDP]],COMPROMISOS_2025[[#All],[disponibilidad]],COMPROMISOS_2025[[#All],[consecutivo]],"",0),0)</f>
        <v>#NAME?</v>
      </c>
      <c r="U85" s="117" t="e" cm="1">
        <f t="array" aca="1" ref="U85" ca="1">+_xlfn.XLOOKUP(Contrato[[#This Row],[RCP]],COMPROMISOS_2025[[#All],[consecutivo]],COMPROMISOS_2025[[#All],[fecha_aprobacion]],"",0)</f>
        <v>#NAME?</v>
      </c>
      <c r="V85" s="93">
        <f ca="1">SUMIF(COMPROMISOS_2025[[#All],[consecutivo]],Contrato[[#This Row],[RCP]],COMPROMISOS_2025[[#All],[valor_total]])</f>
        <v>0</v>
      </c>
      <c r="W85" s="169">
        <v>45707</v>
      </c>
      <c r="X85" s="243" t="s">
        <v>901</v>
      </c>
      <c r="Y85" s="96">
        <v>45709</v>
      </c>
      <c r="Z85" s="161">
        <v>46005</v>
      </c>
      <c r="AA85" s="392" t="s">
        <v>1134</v>
      </c>
      <c r="AB85" s="119" t="s">
        <v>1127</v>
      </c>
      <c r="AC85" s="298"/>
      <c r="AD85" s="279">
        <v>202000006185</v>
      </c>
      <c r="AE85" s="38" t="s">
        <v>904</v>
      </c>
      <c r="AF85" s="120" t="str">
        <f>TEXT(LEFT(Contrato[[#This Row],[CONTRATO]],3),"0")</f>
        <v>79</v>
      </c>
      <c r="AG85" s="120" t="str">
        <f>IF(LEN(Contrato[[#This Row],[Contrato2]])=3,Contrato[[#This Row],[Contrato2]],TEXT(Contrato[[#This Row],[Contrato2]],"000"))</f>
        <v>079</v>
      </c>
      <c r="AH85" s="90">
        <f ca="1">IFERROR(_xlfn.DAYS(Contrato[[#This Row],[Fecha Proyectada liquidación]],TODAY())/30,"")</f>
        <v>11.4</v>
      </c>
      <c r="AI85" s="121">
        <f>+Contrato[[#This Row],[FECHA TERMINACIÓN ]]+120</f>
        <v>46125</v>
      </c>
      <c r="AJ85" s="89"/>
      <c r="AK85" s="91" t="str">
        <f ca="1">IF(Contrato[[#This Row],[FECHA TERMINACIÓN ]]&lt;TODAY(), "Terminado",IF(ISNUMBER(Contrato[[#This Row],[Fecha Real de liquiidación ]]),"Liquidado",IF(Contrato[[#This Row],[FECHA TERMINACIÓN ]]&gt;=TODAY(),"En ejecución","")))</f>
        <v>En ejecución</v>
      </c>
      <c r="AL85" s="107">
        <f ca="1">SUMIF(COMPROMISOS_2025[[#All],[consecutivo]],Contrato[[#This Row],[RCP]],COMPROMISOS_2025[[#All],[Total pagado]])</f>
        <v>0</v>
      </c>
      <c r="AM85" s="122">
        <f ca="1">IFERROR(Contrato[[#This Row],[Pagos]]/Contrato[[#This Row],[VALOR CONTRATO]],0)</f>
        <v>0</v>
      </c>
      <c r="AN85" s="160">
        <f ca="1">+Contrato[[#This Row],[VALOR CONTRATO]]-Contrato[[#This Row],[Pagos]]</f>
        <v>61147776</v>
      </c>
      <c r="AO85" s="111" t="e" cm="1">
        <f t="array" aca="1" ref="AO85" ca="1">_xlfn.XLOOKUP(Contrato[[#This Row],[DOCUMENTO ]],PERSONAL_ACTIVO_2025[[#All],[DOCUMENTO]],PERSONAL_ACTIVO_2025[[#All],[email]],0,0)</f>
        <v>#NAME?</v>
      </c>
      <c r="AP85" s="111" t="e" cm="1">
        <f t="array" aca="1" ref="AP85" ca="1">_xlfn.XLOOKUP(Contrato[[#This Row],[DOCUMENTO]],PERSONAL_ACTIVO_2025[[#All],[DOCUMENTO]],PERSONAL_ACTIVO_2025[[#All],[email]],0,0)</f>
        <v>#NAME?</v>
      </c>
      <c r="AQ85" s="111" cm="1">
        <f t="array" aca="1" ref="AQ85" ca="1">IF(ISBLANK(Contrato[[#This Row],[DEPENDENCIA ]]),0,IFERROR(_xlfn.XLOOKUP(Contrato[[#This Row],[DEPENDENCIA ]],#REF!,#REF!,0,0),0))</f>
        <v>0</v>
      </c>
      <c r="AR85" s="553">
        <f ca="1">+_xlfn.DAYS(Contrato[[#This Row],[FECHA TERMINACIÓN ]],TODAY())</f>
        <v>222</v>
      </c>
    </row>
    <row r="86" spans="1:44" s="111" customFormat="1" ht="36" customHeight="1" x14ac:dyDescent="0.25">
      <c r="A86" s="38">
        <v>265</v>
      </c>
      <c r="B86" s="226">
        <v>80</v>
      </c>
      <c r="C86" s="88" t="s">
        <v>463</v>
      </c>
      <c r="D86" s="192" t="s">
        <v>911</v>
      </c>
      <c r="E86" s="193" t="s">
        <v>112</v>
      </c>
      <c r="F86" s="194" t="s">
        <v>113</v>
      </c>
      <c r="G86" s="195" t="s">
        <v>1137</v>
      </c>
      <c r="H86" s="167">
        <v>1017224696</v>
      </c>
      <c r="I86" s="292">
        <v>4157906</v>
      </c>
      <c r="J86" s="290">
        <v>40747479</v>
      </c>
      <c r="K86" s="158" t="s">
        <v>41</v>
      </c>
      <c r="L86" s="196" t="s">
        <v>1087</v>
      </c>
      <c r="M86" s="114" t="s">
        <v>1091</v>
      </c>
      <c r="N86" s="113" t="e" cm="1">
        <f t="array" aca="1" ref="N86" ca="1">_xlfn.XLOOKUP(Contrato[[#This Row],[SUPERVISOR TITULAR]],PERSONAL_ACTIVO_2025[[#All],[NOMBRES Y APELLIDOS]],PERSONAL_ACTIVO_2025[[#All],[DOCUMENTO]],"",0)</f>
        <v>#NAME?</v>
      </c>
      <c r="O86" s="114" t="s">
        <v>938</v>
      </c>
      <c r="P86" s="115" t="e" cm="1">
        <f t="array" aca="1" ref="P86" ca="1">_xlfn.XLOOKUP(Contrato[[#This Row],[SUPERVISOR SUPLENTE ]],PERSONAL_ACTIVO_2025[[#All],[NOMBRES Y APELLIDOS]],PERSONAL_ACTIVO_2025[[#All],[DOCUMENTO]],"",0)</f>
        <v>#NAME?</v>
      </c>
      <c r="Q86" s="116">
        <v>99</v>
      </c>
      <c r="R86" s="137" t="e" cm="1">
        <f t="array" aca="1" ref="R86" ca="1">_xlfn.XLOOKUP(Contrato[[#This Row],[CDP]],DISPONIBILIDADES_2025[[#All],[consecutivo]],DISPONIBILIDADES_2025[[#All],[fecha_aprobacion]],"",0)</f>
        <v>#NAME?</v>
      </c>
      <c r="S86" s="92">
        <f>SUMIF(DISPONIBILIDADES_2025[[#All],[consecutivo]],Contrato[[#This Row],[CDP]],DISPONIBILIDADES_2025[[#All],[valor_total_rubro]])</f>
        <v>40747479</v>
      </c>
      <c r="T86" s="118" t="e" cm="1">
        <f t="array" aca="1" ref="T86" ca="1">_xlfn.XLOOKUP(Contrato[[#This Row],[CONTRATO]]&amp;Contrato[[#This Row],[CDP]],Corr_Contr_CDP[[#All],[CONTRATO-CDP]],Corr_Contr_CDP[[#All],[CRP]],_xlfn.XLOOKUP(Contrato[[#This Row],[CDP]],COMPROMISOS_2025[[#All],[disponibilidad]],COMPROMISOS_2025[[#All],[consecutivo]],"",0),0)</f>
        <v>#NAME?</v>
      </c>
      <c r="U86" s="117" t="e" cm="1">
        <f t="array" aca="1" ref="U86" ca="1">+_xlfn.XLOOKUP(Contrato[[#This Row],[RCP]],COMPROMISOS_2025[[#All],[consecutivo]],COMPROMISOS_2025[[#All],[fecha_aprobacion]],"",0)</f>
        <v>#NAME?</v>
      </c>
      <c r="V86" s="93">
        <f ca="1">SUMIF(COMPROMISOS_2025[[#All],[consecutivo]],Contrato[[#This Row],[RCP]],COMPROMISOS_2025[[#All],[valor_total]])</f>
        <v>0</v>
      </c>
      <c r="W86" s="169">
        <v>45708</v>
      </c>
      <c r="X86" s="243" t="s">
        <v>901</v>
      </c>
      <c r="Y86" s="96">
        <v>45709</v>
      </c>
      <c r="Z86" s="161">
        <v>46009</v>
      </c>
      <c r="AA86" s="198" t="s">
        <v>1130</v>
      </c>
      <c r="AB86" s="119" t="s">
        <v>1127</v>
      </c>
      <c r="AC86" s="298"/>
      <c r="AD86" s="279">
        <v>202000006186</v>
      </c>
      <c r="AE86" s="38" t="s">
        <v>904</v>
      </c>
      <c r="AF86" s="120" t="str">
        <f>TEXT(LEFT(Contrato[[#This Row],[CONTRATO]],3),"0")</f>
        <v>80</v>
      </c>
      <c r="AG86" s="120" t="str">
        <f>IF(LEN(Contrato[[#This Row],[Contrato2]])=3,Contrato[[#This Row],[Contrato2]],TEXT(Contrato[[#This Row],[Contrato2]],"000"))</f>
        <v>080</v>
      </c>
      <c r="AH86" s="90">
        <f ca="1">IFERROR(_xlfn.DAYS(Contrato[[#This Row],[Fecha Proyectada liquidación]],TODAY())/30,"")</f>
        <v>11.533333333333333</v>
      </c>
      <c r="AI86" s="121">
        <f>+Contrato[[#This Row],[FECHA TERMINACIÓN ]]+120</f>
        <v>46129</v>
      </c>
      <c r="AJ86" s="89"/>
      <c r="AK86" s="91" t="str">
        <f ca="1">IF(Contrato[[#This Row],[FECHA TERMINACIÓN ]]&lt;TODAY(), "Terminado",IF(ISNUMBER(Contrato[[#This Row],[Fecha Real de liquiidación ]]),"Liquidado",IF(Contrato[[#This Row],[FECHA TERMINACIÓN ]]&gt;=TODAY(),"En ejecución","")))</f>
        <v>En ejecución</v>
      </c>
      <c r="AL86" s="107">
        <f ca="1">SUMIF(COMPROMISOS_2025[[#All],[consecutivo]],Contrato[[#This Row],[RCP]],COMPROMISOS_2025[[#All],[Total pagado]])</f>
        <v>0</v>
      </c>
      <c r="AM86" s="122">
        <f ca="1">IFERROR(Contrato[[#This Row],[Pagos]]/Contrato[[#This Row],[VALOR CONTRATO]],0)</f>
        <v>0</v>
      </c>
      <c r="AN86" s="160">
        <f ca="1">+Contrato[[#This Row],[VALOR CONTRATO]]-Contrato[[#This Row],[Pagos]]</f>
        <v>40747479</v>
      </c>
      <c r="AO86" s="111" t="e" cm="1">
        <f t="array" aca="1" ref="AO86" ca="1">_xlfn.XLOOKUP(Contrato[[#This Row],[DOCUMENTO ]],PERSONAL_ACTIVO_2025[[#All],[DOCUMENTO]],PERSONAL_ACTIVO_2025[[#All],[email]],0,0)</f>
        <v>#NAME?</v>
      </c>
      <c r="AP86" s="111" t="e" cm="1">
        <f t="array" aca="1" ref="AP86" ca="1">_xlfn.XLOOKUP(Contrato[[#This Row],[DOCUMENTO]],PERSONAL_ACTIVO_2025[[#All],[DOCUMENTO]],PERSONAL_ACTIVO_2025[[#All],[email]],0,0)</f>
        <v>#NAME?</v>
      </c>
      <c r="AQ86" s="111" cm="1">
        <f t="array" aca="1" ref="AQ86" ca="1">IF(ISBLANK(Contrato[[#This Row],[DEPENDENCIA ]]),0,IFERROR(_xlfn.XLOOKUP(Contrato[[#This Row],[DEPENDENCIA ]],#REF!,#REF!,0,0),0))</f>
        <v>0</v>
      </c>
      <c r="AR86" s="553">
        <f ca="1">+_xlfn.DAYS(Contrato[[#This Row],[FECHA TERMINACIÓN ]],TODAY())</f>
        <v>226</v>
      </c>
    </row>
    <row r="87" spans="1:44" s="111" customFormat="1" ht="36" customHeight="1" x14ac:dyDescent="0.25">
      <c r="A87" s="38">
        <v>266</v>
      </c>
      <c r="B87" s="226">
        <v>81</v>
      </c>
      <c r="C87" s="88" t="s">
        <v>464</v>
      </c>
      <c r="D87" s="192" t="s">
        <v>911</v>
      </c>
      <c r="E87" s="193" t="s">
        <v>112</v>
      </c>
      <c r="F87" s="194" t="s">
        <v>113</v>
      </c>
      <c r="G87" s="195" t="s">
        <v>1138</v>
      </c>
      <c r="H87" s="167">
        <v>1214734553</v>
      </c>
      <c r="I87" s="292">
        <v>4157906</v>
      </c>
      <c r="J87" s="290">
        <v>40747479</v>
      </c>
      <c r="K87" s="158" t="s">
        <v>41</v>
      </c>
      <c r="L87" s="196" t="s">
        <v>1087</v>
      </c>
      <c r="M87" s="114" t="s">
        <v>1091</v>
      </c>
      <c r="N87" s="113" t="e" cm="1">
        <f t="array" aca="1" ref="N87" ca="1">_xlfn.XLOOKUP(Contrato[[#This Row],[SUPERVISOR TITULAR]],PERSONAL_ACTIVO_2025[[#All],[NOMBRES Y APELLIDOS]],PERSONAL_ACTIVO_2025[[#All],[DOCUMENTO]],"",0)</f>
        <v>#NAME?</v>
      </c>
      <c r="O87" s="114" t="s">
        <v>938</v>
      </c>
      <c r="P87" s="115" t="e" cm="1">
        <f t="array" aca="1" ref="P87" ca="1">_xlfn.XLOOKUP(Contrato[[#This Row],[SUPERVISOR SUPLENTE ]],PERSONAL_ACTIVO_2025[[#All],[NOMBRES Y APELLIDOS]],PERSONAL_ACTIVO_2025[[#All],[DOCUMENTO]],"",0)</f>
        <v>#NAME?</v>
      </c>
      <c r="Q87" s="116">
        <v>100</v>
      </c>
      <c r="R87" s="137" t="e" cm="1">
        <f t="array" aca="1" ref="R87" ca="1">_xlfn.XLOOKUP(Contrato[[#This Row],[CDP]],DISPONIBILIDADES_2025[[#All],[consecutivo]],DISPONIBILIDADES_2025[[#All],[fecha_aprobacion]],"",0)</f>
        <v>#NAME?</v>
      </c>
      <c r="S87" s="92">
        <f>SUMIF(DISPONIBILIDADES_2025[[#All],[consecutivo]],Contrato[[#This Row],[CDP]],DISPONIBILIDADES_2025[[#All],[valor_total_rubro]])</f>
        <v>40747479</v>
      </c>
      <c r="T87" s="118" t="e" cm="1">
        <f t="array" aca="1" ref="T87" ca="1">_xlfn.XLOOKUP(Contrato[[#This Row],[CONTRATO]]&amp;Contrato[[#This Row],[CDP]],Corr_Contr_CDP[[#All],[CONTRATO-CDP]],Corr_Contr_CDP[[#All],[CRP]],_xlfn.XLOOKUP(Contrato[[#This Row],[CDP]],COMPROMISOS_2025[[#All],[disponibilidad]],COMPROMISOS_2025[[#All],[consecutivo]],"",0),0)</f>
        <v>#NAME?</v>
      </c>
      <c r="U87" s="117" t="e" cm="1">
        <f t="array" aca="1" ref="U87" ca="1">+_xlfn.XLOOKUP(Contrato[[#This Row],[RCP]],COMPROMISOS_2025[[#All],[consecutivo]],COMPROMISOS_2025[[#All],[fecha_aprobacion]],"",0)</f>
        <v>#NAME?</v>
      </c>
      <c r="V87" s="93">
        <f ca="1">SUMIF(COMPROMISOS_2025[[#All],[consecutivo]],Contrato[[#This Row],[RCP]],COMPROMISOS_2025[[#All],[valor_total]])</f>
        <v>0</v>
      </c>
      <c r="W87" s="169">
        <v>45707</v>
      </c>
      <c r="X87" s="243" t="s">
        <v>901</v>
      </c>
      <c r="Y87" s="96">
        <v>45709</v>
      </c>
      <c r="Z87" s="161">
        <v>46009</v>
      </c>
      <c r="AA87" s="392" t="s">
        <v>1139</v>
      </c>
      <c r="AB87" s="119" t="s">
        <v>1127</v>
      </c>
      <c r="AC87" s="298"/>
      <c r="AD87" s="279">
        <v>202000006187</v>
      </c>
      <c r="AE87" s="38" t="s">
        <v>904</v>
      </c>
      <c r="AF87" s="120" t="str">
        <f>TEXT(LEFT(Contrato[[#This Row],[CONTRATO]],3),"0")</f>
        <v>81</v>
      </c>
      <c r="AG87" s="120" t="str">
        <f>IF(LEN(Contrato[[#This Row],[Contrato2]])=3,Contrato[[#This Row],[Contrato2]],TEXT(Contrato[[#This Row],[Contrato2]],"000"))</f>
        <v>081</v>
      </c>
      <c r="AH87" s="90">
        <f ca="1">IFERROR(_xlfn.DAYS(Contrato[[#This Row],[Fecha Proyectada liquidación]],TODAY())/30,"")</f>
        <v>11.533333333333333</v>
      </c>
      <c r="AI87" s="121">
        <f>+Contrato[[#This Row],[FECHA TERMINACIÓN ]]+120</f>
        <v>46129</v>
      </c>
      <c r="AJ87" s="89"/>
      <c r="AK87" s="91" t="str">
        <f ca="1">IF(Contrato[[#This Row],[FECHA TERMINACIÓN ]]&lt;TODAY(), "Terminado",IF(ISNUMBER(Contrato[[#This Row],[Fecha Real de liquiidación ]]),"Liquidado",IF(Contrato[[#This Row],[FECHA TERMINACIÓN ]]&gt;=TODAY(),"En ejecución","")))</f>
        <v>En ejecución</v>
      </c>
      <c r="AL87" s="107">
        <f ca="1">SUMIF(COMPROMISOS_2025[[#All],[consecutivo]],Contrato[[#This Row],[RCP]],COMPROMISOS_2025[[#All],[Total pagado]])</f>
        <v>0</v>
      </c>
      <c r="AM87" s="122">
        <f ca="1">IFERROR(Contrato[[#This Row],[Pagos]]/Contrato[[#This Row],[VALOR CONTRATO]],0)</f>
        <v>0</v>
      </c>
      <c r="AN87" s="160">
        <f ca="1">+Contrato[[#This Row],[VALOR CONTRATO]]-Contrato[[#This Row],[Pagos]]</f>
        <v>40747479</v>
      </c>
      <c r="AO87" s="111" t="e" cm="1">
        <f t="array" aca="1" ref="AO87" ca="1">_xlfn.XLOOKUP(Contrato[[#This Row],[DOCUMENTO ]],PERSONAL_ACTIVO_2025[[#All],[DOCUMENTO]],PERSONAL_ACTIVO_2025[[#All],[email]],0,0)</f>
        <v>#NAME?</v>
      </c>
      <c r="AP87" s="111" t="e" cm="1">
        <f t="array" aca="1" ref="AP87" ca="1">_xlfn.XLOOKUP(Contrato[[#This Row],[DOCUMENTO]],PERSONAL_ACTIVO_2025[[#All],[DOCUMENTO]],PERSONAL_ACTIVO_2025[[#All],[email]],0,0)</f>
        <v>#NAME?</v>
      </c>
      <c r="AQ87" s="111" cm="1">
        <f t="array" aca="1" ref="AQ87" ca="1">IF(ISBLANK(Contrato[[#This Row],[DEPENDENCIA ]]),0,IFERROR(_xlfn.XLOOKUP(Contrato[[#This Row],[DEPENDENCIA ]],#REF!,#REF!,0,0),0))</f>
        <v>0</v>
      </c>
      <c r="AR87" s="553">
        <f ca="1">+_xlfn.DAYS(Contrato[[#This Row],[FECHA TERMINACIÓN ]],TODAY())</f>
        <v>226</v>
      </c>
    </row>
    <row r="88" spans="1:44" s="111" customFormat="1" ht="36" customHeight="1" x14ac:dyDescent="0.25">
      <c r="A88" s="38">
        <v>267</v>
      </c>
      <c r="B88" s="226">
        <v>82</v>
      </c>
      <c r="C88" s="88" t="s">
        <v>465</v>
      </c>
      <c r="D88" s="192" t="s">
        <v>911</v>
      </c>
      <c r="E88" s="193" t="s">
        <v>112</v>
      </c>
      <c r="F88" s="194" t="s">
        <v>113</v>
      </c>
      <c r="G88" s="195" t="s">
        <v>1140</v>
      </c>
      <c r="H88" s="167">
        <v>21526783</v>
      </c>
      <c r="I88" s="292">
        <v>6239569</v>
      </c>
      <c r="J88" s="290">
        <v>61147776</v>
      </c>
      <c r="K88" s="158" t="s">
        <v>41</v>
      </c>
      <c r="L88" s="196" t="s">
        <v>1087</v>
      </c>
      <c r="M88" s="114" t="s">
        <v>1091</v>
      </c>
      <c r="N88" s="113" t="e" cm="1">
        <f t="array" aca="1" ref="N88" ca="1">_xlfn.XLOOKUP(Contrato[[#This Row],[SUPERVISOR TITULAR]],PERSONAL_ACTIVO_2025[[#All],[NOMBRES Y APELLIDOS]],PERSONAL_ACTIVO_2025[[#All],[DOCUMENTO]],"",0)</f>
        <v>#NAME?</v>
      </c>
      <c r="O88" s="114" t="s">
        <v>938</v>
      </c>
      <c r="P88" s="115" t="e" cm="1">
        <f t="array" aca="1" ref="P88" ca="1">_xlfn.XLOOKUP(Contrato[[#This Row],[SUPERVISOR SUPLENTE ]],PERSONAL_ACTIVO_2025[[#All],[NOMBRES Y APELLIDOS]],PERSONAL_ACTIVO_2025[[#All],[DOCUMENTO]],"",0)</f>
        <v>#NAME?</v>
      </c>
      <c r="Q88" s="116">
        <v>101</v>
      </c>
      <c r="R88" s="137" t="e" cm="1">
        <f t="array" aca="1" ref="R88" ca="1">_xlfn.XLOOKUP(Contrato[[#This Row],[CDP]],DISPONIBILIDADES_2025[[#All],[consecutivo]],DISPONIBILIDADES_2025[[#All],[fecha_aprobacion]],"",0)</f>
        <v>#NAME?</v>
      </c>
      <c r="S88" s="92">
        <f>SUMIF(DISPONIBILIDADES_2025[[#All],[consecutivo]],Contrato[[#This Row],[CDP]],DISPONIBILIDADES_2025[[#All],[valor_total_rubro]])</f>
        <v>61147776</v>
      </c>
      <c r="T88" s="118" t="e" cm="1">
        <f t="array" aca="1" ref="T88" ca="1">_xlfn.XLOOKUP(Contrato[[#This Row],[CONTRATO]]&amp;Contrato[[#This Row],[CDP]],Corr_Contr_CDP[[#All],[CONTRATO-CDP]],Corr_Contr_CDP[[#All],[CRP]],_xlfn.XLOOKUP(Contrato[[#This Row],[CDP]],COMPROMISOS_2025[[#All],[disponibilidad]],COMPROMISOS_2025[[#All],[consecutivo]],"",0),0)</f>
        <v>#NAME?</v>
      </c>
      <c r="U88" s="117" t="e" cm="1">
        <f t="array" aca="1" ref="U88" ca="1">+_xlfn.XLOOKUP(Contrato[[#This Row],[RCP]],COMPROMISOS_2025[[#All],[consecutivo]],COMPROMISOS_2025[[#All],[fecha_aprobacion]],"",0)</f>
        <v>#NAME?</v>
      </c>
      <c r="V88" s="93">
        <f ca="1">SUMIF(COMPROMISOS_2025[[#All],[consecutivo]],Contrato[[#This Row],[RCP]],COMPROMISOS_2025[[#All],[valor_total]])</f>
        <v>0</v>
      </c>
      <c r="W88" s="169">
        <v>45707</v>
      </c>
      <c r="X88" s="243" t="s">
        <v>901</v>
      </c>
      <c r="Y88" s="96">
        <v>45713</v>
      </c>
      <c r="Z88" s="161">
        <v>46005</v>
      </c>
      <c r="AA88" s="392" t="s">
        <v>1134</v>
      </c>
      <c r="AB88" s="119" t="s">
        <v>1127</v>
      </c>
      <c r="AC88" s="298"/>
      <c r="AD88" s="279">
        <v>202000006188</v>
      </c>
      <c r="AE88" s="38" t="s">
        <v>904</v>
      </c>
      <c r="AF88" s="120" t="str">
        <f>TEXT(LEFT(Contrato[[#This Row],[CONTRATO]],3),"0")</f>
        <v>82</v>
      </c>
      <c r="AG88" s="120" t="str">
        <f>IF(LEN(Contrato[[#This Row],[Contrato2]])=3,Contrato[[#This Row],[Contrato2]],TEXT(Contrato[[#This Row],[Contrato2]],"000"))</f>
        <v>082</v>
      </c>
      <c r="AH88" s="90">
        <f ca="1">IFERROR(_xlfn.DAYS(Contrato[[#This Row],[Fecha Proyectada liquidación]],TODAY())/30,"")</f>
        <v>11.4</v>
      </c>
      <c r="AI88" s="121">
        <f>+Contrato[[#This Row],[FECHA TERMINACIÓN ]]+120</f>
        <v>46125</v>
      </c>
      <c r="AJ88" s="89"/>
      <c r="AK88" s="91" t="str">
        <f ca="1">IF(Contrato[[#This Row],[FECHA TERMINACIÓN ]]&lt;TODAY(), "Terminado",IF(ISNUMBER(Contrato[[#This Row],[Fecha Real de liquiidación ]]),"Liquidado",IF(Contrato[[#This Row],[FECHA TERMINACIÓN ]]&gt;=TODAY(),"En ejecución","")))</f>
        <v>En ejecución</v>
      </c>
      <c r="AL88" s="107">
        <f ca="1">SUMIF(COMPROMISOS_2025[[#All],[consecutivo]],Contrato[[#This Row],[RCP]],COMPROMISOS_2025[[#All],[Total pagado]])</f>
        <v>0</v>
      </c>
      <c r="AM88" s="122">
        <f ca="1">IFERROR(Contrato[[#This Row],[Pagos]]/Contrato[[#This Row],[VALOR CONTRATO]],0)</f>
        <v>0</v>
      </c>
      <c r="AN88" s="160">
        <f ca="1">+Contrato[[#This Row],[VALOR CONTRATO]]-Contrato[[#This Row],[Pagos]]</f>
        <v>61147776</v>
      </c>
      <c r="AO88" s="111" t="e" cm="1">
        <f t="array" aca="1" ref="AO88" ca="1">_xlfn.XLOOKUP(Contrato[[#This Row],[DOCUMENTO ]],PERSONAL_ACTIVO_2025[[#All],[DOCUMENTO]],PERSONAL_ACTIVO_2025[[#All],[email]],0,0)</f>
        <v>#NAME?</v>
      </c>
      <c r="AP88" s="111" t="e" cm="1">
        <f t="array" aca="1" ref="AP88" ca="1">_xlfn.XLOOKUP(Contrato[[#This Row],[DOCUMENTO]],PERSONAL_ACTIVO_2025[[#All],[DOCUMENTO]],PERSONAL_ACTIVO_2025[[#All],[email]],0,0)</f>
        <v>#NAME?</v>
      </c>
      <c r="AQ88" s="111" cm="1">
        <f t="array" aca="1" ref="AQ88" ca="1">IF(ISBLANK(Contrato[[#This Row],[DEPENDENCIA ]]),0,IFERROR(_xlfn.XLOOKUP(Contrato[[#This Row],[DEPENDENCIA ]],#REF!,#REF!,0,0),0))</f>
        <v>0</v>
      </c>
      <c r="AR88" s="553">
        <f ca="1">+_xlfn.DAYS(Contrato[[#This Row],[FECHA TERMINACIÓN ]],TODAY())</f>
        <v>222</v>
      </c>
    </row>
    <row r="89" spans="1:44" s="111" customFormat="1" ht="36" customHeight="1" x14ac:dyDescent="0.25">
      <c r="A89" s="38">
        <v>268</v>
      </c>
      <c r="B89" s="226">
        <v>83</v>
      </c>
      <c r="C89" s="88" t="s">
        <v>466</v>
      </c>
      <c r="D89" s="192" t="s">
        <v>911</v>
      </c>
      <c r="E89" s="193" t="s">
        <v>112</v>
      </c>
      <c r="F89" s="194" t="s">
        <v>113</v>
      </c>
      <c r="G89" s="195" t="s">
        <v>1141</v>
      </c>
      <c r="H89" s="167">
        <v>98521638</v>
      </c>
      <c r="I89" s="292">
        <v>5164201</v>
      </c>
      <c r="J89" s="290">
        <v>50609170</v>
      </c>
      <c r="K89" s="158" t="s">
        <v>41</v>
      </c>
      <c r="L89" s="196" t="s">
        <v>1087</v>
      </c>
      <c r="M89" s="114" t="s">
        <v>1091</v>
      </c>
      <c r="N89" s="113" t="e" cm="1">
        <f t="array" aca="1" ref="N89" ca="1">_xlfn.XLOOKUP(Contrato[[#This Row],[SUPERVISOR TITULAR]],PERSONAL_ACTIVO_2025[[#All],[NOMBRES Y APELLIDOS]],PERSONAL_ACTIVO_2025[[#All],[DOCUMENTO]],"",0)</f>
        <v>#NAME?</v>
      </c>
      <c r="O89" s="114" t="s">
        <v>938</v>
      </c>
      <c r="P89" s="115" t="e" cm="1">
        <f t="array" aca="1" ref="P89" ca="1">_xlfn.XLOOKUP(Contrato[[#This Row],[SUPERVISOR SUPLENTE ]],PERSONAL_ACTIVO_2025[[#All],[NOMBRES Y APELLIDOS]],PERSONAL_ACTIVO_2025[[#All],[DOCUMENTO]],"",0)</f>
        <v>#NAME?</v>
      </c>
      <c r="Q89" s="116">
        <v>102</v>
      </c>
      <c r="R89" s="137" t="e" cm="1">
        <f t="array" aca="1" ref="R89" ca="1">_xlfn.XLOOKUP(Contrato[[#This Row],[CDP]],DISPONIBILIDADES_2025[[#All],[consecutivo]],DISPONIBILIDADES_2025[[#All],[fecha_aprobacion]],"",0)</f>
        <v>#NAME?</v>
      </c>
      <c r="S89" s="92">
        <f>SUMIF(DISPONIBILIDADES_2025[[#All],[consecutivo]],Contrato[[#This Row],[CDP]],DISPONIBILIDADES_2025[[#All],[valor_total_rubro]])</f>
        <v>50609170</v>
      </c>
      <c r="T89" s="118" t="e" cm="1">
        <f t="array" aca="1" ref="T89" ca="1">_xlfn.XLOOKUP(Contrato[[#This Row],[CONTRATO]]&amp;Contrato[[#This Row],[CDP]],Corr_Contr_CDP[[#All],[CONTRATO-CDP]],Corr_Contr_CDP[[#All],[CRP]],_xlfn.XLOOKUP(Contrato[[#This Row],[CDP]],COMPROMISOS_2025[[#All],[disponibilidad]],COMPROMISOS_2025[[#All],[consecutivo]],"",0),0)</f>
        <v>#NAME?</v>
      </c>
      <c r="U89" s="117" t="e" cm="1">
        <f t="array" aca="1" ref="U89" ca="1">+_xlfn.XLOOKUP(Contrato[[#This Row],[RCP]],COMPROMISOS_2025[[#All],[consecutivo]],COMPROMISOS_2025[[#All],[fecha_aprobacion]],"",0)</f>
        <v>#NAME?</v>
      </c>
      <c r="V89" s="93">
        <f ca="1">SUMIF(COMPROMISOS_2025[[#All],[consecutivo]],Contrato[[#This Row],[RCP]],COMPROMISOS_2025[[#All],[valor_total]])</f>
        <v>0</v>
      </c>
      <c r="W89" s="169">
        <v>45707</v>
      </c>
      <c r="X89" s="243" t="s">
        <v>901</v>
      </c>
      <c r="Y89" s="96">
        <v>45709</v>
      </c>
      <c r="Z89" s="161">
        <v>46005</v>
      </c>
      <c r="AA89" s="392" t="s">
        <v>1134</v>
      </c>
      <c r="AB89" s="119" t="s">
        <v>1127</v>
      </c>
      <c r="AC89" s="298"/>
      <c r="AD89" s="279">
        <v>202000006189</v>
      </c>
      <c r="AE89" s="38" t="s">
        <v>904</v>
      </c>
      <c r="AF89" s="120" t="str">
        <f>TEXT(LEFT(Contrato[[#This Row],[CONTRATO]],3),"0")</f>
        <v>83</v>
      </c>
      <c r="AG89" s="120" t="str">
        <f>IF(LEN(Contrato[[#This Row],[Contrato2]])=3,Contrato[[#This Row],[Contrato2]],TEXT(Contrato[[#This Row],[Contrato2]],"000"))</f>
        <v>083</v>
      </c>
      <c r="AH89" s="90">
        <f ca="1">IFERROR(_xlfn.DAYS(Contrato[[#This Row],[Fecha Proyectada liquidación]],TODAY())/30,"")</f>
        <v>11.4</v>
      </c>
      <c r="AI89" s="121">
        <f>+Contrato[[#This Row],[FECHA TERMINACIÓN ]]+120</f>
        <v>46125</v>
      </c>
      <c r="AJ89" s="89"/>
      <c r="AK89" s="91" t="str">
        <f ca="1">IF(Contrato[[#This Row],[FECHA TERMINACIÓN ]]&lt;TODAY(), "Terminado",IF(ISNUMBER(Contrato[[#This Row],[Fecha Real de liquiidación ]]),"Liquidado",IF(Contrato[[#This Row],[FECHA TERMINACIÓN ]]&gt;=TODAY(),"En ejecución","")))</f>
        <v>En ejecución</v>
      </c>
      <c r="AL89" s="107">
        <f ca="1">SUMIF(COMPROMISOS_2025[[#All],[consecutivo]],Contrato[[#This Row],[RCP]],COMPROMISOS_2025[[#All],[Total pagado]])</f>
        <v>0</v>
      </c>
      <c r="AM89" s="122">
        <f ca="1">IFERROR(Contrato[[#This Row],[Pagos]]/Contrato[[#This Row],[VALOR CONTRATO]],0)</f>
        <v>0</v>
      </c>
      <c r="AN89" s="160">
        <f ca="1">+Contrato[[#This Row],[VALOR CONTRATO]]-Contrato[[#This Row],[Pagos]]</f>
        <v>50609170</v>
      </c>
      <c r="AO89" s="111" t="e" cm="1">
        <f t="array" aca="1" ref="AO89" ca="1">_xlfn.XLOOKUP(Contrato[[#This Row],[DOCUMENTO ]],PERSONAL_ACTIVO_2025[[#All],[DOCUMENTO]],PERSONAL_ACTIVO_2025[[#All],[email]],0,0)</f>
        <v>#NAME?</v>
      </c>
      <c r="AP89" s="111" t="e" cm="1">
        <f t="array" aca="1" ref="AP89" ca="1">_xlfn.XLOOKUP(Contrato[[#This Row],[DOCUMENTO]],PERSONAL_ACTIVO_2025[[#All],[DOCUMENTO]],PERSONAL_ACTIVO_2025[[#All],[email]],0,0)</f>
        <v>#NAME?</v>
      </c>
      <c r="AQ89" s="111" cm="1">
        <f t="array" aca="1" ref="AQ89" ca="1">IF(ISBLANK(Contrato[[#This Row],[DEPENDENCIA ]]),0,IFERROR(_xlfn.XLOOKUP(Contrato[[#This Row],[DEPENDENCIA ]],#REF!,#REF!,0,0),0))</f>
        <v>0</v>
      </c>
      <c r="AR89" s="553">
        <f ca="1">+_xlfn.DAYS(Contrato[[#This Row],[FECHA TERMINACIÓN ]],TODAY())</f>
        <v>222</v>
      </c>
    </row>
    <row r="90" spans="1:44" s="111" customFormat="1" ht="36" customHeight="1" x14ac:dyDescent="0.25">
      <c r="A90" s="38">
        <v>270</v>
      </c>
      <c r="B90" s="226">
        <v>84</v>
      </c>
      <c r="C90" s="88" t="s">
        <v>468</v>
      </c>
      <c r="D90" s="192" t="s">
        <v>911</v>
      </c>
      <c r="E90" s="193" t="s">
        <v>112</v>
      </c>
      <c r="F90" s="194" t="s">
        <v>113</v>
      </c>
      <c r="G90" s="195" t="s">
        <v>1142</v>
      </c>
      <c r="H90" s="167">
        <v>1017201665</v>
      </c>
      <c r="I90" s="292">
        <v>5164201</v>
      </c>
      <c r="J90" s="290">
        <v>50609170</v>
      </c>
      <c r="K90" s="158" t="s">
        <v>41</v>
      </c>
      <c r="L90" s="196" t="s">
        <v>1087</v>
      </c>
      <c r="M90" s="114" t="s">
        <v>1091</v>
      </c>
      <c r="N90" s="113" t="e" cm="1">
        <f t="array" aca="1" ref="N90" ca="1">_xlfn.XLOOKUP(Contrato[[#This Row],[SUPERVISOR TITULAR]],PERSONAL_ACTIVO_2025[[#All],[NOMBRES Y APELLIDOS]],PERSONAL_ACTIVO_2025[[#All],[DOCUMENTO]],"",0)</f>
        <v>#NAME?</v>
      </c>
      <c r="O90" s="114" t="s">
        <v>938</v>
      </c>
      <c r="P90" s="115" t="e" cm="1">
        <f t="array" aca="1" ref="P90" ca="1">_xlfn.XLOOKUP(Contrato[[#This Row],[SUPERVISOR SUPLENTE ]],PERSONAL_ACTIVO_2025[[#All],[NOMBRES Y APELLIDOS]],PERSONAL_ACTIVO_2025[[#All],[DOCUMENTO]],"",0)</f>
        <v>#NAME?</v>
      </c>
      <c r="Q90" s="116">
        <v>104</v>
      </c>
      <c r="R90" s="137" t="e" cm="1">
        <f t="array" aca="1" ref="R90" ca="1">_xlfn.XLOOKUP(Contrato[[#This Row],[CDP]],DISPONIBILIDADES_2025[[#All],[consecutivo]],DISPONIBILIDADES_2025[[#All],[fecha_aprobacion]],"",0)</f>
        <v>#NAME?</v>
      </c>
      <c r="S90" s="92">
        <f>SUMIF(DISPONIBILIDADES_2025[[#All],[consecutivo]],Contrato[[#This Row],[CDP]],DISPONIBILIDADES_2025[[#All],[valor_total_rubro]])</f>
        <v>50609170</v>
      </c>
      <c r="T90" s="118" t="e" cm="1">
        <f t="array" aca="1" ref="T90" ca="1">_xlfn.XLOOKUP(Contrato[[#This Row],[CONTRATO]]&amp;Contrato[[#This Row],[CDP]],Corr_Contr_CDP[[#All],[CONTRATO-CDP]],Corr_Contr_CDP[[#All],[CRP]],_xlfn.XLOOKUP(Contrato[[#This Row],[CDP]],COMPROMISOS_2025[[#All],[disponibilidad]],COMPROMISOS_2025[[#All],[consecutivo]],"",0),0)</f>
        <v>#NAME?</v>
      </c>
      <c r="U90" s="117" t="e" cm="1">
        <f t="array" aca="1" ref="U90" ca="1">+_xlfn.XLOOKUP(Contrato[[#This Row],[RCP]],COMPROMISOS_2025[[#All],[consecutivo]],COMPROMISOS_2025[[#All],[fecha_aprobacion]],"",0)</f>
        <v>#NAME?</v>
      </c>
      <c r="V90" s="93">
        <f ca="1">SUMIF(COMPROMISOS_2025[[#All],[consecutivo]],Contrato[[#This Row],[RCP]],COMPROMISOS_2025[[#All],[valor_total]])</f>
        <v>0</v>
      </c>
      <c r="W90" s="169">
        <v>45708</v>
      </c>
      <c r="X90" s="243" t="s">
        <v>901</v>
      </c>
      <c r="Y90" s="96">
        <v>45709</v>
      </c>
      <c r="Z90" s="161">
        <v>46005</v>
      </c>
      <c r="AA90" s="198" t="s">
        <v>1143</v>
      </c>
      <c r="AB90" s="119" t="s">
        <v>1127</v>
      </c>
      <c r="AC90" s="298"/>
      <c r="AD90" s="279">
        <v>202000006190</v>
      </c>
      <c r="AE90" s="38" t="s">
        <v>904</v>
      </c>
      <c r="AF90" s="120" t="str">
        <f>TEXT(LEFT(Contrato[[#This Row],[CONTRATO]],3),"0")</f>
        <v>84</v>
      </c>
      <c r="AG90" s="120" t="str">
        <f>IF(LEN(Contrato[[#This Row],[Contrato2]])=3,Contrato[[#This Row],[Contrato2]],TEXT(Contrato[[#This Row],[Contrato2]],"000"))</f>
        <v>084</v>
      </c>
      <c r="AH90" s="90">
        <f ca="1">IFERROR(_xlfn.DAYS(Contrato[[#This Row],[Fecha Proyectada liquidación]],TODAY())/30,"")</f>
        <v>11.4</v>
      </c>
      <c r="AI90" s="121">
        <f>+Contrato[[#This Row],[FECHA TERMINACIÓN ]]+120</f>
        <v>46125</v>
      </c>
      <c r="AJ90" s="89"/>
      <c r="AK90" s="91" t="str">
        <f ca="1">IF(Contrato[[#This Row],[FECHA TERMINACIÓN ]]&lt;TODAY(), "Terminado",IF(ISNUMBER(Contrato[[#This Row],[Fecha Real de liquiidación ]]),"Liquidado",IF(Contrato[[#This Row],[FECHA TERMINACIÓN ]]&gt;=TODAY(),"En ejecución","")))</f>
        <v>En ejecución</v>
      </c>
      <c r="AL90" s="107">
        <f ca="1">SUMIF(COMPROMISOS_2025[[#All],[consecutivo]],Contrato[[#This Row],[RCP]],COMPROMISOS_2025[[#All],[Total pagado]])</f>
        <v>0</v>
      </c>
      <c r="AM90" s="122">
        <f ca="1">IFERROR(Contrato[[#This Row],[Pagos]]/Contrato[[#This Row],[VALOR CONTRATO]],0)</f>
        <v>0</v>
      </c>
      <c r="AN90" s="160">
        <f ca="1">+Contrato[[#This Row],[VALOR CONTRATO]]-Contrato[[#This Row],[Pagos]]</f>
        <v>50609170</v>
      </c>
      <c r="AO90" s="111" t="e" cm="1">
        <f t="array" aca="1" ref="AO90" ca="1">_xlfn.XLOOKUP(Contrato[[#This Row],[DOCUMENTO ]],PERSONAL_ACTIVO_2025[[#All],[DOCUMENTO]],PERSONAL_ACTIVO_2025[[#All],[email]],0,0)</f>
        <v>#NAME?</v>
      </c>
      <c r="AP90" s="111" t="e" cm="1">
        <f t="array" aca="1" ref="AP90" ca="1">_xlfn.XLOOKUP(Contrato[[#This Row],[DOCUMENTO]],PERSONAL_ACTIVO_2025[[#All],[DOCUMENTO]],PERSONAL_ACTIVO_2025[[#All],[email]],0,0)</f>
        <v>#NAME?</v>
      </c>
      <c r="AQ90" s="111" cm="1">
        <f t="array" aca="1" ref="AQ90" ca="1">IF(ISBLANK(Contrato[[#This Row],[DEPENDENCIA ]]),0,IFERROR(_xlfn.XLOOKUP(Contrato[[#This Row],[DEPENDENCIA ]],#REF!,#REF!,0,0),0))</f>
        <v>0</v>
      </c>
      <c r="AR90" s="553">
        <f ca="1">+_xlfn.DAYS(Contrato[[#This Row],[FECHA TERMINACIÓN ]],TODAY())</f>
        <v>222</v>
      </c>
    </row>
    <row r="91" spans="1:44" s="111" customFormat="1" ht="36" customHeight="1" x14ac:dyDescent="0.25">
      <c r="A91" s="38">
        <v>271</v>
      </c>
      <c r="B91" s="226">
        <v>85</v>
      </c>
      <c r="C91" s="88" t="s">
        <v>469</v>
      </c>
      <c r="D91" s="192" t="s">
        <v>911</v>
      </c>
      <c r="E91" s="193" t="s">
        <v>112</v>
      </c>
      <c r="F91" s="194" t="s">
        <v>113</v>
      </c>
      <c r="G91" s="195" t="s">
        <v>1144</v>
      </c>
      <c r="H91" s="167">
        <v>1040748908</v>
      </c>
      <c r="I91" s="292">
        <v>5164201</v>
      </c>
      <c r="J91" s="290">
        <v>50609170</v>
      </c>
      <c r="K91" s="158" t="s">
        <v>41</v>
      </c>
      <c r="L91" s="196" t="s">
        <v>1087</v>
      </c>
      <c r="M91" s="114" t="s">
        <v>1091</v>
      </c>
      <c r="N91" s="113" t="e" cm="1">
        <f t="array" aca="1" ref="N91" ca="1">_xlfn.XLOOKUP(Contrato[[#This Row],[SUPERVISOR TITULAR]],PERSONAL_ACTIVO_2025[[#All],[NOMBRES Y APELLIDOS]],PERSONAL_ACTIVO_2025[[#All],[DOCUMENTO]],"",0)</f>
        <v>#NAME?</v>
      </c>
      <c r="O91" s="114" t="s">
        <v>938</v>
      </c>
      <c r="P91" s="115" t="e" cm="1">
        <f t="array" aca="1" ref="P91" ca="1">_xlfn.XLOOKUP(Contrato[[#This Row],[SUPERVISOR SUPLENTE ]],PERSONAL_ACTIVO_2025[[#All],[NOMBRES Y APELLIDOS]],PERSONAL_ACTIVO_2025[[#All],[DOCUMENTO]],"",0)</f>
        <v>#NAME?</v>
      </c>
      <c r="Q91" s="116">
        <v>105</v>
      </c>
      <c r="R91" s="137" t="e" cm="1">
        <f t="array" aca="1" ref="R91" ca="1">_xlfn.XLOOKUP(Contrato[[#This Row],[CDP]],DISPONIBILIDADES_2025[[#All],[consecutivo]],DISPONIBILIDADES_2025[[#All],[fecha_aprobacion]],"",0)</f>
        <v>#NAME?</v>
      </c>
      <c r="S91" s="92">
        <f>SUMIF(DISPONIBILIDADES_2025[[#All],[consecutivo]],Contrato[[#This Row],[CDP]],DISPONIBILIDADES_2025[[#All],[valor_total_rubro]])</f>
        <v>50609170</v>
      </c>
      <c r="T91" s="118" t="e" cm="1">
        <f t="array" aca="1" ref="T91" ca="1">_xlfn.XLOOKUP(Contrato[[#This Row],[CONTRATO]]&amp;Contrato[[#This Row],[CDP]],Corr_Contr_CDP[[#All],[CONTRATO-CDP]],Corr_Contr_CDP[[#All],[CRP]],_xlfn.XLOOKUP(Contrato[[#This Row],[CDP]],COMPROMISOS_2025[[#All],[disponibilidad]],COMPROMISOS_2025[[#All],[consecutivo]],"",0),0)</f>
        <v>#NAME?</v>
      </c>
      <c r="U91" s="117" t="e" cm="1">
        <f t="array" aca="1" ref="U91" ca="1">+_xlfn.XLOOKUP(Contrato[[#This Row],[RCP]],COMPROMISOS_2025[[#All],[consecutivo]],COMPROMISOS_2025[[#All],[fecha_aprobacion]],"",0)</f>
        <v>#NAME?</v>
      </c>
      <c r="V91" s="93">
        <f ca="1">SUMIF(COMPROMISOS_2025[[#All],[consecutivo]],Contrato[[#This Row],[RCP]],COMPROMISOS_2025[[#All],[valor_total]])</f>
        <v>0</v>
      </c>
      <c r="W91" s="169">
        <v>45707</v>
      </c>
      <c r="X91" s="243" t="s">
        <v>901</v>
      </c>
      <c r="Y91" s="96">
        <v>45709</v>
      </c>
      <c r="Z91" s="161">
        <v>46009</v>
      </c>
      <c r="AA91" s="198" t="s">
        <v>1130</v>
      </c>
      <c r="AB91" s="119" t="s">
        <v>1127</v>
      </c>
      <c r="AC91" s="298"/>
      <c r="AD91" s="279">
        <v>202000006205</v>
      </c>
      <c r="AE91" s="38" t="s">
        <v>904</v>
      </c>
      <c r="AF91" s="120" t="str">
        <f>TEXT(LEFT(Contrato[[#This Row],[CONTRATO]],3),"0")</f>
        <v>85</v>
      </c>
      <c r="AG91" s="120" t="str">
        <f>IF(LEN(Contrato[[#This Row],[Contrato2]])=3,Contrato[[#This Row],[Contrato2]],TEXT(Contrato[[#This Row],[Contrato2]],"000"))</f>
        <v>085</v>
      </c>
      <c r="AH91" s="90">
        <f ca="1">IFERROR(_xlfn.DAYS(Contrato[[#This Row],[Fecha Proyectada liquidación]],TODAY())/30,"")</f>
        <v>11.533333333333333</v>
      </c>
      <c r="AI91" s="121">
        <f>+Contrato[[#This Row],[FECHA TERMINACIÓN ]]+120</f>
        <v>46129</v>
      </c>
      <c r="AJ91" s="89"/>
      <c r="AK91" s="91" t="str">
        <f ca="1">IF(Contrato[[#This Row],[FECHA TERMINACIÓN ]]&lt;TODAY(), "Terminado",IF(ISNUMBER(Contrato[[#This Row],[Fecha Real de liquiidación ]]),"Liquidado",IF(Contrato[[#This Row],[FECHA TERMINACIÓN ]]&gt;=TODAY(),"En ejecución","")))</f>
        <v>En ejecución</v>
      </c>
      <c r="AL91" s="107">
        <f ca="1">SUMIF(COMPROMISOS_2025[[#All],[consecutivo]],Contrato[[#This Row],[RCP]],COMPROMISOS_2025[[#All],[Total pagado]])</f>
        <v>0</v>
      </c>
      <c r="AM91" s="122">
        <f ca="1">IFERROR(Contrato[[#This Row],[Pagos]]/Contrato[[#This Row],[VALOR CONTRATO]],0)</f>
        <v>0</v>
      </c>
      <c r="AN91" s="160">
        <f ca="1">+Contrato[[#This Row],[VALOR CONTRATO]]-Contrato[[#This Row],[Pagos]]</f>
        <v>50609170</v>
      </c>
      <c r="AO91" s="111" t="e" cm="1">
        <f t="array" aca="1" ref="AO91" ca="1">_xlfn.XLOOKUP(Contrato[[#This Row],[DOCUMENTO ]],PERSONAL_ACTIVO_2025[[#All],[DOCUMENTO]],PERSONAL_ACTIVO_2025[[#All],[email]],0,0)</f>
        <v>#NAME?</v>
      </c>
      <c r="AP91" s="111" t="e" cm="1">
        <f t="array" aca="1" ref="AP91" ca="1">_xlfn.XLOOKUP(Contrato[[#This Row],[DOCUMENTO]],PERSONAL_ACTIVO_2025[[#All],[DOCUMENTO]],PERSONAL_ACTIVO_2025[[#All],[email]],0,0)</f>
        <v>#NAME?</v>
      </c>
      <c r="AQ91" s="111" cm="1">
        <f t="array" aca="1" ref="AQ91" ca="1">IF(ISBLANK(Contrato[[#This Row],[DEPENDENCIA ]]),0,IFERROR(_xlfn.XLOOKUP(Contrato[[#This Row],[DEPENDENCIA ]],#REF!,#REF!,0,0),0))</f>
        <v>0</v>
      </c>
      <c r="AR91" s="553">
        <f ca="1">+_xlfn.DAYS(Contrato[[#This Row],[FECHA TERMINACIÓN ]],TODAY())</f>
        <v>226</v>
      </c>
    </row>
    <row r="92" spans="1:44" s="111" customFormat="1" ht="36" customHeight="1" x14ac:dyDescent="0.25">
      <c r="A92" s="38">
        <v>272</v>
      </c>
      <c r="B92" s="226">
        <v>86</v>
      </c>
      <c r="C92" s="88" t="s">
        <v>470</v>
      </c>
      <c r="D92" s="192" t="s">
        <v>911</v>
      </c>
      <c r="E92" s="193" t="s">
        <v>112</v>
      </c>
      <c r="F92" s="194" t="s">
        <v>113</v>
      </c>
      <c r="G92" s="195" t="s">
        <v>1145</v>
      </c>
      <c r="H92" s="167">
        <v>98558934</v>
      </c>
      <c r="I92" s="292">
        <v>8320021</v>
      </c>
      <c r="J92" s="290">
        <v>81536206</v>
      </c>
      <c r="K92" s="158" t="s">
        <v>41</v>
      </c>
      <c r="L92" s="196" t="s">
        <v>1087</v>
      </c>
      <c r="M92" s="114" t="s">
        <v>1091</v>
      </c>
      <c r="N92" s="113" t="e" cm="1">
        <f t="array" aca="1" ref="N92" ca="1">_xlfn.XLOOKUP(Contrato[[#This Row],[SUPERVISOR TITULAR]],PERSONAL_ACTIVO_2025[[#All],[NOMBRES Y APELLIDOS]],PERSONAL_ACTIVO_2025[[#All],[DOCUMENTO]],"",0)</f>
        <v>#NAME?</v>
      </c>
      <c r="O92" s="114" t="s">
        <v>938</v>
      </c>
      <c r="P92" s="115" t="e" cm="1">
        <f t="array" aca="1" ref="P92" ca="1">_xlfn.XLOOKUP(Contrato[[#This Row],[SUPERVISOR SUPLENTE ]],PERSONAL_ACTIVO_2025[[#All],[NOMBRES Y APELLIDOS]],PERSONAL_ACTIVO_2025[[#All],[DOCUMENTO]],"",0)</f>
        <v>#NAME?</v>
      </c>
      <c r="Q92" s="116">
        <v>106</v>
      </c>
      <c r="R92" s="137" t="e" cm="1">
        <f t="array" aca="1" ref="R92" ca="1">_xlfn.XLOOKUP(Contrato[[#This Row],[CDP]],DISPONIBILIDADES_2025[[#All],[consecutivo]],DISPONIBILIDADES_2025[[#All],[fecha_aprobacion]],"",0)</f>
        <v>#NAME?</v>
      </c>
      <c r="S92" s="92">
        <f>SUMIF(DISPONIBILIDADES_2025[[#All],[consecutivo]],Contrato[[#This Row],[CDP]],DISPONIBILIDADES_2025[[#All],[valor_total_rubro]])</f>
        <v>81536206</v>
      </c>
      <c r="T92" s="118" t="e" cm="1">
        <f t="array" aca="1" ref="T92" ca="1">_xlfn.XLOOKUP(Contrato[[#This Row],[CONTRATO]]&amp;Contrato[[#This Row],[CDP]],Corr_Contr_CDP[[#All],[CONTRATO-CDP]],Corr_Contr_CDP[[#All],[CRP]],_xlfn.XLOOKUP(Contrato[[#This Row],[CDP]],COMPROMISOS_2025[[#All],[disponibilidad]],COMPROMISOS_2025[[#All],[consecutivo]],"",0),0)</f>
        <v>#NAME?</v>
      </c>
      <c r="U92" s="117" t="e" cm="1">
        <f t="array" aca="1" ref="U92" ca="1">+_xlfn.XLOOKUP(Contrato[[#This Row],[RCP]],COMPROMISOS_2025[[#All],[consecutivo]],COMPROMISOS_2025[[#All],[fecha_aprobacion]],"",0)</f>
        <v>#NAME?</v>
      </c>
      <c r="V92" s="93">
        <f ca="1">SUMIF(COMPROMISOS_2025[[#All],[consecutivo]],Contrato[[#This Row],[RCP]],COMPROMISOS_2025[[#All],[valor_total]])</f>
        <v>0</v>
      </c>
      <c r="W92" s="169">
        <v>45707</v>
      </c>
      <c r="X92" s="243" t="s">
        <v>901</v>
      </c>
      <c r="Y92" s="96">
        <v>45709</v>
      </c>
      <c r="Z92" s="161">
        <v>46005</v>
      </c>
      <c r="AA92" s="198" t="s">
        <v>1143</v>
      </c>
      <c r="AB92" s="119" t="s">
        <v>1127</v>
      </c>
      <c r="AC92" s="298"/>
      <c r="AD92" s="279">
        <v>202000006192</v>
      </c>
      <c r="AE92" s="38" t="s">
        <v>904</v>
      </c>
      <c r="AF92" s="120" t="str">
        <f>TEXT(LEFT(Contrato[[#This Row],[CONTRATO]],3),"0")</f>
        <v>86</v>
      </c>
      <c r="AG92" s="120" t="str">
        <f>IF(LEN(Contrato[[#This Row],[Contrato2]])=3,Contrato[[#This Row],[Contrato2]],TEXT(Contrato[[#This Row],[Contrato2]],"000"))</f>
        <v>086</v>
      </c>
      <c r="AH92" s="90">
        <f ca="1">IFERROR(_xlfn.DAYS(Contrato[[#This Row],[Fecha Proyectada liquidación]],TODAY())/30,"")</f>
        <v>11.4</v>
      </c>
      <c r="AI92" s="121">
        <f>+Contrato[[#This Row],[FECHA TERMINACIÓN ]]+120</f>
        <v>46125</v>
      </c>
      <c r="AJ92" s="89"/>
      <c r="AK92" s="91" t="str">
        <f ca="1">IF(Contrato[[#This Row],[FECHA TERMINACIÓN ]]&lt;TODAY(), "Terminado",IF(ISNUMBER(Contrato[[#This Row],[Fecha Real de liquiidación ]]),"Liquidado",IF(Contrato[[#This Row],[FECHA TERMINACIÓN ]]&gt;=TODAY(),"En ejecución","")))</f>
        <v>En ejecución</v>
      </c>
      <c r="AL92" s="107">
        <f ca="1">SUMIF(COMPROMISOS_2025[[#All],[consecutivo]],Contrato[[#This Row],[RCP]],COMPROMISOS_2025[[#All],[Total pagado]])</f>
        <v>0</v>
      </c>
      <c r="AM92" s="122">
        <f ca="1">IFERROR(Contrato[[#This Row],[Pagos]]/Contrato[[#This Row],[VALOR CONTRATO]],0)</f>
        <v>0</v>
      </c>
      <c r="AN92" s="160">
        <f ca="1">+Contrato[[#This Row],[VALOR CONTRATO]]-Contrato[[#This Row],[Pagos]]</f>
        <v>81536206</v>
      </c>
      <c r="AO92" s="111" t="e" cm="1">
        <f t="array" aca="1" ref="AO92" ca="1">_xlfn.XLOOKUP(Contrato[[#This Row],[DOCUMENTO ]],PERSONAL_ACTIVO_2025[[#All],[DOCUMENTO]],PERSONAL_ACTIVO_2025[[#All],[email]],0,0)</f>
        <v>#NAME?</v>
      </c>
      <c r="AP92" s="111" t="e" cm="1">
        <f t="array" aca="1" ref="AP92" ca="1">_xlfn.XLOOKUP(Contrato[[#This Row],[DOCUMENTO]],PERSONAL_ACTIVO_2025[[#All],[DOCUMENTO]],PERSONAL_ACTIVO_2025[[#All],[email]],0,0)</f>
        <v>#NAME?</v>
      </c>
      <c r="AQ92" s="111" cm="1">
        <f t="array" aca="1" ref="AQ92" ca="1">IF(ISBLANK(Contrato[[#This Row],[DEPENDENCIA ]]),0,IFERROR(_xlfn.XLOOKUP(Contrato[[#This Row],[DEPENDENCIA ]],#REF!,#REF!,0,0),0))</f>
        <v>0</v>
      </c>
      <c r="AR92" s="553">
        <f ca="1">+_xlfn.DAYS(Contrato[[#This Row],[FECHA TERMINACIÓN ]],TODAY())</f>
        <v>222</v>
      </c>
    </row>
    <row r="93" spans="1:44" s="111" customFormat="1" ht="36" customHeight="1" x14ac:dyDescent="0.25">
      <c r="A93" s="38">
        <v>273</v>
      </c>
      <c r="B93" s="226">
        <v>87</v>
      </c>
      <c r="C93" s="88" t="s">
        <v>471</v>
      </c>
      <c r="D93" s="192" t="s">
        <v>911</v>
      </c>
      <c r="E93" s="193" t="s">
        <v>112</v>
      </c>
      <c r="F93" s="194" t="s">
        <v>113</v>
      </c>
      <c r="G93" s="195" t="s">
        <v>1146</v>
      </c>
      <c r="H93" s="167">
        <v>1036614834</v>
      </c>
      <c r="I93" s="292">
        <v>5164201</v>
      </c>
      <c r="J93" s="290">
        <v>50609170</v>
      </c>
      <c r="K93" s="158" t="s">
        <v>41</v>
      </c>
      <c r="L93" s="196" t="s">
        <v>1087</v>
      </c>
      <c r="M93" s="114" t="s">
        <v>1091</v>
      </c>
      <c r="N93" s="113" t="e" cm="1">
        <f t="array" aca="1" ref="N93" ca="1">_xlfn.XLOOKUP(Contrato[[#This Row],[SUPERVISOR TITULAR]],PERSONAL_ACTIVO_2025[[#All],[NOMBRES Y APELLIDOS]],PERSONAL_ACTIVO_2025[[#All],[DOCUMENTO]],"",0)</f>
        <v>#NAME?</v>
      </c>
      <c r="O93" s="114" t="s">
        <v>938</v>
      </c>
      <c r="P93" s="115" t="e" cm="1">
        <f t="array" aca="1" ref="P93" ca="1">_xlfn.XLOOKUP(Contrato[[#This Row],[SUPERVISOR SUPLENTE ]],PERSONAL_ACTIVO_2025[[#All],[NOMBRES Y APELLIDOS]],PERSONAL_ACTIVO_2025[[#All],[DOCUMENTO]],"",0)</f>
        <v>#NAME?</v>
      </c>
      <c r="Q93" s="116">
        <v>107</v>
      </c>
      <c r="R93" s="137" t="e" cm="1">
        <f t="array" aca="1" ref="R93" ca="1">_xlfn.XLOOKUP(Contrato[[#This Row],[CDP]],DISPONIBILIDADES_2025[[#All],[consecutivo]],DISPONIBILIDADES_2025[[#All],[fecha_aprobacion]],"",0)</f>
        <v>#NAME?</v>
      </c>
      <c r="S93" s="92">
        <f>SUMIF(DISPONIBILIDADES_2025[[#All],[consecutivo]],Contrato[[#This Row],[CDP]],DISPONIBILIDADES_2025[[#All],[valor_total_rubro]])</f>
        <v>50609170</v>
      </c>
      <c r="T93" s="118" t="e" cm="1">
        <f t="array" aca="1" ref="T93" ca="1">_xlfn.XLOOKUP(Contrato[[#This Row],[CONTRATO]]&amp;Contrato[[#This Row],[CDP]],Corr_Contr_CDP[[#All],[CONTRATO-CDP]],Corr_Contr_CDP[[#All],[CRP]],_xlfn.XLOOKUP(Contrato[[#This Row],[CDP]],COMPROMISOS_2025[[#All],[disponibilidad]],COMPROMISOS_2025[[#All],[consecutivo]],"",0),0)</f>
        <v>#NAME?</v>
      </c>
      <c r="U93" s="117" t="e" cm="1">
        <f t="array" aca="1" ref="U93" ca="1">+_xlfn.XLOOKUP(Contrato[[#This Row],[RCP]],COMPROMISOS_2025[[#All],[consecutivo]],COMPROMISOS_2025[[#All],[fecha_aprobacion]],"",0)</f>
        <v>#NAME?</v>
      </c>
      <c r="V93" s="93">
        <f ca="1">SUMIF(COMPROMISOS_2025[[#All],[consecutivo]],Contrato[[#This Row],[RCP]],COMPROMISOS_2025[[#All],[valor_total]])</f>
        <v>0</v>
      </c>
      <c r="W93" s="169">
        <v>45707</v>
      </c>
      <c r="X93" s="243" t="s">
        <v>901</v>
      </c>
      <c r="Y93" s="96">
        <v>45709</v>
      </c>
      <c r="Z93" s="161">
        <v>46005</v>
      </c>
      <c r="AA93" s="311" t="s">
        <v>1143</v>
      </c>
      <c r="AB93" s="119" t="s">
        <v>1127</v>
      </c>
      <c r="AC93" s="298"/>
      <c r="AD93" s="279">
        <v>202000006197</v>
      </c>
      <c r="AE93" s="38" t="s">
        <v>904</v>
      </c>
      <c r="AF93" s="120" t="str">
        <f>TEXT(LEFT(Contrato[[#This Row],[CONTRATO]],3),"0")</f>
        <v>87</v>
      </c>
      <c r="AG93" s="120" t="str">
        <f>IF(LEN(Contrato[[#This Row],[Contrato2]])=3,Contrato[[#This Row],[Contrato2]],TEXT(Contrato[[#This Row],[Contrato2]],"000"))</f>
        <v>087</v>
      </c>
      <c r="AH93" s="90">
        <f ca="1">IFERROR(_xlfn.DAYS(Contrato[[#This Row],[Fecha Proyectada liquidación]],TODAY())/30,"")</f>
        <v>11.4</v>
      </c>
      <c r="AI93" s="121">
        <f>+Contrato[[#This Row],[FECHA TERMINACIÓN ]]+120</f>
        <v>46125</v>
      </c>
      <c r="AJ93" s="89"/>
      <c r="AK93" s="91" t="str">
        <f ca="1">IF(Contrato[[#This Row],[FECHA TERMINACIÓN ]]&lt;TODAY(), "Terminado",IF(ISNUMBER(Contrato[[#This Row],[Fecha Real de liquiidación ]]),"Liquidado",IF(Contrato[[#This Row],[FECHA TERMINACIÓN ]]&gt;=TODAY(),"En ejecución","")))</f>
        <v>En ejecución</v>
      </c>
      <c r="AL93" s="107">
        <f ca="1">SUMIF(COMPROMISOS_2025[[#All],[consecutivo]],Contrato[[#This Row],[RCP]],COMPROMISOS_2025[[#All],[Total pagado]])</f>
        <v>0</v>
      </c>
      <c r="AM93" s="122">
        <f ca="1">IFERROR(Contrato[[#This Row],[Pagos]]/Contrato[[#This Row],[VALOR CONTRATO]],0)</f>
        <v>0</v>
      </c>
      <c r="AN93" s="160">
        <f ca="1">+Contrato[[#This Row],[VALOR CONTRATO]]-Contrato[[#This Row],[Pagos]]</f>
        <v>50609170</v>
      </c>
      <c r="AO93" s="111" t="e" cm="1">
        <f t="array" aca="1" ref="AO93" ca="1">_xlfn.XLOOKUP(Contrato[[#This Row],[DOCUMENTO ]],PERSONAL_ACTIVO_2025[[#All],[DOCUMENTO]],PERSONAL_ACTIVO_2025[[#All],[email]],0,0)</f>
        <v>#NAME?</v>
      </c>
      <c r="AP93" s="111" t="e" cm="1">
        <f t="array" aca="1" ref="AP93" ca="1">_xlfn.XLOOKUP(Contrato[[#This Row],[DOCUMENTO]],PERSONAL_ACTIVO_2025[[#All],[DOCUMENTO]],PERSONAL_ACTIVO_2025[[#All],[email]],0,0)</f>
        <v>#NAME?</v>
      </c>
      <c r="AQ93" s="111" cm="1">
        <f t="array" aca="1" ref="AQ93" ca="1">IF(ISBLANK(Contrato[[#This Row],[DEPENDENCIA ]]),0,IFERROR(_xlfn.XLOOKUP(Contrato[[#This Row],[DEPENDENCIA ]],#REF!,#REF!,0,0),0))</f>
        <v>0</v>
      </c>
      <c r="AR93" s="553">
        <f ca="1">+_xlfn.DAYS(Contrato[[#This Row],[FECHA TERMINACIÓN ]],TODAY())</f>
        <v>222</v>
      </c>
    </row>
    <row r="94" spans="1:44" s="111" customFormat="1" ht="36" customHeight="1" x14ac:dyDescent="0.25">
      <c r="A94" s="38">
        <v>274</v>
      </c>
      <c r="B94" s="226">
        <v>88</v>
      </c>
      <c r="C94" s="88" t="s">
        <v>472</v>
      </c>
      <c r="D94" s="192" t="s">
        <v>911</v>
      </c>
      <c r="E94" s="193" t="s">
        <v>112</v>
      </c>
      <c r="F94" s="194" t="s">
        <v>113</v>
      </c>
      <c r="G94" s="195" t="s">
        <v>1147</v>
      </c>
      <c r="H94" s="167">
        <v>71526393</v>
      </c>
      <c r="I94" s="292">
        <v>4157906</v>
      </c>
      <c r="J94" s="290">
        <v>40747479</v>
      </c>
      <c r="K94" s="158" t="s">
        <v>41</v>
      </c>
      <c r="L94" s="196" t="s">
        <v>1087</v>
      </c>
      <c r="M94" s="114" t="s">
        <v>1091</v>
      </c>
      <c r="N94" s="113" t="e" cm="1">
        <f t="array" aca="1" ref="N94" ca="1">_xlfn.XLOOKUP(Contrato[[#This Row],[SUPERVISOR TITULAR]],PERSONAL_ACTIVO_2025[[#All],[NOMBRES Y APELLIDOS]],PERSONAL_ACTIVO_2025[[#All],[DOCUMENTO]],"",0)</f>
        <v>#NAME?</v>
      </c>
      <c r="O94" s="114" t="s">
        <v>938</v>
      </c>
      <c r="P94" s="115" t="e" cm="1">
        <f t="array" aca="1" ref="P94" ca="1">_xlfn.XLOOKUP(Contrato[[#This Row],[SUPERVISOR SUPLENTE ]],PERSONAL_ACTIVO_2025[[#All],[NOMBRES Y APELLIDOS]],PERSONAL_ACTIVO_2025[[#All],[DOCUMENTO]],"",0)</f>
        <v>#NAME?</v>
      </c>
      <c r="Q94" s="116">
        <v>108</v>
      </c>
      <c r="R94" s="137" t="e" cm="1">
        <f t="array" aca="1" ref="R94" ca="1">_xlfn.XLOOKUP(Contrato[[#This Row],[CDP]],DISPONIBILIDADES_2025[[#All],[consecutivo]],DISPONIBILIDADES_2025[[#All],[fecha_aprobacion]],"",0)</f>
        <v>#NAME?</v>
      </c>
      <c r="S94" s="92">
        <f>SUMIF(DISPONIBILIDADES_2025[[#All],[consecutivo]],Contrato[[#This Row],[CDP]],DISPONIBILIDADES_2025[[#All],[valor_total_rubro]])</f>
        <v>40747479</v>
      </c>
      <c r="T94" s="118" t="e" cm="1">
        <f t="array" aca="1" ref="T94" ca="1">_xlfn.XLOOKUP(Contrato[[#This Row],[CONTRATO]]&amp;Contrato[[#This Row],[CDP]],Corr_Contr_CDP[[#All],[CONTRATO-CDP]],Corr_Contr_CDP[[#All],[CRP]],_xlfn.XLOOKUP(Contrato[[#This Row],[CDP]],COMPROMISOS_2025[[#All],[disponibilidad]],COMPROMISOS_2025[[#All],[consecutivo]],"",0),0)</f>
        <v>#NAME?</v>
      </c>
      <c r="U94" s="117" t="e" cm="1">
        <f t="array" aca="1" ref="U94" ca="1">+_xlfn.XLOOKUP(Contrato[[#This Row],[RCP]],COMPROMISOS_2025[[#All],[consecutivo]],COMPROMISOS_2025[[#All],[fecha_aprobacion]],"",0)</f>
        <v>#NAME?</v>
      </c>
      <c r="V94" s="93">
        <f ca="1">SUMIF(COMPROMISOS_2025[[#All],[consecutivo]],Contrato[[#This Row],[RCP]],COMPROMISOS_2025[[#All],[valor_total]])</f>
        <v>0</v>
      </c>
      <c r="W94" s="169">
        <v>45707</v>
      </c>
      <c r="X94" s="243" t="s">
        <v>901</v>
      </c>
      <c r="Y94" s="96">
        <v>45709</v>
      </c>
      <c r="Z94" s="161">
        <v>46005</v>
      </c>
      <c r="AA94" s="311" t="s">
        <v>1130</v>
      </c>
      <c r="AB94" s="119" t="s">
        <v>1127</v>
      </c>
      <c r="AC94" s="298"/>
      <c r="AD94" s="279">
        <v>202000006199</v>
      </c>
      <c r="AE94" s="38" t="s">
        <v>904</v>
      </c>
      <c r="AF94" s="120" t="str">
        <f>TEXT(LEFT(Contrato[[#This Row],[CONTRATO]],3),"0")</f>
        <v>88</v>
      </c>
      <c r="AG94" s="120" t="str">
        <f>IF(LEN(Contrato[[#This Row],[Contrato2]])=3,Contrato[[#This Row],[Contrato2]],TEXT(Contrato[[#This Row],[Contrato2]],"000"))</f>
        <v>088</v>
      </c>
      <c r="AH94" s="90">
        <f ca="1">IFERROR(_xlfn.DAYS(Contrato[[#This Row],[Fecha Proyectada liquidación]],TODAY())/30,"")</f>
        <v>11.4</v>
      </c>
      <c r="AI94" s="121">
        <f>+Contrato[[#This Row],[FECHA TERMINACIÓN ]]+120</f>
        <v>46125</v>
      </c>
      <c r="AJ94" s="89"/>
      <c r="AK94" s="91" t="str">
        <f ca="1">IF(Contrato[[#This Row],[FECHA TERMINACIÓN ]]&lt;TODAY(), "Terminado",IF(ISNUMBER(Contrato[[#This Row],[Fecha Real de liquiidación ]]),"Liquidado",IF(Contrato[[#This Row],[FECHA TERMINACIÓN ]]&gt;=TODAY(),"En ejecución","")))</f>
        <v>En ejecución</v>
      </c>
      <c r="AL94" s="107">
        <f ca="1">SUMIF(COMPROMISOS_2025[[#All],[consecutivo]],Contrato[[#This Row],[RCP]],COMPROMISOS_2025[[#All],[Total pagado]])</f>
        <v>0</v>
      </c>
      <c r="AM94" s="122">
        <f ca="1">IFERROR(Contrato[[#This Row],[Pagos]]/Contrato[[#This Row],[VALOR CONTRATO]],0)</f>
        <v>0</v>
      </c>
      <c r="AN94" s="160">
        <f ca="1">+Contrato[[#This Row],[VALOR CONTRATO]]-Contrato[[#This Row],[Pagos]]</f>
        <v>40747479</v>
      </c>
      <c r="AO94" s="111" t="e" cm="1">
        <f t="array" aca="1" ref="AO94" ca="1">_xlfn.XLOOKUP(Contrato[[#This Row],[DOCUMENTO ]],PERSONAL_ACTIVO_2025[[#All],[DOCUMENTO]],PERSONAL_ACTIVO_2025[[#All],[email]],0,0)</f>
        <v>#NAME?</v>
      </c>
      <c r="AP94" s="111" t="e" cm="1">
        <f t="array" aca="1" ref="AP94" ca="1">_xlfn.XLOOKUP(Contrato[[#This Row],[DOCUMENTO]],PERSONAL_ACTIVO_2025[[#All],[DOCUMENTO]],PERSONAL_ACTIVO_2025[[#All],[email]],0,0)</f>
        <v>#NAME?</v>
      </c>
      <c r="AQ94" s="111" cm="1">
        <f t="array" aca="1" ref="AQ94" ca="1">IF(ISBLANK(Contrato[[#This Row],[DEPENDENCIA ]]),0,IFERROR(_xlfn.XLOOKUP(Contrato[[#This Row],[DEPENDENCIA ]],#REF!,#REF!,0,0),0))</f>
        <v>0</v>
      </c>
      <c r="AR94" s="553">
        <f ca="1">+_xlfn.DAYS(Contrato[[#This Row],[FECHA TERMINACIÓN ]],TODAY())</f>
        <v>222</v>
      </c>
    </row>
    <row r="95" spans="1:44" s="111" customFormat="1" ht="36" customHeight="1" x14ac:dyDescent="0.25">
      <c r="A95" s="38">
        <v>275</v>
      </c>
      <c r="B95" s="226">
        <v>89</v>
      </c>
      <c r="C95" s="88" t="s">
        <v>473</v>
      </c>
      <c r="D95" s="192" t="s">
        <v>911</v>
      </c>
      <c r="E95" s="193" t="s">
        <v>112</v>
      </c>
      <c r="F95" s="194" t="s">
        <v>113</v>
      </c>
      <c r="G95" s="195" t="s">
        <v>1148</v>
      </c>
      <c r="H95" s="167">
        <v>52152664</v>
      </c>
      <c r="I95" s="292">
        <v>6239569</v>
      </c>
      <c r="J95" s="290">
        <v>61147776</v>
      </c>
      <c r="K95" s="158" t="s">
        <v>41</v>
      </c>
      <c r="L95" s="196" t="s">
        <v>1087</v>
      </c>
      <c r="M95" s="114" t="s">
        <v>1091</v>
      </c>
      <c r="N95" s="113" t="e" cm="1">
        <f t="array" aca="1" ref="N95" ca="1">_xlfn.XLOOKUP(Contrato[[#This Row],[SUPERVISOR TITULAR]],PERSONAL_ACTIVO_2025[[#All],[NOMBRES Y APELLIDOS]],PERSONAL_ACTIVO_2025[[#All],[DOCUMENTO]],"",0)</f>
        <v>#NAME?</v>
      </c>
      <c r="O95" s="114" t="s">
        <v>938</v>
      </c>
      <c r="P95" s="115" t="e" cm="1">
        <f t="array" aca="1" ref="P95" ca="1">_xlfn.XLOOKUP(Contrato[[#This Row],[SUPERVISOR SUPLENTE ]],PERSONAL_ACTIVO_2025[[#All],[NOMBRES Y APELLIDOS]],PERSONAL_ACTIVO_2025[[#All],[DOCUMENTO]],"",0)</f>
        <v>#NAME?</v>
      </c>
      <c r="Q95" s="116">
        <v>109</v>
      </c>
      <c r="R95" s="137" t="e" cm="1">
        <f t="array" aca="1" ref="R95" ca="1">_xlfn.XLOOKUP(Contrato[[#This Row],[CDP]],DISPONIBILIDADES_2025[[#All],[consecutivo]],DISPONIBILIDADES_2025[[#All],[fecha_aprobacion]],"",0)</f>
        <v>#NAME?</v>
      </c>
      <c r="S95" s="92">
        <f>SUMIF(DISPONIBILIDADES_2025[[#All],[consecutivo]],Contrato[[#This Row],[CDP]],DISPONIBILIDADES_2025[[#All],[valor_total_rubro]])</f>
        <v>61147776</v>
      </c>
      <c r="T95" s="118" t="e" cm="1">
        <f t="array" aca="1" ref="T95" ca="1">_xlfn.XLOOKUP(Contrato[[#This Row],[CONTRATO]]&amp;Contrato[[#This Row],[CDP]],Corr_Contr_CDP[[#All],[CONTRATO-CDP]],Corr_Contr_CDP[[#All],[CRP]],_xlfn.XLOOKUP(Contrato[[#This Row],[CDP]],COMPROMISOS_2025[[#All],[disponibilidad]],COMPROMISOS_2025[[#All],[consecutivo]],"",0),0)</f>
        <v>#NAME?</v>
      </c>
      <c r="U95" s="117" t="e" cm="1">
        <f t="array" aca="1" ref="U95" ca="1">+_xlfn.XLOOKUP(Contrato[[#This Row],[RCP]],COMPROMISOS_2025[[#All],[consecutivo]],COMPROMISOS_2025[[#All],[fecha_aprobacion]],"",0)</f>
        <v>#NAME?</v>
      </c>
      <c r="V95" s="93">
        <f ca="1">SUMIF(COMPROMISOS_2025[[#All],[consecutivo]],Contrato[[#This Row],[RCP]],COMPROMISOS_2025[[#All],[valor_total]])</f>
        <v>0</v>
      </c>
      <c r="W95" s="169">
        <v>45707</v>
      </c>
      <c r="X95" s="243" t="s">
        <v>901</v>
      </c>
      <c r="Y95" s="96">
        <v>45709</v>
      </c>
      <c r="Z95" s="161">
        <v>46005</v>
      </c>
      <c r="AA95" s="311" t="s">
        <v>1143</v>
      </c>
      <c r="AB95" s="119" t="s">
        <v>1127</v>
      </c>
      <c r="AC95" s="298"/>
      <c r="AD95" s="279">
        <v>202000006202</v>
      </c>
      <c r="AE95" s="38" t="s">
        <v>904</v>
      </c>
      <c r="AF95" s="120" t="str">
        <f>TEXT(LEFT(Contrato[[#This Row],[CONTRATO]],3),"0")</f>
        <v>89</v>
      </c>
      <c r="AG95" s="120" t="str">
        <f>IF(LEN(Contrato[[#This Row],[Contrato2]])=3,Contrato[[#This Row],[Contrato2]],TEXT(Contrato[[#This Row],[Contrato2]],"000"))</f>
        <v>089</v>
      </c>
      <c r="AH95" s="90">
        <f ca="1">IFERROR(_xlfn.DAYS(Contrato[[#This Row],[Fecha Proyectada liquidación]],TODAY())/30,"")</f>
        <v>11.4</v>
      </c>
      <c r="AI95" s="121">
        <f>+Contrato[[#This Row],[FECHA TERMINACIÓN ]]+120</f>
        <v>46125</v>
      </c>
      <c r="AJ95" s="89"/>
      <c r="AK95" s="91" t="str">
        <f ca="1">IF(Contrato[[#This Row],[FECHA TERMINACIÓN ]]&lt;TODAY(), "Terminado",IF(ISNUMBER(Contrato[[#This Row],[Fecha Real de liquiidación ]]),"Liquidado",IF(Contrato[[#This Row],[FECHA TERMINACIÓN ]]&gt;=TODAY(),"En ejecución","")))</f>
        <v>En ejecución</v>
      </c>
      <c r="AL95" s="107">
        <f ca="1">SUMIF(COMPROMISOS_2025[[#All],[consecutivo]],Contrato[[#This Row],[RCP]],COMPROMISOS_2025[[#All],[Total pagado]])</f>
        <v>0</v>
      </c>
      <c r="AM95" s="122">
        <f ca="1">IFERROR(Contrato[[#This Row],[Pagos]]/Contrato[[#This Row],[VALOR CONTRATO]],0)</f>
        <v>0</v>
      </c>
      <c r="AN95" s="160">
        <f ca="1">+Contrato[[#This Row],[VALOR CONTRATO]]-Contrato[[#This Row],[Pagos]]</f>
        <v>61147776</v>
      </c>
      <c r="AO95" s="111" t="e" cm="1">
        <f t="array" aca="1" ref="AO95" ca="1">_xlfn.XLOOKUP(Contrato[[#This Row],[DOCUMENTO ]],PERSONAL_ACTIVO_2025[[#All],[DOCUMENTO]],PERSONAL_ACTIVO_2025[[#All],[email]],0,0)</f>
        <v>#NAME?</v>
      </c>
      <c r="AP95" s="111" t="e" cm="1">
        <f t="array" aca="1" ref="AP95" ca="1">_xlfn.XLOOKUP(Contrato[[#This Row],[DOCUMENTO]],PERSONAL_ACTIVO_2025[[#All],[DOCUMENTO]],PERSONAL_ACTIVO_2025[[#All],[email]],0,0)</f>
        <v>#NAME?</v>
      </c>
      <c r="AQ95" s="111" cm="1">
        <f t="array" aca="1" ref="AQ95" ca="1">IF(ISBLANK(Contrato[[#This Row],[DEPENDENCIA ]]),0,IFERROR(_xlfn.XLOOKUP(Contrato[[#This Row],[DEPENDENCIA ]],#REF!,#REF!,0,0),0))</f>
        <v>0</v>
      </c>
      <c r="AR95" s="553">
        <f ca="1">+_xlfn.DAYS(Contrato[[#This Row],[FECHA TERMINACIÓN ]],TODAY())</f>
        <v>222</v>
      </c>
    </row>
    <row r="96" spans="1:44" s="111" customFormat="1" ht="36" customHeight="1" x14ac:dyDescent="0.25">
      <c r="A96" s="38">
        <v>276</v>
      </c>
      <c r="B96" s="226">
        <v>90</v>
      </c>
      <c r="C96" s="88" t="s">
        <v>474</v>
      </c>
      <c r="D96" s="192" t="s">
        <v>911</v>
      </c>
      <c r="E96" s="193" t="s">
        <v>112</v>
      </c>
      <c r="F96" s="194" t="s">
        <v>113</v>
      </c>
      <c r="G96" s="195" t="s">
        <v>1149</v>
      </c>
      <c r="H96" s="167">
        <v>523298</v>
      </c>
      <c r="I96" s="292">
        <v>6239569</v>
      </c>
      <c r="J96" s="290">
        <v>61147776</v>
      </c>
      <c r="K96" s="158" t="s">
        <v>41</v>
      </c>
      <c r="L96" s="196" t="s">
        <v>1087</v>
      </c>
      <c r="M96" s="114" t="s">
        <v>1091</v>
      </c>
      <c r="N96" s="113" t="e" cm="1">
        <f t="array" aca="1" ref="N96" ca="1">_xlfn.XLOOKUP(Contrato[[#This Row],[SUPERVISOR TITULAR]],PERSONAL_ACTIVO_2025[[#All],[NOMBRES Y APELLIDOS]],PERSONAL_ACTIVO_2025[[#All],[DOCUMENTO]],"",0)</f>
        <v>#NAME?</v>
      </c>
      <c r="O96" s="114" t="s">
        <v>938</v>
      </c>
      <c r="P96" s="115" t="e" cm="1">
        <f t="array" aca="1" ref="P96" ca="1">_xlfn.XLOOKUP(Contrato[[#This Row],[SUPERVISOR SUPLENTE ]],PERSONAL_ACTIVO_2025[[#All],[NOMBRES Y APELLIDOS]],PERSONAL_ACTIVO_2025[[#All],[DOCUMENTO]],"",0)</f>
        <v>#NAME?</v>
      </c>
      <c r="Q96" s="116">
        <v>110</v>
      </c>
      <c r="R96" s="137" t="e" cm="1">
        <f t="array" aca="1" ref="R96" ca="1">_xlfn.XLOOKUP(Contrato[[#This Row],[CDP]],DISPONIBILIDADES_2025[[#All],[consecutivo]],DISPONIBILIDADES_2025[[#All],[fecha_aprobacion]],"",0)</f>
        <v>#NAME?</v>
      </c>
      <c r="S96" s="92">
        <f>SUMIF(DISPONIBILIDADES_2025[[#All],[consecutivo]],Contrato[[#This Row],[CDP]],DISPONIBILIDADES_2025[[#All],[valor_total_rubro]])</f>
        <v>61147776</v>
      </c>
      <c r="T96" s="118" t="e" cm="1">
        <f t="array" aca="1" ref="T96" ca="1">_xlfn.XLOOKUP(Contrato[[#This Row],[CONTRATO]]&amp;Contrato[[#This Row],[CDP]],Corr_Contr_CDP[[#All],[CONTRATO-CDP]],Corr_Contr_CDP[[#All],[CRP]],_xlfn.XLOOKUP(Contrato[[#This Row],[CDP]],COMPROMISOS_2025[[#All],[disponibilidad]],COMPROMISOS_2025[[#All],[consecutivo]],"",0),0)</f>
        <v>#NAME?</v>
      </c>
      <c r="U96" s="117" t="e" cm="1">
        <f t="array" aca="1" ref="U96" ca="1">+_xlfn.XLOOKUP(Contrato[[#This Row],[RCP]],COMPROMISOS_2025[[#All],[consecutivo]],COMPROMISOS_2025[[#All],[fecha_aprobacion]],"",0)</f>
        <v>#NAME?</v>
      </c>
      <c r="V96" s="93">
        <f ca="1">SUMIF(COMPROMISOS_2025[[#All],[consecutivo]],Contrato[[#This Row],[RCP]],COMPROMISOS_2025[[#All],[valor_total]])</f>
        <v>0</v>
      </c>
      <c r="W96" s="169">
        <v>45707</v>
      </c>
      <c r="X96" s="243" t="s">
        <v>901</v>
      </c>
      <c r="Y96" s="96">
        <v>45709</v>
      </c>
      <c r="Z96" s="161">
        <v>46005</v>
      </c>
      <c r="AA96" s="311" t="s">
        <v>1143</v>
      </c>
      <c r="AB96" s="119" t="s">
        <v>1127</v>
      </c>
      <c r="AC96" s="298"/>
      <c r="AD96" s="279">
        <v>202000006203</v>
      </c>
      <c r="AE96" s="38" t="s">
        <v>904</v>
      </c>
      <c r="AF96" s="120" t="str">
        <f>TEXT(LEFT(Contrato[[#This Row],[CONTRATO]],3),"0")</f>
        <v>90</v>
      </c>
      <c r="AG96" s="120" t="str">
        <f>IF(LEN(Contrato[[#This Row],[Contrato2]])=3,Contrato[[#This Row],[Contrato2]],TEXT(Contrato[[#This Row],[Contrato2]],"000"))</f>
        <v>090</v>
      </c>
      <c r="AH96" s="90">
        <f ca="1">IFERROR(_xlfn.DAYS(Contrato[[#This Row],[Fecha Proyectada liquidación]],TODAY())/30,"")</f>
        <v>11.4</v>
      </c>
      <c r="AI96" s="121">
        <f>+Contrato[[#This Row],[FECHA TERMINACIÓN ]]+120</f>
        <v>46125</v>
      </c>
      <c r="AJ96" s="89"/>
      <c r="AK96" s="91" t="str">
        <f ca="1">IF(Contrato[[#This Row],[FECHA TERMINACIÓN ]]&lt;TODAY(), "Terminado",IF(ISNUMBER(Contrato[[#This Row],[Fecha Real de liquiidación ]]),"Liquidado",IF(Contrato[[#This Row],[FECHA TERMINACIÓN ]]&gt;=TODAY(),"En ejecución","")))</f>
        <v>En ejecución</v>
      </c>
      <c r="AL96" s="107">
        <f ca="1">SUMIF(COMPROMISOS_2025[[#All],[consecutivo]],Contrato[[#This Row],[RCP]],COMPROMISOS_2025[[#All],[Total pagado]])</f>
        <v>0</v>
      </c>
      <c r="AM96" s="122">
        <f ca="1">IFERROR(Contrato[[#This Row],[Pagos]]/Contrato[[#This Row],[VALOR CONTRATO]],0)</f>
        <v>0</v>
      </c>
      <c r="AN96" s="160">
        <f ca="1">+Contrato[[#This Row],[VALOR CONTRATO]]-Contrato[[#This Row],[Pagos]]</f>
        <v>61147776</v>
      </c>
      <c r="AO96" s="111" t="e" cm="1">
        <f t="array" aca="1" ref="AO96" ca="1">_xlfn.XLOOKUP(Contrato[[#This Row],[DOCUMENTO ]],PERSONAL_ACTIVO_2025[[#All],[DOCUMENTO]],PERSONAL_ACTIVO_2025[[#All],[email]],0,0)</f>
        <v>#NAME?</v>
      </c>
      <c r="AP96" s="111" t="e" cm="1">
        <f t="array" aca="1" ref="AP96" ca="1">_xlfn.XLOOKUP(Contrato[[#This Row],[DOCUMENTO]],PERSONAL_ACTIVO_2025[[#All],[DOCUMENTO]],PERSONAL_ACTIVO_2025[[#All],[email]],0,0)</f>
        <v>#NAME?</v>
      </c>
      <c r="AQ96" s="111" cm="1">
        <f t="array" aca="1" ref="AQ96" ca="1">IF(ISBLANK(Contrato[[#This Row],[DEPENDENCIA ]]),0,IFERROR(_xlfn.XLOOKUP(Contrato[[#This Row],[DEPENDENCIA ]],#REF!,#REF!,0,0),0))</f>
        <v>0</v>
      </c>
      <c r="AR96" s="553">
        <f ca="1">+_xlfn.DAYS(Contrato[[#This Row],[FECHA TERMINACIÓN ]],TODAY())</f>
        <v>222</v>
      </c>
    </row>
    <row r="97" spans="1:44" s="111" customFormat="1" ht="36" customHeight="1" x14ac:dyDescent="0.25">
      <c r="A97" s="38">
        <v>277</v>
      </c>
      <c r="B97" s="226">
        <v>91</v>
      </c>
      <c r="C97" s="88" t="s">
        <v>475</v>
      </c>
      <c r="D97" s="192" t="s">
        <v>911</v>
      </c>
      <c r="E97" s="193" t="s">
        <v>112</v>
      </c>
      <c r="F97" s="194" t="s">
        <v>113</v>
      </c>
      <c r="G97" s="195" t="s">
        <v>1150</v>
      </c>
      <c r="H97" s="167">
        <v>98558933</v>
      </c>
      <c r="I97" s="292">
        <v>7280018</v>
      </c>
      <c r="J97" s="290">
        <v>71344176</v>
      </c>
      <c r="K97" s="158" t="s">
        <v>41</v>
      </c>
      <c r="L97" s="196" t="s">
        <v>1087</v>
      </c>
      <c r="M97" s="114" t="s">
        <v>1091</v>
      </c>
      <c r="N97" s="113" t="e" cm="1">
        <f t="array" aca="1" ref="N97" ca="1">_xlfn.XLOOKUP(Contrato[[#This Row],[SUPERVISOR TITULAR]],PERSONAL_ACTIVO_2025[[#All],[NOMBRES Y APELLIDOS]],PERSONAL_ACTIVO_2025[[#All],[DOCUMENTO]],"",0)</f>
        <v>#NAME?</v>
      </c>
      <c r="O97" s="114" t="s">
        <v>938</v>
      </c>
      <c r="P97" s="115" t="e" cm="1">
        <f t="array" aca="1" ref="P97" ca="1">_xlfn.XLOOKUP(Contrato[[#This Row],[SUPERVISOR SUPLENTE ]],PERSONAL_ACTIVO_2025[[#All],[NOMBRES Y APELLIDOS]],PERSONAL_ACTIVO_2025[[#All],[DOCUMENTO]],"",0)</f>
        <v>#NAME?</v>
      </c>
      <c r="Q97" s="116">
        <v>111</v>
      </c>
      <c r="R97" s="137" t="e" cm="1">
        <f t="array" aca="1" ref="R97" ca="1">_xlfn.XLOOKUP(Contrato[[#This Row],[CDP]],DISPONIBILIDADES_2025[[#All],[consecutivo]],DISPONIBILIDADES_2025[[#All],[fecha_aprobacion]],"",0)</f>
        <v>#NAME?</v>
      </c>
      <c r="S97" s="92">
        <f>SUMIF(DISPONIBILIDADES_2025[[#All],[consecutivo]],Contrato[[#This Row],[CDP]],DISPONIBILIDADES_2025[[#All],[valor_total_rubro]])</f>
        <v>71344176</v>
      </c>
      <c r="T97" s="118" t="e" cm="1">
        <f t="array" aca="1" ref="T97" ca="1">_xlfn.XLOOKUP(Contrato[[#This Row],[CONTRATO]]&amp;Contrato[[#This Row],[CDP]],Corr_Contr_CDP[[#All],[CONTRATO-CDP]],Corr_Contr_CDP[[#All],[CRP]],_xlfn.XLOOKUP(Contrato[[#This Row],[CDP]],COMPROMISOS_2025[[#All],[disponibilidad]],COMPROMISOS_2025[[#All],[consecutivo]],"",0),0)</f>
        <v>#NAME?</v>
      </c>
      <c r="U97" s="117" t="e" cm="1">
        <f t="array" aca="1" ref="U97" ca="1">+_xlfn.XLOOKUP(Contrato[[#This Row],[RCP]],COMPROMISOS_2025[[#All],[consecutivo]],COMPROMISOS_2025[[#All],[fecha_aprobacion]],"",0)</f>
        <v>#NAME?</v>
      </c>
      <c r="V97" s="93">
        <f ca="1">SUMIF(COMPROMISOS_2025[[#All],[consecutivo]],Contrato[[#This Row],[RCP]],COMPROMISOS_2025[[#All],[valor_total]])</f>
        <v>0</v>
      </c>
      <c r="W97" s="169">
        <v>45707</v>
      </c>
      <c r="X97" s="243" t="s">
        <v>901</v>
      </c>
      <c r="Y97" s="96">
        <v>45709</v>
      </c>
      <c r="Z97" s="161">
        <v>46005</v>
      </c>
      <c r="AA97" s="311" t="s">
        <v>1143</v>
      </c>
      <c r="AB97" s="119" t="s">
        <v>1127</v>
      </c>
      <c r="AC97" s="298"/>
      <c r="AD97" s="279">
        <v>202000006206</v>
      </c>
      <c r="AE97" s="38" t="s">
        <v>904</v>
      </c>
      <c r="AF97" s="120" t="str">
        <f>TEXT(LEFT(Contrato[[#This Row],[CONTRATO]],3),"0")</f>
        <v>91</v>
      </c>
      <c r="AG97" s="120" t="str">
        <f>IF(LEN(Contrato[[#This Row],[Contrato2]])=3,Contrato[[#This Row],[Contrato2]],TEXT(Contrato[[#This Row],[Contrato2]],"000"))</f>
        <v>091</v>
      </c>
      <c r="AH97" s="90">
        <f ca="1">IFERROR(_xlfn.DAYS(Contrato[[#This Row],[Fecha Proyectada liquidación]],TODAY())/30,"")</f>
        <v>11.4</v>
      </c>
      <c r="AI97" s="121">
        <f>+Contrato[[#This Row],[FECHA TERMINACIÓN ]]+120</f>
        <v>46125</v>
      </c>
      <c r="AJ97" s="89"/>
      <c r="AK97" s="91" t="str">
        <f ca="1">IF(Contrato[[#This Row],[FECHA TERMINACIÓN ]]&lt;TODAY(), "Terminado",IF(ISNUMBER(Contrato[[#This Row],[Fecha Real de liquiidación ]]),"Liquidado",IF(Contrato[[#This Row],[FECHA TERMINACIÓN ]]&gt;=TODAY(),"En ejecución","")))</f>
        <v>En ejecución</v>
      </c>
      <c r="AL97" s="107">
        <f ca="1">SUMIF(COMPROMISOS_2025[[#All],[consecutivo]],Contrato[[#This Row],[RCP]],COMPROMISOS_2025[[#All],[Total pagado]])</f>
        <v>0</v>
      </c>
      <c r="AM97" s="122">
        <f ca="1">IFERROR(Contrato[[#This Row],[Pagos]]/Contrato[[#This Row],[VALOR CONTRATO]],0)</f>
        <v>0</v>
      </c>
      <c r="AN97" s="160">
        <f ca="1">+Contrato[[#This Row],[VALOR CONTRATO]]-Contrato[[#This Row],[Pagos]]</f>
        <v>71344176</v>
      </c>
      <c r="AO97" s="111" t="e" cm="1">
        <f t="array" aca="1" ref="AO97" ca="1">_xlfn.XLOOKUP(Contrato[[#This Row],[DOCUMENTO ]],PERSONAL_ACTIVO_2025[[#All],[DOCUMENTO]],PERSONAL_ACTIVO_2025[[#All],[email]],0,0)</f>
        <v>#NAME?</v>
      </c>
      <c r="AP97" s="111" t="e" cm="1">
        <f t="array" aca="1" ref="AP97" ca="1">_xlfn.XLOOKUP(Contrato[[#This Row],[DOCUMENTO]],PERSONAL_ACTIVO_2025[[#All],[DOCUMENTO]],PERSONAL_ACTIVO_2025[[#All],[email]],0,0)</f>
        <v>#NAME?</v>
      </c>
      <c r="AQ97" s="111" cm="1">
        <f t="array" aca="1" ref="AQ97" ca="1">IF(ISBLANK(Contrato[[#This Row],[DEPENDENCIA ]]),0,IFERROR(_xlfn.XLOOKUP(Contrato[[#This Row],[DEPENDENCIA ]],#REF!,#REF!,0,0),0))</f>
        <v>0</v>
      </c>
      <c r="AR97" s="553">
        <f ca="1">+_xlfn.DAYS(Contrato[[#This Row],[FECHA TERMINACIÓN ]],TODAY())</f>
        <v>222</v>
      </c>
    </row>
    <row r="98" spans="1:44" s="111" customFormat="1" ht="36" customHeight="1" x14ac:dyDescent="0.25">
      <c r="A98" s="38">
        <v>278</v>
      </c>
      <c r="B98" s="226">
        <v>92</v>
      </c>
      <c r="C98" s="88" t="s">
        <v>476</v>
      </c>
      <c r="D98" s="192" t="s">
        <v>911</v>
      </c>
      <c r="E98" s="193" t="s">
        <v>112</v>
      </c>
      <c r="F98" s="194" t="s">
        <v>113</v>
      </c>
      <c r="G98" s="195" t="s">
        <v>1151</v>
      </c>
      <c r="H98" s="167">
        <v>71338359</v>
      </c>
      <c r="I98" s="292">
        <v>5164201</v>
      </c>
      <c r="J98" s="290">
        <v>50609170</v>
      </c>
      <c r="K98" s="158" t="s">
        <v>41</v>
      </c>
      <c r="L98" s="196" t="s">
        <v>1087</v>
      </c>
      <c r="M98" s="114" t="s">
        <v>1091</v>
      </c>
      <c r="N98" s="113" t="e" cm="1">
        <f t="array" aca="1" ref="N98" ca="1">_xlfn.XLOOKUP(Contrato[[#This Row],[SUPERVISOR TITULAR]],PERSONAL_ACTIVO_2025[[#All],[NOMBRES Y APELLIDOS]],PERSONAL_ACTIVO_2025[[#All],[DOCUMENTO]],"",0)</f>
        <v>#NAME?</v>
      </c>
      <c r="O98" s="114" t="s">
        <v>938</v>
      </c>
      <c r="P98" s="115" t="e" cm="1">
        <f t="array" aca="1" ref="P98" ca="1">_xlfn.XLOOKUP(Contrato[[#This Row],[SUPERVISOR SUPLENTE ]],PERSONAL_ACTIVO_2025[[#All],[NOMBRES Y APELLIDOS]],PERSONAL_ACTIVO_2025[[#All],[DOCUMENTO]],"",0)</f>
        <v>#NAME?</v>
      </c>
      <c r="Q98" s="116">
        <v>112</v>
      </c>
      <c r="R98" s="137" t="e" cm="1">
        <f t="array" aca="1" ref="R98" ca="1">_xlfn.XLOOKUP(Contrato[[#This Row],[CDP]],DISPONIBILIDADES_2025[[#All],[consecutivo]],DISPONIBILIDADES_2025[[#All],[fecha_aprobacion]],"",0)</f>
        <v>#NAME?</v>
      </c>
      <c r="S98" s="92">
        <f>SUMIF(DISPONIBILIDADES_2025[[#All],[consecutivo]],Contrato[[#This Row],[CDP]],DISPONIBILIDADES_2025[[#All],[valor_total_rubro]])</f>
        <v>50609170</v>
      </c>
      <c r="T98" s="118" t="e" cm="1">
        <f t="array" aca="1" ref="T98" ca="1">_xlfn.XLOOKUP(Contrato[[#This Row],[CONTRATO]]&amp;Contrato[[#This Row],[CDP]],Corr_Contr_CDP[[#All],[CONTRATO-CDP]],Corr_Contr_CDP[[#All],[CRP]],_xlfn.XLOOKUP(Contrato[[#This Row],[CDP]],COMPROMISOS_2025[[#All],[disponibilidad]],COMPROMISOS_2025[[#All],[consecutivo]],"",0),0)</f>
        <v>#NAME?</v>
      </c>
      <c r="U98" s="117" t="e" cm="1">
        <f t="array" aca="1" ref="U98" ca="1">+_xlfn.XLOOKUP(Contrato[[#This Row],[RCP]],COMPROMISOS_2025[[#All],[consecutivo]],COMPROMISOS_2025[[#All],[fecha_aprobacion]],"",0)</f>
        <v>#NAME?</v>
      </c>
      <c r="V98" s="93">
        <f ca="1">SUMIF(COMPROMISOS_2025[[#All],[consecutivo]],Contrato[[#This Row],[RCP]],COMPROMISOS_2025[[#All],[valor_total]])</f>
        <v>0</v>
      </c>
      <c r="W98" s="169">
        <v>45707</v>
      </c>
      <c r="X98" s="243" t="s">
        <v>901</v>
      </c>
      <c r="Y98" s="96">
        <v>45709</v>
      </c>
      <c r="Z98" s="161">
        <v>46005</v>
      </c>
      <c r="AA98" s="311" t="s">
        <v>1143</v>
      </c>
      <c r="AB98" s="119" t="s">
        <v>1127</v>
      </c>
      <c r="AC98" s="298"/>
      <c r="AD98" s="279">
        <v>202000006207</v>
      </c>
      <c r="AE98" s="38" t="s">
        <v>904</v>
      </c>
      <c r="AF98" s="120" t="str">
        <f>TEXT(LEFT(Contrato[[#This Row],[CONTRATO]],3),"0")</f>
        <v>92</v>
      </c>
      <c r="AG98" s="120" t="str">
        <f>IF(LEN(Contrato[[#This Row],[Contrato2]])=3,Contrato[[#This Row],[Contrato2]],TEXT(Contrato[[#This Row],[Contrato2]],"000"))</f>
        <v>092</v>
      </c>
      <c r="AH98" s="90">
        <f ca="1">IFERROR(_xlfn.DAYS(Contrato[[#This Row],[Fecha Proyectada liquidación]],TODAY())/30,"")</f>
        <v>11.4</v>
      </c>
      <c r="AI98" s="121">
        <f>+Contrato[[#This Row],[FECHA TERMINACIÓN ]]+120</f>
        <v>46125</v>
      </c>
      <c r="AJ98" s="89"/>
      <c r="AK98" s="91" t="str">
        <f ca="1">IF(Contrato[[#This Row],[FECHA TERMINACIÓN ]]&lt;TODAY(), "Terminado",IF(ISNUMBER(Contrato[[#This Row],[Fecha Real de liquiidación ]]),"Liquidado",IF(Contrato[[#This Row],[FECHA TERMINACIÓN ]]&gt;=TODAY(),"En ejecución","")))</f>
        <v>En ejecución</v>
      </c>
      <c r="AL98" s="107">
        <f ca="1">SUMIF(COMPROMISOS_2025[[#All],[consecutivo]],Contrato[[#This Row],[RCP]],COMPROMISOS_2025[[#All],[Total pagado]])</f>
        <v>0</v>
      </c>
      <c r="AM98" s="122">
        <f ca="1">IFERROR(Contrato[[#This Row],[Pagos]]/Contrato[[#This Row],[VALOR CONTRATO]],0)</f>
        <v>0</v>
      </c>
      <c r="AN98" s="160">
        <f ca="1">+Contrato[[#This Row],[VALOR CONTRATO]]-Contrato[[#This Row],[Pagos]]</f>
        <v>50609170</v>
      </c>
      <c r="AO98" s="111" t="e" cm="1">
        <f t="array" aca="1" ref="AO98" ca="1">_xlfn.XLOOKUP(Contrato[[#This Row],[DOCUMENTO ]],PERSONAL_ACTIVO_2025[[#All],[DOCUMENTO]],PERSONAL_ACTIVO_2025[[#All],[email]],0,0)</f>
        <v>#NAME?</v>
      </c>
      <c r="AP98" s="111" t="e" cm="1">
        <f t="array" aca="1" ref="AP98" ca="1">_xlfn.XLOOKUP(Contrato[[#This Row],[DOCUMENTO]],PERSONAL_ACTIVO_2025[[#All],[DOCUMENTO]],PERSONAL_ACTIVO_2025[[#All],[email]],0,0)</f>
        <v>#NAME?</v>
      </c>
      <c r="AQ98" s="111" cm="1">
        <f t="array" aca="1" ref="AQ98" ca="1">IF(ISBLANK(Contrato[[#This Row],[DEPENDENCIA ]]),0,IFERROR(_xlfn.XLOOKUP(Contrato[[#This Row],[DEPENDENCIA ]],#REF!,#REF!,0,0),0))</f>
        <v>0</v>
      </c>
      <c r="AR98" s="553">
        <f ca="1">+_xlfn.DAYS(Contrato[[#This Row],[FECHA TERMINACIÓN ]],TODAY())</f>
        <v>222</v>
      </c>
    </row>
    <row r="99" spans="1:44" s="111" customFormat="1" ht="36" customHeight="1" x14ac:dyDescent="0.25">
      <c r="A99" s="38">
        <v>279</v>
      </c>
      <c r="B99" s="226">
        <v>93</v>
      </c>
      <c r="C99" s="88" t="s">
        <v>477</v>
      </c>
      <c r="D99" s="192" t="s">
        <v>911</v>
      </c>
      <c r="E99" s="193" t="s">
        <v>112</v>
      </c>
      <c r="F99" s="194" t="s">
        <v>113</v>
      </c>
      <c r="G99" s="195" t="s">
        <v>1152</v>
      </c>
      <c r="H99" s="167">
        <v>16225228</v>
      </c>
      <c r="I99" s="292">
        <v>5164201</v>
      </c>
      <c r="J99" s="290">
        <v>50609170</v>
      </c>
      <c r="K99" s="158" t="s">
        <v>41</v>
      </c>
      <c r="L99" s="196" t="s">
        <v>1087</v>
      </c>
      <c r="M99" s="114" t="s">
        <v>1091</v>
      </c>
      <c r="N99" s="113" t="e" cm="1">
        <f t="array" aca="1" ref="N99" ca="1">_xlfn.XLOOKUP(Contrato[[#This Row],[SUPERVISOR TITULAR]],PERSONAL_ACTIVO_2025[[#All],[NOMBRES Y APELLIDOS]],PERSONAL_ACTIVO_2025[[#All],[DOCUMENTO]],"",0)</f>
        <v>#NAME?</v>
      </c>
      <c r="O99" s="114" t="s">
        <v>938</v>
      </c>
      <c r="P99" s="115" t="e" cm="1">
        <f t="array" aca="1" ref="P99" ca="1">_xlfn.XLOOKUP(Contrato[[#This Row],[SUPERVISOR SUPLENTE ]],PERSONAL_ACTIVO_2025[[#All],[NOMBRES Y APELLIDOS]],PERSONAL_ACTIVO_2025[[#All],[DOCUMENTO]],"",0)</f>
        <v>#NAME?</v>
      </c>
      <c r="Q99" s="116">
        <v>113</v>
      </c>
      <c r="R99" s="137" t="e" cm="1">
        <f t="array" aca="1" ref="R99" ca="1">_xlfn.XLOOKUP(Contrato[[#This Row],[CDP]],DISPONIBILIDADES_2025[[#All],[consecutivo]],DISPONIBILIDADES_2025[[#All],[fecha_aprobacion]],"",0)</f>
        <v>#NAME?</v>
      </c>
      <c r="S99" s="92">
        <f>SUMIF(DISPONIBILIDADES_2025[[#All],[consecutivo]],Contrato[[#This Row],[CDP]],DISPONIBILIDADES_2025[[#All],[valor_total_rubro]])</f>
        <v>50609170</v>
      </c>
      <c r="T99" s="118" t="e" cm="1">
        <f t="array" aca="1" ref="T99" ca="1">_xlfn.XLOOKUP(Contrato[[#This Row],[CONTRATO]]&amp;Contrato[[#This Row],[CDP]],Corr_Contr_CDP[[#All],[CONTRATO-CDP]],Corr_Contr_CDP[[#All],[CRP]],_xlfn.XLOOKUP(Contrato[[#This Row],[CDP]],COMPROMISOS_2025[[#All],[disponibilidad]],COMPROMISOS_2025[[#All],[consecutivo]],"",0),0)</f>
        <v>#NAME?</v>
      </c>
      <c r="U99" s="117" t="e" cm="1">
        <f t="array" aca="1" ref="U99" ca="1">+_xlfn.XLOOKUP(Contrato[[#This Row],[RCP]],COMPROMISOS_2025[[#All],[consecutivo]],COMPROMISOS_2025[[#All],[fecha_aprobacion]],"",0)</f>
        <v>#NAME?</v>
      </c>
      <c r="V99" s="93">
        <f ca="1">SUMIF(COMPROMISOS_2025[[#All],[consecutivo]],Contrato[[#This Row],[RCP]],COMPROMISOS_2025[[#All],[valor_total]])</f>
        <v>0</v>
      </c>
      <c r="W99" s="169">
        <v>45707</v>
      </c>
      <c r="X99" s="243" t="s">
        <v>901</v>
      </c>
      <c r="Y99" s="96">
        <v>45709</v>
      </c>
      <c r="Z99" s="161">
        <v>46005</v>
      </c>
      <c r="AA99" s="311" t="s">
        <v>1143</v>
      </c>
      <c r="AB99" s="119" t="s">
        <v>1127</v>
      </c>
      <c r="AC99" s="298"/>
      <c r="AD99" s="279">
        <v>202000006208</v>
      </c>
      <c r="AE99" s="38" t="s">
        <v>904</v>
      </c>
      <c r="AF99" s="120" t="str">
        <f>TEXT(LEFT(Contrato[[#This Row],[CONTRATO]],3),"0")</f>
        <v>93</v>
      </c>
      <c r="AG99" s="120" t="str">
        <f>IF(LEN(Contrato[[#This Row],[Contrato2]])=3,Contrato[[#This Row],[Contrato2]],TEXT(Contrato[[#This Row],[Contrato2]],"000"))</f>
        <v>093</v>
      </c>
      <c r="AH99" s="90">
        <f ca="1">IFERROR(_xlfn.DAYS(Contrato[[#This Row],[Fecha Proyectada liquidación]],TODAY())/30,"")</f>
        <v>11.4</v>
      </c>
      <c r="AI99" s="121">
        <f>+Contrato[[#This Row],[FECHA TERMINACIÓN ]]+120</f>
        <v>46125</v>
      </c>
      <c r="AJ99" s="89"/>
      <c r="AK99" s="91" t="str">
        <f ca="1">IF(Contrato[[#This Row],[FECHA TERMINACIÓN ]]&lt;TODAY(), "Terminado",IF(ISNUMBER(Contrato[[#This Row],[Fecha Real de liquiidación ]]),"Liquidado",IF(Contrato[[#This Row],[FECHA TERMINACIÓN ]]&gt;=TODAY(),"En ejecución","")))</f>
        <v>En ejecución</v>
      </c>
      <c r="AL99" s="107">
        <f ca="1">SUMIF(COMPROMISOS_2025[[#All],[consecutivo]],Contrato[[#This Row],[RCP]],COMPROMISOS_2025[[#All],[Total pagado]])</f>
        <v>0</v>
      </c>
      <c r="AM99" s="122">
        <f ca="1">IFERROR(Contrato[[#This Row],[Pagos]]/Contrato[[#This Row],[VALOR CONTRATO]],0)</f>
        <v>0</v>
      </c>
      <c r="AN99" s="160">
        <f ca="1">+Contrato[[#This Row],[VALOR CONTRATO]]-Contrato[[#This Row],[Pagos]]</f>
        <v>50609170</v>
      </c>
      <c r="AO99" s="111" t="e" cm="1">
        <f t="array" aca="1" ref="AO99" ca="1">_xlfn.XLOOKUP(Contrato[[#This Row],[DOCUMENTO ]],PERSONAL_ACTIVO_2025[[#All],[DOCUMENTO]],PERSONAL_ACTIVO_2025[[#All],[email]],0,0)</f>
        <v>#NAME?</v>
      </c>
      <c r="AP99" s="111" t="e" cm="1">
        <f t="array" aca="1" ref="AP99" ca="1">_xlfn.XLOOKUP(Contrato[[#This Row],[DOCUMENTO]],PERSONAL_ACTIVO_2025[[#All],[DOCUMENTO]],PERSONAL_ACTIVO_2025[[#All],[email]],0,0)</f>
        <v>#NAME?</v>
      </c>
      <c r="AQ99" s="111" cm="1">
        <f t="array" aca="1" ref="AQ99" ca="1">IF(ISBLANK(Contrato[[#This Row],[DEPENDENCIA ]]),0,IFERROR(_xlfn.XLOOKUP(Contrato[[#This Row],[DEPENDENCIA ]],#REF!,#REF!,0,0),0))</f>
        <v>0</v>
      </c>
      <c r="AR99" s="553">
        <f ca="1">+_xlfn.DAYS(Contrato[[#This Row],[FECHA TERMINACIÓN ]],TODAY())</f>
        <v>222</v>
      </c>
    </row>
    <row r="100" spans="1:44" s="111" customFormat="1" ht="36" customHeight="1" x14ac:dyDescent="0.25">
      <c r="A100" s="38">
        <v>280</v>
      </c>
      <c r="B100" s="226">
        <v>94</v>
      </c>
      <c r="C100" s="88" t="s">
        <v>478</v>
      </c>
      <c r="D100" s="192" t="s">
        <v>911</v>
      </c>
      <c r="E100" s="193" t="s">
        <v>112</v>
      </c>
      <c r="F100" s="194" t="s">
        <v>113</v>
      </c>
      <c r="G100" s="195" t="s">
        <v>1153</v>
      </c>
      <c r="H100" s="167">
        <v>1128478578</v>
      </c>
      <c r="I100" s="292">
        <v>4157906</v>
      </c>
      <c r="J100" s="290">
        <v>40747479</v>
      </c>
      <c r="K100" s="158" t="s">
        <v>41</v>
      </c>
      <c r="L100" s="196" t="s">
        <v>1087</v>
      </c>
      <c r="M100" s="114" t="s">
        <v>1091</v>
      </c>
      <c r="N100" s="113" t="e" cm="1">
        <f t="array" aca="1" ref="N100" ca="1">_xlfn.XLOOKUP(Contrato[[#This Row],[SUPERVISOR TITULAR]],PERSONAL_ACTIVO_2025[[#All],[NOMBRES Y APELLIDOS]],PERSONAL_ACTIVO_2025[[#All],[DOCUMENTO]],"",0)</f>
        <v>#NAME?</v>
      </c>
      <c r="O100" s="114" t="s">
        <v>938</v>
      </c>
      <c r="P100" s="115" t="e" cm="1">
        <f t="array" aca="1" ref="P100" ca="1">_xlfn.XLOOKUP(Contrato[[#This Row],[SUPERVISOR SUPLENTE ]],PERSONAL_ACTIVO_2025[[#All],[NOMBRES Y APELLIDOS]],PERSONAL_ACTIVO_2025[[#All],[DOCUMENTO]],"",0)</f>
        <v>#NAME?</v>
      </c>
      <c r="Q100" s="116">
        <v>114</v>
      </c>
      <c r="R100" s="137" t="e" cm="1">
        <f t="array" aca="1" ref="R100" ca="1">_xlfn.XLOOKUP(Contrato[[#This Row],[CDP]],DISPONIBILIDADES_2025[[#All],[consecutivo]],DISPONIBILIDADES_2025[[#All],[fecha_aprobacion]],"",0)</f>
        <v>#NAME?</v>
      </c>
      <c r="S100" s="92">
        <f>SUMIF(DISPONIBILIDADES_2025[[#All],[consecutivo]],Contrato[[#This Row],[CDP]],DISPONIBILIDADES_2025[[#All],[valor_total_rubro]])</f>
        <v>40747479</v>
      </c>
      <c r="T100" s="118" t="e" cm="1">
        <f t="array" aca="1" ref="T100" ca="1">_xlfn.XLOOKUP(Contrato[[#This Row],[CONTRATO]]&amp;Contrato[[#This Row],[CDP]],Corr_Contr_CDP[[#All],[CONTRATO-CDP]],Corr_Contr_CDP[[#All],[CRP]],_xlfn.XLOOKUP(Contrato[[#This Row],[CDP]],COMPROMISOS_2025[[#All],[disponibilidad]],COMPROMISOS_2025[[#All],[consecutivo]],"",0),0)</f>
        <v>#NAME?</v>
      </c>
      <c r="U100" s="117" t="e" cm="1">
        <f t="array" aca="1" ref="U100" ca="1">+_xlfn.XLOOKUP(Contrato[[#This Row],[RCP]],COMPROMISOS_2025[[#All],[consecutivo]],COMPROMISOS_2025[[#All],[fecha_aprobacion]],"",0)</f>
        <v>#NAME?</v>
      </c>
      <c r="V100" s="93">
        <f ca="1">SUMIF(COMPROMISOS_2025[[#All],[consecutivo]],Contrato[[#This Row],[RCP]],COMPROMISOS_2025[[#All],[valor_total]])</f>
        <v>0</v>
      </c>
      <c r="W100" s="169">
        <v>45708</v>
      </c>
      <c r="X100" s="243" t="s">
        <v>901</v>
      </c>
      <c r="Y100" s="96">
        <v>45710</v>
      </c>
      <c r="Z100" s="161">
        <v>46005</v>
      </c>
      <c r="AA100" s="311" t="s">
        <v>1130</v>
      </c>
      <c r="AB100" s="119" t="s">
        <v>1127</v>
      </c>
      <c r="AC100" s="298"/>
      <c r="AD100" s="279">
        <v>202000006209</v>
      </c>
      <c r="AE100" s="38" t="s">
        <v>904</v>
      </c>
      <c r="AF100" s="120" t="str">
        <f>TEXT(LEFT(Contrato[[#This Row],[CONTRATO]],3),"0")</f>
        <v>94</v>
      </c>
      <c r="AG100" s="120" t="str">
        <f>IF(LEN(Contrato[[#This Row],[Contrato2]])=3,Contrato[[#This Row],[Contrato2]],TEXT(Contrato[[#This Row],[Contrato2]],"000"))</f>
        <v>094</v>
      </c>
      <c r="AH100" s="90">
        <f ca="1">IFERROR(_xlfn.DAYS(Contrato[[#This Row],[Fecha Proyectada liquidación]],TODAY())/30,"")</f>
        <v>11.4</v>
      </c>
      <c r="AI100" s="121">
        <f>+Contrato[[#This Row],[FECHA TERMINACIÓN ]]+120</f>
        <v>46125</v>
      </c>
      <c r="AJ100" s="89"/>
      <c r="AK100" s="91" t="str">
        <f ca="1">IF(Contrato[[#This Row],[FECHA TERMINACIÓN ]]&lt;TODAY(), "Terminado",IF(ISNUMBER(Contrato[[#This Row],[Fecha Real de liquiidación ]]),"Liquidado",IF(Contrato[[#This Row],[FECHA TERMINACIÓN ]]&gt;=TODAY(),"En ejecución","")))</f>
        <v>En ejecución</v>
      </c>
      <c r="AL100" s="107">
        <f ca="1">SUMIF(COMPROMISOS_2025[[#All],[consecutivo]],Contrato[[#This Row],[RCP]],COMPROMISOS_2025[[#All],[Total pagado]])</f>
        <v>0</v>
      </c>
      <c r="AM100" s="122">
        <f ca="1">IFERROR(Contrato[[#This Row],[Pagos]]/Contrato[[#This Row],[VALOR CONTRATO]],0)</f>
        <v>0</v>
      </c>
      <c r="AN100" s="160">
        <f ca="1">+Contrato[[#This Row],[VALOR CONTRATO]]-Contrato[[#This Row],[Pagos]]</f>
        <v>40747479</v>
      </c>
      <c r="AO100" s="111" t="e" cm="1">
        <f t="array" aca="1" ref="AO100" ca="1">_xlfn.XLOOKUP(Contrato[[#This Row],[DOCUMENTO ]],PERSONAL_ACTIVO_2025[[#All],[DOCUMENTO]],PERSONAL_ACTIVO_2025[[#All],[email]],0,0)</f>
        <v>#NAME?</v>
      </c>
      <c r="AP100" s="111" t="e" cm="1">
        <f t="array" aca="1" ref="AP100" ca="1">_xlfn.XLOOKUP(Contrato[[#This Row],[DOCUMENTO]],PERSONAL_ACTIVO_2025[[#All],[DOCUMENTO]],PERSONAL_ACTIVO_2025[[#All],[email]],0,0)</f>
        <v>#NAME?</v>
      </c>
      <c r="AQ100" s="111" cm="1">
        <f t="array" aca="1" ref="AQ100" ca="1">IF(ISBLANK(Contrato[[#This Row],[DEPENDENCIA ]]),0,IFERROR(_xlfn.XLOOKUP(Contrato[[#This Row],[DEPENDENCIA ]],#REF!,#REF!,0,0),0))</f>
        <v>0</v>
      </c>
      <c r="AR100" s="553">
        <f ca="1">+_xlfn.DAYS(Contrato[[#This Row],[FECHA TERMINACIÓN ]],TODAY())</f>
        <v>222</v>
      </c>
    </row>
    <row r="101" spans="1:44" s="111" customFormat="1" ht="36" customHeight="1" x14ac:dyDescent="0.25">
      <c r="A101" s="38">
        <v>282</v>
      </c>
      <c r="B101" s="226">
        <v>95</v>
      </c>
      <c r="C101" s="88" t="s">
        <v>480</v>
      </c>
      <c r="D101" s="192" t="s">
        <v>911</v>
      </c>
      <c r="E101" s="193" t="s">
        <v>112</v>
      </c>
      <c r="F101" s="194" t="s">
        <v>113</v>
      </c>
      <c r="G101" s="195" t="s">
        <v>1154</v>
      </c>
      <c r="H101" s="167">
        <v>8439119</v>
      </c>
      <c r="I101" s="292">
        <v>6239569</v>
      </c>
      <c r="J101" s="290">
        <v>61147776</v>
      </c>
      <c r="K101" s="158" t="s">
        <v>41</v>
      </c>
      <c r="L101" s="196" t="s">
        <v>1087</v>
      </c>
      <c r="M101" s="114" t="s">
        <v>1091</v>
      </c>
      <c r="N101" s="113" t="e" cm="1">
        <f t="array" aca="1" ref="N101" ca="1">_xlfn.XLOOKUP(Contrato[[#This Row],[SUPERVISOR TITULAR]],PERSONAL_ACTIVO_2025[[#All],[NOMBRES Y APELLIDOS]],PERSONAL_ACTIVO_2025[[#All],[DOCUMENTO]],"",0)</f>
        <v>#NAME?</v>
      </c>
      <c r="O101" s="114" t="s">
        <v>938</v>
      </c>
      <c r="P101" s="115" t="e" cm="1">
        <f t="array" aca="1" ref="P101" ca="1">_xlfn.XLOOKUP(Contrato[[#This Row],[SUPERVISOR SUPLENTE ]],PERSONAL_ACTIVO_2025[[#All],[NOMBRES Y APELLIDOS]],PERSONAL_ACTIVO_2025[[#All],[DOCUMENTO]],"",0)</f>
        <v>#NAME?</v>
      </c>
      <c r="Q101" s="116">
        <v>116</v>
      </c>
      <c r="R101" s="137" t="e" cm="1">
        <f t="array" aca="1" ref="R101" ca="1">_xlfn.XLOOKUP(Contrato[[#This Row],[CDP]],DISPONIBILIDADES_2025[[#All],[consecutivo]],DISPONIBILIDADES_2025[[#All],[fecha_aprobacion]],"",0)</f>
        <v>#NAME?</v>
      </c>
      <c r="S101" s="92">
        <f>SUMIF(DISPONIBILIDADES_2025[[#All],[consecutivo]],Contrato[[#This Row],[CDP]],DISPONIBILIDADES_2025[[#All],[valor_total_rubro]])</f>
        <v>61147776</v>
      </c>
      <c r="T101" s="118" t="e" cm="1">
        <f t="array" aca="1" ref="T101" ca="1">_xlfn.XLOOKUP(Contrato[[#This Row],[CONTRATO]]&amp;Contrato[[#This Row],[CDP]],Corr_Contr_CDP[[#All],[CONTRATO-CDP]],Corr_Contr_CDP[[#All],[CRP]],_xlfn.XLOOKUP(Contrato[[#This Row],[CDP]],COMPROMISOS_2025[[#All],[disponibilidad]],COMPROMISOS_2025[[#All],[consecutivo]],"",0),0)</f>
        <v>#NAME?</v>
      </c>
      <c r="U101" s="117" t="e" cm="1">
        <f t="array" aca="1" ref="U101" ca="1">+_xlfn.XLOOKUP(Contrato[[#This Row],[RCP]],COMPROMISOS_2025[[#All],[consecutivo]],COMPROMISOS_2025[[#All],[fecha_aprobacion]],"",0)</f>
        <v>#NAME?</v>
      </c>
      <c r="V101" s="93">
        <f ca="1">SUMIF(COMPROMISOS_2025[[#All],[consecutivo]],Contrato[[#This Row],[RCP]],COMPROMISOS_2025[[#All],[valor_total]])</f>
        <v>0</v>
      </c>
      <c r="W101" s="169">
        <v>45707</v>
      </c>
      <c r="X101" s="243" t="s">
        <v>901</v>
      </c>
      <c r="Y101" s="96">
        <v>45709</v>
      </c>
      <c r="Z101" s="161">
        <v>46005</v>
      </c>
      <c r="AA101" s="311" t="s">
        <v>1143</v>
      </c>
      <c r="AB101" s="119" t="s">
        <v>1127</v>
      </c>
      <c r="AC101" s="298"/>
      <c r="AD101" s="279">
        <v>202000006210</v>
      </c>
      <c r="AE101" s="38" t="s">
        <v>904</v>
      </c>
      <c r="AF101" s="120" t="str">
        <f>TEXT(LEFT(Contrato[[#This Row],[CONTRATO]],3),"0")</f>
        <v>95</v>
      </c>
      <c r="AG101" s="120" t="str">
        <f>IF(LEN(Contrato[[#This Row],[Contrato2]])=3,Contrato[[#This Row],[Contrato2]],TEXT(Contrato[[#This Row],[Contrato2]],"000"))</f>
        <v>095</v>
      </c>
      <c r="AH101" s="90">
        <f ca="1">IFERROR(_xlfn.DAYS(Contrato[[#This Row],[Fecha Proyectada liquidación]],TODAY())/30,"")</f>
        <v>11.4</v>
      </c>
      <c r="AI101" s="121">
        <f>+Contrato[[#This Row],[FECHA TERMINACIÓN ]]+120</f>
        <v>46125</v>
      </c>
      <c r="AJ101" s="89"/>
      <c r="AK101" s="91" t="str">
        <f ca="1">IF(Contrato[[#This Row],[FECHA TERMINACIÓN ]]&lt;TODAY(), "Terminado",IF(ISNUMBER(Contrato[[#This Row],[Fecha Real de liquiidación ]]),"Liquidado",IF(Contrato[[#This Row],[FECHA TERMINACIÓN ]]&gt;=TODAY(),"En ejecución","")))</f>
        <v>En ejecución</v>
      </c>
      <c r="AL101" s="107">
        <f ca="1">SUMIF(COMPROMISOS_2025[[#All],[consecutivo]],Contrato[[#This Row],[RCP]],COMPROMISOS_2025[[#All],[Total pagado]])</f>
        <v>0</v>
      </c>
      <c r="AM101" s="122">
        <f ca="1">IFERROR(Contrato[[#This Row],[Pagos]]/Contrato[[#This Row],[VALOR CONTRATO]],0)</f>
        <v>0</v>
      </c>
      <c r="AN101" s="160">
        <f ca="1">+Contrato[[#This Row],[VALOR CONTRATO]]-Contrato[[#This Row],[Pagos]]</f>
        <v>61147776</v>
      </c>
      <c r="AO101" s="111" t="e" cm="1">
        <f t="array" aca="1" ref="AO101" ca="1">_xlfn.XLOOKUP(Contrato[[#This Row],[DOCUMENTO ]],PERSONAL_ACTIVO_2025[[#All],[DOCUMENTO]],PERSONAL_ACTIVO_2025[[#All],[email]],0,0)</f>
        <v>#NAME?</v>
      </c>
      <c r="AP101" s="111" t="e" cm="1">
        <f t="array" aca="1" ref="AP101" ca="1">_xlfn.XLOOKUP(Contrato[[#This Row],[DOCUMENTO]],PERSONAL_ACTIVO_2025[[#All],[DOCUMENTO]],PERSONAL_ACTIVO_2025[[#All],[email]],0,0)</f>
        <v>#NAME?</v>
      </c>
      <c r="AQ101" s="111" cm="1">
        <f t="array" aca="1" ref="AQ101" ca="1">IF(ISBLANK(Contrato[[#This Row],[DEPENDENCIA ]]),0,IFERROR(_xlfn.XLOOKUP(Contrato[[#This Row],[DEPENDENCIA ]],#REF!,#REF!,0,0),0))</f>
        <v>0</v>
      </c>
      <c r="AR101" s="553">
        <f ca="1">+_xlfn.DAYS(Contrato[[#This Row],[FECHA TERMINACIÓN ]],TODAY())</f>
        <v>222</v>
      </c>
    </row>
    <row r="102" spans="1:44" s="111" customFormat="1" ht="36" customHeight="1" x14ac:dyDescent="0.25">
      <c r="A102" s="38">
        <v>283</v>
      </c>
      <c r="B102" s="226">
        <v>96</v>
      </c>
      <c r="C102" s="88" t="s">
        <v>481</v>
      </c>
      <c r="D102" s="192" t="s">
        <v>911</v>
      </c>
      <c r="E102" s="193" t="s">
        <v>112</v>
      </c>
      <c r="F102" s="194" t="s">
        <v>113</v>
      </c>
      <c r="G102" s="195" t="s">
        <v>1155</v>
      </c>
      <c r="H102" s="167">
        <v>1037595831</v>
      </c>
      <c r="I102" s="292">
        <v>4157906</v>
      </c>
      <c r="J102" s="290">
        <v>40747479</v>
      </c>
      <c r="K102" s="158" t="s">
        <v>41</v>
      </c>
      <c r="L102" s="196" t="s">
        <v>1087</v>
      </c>
      <c r="M102" s="114" t="s">
        <v>1091</v>
      </c>
      <c r="N102" s="113" t="e" cm="1">
        <f t="array" aca="1" ref="N102" ca="1">_xlfn.XLOOKUP(Contrato[[#This Row],[SUPERVISOR TITULAR]],PERSONAL_ACTIVO_2025[[#All],[NOMBRES Y APELLIDOS]],PERSONAL_ACTIVO_2025[[#All],[DOCUMENTO]],"",0)</f>
        <v>#NAME?</v>
      </c>
      <c r="O102" s="114" t="s">
        <v>938</v>
      </c>
      <c r="P102" s="115" t="e" cm="1">
        <f t="array" aca="1" ref="P102" ca="1">_xlfn.XLOOKUP(Contrato[[#This Row],[SUPERVISOR SUPLENTE ]],PERSONAL_ACTIVO_2025[[#All],[NOMBRES Y APELLIDOS]],PERSONAL_ACTIVO_2025[[#All],[DOCUMENTO]],"",0)</f>
        <v>#NAME?</v>
      </c>
      <c r="Q102" s="116">
        <v>117</v>
      </c>
      <c r="R102" s="137" t="e" cm="1">
        <f t="array" aca="1" ref="R102" ca="1">_xlfn.XLOOKUP(Contrato[[#This Row],[CDP]],DISPONIBILIDADES_2025[[#All],[consecutivo]],DISPONIBILIDADES_2025[[#All],[fecha_aprobacion]],"",0)</f>
        <v>#NAME?</v>
      </c>
      <c r="S102" s="92">
        <f>SUMIF(DISPONIBILIDADES_2025[[#All],[consecutivo]],Contrato[[#This Row],[CDP]],DISPONIBILIDADES_2025[[#All],[valor_total_rubro]])</f>
        <v>40747479</v>
      </c>
      <c r="T102" s="118" t="e" cm="1">
        <f t="array" aca="1" ref="T102" ca="1">_xlfn.XLOOKUP(Contrato[[#This Row],[CONTRATO]]&amp;Contrato[[#This Row],[CDP]],Corr_Contr_CDP[[#All],[CONTRATO-CDP]],Corr_Contr_CDP[[#All],[CRP]],_xlfn.XLOOKUP(Contrato[[#This Row],[CDP]],COMPROMISOS_2025[[#All],[disponibilidad]],COMPROMISOS_2025[[#All],[consecutivo]],"",0),0)</f>
        <v>#NAME?</v>
      </c>
      <c r="U102" s="117" t="e" cm="1">
        <f t="array" aca="1" ref="U102" ca="1">+_xlfn.XLOOKUP(Contrato[[#This Row],[RCP]],COMPROMISOS_2025[[#All],[consecutivo]],COMPROMISOS_2025[[#All],[fecha_aprobacion]],"",0)</f>
        <v>#NAME?</v>
      </c>
      <c r="V102" s="93">
        <f ca="1">SUMIF(COMPROMISOS_2025[[#All],[consecutivo]],Contrato[[#This Row],[RCP]],COMPROMISOS_2025[[#All],[valor_total]])</f>
        <v>0</v>
      </c>
      <c r="W102" s="169">
        <v>45707</v>
      </c>
      <c r="X102" s="243" t="s">
        <v>901</v>
      </c>
      <c r="Y102" s="96">
        <v>45709</v>
      </c>
      <c r="Z102" s="161">
        <v>46005</v>
      </c>
      <c r="AA102" s="311" t="s">
        <v>1130</v>
      </c>
      <c r="AB102" s="119" t="s">
        <v>1127</v>
      </c>
      <c r="AC102" s="298"/>
      <c r="AD102" s="279">
        <v>202000006211</v>
      </c>
      <c r="AE102" s="38" t="s">
        <v>904</v>
      </c>
      <c r="AF102" s="120" t="str">
        <f>TEXT(LEFT(Contrato[[#This Row],[CONTRATO]],3),"0")</f>
        <v>96</v>
      </c>
      <c r="AG102" s="120" t="str">
        <f>IF(LEN(Contrato[[#This Row],[Contrato2]])=3,Contrato[[#This Row],[Contrato2]],TEXT(Contrato[[#This Row],[Contrato2]],"000"))</f>
        <v>096</v>
      </c>
      <c r="AH102" s="90">
        <f ca="1">IFERROR(_xlfn.DAYS(Contrato[[#This Row],[Fecha Proyectada liquidación]],TODAY())/30,"")</f>
        <v>11.4</v>
      </c>
      <c r="AI102" s="121">
        <f>+Contrato[[#This Row],[FECHA TERMINACIÓN ]]+120</f>
        <v>46125</v>
      </c>
      <c r="AJ102" s="89"/>
      <c r="AK102" s="91" t="str">
        <f ca="1">IF(Contrato[[#This Row],[FECHA TERMINACIÓN ]]&lt;TODAY(), "Terminado",IF(ISNUMBER(Contrato[[#This Row],[Fecha Real de liquiidación ]]),"Liquidado",IF(Contrato[[#This Row],[FECHA TERMINACIÓN ]]&gt;=TODAY(),"En ejecución","")))</f>
        <v>En ejecución</v>
      </c>
      <c r="AL102" s="107">
        <f ca="1">SUMIF(COMPROMISOS_2025[[#All],[consecutivo]],Contrato[[#This Row],[RCP]],COMPROMISOS_2025[[#All],[Total pagado]])</f>
        <v>0</v>
      </c>
      <c r="AM102" s="122">
        <f ca="1">IFERROR(Contrato[[#This Row],[Pagos]]/Contrato[[#This Row],[VALOR CONTRATO]],0)</f>
        <v>0</v>
      </c>
      <c r="AN102" s="160">
        <f ca="1">+Contrato[[#This Row],[VALOR CONTRATO]]-Contrato[[#This Row],[Pagos]]</f>
        <v>40747479</v>
      </c>
      <c r="AO102" s="111" t="e" cm="1">
        <f t="array" aca="1" ref="AO102" ca="1">_xlfn.XLOOKUP(Contrato[[#This Row],[DOCUMENTO ]],PERSONAL_ACTIVO_2025[[#All],[DOCUMENTO]],PERSONAL_ACTIVO_2025[[#All],[email]],0,0)</f>
        <v>#NAME?</v>
      </c>
      <c r="AP102" s="111" t="e" cm="1">
        <f t="array" aca="1" ref="AP102" ca="1">_xlfn.XLOOKUP(Contrato[[#This Row],[DOCUMENTO]],PERSONAL_ACTIVO_2025[[#All],[DOCUMENTO]],PERSONAL_ACTIVO_2025[[#All],[email]],0,0)</f>
        <v>#NAME?</v>
      </c>
      <c r="AQ102" s="111" cm="1">
        <f t="array" aca="1" ref="AQ102" ca="1">IF(ISBLANK(Contrato[[#This Row],[DEPENDENCIA ]]),0,IFERROR(_xlfn.XLOOKUP(Contrato[[#This Row],[DEPENDENCIA ]],#REF!,#REF!,0,0),0))</f>
        <v>0</v>
      </c>
      <c r="AR102" s="553">
        <f ca="1">+_xlfn.DAYS(Contrato[[#This Row],[FECHA TERMINACIÓN ]],TODAY())</f>
        <v>222</v>
      </c>
    </row>
    <row r="103" spans="1:44" s="111" customFormat="1" ht="36" customHeight="1" x14ac:dyDescent="0.25">
      <c r="A103" s="38">
        <v>284</v>
      </c>
      <c r="B103" s="226">
        <v>97</v>
      </c>
      <c r="C103" s="88" t="s">
        <v>482</v>
      </c>
      <c r="D103" s="192" t="s">
        <v>911</v>
      </c>
      <c r="E103" s="193" t="s">
        <v>112</v>
      </c>
      <c r="F103" s="194" t="s">
        <v>113</v>
      </c>
      <c r="G103" s="195" t="s">
        <v>1156</v>
      </c>
      <c r="H103" s="167">
        <v>8395754</v>
      </c>
      <c r="I103" s="292">
        <v>8320021</v>
      </c>
      <c r="J103" s="290">
        <v>81536206</v>
      </c>
      <c r="K103" s="158" t="s">
        <v>41</v>
      </c>
      <c r="L103" s="196" t="s">
        <v>1087</v>
      </c>
      <c r="M103" s="114" t="s">
        <v>1091</v>
      </c>
      <c r="N103" s="113" t="e" cm="1">
        <f t="array" aca="1" ref="N103" ca="1">_xlfn.XLOOKUP(Contrato[[#This Row],[SUPERVISOR TITULAR]],PERSONAL_ACTIVO_2025[[#All],[NOMBRES Y APELLIDOS]],PERSONAL_ACTIVO_2025[[#All],[DOCUMENTO]],"",0)</f>
        <v>#NAME?</v>
      </c>
      <c r="O103" s="114" t="s">
        <v>938</v>
      </c>
      <c r="P103" s="115" t="e" cm="1">
        <f t="array" aca="1" ref="P103" ca="1">_xlfn.XLOOKUP(Contrato[[#This Row],[SUPERVISOR SUPLENTE ]],PERSONAL_ACTIVO_2025[[#All],[NOMBRES Y APELLIDOS]],PERSONAL_ACTIVO_2025[[#All],[DOCUMENTO]],"",0)</f>
        <v>#NAME?</v>
      </c>
      <c r="Q103" s="116">
        <v>118</v>
      </c>
      <c r="R103" s="137" t="e" cm="1">
        <f t="array" aca="1" ref="R103" ca="1">_xlfn.XLOOKUP(Contrato[[#This Row],[CDP]],DISPONIBILIDADES_2025[[#All],[consecutivo]],DISPONIBILIDADES_2025[[#All],[fecha_aprobacion]],"",0)</f>
        <v>#NAME?</v>
      </c>
      <c r="S103" s="92">
        <f>SUMIF(DISPONIBILIDADES_2025[[#All],[consecutivo]],Contrato[[#This Row],[CDP]],DISPONIBILIDADES_2025[[#All],[valor_total_rubro]])</f>
        <v>81536206</v>
      </c>
      <c r="T103" s="118" t="e" cm="1">
        <f t="array" aca="1" ref="T103" ca="1">_xlfn.XLOOKUP(Contrato[[#This Row],[CONTRATO]]&amp;Contrato[[#This Row],[CDP]],Corr_Contr_CDP[[#All],[CONTRATO-CDP]],Corr_Contr_CDP[[#All],[CRP]],_xlfn.XLOOKUP(Contrato[[#This Row],[CDP]],COMPROMISOS_2025[[#All],[disponibilidad]],COMPROMISOS_2025[[#All],[consecutivo]],"",0),0)</f>
        <v>#NAME?</v>
      </c>
      <c r="U103" s="117" t="e" cm="1">
        <f t="array" aca="1" ref="U103" ca="1">+_xlfn.XLOOKUP(Contrato[[#This Row],[RCP]],COMPROMISOS_2025[[#All],[consecutivo]],COMPROMISOS_2025[[#All],[fecha_aprobacion]],"",0)</f>
        <v>#NAME?</v>
      </c>
      <c r="V103" s="93">
        <f ca="1">SUMIF(COMPROMISOS_2025[[#All],[consecutivo]],Contrato[[#This Row],[RCP]],COMPROMISOS_2025[[#All],[valor_total]])</f>
        <v>0</v>
      </c>
      <c r="W103" s="169">
        <v>45707</v>
      </c>
      <c r="X103" s="243" t="s">
        <v>901</v>
      </c>
      <c r="Y103" s="96">
        <v>45709</v>
      </c>
      <c r="Z103" s="161">
        <v>46005</v>
      </c>
      <c r="AA103" s="311" t="s">
        <v>1143</v>
      </c>
      <c r="AB103" s="119" t="s">
        <v>1127</v>
      </c>
      <c r="AC103" s="298"/>
      <c r="AD103" s="279">
        <v>202000006212</v>
      </c>
      <c r="AE103" s="38" t="s">
        <v>904</v>
      </c>
      <c r="AF103" s="120" t="str">
        <f>TEXT(LEFT(Contrato[[#This Row],[CONTRATO]],3),"0")</f>
        <v>97</v>
      </c>
      <c r="AG103" s="120" t="str">
        <f>IF(LEN(Contrato[[#This Row],[Contrato2]])=3,Contrato[[#This Row],[Contrato2]],TEXT(Contrato[[#This Row],[Contrato2]],"000"))</f>
        <v>097</v>
      </c>
      <c r="AH103" s="90">
        <f ca="1">IFERROR(_xlfn.DAYS(Contrato[[#This Row],[Fecha Proyectada liquidación]],TODAY())/30,"")</f>
        <v>11.4</v>
      </c>
      <c r="AI103" s="121">
        <f>+Contrato[[#This Row],[FECHA TERMINACIÓN ]]+120</f>
        <v>46125</v>
      </c>
      <c r="AJ103" s="89"/>
      <c r="AK103" s="91" t="str">
        <f ca="1">IF(Contrato[[#This Row],[FECHA TERMINACIÓN ]]&lt;TODAY(), "Terminado",IF(ISNUMBER(Contrato[[#This Row],[Fecha Real de liquiidación ]]),"Liquidado",IF(Contrato[[#This Row],[FECHA TERMINACIÓN ]]&gt;=TODAY(),"En ejecución","")))</f>
        <v>En ejecución</v>
      </c>
      <c r="AL103" s="107">
        <f ca="1">SUMIF(COMPROMISOS_2025[[#All],[consecutivo]],Contrato[[#This Row],[RCP]],COMPROMISOS_2025[[#All],[Total pagado]])</f>
        <v>0</v>
      </c>
      <c r="AM103" s="122">
        <f ca="1">IFERROR(Contrato[[#This Row],[Pagos]]/Contrato[[#This Row],[VALOR CONTRATO]],0)</f>
        <v>0</v>
      </c>
      <c r="AN103" s="160">
        <f ca="1">+Contrato[[#This Row],[VALOR CONTRATO]]-Contrato[[#This Row],[Pagos]]</f>
        <v>81536206</v>
      </c>
      <c r="AO103" s="111" t="e" cm="1">
        <f t="array" aca="1" ref="AO103" ca="1">_xlfn.XLOOKUP(Contrato[[#This Row],[DOCUMENTO ]],PERSONAL_ACTIVO_2025[[#All],[DOCUMENTO]],PERSONAL_ACTIVO_2025[[#All],[email]],0,0)</f>
        <v>#NAME?</v>
      </c>
      <c r="AP103" s="111" t="e" cm="1">
        <f t="array" aca="1" ref="AP103" ca="1">_xlfn.XLOOKUP(Contrato[[#This Row],[DOCUMENTO]],PERSONAL_ACTIVO_2025[[#All],[DOCUMENTO]],PERSONAL_ACTIVO_2025[[#All],[email]],0,0)</f>
        <v>#NAME?</v>
      </c>
      <c r="AQ103" s="111" cm="1">
        <f t="array" aca="1" ref="AQ103" ca="1">IF(ISBLANK(Contrato[[#This Row],[DEPENDENCIA ]]),0,IFERROR(_xlfn.XLOOKUP(Contrato[[#This Row],[DEPENDENCIA ]],#REF!,#REF!,0,0),0))</f>
        <v>0</v>
      </c>
      <c r="AR103" s="553">
        <f ca="1">+_xlfn.DAYS(Contrato[[#This Row],[FECHA TERMINACIÓN ]],TODAY())</f>
        <v>222</v>
      </c>
    </row>
    <row r="104" spans="1:44" s="111" customFormat="1" ht="36" customHeight="1" x14ac:dyDescent="0.25">
      <c r="A104" s="38">
        <v>285</v>
      </c>
      <c r="B104" s="226">
        <v>98</v>
      </c>
      <c r="C104" s="88" t="s">
        <v>483</v>
      </c>
      <c r="D104" s="192" t="s">
        <v>911</v>
      </c>
      <c r="E104" s="193" t="s">
        <v>112</v>
      </c>
      <c r="F104" s="194" t="s">
        <v>113</v>
      </c>
      <c r="G104" s="195" t="s">
        <v>1157</v>
      </c>
      <c r="H104" s="167">
        <v>71254179</v>
      </c>
      <c r="I104" s="292">
        <v>6239569</v>
      </c>
      <c r="J104" s="290">
        <v>61147776</v>
      </c>
      <c r="K104" s="158" t="s">
        <v>41</v>
      </c>
      <c r="L104" s="196" t="s">
        <v>1087</v>
      </c>
      <c r="M104" s="114" t="s">
        <v>1091</v>
      </c>
      <c r="N104" s="113" t="e" cm="1">
        <f t="array" aca="1" ref="N104" ca="1">_xlfn.XLOOKUP(Contrato[[#This Row],[SUPERVISOR TITULAR]],PERSONAL_ACTIVO_2025[[#All],[NOMBRES Y APELLIDOS]],PERSONAL_ACTIVO_2025[[#All],[DOCUMENTO]],"",0)</f>
        <v>#NAME?</v>
      </c>
      <c r="O104" s="114" t="s">
        <v>938</v>
      </c>
      <c r="P104" s="115" t="e" cm="1">
        <f t="array" aca="1" ref="P104" ca="1">_xlfn.XLOOKUP(Contrato[[#This Row],[SUPERVISOR SUPLENTE ]],PERSONAL_ACTIVO_2025[[#All],[NOMBRES Y APELLIDOS]],PERSONAL_ACTIVO_2025[[#All],[DOCUMENTO]],"",0)</f>
        <v>#NAME?</v>
      </c>
      <c r="Q104" s="116">
        <v>119</v>
      </c>
      <c r="R104" s="137" t="e" cm="1">
        <f t="array" aca="1" ref="R104" ca="1">_xlfn.XLOOKUP(Contrato[[#This Row],[CDP]],DISPONIBILIDADES_2025[[#All],[consecutivo]],DISPONIBILIDADES_2025[[#All],[fecha_aprobacion]],"",0)</f>
        <v>#NAME?</v>
      </c>
      <c r="S104" s="92">
        <f>SUMIF(DISPONIBILIDADES_2025[[#All],[consecutivo]],Contrato[[#This Row],[CDP]],DISPONIBILIDADES_2025[[#All],[valor_total_rubro]])</f>
        <v>61147776</v>
      </c>
      <c r="T104" s="118" t="e" cm="1">
        <f t="array" aca="1" ref="T104" ca="1">_xlfn.XLOOKUP(Contrato[[#This Row],[CONTRATO]]&amp;Contrato[[#This Row],[CDP]],Corr_Contr_CDP[[#All],[CONTRATO-CDP]],Corr_Contr_CDP[[#All],[CRP]],_xlfn.XLOOKUP(Contrato[[#This Row],[CDP]],COMPROMISOS_2025[[#All],[disponibilidad]],COMPROMISOS_2025[[#All],[consecutivo]],"",0),0)</f>
        <v>#NAME?</v>
      </c>
      <c r="U104" s="117" t="e" cm="1">
        <f t="array" aca="1" ref="U104" ca="1">+_xlfn.XLOOKUP(Contrato[[#This Row],[RCP]],COMPROMISOS_2025[[#All],[consecutivo]],COMPROMISOS_2025[[#All],[fecha_aprobacion]],"",0)</f>
        <v>#NAME?</v>
      </c>
      <c r="V104" s="93">
        <f ca="1">SUMIF(COMPROMISOS_2025[[#All],[consecutivo]],Contrato[[#This Row],[RCP]],COMPROMISOS_2025[[#All],[valor_total]])</f>
        <v>0</v>
      </c>
      <c r="W104" s="169">
        <v>45707</v>
      </c>
      <c r="X104" s="243" t="s">
        <v>901</v>
      </c>
      <c r="Y104" s="96">
        <v>45709</v>
      </c>
      <c r="Z104" s="161">
        <v>46005</v>
      </c>
      <c r="AA104" s="311" t="s">
        <v>1130</v>
      </c>
      <c r="AB104" s="119" t="s">
        <v>1127</v>
      </c>
      <c r="AC104" s="298"/>
      <c r="AD104" s="279">
        <v>202000006213</v>
      </c>
      <c r="AE104" s="38" t="s">
        <v>904</v>
      </c>
      <c r="AF104" s="120" t="str">
        <f>TEXT(LEFT(Contrato[[#This Row],[CONTRATO]],3),"0")</f>
        <v>98</v>
      </c>
      <c r="AG104" s="120" t="str">
        <f>IF(LEN(Contrato[[#This Row],[Contrato2]])=3,Contrato[[#This Row],[Contrato2]],TEXT(Contrato[[#This Row],[Contrato2]],"000"))</f>
        <v>098</v>
      </c>
      <c r="AH104" s="90">
        <f ca="1">IFERROR(_xlfn.DAYS(Contrato[[#This Row],[Fecha Proyectada liquidación]],TODAY())/30,"")</f>
        <v>11.4</v>
      </c>
      <c r="AI104" s="121">
        <f>+Contrato[[#This Row],[FECHA TERMINACIÓN ]]+120</f>
        <v>46125</v>
      </c>
      <c r="AJ104" s="89"/>
      <c r="AK104" s="91" t="str">
        <f ca="1">IF(Contrato[[#This Row],[FECHA TERMINACIÓN ]]&lt;TODAY(), "Terminado",IF(ISNUMBER(Contrato[[#This Row],[Fecha Real de liquiidación ]]),"Liquidado",IF(Contrato[[#This Row],[FECHA TERMINACIÓN ]]&gt;=TODAY(),"En ejecución","")))</f>
        <v>En ejecución</v>
      </c>
      <c r="AL104" s="107">
        <f ca="1">SUMIF(COMPROMISOS_2025[[#All],[consecutivo]],Contrato[[#This Row],[RCP]],COMPROMISOS_2025[[#All],[Total pagado]])</f>
        <v>0</v>
      </c>
      <c r="AM104" s="122">
        <f ca="1">IFERROR(Contrato[[#This Row],[Pagos]]/Contrato[[#This Row],[VALOR CONTRATO]],0)</f>
        <v>0</v>
      </c>
      <c r="AN104" s="160">
        <f ca="1">+Contrato[[#This Row],[VALOR CONTRATO]]-Contrato[[#This Row],[Pagos]]</f>
        <v>61147776</v>
      </c>
      <c r="AO104" s="111" t="e" cm="1">
        <f t="array" aca="1" ref="AO104" ca="1">_xlfn.XLOOKUP(Contrato[[#This Row],[DOCUMENTO ]],PERSONAL_ACTIVO_2025[[#All],[DOCUMENTO]],PERSONAL_ACTIVO_2025[[#All],[email]],0,0)</f>
        <v>#NAME?</v>
      </c>
      <c r="AP104" s="111" t="e" cm="1">
        <f t="array" aca="1" ref="AP104" ca="1">_xlfn.XLOOKUP(Contrato[[#This Row],[DOCUMENTO]],PERSONAL_ACTIVO_2025[[#All],[DOCUMENTO]],PERSONAL_ACTIVO_2025[[#All],[email]],0,0)</f>
        <v>#NAME?</v>
      </c>
      <c r="AQ104" s="111" cm="1">
        <f t="array" aca="1" ref="AQ104" ca="1">IF(ISBLANK(Contrato[[#This Row],[DEPENDENCIA ]]),0,IFERROR(_xlfn.XLOOKUP(Contrato[[#This Row],[DEPENDENCIA ]],#REF!,#REF!,0,0),0))</f>
        <v>0</v>
      </c>
      <c r="AR104" s="553">
        <f ca="1">+_xlfn.DAYS(Contrato[[#This Row],[FECHA TERMINACIÓN ]],TODAY())</f>
        <v>222</v>
      </c>
    </row>
    <row r="105" spans="1:44" s="111" customFormat="1" ht="36" customHeight="1" x14ac:dyDescent="0.25">
      <c r="A105" s="38">
        <v>287</v>
      </c>
      <c r="B105" s="226">
        <v>99</v>
      </c>
      <c r="C105" s="88" t="s">
        <v>485</v>
      </c>
      <c r="D105" s="192" t="s">
        <v>911</v>
      </c>
      <c r="E105" s="193" t="s">
        <v>112</v>
      </c>
      <c r="F105" s="194" t="s">
        <v>113</v>
      </c>
      <c r="G105" s="195" t="s">
        <v>1158</v>
      </c>
      <c r="H105" s="167">
        <v>32294449</v>
      </c>
      <c r="I105" s="292">
        <v>6239569</v>
      </c>
      <c r="J105" s="290">
        <v>61147776</v>
      </c>
      <c r="K105" s="158" t="s">
        <v>41</v>
      </c>
      <c r="L105" s="196" t="s">
        <v>1087</v>
      </c>
      <c r="M105" s="114" t="s">
        <v>1091</v>
      </c>
      <c r="N105" s="113" t="e" cm="1">
        <f t="array" aca="1" ref="N105" ca="1">_xlfn.XLOOKUP(Contrato[[#This Row],[SUPERVISOR TITULAR]],PERSONAL_ACTIVO_2025[[#All],[NOMBRES Y APELLIDOS]],PERSONAL_ACTIVO_2025[[#All],[DOCUMENTO]],"",0)</f>
        <v>#NAME?</v>
      </c>
      <c r="O105" s="114" t="s">
        <v>938</v>
      </c>
      <c r="P105" s="115" t="e" cm="1">
        <f t="array" aca="1" ref="P105" ca="1">_xlfn.XLOOKUP(Contrato[[#This Row],[SUPERVISOR SUPLENTE ]],PERSONAL_ACTIVO_2025[[#All],[NOMBRES Y APELLIDOS]],PERSONAL_ACTIVO_2025[[#All],[DOCUMENTO]],"",0)</f>
        <v>#NAME?</v>
      </c>
      <c r="Q105" s="116">
        <v>121</v>
      </c>
      <c r="R105" s="137" t="e" cm="1">
        <f t="array" aca="1" ref="R105" ca="1">_xlfn.XLOOKUP(Contrato[[#This Row],[CDP]],DISPONIBILIDADES_2025[[#All],[consecutivo]],DISPONIBILIDADES_2025[[#All],[fecha_aprobacion]],"",0)</f>
        <v>#NAME?</v>
      </c>
      <c r="S105" s="92">
        <f>SUMIF(DISPONIBILIDADES_2025[[#All],[consecutivo]],Contrato[[#This Row],[CDP]],DISPONIBILIDADES_2025[[#All],[valor_total_rubro]])</f>
        <v>61147776</v>
      </c>
      <c r="T105" s="118" t="e" cm="1">
        <f t="array" aca="1" ref="T105" ca="1">_xlfn.XLOOKUP(Contrato[[#This Row],[CONTRATO]]&amp;Contrato[[#This Row],[CDP]],Corr_Contr_CDP[[#All],[CONTRATO-CDP]],Corr_Contr_CDP[[#All],[CRP]],_xlfn.XLOOKUP(Contrato[[#This Row],[CDP]],COMPROMISOS_2025[[#All],[disponibilidad]],COMPROMISOS_2025[[#All],[consecutivo]],"",0),0)</f>
        <v>#NAME?</v>
      </c>
      <c r="U105" s="117" t="e" cm="1">
        <f t="array" aca="1" ref="U105" ca="1">+_xlfn.XLOOKUP(Contrato[[#This Row],[RCP]],COMPROMISOS_2025[[#All],[consecutivo]],COMPROMISOS_2025[[#All],[fecha_aprobacion]],"",0)</f>
        <v>#NAME?</v>
      </c>
      <c r="V105" s="93">
        <f ca="1">SUMIF(COMPROMISOS_2025[[#All],[consecutivo]],Contrato[[#This Row],[RCP]],COMPROMISOS_2025[[#All],[valor_total]])</f>
        <v>0</v>
      </c>
      <c r="W105" s="169">
        <v>45707</v>
      </c>
      <c r="X105" s="243" t="s">
        <v>901</v>
      </c>
      <c r="Y105" s="96">
        <v>45709</v>
      </c>
      <c r="Z105" s="161">
        <v>46005</v>
      </c>
      <c r="AA105" s="311" t="s">
        <v>1143</v>
      </c>
      <c r="AB105" s="119" t="s">
        <v>1127</v>
      </c>
      <c r="AC105" s="298"/>
      <c r="AD105" s="279">
        <v>202000006214</v>
      </c>
      <c r="AE105" s="38" t="s">
        <v>904</v>
      </c>
      <c r="AF105" s="120" t="str">
        <f>TEXT(LEFT(Contrato[[#This Row],[CONTRATO]],3),"0")</f>
        <v>99</v>
      </c>
      <c r="AG105" s="120" t="str">
        <f>IF(LEN(Contrato[[#This Row],[Contrato2]])=3,Contrato[[#This Row],[Contrato2]],TEXT(Contrato[[#This Row],[Contrato2]],"000"))</f>
        <v>099</v>
      </c>
      <c r="AH105" s="90">
        <f ca="1">IFERROR(_xlfn.DAYS(Contrato[[#This Row],[Fecha Proyectada liquidación]],TODAY())/30,"")</f>
        <v>11.4</v>
      </c>
      <c r="AI105" s="121">
        <f>+Contrato[[#This Row],[FECHA TERMINACIÓN ]]+120</f>
        <v>46125</v>
      </c>
      <c r="AJ105" s="89"/>
      <c r="AK105" s="91" t="str">
        <f ca="1">IF(Contrato[[#This Row],[FECHA TERMINACIÓN ]]&lt;TODAY(), "Terminado",IF(ISNUMBER(Contrato[[#This Row],[Fecha Real de liquiidación ]]),"Liquidado",IF(Contrato[[#This Row],[FECHA TERMINACIÓN ]]&gt;=TODAY(),"En ejecución","")))</f>
        <v>En ejecución</v>
      </c>
      <c r="AL105" s="107">
        <f ca="1">SUMIF(COMPROMISOS_2025[[#All],[consecutivo]],Contrato[[#This Row],[RCP]],COMPROMISOS_2025[[#All],[Total pagado]])</f>
        <v>0</v>
      </c>
      <c r="AM105" s="122">
        <f ca="1">IFERROR(Contrato[[#This Row],[Pagos]]/Contrato[[#This Row],[VALOR CONTRATO]],0)</f>
        <v>0</v>
      </c>
      <c r="AN105" s="160">
        <f ca="1">+Contrato[[#This Row],[VALOR CONTRATO]]-Contrato[[#This Row],[Pagos]]</f>
        <v>61147776</v>
      </c>
      <c r="AO105" s="111" t="e" cm="1">
        <f t="array" aca="1" ref="AO105" ca="1">_xlfn.XLOOKUP(Contrato[[#This Row],[DOCUMENTO ]],PERSONAL_ACTIVO_2025[[#All],[DOCUMENTO]],PERSONAL_ACTIVO_2025[[#All],[email]],0,0)</f>
        <v>#NAME?</v>
      </c>
      <c r="AP105" s="111" t="e" cm="1">
        <f t="array" aca="1" ref="AP105" ca="1">_xlfn.XLOOKUP(Contrato[[#This Row],[DOCUMENTO]],PERSONAL_ACTIVO_2025[[#All],[DOCUMENTO]],PERSONAL_ACTIVO_2025[[#All],[email]],0,0)</f>
        <v>#NAME?</v>
      </c>
      <c r="AQ105" s="111" cm="1">
        <f t="array" aca="1" ref="AQ105" ca="1">IF(ISBLANK(Contrato[[#This Row],[DEPENDENCIA ]]),0,IFERROR(_xlfn.XLOOKUP(Contrato[[#This Row],[DEPENDENCIA ]],#REF!,#REF!,0,0),0))</f>
        <v>0</v>
      </c>
      <c r="AR105" s="553">
        <f ca="1">+_xlfn.DAYS(Contrato[[#This Row],[FECHA TERMINACIÓN ]],TODAY())</f>
        <v>222</v>
      </c>
    </row>
    <row r="106" spans="1:44" s="111" customFormat="1" ht="36" customHeight="1" x14ac:dyDescent="0.25">
      <c r="A106" s="38">
        <v>289</v>
      </c>
      <c r="B106" s="226">
        <v>100</v>
      </c>
      <c r="C106" s="88" t="s">
        <v>487</v>
      </c>
      <c r="D106" s="192" t="s">
        <v>911</v>
      </c>
      <c r="E106" s="193" t="s">
        <v>112</v>
      </c>
      <c r="F106" s="194" t="s">
        <v>113</v>
      </c>
      <c r="G106" s="195" t="s">
        <v>1159</v>
      </c>
      <c r="H106" s="167">
        <v>70128720</v>
      </c>
      <c r="I106" s="292">
        <v>9692064</v>
      </c>
      <c r="J106" s="290">
        <v>94982227</v>
      </c>
      <c r="K106" s="158" t="s">
        <v>41</v>
      </c>
      <c r="L106" s="196" t="s">
        <v>1087</v>
      </c>
      <c r="M106" s="114" t="s">
        <v>1091</v>
      </c>
      <c r="N106" s="113" t="e" cm="1">
        <f t="array" aca="1" ref="N106" ca="1">_xlfn.XLOOKUP(Contrato[[#This Row],[SUPERVISOR TITULAR]],PERSONAL_ACTIVO_2025[[#All],[NOMBRES Y APELLIDOS]],PERSONAL_ACTIVO_2025[[#All],[DOCUMENTO]],"",0)</f>
        <v>#NAME?</v>
      </c>
      <c r="O106" s="114" t="s">
        <v>938</v>
      </c>
      <c r="P106" s="115" t="e" cm="1">
        <f t="array" aca="1" ref="P106" ca="1">_xlfn.XLOOKUP(Contrato[[#This Row],[SUPERVISOR SUPLENTE ]],PERSONAL_ACTIVO_2025[[#All],[NOMBRES Y APELLIDOS]],PERSONAL_ACTIVO_2025[[#All],[DOCUMENTO]],"",0)</f>
        <v>#NAME?</v>
      </c>
      <c r="Q106" s="116">
        <v>123</v>
      </c>
      <c r="R106" s="137" t="e" cm="1">
        <f t="array" aca="1" ref="R106" ca="1">_xlfn.XLOOKUP(Contrato[[#This Row],[CDP]],DISPONIBILIDADES_2025[[#All],[consecutivo]],DISPONIBILIDADES_2025[[#All],[fecha_aprobacion]],"",0)</f>
        <v>#NAME?</v>
      </c>
      <c r="S106" s="92">
        <f>SUMIF(DISPONIBILIDADES_2025[[#All],[consecutivo]],Contrato[[#This Row],[CDP]],DISPONIBILIDADES_2025[[#All],[valor_total_rubro]])</f>
        <v>94982227</v>
      </c>
      <c r="T106" s="118" t="e" cm="1">
        <f t="array" aca="1" ref="T106" ca="1">_xlfn.XLOOKUP(Contrato[[#This Row],[CONTRATO]]&amp;Contrato[[#This Row],[CDP]],Corr_Contr_CDP[[#All],[CONTRATO-CDP]],Corr_Contr_CDP[[#All],[CRP]],_xlfn.XLOOKUP(Contrato[[#This Row],[CDP]],COMPROMISOS_2025[[#All],[disponibilidad]],COMPROMISOS_2025[[#All],[consecutivo]],"",0),0)</f>
        <v>#NAME?</v>
      </c>
      <c r="U106" s="117" t="e" cm="1">
        <f t="array" aca="1" ref="U106" ca="1">+_xlfn.XLOOKUP(Contrato[[#This Row],[RCP]],COMPROMISOS_2025[[#All],[consecutivo]],COMPROMISOS_2025[[#All],[fecha_aprobacion]],"",0)</f>
        <v>#NAME?</v>
      </c>
      <c r="V106" s="93">
        <f ca="1">SUMIF(COMPROMISOS_2025[[#All],[consecutivo]],Contrato[[#This Row],[RCP]],COMPROMISOS_2025[[#All],[valor_total]])</f>
        <v>0</v>
      </c>
      <c r="W106" s="169">
        <v>45707</v>
      </c>
      <c r="X106" s="243" t="s">
        <v>901</v>
      </c>
      <c r="Y106" s="96">
        <v>45709</v>
      </c>
      <c r="Z106" s="161">
        <v>46005</v>
      </c>
      <c r="AA106" s="311" t="s">
        <v>1143</v>
      </c>
      <c r="AB106" s="119" t="s">
        <v>1127</v>
      </c>
      <c r="AC106" s="298"/>
      <c r="AD106" s="279">
        <v>202000006215</v>
      </c>
      <c r="AE106" s="38" t="s">
        <v>904</v>
      </c>
      <c r="AF106" s="120" t="str">
        <f>TEXT(LEFT(Contrato[[#This Row],[CONTRATO]],3),"0")</f>
        <v>100</v>
      </c>
      <c r="AG106" s="120" t="str">
        <f>IF(LEN(Contrato[[#This Row],[Contrato2]])=3,Contrato[[#This Row],[Contrato2]],TEXT(Contrato[[#This Row],[Contrato2]],"000"))</f>
        <v>100</v>
      </c>
      <c r="AH106" s="90">
        <f ca="1">IFERROR(_xlfn.DAYS(Contrato[[#This Row],[Fecha Proyectada liquidación]],TODAY())/30,"")</f>
        <v>11.4</v>
      </c>
      <c r="AI106" s="121">
        <f>+Contrato[[#This Row],[FECHA TERMINACIÓN ]]+120</f>
        <v>46125</v>
      </c>
      <c r="AJ106" s="89"/>
      <c r="AK106" s="91" t="str">
        <f ca="1">IF(Contrato[[#This Row],[FECHA TERMINACIÓN ]]&lt;TODAY(), "Terminado",IF(ISNUMBER(Contrato[[#This Row],[Fecha Real de liquiidación ]]),"Liquidado",IF(Contrato[[#This Row],[FECHA TERMINACIÓN ]]&gt;=TODAY(),"En ejecución","")))</f>
        <v>En ejecución</v>
      </c>
      <c r="AL106" s="107">
        <f ca="1">SUMIF(COMPROMISOS_2025[[#All],[consecutivo]],Contrato[[#This Row],[RCP]],COMPROMISOS_2025[[#All],[Total pagado]])</f>
        <v>0</v>
      </c>
      <c r="AM106" s="122">
        <f ca="1">IFERROR(Contrato[[#This Row],[Pagos]]/Contrato[[#This Row],[VALOR CONTRATO]],0)</f>
        <v>0</v>
      </c>
      <c r="AN106" s="160">
        <f ca="1">+Contrato[[#This Row],[VALOR CONTRATO]]-Contrato[[#This Row],[Pagos]]</f>
        <v>94982227</v>
      </c>
      <c r="AO106" s="111" t="e" cm="1">
        <f t="array" aca="1" ref="AO106" ca="1">_xlfn.XLOOKUP(Contrato[[#This Row],[DOCUMENTO ]],PERSONAL_ACTIVO_2025[[#All],[DOCUMENTO]],PERSONAL_ACTIVO_2025[[#All],[email]],0,0)</f>
        <v>#NAME?</v>
      </c>
      <c r="AP106" s="111" t="e" cm="1">
        <f t="array" aca="1" ref="AP106" ca="1">_xlfn.XLOOKUP(Contrato[[#This Row],[DOCUMENTO]],PERSONAL_ACTIVO_2025[[#All],[DOCUMENTO]],PERSONAL_ACTIVO_2025[[#All],[email]],0,0)</f>
        <v>#NAME?</v>
      </c>
      <c r="AQ106" s="111" cm="1">
        <f t="array" aca="1" ref="AQ106" ca="1">IF(ISBLANK(Contrato[[#This Row],[DEPENDENCIA ]]),0,IFERROR(_xlfn.XLOOKUP(Contrato[[#This Row],[DEPENDENCIA ]],#REF!,#REF!,0,0),0))</f>
        <v>0</v>
      </c>
      <c r="AR106" s="553">
        <f ca="1">+_xlfn.DAYS(Contrato[[#This Row],[FECHA TERMINACIÓN ]],TODAY())</f>
        <v>222</v>
      </c>
    </row>
    <row r="107" spans="1:44" s="111" customFormat="1" ht="36" customHeight="1" x14ac:dyDescent="0.25">
      <c r="A107" s="38">
        <v>290</v>
      </c>
      <c r="B107" s="226">
        <v>101</v>
      </c>
      <c r="C107" s="88" t="s">
        <v>488</v>
      </c>
      <c r="D107" s="192" t="s">
        <v>911</v>
      </c>
      <c r="E107" s="193" t="s">
        <v>112</v>
      </c>
      <c r="F107" s="194" t="s">
        <v>113</v>
      </c>
      <c r="G107" s="195" t="s">
        <v>1160</v>
      </c>
      <c r="H107" s="167">
        <v>98626750</v>
      </c>
      <c r="I107" s="292">
        <v>4157906</v>
      </c>
      <c r="J107" s="290">
        <v>17601802</v>
      </c>
      <c r="K107" s="158" t="s">
        <v>41</v>
      </c>
      <c r="L107" s="196" t="s">
        <v>1087</v>
      </c>
      <c r="M107" s="114" t="s">
        <v>1091</v>
      </c>
      <c r="N107" s="113" t="e" cm="1">
        <f t="array" aca="1" ref="N107" ca="1">_xlfn.XLOOKUP(Contrato[[#This Row],[SUPERVISOR TITULAR]],PERSONAL_ACTIVO_2025[[#All],[NOMBRES Y APELLIDOS]],PERSONAL_ACTIVO_2025[[#All],[DOCUMENTO]],"",0)</f>
        <v>#NAME?</v>
      </c>
      <c r="O107" s="114" t="s">
        <v>938</v>
      </c>
      <c r="P107" s="115" t="e" cm="1">
        <f t="array" aca="1" ref="P107" ca="1">_xlfn.XLOOKUP(Contrato[[#This Row],[SUPERVISOR SUPLENTE ]],PERSONAL_ACTIVO_2025[[#All],[NOMBRES Y APELLIDOS]],PERSONAL_ACTIVO_2025[[#All],[DOCUMENTO]],"",0)</f>
        <v>#NAME?</v>
      </c>
      <c r="Q107" s="116">
        <v>124</v>
      </c>
      <c r="R107" s="137" t="e" cm="1">
        <f t="array" aca="1" ref="R107" ca="1">_xlfn.XLOOKUP(Contrato[[#This Row],[CDP]],DISPONIBILIDADES_2025[[#All],[consecutivo]],DISPONIBILIDADES_2025[[#All],[fecha_aprobacion]],"",0)</f>
        <v>#NAME?</v>
      </c>
      <c r="S107" s="92">
        <f>SUMIF(DISPONIBILIDADES_2025[[#All],[consecutivo]],Contrato[[#This Row],[CDP]],DISPONIBILIDADES_2025[[#All],[valor_total_rubro]])</f>
        <v>17601802</v>
      </c>
      <c r="T107" s="118" t="e" cm="1">
        <f t="array" aca="1" ref="T107" ca="1">_xlfn.XLOOKUP(Contrato[[#This Row],[CONTRATO]]&amp;Contrato[[#This Row],[CDP]],Corr_Contr_CDP[[#All],[CONTRATO-CDP]],Corr_Contr_CDP[[#All],[CRP]],_xlfn.XLOOKUP(Contrato[[#This Row],[CDP]],COMPROMISOS_2025[[#All],[disponibilidad]],COMPROMISOS_2025[[#All],[consecutivo]],"",0),0)</f>
        <v>#NAME?</v>
      </c>
      <c r="U107" s="117" t="e" cm="1">
        <f t="array" aca="1" ref="U107" ca="1">+_xlfn.XLOOKUP(Contrato[[#This Row],[RCP]],COMPROMISOS_2025[[#All],[consecutivo]],COMPROMISOS_2025[[#All],[fecha_aprobacion]],"",0)</f>
        <v>#NAME?</v>
      </c>
      <c r="V107" s="93">
        <f ca="1">SUMIF(COMPROMISOS_2025[[#All],[consecutivo]],Contrato[[#This Row],[RCP]],COMPROMISOS_2025[[#All],[valor_total]])</f>
        <v>0</v>
      </c>
      <c r="W107" s="169">
        <v>45707</v>
      </c>
      <c r="X107" s="243" t="s">
        <v>901</v>
      </c>
      <c r="Y107" s="96">
        <v>45709</v>
      </c>
      <c r="Z107" s="161">
        <v>45835</v>
      </c>
      <c r="AA107" s="311" t="s">
        <v>1134</v>
      </c>
      <c r="AB107" s="119" t="s">
        <v>1161</v>
      </c>
      <c r="AC107" s="298"/>
      <c r="AD107" s="279">
        <v>202000006216</v>
      </c>
      <c r="AE107" s="38" t="s">
        <v>904</v>
      </c>
      <c r="AF107" s="120" t="str">
        <f>TEXT(LEFT(Contrato[[#This Row],[CONTRATO]],3),"0")</f>
        <v>101</v>
      </c>
      <c r="AG107" s="120" t="str">
        <f>IF(LEN(Contrato[[#This Row],[Contrato2]])=3,Contrato[[#This Row],[Contrato2]],TEXT(Contrato[[#This Row],[Contrato2]],"000"))</f>
        <v>101</v>
      </c>
      <c r="AH107" s="90">
        <f ca="1">IFERROR(_xlfn.DAYS(Contrato[[#This Row],[Fecha Proyectada liquidación]],TODAY())/30,"")</f>
        <v>5.7333333333333334</v>
      </c>
      <c r="AI107" s="121">
        <f>+Contrato[[#This Row],[FECHA TERMINACIÓN ]]+120</f>
        <v>45955</v>
      </c>
      <c r="AJ107" s="89"/>
      <c r="AK107" s="91" t="str">
        <f ca="1">IF(Contrato[[#This Row],[FECHA TERMINACIÓN ]]&lt;TODAY(), "Terminado",IF(ISNUMBER(Contrato[[#This Row],[Fecha Real de liquiidación ]]),"Liquidado",IF(Contrato[[#This Row],[FECHA TERMINACIÓN ]]&gt;=TODAY(),"En ejecución","")))</f>
        <v>En ejecución</v>
      </c>
      <c r="AL107" s="107">
        <f ca="1">SUMIF(COMPROMISOS_2025[[#All],[consecutivo]],Contrato[[#This Row],[RCP]],COMPROMISOS_2025[[#All],[Total pagado]])</f>
        <v>0</v>
      </c>
      <c r="AM107" s="122">
        <f ca="1">IFERROR(Contrato[[#This Row],[Pagos]]/Contrato[[#This Row],[VALOR CONTRATO]],0)</f>
        <v>0</v>
      </c>
      <c r="AN107" s="160">
        <f ca="1">+Contrato[[#This Row],[VALOR CONTRATO]]-Contrato[[#This Row],[Pagos]]</f>
        <v>17601802</v>
      </c>
      <c r="AO107" s="111" t="e" cm="1">
        <f t="array" aca="1" ref="AO107" ca="1">_xlfn.XLOOKUP(Contrato[[#This Row],[DOCUMENTO ]],PERSONAL_ACTIVO_2025[[#All],[DOCUMENTO]],PERSONAL_ACTIVO_2025[[#All],[email]],0,0)</f>
        <v>#NAME?</v>
      </c>
      <c r="AP107" s="111" t="e" cm="1">
        <f t="array" aca="1" ref="AP107" ca="1">_xlfn.XLOOKUP(Contrato[[#This Row],[DOCUMENTO]],PERSONAL_ACTIVO_2025[[#All],[DOCUMENTO]],PERSONAL_ACTIVO_2025[[#All],[email]],0,0)</f>
        <v>#NAME?</v>
      </c>
      <c r="AQ107" s="111" cm="1">
        <f t="array" aca="1" ref="AQ107" ca="1">IF(ISBLANK(Contrato[[#This Row],[DEPENDENCIA ]]),0,IFERROR(_xlfn.XLOOKUP(Contrato[[#This Row],[DEPENDENCIA ]],#REF!,#REF!,0,0),0))</f>
        <v>0</v>
      </c>
      <c r="AR107" s="553">
        <f ca="1">+_xlfn.DAYS(Contrato[[#This Row],[FECHA TERMINACIÓN ]],TODAY())</f>
        <v>52</v>
      </c>
    </row>
    <row r="108" spans="1:44" s="111" customFormat="1" ht="36" customHeight="1" x14ac:dyDescent="0.25">
      <c r="A108" s="38">
        <v>291</v>
      </c>
      <c r="B108" s="226">
        <v>102</v>
      </c>
      <c r="C108" s="88" t="s">
        <v>489</v>
      </c>
      <c r="D108" s="192" t="s">
        <v>911</v>
      </c>
      <c r="E108" s="193" t="s">
        <v>112</v>
      </c>
      <c r="F108" s="194" t="s">
        <v>113</v>
      </c>
      <c r="G108" s="195" t="s">
        <v>1162</v>
      </c>
      <c r="H108" s="167">
        <v>71263460</v>
      </c>
      <c r="I108" s="292">
        <v>6239569</v>
      </c>
      <c r="J108" s="290">
        <v>61147776</v>
      </c>
      <c r="K108" s="158" t="s">
        <v>41</v>
      </c>
      <c r="L108" s="196" t="s">
        <v>1087</v>
      </c>
      <c r="M108" s="114" t="s">
        <v>1091</v>
      </c>
      <c r="N108" s="113" t="e" cm="1">
        <f t="array" aca="1" ref="N108" ca="1">_xlfn.XLOOKUP(Contrato[[#This Row],[SUPERVISOR TITULAR]],PERSONAL_ACTIVO_2025[[#All],[NOMBRES Y APELLIDOS]],PERSONAL_ACTIVO_2025[[#All],[DOCUMENTO]],"",0)</f>
        <v>#NAME?</v>
      </c>
      <c r="O108" s="114" t="s">
        <v>938</v>
      </c>
      <c r="P108" s="115" t="e" cm="1">
        <f t="array" aca="1" ref="P108" ca="1">_xlfn.XLOOKUP(Contrato[[#This Row],[SUPERVISOR SUPLENTE ]],PERSONAL_ACTIVO_2025[[#All],[NOMBRES Y APELLIDOS]],PERSONAL_ACTIVO_2025[[#All],[DOCUMENTO]],"",0)</f>
        <v>#NAME?</v>
      </c>
      <c r="Q108" s="116">
        <v>125</v>
      </c>
      <c r="R108" s="137" t="e" cm="1">
        <f t="array" aca="1" ref="R108" ca="1">_xlfn.XLOOKUP(Contrato[[#This Row],[CDP]],DISPONIBILIDADES_2025[[#All],[consecutivo]],DISPONIBILIDADES_2025[[#All],[fecha_aprobacion]],"",0)</f>
        <v>#NAME?</v>
      </c>
      <c r="S108" s="92">
        <f>SUMIF(DISPONIBILIDADES_2025[[#All],[consecutivo]],Contrato[[#This Row],[CDP]],DISPONIBILIDADES_2025[[#All],[valor_total_rubro]])</f>
        <v>61147776</v>
      </c>
      <c r="T108" s="118" t="e" cm="1">
        <f t="array" aca="1" ref="T108" ca="1">_xlfn.XLOOKUP(Contrato[[#This Row],[CONTRATO]]&amp;Contrato[[#This Row],[CDP]],Corr_Contr_CDP[[#All],[CONTRATO-CDP]],Corr_Contr_CDP[[#All],[CRP]],_xlfn.XLOOKUP(Contrato[[#This Row],[CDP]],COMPROMISOS_2025[[#All],[disponibilidad]],COMPROMISOS_2025[[#All],[consecutivo]],"",0),0)</f>
        <v>#NAME?</v>
      </c>
      <c r="U108" s="117" t="e" cm="1">
        <f t="array" aca="1" ref="U108" ca="1">+_xlfn.XLOOKUP(Contrato[[#This Row],[RCP]],COMPROMISOS_2025[[#All],[consecutivo]],COMPROMISOS_2025[[#All],[fecha_aprobacion]],"",0)</f>
        <v>#NAME?</v>
      </c>
      <c r="V108" s="93">
        <f ca="1">SUMIF(COMPROMISOS_2025[[#All],[consecutivo]],Contrato[[#This Row],[RCP]],COMPROMISOS_2025[[#All],[valor_total]])</f>
        <v>0</v>
      </c>
      <c r="W108" s="169">
        <v>45708</v>
      </c>
      <c r="X108" s="243" t="s">
        <v>901</v>
      </c>
      <c r="Y108" s="96">
        <v>45709</v>
      </c>
      <c r="Z108" s="161">
        <v>46005</v>
      </c>
      <c r="AA108" s="311" t="s">
        <v>1143</v>
      </c>
      <c r="AB108" s="119" t="s">
        <v>1127</v>
      </c>
      <c r="AC108" s="298"/>
      <c r="AD108" s="279">
        <v>202000006217</v>
      </c>
      <c r="AE108" s="38" t="s">
        <v>904</v>
      </c>
      <c r="AF108" s="120" t="str">
        <f>TEXT(LEFT(Contrato[[#This Row],[CONTRATO]],3),"0")</f>
        <v>102</v>
      </c>
      <c r="AG108" s="120" t="str">
        <f>IF(LEN(Contrato[[#This Row],[Contrato2]])=3,Contrato[[#This Row],[Contrato2]],TEXT(Contrato[[#This Row],[Contrato2]],"000"))</f>
        <v>102</v>
      </c>
      <c r="AH108" s="90">
        <f ca="1">IFERROR(_xlfn.DAYS(Contrato[[#This Row],[Fecha Proyectada liquidación]],TODAY())/30,"")</f>
        <v>11.4</v>
      </c>
      <c r="AI108" s="121">
        <f>+Contrato[[#This Row],[FECHA TERMINACIÓN ]]+120</f>
        <v>46125</v>
      </c>
      <c r="AJ108" s="89"/>
      <c r="AK108" s="91" t="str">
        <f ca="1">IF(Contrato[[#This Row],[FECHA TERMINACIÓN ]]&lt;TODAY(), "Terminado",IF(ISNUMBER(Contrato[[#This Row],[Fecha Real de liquiidación ]]),"Liquidado",IF(Contrato[[#This Row],[FECHA TERMINACIÓN ]]&gt;=TODAY(),"En ejecución","")))</f>
        <v>En ejecución</v>
      </c>
      <c r="AL108" s="107">
        <f ca="1">SUMIF(COMPROMISOS_2025[[#All],[consecutivo]],Contrato[[#This Row],[RCP]],COMPROMISOS_2025[[#All],[Total pagado]])</f>
        <v>0</v>
      </c>
      <c r="AM108" s="122">
        <f ca="1">IFERROR(Contrato[[#This Row],[Pagos]]/Contrato[[#This Row],[VALOR CONTRATO]],0)</f>
        <v>0</v>
      </c>
      <c r="AN108" s="160">
        <f ca="1">+Contrato[[#This Row],[VALOR CONTRATO]]-Contrato[[#This Row],[Pagos]]</f>
        <v>61147776</v>
      </c>
      <c r="AO108" s="111" t="e" cm="1">
        <f t="array" aca="1" ref="AO108" ca="1">_xlfn.XLOOKUP(Contrato[[#This Row],[DOCUMENTO ]],PERSONAL_ACTIVO_2025[[#All],[DOCUMENTO]],PERSONAL_ACTIVO_2025[[#All],[email]],0,0)</f>
        <v>#NAME?</v>
      </c>
      <c r="AP108" s="111" t="e" cm="1">
        <f t="array" aca="1" ref="AP108" ca="1">_xlfn.XLOOKUP(Contrato[[#This Row],[DOCUMENTO]],PERSONAL_ACTIVO_2025[[#All],[DOCUMENTO]],PERSONAL_ACTIVO_2025[[#All],[email]],0,0)</f>
        <v>#NAME?</v>
      </c>
      <c r="AQ108" s="111" cm="1">
        <f t="array" aca="1" ref="AQ108" ca="1">IF(ISBLANK(Contrato[[#This Row],[DEPENDENCIA ]]),0,IFERROR(_xlfn.XLOOKUP(Contrato[[#This Row],[DEPENDENCIA ]],#REF!,#REF!,0,0),0))</f>
        <v>0</v>
      </c>
      <c r="AR108" s="553">
        <f ca="1">+_xlfn.DAYS(Contrato[[#This Row],[FECHA TERMINACIÓN ]],TODAY())</f>
        <v>222</v>
      </c>
    </row>
    <row r="109" spans="1:44" s="111" customFormat="1" ht="36" customHeight="1" x14ac:dyDescent="0.25">
      <c r="A109" s="38">
        <v>292</v>
      </c>
      <c r="B109" s="226">
        <v>103</v>
      </c>
      <c r="C109" s="88" t="s">
        <v>490</v>
      </c>
      <c r="D109" s="192" t="s">
        <v>911</v>
      </c>
      <c r="E109" s="193" t="s">
        <v>112</v>
      </c>
      <c r="F109" s="194" t="s">
        <v>113</v>
      </c>
      <c r="G109" s="195" t="s">
        <v>1163</v>
      </c>
      <c r="H109" s="167">
        <v>70908694</v>
      </c>
      <c r="I109" s="292">
        <v>5164201</v>
      </c>
      <c r="J109" s="290">
        <v>50609170</v>
      </c>
      <c r="K109" s="158" t="s">
        <v>41</v>
      </c>
      <c r="L109" s="196" t="s">
        <v>1087</v>
      </c>
      <c r="M109" s="114" t="s">
        <v>1091</v>
      </c>
      <c r="N109" s="113" t="e" cm="1">
        <f t="array" aca="1" ref="N109" ca="1">_xlfn.XLOOKUP(Contrato[[#This Row],[SUPERVISOR TITULAR]],PERSONAL_ACTIVO_2025[[#All],[NOMBRES Y APELLIDOS]],PERSONAL_ACTIVO_2025[[#All],[DOCUMENTO]],"",0)</f>
        <v>#NAME?</v>
      </c>
      <c r="O109" s="114" t="s">
        <v>938</v>
      </c>
      <c r="P109" s="115" t="e" cm="1">
        <f t="array" aca="1" ref="P109" ca="1">_xlfn.XLOOKUP(Contrato[[#This Row],[SUPERVISOR SUPLENTE ]],PERSONAL_ACTIVO_2025[[#All],[NOMBRES Y APELLIDOS]],PERSONAL_ACTIVO_2025[[#All],[DOCUMENTO]],"",0)</f>
        <v>#NAME?</v>
      </c>
      <c r="Q109" s="116">
        <v>126</v>
      </c>
      <c r="R109" s="137" t="e" cm="1">
        <f t="array" aca="1" ref="R109" ca="1">_xlfn.XLOOKUP(Contrato[[#This Row],[CDP]],DISPONIBILIDADES_2025[[#All],[consecutivo]],DISPONIBILIDADES_2025[[#All],[fecha_aprobacion]],"",0)</f>
        <v>#NAME?</v>
      </c>
      <c r="S109" s="92">
        <f>SUMIF(DISPONIBILIDADES_2025[[#All],[consecutivo]],Contrato[[#This Row],[CDP]],DISPONIBILIDADES_2025[[#All],[valor_total_rubro]])</f>
        <v>50609170</v>
      </c>
      <c r="T109" s="118" t="e" cm="1">
        <f t="array" aca="1" ref="T109" ca="1">_xlfn.XLOOKUP(Contrato[[#This Row],[CONTRATO]]&amp;Contrato[[#This Row],[CDP]],Corr_Contr_CDP[[#All],[CONTRATO-CDP]],Corr_Contr_CDP[[#All],[CRP]],_xlfn.XLOOKUP(Contrato[[#This Row],[CDP]],COMPROMISOS_2025[[#All],[disponibilidad]],COMPROMISOS_2025[[#All],[consecutivo]],"",0),0)</f>
        <v>#NAME?</v>
      </c>
      <c r="U109" s="117" t="e" cm="1">
        <f t="array" aca="1" ref="U109" ca="1">+_xlfn.XLOOKUP(Contrato[[#This Row],[RCP]],COMPROMISOS_2025[[#All],[consecutivo]],COMPROMISOS_2025[[#All],[fecha_aprobacion]],"",0)</f>
        <v>#NAME?</v>
      </c>
      <c r="V109" s="93">
        <f ca="1">SUMIF(COMPROMISOS_2025[[#All],[consecutivo]],Contrato[[#This Row],[RCP]],COMPROMISOS_2025[[#All],[valor_total]])</f>
        <v>0</v>
      </c>
      <c r="W109" s="169">
        <v>45707</v>
      </c>
      <c r="X109" s="243" t="s">
        <v>901</v>
      </c>
      <c r="Y109" s="96">
        <v>45709</v>
      </c>
      <c r="Z109" s="161">
        <v>46005</v>
      </c>
      <c r="AA109" s="311" t="s">
        <v>1130</v>
      </c>
      <c r="AB109" s="119" t="s">
        <v>1127</v>
      </c>
      <c r="AC109" s="298"/>
      <c r="AD109" s="279">
        <v>202000006218</v>
      </c>
      <c r="AE109" s="38" t="s">
        <v>904</v>
      </c>
      <c r="AF109" s="120" t="str">
        <f>TEXT(LEFT(Contrato[[#This Row],[CONTRATO]],3),"0")</f>
        <v>103</v>
      </c>
      <c r="AG109" s="120" t="str">
        <f>IF(LEN(Contrato[[#This Row],[Contrato2]])=3,Contrato[[#This Row],[Contrato2]],TEXT(Contrato[[#This Row],[Contrato2]],"000"))</f>
        <v>103</v>
      </c>
      <c r="AH109" s="90">
        <f ca="1">IFERROR(_xlfn.DAYS(Contrato[[#This Row],[Fecha Proyectada liquidación]],TODAY())/30,"")</f>
        <v>11.4</v>
      </c>
      <c r="AI109" s="121">
        <f>+Contrato[[#This Row],[FECHA TERMINACIÓN ]]+120</f>
        <v>46125</v>
      </c>
      <c r="AJ109" s="89"/>
      <c r="AK109" s="91" t="str">
        <f ca="1">IF(Contrato[[#This Row],[FECHA TERMINACIÓN ]]&lt;TODAY(), "Terminado",IF(ISNUMBER(Contrato[[#This Row],[Fecha Real de liquiidación ]]),"Liquidado",IF(Contrato[[#This Row],[FECHA TERMINACIÓN ]]&gt;=TODAY(),"En ejecución","")))</f>
        <v>En ejecución</v>
      </c>
      <c r="AL109" s="107">
        <f ca="1">SUMIF(COMPROMISOS_2025[[#All],[consecutivo]],Contrato[[#This Row],[RCP]],COMPROMISOS_2025[[#All],[Total pagado]])</f>
        <v>0</v>
      </c>
      <c r="AM109" s="122">
        <f ca="1">IFERROR(Contrato[[#This Row],[Pagos]]/Contrato[[#This Row],[VALOR CONTRATO]],0)</f>
        <v>0</v>
      </c>
      <c r="AN109" s="160">
        <f ca="1">+Contrato[[#This Row],[VALOR CONTRATO]]-Contrato[[#This Row],[Pagos]]</f>
        <v>50609170</v>
      </c>
      <c r="AO109" s="111" t="e" cm="1">
        <f t="array" aca="1" ref="AO109" ca="1">_xlfn.XLOOKUP(Contrato[[#This Row],[DOCUMENTO ]],PERSONAL_ACTIVO_2025[[#All],[DOCUMENTO]],PERSONAL_ACTIVO_2025[[#All],[email]],0,0)</f>
        <v>#NAME?</v>
      </c>
      <c r="AP109" s="111" t="e" cm="1">
        <f t="array" aca="1" ref="AP109" ca="1">_xlfn.XLOOKUP(Contrato[[#This Row],[DOCUMENTO]],PERSONAL_ACTIVO_2025[[#All],[DOCUMENTO]],PERSONAL_ACTIVO_2025[[#All],[email]],0,0)</f>
        <v>#NAME?</v>
      </c>
      <c r="AQ109" s="111" cm="1">
        <f t="array" aca="1" ref="AQ109" ca="1">IF(ISBLANK(Contrato[[#This Row],[DEPENDENCIA ]]),0,IFERROR(_xlfn.XLOOKUP(Contrato[[#This Row],[DEPENDENCIA ]],#REF!,#REF!,0,0),0))</f>
        <v>0</v>
      </c>
      <c r="AR109" s="553">
        <f ca="1">+_xlfn.DAYS(Contrato[[#This Row],[FECHA TERMINACIÓN ]],TODAY())</f>
        <v>222</v>
      </c>
    </row>
    <row r="110" spans="1:44" s="111" customFormat="1" ht="36" customHeight="1" x14ac:dyDescent="0.25">
      <c r="A110" s="38">
        <v>293</v>
      </c>
      <c r="B110" s="226">
        <v>104</v>
      </c>
      <c r="C110" s="88" t="s">
        <v>491</v>
      </c>
      <c r="D110" s="192" t="s">
        <v>911</v>
      </c>
      <c r="E110" s="193" t="s">
        <v>112</v>
      </c>
      <c r="F110" s="194" t="s">
        <v>113</v>
      </c>
      <c r="G110" s="195" t="s">
        <v>1164</v>
      </c>
      <c r="H110" s="167">
        <v>1036396173</v>
      </c>
      <c r="I110" s="292">
        <v>4157906</v>
      </c>
      <c r="J110" s="290">
        <v>40747479</v>
      </c>
      <c r="K110" s="158" t="s">
        <v>41</v>
      </c>
      <c r="L110" s="196" t="s">
        <v>1087</v>
      </c>
      <c r="M110" s="114" t="s">
        <v>1091</v>
      </c>
      <c r="N110" s="113" t="e" cm="1">
        <f t="array" aca="1" ref="N110" ca="1">_xlfn.XLOOKUP(Contrato[[#This Row],[SUPERVISOR TITULAR]],PERSONAL_ACTIVO_2025[[#All],[NOMBRES Y APELLIDOS]],PERSONAL_ACTIVO_2025[[#All],[DOCUMENTO]],"",0)</f>
        <v>#NAME?</v>
      </c>
      <c r="O110" s="114" t="s">
        <v>938</v>
      </c>
      <c r="P110" s="115" t="e" cm="1">
        <f t="array" aca="1" ref="P110" ca="1">_xlfn.XLOOKUP(Contrato[[#This Row],[SUPERVISOR SUPLENTE ]],PERSONAL_ACTIVO_2025[[#All],[NOMBRES Y APELLIDOS]],PERSONAL_ACTIVO_2025[[#All],[DOCUMENTO]],"",0)</f>
        <v>#NAME?</v>
      </c>
      <c r="Q110" s="116">
        <v>127</v>
      </c>
      <c r="R110" s="137" t="e" cm="1">
        <f t="array" aca="1" ref="R110" ca="1">_xlfn.XLOOKUP(Contrato[[#This Row],[CDP]],DISPONIBILIDADES_2025[[#All],[consecutivo]],DISPONIBILIDADES_2025[[#All],[fecha_aprobacion]],"",0)</f>
        <v>#NAME?</v>
      </c>
      <c r="S110" s="92">
        <f>SUMIF(DISPONIBILIDADES_2025[[#All],[consecutivo]],Contrato[[#This Row],[CDP]],DISPONIBILIDADES_2025[[#All],[valor_total_rubro]])</f>
        <v>40747479</v>
      </c>
      <c r="T110" s="118" t="e" cm="1">
        <f t="array" aca="1" ref="T110" ca="1">_xlfn.XLOOKUP(Contrato[[#This Row],[CONTRATO]]&amp;Contrato[[#This Row],[CDP]],Corr_Contr_CDP[[#All],[CONTRATO-CDP]],Corr_Contr_CDP[[#All],[CRP]],_xlfn.XLOOKUP(Contrato[[#This Row],[CDP]],COMPROMISOS_2025[[#All],[disponibilidad]],COMPROMISOS_2025[[#All],[consecutivo]],"",0),0)</f>
        <v>#NAME?</v>
      </c>
      <c r="U110" s="117" t="e" cm="1">
        <f t="array" aca="1" ref="U110" ca="1">+_xlfn.XLOOKUP(Contrato[[#This Row],[RCP]],COMPROMISOS_2025[[#All],[consecutivo]],COMPROMISOS_2025[[#All],[fecha_aprobacion]],"",0)</f>
        <v>#NAME?</v>
      </c>
      <c r="V110" s="93">
        <f ca="1">SUMIF(COMPROMISOS_2025[[#All],[consecutivo]],Contrato[[#This Row],[RCP]],COMPROMISOS_2025[[#All],[valor_total]])</f>
        <v>0</v>
      </c>
      <c r="W110" s="169">
        <v>45708</v>
      </c>
      <c r="X110" s="243" t="s">
        <v>901</v>
      </c>
      <c r="Y110" s="96">
        <v>45709</v>
      </c>
      <c r="Z110" s="161">
        <v>46005</v>
      </c>
      <c r="AA110" s="311" t="s">
        <v>1130</v>
      </c>
      <c r="AB110" s="119" t="s">
        <v>1127</v>
      </c>
      <c r="AC110" s="298"/>
      <c r="AD110" s="279">
        <v>202000006219</v>
      </c>
      <c r="AE110" s="38" t="s">
        <v>904</v>
      </c>
      <c r="AF110" s="120" t="str">
        <f>TEXT(LEFT(Contrato[[#This Row],[CONTRATO]],3),"0")</f>
        <v>104</v>
      </c>
      <c r="AG110" s="120" t="str">
        <f>IF(LEN(Contrato[[#This Row],[Contrato2]])=3,Contrato[[#This Row],[Contrato2]],TEXT(Contrato[[#This Row],[Contrato2]],"000"))</f>
        <v>104</v>
      </c>
      <c r="AH110" s="90">
        <f ca="1">IFERROR(_xlfn.DAYS(Contrato[[#This Row],[Fecha Proyectada liquidación]],TODAY())/30,"")</f>
        <v>11.4</v>
      </c>
      <c r="AI110" s="121">
        <f>+Contrato[[#This Row],[FECHA TERMINACIÓN ]]+120</f>
        <v>46125</v>
      </c>
      <c r="AJ110" s="89"/>
      <c r="AK110" s="91" t="str">
        <f ca="1">IF(Contrato[[#This Row],[FECHA TERMINACIÓN ]]&lt;TODAY(), "Terminado",IF(ISNUMBER(Contrato[[#This Row],[Fecha Real de liquiidación ]]),"Liquidado",IF(Contrato[[#This Row],[FECHA TERMINACIÓN ]]&gt;=TODAY(),"En ejecución","")))</f>
        <v>En ejecución</v>
      </c>
      <c r="AL110" s="107">
        <f ca="1">SUMIF(COMPROMISOS_2025[[#All],[consecutivo]],Contrato[[#This Row],[RCP]],COMPROMISOS_2025[[#All],[Total pagado]])</f>
        <v>0</v>
      </c>
      <c r="AM110" s="122">
        <f ca="1">IFERROR(Contrato[[#This Row],[Pagos]]/Contrato[[#This Row],[VALOR CONTRATO]],0)</f>
        <v>0</v>
      </c>
      <c r="AN110" s="160">
        <f ca="1">+Contrato[[#This Row],[VALOR CONTRATO]]-Contrato[[#This Row],[Pagos]]</f>
        <v>40747479</v>
      </c>
      <c r="AO110" s="111" t="e" cm="1">
        <f t="array" aca="1" ref="AO110" ca="1">_xlfn.XLOOKUP(Contrato[[#This Row],[DOCUMENTO ]],PERSONAL_ACTIVO_2025[[#All],[DOCUMENTO]],PERSONAL_ACTIVO_2025[[#All],[email]],0,0)</f>
        <v>#NAME?</v>
      </c>
      <c r="AP110" s="111" t="e" cm="1">
        <f t="array" aca="1" ref="AP110" ca="1">_xlfn.XLOOKUP(Contrato[[#This Row],[DOCUMENTO]],PERSONAL_ACTIVO_2025[[#All],[DOCUMENTO]],PERSONAL_ACTIVO_2025[[#All],[email]],0,0)</f>
        <v>#NAME?</v>
      </c>
      <c r="AQ110" s="111" cm="1">
        <f t="array" aca="1" ref="AQ110" ca="1">IF(ISBLANK(Contrato[[#This Row],[DEPENDENCIA ]]),0,IFERROR(_xlfn.XLOOKUP(Contrato[[#This Row],[DEPENDENCIA ]],#REF!,#REF!,0,0),0))</f>
        <v>0</v>
      </c>
      <c r="AR110" s="553">
        <f ca="1">+_xlfn.DAYS(Contrato[[#This Row],[FECHA TERMINACIÓN ]],TODAY())</f>
        <v>222</v>
      </c>
    </row>
    <row r="111" spans="1:44" s="111" customFormat="1" ht="36" customHeight="1" x14ac:dyDescent="0.25">
      <c r="A111" s="38">
        <v>295</v>
      </c>
      <c r="B111" s="226">
        <v>105</v>
      </c>
      <c r="C111" s="88" t="s">
        <v>493</v>
      </c>
      <c r="D111" s="192" t="s">
        <v>911</v>
      </c>
      <c r="E111" s="193" t="s">
        <v>112</v>
      </c>
      <c r="F111" s="194" t="s">
        <v>113</v>
      </c>
      <c r="G111" s="195" t="s">
        <v>1165</v>
      </c>
      <c r="H111" s="167">
        <v>1065894539</v>
      </c>
      <c r="I111" s="292">
        <v>5164201</v>
      </c>
      <c r="J111" s="290">
        <v>50609170</v>
      </c>
      <c r="K111" s="158" t="s">
        <v>41</v>
      </c>
      <c r="L111" s="196" t="s">
        <v>1087</v>
      </c>
      <c r="M111" s="114" t="s">
        <v>1091</v>
      </c>
      <c r="N111" s="113" t="e" cm="1">
        <f t="array" aca="1" ref="N111" ca="1">_xlfn.XLOOKUP(Contrato[[#This Row],[SUPERVISOR TITULAR]],PERSONAL_ACTIVO_2025[[#All],[NOMBRES Y APELLIDOS]],PERSONAL_ACTIVO_2025[[#All],[DOCUMENTO]],"",0)</f>
        <v>#NAME?</v>
      </c>
      <c r="O111" s="114" t="s">
        <v>938</v>
      </c>
      <c r="P111" s="115" t="e" cm="1">
        <f t="array" aca="1" ref="P111" ca="1">_xlfn.XLOOKUP(Contrato[[#This Row],[SUPERVISOR SUPLENTE ]],PERSONAL_ACTIVO_2025[[#All],[NOMBRES Y APELLIDOS]],PERSONAL_ACTIVO_2025[[#All],[DOCUMENTO]],"",0)</f>
        <v>#NAME?</v>
      </c>
      <c r="Q111" s="116">
        <v>129</v>
      </c>
      <c r="R111" s="137" t="e" cm="1">
        <f t="array" aca="1" ref="R111" ca="1">_xlfn.XLOOKUP(Contrato[[#This Row],[CDP]],DISPONIBILIDADES_2025[[#All],[consecutivo]],DISPONIBILIDADES_2025[[#All],[fecha_aprobacion]],"",0)</f>
        <v>#NAME?</v>
      </c>
      <c r="S111" s="92">
        <f>SUMIF(DISPONIBILIDADES_2025[[#All],[consecutivo]],Contrato[[#This Row],[CDP]],DISPONIBILIDADES_2025[[#All],[valor_total_rubro]])</f>
        <v>50609170</v>
      </c>
      <c r="T111" s="118" t="e" cm="1">
        <f t="array" aca="1" ref="T111" ca="1">_xlfn.XLOOKUP(Contrato[[#This Row],[CONTRATO]]&amp;Contrato[[#This Row],[CDP]],Corr_Contr_CDP[[#All],[CONTRATO-CDP]],Corr_Contr_CDP[[#All],[CRP]],_xlfn.XLOOKUP(Contrato[[#This Row],[CDP]],COMPROMISOS_2025[[#All],[disponibilidad]],COMPROMISOS_2025[[#All],[consecutivo]],"",0),0)</f>
        <v>#NAME?</v>
      </c>
      <c r="U111" s="117" t="e" cm="1">
        <f t="array" aca="1" ref="U111" ca="1">+_xlfn.XLOOKUP(Contrato[[#This Row],[RCP]],COMPROMISOS_2025[[#All],[consecutivo]],COMPROMISOS_2025[[#All],[fecha_aprobacion]],"",0)</f>
        <v>#NAME?</v>
      </c>
      <c r="V111" s="93">
        <f ca="1">SUMIF(COMPROMISOS_2025[[#All],[consecutivo]],Contrato[[#This Row],[RCP]],COMPROMISOS_2025[[#All],[valor_total]])</f>
        <v>0</v>
      </c>
      <c r="W111" s="169">
        <v>45707</v>
      </c>
      <c r="X111" s="243" t="s">
        <v>901</v>
      </c>
      <c r="Y111" s="96">
        <v>45709</v>
      </c>
      <c r="Z111" s="161">
        <v>46005</v>
      </c>
      <c r="AA111" s="311" t="s">
        <v>1130</v>
      </c>
      <c r="AB111" s="119" t="s">
        <v>1127</v>
      </c>
      <c r="AC111" s="298"/>
      <c r="AD111" s="279">
        <v>202000006220</v>
      </c>
      <c r="AE111" s="38" t="s">
        <v>904</v>
      </c>
      <c r="AF111" s="120" t="str">
        <f>TEXT(LEFT(Contrato[[#This Row],[CONTRATO]],3),"0")</f>
        <v>105</v>
      </c>
      <c r="AG111" s="120" t="str">
        <f>IF(LEN(Contrato[[#This Row],[Contrato2]])=3,Contrato[[#This Row],[Contrato2]],TEXT(Contrato[[#This Row],[Contrato2]],"000"))</f>
        <v>105</v>
      </c>
      <c r="AH111" s="90">
        <f ca="1">IFERROR(_xlfn.DAYS(Contrato[[#This Row],[Fecha Proyectada liquidación]],TODAY())/30,"")</f>
        <v>11.4</v>
      </c>
      <c r="AI111" s="121">
        <f>+Contrato[[#This Row],[FECHA TERMINACIÓN ]]+120</f>
        <v>46125</v>
      </c>
      <c r="AJ111" s="89"/>
      <c r="AK111" s="91" t="str">
        <f ca="1">IF(Contrato[[#This Row],[FECHA TERMINACIÓN ]]&lt;TODAY(), "Terminado",IF(ISNUMBER(Contrato[[#This Row],[Fecha Real de liquiidación ]]),"Liquidado",IF(Contrato[[#This Row],[FECHA TERMINACIÓN ]]&gt;=TODAY(),"En ejecución","")))</f>
        <v>En ejecución</v>
      </c>
      <c r="AL111" s="107">
        <f ca="1">SUMIF(COMPROMISOS_2025[[#All],[consecutivo]],Contrato[[#This Row],[RCP]],COMPROMISOS_2025[[#All],[Total pagado]])</f>
        <v>0</v>
      </c>
      <c r="AM111" s="122">
        <f ca="1">IFERROR(Contrato[[#This Row],[Pagos]]/Contrato[[#This Row],[VALOR CONTRATO]],0)</f>
        <v>0</v>
      </c>
      <c r="AN111" s="160">
        <f ca="1">+Contrato[[#This Row],[VALOR CONTRATO]]-Contrato[[#This Row],[Pagos]]</f>
        <v>50609170</v>
      </c>
      <c r="AO111" s="111" t="e" cm="1">
        <f t="array" aca="1" ref="AO111" ca="1">_xlfn.XLOOKUP(Contrato[[#This Row],[DOCUMENTO ]],PERSONAL_ACTIVO_2025[[#All],[DOCUMENTO]],PERSONAL_ACTIVO_2025[[#All],[email]],0,0)</f>
        <v>#NAME?</v>
      </c>
      <c r="AP111" s="111" t="e" cm="1">
        <f t="array" aca="1" ref="AP111" ca="1">_xlfn.XLOOKUP(Contrato[[#This Row],[DOCUMENTO]],PERSONAL_ACTIVO_2025[[#All],[DOCUMENTO]],PERSONAL_ACTIVO_2025[[#All],[email]],0,0)</f>
        <v>#NAME?</v>
      </c>
      <c r="AQ111" s="111" cm="1">
        <f t="array" aca="1" ref="AQ111" ca="1">IF(ISBLANK(Contrato[[#This Row],[DEPENDENCIA ]]),0,IFERROR(_xlfn.XLOOKUP(Contrato[[#This Row],[DEPENDENCIA ]],#REF!,#REF!,0,0),0))</f>
        <v>0</v>
      </c>
      <c r="AR111" s="553">
        <f ca="1">+_xlfn.DAYS(Contrato[[#This Row],[FECHA TERMINACIÓN ]],TODAY())</f>
        <v>222</v>
      </c>
    </row>
    <row r="112" spans="1:44" s="111" customFormat="1" ht="36" customHeight="1" x14ac:dyDescent="0.25">
      <c r="A112" s="38">
        <v>296</v>
      </c>
      <c r="B112" s="226">
        <v>106</v>
      </c>
      <c r="C112" s="88" t="s">
        <v>494</v>
      </c>
      <c r="D112" s="192" t="s">
        <v>911</v>
      </c>
      <c r="E112" s="193" t="s">
        <v>112</v>
      </c>
      <c r="F112" s="194" t="s">
        <v>113</v>
      </c>
      <c r="G112" s="195" t="s">
        <v>1166</v>
      </c>
      <c r="H112" s="167">
        <v>1152225382</v>
      </c>
      <c r="I112" s="292">
        <v>5164201</v>
      </c>
      <c r="J112" s="290">
        <v>50609170</v>
      </c>
      <c r="K112" s="158" t="s">
        <v>41</v>
      </c>
      <c r="L112" s="196" t="s">
        <v>1087</v>
      </c>
      <c r="M112" s="114" t="s">
        <v>1091</v>
      </c>
      <c r="N112" s="113" t="e" cm="1">
        <f t="array" aca="1" ref="N112" ca="1">_xlfn.XLOOKUP(Contrato[[#This Row],[SUPERVISOR TITULAR]],PERSONAL_ACTIVO_2025[[#All],[NOMBRES Y APELLIDOS]],PERSONAL_ACTIVO_2025[[#All],[DOCUMENTO]],"",0)</f>
        <v>#NAME?</v>
      </c>
      <c r="O112" s="114" t="s">
        <v>938</v>
      </c>
      <c r="P112" s="115" t="e" cm="1">
        <f t="array" aca="1" ref="P112" ca="1">_xlfn.XLOOKUP(Contrato[[#This Row],[SUPERVISOR SUPLENTE ]],PERSONAL_ACTIVO_2025[[#All],[NOMBRES Y APELLIDOS]],PERSONAL_ACTIVO_2025[[#All],[DOCUMENTO]],"",0)</f>
        <v>#NAME?</v>
      </c>
      <c r="Q112" s="116">
        <v>130</v>
      </c>
      <c r="R112" s="137" t="e" cm="1">
        <f t="array" aca="1" ref="R112" ca="1">_xlfn.XLOOKUP(Contrato[[#This Row],[CDP]],DISPONIBILIDADES_2025[[#All],[consecutivo]],DISPONIBILIDADES_2025[[#All],[fecha_aprobacion]],"",0)</f>
        <v>#NAME?</v>
      </c>
      <c r="S112" s="92">
        <f>SUMIF(DISPONIBILIDADES_2025[[#All],[consecutivo]],Contrato[[#This Row],[CDP]],DISPONIBILIDADES_2025[[#All],[valor_total_rubro]])</f>
        <v>50609170</v>
      </c>
      <c r="T112" s="118" t="e" cm="1">
        <f t="array" aca="1" ref="T112" ca="1">_xlfn.XLOOKUP(Contrato[[#This Row],[CONTRATO]]&amp;Contrato[[#This Row],[CDP]],Corr_Contr_CDP[[#All],[CONTRATO-CDP]],Corr_Contr_CDP[[#All],[CRP]],_xlfn.XLOOKUP(Contrato[[#This Row],[CDP]],COMPROMISOS_2025[[#All],[disponibilidad]],COMPROMISOS_2025[[#All],[consecutivo]],"",0),0)</f>
        <v>#NAME?</v>
      </c>
      <c r="U112" s="117" t="e" cm="1">
        <f t="array" aca="1" ref="U112" ca="1">+_xlfn.XLOOKUP(Contrato[[#This Row],[RCP]],COMPROMISOS_2025[[#All],[consecutivo]],COMPROMISOS_2025[[#All],[fecha_aprobacion]],"",0)</f>
        <v>#NAME?</v>
      </c>
      <c r="V112" s="93">
        <f ca="1">SUMIF(COMPROMISOS_2025[[#All],[consecutivo]],Contrato[[#This Row],[RCP]],COMPROMISOS_2025[[#All],[valor_total]])</f>
        <v>0</v>
      </c>
      <c r="W112" s="169">
        <v>45708</v>
      </c>
      <c r="X112" s="243" t="s">
        <v>901</v>
      </c>
      <c r="Y112" s="96">
        <v>45709</v>
      </c>
      <c r="Z112" s="161">
        <v>46005</v>
      </c>
      <c r="AA112" s="311" t="s">
        <v>1130</v>
      </c>
      <c r="AB112" s="119" t="s">
        <v>1127</v>
      </c>
      <c r="AC112" s="298"/>
      <c r="AD112" s="279">
        <v>202000006221</v>
      </c>
      <c r="AE112" s="38" t="s">
        <v>904</v>
      </c>
      <c r="AF112" s="120" t="str">
        <f>TEXT(LEFT(Contrato[[#This Row],[CONTRATO]],3),"0")</f>
        <v>106</v>
      </c>
      <c r="AG112" s="120" t="str">
        <f>IF(LEN(Contrato[[#This Row],[Contrato2]])=3,Contrato[[#This Row],[Contrato2]],TEXT(Contrato[[#This Row],[Contrato2]],"000"))</f>
        <v>106</v>
      </c>
      <c r="AH112" s="90">
        <f ca="1">IFERROR(_xlfn.DAYS(Contrato[[#This Row],[Fecha Proyectada liquidación]],TODAY())/30,"")</f>
        <v>11.4</v>
      </c>
      <c r="AI112" s="121">
        <f>+Contrato[[#This Row],[FECHA TERMINACIÓN ]]+120</f>
        <v>46125</v>
      </c>
      <c r="AJ112" s="89"/>
      <c r="AK112" s="91" t="str">
        <f ca="1">IF(Contrato[[#This Row],[FECHA TERMINACIÓN ]]&lt;TODAY(), "Terminado",IF(ISNUMBER(Contrato[[#This Row],[Fecha Real de liquiidación ]]),"Liquidado",IF(Contrato[[#This Row],[FECHA TERMINACIÓN ]]&gt;=TODAY(),"En ejecución","")))</f>
        <v>En ejecución</v>
      </c>
      <c r="AL112" s="107">
        <f ca="1">SUMIF(COMPROMISOS_2025[[#All],[consecutivo]],Contrato[[#This Row],[RCP]],COMPROMISOS_2025[[#All],[Total pagado]])</f>
        <v>0</v>
      </c>
      <c r="AM112" s="122">
        <f ca="1">IFERROR(Contrato[[#This Row],[Pagos]]/Contrato[[#This Row],[VALOR CONTRATO]],0)</f>
        <v>0</v>
      </c>
      <c r="AN112" s="160">
        <f ca="1">+Contrato[[#This Row],[VALOR CONTRATO]]-Contrato[[#This Row],[Pagos]]</f>
        <v>50609170</v>
      </c>
      <c r="AO112" s="111" t="e" cm="1">
        <f t="array" aca="1" ref="AO112" ca="1">_xlfn.XLOOKUP(Contrato[[#This Row],[DOCUMENTO ]],PERSONAL_ACTIVO_2025[[#All],[DOCUMENTO]],PERSONAL_ACTIVO_2025[[#All],[email]],0,0)</f>
        <v>#NAME?</v>
      </c>
      <c r="AP112" s="111" t="e" cm="1">
        <f t="array" aca="1" ref="AP112" ca="1">_xlfn.XLOOKUP(Contrato[[#This Row],[DOCUMENTO]],PERSONAL_ACTIVO_2025[[#All],[DOCUMENTO]],PERSONAL_ACTIVO_2025[[#All],[email]],0,0)</f>
        <v>#NAME?</v>
      </c>
      <c r="AQ112" s="111" cm="1">
        <f t="array" aca="1" ref="AQ112" ca="1">IF(ISBLANK(Contrato[[#This Row],[DEPENDENCIA ]]),0,IFERROR(_xlfn.XLOOKUP(Contrato[[#This Row],[DEPENDENCIA ]],#REF!,#REF!,0,0),0))</f>
        <v>0</v>
      </c>
      <c r="AR112" s="553">
        <f ca="1">+_xlfn.DAYS(Contrato[[#This Row],[FECHA TERMINACIÓN ]],TODAY())</f>
        <v>222</v>
      </c>
    </row>
    <row r="113" spans="1:44" s="111" customFormat="1" ht="36" customHeight="1" x14ac:dyDescent="0.25">
      <c r="A113" s="38">
        <v>298</v>
      </c>
      <c r="B113" s="226">
        <v>107</v>
      </c>
      <c r="C113" s="88" t="s">
        <v>496</v>
      </c>
      <c r="D113" s="192" t="s">
        <v>911</v>
      </c>
      <c r="E113" s="193" t="s">
        <v>112</v>
      </c>
      <c r="F113" s="194" t="s">
        <v>113</v>
      </c>
      <c r="G113" s="195" t="s">
        <v>1167</v>
      </c>
      <c r="H113" s="167">
        <v>1036669441</v>
      </c>
      <c r="I113" s="292">
        <v>5164201</v>
      </c>
      <c r="J113" s="290">
        <v>50609170</v>
      </c>
      <c r="K113" s="158" t="s">
        <v>41</v>
      </c>
      <c r="L113" s="196" t="s">
        <v>1087</v>
      </c>
      <c r="M113" s="114" t="s">
        <v>1091</v>
      </c>
      <c r="N113" s="113" t="e" cm="1">
        <f t="array" aca="1" ref="N113" ca="1">_xlfn.XLOOKUP(Contrato[[#This Row],[SUPERVISOR TITULAR]],PERSONAL_ACTIVO_2025[[#All],[NOMBRES Y APELLIDOS]],PERSONAL_ACTIVO_2025[[#All],[DOCUMENTO]],"",0)</f>
        <v>#NAME?</v>
      </c>
      <c r="O113" s="114" t="s">
        <v>938</v>
      </c>
      <c r="P113" s="115" t="e" cm="1">
        <f t="array" aca="1" ref="P113" ca="1">_xlfn.XLOOKUP(Contrato[[#This Row],[SUPERVISOR SUPLENTE ]],PERSONAL_ACTIVO_2025[[#All],[NOMBRES Y APELLIDOS]],PERSONAL_ACTIVO_2025[[#All],[DOCUMENTO]],"",0)</f>
        <v>#NAME?</v>
      </c>
      <c r="Q113" s="116">
        <v>132</v>
      </c>
      <c r="R113" s="137" t="e" cm="1">
        <f t="array" aca="1" ref="R113" ca="1">_xlfn.XLOOKUP(Contrato[[#This Row],[CDP]],DISPONIBILIDADES_2025[[#All],[consecutivo]],DISPONIBILIDADES_2025[[#All],[fecha_aprobacion]],"",0)</f>
        <v>#NAME?</v>
      </c>
      <c r="S113" s="92">
        <f>SUMIF(DISPONIBILIDADES_2025[[#All],[consecutivo]],Contrato[[#This Row],[CDP]],DISPONIBILIDADES_2025[[#All],[valor_total_rubro]])</f>
        <v>50609170</v>
      </c>
      <c r="T113" s="118" t="e" cm="1">
        <f t="array" aca="1" ref="T113" ca="1">_xlfn.XLOOKUP(Contrato[[#This Row],[CONTRATO]]&amp;Contrato[[#This Row],[CDP]],Corr_Contr_CDP[[#All],[CONTRATO-CDP]],Corr_Contr_CDP[[#All],[CRP]],_xlfn.XLOOKUP(Contrato[[#This Row],[CDP]],COMPROMISOS_2025[[#All],[disponibilidad]],COMPROMISOS_2025[[#All],[consecutivo]],"",0),0)</f>
        <v>#NAME?</v>
      </c>
      <c r="U113" s="117" t="e" cm="1">
        <f t="array" aca="1" ref="U113" ca="1">+_xlfn.XLOOKUP(Contrato[[#This Row],[RCP]],COMPROMISOS_2025[[#All],[consecutivo]],COMPROMISOS_2025[[#All],[fecha_aprobacion]],"",0)</f>
        <v>#NAME?</v>
      </c>
      <c r="V113" s="93">
        <f ca="1">SUMIF(COMPROMISOS_2025[[#All],[consecutivo]],Contrato[[#This Row],[RCP]],COMPROMISOS_2025[[#All],[valor_total]])</f>
        <v>0</v>
      </c>
      <c r="W113" s="169">
        <v>45707</v>
      </c>
      <c r="X113" s="243" t="s">
        <v>901</v>
      </c>
      <c r="Y113" s="96">
        <v>45709</v>
      </c>
      <c r="Z113" s="161">
        <v>46005</v>
      </c>
      <c r="AA113" s="311" t="s">
        <v>1130</v>
      </c>
      <c r="AB113" s="119" t="s">
        <v>1127</v>
      </c>
      <c r="AC113" s="298"/>
      <c r="AD113" s="279">
        <v>202000006222</v>
      </c>
      <c r="AE113" s="38" t="s">
        <v>904</v>
      </c>
      <c r="AF113" s="120" t="str">
        <f>TEXT(LEFT(Contrato[[#This Row],[CONTRATO]],3),"0")</f>
        <v>107</v>
      </c>
      <c r="AG113" s="120" t="str">
        <f>IF(LEN(Contrato[[#This Row],[Contrato2]])=3,Contrato[[#This Row],[Contrato2]],TEXT(Contrato[[#This Row],[Contrato2]],"000"))</f>
        <v>107</v>
      </c>
      <c r="AH113" s="90">
        <f ca="1">IFERROR(_xlfn.DAYS(Contrato[[#This Row],[Fecha Proyectada liquidación]],TODAY())/30,"")</f>
        <v>11.4</v>
      </c>
      <c r="AI113" s="121">
        <f>+Contrato[[#This Row],[FECHA TERMINACIÓN ]]+120</f>
        <v>46125</v>
      </c>
      <c r="AJ113" s="89"/>
      <c r="AK113" s="91" t="str">
        <f ca="1">IF(Contrato[[#This Row],[FECHA TERMINACIÓN ]]&lt;TODAY(), "Terminado",IF(ISNUMBER(Contrato[[#This Row],[Fecha Real de liquiidación ]]),"Liquidado",IF(Contrato[[#This Row],[FECHA TERMINACIÓN ]]&gt;=TODAY(),"En ejecución","")))</f>
        <v>En ejecución</v>
      </c>
      <c r="AL113" s="107">
        <f ca="1">SUMIF(COMPROMISOS_2025[[#All],[consecutivo]],Contrato[[#This Row],[RCP]],COMPROMISOS_2025[[#All],[Total pagado]])</f>
        <v>0</v>
      </c>
      <c r="AM113" s="122">
        <f ca="1">IFERROR(Contrato[[#This Row],[Pagos]]/Contrato[[#This Row],[VALOR CONTRATO]],0)</f>
        <v>0</v>
      </c>
      <c r="AN113" s="160">
        <f ca="1">+Contrato[[#This Row],[VALOR CONTRATO]]-Contrato[[#This Row],[Pagos]]</f>
        <v>50609170</v>
      </c>
      <c r="AO113" s="111" t="e" cm="1">
        <f t="array" aca="1" ref="AO113" ca="1">_xlfn.XLOOKUP(Contrato[[#This Row],[DOCUMENTO ]],PERSONAL_ACTIVO_2025[[#All],[DOCUMENTO]],PERSONAL_ACTIVO_2025[[#All],[email]],0,0)</f>
        <v>#NAME?</v>
      </c>
      <c r="AP113" s="111" t="e" cm="1">
        <f t="array" aca="1" ref="AP113" ca="1">_xlfn.XLOOKUP(Contrato[[#This Row],[DOCUMENTO]],PERSONAL_ACTIVO_2025[[#All],[DOCUMENTO]],PERSONAL_ACTIVO_2025[[#All],[email]],0,0)</f>
        <v>#NAME?</v>
      </c>
      <c r="AQ113" s="111" cm="1">
        <f t="array" aca="1" ref="AQ113" ca="1">IF(ISBLANK(Contrato[[#This Row],[DEPENDENCIA ]]),0,IFERROR(_xlfn.XLOOKUP(Contrato[[#This Row],[DEPENDENCIA ]],#REF!,#REF!,0,0),0))</f>
        <v>0</v>
      </c>
      <c r="AR113" s="553">
        <f ca="1">+_xlfn.DAYS(Contrato[[#This Row],[FECHA TERMINACIÓN ]],TODAY())</f>
        <v>222</v>
      </c>
    </row>
    <row r="114" spans="1:44" s="111" customFormat="1" ht="36" customHeight="1" x14ac:dyDescent="0.25">
      <c r="A114" s="38">
        <v>299</v>
      </c>
      <c r="B114" s="226">
        <v>108</v>
      </c>
      <c r="C114" s="88" t="s">
        <v>497</v>
      </c>
      <c r="D114" s="192" t="s">
        <v>911</v>
      </c>
      <c r="E114" s="193" t="s">
        <v>112</v>
      </c>
      <c r="F114" s="194" t="s">
        <v>113</v>
      </c>
      <c r="G114" s="195" t="s">
        <v>1168</v>
      </c>
      <c r="H114" s="167">
        <v>15434878</v>
      </c>
      <c r="I114" s="292">
        <v>6239569</v>
      </c>
      <c r="J114" s="290">
        <v>61147776</v>
      </c>
      <c r="K114" s="158" t="s">
        <v>41</v>
      </c>
      <c r="L114" s="196" t="s">
        <v>1087</v>
      </c>
      <c r="M114" s="114" t="s">
        <v>1091</v>
      </c>
      <c r="N114" s="113" t="e" cm="1">
        <f t="array" aca="1" ref="N114" ca="1">_xlfn.XLOOKUP(Contrato[[#This Row],[SUPERVISOR TITULAR]],PERSONAL_ACTIVO_2025[[#All],[NOMBRES Y APELLIDOS]],PERSONAL_ACTIVO_2025[[#All],[DOCUMENTO]],"",0)</f>
        <v>#NAME?</v>
      </c>
      <c r="O114" s="114" t="s">
        <v>938</v>
      </c>
      <c r="P114" s="115" t="e" cm="1">
        <f t="array" aca="1" ref="P114" ca="1">_xlfn.XLOOKUP(Contrato[[#This Row],[SUPERVISOR SUPLENTE ]],PERSONAL_ACTIVO_2025[[#All],[NOMBRES Y APELLIDOS]],PERSONAL_ACTIVO_2025[[#All],[DOCUMENTO]],"",0)</f>
        <v>#NAME?</v>
      </c>
      <c r="Q114" s="116">
        <v>133</v>
      </c>
      <c r="R114" s="137" t="e" cm="1">
        <f t="array" aca="1" ref="R114" ca="1">_xlfn.XLOOKUP(Contrato[[#This Row],[CDP]],DISPONIBILIDADES_2025[[#All],[consecutivo]],DISPONIBILIDADES_2025[[#All],[fecha_aprobacion]],"",0)</f>
        <v>#NAME?</v>
      </c>
      <c r="S114" s="92">
        <f>SUMIF(DISPONIBILIDADES_2025[[#All],[consecutivo]],Contrato[[#This Row],[CDP]],DISPONIBILIDADES_2025[[#All],[valor_total_rubro]])</f>
        <v>61147776</v>
      </c>
      <c r="T114" s="118" t="e" cm="1">
        <f t="array" aca="1" ref="T114" ca="1">_xlfn.XLOOKUP(Contrato[[#This Row],[CONTRATO]]&amp;Contrato[[#This Row],[CDP]],Corr_Contr_CDP[[#All],[CONTRATO-CDP]],Corr_Contr_CDP[[#All],[CRP]],_xlfn.XLOOKUP(Contrato[[#This Row],[CDP]],COMPROMISOS_2025[[#All],[disponibilidad]],COMPROMISOS_2025[[#All],[consecutivo]],"",0),0)</f>
        <v>#NAME?</v>
      </c>
      <c r="U114" s="117" t="e" cm="1">
        <f t="array" aca="1" ref="U114" ca="1">+_xlfn.XLOOKUP(Contrato[[#This Row],[RCP]],COMPROMISOS_2025[[#All],[consecutivo]],COMPROMISOS_2025[[#All],[fecha_aprobacion]],"",0)</f>
        <v>#NAME?</v>
      </c>
      <c r="V114" s="93">
        <f ca="1">SUMIF(COMPROMISOS_2025[[#All],[consecutivo]],Contrato[[#This Row],[RCP]],COMPROMISOS_2025[[#All],[valor_total]])</f>
        <v>0</v>
      </c>
      <c r="W114" s="169">
        <v>45707</v>
      </c>
      <c r="X114" s="243" t="s">
        <v>901</v>
      </c>
      <c r="Y114" s="96">
        <v>45709</v>
      </c>
      <c r="Z114" s="161">
        <v>46005</v>
      </c>
      <c r="AA114" s="311" t="s">
        <v>1130</v>
      </c>
      <c r="AB114" s="119" t="s">
        <v>1127</v>
      </c>
      <c r="AC114" s="298"/>
      <c r="AD114" s="279">
        <v>202000006223</v>
      </c>
      <c r="AE114" s="38" t="s">
        <v>904</v>
      </c>
      <c r="AF114" s="120" t="str">
        <f>TEXT(LEFT(Contrato[[#This Row],[CONTRATO]],3),"0")</f>
        <v>108</v>
      </c>
      <c r="AG114" s="120" t="str">
        <f>IF(LEN(Contrato[[#This Row],[Contrato2]])=3,Contrato[[#This Row],[Contrato2]],TEXT(Contrato[[#This Row],[Contrato2]],"000"))</f>
        <v>108</v>
      </c>
      <c r="AH114" s="90">
        <f ca="1">IFERROR(_xlfn.DAYS(Contrato[[#This Row],[Fecha Proyectada liquidación]],TODAY())/30,"")</f>
        <v>11.4</v>
      </c>
      <c r="AI114" s="121">
        <f>+Contrato[[#This Row],[FECHA TERMINACIÓN ]]+120</f>
        <v>46125</v>
      </c>
      <c r="AJ114" s="89"/>
      <c r="AK114" s="91" t="str">
        <f ca="1">IF(Contrato[[#This Row],[FECHA TERMINACIÓN ]]&lt;TODAY(), "Terminado",IF(ISNUMBER(Contrato[[#This Row],[Fecha Real de liquiidación ]]),"Liquidado",IF(Contrato[[#This Row],[FECHA TERMINACIÓN ]]&gt;=TODAY(),"En ejecución","")))</f>
        <v>En ejecución</v>
      </c>
      <c r="AL114" s="107">
        <f ca="1">SUMIF(COMPROMISOS_2025[[#All],[consecutivo]],Contrato[[#This Row],[RCP]],COMPROMISOS_2025[[#All],[Total pagado]])</f>
        <v>0</v>
      </c>
      <c r="AM114" s="122">
        <f ca="1">IFERROR(Contrato[[#This Row],[Pagos]]/Contrato[[#This Row],[VALOR CONTRATO]],0)</f>
        <v>0</v>
      </c>
      <c r="AN114" s="160">
        <f ca="1">+Contrato[[#This Row],[VALOR CONTRATO]]-Contrato[[#This Row],[Pagos]]</f>
        <v>61147776</v>
      </c>
      <c r="AO114" s="111" t="e" cm="1">
        <f t="array" aca="1" ref="AO114" ca="1">_xlfn.XLOOKUP(Contrato[[#This Row],[DOCUMENTO ]],PERSONAL_ACTIVO_2025[[#All],[DOCUMENTO]],PERSONAL_ACTIVO_2025[[#All],[email]],0,0)</f>
        <v>#NAME?</v>
      </c>
      <c r="AP114" s="111" t="e" cm="1">
        <f t="array" aca="1" ref="AP114" ca="1">_xlfn.XLOOKUP(Contrato[[#This Row],[DOCUMENTO]],PERSONAL_ACTIVO_2025[[#All],[DOCUMENTO]],PERSONAL_ACTIVO_2025[[#All],[email]],0,0)</f>
        <v>#NAME?</v>
      </c>
      <c r="AQ114" s="111" cm="1">
        <f t="array" aca="1" ref="AQ114" ca="1">IF(ISBLANK(Contrato[[#This Row],[DEPENDENCIA ]]),0,IFERROR(_xlfn.XLOOKUP(Contrato[[#This Row],[DEPENDENCIA ]],#REF!,#REF!,0,0),0))</f>
        <v>0</v>
      </c>
      <c r="AR114" s="553">
        <f ca="1">+_xlfn.DAYS(Contrato[[#This Row],[FECHA TERMINACIÓN ]],TODAY())</f>
        <v>222</v>
      </c>
    </row>
    <row r="115" spans="1:44" s="111" customFormat="1" ht="36" customHeight="1" x14ac:dyDescent="0.25">
      <c r="A115" s="38">
        <v>300</v>
      </c>
      <c r="B115" s="226">
        <v>109</v>
      </c>
      <c r="C115" s="88" t="s">
        <v>498</v>
      </c>
      <c r="D115" s="192" t="s">
        <v>911</v>
      </c>
      <c r="E115" s="193" t="s">
        <v>112</v>
      </c>
      <c r="F115" s="194" t="s">
        <v>113</v>
      </c>
      <c r="G115" s="195" t="s">
        <v>1169</v>
      </c>
      <c r="H115" s="167">
        <v>9729766</v>
      </c>
      <c r="I115" s="292">
        <v>9692064</v>
      </c>
      <c r="J115" s="290">
        <v>94982227</v>
      </c>
      <c r="K115" s="158" t="s">
        <v>41</v>
      </c>
      <c r="L115" s="196" t="s">
        <v>1087</v>
      </c>
      <c r="M115" s="114" t="s">
        <v>939</v>
      </c>
      <c r="N115" s="113" t="e" cm="1">
        <f t="array" aca="1" ref="N115" ca="1">_xlfn.XLOOKUP(Contrato[[#This Row],[SUPERVISOR TITULAR]],PERSONAL_ACTIVO_2025[[#All],[NOMBRES Y APELLIDOS]],PERSONAL_ACTIVO_2025[[#All],[DOCUMENTO]],"",0)</f>
        <v>#NAME?</v>
      </c>
      <c r="O115" s="114" t="s">
        <v>943</v>
      </c>
      <c r="P115" s="115" t="e" cm="1">
        <f t="array" aca="1" ref="P115" ca="1">_xlfn.XLOOKUP(Contrato[[#This Row],[SUPERVISOR SUPLENTE ]],PERSONAL_ACTIVO_2025[[#All],[NOMBRES Y APELLIDOS]],PERSONAL_ACTIVO_2025[[#All],[DOCUMENTO]],"",0)</f>
        <v>#NAME?</v>
      </c>
      <c r="Q115" s="116">
        <v>134</v>
      </c>
      <c r="R115" s="137" t="e" cm="1">
        <f t="array" aca="1" ref="R115" ca="1">_xlfn.XLOOKUP(Contrato[[#This Row],[CDP]],DISPONIBILIDADES_2025[[#All],[consecutivo]],DISPONIBILIDADES_2025[[#All],[fecha_aprobacion]],"",0)</f>
        <v>#NAME?</v>
      </c>
      <c r="S115" s="92">
        <f>SUMIF(DISPONIBILIDADES_2025[[#All],[consecutivo]],Contrato[[#This Row],[CDP]],DISPONIBILIDADES_2025[[#All],[valor_total_rubro]])</f>
        <v>94982227</v>
      </c>
      <c r="T115" s="118" t="e" cm="1">
        <f t="array" aca="1" ref="T115" ca="1">_xlfn.XLOOKUP(Contrato[[#This Row],[CONTRATO]]&amp;Contrato[[#This Row],[CDP]],Corr_Contr_CDP[[#All],[CONTRATO-CDP]],Corr_Contr_CDP[[#All],[CRP]],_xlfn.XLOOKUP(Contrato[[#This Row],[CDP]],COMPROMISOS_2025[[#All],[disponibilidad]],COMPROMISOS_2025[[#All],[consecutivo]],"",0),0)</f>
        <v>#NAME?</v>
      </c>
      <c r="U115" s="117" t="e" cm="1">
        <f t="array" aca="1" ref="U115" ca="1">+_xlfn.XLOOKUP(Contrato[[#This Row],[RCP]],COMPROMISOS_2025[[#All],[consecutivo]],COMPROMISOS_2025[[#All],[fecha_aprobacion]],"",0)</f>
        <v>#NAME?</v>
      </c>
      <c r="V115" s="93">
        <f ca="1">SUMIF(COMPROMISOS_2025[[#All],[consecutivo]],Contrato[[#This Row],[RCP]],COMPROMISOS_2025[[#All],[valor_total]])</f>
        <v>0</v>
      </c>
      <c r="W115" s="169">
        <v>45707</v>
      </c>
      <c r="X115" s="243" t="s">
        <v>901</v>
      </c>
      <c r="Y115" s="96">
        <v>45709</v>
      </c>
      <c r="Z115" s="161">
        <v>46005</v>
      </c>
      <c r="AA115" s="393" t="s">
        <v>1143</v>
      </c>
      <c r="AB115" s="119" t="s">
        <v>1127</v>
      </c>
      <c r="AC115" s="298"/>
      <c r="AD115" s="279">
        <v>202000006224</v>
      </c>
      <c r="AE115" s="38" t="s">
        <v>904</v>
      </c>
      <c r="AF115" s="120" t="str">
        <f>TEXT(LEFT(Contrato[[#This Row],[CONTRATO]],3),"0")</f>
        <v>109</v>
      </c>
      <c r="AG115" s="120" t="str">
        <f>IF(LEN(Contrato[[#This Row],[Contrato2]])=3,Contrato[[#This Row],[Contrato2]],TEXT(Contrato[[#This Row],[Contrato2]],"000"))</f>
        <v>109</v>
      </c>
      <c r="AH115" s="90">
        <f ca="1">IFERROR(_xlfn.DAYS(Contrato[[#This Row],[Fecha Proyectada liquidación]],TODAY())/30,"")</f>
        <v>11.4</v>
      </c>
      <c r="AI115" s="121">
        <f>+Contrato[[#This Row],[FECHA TERMINACIÓN ]]+120</f>
        <v>46125</v>
      </c>
      <c r="AJ115" s="89"/>
      <c r="AK115" s="91" t="str">
        <f ca="1">IF(Contrato[[#This Row],[FECHA TERMINACIÓN ]]&lt;TODAY(), "Terminado",IF(ISNUMBER(Contrato[[#This Row],[Fecha Real de liquiidación ]]),"Liquidado",IF(Contrato[[#This Row],[FECHA TERMINACIÓN ]]&gt;=TODAY(),"En ejecución","")))</f>
        <v>En ejecución</v>
      </c>
      <c r="AL115" s="107">
        <f ca="1">SUMIF(COMPROMISOS_2025[[#All],[consecutivo]],Contrato[[#This Row],[RCP]],COMPROMISOS_2025[[#All],[Total pagado]])</f>
        <v>0</v>
      </c>
      <c r="AM115" s="122">
        <f ca="1">IFERROR(Contrato[[#This Row],[Pagos]]/Contrato[[#This Row],[VALOR CONTRATO]],0)</f>
        <v>0</v>
      </c>
      <c r="AN115" s="160">
        <f ca="1">+Contrato[[#This Row],[VALOR CONTRATO]]-Contrato[[#This Row],[Pagos]]</f>
        <v>94982227</v>
      </c>
      <c r="AO115" s="111" t="e" cm="1">
        <f t="array" aca="1" ref="AO115" ca="1">_xlfn.XLOOKUP(Contrato[[#This Row],[DOCUMENTO ]],PERSONAL_ACTIVO_2025[[#All],[DOCUMENTO]],PERSONAL_ACTIVO_2025[[#All],[email]],0,0)</f>
        <v>#NAME?</v>
      </c>
      <c r="AP115" s="111" t="e" cm="1">
        <f t="array" aca="1" ref="AP115" ca="1">_xlfn.XLOOKUP(Contrato[[#This Row],[DOCUMENTO]],PERSONAL_ACTIVO_2025[[#All],[DOCUMENTO]],PERSONAL_ACTIVO_2025[[#All],[email]],0,0)</f>
        <v>#NAME?</v>
      </c>
      <c r="AQ115" s="111" cm="1">
        <f t="array" aca="1" ref="AQ115" ca="1">IF(ISBLANK(Contrato[[#This Row],[DEPENDENCIA ]]),0,IFERROR(_xlfn.XLOOKUP(Contrato[[#This Row],[DEPENDENCIA ]],#REF!,#REF!,0,0),0))</f>
        <v>0</v>
      </c>
      <c r="AR115" s="553">
        <f ca="1">+_xlfn.DAYS(Contrato[[#This Row],[FECHA TERMINACIÓN ]],TODAY())</f>
        <v>222</v>
      </c>
    </row>
    <row r="116" spans="1:44" s="111" customFormat="1" ht="36" customHeight="1" x14ac:dyDescent="0.25">
      <c r="A116" s="38">
        <v>301</v>
      </c>
      <c r="B116" s="226">
        <v>110</v>
      </c>
      <c r="C116" s="88" t="s">
        <v>499</v>
      </c>
      <c r="D116" s="192" t="s">
        <v>911</v>
      </c>
      <c r="E116" s="193" t="s">
        <v>112</v>
      </c>
      <c r="F116" s="194" t="s">
        <v>113</v>
      </c>
      <c r="G116" s="195" t="s">
        <v>1170</v>
      </c>
      <c r="H116" s="167">
        <v>78296925</v>
      </c>
      <c r="I116" s="292">
        <v>4157906</v>
      </c>
      <c r="J116" s="290">
        <v>40747479</v>
      </c>
      <c r="K116" s="158" t="s">
        <v>41</v>
      </c>
      <c r="L116" s="196" t="s">
        <v>1087</v>
      </c>
      <c r="M116" s="114" t="s">
        <v>939</v>
      </c>
      <c r="N116" s="113" t="e" cm="1">
        <f t="array" aca="1" ref="N116" ca="1">_xlfn.XLOOKUP(Contrato[[#This Row],[SUPERVISOR TITULAR]],PERSONAL_ACTIVO_2025[[#All],[NOMBRES Y APELLIDOS]],PERSONAL_ACTIVO_2025[[#All],[DOCUMENTO]],"",0)</f>
        <v>#NAME?</v>
      </c>
      <c r="O116" s="114" t="s">
        <v>943</v>
      </c>
      <c r="P116" s="115" t="e" cm="1">
        <f t="array" aca="1" ref="P116" ca="1">_xlfn.XLOOKUP(Contrato[[#This Row],[SUPERVISOR SUPLENTE ]],PERSONAL_ACTIVO_2025[[#All],[NOMBRES Y APELLIDOS]],PERSONAL_ACTIVO_2025[[#All],[DOCUMENTO]],"",0)</f>
        <v>#NAME?</v>
      </c>
      <c r="Q116" s="116">
        <v>135</v>
      </c>
      <c r="R116" s="137" t="e" cm="1">
        <f t="array" aca="1" ref="R116" ca="1">_xlfn.XLOOKUP(Contrato[[#This Row],[CDP]],DISPONIBILIDADES_2025[[#All],[consecutivo]],DISPONIBILIDADES_2025[[#All],[fecha_aprobacion]],"",0)</f>
        <v>#NAME?</v>
      </c>
      <c r="S116" s="92">
        <f>SUMIF(DISPONIBILIDADES_2025[[#All],[consecutivo]],Contrato[[#This Row],[CDP]],DISPONIBILIDADES_2025[[#All],[valor_total_rubro]])</f>
        <v>40747479</v>
      </c>
      <c r="T116" s="118" t="e" cm="1">
        <f t="array" aca="1" ref="T116" ca="1">_xlfn.XLOOKUP(Contrato[[#This Row],[CONTRATO]]&amp;Contrato[[#This Row],[CDP]],Corr_Contr_CDP[[#All],[CONTRATO-CDP]],Corr_Contr_CDP[[#All],[CRP]],_xlfn.XLOOKUP(Contrato[[#This Row],[CDP]],COMPROMISOS_2025[[#All],[disponibilidad]],COMPROMISOS_2025[[#All],[consecutivo]],"",0),0)</f>
        <v>#NAME?</v>
      </c>
      <c r="U116" s="117" t="e" cm="1">
        <f t="array" aca="1" ref="U116" ca="1">+_xlfn.XLOOKUP(Contrato[[#This Row],[RCP]],COMPROMISOS_2025[[#All],[consecutivo]],COMPROMISOS_2025[[#All],[fecha_aprobacion]],"",0)</f>
        <v>#NAME?</v>
      </c>
      <c r="V116" s="93">
        <f ca="1">SUMIF(COMPROMISOS_2025[[#All],[consecutivo]],Contrato[[#This Row],[RCP]],COMPROMISOS_2025[[#All],[valor_total]])</f>
        <v>0</v>
      </c>
      <c r="W116" s="169">
        <v>45708</v>
      </c>
      <c r="X116" s="243" t="s">
        <v>901</v>
      </c>
      <c r="Y116" s="96">
        <v>45709</v>
      </c>
      <c r="Z116" s="161">
        <v>46005</v>
      </c>
      <c r="AA116" s="311" t="s">
        <v>1143</v>
      </c>
      <c r="AB116" s="119" t="s">
        <v>1127</v>
      </c>
      <c r="AC116" s="298"/>
      <c r="AD116" s="279">
        <v>202000006225</v>
      </c>
      <c r="AE116" s="38" t="s">
        <v>904</v>
      </c>
      <c r="AF116" s="120" t="str">
        <f>TEXT(LEFT(Contrato[[#This Row],[CONTRATO]],3),"0")</f>
        <v>110</v>
      </c>
      <c r="AG116" s="120" t="str">
        <f>IF(LEN(Contrato[[#This Row],[Contrato2]])=3,Contrato[[#This Row],[Contrato2]],TEXT(Contrato[[#This Row],[Contrato2]],"000"))</f>
        <v>110</v>
      </c>
      <c r="AH116" s="90">
        <f ca="1">IFERROR(_xlfn.DAYS(Contrato[[#This Row],[Fecha Proyectada liquidación]],TODAY())/30,"")</f>
        <v>11.4</v>
      </c>
      <c r="AI116" s="121">
        <f>+Contrato[[#This Row],[FECHA TERMINACIÓN ]]+120</f>
        <v>46125</v>
      </c>
      <c r="AJ116" s="89"/>
      <c r="AK116" s="91" t="str">
        <f ca="1">IF(Contrato[[#This Row],[FECHA TERMINACIÓN ]]&lt;TODAY(), "Terminado",IF(ISNUMBER(Contrato[[#This Row],[Fecha Real de liquiidación ]]),"Liquidado",IF(Contrato[[#This Row],[FECHA TERMINACIÓN ]]&gt;=TODAY(),"En ejecución","")))</f>
        <v>En ejecución</v>
      </c>
      <c r="AL116" s="107">
        <f ca="1">SUMIF(COMPROMISOS_2025[[#All],[consecutivo]],Contrato[[#This Row],[RCP]],COMPROMISOS_2025[[#All],[Total pagado]])</f>
        <v>0</v>
      </c>
      <c r="AM116" s="122">
        <f ca="1">IFERROR(Contrato[[#This Row],[Pagos]]/Contrato[[#This Row],[VALOR CONTRATO]],0)</f>
        <v>0</v>
      </c>
      <c r="AN116" s="160">
        <f ca="1">+Contrato[[#This Row],[VALOR CONTRATO]]-Contrato[[#This Row],[Pagos]]</f>
        <v>40747479</v>
      </c>
      <c r="AO116" s="111" t="e" cm="1">
        <f t="array" aca="1" ref="AO116" ca="1">_xlfn.XLOOKUP(Contrato[[#This Row],[DOCUMENTO ]],PERSONAL_ACTIVO_2025[[#All],[DOCUMENTO]],PERSONAL_ACTIVO_2025[[#All],[email]],0,0)</f>
        <v>#NAME?</v>
      </c>
      <c r="AP116" s="111" t="e" cm="1">
        <f t="array" aca="1" ref="AP116" ca="1">_xlfn.XLOOKUP(Contrato[[#This Row],[DOCUMENTO]],PERSONAL_ACTIVO_2025[[#All],[DOCUMENTO]],PERSONAL_ACTIVO_2025[[#All],[email]],0,0)</f>
        <v>#NAME?</v>
      </c>
      <c r="AQ116" s="111" cm="1">
        <f t="array" aca="1" ref="AQ116" ca="1">IF(ISBLANK(Contrato[[#This Row],[DEPENDENCIA ]]),0,IFERROR(_xlfn.XLOOKUP(Contrato[[#This Row],[DEPENDENCIA ]],#REF!,#REF!,0,0),0))</f>
        <v>0</v>
      </c>
      <c r="AR116" s="553">
        <f ca="1">+_xlfn.DAYS(Contrato[[#This Row],[FECHA TERMINACIÓN ]],TODAY())</f>
        <v>222</v>
      </c>
    </row>
    <row r="117" spans="1:44" s="111" customFormat="1" ht="36" customHeight="1" x14ac:dyDescent="0.25">
      <c r="A117" s="38">
        <v>302</v>
      </c>
      <c r="B117" s="226">
        <v>111</v>
      </c>
      <c r="C117" s="88" t="s">
        <v>500</v>
      </c>
      <c r="D117" s="192" t="s">
        <v>911</v>
      </c>
      <c r="E117" s="193" t="s">
        <v>112</v>
      </c>
      <c r="F117" s="194" t="s">
        <v>113</v>
      </c>
      <c r="G117" s="195" t="s">
        <v>1171</v>
      </c>
      <c r="H117" s="167">
        <v>1000895492</v>
      </c>
      <c r="I117" s="292">
        <v>2708734</v>
      </c>
      <c r="J117" s="290">
        <v>26545593</v>
      </c>
      <c r="K117" s="158" t="s">
        <v>41</v>
      </c>
      <c r="L117" s="196" t="s">
        <v>1087</v>
      </c>
      <c r="M117" s="114" t="s">
        <v>939</v>
      </c>
      <c r="N117" s="113" t="e" cm="1">
        <f t="array" aca="1" ref="N117" ca="1">_xlfn.XLOOKUP(Contrato[[#This Row],[SUPERVISOR TITULAR]],PERSONAL_ACTIVO_2025[[#All],[NOMBRES Y APELLIDOS]],PERSONAL_ACTIVO_2025[[#All],[DOCUMENTO]],"",0)</f>
        <v>#NAME?</v>
      </c>
      <c r="O117" s="114" t="s">
        <v>943</v>
      </c>
      <c r="P117" s="115" t="e" cm="1">
        <f t="array" aca="1" ref="P117" ca="1">_xlfn.XLOOKUP(Contrato[[#This Row],[SUPERVISOR SUPLENTE ]],PERSONAL_ACTIVO_2025[[#All],[NOMBRES Y APELLIDOS]],PERSONAL_ACTIVO_2025[[#All],[DOCUMENTO]],"",0)</f>
        <v>#NAME?</v>
      </c>
      <c r="Q117" s="116">
        <v>136</v>
      </c>
      <c r="R117" s="137" t="e" cm="1">
        <f t="array" aca="1" ref="R117" ca="1">_xlfn.XLOOKUP(Contrato[[#This Row],[CDP]],DISPONIBILIDADES_2025[[#All],[consecutivo]],DISPONIBILIDADES_2025[[#All],[fecha_aprobacion]],"",0)</f>
        <v>#NAME?</v>
      </c>
      <c r="S117" s="92">
        <f>SUMIF(DISPONIBILIDADES_2025[[#All],[consecutivo]],Contrato[[#This Row],[CDP]],DISPONIBILIDADES_2025[[#All],[valor_total_rubro]])</f>
        <v>26545593</v>
      </c>
      <c r="T117" s="118" t="e" cm="1">
        <f t="array" aca="1" ref="T117" ca="1">_xlfn.XLOOKUP(Contrato[[#This Row],[CONTRATO]]&amp;Contrato[[#This Row],[CDP]],Corr_Contr_CDP[[#All],[CONTRATO-CDP]],Corr_Contr_CDP[[#All],[CRP]],_xlfn.XLOOKUP(Contrato[[#This Row],[CDP]],COMPROMISOS_2025[[#All],[disponibilidad]],COMPROMISOS_2025[[#All],[consecutivo]],"",0),0)</f>
        <v>#NAME?</v>
      </c>
      <c r="U117" s="117" t="e" cm="1">
        <f t="array" aca="1" ref="U117" ca="1">+_xlfn.XLOOKUP(Contrato[[#This Row],[RCP]],COMPROMISOS_2025[[#All],[consecutivo]],COMPROMISOS_2025[[#All],[fecha_aprobacion]],"",0)</f>
        <v>#NAME?</v>
      </c>
      <c r="V117" s="93">
        <f ca="1">SUMIF(COMPROMISOS_2025[[#All],[consecutivo]],Contrato[[#This Row],[RCP]],COMPROMISOS_2025[[#All],[valor_total]])</f>
        <v>0</v>
      </c>
      <c r="W117" s="169">
        <v>45707</v>
      </c>
      <c r="X117" s="243" t="s">
        <v>901</v>
      </c>
      <c r="Y117" s="96">
        <v>45709</v>
      </c>
      <c r="Z117" s="161">
        <v>46005</v>
      </c>
      <c r="AA117" s="311" t="s">
        <v>1130</v>
      </c>
      <c r="AB117" s="119" t="s">
        <v>1127</v>
      </c>
      <c r="AC117" s="298"/>
      <c r="AD117" s="279">
        <v>202000006229</v>
      </c>
      <c r="AE117" s="38" t="s">
        <v>904</v>
      </c>
      <c r="AF117" s="120" t="str">
        <f>TEXT(LEFT(Contrato[[#This Row],[CONTRATO]],3),"0")</f>
        <v>111</v>
      </c>
      <c r="AG117" s="120" t="str">
        <f>IF(LEN(Contrato[[#This Row],[Contrato2]])=3,Contrato[[#This Row],[Contrato2]],TEXT(Contrato[[#This Row],[Contrato2]],"000"))</f>
        <v>111</v>
      </c>
      <c r="AH117" s="90">
        <f ca="1">IFERROR(_xlfn.DAYS(Contrato[[#This Row],[Fecha Proyectada liquidación]],TODAY())/30,"")</f>
        <v>11.4</v>
      </c>
      <c r="AI117" s="121">
        <f>+Contrato[[#This Row],[FECHA TERMINACIÓN ]]+120</f>
        <v>46125</v>
      </c>
      <c r="AJ117" s="89"/>
      <c r="AK117" s="91" t="str">
        <f ca="1">IF(Contrato[[#This Row],[FECHA TERMINACIÓN ]]&lt;TODAY(), "Terminado",IF(ISNUMBER(Contrato[[#This Row],[Fecha Real de liquiidación ]]),"Liquidado",IF(Contrato[[#This Row],[FECHA TERMINACIÓN ]]&gt;=TODAY(),"En ejecución","")))</f>
        <v>En ejecución</v>
      </c>
      <c r="AL117" s="107">
        <f ca="1">SUMIF(COMPROMISOS_2025[[#All],[consecutivo]],Contrato[[#This Row],[RCP]],COMPROMISOS_2025[[#All],[Total pagado]])</f>
        <v>0</v>
      </c>
      <c r="AM117" s="122">
        <f ca="1">IFERROR(Contrato[[#This Row],[Pagos]]/Contrato[[#This Row],[VALOR CONTRATO]],0)</f>
        <v>0</v>
      </c>
      <c r="AN117" s="160">
        <f ca="1">+Contrato[[#This Row],[VALOR CONTRATO]]-Contrato[[#This Row],[Pagos]]</f>
        <v>26545593</v>
      </c>
      <c r="AO117" s="111" t="e" cm="1">
        <f t="array" aca="1" ref="AO117" ca="1">_xlfn.XLOOKUP(Contrato[[#This Row],[DOCUMENTO ]],PERSONAL_ACTIVO_2025[[#All],[DOCUMENTO]],PERSONAL_ACTIVO_2025[[#All],[email]],0,0)</f>
        <v>#NAME?</v>
      </c>
      <c r="AP117" s="111" t="e" cm="1">
        <f t="array" aca="1" ref="AP117" ca="1">_xlfn.XLOOKUP(Contrato[[#This Row],[DOCUMENTO]],PERSONAL_ACTIVO_2025[[#All],[DOCUMENTO]],PERSONAL_ACTIVO_2025[[#All],[email]],0,0)</f>
        <v>#NAME?</v>
      </c>
      <c r="AQ117" s="111" cm="1">
        <f t="array" aca="1" ref="AQ117" ca="1">IF(ISBLANK(Contrato[[#This Row],[DEPENDENCIA ]]),0,IFERROR(_xlfn.XLOOKUP(Contrato[[#This Row],[DEPENDENCIA ]],#REF!,#REF!,0,0),0))</f>
        <v>0</v>
      </c>
      <c r="AR117" s="553">
        <f ca="1">+_xlfn.DAYS(Contrato[[#This Row],[FECHA TERMINACIÓN ]],TODAY())</f>
        <v>222</v>
      </c>
    </row>
    <row r="118" spans="1:44" s="111" customFormat="1" ht="36" customHeight="1" x14ac:dyDescent="0.25">
      <c r="A118" s="38">
        <v>303</v>
      </c>
      <c r="B118" s="226">
        <v>112</v>
      </c>
      <c r="C118" s="88" t="s">
        <v>501</v>
      </c>
      <c r="D118" s="192" t="s">
        <v>911</v>
      </c>
      <c r="E118" s="193" t="s">
        <v>112</v>
      </c>
      <c r="F118" s="194" t="s">
        <v>113</v>
      </c>
      <c r="G118" s="195" t="s">
        <v>1172</v>
      </c>
      <c r="H118" s="167">
        <v>71276076</v>
      </c>
      <c r="I118" s="292">
        <v>6239569</v>
      </c>
      <c r="J118" s="290">
        <v>61147776</v>
      </c>
      <c r="K118" s="158" t="s">
        <v>41</v>
      </c>
      <c r="L118" s="196" t="s">
        <v>1087</v>
      </c>
      <c r="M118" s="114" t="s">
        <v>939</v>
      </c>
      <c r="N118" s="113" t="e" cm="1">
        <f t="array" aca="1" ref="N118" ca="1">_xlfn.XLOOKUP(Contrato[[#This Row],[SUPERVISOR TITULAR]],PERSONAL_ACTIVO_2025[[#All],[NOMBRES Y APELLIDOS]],PERSONAL_ACTIVO_2025[[#All],[DOCUMENTO]],"",0)</f>
        <v>#NAME?</v>
      </c>
      <c r="O118" s="114" t="s">
        <v>943</v>
      </c>
      <c r="P118" s="115" t="e" cm="1">
        <f t="array" aca="1" ref="P118" ca="1">_xlfn.XLOOKUP(Contrato[[#This Row],[SUPERVISOR SUPLENTE ]],PERSONAL_ACTIVO_2025[[#All],[NOMBRES Y APELLIDOS]],PERSONAL_ACTIVO_2025[[#All],[DOCUMENTO]],"",0)</f>
        <v>#NAME?</v>
      </c>
      <c r="Q118" s="116">
        <v>137</v>
      </c>
      <c r="R118" s="137" t="e" cm="1">
        <f t="array" aca="1" ref="R118" ca="1">_xlfn.XLOOKUP(Contrato[[#This Row],[CDP]],DISPONIBILIDADES_2025[[#All],[consecutivo]],DISPONIBILIDADES_2025[[#All],[fecha_aprobacion]],"",0)</f>
        <v>#NAME?</v>
      </c>
      <c r="S118" s="92">
        <f>SUMIF(DISPONIBILIDADES_2025[[#All],[consecutivo]],Contrato[[#This Row],[CDP]],DISPONIBILIDADES_2025[[#All],[valor_total_rubro]])</f>
        <v>61147776</v>
      </c>
      <c r="T118" s="118" t="e" cm="1">
        <f t="array" aca="1" ref="T118" ca="1">_xlfn.XLOOKUP(Contrato[[#This Row],[CONTRATO]]&amp;Contrato[[#This Row],[CDP]],Corr_Contr_CDP[[#All],[CONTRATO-CDP]],Corr_Contr_CDP[[#All],[CRP]],_xlfn.XLOOKUP(Contrato[[#This Row],[CDP]],COMPROMISOS_2025[[#All],[disponibilidad]],COMPROMISOS_2025[[#All],[consecutivo]],"",0),0)</f>
        <v>#NAME?</v>
      </c>
      <c r="U118" s="117" t="e" cm="1">
        <f t="array" aca="1" ref="U118" ca="1">+_xlfn.XLOOKUP(Contrato[[#This Row],[RCP]],COMPROMISOS_2025[[#All],[consecutivo]],COMPROMISOS_2025[[#All],[fecha_aprobacion]],"",0)</f>
        <v>#NAME?</v>
      </c>
      <c r="V118" s="93">
        <f ca="1">SUMIF(COMPROMISOS_2025[[#All],[consecutivo]],Contrato[[#This Row],[RCP]],COMPROMISOS_2025[[#All],[valor_total]])</f>
        <v>0</v>
      </c>
      <c r="W118" s="169">
        <v>45708</v>
      </c>
      <c r="X118" s="243" t="s">
        <v>901</v>
      </c>
      <c r="Y118" s="96">
        <v>45709</v>
      </c>
      <c r="Z118" s="161">
        <v>46005</v>
      </c>
      <c r="AA118" s="311" t="s">
        <v>1143</v>
      </c>
      <c r="AB118" s="119" t="s">
        <v>1127</v>
      </c>
      <c r="AC118" s="298"/>
      <c r="AD118" s="279">
        <v>202000006231</v>
      </c>
      <c r="AE118" s="38" t="s">
        <v>904</v>
      </c>
      <c r="AF118" s="120" t="str">
        <f>TEXT(LEFT(Contrato[[#This Row],[CONTRATO]],3),"0")</f>
        <v>112</v>
      </c>
      <c r="AG118" s="120" t="str">
        <f>IF(LEN(Contrato[[#This Row],[Contrato2]])=3,Contrato[[#This Row],[Contrato2]],TEXT(Contrato[[#This Row],[Contrato2]],"000"))</f>
        <v>112</v>
      </c>
      <c r="AH118" s="90">
        <f ca="1">IFERROR(_xlfn.DAYS(Contrato[[#This Row],[Fecha Proyectada liquidación]],TODAY())/30,"")</f>
        <v>11.4</v>
      </c>
      <c r="AI118" s="121">
        <f>+Contrato[[#This Row],[FECHA TERMINACIÓN ]]+120</f>
        <v>46125</v>
      </c>
      <c r="AJ118" s="89"/>
      <c r="AK118" s="91" t="str">
        <f ca="1">IF(Contrato[[#This Row],[FECHA TERMINACIÓN ]]&lt;TODAY(), "Terminado",IF(ISNUMBER(Contrato[[#This Row],[Fecha Real de liquiidación ]]),"Liquidado",IF(Contrato[[#This Row],[FECHA TERMINACIÓN ]]&gt;=TODAY(),"En ejecución","")))</f>
        <v>En ejecución</v>
      </c>
      <c r="AL118" s="107">
        <f ca="1">SUMIF(COMPROMISOS_2025[[#All],[consecutivo]],Contrato[[#This Row],[RCP]],COMPROMISOS_2025[[#All],[Total pagado]])</f>
        <v>0</v>
      </c>
      <c r="AM118" s="122">
        <f ca="1">IFERROR(Contrato[[#This Row],[Pagos]]/Contrato[[#This Row],[VALOR CONTRATO]],0)</f>
        <v>0</v>
      </c>
      <c r="AN118" s="160">
        <f ca="1">+Contrato[[#This Row],[VALOR CONTRATO]]-Contrato[[#This Row],[Pagos]]</f>
        <v>61147776</v>
      </c>
      <c r="AO118" s="111" t="e" cm="1">
        <f t="array" aca="1" ref="AO118" ca="1">_xlfn.XLOOKUP(Contrato[[#This Row],[DOCUMENTO ]],PERSONAL_ACTIVO_2025[[#All],[DOCUMENTO]],PERSONAL_ACTIVO_2025[[#All],[email]],0,0)</f>
        <v>#NAME?</v>
      </c>
      <c r="AP118" s="111" t="e" cm="1">
        <f t="array" aca="1" ref="AP118" ca="1">_xlfn.XLOOKUP(Contrato[[#This Row],[DOCUMENTO]],PERSONAL_ACTIVO_2025[[#All],[DOCUMENTO]],PERSONAL_ACTIVO_2025[[#All],[email]],0,0)</f>
        <v>#NAME?</v>
      </c>
      <c r="AQ118" s="111" cm="1">
        <f t="array" aca="1" ref="AQ118" ca="1">IF(ISBLANK(Contrato[[#This Row],[DEPENDENCIA ]]),0,IFERROR(_xlfn.XLOOKUP(Contrato[[#This Row],[DEPENDENCIA ]],#REF!,#REF!,0,0),0))</f>
        <v>0</v>
      </c>
      <c r="AR118" s="553">
        <f ca="1">+_xlfn.DAYS(Contrato[[#This Row],[FECHA TERMINACIÓN ]],TODAY())</f>
        <v>222</v>
      </c>
    </row>
    <row r="119" spans="1:44" s="111" customFormat="1" ht="36" customHeight="1" x14ac:dyDescent="0.25">
      <c r="A119" s="38">
        <v>304</v>
      </c>
      <c r="B119" s="226">
        <v>113</v>
      </c>
      <c r="C119" s="88" t="s">
        <v>502</v>
      </c>
      <c r="D119" s="192" t="s">
        <v>911</v>
      </c>
      <c r="E119" s="193" t="s">
        <v>112</v>
      </c>
      <c r="F119" s="194" t="s">
        <v>113</v>
      </c>
      <c r="G119" s="195" t="s">
        <v>1173</v>
      </c>
      <c r="H119" s="167">
        <v>1028001610</v>
      </c>
      <c r="I119" s="292">
        <v>2708734</v>
      </c>
      <c r="J119" s="290">
        <v>26545593</v>
      </c>
      <c r="K119" s="158" t="s">
        <v>41</v>
      </c>
      <c r="L119" s="196" t="s">
        <v>1087</v>
      </c>
      <c r="M119" s="114" t="s">
        <v>939</v>
      </c>
      <c r="N119" s="113" t="e" cm="1">
        <f t="array" aca="1" ref="N119" ca="1">_xlfn.XLOOKUP(Contrato[[#This Row],[SUPERVISOR TITULAR]],PERSONAL_ACTIVO_2025[[#All],[NOMBRES Y APELLIDOS]],PERSONAL_ACTIVO_2025[[#All],[DOCUMENTO]],"",0)</f>
        <v>#NAME?</v>
      </c>
      <c r="O119" s="114" t="s">
        <v>943</v>
      </c>
      <c r="P119" s="115" t="e" cm="1">
        <f t="array" aca="1" ref="P119" ca="1">_xlfn.XLOOKUP(Contrato[[#This Row],[SUPERVISOR SUPLENTE ]],PERSONAL_ACTIVO_2025[[#All],[NOMBRES Y APELLIDOS]],PERSONAL_ACTIVO_2025[[#All],[DOCUMENTO]],"",0)</f>
        <v>#NAME?</v>
      </c>
      <c r="Q119" s="116">
        <v>138</v>
      </c>
      <c r="R119" s="137" t="e" cm="1">
        <f t="array" aca="1" ref="R119" ca="1">_xlfn.XLOOKUP(Contrato[[#This Row],[CDP]],DISPONIBILIDADES_2025[[#All],[consecutivo]],DISPONIBILIDADES_2025[[#All],[fecha_aprobacion]],"",0)</f>
        <v>#NAME?</v>
      </c>
      <c r="S119" s="92">
        <f>SUMIF(DISPONIBILIDADES_2025[[#All],[consecutivo]],Contrato[[#This Row],[CDP]],DISPONIBILIDADES_2025[[#All],[valor_total_rubro]])</f>
        <v>26545593</v>
      </c>
      <c r="T119" s="118" t="e" cm="1">
        <f t="array" aca="1" ref="T119" ca="1">_xlfn.XLOOKUP(Contrato[[#This Row],[CONTRATO]]&amp;Contrato[[#This Row],[CDP]],Corr_Contr_CDP[[#All],[CONTRATO-CDP]],Corr_Contr_CDP[[#All],[CRP]],_xlfn.XLOOKUP(Contrato[[#This Row],[CDP]],COMPROMISOS_2025[[#All],[disponibilidad]],COMPROMISOS_2025[[#All],[consecutivo]],"",0),0)</f>
        <v>#NAME?</v>
      </c>
      <c r="U119" s="117" t="e" cm="1">
        <f t="array" aca="1" ref="U119" ca="1">+_xlfn.XLOOKUP(Contrato[[#This Row],[RCP]],COMPROMISOS_2025[[#All],[consecutivo]],COMPROMISOS_2025[[#All],[fecha_aprobacion]],"",0)</f>
        <v>#NAME?</v>
      </c>
      <c r="V119" s="93">
        <f ca="1">SUMIF(COMPROMISOS_2025[[#All],[consecutivo]],Contrato[[#This Row],[RCP]],COMPROMISOS_2025[[#All],[valor_total]])</f>
        <v>0</v>
      </c>
      <c r="W119" s="169">
        <v>45708</v>
      </c>
      <c r="X119" s="243" t="s">
        <v>901</v>
      </c>
      <c r="Y119" s="96">
        <v>45709</v>
      </c>
      <c r="Z119" s="161">
        <v>46005</v>
      </c>
      <c r="AA119" s="311" t="s">
        <v>1143</v>
      </c>
      <c r="AB119" s="119" t="s">
        <v>1127</v>
      </c>
      <c r="AC119" s="298"/>
      <c r="AD119" s="435">
        <v>202000006227</v>
      </c>
      <c r="AE119" s="38" t="s">
        <v>904</v>
      </c>
      <c r="AF119" s="120" t="str">
        <f>TEXT(LEFT(Contrato[[#This Row],[CONTRATO]],3),"0")</f>
        <v>113</v>
      </c>
      <c r="AG119" s="120" t="str">
        <f>IF(LEN(Contrato[[#This Row],[Contrato2]])=3,Contrato[[#This Row],[Contrato2]],TEXT(Contrato[[#This Row],[Contrato2]],"000"))</f>
        <v>113</v>
      </c>
      <c r="AH119" s="90">
        <f ca="1">IFERROR(_xlfn.DAYS(Contrato[[#This Row],[Fecha Proyectada liquidación]],TODAY())/30,"")</f>
        <v>11.4</v>
      </c>
      <c r="AI119" s="121">
        <f>+Contrato[[#This Row],[FECHA TERMINACIÓN ]]+120</f>
        <v>46125</v>
      </c>
      <c r="AJ119" s="89"/>
      <c r="AK119" s="91" t="str">
        <f ca="1">IF(Contrato[[#This Row],[FECHA TERMINACIÓN ]]&lt;TODAY(), "Terminado",IF(ISNUMBER(Contrato[[#This Row],[Fecha Real de liquiidación ]]),"Liquidado",IF(Contrato[[#This Row],[FECHA TERMINACIÓN ]]&gt;=TODAY(),"En ejecución","")))</f>
        <v>En ejecución</v>
      </c>
      <c r="AL119" s="107">
        <f ca="1">SUMIF(COMPROMISOS_2025[[#All],[consecutivo]],Contrato[[#This Row],[RCP]],COMPROMISOS_2025[[#All],[Total pagado]])</f>
        <v>0</v>
      </c>
      <c r="AM119" s="122">
        <f ca="1">IFERROR(Contrato[[#This Row],[Pagos]]/Contrato[[#This Row],[VALOR CONTRATO]],0)</f>
        <v>0</v>
      </c>
      <c r="AN119" s="160">
        <f ca="1">+Contrato[[#This Row],[VALOR CONTRATO]]-Contrato[[#This Row],[Pagos]]</f>
        <v>26545593</v>
      </c>
      <c r="AO119" s="111" t="e" cm="1">
        <f t="array" aca="1" ref="AO119" ca="1">_xlfn.XLOOKUP(Contrato[[#This Row],[DOCUMENTO ]],PERSONAL_ACTIVO_2025[[#All],[DOCUMENTO]],PERSONAL_ACTIVO_2025[[#All],[email]],0,0)</f>
        <v>#NAME?</v>
      </c>
      <c r="AP119" s="111" t="e" cm="1">
        <f t="array" aca="1" ref="AP119" ca="1">_xlfn.XLOOKUP(Contrato[[#This Row],[DOCUMENTO]],PERSONAL_ACTIVO_2025[[#All],[DOCUMENTO]],PERSONAL_ACTIVO_2025[[#All],[email]],0,0)</f>
        <v>#NAME?</v>
      </c>
      <c r="AQ119" s="111" cm="1">
        <f t="array" aca="1" ref="AQ119" ca="1">IF(ISBLANK(Contrato[[#This Row],[DEPENDENCIA ]]),0,IFERROR(_xlfn.XLOOKUP(Contrato[[#This Row],[DEPENDENCIA ]],#REF!,#REF!,0,0),0))</f>
        <v>0</v>
      </c>
      <c r="AR119" s="553">
        <f ca="1">+_xlfn.DAYS(Contrato[[#This Row],[FECHA TERMINACIÓN ]],TODAY())</f>
        <v>222</v>
      </c>
    </row>
    <row r="120" spans="1:44" s="111" customFormat="1" ht="36" customHeight="1" x14ac:dyDescent="0.25">
      <c r="A120" s="38">
        <v>305</v>
      </c>
      <c r="B120" s="226">
        <v>114</v>
      </c>
      <c r="C120" s="88" t="s">
        <v>503</v>
      </c>
      <c r="D120" s="192" t="s">
        <v>911</v>
      </c>
      <c r="E120" s="193" t="s">
        <v>112</v>
      </c>
      <c r="F120" s="194" t="s">
        <v>113</v>
      </c>
      <c r="G120" s="195" t="s">
        <v>1174</v>
      </c>
      <c r="H120" s="167">
        <v>1038410802</v>
      </c>
      <c r="I120" s="292">
        <v>5164201</v>
      </c>
      <c r="J120" s="290">
        <v>50609170</v>
      </c>
      <c r="K120" s="158" t="s">
        <v>41</v>
      </c>
      <c r="L120" s="196" t="s">
        <v>1087</v>
      </c>
      <c r="M120" s="114" t="s">
        <v>939</v>
      </c>
      <c r="N120" s="113" t="e" cm="1">
        <f t="array" aca="1" ref="N120" ca="1">_xlfn.XLOOKUP(Contrato[[#This Row],[SUPERVISOR TITULAR]],PERSONAL_ACTIVO_2025[[#All],[NOMBRES Y APELLIDOS]],PERSONAL_ACTIVO_2025[[#All],[DOCUMENTO]],"",0)</f>
        <v>#NAME?</v>
      </c>
      <c r="O120" s="114" t="s">
        <v>943</v>
      </c>
      <c r="P120" s="115" t="e" cm="1">
        <f t="array" aca="1" ref="P120" ca="1">_xlfn.XLOOKUP(Contrato[[#This Row],[SUPERVISOR SUPLENTE ]],PERSONAL_ACTIVO_2025[[#All],[NOMBRES Y APELLIDOS]],PERSONAL_ACTIVO_2025[[#All],[DOCUMENTO]],"",0)</f>
        <v>#NAME?</v>
      </c>
      <c r="Q120" s="116">
        <v>139</v>
      </c>
      <c r="R120" s="137" t="e" cm="1">
        <f t="array" aca="1" ref="R120" ca="1">_xlfn.XLOOKUP(Contrato[[#This Row],[CDP]],DISPONIBILIDADES_2025[[#All],[consecutivo]],DISPONIBILIDADES_2025[[#All],[fecha_aprobacion]],"",0)</f>
        <v>#NAME?</v>
      </c>
      <c r="S120" s="92">
        <f>SUMIF(DISPONIBILIDADES_2025[[#All],[consecutivo]],Contrato[[#This Row],[CDP]],DISPONIBILIDADES_2025[[#All],[valor_total_rubro]])</f>
        <v>50609170</v>
      </c>
      <c r="T120" s="118" t="e" cm="1">
        <f t="array" aca="1" ref="T120" ca="1">_xlfn.XLOOKUP(Contrato[[#This Row],[CONTRATO]]&amp;Contrato[[#This Row],[CDP]],Corr_Contr_CDP[[#All],[CONTRATO-CDP]],Corr_Contr_CDP[[#All],[CRP]],_xlfn.XLOOKUP(Contrato[[#This Row],[CDP]],COMPROMISOS_2025[[#All],[disponibilidad]],COMPROMISOS_2025[[#All],[consecutivo]],"",0),0)</f>
        <v>#NAME?</v>
      </c>
      <c r="U120" s="117" t="e" cm="1">
        <f t="array" aca="1" ref="U120" ca="1">+_xlfn.XLOOKUP(Contrato[[#This Row],[RCP]],COMPROMISOS_2025[[#All],[consecutivo]],COMPROMISOS_2025[[#All],[fecha_aprobacion]],"",0)</f>
        <v>#NAME?</v>
      </c>
      <c r="V120" s="93">
        <f ca="1">SUMIF(COMPROMISOS_2025[[#All],[consecutivo]],Contrato[[#This Row],[RCP]],COMPROMISOS_2025[[#All],[valor_total]])</f>
        <v>0</v>
      </c>
      <c r="W120" s="169">
        <v>45707</v>
      </c>
      <c r="X120" s="243" t="s">
        <v>901</v>
      </c>
      <c r="Y120" s="96">
        <v>45709</v>
      </c>
      <c r="Z120" s="161">
        <v>46005</v>
      </c>
      <c r="AA120" s="311" t="s">
        <v>1143</v>
      </c>
      <c r="AB120" s="119" t="s">
        <v>1127</v>
      </c>
      <c r="AC120" s="298"/>
      <c r="AD120" s="279">
        <v>202000006228</v>
      </c>
      <c r="AE120" s="38" t="s">
        <v>904</v>
      </c>
      <c r="AF120" s="120" t="str">
        <f>TEXT(LEFT(Contrato[[#This Row],[CONTRATO]],3),"0")</f>
        <v>114</v>
      </c>
      <c r="AG120" s="120" t="str">
        <f>IF(LEN(Contrato[[#This Row],[Contrato2]])=3,Contrato[[#This Row],[Contrato2]],TEXT(Contrato[[#This Row],[Contrato2]],"000"))</f>
        <v>114</v>
      </c>
      <c r="AH120" s="90">
        <f ca="1">IFERROR(_xlfn.DAYS(Contrato[[#This Row],[Fecha Proyectada liquidación]],TODAY())/30,"")</f>
        <v>11.4</v>
      </c>
      <c r="AI120" s="121">
        <f>+Contrato[[#This Row],[FECHA TERMINACIÓN ]]+120</f>
        <v>46125</v>
      </c>
      <c r="AJ120" s="89"/>
      <c r="AK120" s="91" t="str">
        <f ca="1">IF(Contrato[[#This Row],[FECHA TERMINACIÓN ]]&lt;TODAY(), "Terminado",IF(ISNUMBER(Contrato[[#This Row],[Fecha Real de liquiidación ]]),"Liquidado",IF(Contrato[[#This Row],[FECHA TERMINACIÓN ]]&gt;=TODAY(),"En ejecución","")))</f>
        <v>En ejecución</v>
      </c>
      <c r="AL120" s="107">
        <f ca="1">SUMIF(COMPROMISOS_2025[[#All],[consecutivo]],Contrato[[#This Row],[RCP]],COMPROMISOS_2025[[#All],[Total pagado]])</f>
        <v>0</v>
      </c>
      <c r="AM120" s="122">
        <f ca="1">IFERROR(Contrato[[#This Row],[Pagos]]/Contrato[[#This Row],[VALOR CONTRATO]],0)</f>
        <v>0</v>
      </c>
      <c r="AN120" s="160">
        <f ca="1">+Contrato[[#This Row],[VALOR CONTRATO]]-Contrato[[#This Row],[Pagos]]</f>
        <v>50609170</v>
      </c>
      <c r="AO120" s="111" t="e" cm="1">
        <f t="array" aca="1" ref="AO120" ca="1">_xlfn.XLOOKUP(Contrato[[#This Row],[DOCUMENTO ]],PERSONAL_ACTIVO_2025[[#All],[DOCUMENTO]],PERSONAL_ACTIVO_2025[[#All],[email]],0,0)</f>
        <v>#NAME?</v>
      </c>
      <c r="AP120" s="111" t="e" cm="1">
        <f t="array" aca="1" ref="AP120" ca="1">_xlfn.XLOOKUP(Contrato[[#This Row],[DOCUMENTO]],PERSONAL_ACTIVO_2025[[#All],[DOCUMENTO]],PERSONAL_ACTIVO_2025[[#All],[email]],0,0)</f>
        <v>#NAME?</v>
      </c>
      <c r="AQ120" s="111" cm="1">
        <f t="array" aca="1" ref="AQ120" ca="1">IF(ISBLANK(Contrato[[#This Row],[DEPENDENCIA ]]),0,IFERROR(_xlfn.XLOOKUP(Contrato[[#This Row],[DEPENDENCIA ]],#REF!,#REF!,0,0),0))</f>
        <v>0</v>
      </c>
      <c r="AR120" s="553">
        <f ca="1">+_xlfn.DAYS(Contrato[[#This Row],[FECHA TERMINACIÓN ]],TODAY())</f>
        <v>222</v>
      </c>
    </row>
    <row r="121" spans="1:44" s="111" customFormat="1" ht="36" customHeight="1" x14ac:dyDescent="0.25">
      <c r="A121" s="38">
        <v>306</v>
      </c>
      <c r="B121" s="226">
        <v>115</v>
      </c>
      <c r="C121" s="88" t="s">
        <v>504</v>
      </c>
      <c r="D121" s="192" t="s">
        <v>911</v>
      </c>
      <c r="E121" s="193" t="s">
        <v>112</v>
      </c>
      <c r="F121" s="194" t="s">
        <v>113</v>
      </c>
      <c r="G121" s="195" t="s">
        <v>1175</v>
      </c>
      <c r="H121" s="167">
        <v>1017230955</v>
      </c>
      <c r="I121" s="292">
        <v>2708734</v>
      </c>
      <c r="J121" s="290">
        <v>26545593</v>
      </c>
      <c r="K121" s="158" t="s">
        <v>41</v>
      </c>
      <c r="L121" s="196" t="s">
        <v>1087</v>
      </c>
      <c r="M121" s="114" t="s">
        <v>939</v>
      </c>
      <c r="N121" s="113" t="e" cm="1">
        <f t="array" aca="1" ref="N121" ca="1">_xlfn.XLOOKUP(Contrato[[#This Row],[SUPERVISOR TITULAR]],PERSONAL_ACTIVO_2025[[#All],[NOMBRES Y APELLIDOS]],PERSONAL_ACTIVO_2025[[#All],[DOCUMENTO]],"",0)</f>
        <v>#NAME?</v>
      </c>
      <c r="O121" s="114" t="s">
        <v>943</v>
      </c>
      <c r="P121" s="115" t="e" cm="1">
        <f t="array" aca="1" ref="P121" ca="1">_xlfn.XLOOKUP(Contrato[[#This Row],[SUPERVISOR SUPLENTE ]],PERSONAL_ACTIVO_2025[[#All],[NOMBRES Y APELLIDOS]],PERSONAL_ACTIVO_2025[[#All],[DOCUMENTO]],"",0)</f>
        <v>#NAME?</v>
      </c>
      <c r="Q121" s="116">
        <v>140</v>
      </c>
      <c r="R121" s="137" t="e" cm="1">
        <f t="array" aca="1" ref="R121" ca="1">_xlfn.XLOOKUP(Contrato[[#This Row],[CDP]],DISPONIBILIDADES_2025[[#All],[consecutivo]],DISPONIBILIDADES_2025[[#All],[fecha_aprobacion]],"",0)</f>
        <v>#NAME?</v>
      </c>
      <c r="S121" s="92">
        <f>SUMIF(DISPONIBILIDADES_2025[[#All],[consecutivo]],Contrato[[#This Row],[CDP]],DISPONIBILIDADES_2025[[#All],[valor_total_rubro]])</f>
        <v>26545593</v>
      </c>
      <c r="T121" s="118" t="e" cm="1">
        <f t="array" aca="1" ref="T121" ca="1">_xlfn.XLOOKUP(Contrato[[#This Row],[CONTRATO]]&amp;Contrato[[#This Row],[CDP]],Corr_Contr_CDP[[#All],[CONTRATO-CDP]],Corr_Contr_CDP[[#All],[CRP]],_xlfn.XLOOKUP(Contrato[[#This Row],[CDP]],COMPROMISOS_2025[[#All],[disponibilidad]],COMPROMISOS_2025[[#All],[consecutivo]],"",0),0)</f>
        <v>#NAME?</v>
      </c>
      <c r="U121" s="117" t="e" cm="1">
        <f t="array" aca="1" ref="U121" ca="1">+_xlfn.XLOOKUP(Contrato[[#This Row],[RCP]],COMPROMISOS_2025[[#All],[consecutivo]],COMPROMISOS_2025[[#All],[fecha_aprobacion]],"",0)</f>
        <v>#NAME?</v>
      </c>
      <c r="V121" s="93">
        <f ca="1">SUMIF(COMPROMISOS_2025[[#All],[consecutivo]],Contrato[[#This Row],[RCP]],COMPROMISOS_2025[[#All],[valor_total]])</f>
        <v>0</v>
      </c>
      <c r="W121" s="169">
        <v>45707</v>
      </c>
      <c r="X121" s="243" t="s">
        <v>901</v>
      </c>
      <c r="Y121" s="96">
        <v>45710</v>
      </c>
      <c r="Z121" s="161">
        <v>46005</v>
      </c>
      <c r="AA121" s="311" t="s">
        <v>1130</v>
      </c>
      <c r="AB121" s="119" t="s">
        <v>1127</v>
      </c>
      <c r="AC121" s="298"/>
      <c r="AD121" s="279">
        <v>202000006232</v>
      </c>
      <c r="AE121" s="38" t="s">
        <v>904</v>
      </c>
      <c r="AF121" s="120" t="str">
        <f>TEXT(LEFT(Contrato[[#This Row],[CONTRATO]],3),"0")</f>
        <v>115</v>
      </c>
      <c r="AG121" s="120" t="str">
        <f>IF(LEN(Contrato[[#This Row],[Contrato2]])=3,Contrato[[#This Row],[Contrato2]],TEXT(Contrato[[#This Row],[Contrato2]],"000"))</f>
        <v>115</v>
      </c>
      <c r="AH121" s="90">
        <f ca="1">IFERROR(_xlfn.DAYS(Contrato[[#This Row],[Fecha Proyectada liquidación]],TODAY())/30,"")</f>
        <v>11.4</v>
      </c>
      <c r="AI121" s="121">
        <f>+Contrato[[#This Row],[FECHA TERMINACIÓN ]]+120</f>
        <v>46125</v>
      </c>
      <c r="AJ121" s="89"/>
      <c r="AK121" s="91" t="str">
        <f ca="1">IF(Contrato[[#This Row],[FECHA TERMINACIÓN ]]&lt;TODAY(), "Terminado",IF(ISNUMBER(Contrato[[#This Row],[Fecha Real de liquiidación ]]),"Liquidado",IF(Contrato[[#This Row],[FECHA TERMINACIÓN ]]&gt;=TODAY(),"En ejecución","")))</f>
        <v>En ejecución</v>
      </c>
      <c r="AL121" s="107">
        <f ca="1">SUMIF(COMPROMISOS_2025[[#All],[consecutivo]],Contrato[[#This Row],[RCP]],COMPROMISOS_2025[[#All],[Total pagado]])</f>
        <v>0</v>
      </c>
      <c r="AM121" s="122">
        <f ca="1">IFERROR(Contrato[[#This Row],[Pagos]]/Contrato[[#This Row],[VALOR CONTRATO]],0)</f>
        <v>0</v>
      </c>
      <c r="AN121" s="160">
        <f ca="1">+Contrato[[#This Row],[VALOR CONTRATO]]-Contrato[[#This Row],[Pagos]]</f>
        <v>26545593</v>
      </c>
      <c r="AO121" s="111" t="e" cm="1">
        <f t="array" aca="1" ref="AO121" ca="1">_xlfn.XLOOKUP(Contrato[[#This Row],[DOCUMENTO ]],PERSONAL_ACTIVO_2025[[#All],[DOCUMENTO]],PERSONAL_ACTIVO_2025[[#All],[email]],0,0)</f>
        <v>#NAME?</v>
      </c>
      <c r="AP121" s="111" t="e" cm="1">
        <f t="array" aca="1" ref="AP121" ca="1">_xlfn.XLOOKUP(Contrato[[#This Row],[DOCUMENTO]],PERSONAL_ACTIVO_2025[[#All],[DOCUMENTO]],PERSONAL_ACTIVO_2025[[#All],[email]],0,0)</f>
        <v>#NAME?</v>
      </c>
      <c r="AQ121" s="111" cm="1">
        <f t="array" aca="1" ref="AQ121" ca="1">IF(ISBLANK(Contrato[[#This Row],[DEPENDENCIA ]]),0,IFERROR(_xlfn.XLOOKUP(Contrato[[#This Row],[DEPENDENCIA ]],#REF!,#REF!,0,0),0))</f>
        <v>0</v>
      </c>
      <c r="AR121" s="553">
        <f ca="1">+_xlfn.DAYS(Contrato[[#This Row],[FECHA TERMINACIÓN ]],TODAY())</f>
        <v>222</v>
      </c>
    </row>
    <row r="122" spans="1:44" s="111" customFormat="1" ht="36" customHeight="1" x14ac:dyDescent="0.25">
      <c r="A122" s="38">
        <v>307</v>
      </c>
      <c r="B122" s="226">
        <v>116</v>
      </c>
      <c r="C122" s="88" t="s">
        <v>505</v>
      </c>
      <c r="D122" s="192" t="s">
        <v>911</v>
      </c>
      <c r="E122" s="193" t="s">
        <v>112</v>
      </c>
      <c r="F122" s="194" t="s">
        <v>113</v>
      </c>
      <c r="G122" s="195" t="s">
        <v>1176</v>
      </c>
      <c r="H122" s="167">
        <v>1036686057</v>
      </c>
      <c r="I122" s="292">
        <v>2708734</v>
      </c>
      <c r="J122" s="290">
        <v>26545593</v>
      </c>
      <c r="K122" s="158" t="s">
        <v>41</v>
      </c>
      <c r="L122" s="196" t="s">
        <v>1087</v>
      </c>
      <c r="M122" s="114" t="s">
        <v>939</v>
      </c>
      <c r="N122" s="113" t="e" cm="1">
        <f t="array" aca="1" ref="N122" ca="1">_xlfn.XLOOKUP(Contrato[[#This Row],[SUPERVISOR TITULAR]],PERSONAL_ACTIVO_2025[[#All],[NOMBRES Y APELLIDOS]],PERSONAL_ACTIVO_2025[[#All],[DOCUMENTO]],"",0)</f>
        <v>#NAME?</v>
      </c>
      <c r="O122" s="114" t="s">
        <v>943</v>
      </c>
      <c r="P122" s="115" t="e" cm="1">
        <f t="array" aca="1" ref="P122" ca="1">_xlfn.XLOOKUP(Contrato[[#This Row],[SUPERVISOR SUPLENTE ]],PERSONAL_ACTIVO_2025[[#All],[NOMBRES Y APELLIDOS]],PERSONAL_ACTIVO_2025[[#All],[DOCUMENTO]],"",0)</f>
        <v>#NAME?</v>
      </c>
      <c r="Q122" s="116">
        <v>141</v>
      </c>
      <c r="R122" s="137" t="e" cm="1">
        <f t="array" aca="1" ref="R122" ca="1">_xlfn.XLOOKUP(Contrato[[#This Row],[CDP]],DISPONIBILIDADES_2025[[#All],[consecutivo]],DISPONIBILIDADES_2025[[#All],[fecha_aprobacion]],"",0)</f>
        <v>#NAME?</v>
      </c>
      <c r="S122" s="92">
        <f>SUMIF(DISPONIBILIDADES_2025[[#All],[consecutivo]],Contrato[[#This Row],[CDP]],DISPONIBILIDADES_2025[[#All],[valor_total_rubro]])</f>
        <v>26545593</v>
      </c>
      <c r="T122" s="118" t="e" cm="1">
        <f t="array" aca="1" ref="T122" ca="1">_xlfn.XLOOKUP(Contrato[[#This Row],[CONTRATO]]&amp;Contrato[[#This Row],[CDP]],Corr_Contr_CDP[[#All],[CONTRATO-CDP]],Corr_Contr_CDP[[#All],[CRP]],_xlfn.XLOOKUP(Contrato[[#This Row],[CDP]],COMPROMISOS_2025[[#All],[disponibilidad]],COMPROMISOS_2025[[#All],[consecutivo]],"",0),0)</f>
        <v>#NAME?</v>
      </c>
      <c r="U122" s="117" t="e" cm="1">
        <f t="array" aca="1" ref="U122" ca="1">+_xlfn.XLOOKUP(Contrato[[#This Row],[RCP]],COMPROMISOS_2025[[#All],[consecutivo]],COMPROMISOS_2025[[#All],[fecha_aprobacion]],"",0)</f>
        <v>#NAME?</v>
      </c>
      <c r="V122" s="93">
        <f ca="1">SUMIF(COMPROMISOS_2025[[#All],[consecutivo]],Contrato[[#This Row],[RCP]],COMPROMISOS_2025[[#All],[valor_total]])</f>
        <v>0</v>
      </c>
      <c r="W122" s="169">
        <v>45707</v>
      </c>
      <c r="X122" s="243" t="s">
        <v>901</v>
      </c>
      <c r="Y122" s="96">
        <v>45709</v>
      </c>
      <c r="Z122" s="161">
        <v>46005</v>
      </c>
      <c r="AA122" s="311" t="s">
        <v>1130</v>
      </c>
      <c r="AB122" s="119" t="s">
        <v>1127</v>
      </c>
      <c r="AC122" s="298"/>
      <c r="AD122" s="279">
        <v>202000006238</v>
      </c>
      <c r="AE122" s="38" t="s">
        <v>904</v>
      </c>
      <c r="AF122" s="120" t="str">
        <f>TEXT(LEFT(Contrato[[#This Row],[CONTRATO]],3),"0")</f>
        <v>116</v>
      </c>
      <c r="AG122" s="120" t="str">
        <f>IF(LEN(Contrato[[#This Row],[Contrato2]])=3,Contrato[[#This Row],[Contrato2]],TEXT(Contrato[[#This Row],[Contrato2]],"000"))</f>
        <v>116</v>
      </c>
      <c r="AH122" s="90">
        <f ca="1">IFERROR(_xlfn.DAYS(Contrato[[#This Row],[Fecha Proyectada liquidación]],TODAY())/30,"")</f>
        <v>11.4</v>
      </c>
      <c r="AI122" s="121">
        <f>+Contrato[[#This Row],[FECHA TERMINACIÓN ]]+120</f>
        <v>46125</v>
      </c>
      <c r="AJ122" s="89"/>
      <c r="AK122" s="91" t="str">
        <f ca="1">IF(Contrato[[#This Row],[FECHA TERMINACIÓN ]]&lt;TODAY(), "Terminado",IF(ISNUMBER(Contrato[[#This Row],[Fecha Real de liquiidación ]]),"Liquidado",IF(Contrato[[#This Row],[FECHA TERMINACIÓN ]]&gt;=TODAY(),"En ejecución","")))</f>
        <v>En ejecución</v>
      </c>
      <c r="AL122" s="107">
        <f ca="1">SUMIF(COMPROMISOS_2025[[#All],[consecutivo]],Contrato[[#This Row],[RCP]],COMPROMISOS_2025[[#All],[Total pagado]])</f>
        <v>0</v>
      </c>
      <c r="AM122" s="122">
        <f ca="1">IFERROR(Contrato[[#This Row],[Pagos]]/Contrato[[#This Row],[VALOR CONTRATO]],0)</f>
        <v>0</v>
      </c>
      <c r="AN122" s="160">
        <f ca="1">+Contrato[[#This Row],[VALOR CONTRATO]]-Contrato[[#This Row],[Pagos]]</f>
        <v>26545593</v>
      </c>
      <c r="AO122" s="111" t="e" cm="1">
        <f t="array" aca="1" ref="AO122" ca="1">_xlfn.XLOOKUP(Contrato[[#This Row],[DOCUMENTO ]],PERSONAL_ACTIVO_2025[[#All],[DOCUMENTO]],PERSONAL_ACTIVO_2025[[#All],[email]],0,0)</f>
        <v>#NAME?</v>
      </c>
      <c r="AP122" s="111" t="e" cm="1">
        <f t="array" aca="1" ref="AP122" ca="1">_xlfn.XLOOKUP(Contrato[[#This Row],[DOCUMENTO]],PERSONAL_ACTIVO_2025[[#All],[DOCUMENTO]],PERSONAL_ACTIVO_2025[[#All],[email]],0,0)</f>
        <v>#NAME?</v>
      </c>
      <c r="AQ122" s="111" cm="1">
        <f t="array" aca="1" ref="AQ122" ca="1">IF(ISBLANK(Contrato[[#This Row],[DEPENDENCIA ]]),0,IFERROR(_xlfn.XLOOKUP(Contrato[[#This Row],[DEPENDENCIA ]],#REF!,#REF!,0,0),0))</f>
        <v>0</v>
      </c>
      <c r="AR122" s="553">
        <f ca="1">+_xlfn.DAYS(Contrato[[#This Row],[FECHA TERMINACIÓN ]],TODAY())</f>
        <v>222</v>
      </c>
    </row>
    <row r="123" spans="1:44" s="111" customFormat="1" ht="36" customHeight="1" x14ac:dyDescent="0.25">
      <c r="A123" s="38">
        <v>308</v>
      </c>
      <c r="B123" s="226">
        <v>117</v>
      </c>
      <c r="C123" s="88" t="s">
        <v>506</v>
      </c>
      <c r="D123" s="192" t="s">
        <v>911</v>
      </c>
      <c r="E123" s="193" t="s">
        <v>112</v>
      </c>
      <c r="F123" s="194" t="s">
        <v>113</v>
      </c>
      <c r="G123" s="195" t="s">
        <v>1177</v>
      </c>
      <c r="H123" s="167">
        <v>1017179736</v>
      </c>
      <c r="I123" s="292">
        <v>4157906</v>
      </c>
      <c r="J123" s="290">
        <v>40747479</v>
      </c>
      <c r="K123" s="158" t="s">
        <v>41</v>
      </c>
      <c r="L123" s="196" t="s">
        <v>1087</v>
      </c>
      <c r="M123" s="114" t="s">
        <v>939</v>
      </c>
      <c r="N123" s="113" t="e" cm="1">
        <f t="array" aca="1" ref="N123" ca="1">_xlfn.XLOOKUP(Contrato[[#This Row],[SUPERVISOR TITULAR]],PERSONAL_ACTIVO_2025[[#All],[NOMBRES Y APELLIDOS]],PERSONAL_ACTIVO_2025[[#All],[DOCUMENTO]],"",0)</f>
        <v>#NAME?</v>
      </c>
      <c r="O123" s="114" t="s">
        <v>943</v>
      </c>
      <c r="P123" s="115" t="e" cm="1">
        <f t="array" aca="1" ref="P123" ca="1">_xlfn.XLOOKUP(Contrato[[#This Row],[SUPERVISOR SUPLENTE ]],PERSONAL_ACTIVO_2025[[#All],[NOMBRES Y APELLIDOS]],PERSONAL_ACTIVO_2025[[#All],[DOCUMENTO]],"",0)</f>
        <v>#NAME?</v>
      </c>
      <c r="Q123" s="116">
        <v>142</v>
      </c>
      <c r="R123" s="137" t="e" cm="1">
        <f t="array" aca="1" ref="R123" ca="1">_xlfn.XLOOKUP(Contrato[[#This Row],[CDP]],DISPONIBILIDADES_2025[[#All],[consecutivo]],DISPONIBILIDADES_2025[[#All],[fecha_aprobacion]],"",0)</f>
        <v>#NAME?</v>
      </c>
      <c r="S123" s="92">
        <f>SUMIF(DISPONIBILIDADES_2025[[#All],[consecutivo]],Contrato[[#This Row],[CDP]],DISPONIBILIDADES_2025[[#All],[valor_total_rubro]])</f>
        <v>40747479</v>
      </c>
      <c r="T123" s="118" t="e" cm="1">
        <f t="array" aca="1" ref="T123" ca="1">_xlfn.XLOOKUP(Contrato[[#This Row],[CONTRATO]]&amp;Contrato[[#This Row],[CDP]],Corr_Contr_CDP[[#All],[CONTRATO-CDP]],Corr_Contr_CDP[[#All],[CRP]],_xlfn.XLOOKUP(Contrato[[#This Row],[CDP]],COMPROMISOS_2025[[#All],[disponibilidad]],COMPROMISOS_2025[[#All],[consecutivo]],"",0),0)</f>
        <v>#NAME?</v>
      </c>
      <c r="U123" s="117" t="e" cm="1">
        <f t="array" aca="1" ref="U123" ca="1">+_xlfn.XLOOKUP(Contrato[[#This Row],[RCP]],COMPROMISOS_2025[[#All],[consecutivo]],COMPROMISOS_2025[[#All],[fecha_aprobacion]],"",0)</f>
        <v>#NAME?</v>
      </c>
      <c r="V123" s="93">
        <f ca="1">SUMIF(COMPROMISOS_2025[[#All],[consecutivo]],Contrato[[#This Row],[RCP]],COMPROMISOS_2025[[#All],[valor_total]])</f>
        <v>0</v>
      </c>
      <c r="W123" s="169">
        <v>45708</v>
      </c>
      <c r="X123" s="243" t="s">
        <v>901</v>
      </c>
      <c r="Y123" s="96">
        <v>45710</v>
      </c>
      <c r="Z123" s="161">
        <v>46005</v>
      </c>
      <c r="AA123" s="311" t="s">
        <v>1130</v>
      </c>
      <c r="AB123" s="119" t="s">
        <v>1127</v>
      </c>
      <c r="AC123" s="298"/>
      <c r="AD123" s="279">
        <v>202000006234</v>
      </c>
      <c r="AE123" s="38" t="s">
        <v>904</v>
      </c>
      <c r="AF123" s="120" t="str">
        <f>TEXT(LEFT(Contrato[[#This Row],[CONTRATO]],3),"0")</f>
        <v>117</v>
      </c>
      <c r="AG123" s="120" t="str">
        <f>IF(LEN(Contrato[[#This Row],[Contrato2]])=3,Contrato[[#This Row],[Contrato2]],TEXT(Contrato[[#This Row],[Contrato2]],"000"))</f>
        <v>117</v>
      </c>
      <c r="AH123" s="90">
        <f ca="1">IFERROR(_xlfn.DAYS(Contrato[[#This Row],[Fecha Proyectada liquidación]],TODAY())/30,"")</f>
        <v>11.4</v>
      </c>
      <c r="AI123" s="121">
        <f>+Contrato[[#This Row],[FECHA TERMINACIÓN ]]+120</f>
        <v>46125</v>
      </c>
      <c r="AJ123" s="89"/>
      <c r="AK123" s="91" t="str">
        <f ca="1">IF(Contrato[[#This Row],[FECHA TERMINACIÓN ]]&lt;TODAY(), "Terminado",IF(ISNUMBER(Contrato[[#This Row],[Fecha Real de liquiidación ]]),"Liquidado",IF(Contrato[[#This Row],[FECHA TERMINACIÓN ]]&gt;=TODAY(),"En ejecución","")))</f>
        <v>En ejecución</v>
      </c>
      <c r="AL123" s="107">
        <f ca="1">SUMIF(COMPROMISOS_2025[[#All],[consecutivo]],Contrato[[#This Row],[RCP]],COMPROMISOS_2025[[#All],[Total pagado]])</f>
        <v>0</v>
      </c>
      <c r="AM123" s="122">
        <f ca="1">IFERROR(Contrato[[#This Row],[Pagos]]/Contrato[[#This Row],[VALOR CONTRATO]],0)</f>
        <v>0</v>
      </c>
      <c r="AN123" s="160">
        <f ca="1">+Contrato[[#This Row],[VALOR CONTRATO]]-Contrato[[#This Row],[Pagos]]</f>
        <v>40747479</v>
      </c>
      <c r="AO123" s="111" t="e" cm="1">
        <f t="array" aca="1" ref="AO123" ca="1">_xlfn.XLOOKUP(Contrato[[#This Row],[DOCUMENTO ]],PERSONAL_ACTIVO_2025[[#All],[DOCUMENTO]],PERSONAL_ACTIVO_2025[[#All],[email]],0,0)</f>
        <v>#NAME?</v>
      </c>
      <c r="AP123" s="111" t="e" cm="1">
        <f t="array" aca="1" ref="AP123" ca="1">_xlfn.XLOOKUP(Contrato[[#This Row],[DOCUMENTO]],PERSONAL_ACTIVO_2025[[#All],[DOCUMENTO]],PERSONAL_ACTIVO_2025[[#All],[email]],0,0)</f>
        <v>#NAME?</v>
      </c>
      <c r="AQ123" s="111" cm="1">
        <f t="array" aca="1" ref="AQ123" ca="1">IF(ISBLANK(Contrato[[#This Row],[DEPENDENCIA ]]),0,IFERROR(_xlfn.XLOOKUP(Contrato[[#This Row],[DEPENDENCIA ]],#REF!,#REF!,0,0),0))</f>
        <v>0</v>
      </c>
      <c r="AR123" s="553">
        <f ca="1">+_xlfn.DAYS(Contrato[[#This Row],[FECHA TERMINACIÓN ]],TODAY())</f>
        <v>222</v>
      </c>
    </row>
    <row r="124" spans="1:44" s="111" customFormat="1" ht="36" customHeight="1" x14ac:dyDescent="0.25">
      <c r="A124" s="38">
        <v>312</v>
      </c>
      <c r="B124" s="226">
        <v>118</v>
      </c>
      <c r="C124" s="88" t="s">
        <v>510</v>
      </c>
      <c r="D124" s="192" t="s">
        <v>911</v>
      </c>
      <c r="E124" s="193" t="s">
        <v>112</v>
      </c>
      <c r="F124" s="194" t="s">
        <v>113</v>
      </c>
      <c r="G124" s="195" t="s">
        <v>1178</v>
      </c>
      <c r="H124" s="167">
        <v>3391900</v>
      </c>
      <c r="I124" s="292">
        <v>4157906</v>
      </c>
      <c r="J124" s="290">
        <v>40747479</v>
      </c>
      <c r="K124" s="158" t="s">
        <v>41</v>
      </c>
      <c r="L124" s="196" t="s">
        <v>1087</v>
      </c>
      <c r="M124" s="114" t="s">
        <v>939</v>
      </c>
      <c r="N124" s="113" t="e" cm="1">
        <f t="array" aca="1" ref="N124" ca="1">_xlfn.XLOOKUP(Contrato[[#This Row],[SUPERVISOR TITULAR]],PERSONAL_ACTIVO_2025[[#All],[NOMBRES Y APELLIDOS]],PERSONAL_ACTIVO_2025[[#All],[DOCUMENTO]],"",0)</f>
        <v>#NAME?</v>
      </c>
      <c r="O124" s="114" t="s">
        <v>943</v>
      </c>
      <c r="P124" s="115" t="e" cm="1">
        <f t="array" aca="1" ref="P124" ca="1">_xlfn.XLOOKUP(Contrato[[#This Row],[SUPERVISOR SUPLENTE ]],PERSONAL_ACTIVO_2025[[#All],[NOMBRES Y APELLIDOS]],PERSONAL_ACTIVO_2025[[#All],[DOCUMENTO]],"",0)</f>
        <v>#NAME?</v>
      </c>
      <c r="Q124" s="116">
        <v>146</v>
      </c>
      <c r="R124" s="137" t="e" cm="1">
        <f t="array" aca="1" ref="R124" ca="1">_xlfn.XLOOKUP(Contrato[[#This Row],[CDP]],DISPONIBILIDADES_2025[[#All],[consecutivo]],DISPONIBILIDADES_2025[[#All],[fecha_aprobacion]],"",0)</f>
        <v>#NAME?</v>
      </c>
      <c r="S124" s="92">
        <f>SUMIF(DISPONIBILIDADES_2025[[#All],[consecutivo]],Contrato[[#This Row],[CDP]],DISPONIBILIDADES_2025[[#All],[valor_total_rubro]])</f>
        <v>40747479</v>
      </c>
      <c r="T124" s="118" t="e" cm="1">
        <f t="array" aca="1" ref="T124" ca="1">_xlfn.XLOOKUP(Contrato[[#This Row],[CONTRATO]]&amp;Contrato[[#This Row],[CDP]],Corr_Contr_CDP[[#All],[CONTRATO-CDP]],Corr_Contr_CDP[[#All],[CRP]],_xlfn.XLOOKUP(Contrato[[#This Row],[CDP]],COMPROMISOS_2025[[#All],[disponibilidad]],COMPROMISOS_2025[[#All],[consecutivo]],"",0),0)</f>
        <v>#NAME?</v>
      </c>
      <c r="U124" s="117" t="e" cm="1">
        <f t="array" aca="1" ref="U124" ca="1">+_xlfn.XLOOKUP(Contrato[[#This Row],[RCP]],COMPROMISOS_2025[[#All],[consecutivo]],COMPROMISOS_2025[[#All],[fecha_aprobacion]],"",0)</f>
        <v>#NAME?</v>
      </c>
      <c r="V124" s="93">
        <f ca="1">SUMIF(COMPROMISOS_2025[[#All],[consecutivo]],Contrato[[#This Row],[RCP]],COMPROMISOS_2025[[#All],[valor_total]])</f>
        <v>0</v>
      </c>
      <c r="W124" s="169">
        <v>45707</v>
      </c>
      <c r="X124" s="243" t="s">
        <v>901</v>
      </c>
      <c r="Y124" s="96">
        <v>45709</v>
      </c>
      <c r="Z124" s="161">
        <v>46005</v>
      </c>
      <c r="AA124" s="311" t="s">
        <v>1130</v>
      </c>
      <c r="AB124" s="119" t="s">
        <v>1127</v>
      </c>
      <c r="AC124" s="298"/>
      <c r="AD124" s="279">
        <v>202000006235</v>
      </c>
      <c r="AE124" s="38" t="s">
        <v>904</v>
      </c>
      <c r="AF124" s="120" t="str">
        <f>TEXT(LEFT(Contrato[[#This Row],[CONTRATO]],3),"0")</f>
        <v>118</v>
      </c>
      <c r="AG124" s="120" t="str">
        <f>IF(LEN(Contrato[[#This Row],[Contrato2]])=3,Contrato[[#This Row],[Contrato2]],TEXT(Contrato[[#This Row],[Contrato2]],"000"))</f>
        <v>118</v>
      </c>
      <c r="AH124" s="90">
        <f ca="1">IFERROR(_xlfn.DAYS(Contrato[[#This Row],[Fecha Proyectada liquidación]],TODAY())/30,"")</f>
        <v>11.4</v>
      </c>
      <c r="AI124" s="121">
        <f>+Contrato[[#This Row],[FECHA TERMINACIÓN ]]+120</f>
        <v>46125</v>
      </c>
      <c r="AJ124" s="89"/>
      <c r="AK124" s="91" t="str">
        <f ca="1">IF(Contrato[[#This Row],[FECHA TERMINACIÓN ]]&lt;TODAY(), "Terminado",IF(ISNUMBER(Contrato[[#This Row],[Fecha Real de liquiidación ]]),"Liquidado",IF(Contrato[[#This Row],[FECHA TERMINACIÓN ]]&gt;=TODAY(),"En ejecución","")))</f>
        <v>En ejecución</v>
      </c>
      <c r="AL124" s="107">
        <f ca="1">SUMIF(COMPROMISOS_2025[[#All],[consecutivo]],Contrato[[#This Row],[RCP]],COMPROMISOS_2025[[#All],[Total pagado]])</f>
        <v>0</v>
      </c>
      <c r="AM124" s="122">
        <f ca="1">IFERROR(Contrato[[#This Row],[Pagos]]/Contrato[[#This Row],[VALOR CONTRATO]],0)</f>
        <v>0</v>
      </c>
      <c r="AN124" s="160">
        <f ca="1">+Contrato[[#This Row],[VALOR CONTRATO]]-Contrato[[#This Row],[Pagos]]</f>
        <v>40747479</v>
      </c>
      <c r="AO124" s="111" t="e" cm="1">
        <f t="array" aca="1" ref="AO124" ca="1">_xlfn.XLOOKUP(Contrato[[#This Row],[DOCUMENTO ]],PERSONAL_ACTIVO_2025[[#All],[DOCUMENTO]],PERSONAL_ACTIVO_2025[[#All],[email]],0,0)</f>
        <v>#NAME?</v>
      </c>
      <c r="AP124" s="111" t="e" cm="1">
        <f t="array" aca="1" ref="AP124" ca="1">_xlfn.XLOOKUP(Contrato[[#This Row],[DOCUMENTO]],PERSONAL_ACTIVO_2025[[#All],[DOCUMENTO]],PERSONAL_ACTIVO_2025[[#All],[email]],0,0)</f>
        <v>#NAME?</v>
      </c>
      <c r="AQ124" s="111" cm="1">
        <f t="array" aca="1" ref="AQ124" ca="1">IF(ISBLANK(Contrato[[#This Row],[DEPENDENCIA ]]),0,IFERROR(_xlfn.XLOOKUP(Contrato[[#This Row],[DEPENDENCIA ]],#REF!,#REF!,0,0),0))</f>
        <v>0</v>
      </c>
      <c r="AR124" s="553">
        <f ca="1">+_xlfn.DAYS(Contrato[[#This Row],[FECHA TERMINACIÓN ]],TODAY())</f>
        <v>222</v>
      </c>
    </row>
    <row r="125" spans="1:44" s="111" customFormat="1" ht="36" customHeight="1" x14ac:dyDescent="0.25">
      <c r="A125" s="38">
        <v>313</v>
      </c>
      <c r="B125" s="226">
        <v>119</v>
      </c>
      <c r="C125" s="88" t="s">
        <v>511</v>
      </c>
      <c r="D125" s="192" t="s">
        <v>911</v>
      </c>
      <c r="E125" s="193" t="s">
        <v>112</v>
      </c>
      <c r="F125" s="194" t="s">
        <v>113</v>
      </c>
      <c r="G125" s="195" t="s">
        <v>1179</v>
      </c>
      <c r="H125" s="167">
        <v>98554081</v>
      </c>
      <c r="I125" s="292">
        <v>8320021</v>
      </c>
      <c r="J125" s="290">
        <v>81536206</v>
      </c>
      <c r="K125" s="158" t="s">
        <v>41</v>
      </c>
      <c r="L125" s="196" t="s">
        <v>1087</v>
      </c>
      <c r="M125" s="114" t="s">
        <v>939</v>
      </c>
      <c r="N125" s="113" t="e" cm="1">
        <f t="array" aca="1" ref="N125" ca="1">_xlfn.XLOOKUP(Contrato[[#This Row],[SUPERVISOR TITULAR]],PERSONAL_ACTIVO_2025[[#All],[NOMBRES Y APELLIDOS]],PERSONAL_ACTIVO_2025[[#All],[DOCUMENTO]],"",0)</f>
        <v>#NAME?</v>
      </c>
      <c r="O125" s="114" t="s">
        <v>943</v>
      </c>
      <c r="P125" s="115" t="e" cm="1">
        <f t="array" aca="1" ref="P125" ca="1">_xlfn.XLOOKUP(Contrato[[#This Row],[SUPERVISOR SUPLENTE ]],PERSONAL_ACTIVO_2025[[#All],[NOMBRES Y APELLIDOS]],PERSONAL_ACTIVO_2025[[#All],[DOCUMENTO]],"",0)</f>
        <v>#NAME?</v>
      </c>
      <c r="Q125" s="116">
        <v>147</v>
      </c>
      <c r="R125" s="137" t="e" cm="1">
        <f t="array" aca="1" ref="R125" ca="1">_xlfn.XLOOKUP(Contrato[[#This Row],[CDP]],DISPONIBILIDADES_2025[[#All],[consecutivo]],DISPONIBILIDADES_2025[[#All],[fecha_aprobacion]],"",0)</f>
        <v>#NAME?</v>
      </c>
      <c r="S125" s="92">
        <f>SUMIF(DISPONIBILIDADES_2025[[#All],[consecutivo]],Contrato[[#This Row],[CDP]],DISPONIBILIDADES_2025[[#All],[valor_total_rubro]])</f>
        <v>81536206</v>
      </c>
      <c r="T125" s="118" t="e" cm="1">
        <f t="array" aca="1" ref="T125" ca="1">_xlfn.XLOOKUP(Contrato[[#This Row],[CONTRATO]]&amp;Contrato[[#This Row],[CDP]],Corr_Contr_CDP[[#All],[CONTRATO-CDP]],Corr_Contr_CDP[[#All],[CRP]],_xlfn.XLOOKUP(Contrato[[#This Row],[CDP]],COMPROMISOS_2025[[#All],[disponibilidad]],COMPROMISOS_2025[[#All],[consecutivo]],"",0),0)</f>
        <v>#NAME?</v>
      </c>
      <c r="U125" s="117" t="e" cm="1">
        <f t="array" aca="1" ref="U125" ca="1">+_xlfn.XLOOKUP(Contrato[[#This Row],[RCP]],COMPROMISOS_2025[[#All],[consecutivo]],COMPROMISOS_2025[[#All],[fecha_aprobacion]],"",0)</f>
        <v>#NAME?</v>
      </c>
      <c r="V125" s="93">
        <f ca="1">SUMIF(COMPROMISOS_2025[[#All],[consecutivo]],Contrato[[#This Row],[RCP]],COMPROMISOS_2025[[#All],[valor_total]])</f>
        <v>0</v>
      </c>
      <c r="W125" s="169">
        <v>45708</v>
      </c>
      <c r="X125" s="243" t="s">
        <v>901</v>
      </c>
      <c r="Y125" s="96">
        <v>45709</v>
      </c>
      <c r="Z125" s="161">
        <v>46005</v>
      </c>
      <c r="AA125" s="311" t="s">
        <v>1143</v>
      </c>
      <c r="AB125" s="119" t="s">
        <v>1127</v>
      </c>
      <c r="AC125" s="298"/>
      <c r="AD125" s="279">
        <v>202000006236</v>
      </c>
      <c r="AE125" s="38" t="s">
        <v>904</v>
      </c>
      <c r="AF125" s="120" t="str">
        <f>TEXT(LEFT(Contrato[[#This Row],[CONTRATO]],3),"0")</f>
        <v>119</v>
      </c>
      <c r="AG125" s="120" t="str">
        <f>IF(LEN(Contrato[[#This Row],[Contrato2]])=3,Contrato[[#This Row],[Contrato2]],TEXT(Contrato[[#This Row],[Contrato2]],"000"))</f>
        <v>119</v>
      </c>
      <c r="AH125" s="90">
        <f ca="1">IFERROR(_xlfn.DAYS(Contrato[[#This Row],[Fecha Proyectada liquidación]],TODAY())/30,"")</f>
        <v>11.4</v>
      </c>
      <c r="AI125" s="121">
        <f>+Contrato[[#This Row],[FECHA TERMINACIÓN ]]+120</f>
        <v>46125</v>
      </c>
      <c r="AJ125" s="89"/>
      <c r="AK125" s="91" t="str">
        <f ca="1">IF(Contrato[[#This Row],[FECHA TERMINACIÓN ]]&lt;TODAY(), "Terminado",IF(ISNUMBER(Contrato[[#This Row],[Fecha Real de liquiidación ]]),"Liquidado",IF(Contrato[[#This Row],[FECHA TERMINACIÓN ]]&gt;=TODAY(),"En ejecución","")))</f>
        <v>En ejecución</v>
      </c>
      <c r="AL125" s="107">
        <f ca="1">SUMIF(COMPROMISOS_2025[[#All],[consecutivo]],Contrato[[#This Row],[RCP]],COMPROMISOS_2025[[#All],[Total pagado]])</f>
        <v>0</v>
      </c>
      <c r="AM125" s="122">
        <f ca="1">IFERROR(Contrato[[#This Row],[Pagos]]/Contrato[[#This Row],[VALOR CONTRATO]],0)</f>
        <v>0</v>
      </c>
      <c r="AN125" s="160">
        <f ca="1">+Contrato[[#This Row],[VALOR CONTRATO]]-Contrato[[#This Row],[Pagos]]</f>
        <v>81536206</v>
      </c>
      <c r="AO125" s="111" t="e" cm="1">
        <f t="array" aca="1" ref="AO125" ca="1">_xlfn.XLOOKUP(Contrato[[#This Row],[DOCUMENTO ]],PERSONAL_ACTIVO_2025[[#All],[DOCUMENTO]],PERSONAL_ACTIVO_2025[[#All],[email]],0,0)</f>
        <v>#NAME?</v>
      </c>
      <c r="AP125" s="111" t="e" cm="1">
        <f t="array" aca="1" ref="AP125" ca="1">_xlfn.XLOOKUP(Contrato[[#This Row],[DOCUMENTO]],PERSONAL_ACTIVO_2025[[#All],[DOCUMENTO]],PERSONAL_ACTIVO_2025[[#All],[email]],0,0)</f>
        <v>#NAME?</v>
      </c>
      <c r="AQ125" s="111" cm="1">
        <f t="array" aca="1" ref="AQ125" ca="1">IF(ISBLANK(Contrato[[#This Row],[DEPENDENCIA ]]),0,IFERROR(_xlfn.XLOOKUP(Contrato[[#This Row],[DEPENDENCIA ]],#REF!,#REF!,0,0),0))</f>
        <v>0</v>
      </c>
      <c r="AR125" s="553">
        <f ca="1">+_xlfn.DAYS(Contrato[[#This Row],[FECHA TERMINACIÓN ]],TODAY())</f>
        <v>222</v>
      </c>
    </row>
    <row r="126" spans="1:44" s="111" customFormat="1" ht="36" customHeight="1" x14ac:dyDescent="0.25">
      <c r="A126" s="38">
        <v>314</v>
      </c>
      <c r="B126" s="226">
        <v>120</v>
      </c>
      <c r="C126" s="88" t="s">
        <v>512</v>
      </c>
      <c r="D126" s="192" t="s">
        <v>911</v>
      </c>
      <c r="E126" s="193" t="s">
        <v>112</v>
      </c>
      <c r="F126" s="194" t="s">
        <v>113</v>
      </c>
      <c r="G126" s="195" t="s">
        <v>1180</v>
      </c>
      <c r="H126" s="167">
        <v>1143326398</v>
      </c>
      <c r="I126" s="292">
        <v>4157906</v>
      </c>
      <c r="J126" s="290">
        <v>40747479</v>
      </c>
      <c r="K126" s="158" t="s">
        <v>41</v>
      </c>
      <c r="L126" s="196" t="s">
        <v>1087</v>
      </c>
      <c r="M126" s="114" t="s">
        <v>939</v>
      </c>
      <c r="N126" s="113" t="e" cm="1">
        <f t="array" aca="1" ref="N126" ca="1">_xlfn.XLOOKUP(Contrato[[#This Row],[SUPERVISOR TITULAR]],PERSONAL_ACTIVO_2025[[#All],[NOMBRES Y APELLIDOS]],PERSONAL_ACTIVO_2025[[#All],[DOCUMENTO]],"",0)</f>
        <v>#NAME?</v>
      </c>
      <c r="O126" s="114" t="s">
        <v>943</v>
      </c>
      <c r="P126" s="115" t="e" cm="1">
        <f t="array" aca="1" ref="P126" ca="1">_xlfn.XLOOKUP(Contrato[[#This Row],[SUPERVISOR SUPLENTE ]],PERSONAL_ACTIVO_2025[[#All],[NOMBRES Y APELLIDOS]],PERSONAL_ACTIVO_2025[[#All],[DOCUMENTO]],"",0)</f>
        <v>#NAME?</v>
      </c>
      <c r="Q126" s="116">
        <v>148</v>
      </c>
      <c r="R126" s="137" t="e" cm="1">
        <f t="array" aca="1" ref="R126" ca="1">_xlfn.XLOOKUP(Contrato[[#This Row],[CDP]],DISPONIBILIDADES_2025[[#All],[consecutivo]],DISPONIBILIDADES_2025[[#All],[fecha_aprobacion]],"",0)</f>
        <v>#NAME?</v>
      </c>
      <c r="S126" s="92">
        <f>SUMIF(DISPONIBILIDADES_2025[[#All],[consecutivo]],Contrato[[#This Row],[CDP]],DISPONIBILIDADES_2025[[#All],[valor_total_rubro]])</f>
        <v>40747479</v>
      </c>
      <c r="T126" s="118" t="e" cm="1">
        <f t="array" aca="1" ref="T126" ca="1">_xlfn.XLOOKUP(Contrato[[#This Row],[CONTRATO]]&amp;Contrato[[#This Row],[CDP]],Corr_Contr_CDP[[#All],[CONTRATO-CDP]],Corr_Contr_CDP[[#All],[CRP]],_xlfn.XLOOKUP(Contrato[[#This Row],[CDP]],COMPROMISOS_2025[[#All],[disponibilidad]],COMPROMISOS_2025[[#All],[consecutivo]],"",0),0)</f>
        <v>#NAME?</v>
      </c>
      <c r="U126" s="117" t="e" cm="1">
        <f t="array" aca="1" ref="U126" ca="1">+_xlfn.XLOOKUP(Contrato[[#This Row],[RCP]],COMPROMISOS_2025[[#All],[consecutivo]],COMPROMISOS_2025[[#All],[fecha_aprobacion]],"",0)</f>
        <v>#NAME?</v>
      </c>
      <c r="V126" s="93">
        <f ca="1">SUMIF(COMPROMISOS_2025[[#All],[consecutivo]],Contrato[[#This Row],[RCP]],COMPROMISOS_2025[[#All],[valor_total]])</f>
        <v>0</v>
      </c>
      <c r="W126" s="169">
        <v>45707</v>
      </c>
      <c r="X126" s="243" t="s">
        <v>901</v>
      </c>
      <c r="Y126" s="96">
        <v>45709</v>
      </c>
      <c r="Z126" s="161">
        <v>46005</v>
      </c>
      <c r="AA126" s="311" t="s">
        <v>1130</v>
      </c>
      <c r="AB126" s="119" t="s">
        <v>1127</v>
      </c>
      <c r="AC126" s="298"/>
      <c r="AD126" s="279">
        <v>202000006239</v>
      </c>
      <c r="AE126" s="38" t="s">
        <v>904</v>
      </c>
      <c r="AF126" s="120" t="str">
        <f>TEXT(LEFT(Contrato[[#This Row],[CONTRATO]],3),"0")</f>
        <v>120</v>
      </c>
      <c r="AG126" s="120" t="str">
        <f>IF(LEN(Contrato[[#This Row],[Contrato2]])=3,Contrato[[#This Row],[Contrato2]],TEXT(Contrato[[#This Row],[Contrato2]],"000"))</f>
        <v>120</v>
      </c>
      <c r="AH126" s="90">
        <f ca="1">IFERROR(_xlfn.DAYS(Contrato[[#This Row],[Fecha Proyectada liquidación]],TODAY())/30,"")</f>
        <v>11.4</v>
      </c>
      <c r="AI126" s="121">
        <f>+Contrato[[#This Row],[FECHA TERMINACIÓN ]]+120</f>
        <v>46125</v>
      </c>
      <c r="AJ126" s="89"/>
      <c r="AK126" s="91" t="str">
        <f ca="1">IF(Contrato[[#This Row],[FECHA TERMINACIÓN ]]&lt;TODAY(), "Terminado",IF(ISNUMBER(Contrato[[#This Row],[Fecha Real de liquiidación ]]),"Liquidado",IF(Contrato[[#This Row],[FECHA TERMINACIÓN ]]&gt;=TODAY(),"En ejecución","")))</f>
        <v>En ejecución</v>
      </c>
      <c r="AL126" s="107">
        <f ca="1">SUMIF(COMPROMISOS_2025[[#All],[consecutivo]],Contrato[[#This Row],[RCP]],COMPROMISOS_2025[[#All],[Total pagado]])</f>
        <v>0</v>
      </c>
      <c r="AM126" s="122">
        <f ca="1">IFERROR(Contrato[[#This Row],[Pagos]]/Contrato[[#This Row],[VALOR CONTRATO]],0)</f>
        <v>0</v>
      </c>
      <c r="AN126" s="160">
        <f ca="1">+Contrato[[#This Row],[VALOR CONTRATO]]-Contrato[[#This Row],[Pagos]]</f>
        <v>40747479</v>
      </c>
      <c r="AO126" s="111" t="e" cm="1">
        <f t="array" aca="1" ref="AO126" ca="1">_xlfn.XLOOKUP(Contrato[[#This Row],[DOCUMENTO ]],PERSONAL_ACTIVO_2025[[#All],[DOCUMENTO]],PERSONAL_ACTIVO_2025[[#All],[email]],0,0)</f>
        <v>#NAME?</v>
      </c>
      <c r="AP126" s="111" t="e" cm="1">
        <f t="array" aca="1" ref="AP126" ca="1">_xlfn.XLOOKUP(Contrato[[#This Row],[DOCUMENTO]],PERSONAL_ACTIVO_2025[[#All],[DOCUMENTO]],PERSONAL_ACTIVO_2025[[#All],[email]],0,0)</f>
        <v>#NAME?</v>
      </c>
      <c r="AQ126" s="111" cm="1">
        <f t="array" aca="1" ref="AQ126" ca="1">IF(ISBLANK(Contrato[[#This Row],[DEPENDENCIA ]]),0,IFERROR(_xlfn.XLOOKUP(Contrato[[#This Row],[DEPENDENCIA ]],#REF!,#REF!,0,0),0))</f>
        <v>0</v>
      </c>
      <c r="AR126" s="553">
        <f ca="1">+_xlfn.DAYS(Contrato[[#This Row],[FECHA TERMINACIÓN ]],TODAY())</f>
        <v>222</v>
      </c>
    </row>
    <row r="127" spans="1:44" s="111" customFormat="1" ht="36" customHeight="1" x14ac:dyDescent="0.25">
      <c r="A127" s="38">
        <v>315</v>
      </c>
      <c r="B127" s="226">
        <v>121</v>
      </c>
      <c r="C127" s="88" t="s">
        <v>513</v>
      </c>
      <c r="D127" s="192" t="s">
        <v>911</v>
      </c>
      <c r="E127" s="193" t="s">
        <v>112</v>
      </c>
      <c r="F127" s="194" t="s">
        <v>113</v>
      </c>
      <c r="G127" s="195" t="s">
        <v>1181</v>
      </c>
      <c r="H127" s="167">
        <v>1128420951</v>
      </c>
      <c r="I127" s="292">
        <v>5164201</v>
      </c>
      <c r="J127" s="290">
        <v>50609170</v>
      </c>
      <c r="K127" s="158" t="s">
        <v>41</v>
      </c>
      <c r="L127" s="196" t="s">
        <v>1087</v>
      </c>
      <c r="M127" s="114" t="s">
        <v>939</v>
      </c>
      <c r="N127" s="113" t="e" cm="1">
        <f t="array" aca="1" ref="N127" ca="1">_xlfn.XLOOKUP(Contrato[[#This Row],[SUPERVISOR TITULAR]],PERSONAL_ACTIVO_2025[[#All],[NOMBRES Y APELLIDOS]],PERSONAL_ACTIVO_2025[[#All],[DOCUMENTO]],"",0)</f>
        <v>#NAME?</v>
      </c>
      <c r="O127" s="114" t="s">
        <v>943</v>
      </c>
      <c r="P127" s="115" t="e" cm="1">
        <f t="array" aca="1" ref="P127" ca="1">_xlfn.XLOOKUP(Contrato[[#This Row],[SUPERVISOR SUPLENTE ]],PERSONAL_ACTIVO_2025[[#All],[NOMBRES Y APELLIDOS]],PERSONAL_ACTIVO_2025[[#All],[DOCUMENTO]],"",0)</f>
        <v>#NAME?</v>
      </c>
      <c r="Q127" s="116">
        <v>149</v>
      </c>
      <c r="R127" s="137" t="e" cm="1">
        <f t="array" aca="1" ref="R127" ca="1">_xlfn.XLOOKUP(Contrato[[#This Row],[CDP]],DISPONIBILIDADES_2025[[#All],[consecutivo]],DISPONIBILIDADES_2025[[#All],[fecha_aprobacion]],"",0)</f>
        <v>#NAME?</v>
      </c>
      <c r="S127" s="92">
        <f>SUMIF(DISPONIBILIDADES_2025[[#All],[consecutivo]],Contrato[[#This Row],[CDP]],DISPONIBILIDADES_2025[[#All],[valor_total_rubro]])</f>
        <v>50609170</v>
      </c>
      <c r="T127" s="118" t="e" cm="1">
        <f t="array" aca="1" ref="T127" ca="1">_xlfn.XLOOKUP(Contrato[[#This Row],[CONTRATO]]&amp;Contrato[[#This Row],[CDP]],Corr_Contr_CDP[[#All],[CONTRATO-CDP]],Corr_Contr_CDP[[#All],[CRP]],_xlfn.XLOOKUP(Contrato[[#This Row],[CDP]],COMPROMISOS_2025[[#All],[disponibilidad]],COMPROMISOS_2025[[#All],[consecutivo]],"",0),0)</f>
        <v>#NAME?</v>
      </c>
      <c r="U127" s="117" t="e" cm="1">
        <f t="array" aca="1" ref="U127" ca="1">+_xlfn.XLOOKUP(Contrato[[#This Row],[RCP]],COMPROMISOS_2025[[#All],[consecutivo]],COMPROMISOS_2025[[#All],[fecha_aprobacion]],"",0)</f>
        <v>#NAME?</v>
      </c>
      <c r="V127" s="93">
        <f ca="1">SUMIF(COMPROMISOS_2025[[#All],[consecutivo]],Contrato[[#This Row],[RCP]],COMPROMISOS_2025[[#All],[valor_total]])</f>
        <v>0</v>
      </c>
      <c r="W127" s="169">
        <v>45707</v>
      </c>
      <c r="X127" s="243" t="s">
        <v>901</v>
      </c>
      <c r="Y127" s="96">
        <v>45714</v>
      </c>
      <c r="Z127" s="161">
        <v>46005</v>
      </c>
      <c r="AA127" s="311" t="s">
        <v>1143</v>
      </c>
      <c r="AB127" s="119" t="s">
        <v>1127</v>
      </c>
      <c r="AC127" s="298"/>
      <c r="AD127" s="279">
        <v>202000006240</v>
      </c>
      <c r="AE127" s="38" t="s">
        <v>904</v>
      </c>
      <c r="AF127" s="120" t="str">
        <f>TEXT(LEFT(Contrato[[#This Row],[CONTRATO]],3),"0")</f>
        <v>121</v>
      </c>
      <c r="AG127" s="120" t="str">
        <f>IF(LEN(Contrato[[#This Row],[Contrato2]])=3,Contrato[[#This Row],[Contrato2]],TEXT(Contrato[[#This Row],[Contrato2]],"000"))</f>
        <v>121</v>
      </c>
      <c r="AH127" s="90">
        <f ca="1">IFERROR(_xlfn.DAYS(Contrato[[#This Row],[Fecha Proyectada liquidación]],TODAY())/30,"")</f>
        <v>11.4</v>
      </c>
      <c r="AI127" s="121">
        <f>+Contrato[[#This Row],[FECHA TERMINACIÓN ]]+120</f>
        <v>46125</v>
      </c>
      <c r="AJ127" s="89"/>
      <c r="AK127" s="91" t="str">
        <f ca="1">IF(Contrato[[#This Row],[FECHA TERMINACIÓN ]]&lt;TODAY(), "Terminado",IF(ISNUMBER(Contrato[[#This Row],[Fecha Real de liquiidación ]]),"Liquidado",IF(Contrato[[#This Row],[FECHA TERMINACIÓN ]]&gt;=TODAY(),"En ejecución","")))</f>
        <v>En ejecución</v>
      </c>
      <c r="AL127" s="107">
        <f ca="1">SUMIF(COMPROMISOS_2025[[#All],[consecutivo]],Contrato[[#This Row],[RCP]],COMPROMISOS_2025[[#All],[Total pagado]])</f>
        <v>0</v>
      </c>
      <c r="AM127" s="122">
        <f ca="1">IFERROR(Contrato[[#This Row],[Pagos]]/Contrato[[#This Row],[VALOR CONTRATO]],0)</f>
        <v>0</v>
      </c>
      <c r="AN127" s="160">
        <f ca="1">+Contrato[[#This Row],[VALOR CONTRATO]]-Contrato[[#This Row],[Pagos]]</f>
        <v>50609170</v>
      </c>
      <c r="AO127" s="111" t="e" cm="1">
        <f t="array" aca="1" ref="AO127" ca="1">_xlfn.XLOOKUP(Contrato[[#This Row],[DOCUMENTO ]],PERSONAL_ACTIVO_2025[[#All],[DOCUMENTO]],PERSONAL_ACTIVO_2025[[#All],[email]],0,0)</f>
        <v>#NAME?</v>
      </c>
      <c r="AP127" s="111" t="e" cm="1">
        <f t="array" aca="1" ref="AP127" ca="1">_xlfn.XLOOKUP(Contrato[[#This Row],[DOCUMENTO]],PERSONAL_ACTIVO_2025[[#All],[DOCUMENTO]],PERSONAL_ACTIVO_2025[[#All],[email]],0,0)</f>
        <v>#NAME?</v>
      </c>
      <c r="AQ127" s="111" cm="1">
        <f t="array" aca="1" ref="AQ127" ca="1">IF(ISBLANK(Contrato[[#This Row],[DEPENDENCIA ]]),0,IFERROR(_xlfn.XLOOKUP(Contrato[[#This Row],[DEPENDENCIA ]],#REF!,#REF!,0,0),0))</f>
        <v>0</v>
      </c>
      <c r="AR127" s="553">
        <f ca="1">+_xlfn.DAYS(Contrato[[#This Row],[FECHA TERMINACIÓN ]],TODAY())</f>
        <v>222</v>
      </c>
    </row>
    <row r="128" spans="1:44" s="111" customFormat="1" ht="36" customHeight="1" x14ac:dyDescent="0.25">
      <c r="A128" s="38">
        <v>316</v>
      </c>
      <c r="B128" s="226">
        <v>122</v>
      </c>
      <c r="C128" s="88" t="s">
        <v>514</v>
      </c>
      <c r="D128" s="192" t="s">
        <v>911</v>
      </c>
      <c r="E128" s="193" t="s">
        <v>112</v>
      </c>
      <c r="F128" s="194" t="s">
        <v>113</v>
      </c>
      <c r="G128" s="195" t="s">
        <v>1182</v>
      </c>
      <c r="H128" s="167">
        <v>72144343</v>
      </c>
      <c r="I128" s="292">
        <v>4157906</v>
      </c>
      <c r="J128" s="290">
        <v>40747479</v>
      </c>
      <c r="K128" s="158" t="s">
        <v>41</v>
      </c>
      <c r="L128" s="196" t="s">
        <v>1087</v>
      </c>
      <c r="M128" s="114" t="s">
        <v>939</v>
      </c>
      <c r="N128" s="113" t="e" cm="1">
        <f t="array" aca="1" ref="N128" ca="1">_xlfn.XLOOKUP(Contrato[[#This Row],[SUPERVISOR TITULAR]],PERSONAL_ACTIVO_2025[[#All],[NOMBRES Y APELLIDOS]],PERSONAL_ACTIVO_2025[[#All],[DOCUMENTO]],"",0)</f>
        <v>#NAME?</v>
      </c>
      <c r="O128" s="114" t="s">
        <v>943</v>
      </c>
      <c r="P128" s="115" t="e" cm="1">
        <f t="array" aca="1" ref="P128" ca="1">_xlfn.XLOOKUP(Contrato[[#This Row],[SUPERVISOR SUPLENTE ]],PERSONAL_ACTIVO_2025[[#All],[NOMBRES Y APELLIDOS]],PERSONAL_ACTIVO_2025[[#All],[DOCUMENTO]],"",0)</f>
        <v>#NAME?</v>
      </c>
      <c r="Q128" s="116">
        <v>150</v>
      </c>
      <c r="R128" s="137" t="e" cm="1">
        <f t="array" aca="1" ref="R128" ca="1">_xlfn.XLOOKUP(Contrato[[#This Row],[CDP]],DISPONIBILIDADES_2025[[#All],[consecutivo]],DISPONIBILIDADES_2025[[#All],[fecha_aprobacion]],"",0)</f>
        <v>#NAME?</v>
      </c>
      <c r="S128" s="92">
        <f>SUMIF(DISPONIBILIDADES_2025[[#All],[consecutivo]],Contrato[[#This Row],[CDP]],DISPONIBILIDADES_2025[[#All],[valor_total_rubro]])</f>
        <v>40747479</v>
      </c>
      <c r="T128" s="118" t="e" cm="1">
        <f t="array" aca="1" ref="T128" ca="1">_xlfn.XLOOKUP(Contrato[[#This Row],[CONTRATO]]&amp;Contrato[[#This Row],[CDP]],Corr_Contr_CDP[[#All],[CONTRATO-CDP]],Corr_Contr_CDP[[#All],[CRP]],_xlfn.XLOOKUP(Contrato[[#This Row],[CDP]],COMPROMISOS_2025[[#All],[disponibilidad]],COMPROMISOS_2025[[#All],[consecutivo]],"",0),0)</f>
        <v>#NAME?</v>
      </c>
      <c r="U128" s="117" t="e" cm="1">
        <f t="array" aca="1" ref="U128" ca="1">+_xlfn.XLOOKUP(Contrato[[#This Row],[RCP]],COMPROMISOS_2025[[#All],[consecutivo]],COMPROMISOS_2025[[#All],[fecha_aprobacion]],"",0)</f>
        <v>#NAME?</v>
      </c>
      <c r="V128" s="93">
        <f ca="1">SUMIF(COMPROMISOS_2025[[#All],[consecutivo]],Contrato[[#This Row],[RCP]],COMPROMISOS_2025[[#All],[valor_total]])</f>
        <v>0</v>
      </c>
      <c r="W128" s="169">
        <v>45708</v>
      </c>
      <c r="X128" s="243" t="s">
        <v>901</v>
      </c>
      <c r="Y128" s="96">
        <v>45710</v>
      </c>
      <c r="Z128" s="161">
        <v>46005</v>
      </c>
      <c r="AA128" s="311" t="s">
        <v>1130</v>
      </c>
      <c r="AB128" s="119" t="s">
        <v>1127</v>
      </c>
      <c r="AC128" s="298"/>
      <c r="AD128" s="279">
        <v>202000006241</v>
      </c>
      <c r="AE128" s="38" t="s">
        <v>904</v>
      </c>
      <c r="AF128" s="120" t="str">
        <f>TEXT(LEFT(Contrato[[#This Row],[CONTRATO]],3),"0")</f>
        <v>122</v>
      </c>
      <c r="AG128" s="120" t="str">
        <f>IF(LEN(Contrato[[#This Row],[Contrato2]])=3,Contrato[[#This Row],[Contrato2]],TEXT(Contrato[[#This Row],[Contrato2]],"000"))</f>
        <v>122</v>
      </c>
      <c r="AH128" s="90">
        <f ca="1">IFERROR(_xlfn.DAYS(Contrato[[#This Row],[Fecha Proyectada liquidación]],TODAY())/30,"")</f>
        <v>11.4</v>
      </c>
      <c r="AI128" s="121">
        <f>+Contrato[[#This Row],[FECHA TERMINACIÓN ]]+120</f>
        <v>46125</v>
      </c>
      <c r="AJ128" s="89"/>
      <c r="AK128" s="91" t="str">
        <f ca="1">IF(Contrato[[#This Row],[FECHA TERMINACIÓN ]]&lt;TODAY(), "Terminado",IF(ISNUMBER(Contrato[[#This Row],[Fecha Real de liquiidación ]]),"Liquidado",IF(Contrato[[#This Row],[FECHA TERMINACIÓN ]]&gt;=TODAY(),"En ejecución","")))</f>
        <v>En ejecución</v>
      </c>
      <c r="AL128" s="107">
        <f ca="1">SUMIF(COMPROMISOS_2025[[#All],[consecutivo]],Contrato[[#This Row],[RCP]],COMPROMISOS_2025[[#All],[Total pagado]])</f>
        <v>0</v>
      </c>
      <c r="AM128" s="122">
        <f ca="1">IFERROR(Contrato[[#This Row],[Pagos]]/Contrato[[#This Row],[VALOR CONTRATO]],0)</f>
        <v>0</v>
      </c>
      <c r="AN128" s="160">
        <f ca="1">+Contrato[[#This Row],[VALOR CONTRATO]]-Contrato[[#This Row],[Pagos]]</f>
        <v>40747479</v>
      </c>
      <c r="AO128" s="111" t="e" cm="1">
        <f t="array" aca="1" ref="AO128" ca="1">_xlfn.XLOOKUP(Contrato[[#This Row],[DOCUMENTO ]],PERSONAL_ACTIVO_2025[[#All],[DOCUMENTO]],PERSONAL_ACTIVO_2025[[#All],[email]],0,0)</f>
        <v>#NAME?</v>
      </c>
      <c r="AP128" s="111" t="e" cm="1">
        <f t="array" aca="1" ref="AP128" ca="1">_xlfn.XLOOKUP(Contrato[[#This Row],[DOCUMENTO]],PERSONAL_ACTIVO_2025[[#All],[DOCUMENTO]],PERSONAL_ACTIVO_2025[[#All],[email]],0,0)</f>
        <v>#NAME?</v>
      </c>
      <c r="AQ128" s="111" cm="1">
        <f t="array" aca="1" ref="AQ128" ca="1">IF(ISBLANK(Contrato[[#This Row],[DEPENDENCIA ]]),0,IFERROR(_xlfn.XLOOKUP(Contrato[[#This Row],[DEPENDENCIA ]],#REF!,#REF!,0,0),0))</f>
        <v>0</v>
      </c>
      <c r="AR128" s="553">
        <f ca="1">+_xlfn.DAYS(Contrato[[#This Row],[FECHA TERMINACIÓN ]],TODAY())</f>
        <v>222</v>
      </c>
    </row>
    <row r="129" spans="1:44" s="111" customFormat="1" ht="36" customHeight="1" x14ac:dyDescent="0.25">
      <c r="A129" s="38">
        <v>317</v>
      </c>
      <c r="B129" s="226">
        <v>123</v>
      </c>
      <c r="C129" s="88" t="s">
        <v>515</v>
      </c>
      <c r="D129" s="192" t="s">
        <v>911</v>
      </c>
      <c r="E129" s="193" t="s">
        <v>112</v>
      </c>
      <c r="F129" s="194" t="s">
        <v>113</v>
      </c>
      <c r="G129" s="195" t="s">
        <v>1183</v>
      </c>
      <c r="H129" s="167">
        <v>71718769</v>
      </c>
      <c r="I129" s="292">
        <v>4157906</v>
      </c>
      <c r="J129" s="290">
        <v>40747479</v>
      </c>
      <c r="K129" s="158" t="s">
        <v>41</v>
      </c>
      <c r="L129" s="196" t="s">
        <v>1087</v>
      </c>
      <c r="M129" s="114" t="s">
        <v>939</v>
      </c>
      <c r="N129" s="113" t="e" cm="1">
        <f t="array" aca="1" ref="N129" ca="1">_xlfn.XLOOKUP(Contrato[[#This Row],[SUPERVISOR TITULAR]],PERSONAL_ACTIVO_2025[[#All],[NOMBRES Y APELLIDOS]],PERSONAL_ACTIVO_2025[[#All],[DOCUMENTO]],"",0)</f>
        <v>#NAME?</v>
      </c>
      <c r="O129" s="114" t="s">
        <v>943</v>
      </c>
      <c r="P129" s="115" t="e" cm="1">
        <f t="array" aca="1" ref="P129" ca="1">_xlfn.XLOOKUP(Contrato[[#This Row],[SUPERVISOR SUPLENTE ]],PERSONAL_ACTIVO_2025[[#All],[NOMBRES Y APELLIDOS]],PERSONAL_ACTIVO_2025[[#All],[DOCUMENTO]],"",0)</f>
        <v>#NAME?</v>
      </c>
      <c r="Q129" s="116">
        <v>151</v>
      </c>
      <c r="R129" s="137" t="e" cm="1">
        <f t="array" aca="1" ref="R129" ca="1">_xlfn.XLOOKUP(Contrato[[#This Row],[CDP]],DISPONIBILIDADES_2025[[#All],[consecutivo]],DISPONIBILIDADES_2025[[#All],[fecha_aprobacion]],"",0)</f>
        <v>#NAME?</v>
      </c>
      <c r="S129" s="92">
        <f>SUMIF(DISPONIBILIDADES_2025[[#All],[consecutivo]],Contrato[[#This Row],[CDP]],DISPONIBILIDADES_2025[[#All],[valor_total_rubro]])</f>
        <v>40747479</v>
      </c>
      <c r="T129" s="118" t="e" cm="1">
        <f t="array" aca="1" ref="T129" ca="1">_xlfn.XLOOKUP(Contrato[[#This Row],[CONTRATO]]&amp;Contrato[[#This Row],[CDP]],Corr_Contr_CDP[[#All],[CONTRATO-CDP]],Corr_Contr_CDP[[#All],[CRP]],_xlfn.XLOOKUP(Contrato[[#This Row],[CDP]],COMPROMISOS_2025[[#All],[disponibilidad]],COMPROMISOS_2025[[#All],[consecutivo]],"",0),0)</f>
        <v>#NAME?</v>
      </c>
      <c r="U129" s="117" t="e" cm="1">
        <f t="array" aca="1" ref="U129" ca="1">+_xlfn.XLOOKUP(Contrato[[#This Row],[RCP]],COMPROMISOS_2025[[#All],[consecutivo]],COMPROMISOS_2025[[#All],[fecha_aprobacion]],"",0)</f>
        <v>#NAME?</v>
      </c>
      <c r="V129" s="93">
        <f ca="1">SUMIF(COMPROMISOS_2025[[#All],[consecutivo]],Contrato[[#This Row],[RCP]],COMPROMISOS_2025[[#All],[valor_total]])</f>
        <v>0</v>
      </c>
      <c r="W129" s="169">
        <v>45708</v>
      </c>
      <c r="X129" s="243" t="s">
        <v>901</v>
      </c>
      <c r="Y129" s="96">
        <v>45709</v>
      </c>
      <c r="Z129" s="161">
        <v>46005</v>
      </c>
      <c r="AA129" s="311" t="s">
        <v>1130</v>
      </c>
      <c r="AB129" s="119" t="s">
        <v>1127</v>
      </c>
      <c r="AC129" s="298"/>
      <c r="AD129" s="279">
        <v>202000006242</v>
      </c>
      <c r="AE129" s="38" t="s">
        <v>904</v>
      </c>
      <c r="AF129" s="120" t="str">
        <f>TEXT(LEFT(Contrato[[#This Row],[CONTRATO]],3),"0")</f>
        <v>123</v>
      </c>
      <c r="AG129" s="120" t="str">
        <f>IF(LEN(Contrato[[#This Row],[Contrato2]])=3,Contrato[[#This Row],[Contrato2]],TEXT(Contrato[[#This Row],[Contrato2]],"000"))</f>
        <v>123</v>
      </c>
      <c r="AH129" s="90">
        <f ca="1">IFERROR(_xlfn.DAYS(Contrato[[#This Row],[Fecha Proyectada liquidación]],TODAY())/30,"")</f>
        <v>11.4</v>
      </c>
      <c r="AI129" s="121">
        <f>+Contrato[[#This Row],[FECHA TERMINACIÓN ]]+120</f>
        <v>46125</v>
      </c>
      <c r="AJ129" s="89"/>
      <c r="AK129" s="91" t="str">
        <f ca="1">IF(Contrato[[#This Row],[FECHA TERMINACIÓN ]]&lt;TODAY(), "Terminado",IF(ISNUMBER(Contrato[[#This Row],[Fecha Real de liquiidación ]]),"Liquidado",IF(Contrato[[#This Row],[FECHA TERMINACIÓN ]]&gt;=TODAY(),"En ejecución","")))</f>
        <v>En ejecución</v>
      </c>
      <c r="AL129" s="107">
        <f ca="1">SUMIF(COMPROMISOS_2025[[#All],[consecutivo]],Contrato[[#This Row],[RCP]],COMPROMISOS_2025[[#All],[Total pagado]])</f>
        <v>0</v>
      </c>
      <c r="AM129" s="122">
        <f ca="1">IFERROR(Contrato[[#This Row],[Pagos]]/Contrato[[#This Row],[VALOR CONTRATO]],0)</f>
        <v>0</v>
      </c>
      <c r="AN129" s="160">
        <f ca="1">+Contrato[[#This Row],[VALOR CONTRATO]]-Contrato[[#This Row],[Pagos]]</f>
        <v>40747479</v>
      </c>
      <c r="AO129" s="111" t="e" cm="1">
        <f t="array" aca="1" ref="AO129" ca="1">_xlfn.XLOOKUP(Contrato[[#This Row],[DOCUMENTO ]],PERSONAL_ACTIVO_2025[[#All],[DOCUMENTO]],PERSONAL_ACTIVO_2025[[#All],[email]],0,0)</f>
        <v>#NAME?</v>
      </c>
      <c r="AP129" s="111" t="e" cm="1">
        <f t="array" aca="1" ref="AP129" ca="1">_xlfn.XLOOKUP(Contrato[[#This Row],[DOCUMENTO]],PERSONAL_ACTIVO_2025[[#All],[DOCUMENTO]],PERSONAL_ACTIVO_2025[[#All],[email]],0,0)</f>
        <v>#NAME?</v>
      </c>
      <c r="AQ129" s="111" cm="1">
        <f t="array" aca="1" ref="AQ129" ca="1">IF(ISBLANK(Contrato[[#This Row],[DEPENDENCIA ]]),0,IFERROR(_xlfn.XLOOKUP(Contrato[[#This Row],[DEPENDENCIA ]],#REF!,#REF!,0,0),0))</f>
        <v>0</v>
      </c>
      <c r="AR129" s="553">
        <f ca="1">+_xlfn.DAYS(Contrato[[#This Row],[FECHA TERMINACIÓN ]],TODAY())</f>
        <v>222</v>
      </c>
    </row>
    <row r="130" spans="1:44" s="111" customFormat="1" ht="36" customHeight="1" x14ac:dyDescent="0.25">
      <c r="A130" s="38">
        <v>318</v>
      </c>
      <c r="B130" s="226">
        <v>124</v>
      </c>
      <c r="C130" s="88" t="s">
        <v>516</v>
      </c>
      <c r="D130" s="192" t="s">
        <v>911</v>
      </c>
      <c r="E130" s="193" t="s">
        <v>112</v>
      </c>
      <c r="F130" s="194" t="s">
        <v>113</v>
      </c>
      <c r="G130" s="195" t="s">
        <v>1184</v>
      </c>
      <c r="H130" s="167">
        <v>78688947</v>
      </c>
      <c r="I130" s="292">
        <v>2708734</v>
      </c>
      <c r="J130" s="290">
        <v>26545593</v>
      </c>
      <c r="K130" s="158" t="s">
        <v>41</v>
      </c>
      <c r="L130" s="196" t="s">
        <v>1087</v>
      </c>
      <c r="M130" s="114" t="s">
        <v>939</v>
      </c>
      <c r="N130" s="113" t="e" cm="1">
        <f t="array" aca="1" ref="N130" ca="1">_xlfn.XLOOKUP(Contrato[[#This Row],[SUPERVISOR TITULAR]],PERSONAL_ACTIVO_2025[[#All],[NOMBRES Y APELLIDOS]],PERSONAL_ACTIVO_2025[[#All],[DOCUMENTO]],"",0)</f>
        <v>#NAME?</v>
      </c>
      <c r="O130" s="114" t="s">
        <v>943</v>
      </c>
      <c r="P130" s="115" t="e" cm="1">
        <f t="array" aca="1" ref="P130" ca="1">_xlfn.XLOOKUP(Contrato[[#This Row],[SUPERVISOR SUPLENTE ]],PERSONAL_ACTIVO_2025[[#All],[NOMBRES Y APELLIDOS]],PERSONAL_ACTIVO_2025[[#All],[DOCUMENTO]],"",0)</f>
        <v>#NAME?</v>
      </c>
      <c r="Q130" s="116">
        <v>152</v>
      </c>
      <c r="R130" s="137" t="e" cm="1">
        <f t="array" aca="1" ref="R130" ca="1">_xlfn.XLOOKUP(Contrato[[#This Row],[CDP]],DISPONIBILIDADES_2025[[#All],[consecutivo]],DISPONIBILIDADES_2025[[#All],[fecha_aprobacion]],"",0)</f>
        <v>#NAME?</v>
      </c>
      <c r="S130" s="92">
        <f>SUMIF(DISPONIBILIDADES_2025[[#All],[consecutivo]],Contrato[[#This Row],[CDP]],DISPONIBILIDADES_2025[[#All],[valor_total_rubro]])</f>
        <v>26545593</v>
      </c>
      <c r="T130" s="118" t="e" cm="1">
        <f t="array" aca="1" ref="T130" ca="1">_xlfn.XLOOKUP(Contrato[[#This Row],[CONTRATO]]&amp;Contrato[[#This Row],[CDP]],Corr_Contr_CDP[[#All],[CONTRATO-CDP]],Corr_Contr_CDP[[#All],[CRP]],_xlfn.XLOOKUP(Contrato[[#This Row],[CDP]],COMPROMISOS_2025[[#All],[disponibilidad]],COMPROMISOS_2025[[#All],[consecutivo]],"",0),0)</f>
        <v>#NAME?</v>
      </c>
      <c r="U130" s="117" t="e" cm="1">
        <f t="array" aca="1" ref="U130" ca="1">+_xlfn.XLOOKUP(Contrato[[#This Row],[RCP]],COMPROMISOS_2025[[#All],[consecutivo]],COMPROMISOS_2025[[#All],[fecha_aprobacion]],"",0)</f>
        <v>#NAME?</v>
      </c>
      <c r="V130" s="93">
        <f ca="1">SUMIF(COMPROMISOS_2025[[#All],[consecutivo]],Contrato[[#This Row],[RCP]],COMPROMISOS_2025[[#All],[valor_total]])</f>
        <v>0</v>
      </c>
      <c r="W130" s="169">
        <v>45708</v>
      </c>
      <c r="X130" s="243" t="s">
        <v>901</v>
      </c>
      <c r="Y130" s="96">
        <v>45709</v>
      </c>
      <c r="Z130" s="161">
        <v>46005</v>
      </c>
      <c r="AA130" s="311" t="s">
        <v>1143</v>
      </c>
      <c r="AB130" s="119" t="s">
        <v>1127</v>
      </c>
      <c r="AC130" s="298"/>
      <c r="AD130" s="279">
        <v>202000006243</v>
      </c>
      <c r="AE130" s="38" t="s">
        <v>904</v>
      </c>
      <c r="AF130" s="120" t="str">
        <f>TEXT(LEFT(Contrato[[#This Row],[CONTRATO]],3),"0")</f>
        <v>124</v>
      </c>
      <c r="AG130" s="120" t="str">
        <f>IF(LEN(Contrato[[#This Row],[Contrato2]])=3,Contrato[[#This Row],[Contrato2]],TEXT(Contrato[[#This Row],[Contrato2]],"000"))</f>
        <v>124</v>
      </c>
      <c r="AH130" s="90">
        <f ca="1">IFERROR(_xlfn.DAYS(Contrato[[#This Row],[Fecha Proyectada liquidación]],TODAY())/30,"")</f>
        <v>11.4</v>
      </c>
      <c r="AI130" s="121">
        <f>+Contrato[[#This Row],[FECHA TERMINACIÓN ]]+120</f>
        <v>46125</v>
      </c>
      <c r="AJ130" s="89"/>
      <c r="AK130" s="91" t="str">
        <f ca="1">IF(Contrato[[#This Row],[FECHA TERMINACIÓN ]]&lt;TODAY(), "Terminado",IF(ISNUMBER(Contrato[[#This Row],[Fecha Real de liquiidación ]]),"Liquidado",IF(Contrato[[#This Row],[FECHA TERMINACIÓN ]]&gt;=TODAY(),"En ejecución","")))</f>
        <v>En ejecución</v>
      </c>
      <c r="AL130" s="107">
        <f ca="1">SUMIF(COMPROMISOS_2025[[#All],[consecutivo]],Contrato[[#This Row],[RCP]],COMPROMISOS_2025[[#All],[Total pagado]])</f>
        <v>0</v>
      </c>
      <c r="AM130" s="122">
        <f ca="1">IFERROR(Contrato[[#This Row],[Pagos]]/Contrato[[#This Row],[VALOR CONTRATO]],0)</f>
        <v>0</v>
      </c>
      <c r="AN130" s="160">
        <f ca="1">+Contrato[[#This Row],[VALOR CONTRATO]]-Contrato[[#This Row],[Pagos]]</f>
        <v>26545593</v>
      </c>
      <c r="AO130" s="111" t="e" cm="1">
        <f t="array" aca="1" ref="AO130" ca="1">_xlfn.XLOOKUP(Contrato[[#This Row],[DOCUMENTO ]],PERSONAL_ACTIVO_2025[[#All],[DOCUMENTO]],PERSONAL_ACTIVO_2025[[#All],[email]],0,0)</f>
        <v>#NAME?</v>
      </c>
      <c r="AP130" s="111" t="e" cm="1">
        <f t="array" aca="1" ref="AP130" ca="1">_xlfn.XLOOKUP(Contrato[[#This Row],[DOCUMENTO]],PERSONAL_ACTIVO_2025[[#All],[DOCUMENTO]],PERSONAL_ACTIVO_2025[[#All],[email]],0,0)</f>
        <v>#NAME?</v>
      </c>
      <c r="AQ130" s="111" cm="1">
        <f t="array" aca="1" ref="AQ130" ca="1">IF(ISBLANK(Contrato[[#This Row],[DEPENDENCIA ]]),0,IFERROR(_xlfn.XLOOKUP(Contrato[[#This Row],[DEPENDENCIA ]],#REF!,#REF!,0,0),0))</f>
        <v>0</v>
      </c>
      <c r="AR130" s="553">
        <f ca="1">+_xlfn.DAYS(Contrato[[#This Row],[FECHA TERMINACIÓN ]],TODAY())</f>
        <v>222</v>
      </c>
    </row>
    <row r="131" spans="1:44" s="111" customFormat="1" ht="36" customHeight="1" x14ac:dyDescent="0.25">
      <c r="A131" s="38">
        <v>319</v>
      </c>
      <c r="B131" s="226">
        <v>125</v>
      </c>
      <c r="C131" s="88" t="s">
        <v>517</v>
      </c>
      <c r="D131" s="192" t="s">
        <v>911</v>
      </c>
      <c r="E131" s="193" t="s">
        <v>112</v>
      </c>
      <c r="F131" s="194" t="s">
        <v>113</v>
      </c>
      <c r="G131" s="195" t="s">
        <v>1185</v>
      </c>
      <c r="H131" s="167">
        <v>70522067</v>
      </c>
      <c r="I131" s="292">
        <v>2708734</v>
      </c>
      <c r="J131" s="290">
        <v>26545593</v>
      </c>
      <c r="K131" s="158" t="s">
        <v>41</v>
      </c>
      <c r="L131" s="196" t="s">
        <v>1087</v>
      </c>
      <c r="M131" s="114" t="s">
        <v>939</v>
      </c>
      <c r="N131" s="113" t="e" cm="1">
        <f t="array" aca="1" ref="N131" ca="1">_xlfn.XLOOKUP(Contrato[[#This Row],[SUPERVISOR TITULAR]],PERSONAL_ACTIVO_2025[[#All],[NOMBRES Y APELLIDOS]],PERSONAL_ACTIVO_2025[[#All],[DOCUMENTO]],"",0)</f>
        <v>#NAME?</v>
      </c>
      <c r="O131" s="114" t="s">
        <v>943</v>
      </c>
      <c r="P131" s="115" t="e" cm="1">
        <f t="array" aca="1" ref="P131" ca="1">_xlfn.XLOOKUP(Contrato[[#This Row],[SUPERVISOR SUPLENTE ]],PERSONAL_ACTIVO_2025[[#All],[NOMBRES Y APELLIDOS]],PERSONAL_ACTIVO_2025[[#All],[DOCUMENTO]],"",0)</f>
        <v>#NAME?</v>
      </c>
      <c r="Q131" s="116">
        <v>153</v>
      </c>
      <c r="R131" s="137" t="e" cm="1">
        <f t="array" aca="1" ref="R131" ca="1">_xlfn.XLOOKUP(Contrato[[#This Row],[CDP]],DISPONIBILIDADES_2025[[#All],[consecutivo]],DISPONIBILIDADES_2025[[#All],[fecha_aprobacion]],"",0)</f>
        <v>#NAME?</v>
      </c>
      <c r="S131" s="92">
        <f>SUMIF(DISPONIBILIDADES_2025[[#All],[consecutivo]],Contrato[[#This Row],[CDP]],DISPONIBILIDADES_2025[[#All],[valor_total_rubro]])</f>
        <v>26545593</v>
      </c>
      <c r="T131" s="118" t="e" cm="1">
        <f t="array" aca="1" ref="T131" ca="1">_xlfn.XLOOKUP(Contrato[[#This Row],[CONTRATO]]&amp;Contrato[[#This Row],[CDP]],Corr_Contr_CDP[[#All],[CONTRATO-CDP]],Corr_Contr_CDP[[#All],[CRP]],_xlfn.XLOOKUP(Contrato[[#This Row],[CDP]],COMPROMISOS_2025[[#All],[disponibilidad]],COMPROMISOS_2025[[#All],[consecutivo]],"",0),0)</f>
        <v>#NAME?</v>
      </c>
      <c r="U131" s="117" t="e" cm="1">
        <f t="array" aca="1" ref="U131" ca="1">+_xlfn.XLOOKUP(Contrato[[#This Row],[RCP]],COMPROMISOS_2025[[#All],[consecutivo]],COMPROMISOS_2025[[#All],[fecha_aprobacion]],"",0)</f>
        <v>#NAME?</v>
      </c>
      <c r="V131" s="93">
        <f ca="1">SUMIF(COMPROMISOS_2025[[#All],[consecutivo]],Contrato[[#This Row],[RCP]],COMPROMISOS_2025[[#All],[valor_total]])</f>
        <v>0</v>
      </c>
      <c r="W131" s="169">
        <v>45708</v>
      </c>
      <c r="X131" s="243" t="s">
        <v>901</v>
      </c>
      <c r="Y131" s="96">
        <v>45709</v>
      </c>
      <c r="Z131" s="161">
        <v>46005</v>
      </c>
      <c r="AA131" s="311" t="s">
        <v>1143</v>
      </c>
      <c r="AB131" s="119" t="s">
        <v>1127</v>
      </c>
      <c r="AC131" s="298"/>
      <c r="AD131" s="279">
        <v>202000006244</v>
      </c>
      <c r="AE131" s="38" t="s">
        <v>904</v>
      </c>
      <c r="AF131" s="120" t="str">
        <f>TEXT(LEFT(Contrato[[#This Row],[CONTRATO]],3),"0")</f>
        <v>125</v>
      </c>
      <c r="AG131" s="120" t="str">
        <f>IF(LEN(Contrato[[#This Row],[Contrato2]])=3,Contrato[[#This Row],[Contrato2]],TEXT(Contrato[[#This Row],[Contrato2]],"000"))</f>
        <v>125</v>
      </c>
      <c r="AH131" s="90">
        <f ca="1">IFERROR(_xlfn.DAYS(Contrato[[#This Row],[Fecha Proyectada liquidación]],TODAY())/30,"")</f>
        <v>11.4</v>
      </c>
      <c r="AI131" s="121">
        <f>+Contrato[[#This Row],[FECHA TERMINACIÓN ]]+120</f>
        <v>46125</v>
      </c>
      <c r="AJ131" s="89"/>
      <c r="AK131" s="91" t="str">
        <f ca="1">IF(Contrato[[#This Row],[FECHA TERMINACIÓN ]]&lt;TODAY(), "Terminado",IF(ISNUMBER(Contrato[[#This Row],[Fecha Real de liquiidación ]]),"Liquidado",IF(Contrato[[#This Row],[FECHA TERMINACIÓN ]]&gt;=TODAY(),"En ejecución","")))</f>
        <v>En ejecución</v>
      </c>
      <c r="AL131" s="107">
        <f ca="1">SUMIF(COMPROMISOS_2025[[#All],[consecutivo]],Contrato[[#This Row],[RCP]],COMPROMISOS_2025[[#All],[Total pagado]])</f>
        <v>0</v>
      </c>
      <c r="AM131" s="122">
        <f ca="1">IFERROR(Contrato[[#This Row],[Pagos]]/Contrato[[#This Row],[VALOR CONTRATO]],0)</f>
        <v>0</v>
      </c>
      <c r="AN131" s="160">
        <f ca="1">+Contrato[[#This Row],[VALOR CONTRATO]]-Contrato[[#This Row],[Pagos]]</f>
        <v>26545593</v>
      </c>
      <c r="AO131" s="111" t="e" cm="1">
        <f t="array" aca="1" ref="AO131" ca="1">_xlfn.XLOOKUP(Contrato[[#This Row],[DOCUMENTO ]],PERSONAL_ACTIVO_2025[[#All],[DOCUMENTO]],PERSONAL_ACTIVO_2025[[#All],[email]],0,0)</f>
        <v>#NAME?</v>
      </c>
      <c r="AP131" s="111" t="e" cm="1">
        <f t="array" aca="1" ref="AP131" ca="1">_xlfn.XLOOKUP(Contrato[[#This Row],[DOCUMENTO]],PERSONAL_ACTIVO_2025[[#All],[DOCUMENTO]],PERSONAL_ACTIVO_2025[[#All],[email]],0,0)</f>
        <v>#NAME?</v>
      </c>
      <c r="AQ131" s="111" cm="1">
        <f t="array" aca="1" ref="AQ131" ca="1">IF(ISBLANK(Contrato[[#This Row],[DEPENDENCIA ]]),0,IFERROR(_xlfn.XLOOKUP(Contrato[[#This Row],[DEPENDENCIA ]],#REF!,#REF!,0,0),0))</f>
        <v>0</v>
      </c>
      <c r="AR131" s="553">
        <f ca="1">+_xlfn.DAYS(Contrato[[#This Row],[FECHA TERMINACIÓN ]],TODAY())</f>
        <v>222</v>
      </c>
    </row>
    <row r="132" spans="1:44" s="111" customFormat="1" ht="36" customHeight="1" x14ac:dyDescent="0.25">
      <c r="A132" s="38">
        <v>320</v>
      </c>
      <c r="B132" s="226">
        <v>126</v>
      </c>
      <c r="C132" s="88" t="s">
        <v>518</v>
      </c>
      <c r="D132" s="192" t="s">
        <v>911</v>
      </c>
      <c r="E132" s="193" t="s">
        <v>112</v>
      </c>
      <c r="F132" s="194" t="s">
        <v>113</v>
      </c>
      <c r="G132" s="195" t="s">
        <v>1186</v>
      </c>
      <c r="H132" s="167">
        <v>1037617213</v>
      </c>
      <c r="I132" s="292">
        <v>6239569</v>
      </c>
      <c r="J132" s="290">
        <v>61147776</v>
      </c>
      <c r="K132" s="158" t="s">
        <v>41</v>
      </c>
      <c r="L132" s="196" t="s">
        <v>1087</v>
      </c>
      <c r="M132" s="114" t="s">
        <v>939</v>
      </c>
      <c r="N132" s="113" t="e" cm="1">
        <f t="array" aca="1" ref="N132" ca="1">_xlfn.XLOOKUP(Contrato[[#This Row],[SUPERVISOR TITULAR]],PERSONAL_ACTIVO_2025[[#All],[NOMBRES Y APELLIDOS]],PERSONAL_ACTIVO_2025[[#All],[DOCUMENTO]],"",0)</f>
        <v>#NAME?</v>
      </c>
      <c r="O132" s="114" t="s">
        <v>943</v>
      </c>
      <c r="P132" s="115" t="e" cm="1">
        <f t="array" aca="1" ref="P132" ca="1">_xlfn.XLOOKUP(Contrato[[#This Row],[SUPERVISOR SUPLENTE ]],PERSONAL_ACTIVO_2025[[#All],[NOMBRES Y APELLIDOS]],PERSONAL_ACTIVO_2025[[#All],[DOCUMENTO]],"",0)</f>
        <v>#NAME?</v>
      </c>
      <c r="Q132" s="116">
        <v>154</v>
      </c>
      <c r="R132" s="137" t="e" cm="1">
        <f t="array" aca="1" ref="R132" ca="1">_xlfn.XLOOKUP(Contrato[[#This Row],[CDP]],DISPONIBILIDADES_2025[[#All],[consecutivo]],DISPONIBILIDADES_2025[[#All],[fecha_aprobacion]],"",0)</f>
        <v>#NAME?</v>
      </c>
      <c r="S132" s="92">
        <f>SUMIF(DISPONIBILIDADES_2025[[#All],[consecutivo]],Contrato[[#This Row],[CDP]],DISPONIBILIDADES_2025[[#All],[valor_total_rubro]])</f>
        <v>61147776</v>
      </c>
      <c r="T132" s="118" t="e" cm="1">
        <f t="array" aca="1" ref="T132" ca="1">_xlfn.XLOOKUP(Contrato[[#This Row],[CONTRATO]]&amp;Contrato[[#This Row],[CDP]],Corr_Contr_CDP[[#All],[CONTRATO-CDP]],Corr_Contr_CDP[[#All],[CRP]],_xlfn.XLOOKUP(Contrato[[#This Row],[CDP]],COMPROMISOS_2025[[#All],[disponibilidad]],COMPROMISOS_2025[[#All],[consecutivo]],"",0),0)</f>
        <v>#NAME?</v>
      </c>
      <c r="U132" s="117" t="e" cm="1">
        <f t="array" aca="1" ref="U132" ca="1">+_xlfn.XLOOKUP(Contrato[[#This Row],[RCP]],COMPROMISOS_2025[[#All],[consecutivo]],COMPROMISOS_2025[[#All],[fecha_aprobacion]],"",0)</f>
        <v>#NAME?</v>
      </c>
      <c r="V132" s="93">
        <f ca="1">SUMIF(COMPROMISOS_2025[[#All],[consecutivo]],Contrato[[#This Row],[RCP]],COMPROMISOS_2025[[#All],[valor_total]])</f>
        <v>0</v>
      </c>
      <c r="W132" s="169">
        <v>45708</v>
      </c>
      <c r="X132" s="243" t="s">
        <v>901</v>
      </c>
      <c r="Y132" s="96">
        <v>45709</v>
      </c>
      <c r="Z132" s="161">
        <v>46005</v>
      </c>
      <c r="AA132" s="311" t="s">
        <v>1143</v>
      </c>
      <c r="AB132" s="119" t="s">
        <v>1127</v>
      </c>
      <c r="AC132" s="298"/>
      <c r="AD132" s="279">
        <v>202000006245</v>
      </c>
      <c r="AE132" s="38" t="s">
        <v>904</v>
      </c>
      <c r="AF132" s="120" t="str">
        <f>TEXT(LEFT(Contrato[[#This Row],[CONTRATO]],3),"0")</f>
        <v>126</v>
      </c>
      <c r="AG132" s="120" t="str">
        <f>IF(LEN(Contrato[[#This Row],[Contrato2]])=3,Contrato[[#This Row],[Contrato2]],TEXT(Contrato[[#This Row],[Contrato2]],"000"))</f>
        <v>126</v>
      </c>
      <c r="AH132" s="90">
        <f ca="1">IFERROR(_xlfn.DAYS(Contrato[[#This Row],[Fecha Proyectada liquidación]],TODAY())/30,"")</f>
        <v>11.4</v>
      </c>
      <c r="AI132" s="121">
        <f>+Contrato[[#This Row],[FECHA TERMINACIÓN ]]+120</f>
        <v>46125</v>
      </c>
      <c r="AJ132" s="89"/>
      <c r="AK132" s="91" t="str">
        <f ca="1">IF(Contrato[[#This Row],[FECHA TERMINACIÓN ]]&lt;TODAY(), "Terminado",IF(ISNUMBER(Contrato[[#This Row],[Fecha Real de liquiidación ]]),"Liquidado",IF(Contrato[[#This Row],[FECHA TERMINACIÓN ]]&gt;=TODAY(),"En ejecución","")))</f>
        <v>En ejecución</v>
      </c>
      <c r="AL132" s="107">
        <f ca="1">SUMIF(COMPROMISOS_2025[[#All],[consecutivo]],Contrato[[#This Row],[RCP]],COMPROMISOS_2025[[#All],[Total pagado]])</f>
        <v>0</v>
      </c>
      <c r="AM132" s="122">
        <f ca="1">IFERROR(Contrato[[#This Row],[Pagos]]/Contrato[[#This Row],[VALOR CONTRATO]],0)</f>
        <v>0</v>
      </c>
      <c r="AN132" s="160">
        <f ca="1">+Contrato[[#This Row],[VALOR CONTRATO]]-Contrato[[#This Row],[Pagos]]</f>
        <v>61147776</v>
      </c>
      <c r="AO132" s="111" t="e" cm="1">
        <f t="array" aca="1" ref="AO132" ca="1">_xlfn.XLOOKUP(Contrato[[#This Row],[DOCUMENTO ]],PERSONAL_ACTIVO_2025[[#All],[DOCUMENTO]],PERSONAL_ACTIVO_2025[[#All],[email]],0,0)</f>
        <v>#NAME?</v>
      </c>
      <c r="AP132" s="111" t="e" cm="1">
        <f t="array" aca="1" ref="AP132" ca="1">_xlfn.XLOOKUP(Contrato[[#This Row],[DOCUMENTO]],PERSONAL_ACTIVO_2025[[#All],[DOCUMENTO]],PERSONAL_ACTIVO_2025[[#All],[email]],0,0)</f>
        <v>#NAME?</v>
      </c>
      <c r="AQ132" s="111" cm="1">
        <f t="array" aca="1" ref="AQ132" ca="1">IF(ISBLANK(Contrato[[#This Row],[DEPENDENCIA ]]),0,IFERROR(_xlfn.XLOOKUP(Contrato[[#This Row],[DEPENDENCIA ]],#REF!,#REF!,0,0),0))</f>
        <v>0</v>
      </c>
      <c r="AR132" s="553">
        <f ca="1">+_xlfn.DAYS(Contrato[[#This Row],[FECHA TERMINACIÓN ]],TODAY())</f>
        <v>222</v>
      </c>
    </row>
    <row r="133" spans="1:44" s="111" customFormat="1" ht="36" customHeight="1" x14ac:dyDescent="0.25">
      <c r="A133" s="38">
        <v>321</v>
      </c>
      <c r="B133" s="226">
        <v>127</v>
      </c>
      <c r="C133" s="88" t="s">
        <v>519</v>
      </c>
      <c r="D133" s="192" t="s">
        <v>911</v>
      </c>
      <c r="E133" s="193" t="s">
        <v>112</v>
      </c>
      <c r="F133" s="194" t="s">
        <v>113</v>
      </c>
      <c r="G133" s="195" t="s">
        <v>1187</v>
      </c>
      <c r="H133" s="167">
        <v>1022093789</v>
      </c>
      <c r="I133" s="292">
        <v>6239569</v>
      </c>
      <c r="J133" s="290">
        <v>61147776</v>
      </c>
      <c r="K133" s="158" t="s">
        <v>41</v>
      </c>
      <c r="L133" s="196" t="s">
        <v>1087</v>
      </c>
      <c r="M133" s="114" t="s">
        <v>939</v>
      </c>
      <c r="N133" s="113" t="e" cm="1">
        <f t="array" aca="1" ref="N133" ca="1">_xlfn.XLOOKUP(Contrato[[#This Row],[SUPERVISOR TITULAR]],PERSONAL_ACTIVO_2025[[#All],[NOMBRES Y APELLIDOS]],PERSONAL_ACTIVO_2025[[#All],[DOCUMENTO]],"",0)</f>
        <v>#NAME?</v>
      </c>
      <c r="O133" s="114" t="s">
        <v>943</v>
      </c>
      <c r="P133" s="115" t="e" cm="1">
        <f t="array" aca="1" ref="P133" ca="1">_xlfn.XLOOKUP(Contrato[[#This Row],[SUPERVISOR SUPLENTE ]],PERSONAL_ACTIVO_2025[[#All],[NOMBRES Y APELLIDOS]],PERSONAL_ACTIVO_2025[[#All],[DOCUMENTO]],"",0)</f>
        <v>#NAME?</v>
      </c>
      <c r="Q133" s="116">
        <v>155</v>
      </c>
      <c r="R133" s="137" t="e" cm="1">
        <f t="array" aca="1" ref="R133" ca="1">_xlfn.XLOOKUP(Contrato[[#This Row],[CDP]],DISPONIBILIDADES_2025[[#All],[consecutivo]],DISPONIBILIDADES_2025[[#All],[fecha_aprobacion]],"",0)</f>
        <v>#NAME?</v>
      </c>
      <c r="S133" s="92">
        <f>SUMIF(DISPONIBILIDADES_2025[[#All],[consecutivo]],Contrato[[#This Row],[CDP]],DISPONIBILIDADES_2025[[#All],[valor_total_rubro]])</f>
        <v>61147776</v>
      </c>
      <c r="T133" s="118" t="e" cm="1">
        <f t="array" aca="1" ref="T133" ca="1">_xlfn.XLOOKUP(Contrato[[#This Row],[CONTRATO]]&amp;Contrato[[#This Row],[CDP]],Corr_Contr_CDP[[#All],[CONTRATO-CDP]],Corr_Contr_CDP[[#All],[CRP]],_xlfn.XLOOKUP(Contrato[[#This Row],[CDP]],COMPROMISOS_2025[[#All],[disponibilidad]],COMPROMISOS_2025[[#All],[consecutivo]],"",0),0)</f>
        <v>#NAME?</v>
      </c>
      <c r="U133" s="117" t="e" cm="1">
        <f t="array" aca="1" ref="U133" ca="1">+_xlfn.XLOOKUP(Contrato[[#This Row],[RCP]],COMPROMISOS_2025[[#All],[consecutivo]],COMPROMISOS_2025[[#All],[fecha_aprobacion]],"",0)</f>
        <v>#NAME?</v>
      </c>
      <c r="V133" s="93">
        <f ca="1">SUMIF(COMPROMISOS_2025[[#All],[consecutivo]],Contrato[[#This Row],[RCP]],COMPROMISOS_2025[[#All],[valor_total]])</f>
        <v>0</v>
      </c>
      <c r="W133" s="169">
        <v>45708</v>
      </c>
      <c r="X133" s="243" t="s">
        <v>901</v>
      </c>
      <c r="Y133" s="96">
        <v>45709</v>
      </c>
      <c r="Z133" s="161">
        <v>46005</v>
      </c>
      <c r="AA133" s="311" t="s">
        <v>1143</v>
      </c>
      <c r="AB133" s="119" t="s">
        <v>1127</v>
      </c>
      <c r="AC133" s="298"/>
      <c r="AD133" s="279">
        <v>202000006246</v>
      </c>
      <c r="AE133" s="38" t="s">
        <v>904</v>
      </c>
      <c r="AF133" s="120" t="str">
        <f>TEXT(LEFT(Contrato[[#This Row],[CONTRATO]],3),"0")</f>
        <v>127</v>
      </c>
      <c r="AG133" s="120" t="str">
        <f>IF(LEN(Contrato[[#This Row],[Contrato2]])=3,Contrato[[#This Row],[Contrato2]],TEXT(Contrato[[#This Row],[Contrato2]],"000"))</f>
        <v>127</v>
      </c>
      <c r="AH133" s="90">
        <f ca="1">IFERROR(_xlfn.DAYS(Contrato[[#This Row],[Fecha Proyectada liquidación]],TODAY())/30,"")</f>
        <v>11.4</v>
      </c>
      <c r="AI133" s="121">
        <f>+Contrato[[#This Row],[FECHA TERMINACIÓN ]]+120</f>
        <v>46125</v>
      </c>
      <c r="AJ133" s="89"/>
      <c r="AK133" s="91" t="str">
        <f ca="1">IF(Contrato[[#This Row],[FECHA TERMINACIÓN ]]&lt;TODAY(), "Terminado",IF(ISNUMBER(Contrato[[#This Row],[Fecha Real de liquiidación ]]),"Liquidado",IF(Contrato[[#This Row],[FECHA TERMINACIÓN ]]&gt;=TODAY(),"En ejecución","")))</f>
        <v>En ejecución</v>
      </c>
      <c r="AL133" s="107">
        <f ca="1">SUMIF(COMPROMISOS_2025[[#All],[consecutivo]],Contrato[[#This Row],[RCP]],COMPROMISOS_2025[[#All],[Total pagado]])</f>
        <v>0</v>
      </c>
      <c r="AM133" s="122">
        <f ca="1">IFERROR(Contrato[[#This Row],[Pagos]]/Contrato[[#This Row],[VALOR CONTRATO]],0)</f>
        <v>0</v>
      </c>
      <c r="AN133" s="160">
        <f ca="1">+Contrato[[#This Row],[VALOR CONTRATO]]-Contrato[[#This Row],[Pagos]]</f>
        <v>61147776</v>
      </c>
      <c r="AO133" s="111" t="e" cm="1">
        <f t="array" aca="1" ref="AO133" ca="1">_xlfn.XLOOKUP(Contrato[[#This Row],[DOCUMENTO ]],PERSONAL_ACTIVO_2025[[#All],[DOCUMENTO]],PERSONAL_ACTIVO_2025[[#All],[email]],0,0)</f>
        <v>#NAME?</v>
      </c>
      <c r="AP133" s="111" t="e" cm="1">
        <f t="array" aca="1" ref="AP133" ca="1">_xlfn.XLOOKUP(Contrato[[#This Row],[DOCUMENTO]],PERSONAL_ACTIVO_2025[[#All],[DOCUMENTO]],PERSONAL_ACTIVO_2025[[#All],[email]],0,0)</f>
        <v>#NAME?</v>
      </c>
      <c r="AQ133" s="111" cm="1">
        <f t="array" aca="1" ref="AQ133" ca="1">IF(ISBLANK(Contrato[[#This Row],[DEPENDENCIA ]]),0,IFERROR(_xlfn.XLOOKUP(Contrato[[#This Row],[DEPENDENCIA ]],#REF!,#REF!,0,0),0))</f>
        <v>0</v>
      </c>
      <c r="AR133" s="553">
        <f ca="1">+_xlfn.DAYS(Contrato[[#This Row],[FECHA TERMINACIÓN ]],TODAY())</f>
        <v>222</v>
      </c>
    </row>
    <row r="134" spans="1:44" s="111" customFormat="1" ht="36" customHeight="1" x14ac:dyDescent="0.25">
      <c r="A134" s="38">
        <v>322</v>
      </c>
      <c r="B134" s="226">
        <v>128</v>
      </c>
      <c r="C134" s="88" t="s">
        <v>520</v>
      </c>
      <c r="D134" s="192" t="s">
        <v>911</v>
      </c>
      <c r="E134" s="193" t="s">
        <v>112</v>
      </c>
      <c r="F134" s="194" t="s">
        <v>113</v>
      </c>
      <c r="G134" s="195" t="s">
        <v>1188</v>
      </c>
      <c r="H134" s="167">
        <v>1036935231</v>
      </c>
      <c r="I134" s="292">
        <v>5164201</v>
      </c>
      <c r="J134" s="290">
        <v>50609170</v>
      </c>
      <c r="K134" s="158" t="s">
        <v>41</v>
      </c>
      <c r="L134" s="196" t="s">
        <v>1087</v>
      </c>
      <c r="M134" s="114" t="s">
        <v>939</v>
      </c>
      <c r="N134" s="113" t="e" cm="1">
        <f t="array" aca="1" ref="N134" ca="1">_xlfn.XLOOKUP(Contrato[[#This Row],[SUPERVISOR TITULAR]],PERSONAL_ACTIVO_2025[[#All],[NOMBRES Y APELLIDOS]],PERSONAL_ACTIVO_2025[[#All],[DOCUMENTO]],"",0)</f>
        <v>#NAME?</v>
      </c>
      <c r="O134" s="114" t="s">
        <v>943</v>
      </c>
      <c r="P134" s="115" t="e" cm="1">
        <f t="array" aca="1" ref="P134" ca="1">_xlfn.XLOOKUP(Contrato[[#This Row],[SUPERVISOR SUPLENTE ]],PERSONAL_ACTIVO_2025[[#All],[NOMBRES Y APELLIDOS]],PERSONAL_ACTIVO_2025[[#All],[DOCUMENTO]],"",0)</f>
        <v>#NAME?</v>
      </c>
      <c r="Q134" s="116">
        <v>156</v>
      </c>
      <c r="R134" s="137" t="e" cm="1">
        <f t="array" aca="1" ref="R134" ca="1">_xlfn.XLOOKUP(Contrato[[#This Row],[CDP]],DISPONIBILIDADES_2025[[#All],[consecutivo]],DISPONIBILIDADES_2025[[#All],[fecha_aprobacion]],"",0)</f>
        <v>#NAME?</v>
      </c>
      <c r="S134" s="92">
        <f>SUMIF(DISPONIBILIDADES_2025[[#All],[consecutivo]],Contrato[[#This Row],[CDP]],DISPONIBILIDADES_2025[[#All],[valor_total_rubro]])</f>
        <v>50609170</v>
      </c>
      <c r="T134" s="118" t="e" cm="1">
        <f t="array" aca="1" ref="T134" ca="1">_xlfn.XLOOKUP(Contrato[[#This Row],[CONTRATO]]&amp;Contrato[[#This Row],[CDP]],Corr_Contr_CDP[[#All],[CONTRATO-CDP]],Corr_Contr_CDP[[#All],[CRP]],_xlfn.XLOOKUP(Contrato[[#This Row],[CDP]],COMPROMISOS_2025[[#All],[disponibilidad]],COMPROMISOS_2025[[#All],[consecutivo]],"",0),0)</f>
        <v>#NAME?</v>
      </c>
      <c r="U134" s="117" t="e" cm="1">
        <f t="array" aca="1" ref="U134" ca="1">+_xlfn.XLOOKUP(Contrato[[#This Row],[RCP]],COMPROMISOS_2025[[#All],[consecutivo]],COMPROMISOS_2025[[#All],[fecha_aprobacion]],"",0)</f>
        <v>#NAME?</v>
      </c>
      <c r="V134" s="93">
        <f ca="1">SUMIF(COMPROMISOS_2025[[#All],[consecutivo]],Contrato[[#This Row],[RCP]],COMPROMISOS_2025[[#All],[valor_total]])</f>
        <v>0</v>
      </c>
      <c r="W134" s="169">
        <v>45708</v>
      </c>
      <c r="X134" s="243" t="s">
        <v>901</v>
      </c>
      <c r="Y134" s="96">
        <v>45709</v>
      </c>
      <c r="Z134" s="161">
        <v>46005</v>
      </c>
      <c r="AA134" s="311" t="s">
        <v>1143</v>
      </c>
      <c r="AB134" s="119" t="s">
        <v>1127</v>
      </c>
      <c r="AC134" s="298"/>
      <c r="AD134" s="279">
        <v>202000006247</v>
      </c>
      <c r="AE134" s="38" t="s">
        <v>904</v>
      </c>
      <c r="AF134" s="120" t="str">
        <f>TEXT(LEFT(Contrato[[#This Row],[CONTRATO]],3),"0")</f>
        <v>128</v>
      </c>
      <c r="AG134" s="120" t="str">
        <f>IF(LEN(Contrato[[#This Row],[Contrato2]])=3,Contrato[[#This Row],[Contrato2]],TEXT(Contrato[[#This Row],[Contrato2]],"000"))</f>
        <v>128</v>
      </c>
      <c r="AH134" s="90">
        <f ca="1">IFERROR(_xlfn.DAYS(Contrato[[#This Row],[Fecha Proyectada liquidación]],TODAY())/30,"")</f>
        <v>11.4</v>
      </c>
      <c r="AI134" s="121">
        <f>+Contrato[[#This Row],[FECHA TERMINACIÓN ]]+120</f>
        <v>46125</v>
      </c>
      <c r="AJ134" s="89"/>
      <c r="AK134" s="91" t="str">
        <f ca="1">IF(Contrato[[#This Row],[FECHA TERMINACIÓN ]]&lt;TODAY(), "Terminado",IF(ISNUMBER(Contrato[[#This Row],[Fecha Real de liquiidación ]]),"Liquidado",IF(Contrato[[#This Row],[FECHA TERMINACIÓN ]]&gt;=TODAY(),"En ejecución","")))</f>
        <v>En ejecución</v>
      </c>
      <c r="AL134" s="107">
        <f ca="1">SUMIF(COMPROMISOS_2025[[#All],[consecutivo]],Contrato[[#This Row],[RCP]],COMPROMISOS_2025[[#All],[Total pagado]])</f>
        <v>0</v>
      </c>
      <c r="AM134" s="122">
        <f ca="1">IFERROR(Contrato[[#This Row],[Pagos]]/Contrato[[#This Row],[VALOR CONTRATO]],0)</f>
        <v>0</v>
      </c>
      <c r="AN134" s="160">
        <f ca="1">+Contrato[[#This Row],[VALOR CONTRATO]]-Contrato[[#This Row],[Pagos]]</f>
        <v>50609170</v>
      </c>
      <c r="AO134" s="111" t="e" cm="1">
        <f t="array" aca="1" ref="AO134" ca="1">_xlfn.XLOOKUP(Contrato[[#This Row],[DOCUMENTO ]],PERSONAL_ACTIVO_2025[[#All],[DOCUMENTO]],PERSONAL_ACTIVO_2025[[#All],[email]],0,0)</f>
        <v>#NAME?</v>
      </c>
      <c r="AP134" s="111" t="e" cm="1">
        <f t="array" aca="1" ref="AP134" ca="1">_xlfn.XLOOKUP(Contrato[[#This Row],[DOCUMENTO]],PERSONAL_ACTIVO_2025[[#All],[DOCUMENTO]],PERSONAL_ACTIVO_2025[[#All],[email]],0,0)</f>
        <v>#NAME?</v>
      </c>
      <c r="AQ134" s="111" cm="1">
        <f t="array" aca="1" ref="AQ134" ca="1">IF(ISBLANK(Contrato[[#This Row],[DEPENDENCIA ]]),0,IFERROR(_xlfn.XLOOKUP(Contrato[[#This Row],[DEPENDENCIA ]],#REF!,#REF!,0,0),0))</f>
        <v>0</v>
      </c>
      <c r="AR134" s="553">
        <f ca="1">+_xlfn.DAYS(Contrato[[#This Row],[FECHA TERMINACIÓN ]],TODAY())</f>
        <v>222</v>
      </c>
    </row>
    <row r="135" spans="1:44" s="111" customFormat="1" ht="36" customHeight="1" x14ac:dyDescent="0.25">
      <c r="A135" s="38">
        <v>323</v>
      </c>
      <c r="B135" s="226">
        <v>129</v>
      </c>
      <c r="C135" s="88" t="s">
        <v>521</v>
      </c>
      <c r="D135" s="192" t="s">
        <v>911</v>
      </c>
      <c r="E135" s="193" t="s">
        <v>112</v>
      </c>
      <c r="F135" s="194" t="s">
        <v>113</v>
      </c>
      <c r="G135" s="195" t="s">
        <v>1189</v>
      </c>
      <c r="H135" s="167">
        <v>1028013832</v>
      </c>
      <c r="I135" s="292">
        <v>4157906</v>
      </c>
      <c r="J135" s="290">
        <v>40747479</v>
      </c>
      <c r="K135" s="158" t="s">
        <v>41</v>
      </c>
      <c r="L135" s="196" t="s">
        <v>1087</v>
      </c>
      <c r="M135" s="114" t="s">
        <v>939</v>
      </c>
      <c r="N135" s="113" t="e" cm="1">
        <f t="array" aca="1" ref="N135" ca="1">_xlfn.XLOOKUP(Contrato[[#This Row],[SUPERVISOR TITULAR]],PERSONAL_ACTIVO_2025[[#All],[NOMBRES Y APELLIDOS]],PERSONAL_ACTIVO_2025[[#All],[DOCUMENTO]],"",0)</f>
        <v>#NAME?</v>
      </c>
      <c r="O135" s="114" t="s">
        <v>943</v>
      </c>
      <c r="P135" s="115" t="e" cm="1">
        <f t="array" aca="1" ref="P135" ca="1">_xlfn.XLOOKUP(Contrato[[#This Row],[SUPERVISOR SUPLENTE ]],PERSONAL_ACTIVO_2025[[#All],[NOMBRES Y APELLIDOS]],PERSONAL_ACTIVO_2025[[#All],[DOCUMENTO]],"",0)</f>
        <v>#NAME?</v>
      </c>
      <c r="Q135" s="116">
        <v>157</v>
      </c>
      <c r="R135" s="137" t="e" cm="1">
        <f t="array" aca="1" ref="R135" ca="1">_xlfn.XLOOKUP(Contrato[[#This Row],[CDP]],DISPONIBILIDADES_2025[[#All],[consecutivo]],DISPONIBILIDADES_2025[[#All],[fecha_aprobacion]],"",0)</f>
        <v>#NAME?</v>
      </c>
      <c r="S135" s="92">
        <f>SUMIF(DISPONIBILIDADES_2025[[#All],[consecutivo]],Contrato[[#This Row],[CDP]],DISPONIBILIDADES_2025[[#All],[valor_total_rubro]])</f>
        <v>40747479</v>
      </c>
      <c r="T135" s="118" t="e" cm="1">
        <f t="array" aca="1" ref="T135" ca="1">_xlfn.XLOOKUP(Contrato[[#This Row],[CONTRATO]]&amp;Contrato[[#This Row],[CDP]],Corr_Contr_CDP[[#All],[CONTRATO-CDP]],Corr_Contr_CDP[[#All],[CRP]],_xlfn.XLOOKUP(Contrato[[#This Row],[CDP]],COMPROMISOS_2025[[#All],[disponibilidad]],COMPROMISOS_2025[[#All],[consecutivo]],"",0),0)</f>
        <v>#NAME?</v>
      </c>
      <c r="U135" s="117" t="e" cm="1">
        <f t="array" aca="1" ref="U135" ca="1">+_xlfn.XLOOKUP(Contrato[[#This Row],[RCP]],COMPROMISOS_2025[[#All],[consecutivo]],COMPROMISOS_2025[[#All],[fecha_aprobacion]],"",0)</f>
        <v>#NAME?</v>
      </c>
      <c r="V135" s="93">
        <f ca="1">SUMIF(COMPROMISOS_2025[[#All],[consecutivo]],Contrato[[#This Row],[RCP]],COMPROMISOS_2025[[#All],[valor_total]])</f>
        <v>0</v>
      </c>
      <c r="W135" s="169">
        <v>45708</v>
      </c>
      <c r="X135" s="243" t="s">
        <v>901</v>
      </c>
      <c r="Y135" s="96">
        <v>45709</v>
      </c>
      <c r="Z135" s="161">
        <v>46005</v>
      </c>
      <c r="AA135" s="311" t="s">
        <v>1130</v>
      </c>
      <c r="AB135" s="119" t="s">
        <v>1127</v>
      </c>
      <c r="AC135" s="298"/>
      <c r="AD135" s="279">
        <v>202000006248</v>
      </c>
      <c r="AE135" s="38" t="s">
        <v>904</v>
      </c>
      <c r="AF135" s="120" t="str">
        <f>TEXT(LEFT(Contrato[[#This Row],[CONTRATO]],3),"0")</f>
        <v>129</v>
      </c>
      <c r="AG135" s="120" t="str">
        <f>IF(LEN(Contrato[[#This Row],[Contrato2]])=3,Contrato[[#This Row],[Contrato2]],TEXT(Contrato[[#This Row],[Contrato2]],"000"))</f>
        <v>129</v>
      </c>
      <c r="AH135" s="90">
        <f ca="1">IFERROR(_xlfn.DAYS(Contrato[[#This Row],[Fecha Proyectada liquidación]],TODAY())/30,"")</f>
        <v>11.4</v>
      </c>
      <c r="AI135" s="121">
        <f>+Contrato[[#This Row],[FECHA TERMINACIÓN ]]+120</f>
        <v>46125</v>
      </c>
      <c r="AJ135" s="89"/>
      <c r="AK135" s="91" t="str">
        <f ca="1">IF(Contrato[[#This Row],[FECHA TERMINACIÓN ]]&lt;TODAY(), "Terminado",IF(ISNUMBER(Contrato[[#This Row],[Fecha Real de liquiidación ]]),"Liquidado",IF(Contrato[[#This Row],[FECHA TERMINACIÓN ]]&gt;=TODAY(),"En ejecución","")))</f>
        <v>En ejecución</v>
      </c>
      <c r="AL135" s="107">
        <f ca="1">SUMIF(COMPROMISOS_2025[[#All],[consecutivo]],Contrato[[#This Row],[RCP]],COMPROMISOS_2025[[#All],[Total pagado]])</f>
        <v>0</v>
      </c>
      <c r="AM135" s="122">
        <f ca="1">IFERROR(Contrato[[#This Row],[Pagos]]/Contrato[[#This Row],[VALOR CONTRATO]],0)</f>
        <v>0</v>
      </c>
      <c r="AN135" s="160">
        <f ca="1">+Contrato[[#This Row],[VALOR CONTRATO]]-Contrato[[#This Row],[Pagos]]</f>
        <v>40747479</v>
      </c>
      <c r="AO135" s="111" t="e" cm="1">
        <f t="array" aca="1" ref="AO135" ca="1">_xlfn.XLOOKUP(Contrato[[#This Row],[DOCUMENTO ]],PERSONAL_ACTIVO_2025[[#All],[DOCUMENTO]],PERSONAL_ACTIVO_2025[[#All],[email]],0,0)</f>
        <v>#NAME?</v>
      </c>
      <c r="AP135" s="111" t="e" cm="1">
        <f t="array" aca="1" ref="AP135" ca="1">_xlfn.XLOOKUP(Contrato[[#This Row],[DOCUMENTO]],PERSONAL_ACTIVO_2025[[#All],[DOCUMENTO]],PERSONAL_ACTIVO_2025[[#All],[email]],0,0)</f>
        <v>#NAME?</v>
      </c>
      <c r="AQ135" s="111" cm="1">
        <f t="array" aca="1" ref="AQ135" ca="1">IF(ISBLANK(Contrato[[#This Row],[DEPENDENCIA ]]),0,IFERROR(_xlfn.XLOOKUP(Contrato[[#This Row],[DEPENDENCIA ]],#REF!,#REF!,0,0),0))</f>
        <v>0</v>
      </c>
      <c r="AR135" s="553">
        <f ca="1">+_xlfn.DAYS(Contrato[[#This Row],[FECHA TERMINACIÓN ]],TODAY())</f>
        <v>222</v>
      </c>
    </row>
    <row r="136" spans="1:44" s="111" customFormat="1" ht="36" customHeight="1" x14ac:dyDescent="0.25">
      <c r="A136" s="38">
        <v>325</v>
      </c>
      <c r="B136" s="226">
        <v>130</v>
      </c>
      <c r="C136" s="88" t="s">
        <v>523</v>
      </c>
      <c r="D136" s="192" t="s">
        <v>911</v>
      </c>
      <c r="E136" s="193" t="s">
        <v>112</v>
      </c>
      <c r="F136" s="194" t="s">
        <v>113</v>
      </c>
      <c r="G136" s="195" t="s">
        <v>1190</v>
      </c>
      <c r="H136" s="167">
        <v>98588501</v>
      </c>
      <c r="I136" s="292">
        <v>5164201</v>
      </c>
      <c r="J136" s="290">
        <v>50609170</v>
      </c>
      <c r="K136" s="158" t="s">
        <v>41</v>
      </c>
      <c r="L136" s="196" t="s">
        <v>1087</v>
      </c>
      <c r="M136" s="114" t="s">
        <v>939</v>
      </c>
      <c r="N136" s="113" t="e" cm="1">
        <f t="array" aca="1" ref="N136" ca="1">_xlfn.XLOOKUP(Contrato[[#This Row],[SUPERVISOR TITULAR]],PERSONAL_ACTIVO_2025[[#All],[NOMBRES Y APELLIDOS]],PERSONAL_ACTIVO_2025[[#All],[DOCUMENTO]],"",0)</f>
        <v>#NAME?</v>
      </c>
      <c r="O136" s="114" t="s">
        <v>943</v>
      </c>
      <c r="P136" s="115" t="e" cm="1">
        <f t="array" aca="1" ref="P136" ca="1">_xlfn.XLOOKUP(Contrato[[#This Row],[SUPERVISOR SUPLENTE ]],PERSONAL_ACTIVO_2025[[#All],[NOMBRES Y APELLIDOS]],PERSONAL_ACTIVO_2025[[#All],[DOCUMENTO]],"",0)</f>
        <v>#NAME?</v>
      </c>
      <c r="Q136" s="116">
        <v>159</v>
      </c>
      <c r="R136" s="137" t="e" cm="1">
        <f t="array" aca="1" ref="R136" ca="1">_xlfn.XLOOKUP(Contrato[[#This Row],[CDP]],DISPONIBILIDADES_2025[[#All],[consecutivo]],DISPONIBILIDADES_2025[[#All],[fecha_aprobacion]],"",0)</f>
        <v>#NAME?</v>
      </c>
      <c r="S136" s="92">
        <f>SUMIF(DISPONIBILIDADES_2025[[#All],[consecutivo]],Contrato[[#This Row],[CDP]],DISPONIBILIDADES_2025[[#All],[valor_total_rubro]])</f>
        <v>50609170</v>
      </c>
      <c r="T136" s="118" t="e" cm="1">
        <f t="array" aca="1" ref="T136" ca="1">_xlfn.XLOOKUP(Contrato[[#This Row],[CONTRATO]]&amp;Contrato[[#This Row],[CDP]],Corr_Contr_CDP[[#All],[CONTRATO-CDP]],Corr_Contr_CDP[[#All],[CRP]],_xlfn.XLOOKUP(Contrato[[#This Row],[CDP]],COMPROMISOS_2025[[#All],[disponibilidad]],COMPROMISOS_2025[[#All],[consecutivo]],"",0),0)</f>
        <v>#NAME?</v>
      </c>
      <c r="U136" s="117" t="e" cm="1">
        <f t="array" aca="1" ref="U136" ca="1">+_xlfn.XLOOKUP(Contrato[[#This Row],[RCP]],COMPROMISOS_2025[[#All],[consecutivo]],COMPROMISOS_2025[[#All],[fecha_aprobacion]],"",0)</f>
        <v>#NAME?</v>
      </c>
      <c r="V136" s="93">
        <f ca="1">SUMIF(COMPROMISOS_2025[[#All],[consecutivo]],Contrato[[#This Row],[RCP]],COMPROMISOS_2025[[#All],[valor_total]])</f>
        <v>0</v>
      </c>
      <c r="W136" s="169">
        <v>45708</v>
      </c>
      <c r="X136" s="243" t="s">
        <v>901</v>
      </c>
      <c r="Y136" s="96">
        <v>45709</v>
      </c>
      <c r="Z136" s="161">
        <v>46005</v>
      </c>
      <c r="AA136" s="311" t="s">
        <v>1143</v>
      </c>
      <c r="AB136" s="119" t="s">
        <v>1127</v>
      </c>
      <c r="AC136" s="298"/>
      <c r="AD136" s="279">
        <v>202000006249</v>
      </c>
      <c r="AE136" s="38" t="s">
        <v>904</v>
      </c>
      <c r="AF136" s="120" t="str">
        <f>TEXT(LEFT(Contrato[[#This Row],[CONTRATO]],3),"0")</f>
        <v>130</v>
      </c>
      <c r="AG136" s="120" t="str">
        <f>IF(LEN(Contrato[[#This Row],[Contrato2]])=3,Contrato[[#This Row],[Contrato2]],TEXT(Contrato[[#This Row],[Contrato2]],"000"))</f>
        <v>130</v>
      </c>
      <c r="AH136" s="90">
        <f ca="1">IFERROR(_xlfn.DAYS(Contrato[[#This Row],[Fecha Proyectada liquidación]],TODAY())/30,"")</f>
        <v>11.4</v>
      </c>
      <c r="AI136" s="121">
        <f>+Contrato[[#This Row],[FECHA TERMINACIÓN ]]+120</f>
        <v>46125</v>
      </c>
      <c r="AJ136" s="89"/>
      <c r="AK136" s="91" t="str">
        <f ca="1">IF(Contrato[[#This Row],[FECHA TERMINACIÓN ]]&lt;TODAY(), "Terminado",IF(ISNUMBER(Contrato[[#This Row],[Fecha Real de liquiidación ]]),"Liquidado",IF(Contrato[[#This Row],[FECHA TERMINACIÓN ]]&gt;=TODAY(),"En ejecución","")))</f>
        <v>En ejecución</v>
      </c>
      <c r="AL136" s="107">
        <f ca="1">SUMIF(COMPROMISOS_2025[[#All],[consecutivo]],Contrato[[#This Row],[RCP]],COMPROMISOS_2025[[#All],[Total pagado]])</f>
        <v>0</v>
      </c>
      <c r="AM136" s="122">
        <f ca="1">IFERROR(Contrato[[#This Row],[Pagos]]/Contrato[[#This Row],[VALOR CONTRATO]],0)</f>
        <v>0</v>
      </c>
      <c r="AN136" s="160">
        <f ca="1">+Contrato[[#This Row],[VALOR CONTRATO]]-Contrato[[#This Row],[Pagos]]</f>
        <v>50609170</v>
      </c>
      <c r="AO136" s="111" t="e" cm="1">
        <f t="array" aca="1" ref="AO136" ca="1">_xlfn.XLOOKUP(Contrato[[#This Row],[DOCUMENTO ]],PERSONAL_ACTIVO_2025[[#All],[DOCUMENTO]],PERSONAL_ACTIVO_2025[[#All],[email]],0,0)</f>
        <v>#NAME?</v>
      </c>
      <c r="AP136" s="111" t="e" cm="1">
        <f t="array" aca="1" ref="AP136" ca="1">_xlfn.XLOOKUP(Contrato[[#This Row],[DOCUMENTO]],PERSONAL_ACTIVO_2025[[#All],[DOCUMENTO]],PERSONAL_ACTIVO_2025[[#All],[email]],0,0)</f>
        <v>#NAME?</v>
      </c>
      <c r="AQ136" s="111" cm="1">
        <f t="array" aca="1" ref="AQ136" ca="1">IF(ISBLANK(Contrato[[#This Row],[DEPENDENCIA ]]),0,IFERROR(_xlfn.XLOOKUP(Contrato[[#This Row],[DEPENDENCIA ]],#REF!,#REF!,0,0),0))</f>
        <v>0</v>
      </c>
      <c r="AR136" s="553">
        <f ca="1">+_xlfn.DAYS(Contrato[[#This Row],[FECHA TERMINACIÓN ]],TODAY())</f>
        <v>222</v>
      </c>
    </row>
    <row r="137" spans="1:44" s="111" customFormat="1" ht="36" customHeight="1" x14ac:dyDescent="0.25">
      <c r="A137" s="38">
        <v>326</v>
      </c>
      <c r="B137" s="226">
        <v>131</v>
      </c>
      <c r="C137" s="88" t="s">
        <v>524</v>
      </c>
      <c r="D137" s="192" t="s">
        <v>911</v>
      </c>
      <c r="E137" s="193" t="s">
        <v>112</v>
      </c>
      <c r="F137" s="194" t="s">
        <v>113</v>
      </c>
      <c r="G137" s="195" t="s">
        <v>1191</v>
      </c>
      <c r="H137" s="167">
        <v>1036603305</v>
      </c>
      <c r="I137" s="292">
        <v>5164201</v>
      </c>
      <c r="J137" s="290">
        <v>50609170</v>
      </c>
      <c r="K137" s="158" t="s">
        <v>41</v>
      </c>
      <c r="L137" s="196" t="s">
        <v>1087</v>
      </c>
      <c r="M137" s="114" t="s">
        <v>939</v>
      </c>
      <c r="N137" s="113" t="e" cm="1">
        <f t="array" aca="1" ref="N137" ca="1">_xlfn.XLOOKUP(Contrato[[#This Row],[SUPERVISOR TITULAR]],PERSONAL_ACTIVO_2025[[#All],[NOMBRES Y APELLIDOS]],PERSONAL_ACTIVO_2025[[#All],[DOCUMENTO]],"",0)</f>
        <v>#NAME?</v>
      </c>
      <c r="O137" s="114" t="s">
        <v>943</v>
      </c>
      <c r="P137" s="115" t="e" cm="1">
        <f t="array" aca="1" ref="P137" ca="1">_xlfn.XLOOKUP(Contrato[[#This Row],[SUPERVISOR SUPLENTE ]],PERSONAL_ACTIVO_2025[[#All],[NOMBRES Y APELLIDOS]],PERSONAL_ACTIVO_2025[[#All],[DOCUMENTO]],"",0)</f>
        <v>#NAME?</v>
      </c>
      <c r="Q137" s="116">
        <v>160</v>
      </c>
      <c r="R137" s="137" t="e" cm="1">
        <f t="array" aca="1" ref="R137" ca="1">_xlfn.XLOOKUP(Contrato[[#This Row],[CDP]],DISPONIBILIDADES_2025[[#All],[consecutivo]],DISPONIBILIDADES_2025[[#All],[fecha_aprobacion]],"",0)</f>
        <v>#NAME?</v>
      </c>
      <c r="S137" s="92">
        <f>SUMIF(DISPONIBILIDADES_2025[[#All],[consecutivo]],Contrato[[#This Row],[CDP]],DISPONIBILIDADES_2025[[#All],[valor_total_rubro]])</f>
        <v>50609170</v>
      </c>
      <c r="T137" s="118" t="e" cm="1">
        <f t="array" aca="1" ref="T137" ca="1">_xlfn.XLOOKUP(Contrato[[#This Row],[CONTRATO]]&amp;Contrato[[#This Row],[CDP]],Corr_Contr_CDP[[#All],[CONTRATO-CDP]],Corr_Contr_CDP[[#All],[CRP]],_xlfn.XLOOKUP(Contrato[[#This Row],[CDP]],COMPROMISOS_2025[[#All],[disponibilidad]],COMPROMISOS_2025[[#All],[consecutivo]],"",0),0)</f>
        <v>#NAME?</v>
      </c>
      <c r="U137" s="117" t="e" cm="1">
        <f t="array" aca="1" ref="U137" ca="1">+_xlfn.XLOOKUP(Contrato[[#This Row],[RCP]],COMPROMISOS_2025[[#All],[consecutivo]],COMPROMISOS_2025[[#All],[fecha_aprobacion]],"",0)</f>
        <v>#NAME?</v>
      </c>
      <c r="V137" s="93">
        <f ca="1">SUMIF(COMPROMISOS_2025[[#All],[consecutivo]],Contrato[[#This Row],[RCP]],COMPROMISOS_2025[[#All],[valor_total]])</f>
        <v>0</v>
      </c>
      <c r="W137" s="169">
        <v>45707</v>
      </c>
      <c r="X137" s="243" t="s">
        <v>901</v>
      </c>
      <c r="Y137" s="96">
        <v>45709</v>
      </c>
      <c r="Z137" s="161">
        <v>46005</v>
      </c>
      <c r="AA137" s="311" t="s">
        <v>1143</v>
      </c>
      <c r="AB137" s="119" t="s">
        <v>1127</v>
      </c>
      <c r="AC137" s="298"/>
      <c r="AD137" s="279">
        <v>202000006250</v>
      </c>
      <c r="AE137" s="38" t="s">
        <v>904</v>
      </c>
      <c r="AF137" s="120" t="str">
        <f>TEXT(LEFT(Contrato[[#This Row],[CONTRATO]],3),"0")</f>
        <v>131</v>
      </c>
      <c r="AG137" s="120" t="str">
        <f>IF(LEN(Contrato[[#This Row],[Contrato2]])=3,Contrato[[#This Row],[Contrato2]],TEXT(Contrato[[#This Row],[Contrato2]],"000"))</f>
        <v>131</v>
      </c>
      <c r="AH137" s="90">
        <f ca="1">IFERROR(_xlfn.DAYS(Contrato[[#This Row],[Fecha Proyectada liquidación]],TODAY())/30,"")</f>
        <v>11.4</v>
      </c>
      <c r="AI137" s="121">
        <f>+Contrato[[#This Row],[FECHA TERMINACIÓN ]]+120</f>
        <v>46125</v>
      </c>
      <c r="AJ137" s="89"/>
      <c r="AK137" s="91" t="str">
        <f ca="1">IF(Contrato[[#This Row],[FECHA TERMINACIÓN ]]&lt;TODAY(), "Terminado",IF(ISNUMBER(Contrato[[#This Row],[Fecha Real de liquiidación ]]),"Liquidado",IF(Contrato[[#This Row],[FECHA TERMINACIÓN ]]&gt;=TODAY(),"En ejecución","")))</f>
        <v>En ejecución</v>
      </c>
      <c r="AL137" s="107">
        <f ca="1">SUMIF(COMPROMISOS_2025[[#All],[consecutivo]],Contrato[[#This Row],[RCP]],COMPROMISOS_2025[[#All],[Total pagado]])</f>
        <v>0</v>
      </c>
      <c r="AM137" s="122">
        <f ca="1">IFERROR(Contrato[[#This Row],[Pagos]]/Contrato[[#This Row],[VALOR CONTRATO]],0)</f>
        <v>0</v>
      </c>
      <c r="AN137" s="160">
        <f ca="1">+Contrato[[#This Row],[VALOR CONTRATO]]-Contrato[[#This Row],[Pagos]]</f>
        <v>50609170</v>
      </c>
      <c r="AO137" s="111" t="e" cm="1">
        <f t="array" aca="1" ref="AO137" ca="1">_xlfn.XLOOKUP(Contrato[[#This Row],[DOCUMENTO ]],PERSONAL_ACTIVO_2025[[#All],[DOCUMENTO]],PERSONAL_ACTIVO_2025[[#All],[email]],0,0)</f>
        <v>#NAME?</v>
      </c>
      <c r="AP137" s="111" t="e" cm="1">
        <f t="array" aca="1" ref="AP137" ca="1">_xlfn.XLOOKUP(Contrato[[#This Row],[DOCUMENTO]],PERSONAL_ACTIVO_2025[[#All],[DOCUMENTO]],PERSONAL_ACTIVO_2025[[#All],[email]],0,0)</f>
        <v>#NAME?</v>
      </c>
      <c r="AQ137" s="111" cm="1">
        <f t="array" aca="1" ref="AQ137" ca="1">IF(ISBLANK(Contrato[[#This Row],[DEPENDENCIA ]]),0,IFERROR(_xlfn.XLOOKUP(Contrato[[#This Row],[DEPENDENCIA ]],#REF!,#REF!,0,0),0))</f>
        <v>0</v>
      </c>
      <c r="AR137" s="553">
        <f ca="1">+_xlfn.DAYS(Contrato[[#This Row],[FECHA TERMINACIÓN ]],TODAY())</f>
        <v>222</v>
      </c>
    </row>
    <row r="138" spans="1:44" s="111" customFormat="1" ht="36" customHeight="1" x14ac:dyDescent="0.25">
      <c r="A138" s="38">
        <v>328</v>
      </c>
      <c r="B138" s="226">
        <v>132</v>
      </c>
      <c r="C138" s="88" t="s">
        <v>526</v>
      </c>
      <c r="D138" s="192" t="s">
        <v>911</v>
      </c>
      <c r="E138" s="193" t="s">
        <v>112</v>
      </c>
      <c r="F138" s="194" t="s">
        <v>113</v>
      </c>
      <c r="G138" s="195" t="s">
        <v>1192</v>
      </c>
      <c r="H138" s="167">
        <v>1036638220</v>
      </c>
      <c r="I138" s="292">
        <v>5164201</v>
      </c>
      <c r="J138" s="290">
        <v>50609170</v>
      </c>
      <c r="K138" s="158" t="s">
        <v>41</v>
      </c>
      <c r="L138" s="196" t="s">
        <v>1087</v>
      </c>
      <c r="M138" s="114" t="s">
        <v>939</v>
      </c>
      <c r="N138" s="113" t="e" cm="1">
        <f t="array" aca="1" ref="N138" ca="1">_xlfn.XLOOKUP(Contrato[[#This Row],[SUPERVISOR TITULAR]],PERSONAL_ACTIVO_2025[[#All],[NOMBRES Y APELLIDOS]],PERSONAL_ACTIVO_2025[[#All],[DOCUMENTO]],"",0)</f>
        <v>#NAME?</v>
      </c>
      <c r="O138" s="114" t="s">
        <v>943</v>
      </c>
      <c r="P138" s="115" t="e" cm="1">
        <f t="array" aca="1" ref="P138" ca="1">_xlfn.XLOOKUP(Contrato[[#This Row],[SUPERVISOR SUPLENTE ]],PERSONAL_ACTIVO_2025[[#All],[NOMBRES Y APELLIDOS]],PERSONAL_ACTIVO_2025[[#All],[DOCUMENTO]],"",0)</f>
        <v>#NAME?</v>
      </c>
      <c r="Q138" s="116">
        <v>162</v>
      </c>
      <c r="R138" s="137" t="e" cm="1">
        <f t="array" aca="1" ref="R138" ca="1">_xlfn.XLOOKUP(Contrato[[#This Row],[CDP]],DISPONIBILIDADES_2025[[#All],[consecutivo]],DISPONIBILIDADES_2025[[#All],[fecha_aprobacion]],"",0)</f>
        <v>#NAME?</v>
      </c>
      <c r="S138" s="92">
        <f>SUMIF(DISPONIBILIDADES_2025[[#All],[consecutivo]],Contrato[[#This Row],[CDP]],DISPONIBILIDADES_2025[[#All],[valor_total_rubro]])</f>
        <v>50609170</v>
      </c>
      <c r="T138" s="118" t="e" cm="1">
        <f t="array" aca="1" ref="T138" ca="1">_xlfn.XLOOKUP(Contrato[[#This Row],[CONTRATO]]&amp;Contrato[[#This Row],[CDP]],Corr_Contr_CDP[[#All],[CONTRATO-CDP]],Corr_Contr_CDP[[#All],[CRP]],_xlfn.XLOOKUP(Contrato[[#This Row],[CDP]],COMPROMISOS_2025[[#All],[disponibilidad]],COMPROMISOS_2025[[#All],[consecutivo]],"",0),0)</f>
        <v>#NAME?</v>
      </c>
      <c r="U138" s="117" t="e" cm="1">
        <f t="array" aca="1" ref="U138" ca="1">+_xlfn.XLOOKUP(Contrato[[#This Row],[RCP]],COMPROMISOS_2025[[#All],[consecutivo]],COMPROMISOS_2025[[#All],[fecha_aprobacion]],"",0)</f>
        <v>#NAME?</v>
      </c>
      <c r="V138" s="93">
        <f ca="1">SUMIF(COMPROMISOS_2025[[#All],[consecutivo]],Contrato[[#This Row],[RCP]],COMPROMISOS_2025[[#All],[valor_total]])</f>
        <v>0</v>
      </c>
      <c r="W138" s="169">
        <v>45708</v>
      </c>
      <c r="X138" s="243" t="s">
        <v>901</v>
      </c>
      <c r="Y138" s="96">
        <v>45709</v>
      </c>
      <c r="Z138" s="161">
        <v>46005</v>
      </c>
      <c r="AA138" s="311" t="s">
        <v>1130</v>
      </c>
      <c r="AB138" s="119" t="s">
        <v>1127</v>
      </c>
      <c r="AC138" s="298"/>
      <c r="AD138" s="279">
        <v>202000006251</v>
      </c>
      <c r="AE138" s="38" t="s">
        <v>904</v>
      </c>
      <c r="AF138" s="120" t="str">
        <f>TEXT(LEFT(Contrato[[#This Row],[CONTRATO]],3),"0")</f>
        <v>132</v>
      </c>
      <c r="AG138" s="120" t="str">
        <f>IF(LEN(Contrato[[#This Row],[Contrato2]])=3,Contrato[[#This Row],[Contrato2]],TEXT(Contrato[[#This Row],[Contrato2]],"000"))</f>
        <v>132</v>
      </c>
      <c r="AH138" s="90">
        <f ca="1">IFERROR(_xlfn.DAYS(Contrato[[#This Row],[Fecha Proyectada liquidación]],TODAY())/30,"")</f>
        <v>11.4</v>
      </c>
      <c r="AI138" s="121">
        <f>+Contrato[[#This Row],[FECHA TERMINACIÓN ]]+120</f>
        <v>46125</v>
      </c>
      <c r="AJ138" s="89"/>
      <c r="AK138" s="91" t="str">
        <f ca="1">IF(Contrato[[#This Row],[FECHA TERMINACIÓN ]]&lt;TODAY(), "Terminado",IF(ISNUMBER(Contrato[[#This Row],[Fecha Real de liquiidación ]]),"Liquidado",IF(Contrato[[#This Row],[FECHA TERMINACIÓN ]]&gt;=TODAY(),"En ejecución","")))</f>
        <v>En ejecución</v>
      </c>
      <c r="AL138" s="107">
        <f ca="1">SUMIF(COMPROMISOS_2025[[#All],[consecutivo]],Contrato[[#This Row],[RCP]],COMPROMISOS_2025[[#All],[Total pagado]])</f>
        <v>0</v>
      </c>
      <c r="AM138" s="122">
        <f ca="1">IFERROR(Contrato[[#This Row],[Pagos]]/Contrato[[#This Row],[VALOR CONTRATO]],0)</f>
        <v>0</v>
      </c>
      <c r="AN138" s="160">
        <f ca="1">+Contrato[[#This Row],[VALOR CONTRATO]]-Contrato[[#This Row],[Pagos]]</f>
        <v>50609170</v>
      </c>
      <c r="AO138" s="111" t="e" cm="1">
        <f t="array" aca="1" ref="AO138" ca="1">_xlfn.XLOOKUP(Contrato[[#This Row],[DOCUMENTO ]],PERSONAL_ACTIVO_2025[[#All],[DOCUMENTO]],PERSONAL_ACTIVO_2025[[#All],[email]],0,0)</f>
        <v>#NAME?</v>
      </c>
      <c r="AP138" s="111" t="e" cm="1">
        <f t="array" aca="1" ref="AP138" ca="1">_xlfn.XLOOKUP(Contrato[[#This Row],[DOCUMENTO]],PERSONAL_ACTIVO_2025[[#All],[DOCUMENTO]],PERSONAL_ACTIVO_2025[[#All],[email]],0,0)</f>
        <v>#NAME?</v>
      </c>
      <c r="AQ138" s="111" cm="1">
        <f t="array" aca="1" ref="AQ138" ca="1">IF(ISBLANK(Contrato[[#This Row],[DEPENDENCIA ]]),0,IFERROR(_xlfn.XLOOKUP(Contrato[[#This Row],[DEPENDENCIA ]],#REF!,#REF!,0,0),0))</f>
        <v>0</v>
      </c>
      <c r="AR138" s="553">
        <f ca="1">+_xlfn.DAYS(Contrato[[#This Row],[FECHA TERMINACIÓN ]],TODAY())</f>
        <v>222</v>
      </c>
    </row>
    <row r="139" spans="1:44" s="111" customFormat="1" ht="36" customHeight="1" x14ac:dyDescent="0.25">
      <c r="A139" s="38">
        <v>329</v>
      </c>
      <c r="B139" s="226">
        <v>133</v>
      </c>
      <c r="C139" s="88" t="s">
        <v>527</v>
      </c>
      <c r="D139" s="192" t="s">
        <v>911</v>
      </c>
      <c r="E139" s="193" t="s">
        <v>112</v>
      </c>
      <c r="F139" s="194" t="s">
        <v>113</v>
      </c>
      <c r="G139" s="195" t="s">
        <v>1193</v>
      </c>
      <c r="H139" s="167">
        <v>1036962292</v>
      </c>
      <c r="I139" s="292">
        <v>5164201</v>
      </c>
      <c r="J139" s="290">
        <v>50609170</v>
      </c>
      <c r="K139" s="158" t="s">
        <v>41</v>
      </c>
      <c r="L139" s="196" t="s">
        <v>1087</v>
      </c>
      <c r="M139" s="114" t="s">
        <v>939</v>
      </c>
      <c r="N139" s="113" t="e" cm="1">
        <f t="array" aca="1" ref="N139" ca="1">_xlfn.XLOOKUP(Contrato[[#This Row],[SUPERVISOR TITULAR]],PERSONAL_ACTIVO_2025[[#All],[NOMBRES Y APELLIDOS]],PERSONAL_ACTIVO_2025[[#All],[DOCUMENTO]],"",0)</f>
        <v>#NAME?</v>
      </c>
      <c r="O139" s="114" t="s">
        <v>943</v>
      </c>
      <c r="P139" s="115" t="e" cm="1">
        <f t="array" aca="1" ref="P139" ca="1">_xlfn.XLOOKUP(Contrato[[#This Row],[SUPERVISOR SUPLENTE ]],PERSONAL_ACTIVO_2025[[#All],[NOMBRES Y APELLIDOS]],PERSONAL_ACTIVO_2025[[#All],[DOCUMENTO]],"",0)</f>
        <v>#NAME?</v>
      </c>
      <c r="Q139" s="116">
        <v>163</v>
      </c>
      <c r="R139" s="137" t="e" cm="1">
        <f t="array" aca="1" ref="R139" ca="1">_xlfn.XLOOKUP(Contrato[[#This Row],[CDP]],DISPONIBILIDADES_2025[[#All],[consecutivo]],DISPONIBILIDADES_2025[[#All],[fecha_aprobacion]],"",0)</f>
        <v>#NAME?</v>
      </c>
      <c r="S139" s="92">
        <f>SUMIF(DISPONIBILIDADES_2025[[#All],[consecutivo]],Contrato[[#This Row],[CDP]],DISPONIBILIDADES_2025[[#All],[valor_total_rubro]])</f>
        <v>50609170</v>
      </c>
      <c r="T139" s="118" t="e" cm="1">
        <f t="array" aca="1" ref="T139" ca="1">_xlfn.XLOOKUP(Contrato[[#This Row],[CONTRATO]]&amp;Contrato[[#This Row],[CDP]],Corr_Contr_CDP[[#All],[CONTRATO-CDP]],Corr_Contr_CDP[[#All],[CRP]],_xlfn.XLOOKUP(Contrato[[#This Row],[CDP]],COMPROMISOS_2025[[#All],[disponibilidad]],COMPROMISOS_2025[[#All],[consecutivo]],"",0),0)</f>
        <v>#NAME?</v>
      </c>
      <c r="U139" s="117" t="e" cm="1">
        <f t="array" aca="1" ref="U139" ca="1">+_xlfn.XLOOKUP(Contrato[[#This Row],[RCP]],COMPROMISOS_2025[[#All],[consecutivo]],COMPROMISOS_2025[[#All],[fecha_aprobacion]],"",0)</f>
        <v>#NAME?</v>
      </c>
      <c r="V139" s="93">
        <f ca="1">SUMIF(COMPROMISOS_2025[[#All],[consecutivo]],Contrato[[#This Row],[RCP]],COMPROMISOS_2025[[#All],[valor_total]])</f>
        <v>0</v>
      </c>
      <c r="W139" s="169">
        <v>45708</v>
      </c>
      <c r="X139" s="243" t="s">
        <v>901</v>
      </c>
      <c r="Y139" s="96">
        <v>45709</v>
      </c>
      <c r="Z139" s="161">
        <v>46005</v>
      </c>
      <c r="AA139" s="311" t="s">
        <v>1143</v>
      </c>
      <c r="AB139" s="119" t="s">
        <v>1127</v>
      </c>
      <c r="AC139" s="298"/>
      <c r="AD139" s="279">
        <v>202000006252</v>
      </c>
      <c r="AE139" s="38" t="s">
        <v>904</v>
      </c>
      <c r="AF139" s="120" t="str">
        <f>TEXT(LEFT(Contrato[[#This Row],[CONTRATO]],3),"0")</f>
        <v>133</v>
      </c>
      <c r="AG139" s="120" t="str">
        <f>IF(LEN(Contrato[[#This Row],[Contrato2]])=3,Contrato[[#This Row],[Contrato2]],TEXT(Contrato[[#This Row],[Contrato2]],"000"))</f>
        <v>133</v>
      </c>
      <c r="AH139" s="90">
        <f ca="1">IFERROR(_xlfn.DAYS(Contrato[[#This Row],[Fecha Proyectada liquidación]],TODAY())/30,"")</f>
        <v>11.4</v>
      </c>
      <c r="AI139" s="121">
        <f>+Contrato[[#This Row],[FECHA TERMINACIÓN ]]+120</f>
        <v>46125</v>
      </c>
      <c r="AJ139" s="89"/>
      <c r="AK139" s="91" t="str">
        <f ca="1">IF(Contrato[[#This Row],[FECHA TERMINACIÓN ]]&lt;TODAY(), "Terminado",IF(ISNUMBER(Contrato[[#This Row],[Fecha Real de liquiidación ]]),"Liquidado",IF(Contrato[[#This Row],[FECHA TERMINACIÓN ]]&gt;=TODAY(),"En ejecución","")))</f>
        <v>En ejecución</v>
      </c>
      <c r="AL139" s="107">
        <f ca="1">SUMIF(COMPROMISOS_2025[[#All],[consecutivo]],Contrato[[#This Row],[RCP]],COMPROMISOS_2025[[#All],[Total pagado]])</f>
        <v>0</v>
      </c>
      <c r="AM139" s="122">
        <f ca="1">IFERROR(Contrato[[#This Row],[Pagos]]/Contrato[[#This Row],[VALOR CONTRATO]],0)</f>
        <v>0</v>
      </c>
      <c r="AN139" s="160">
        <f ca="1">+Contrato[[#This Row],[VALOR CONTRATO]]-Contrato[[#This Row],[Pagos]]</f>
        <v>50609170</v>
      </c>
      <c r="AO139" s="111" t="e" cm="1">
        <f t="array" aca="1" ref="AO139" ca="1">_xlfn.XLOOKUP(Contrato[[#This Row],[DOCUMENTO ]],PERSONAL_ACTIVO_2025[[#All],[DOCUMENTO]],PERSONAL_ACTIVO_2025[[#All],[email]],0,0)</f>
        <v>#NAME?</v>
      </c>
      <c r="AP139" s="111" t="e" cm="1">
        <f t="array" aca="1" ref="AP139" ca="1">_xlfn.XLOOKUP(Contrato[[#This Row],[DOCUMENTO]],PERSONAL_ACTIVO_2025[[#All],[DOCUMENTO]],PERSONAL_ACTIVO_2025[[#All],[email]],0,0)</f>
        <v>#NAME?</v>
      </c>
      <c r="AQ139" s="111" cm="1">
        <f t="array" aca="1" ref="AQ139" ca="1">IF(ISBLANK(Contrato[[#This Row],[DEPENDENCIA ]]),0,IFERROR(_xlfn.XLOOKUP(Contrato[[#This Row],[DEPENDENCIA ]],#REF!,#REF!,0,0),0))</f>
        <v>0</v>
      </c>
      <c r="AR139" s="553">
        <f ca="1">+_xlfn.DAYS(Contrato[[#This Row],[FECHA TERMINACIÓN ]],TODAY())</f>
        <v>222</v>
      </c>
    </row>
    <row r="140" spans="1:44" s="111" customFormat="1" ht="36" customHeight="1" x14ac:dyDescent="0.25">
      <c r="A140" s="38">
        <v>330</v>
      </c>
      <c r="B140" s="226">
        <v>134</v>
      </c>
      <c r="C140" s="88" t="s">
        <v>528</v>
      </c>
      <c r="D140" s="192" t="s">
        <v>911</v>
      </c>
      <c r="E140" s="193" t="s">
        <v>112</v>
      </c>
      <c r="F140" s="194" t="s">
        <v>113</v>
      </c>
      <c r="G140" s="195" t="s">
        <v>1194</v>
      </c>
      <c r="H140" s="167">
        <v>1041325263</v>
      </c>
      <c r="I140" s="292">
        <v>6239569</v>
      </c>
      <c r="J140" s="290">
        <v>61147776</v>
      </c>
      <c r="K140" s="158" t="s">
        <v>41</v>
      </c>
      <c r="L140" s="196" t="s">
        <v>1087</v>
      </c>
      <c r="M140" s="114" t="s">
        <v>939</v>
      </c>
      <c r="N140" s="113" t="e" cm="1">
        <f t="array" aca="1" ref="N140" ca="1">_xlfn.XLOOKUP(Contrato[[#This Row],[SUPERVISOR TITULAR]],PERSONAL_ACTIVO_2025[[#All],[NOMBRES Y APELLIDOS]],PERSONAL_ACTIVO_2025[[#All],[DOCUMENTO]],"",0)</f>
        <v>#NAME?</v>
      </c>
      <c r="O140" s="114" t="s">
        <v>943</v>
      </c>
      <c r="P140" s="115" t="e" cm="1">
        <f t="array" aca="1" ref="P140" ca="1">_xlfn.XLOOKUP(Contrato[[#This Row],[SUPERVISOR SUPLENTE ]],PERSONAL_ACTIVO_2025[[#All],[NOMBRES Y APELLIDOS]],PERSONAL_ACTIVO_2025[[#All],[DOCUMENTO]],"",0)</f>
        <v>#NAME?</v>
      </c>
      <c r="Q140" s="116">
        <v>164</v>
      </c>
      <c r="R140" s="137" t="e" cm="1">
        <f t="array" aca="1" ref="R140" ca="1">_xlfn.XLOOKUP(Contrato[[#This Row],[CDP]],DISPONIBILIDADES_2025[[#All],[consecutivo]],DISPONIBILIDADES_2025[[#All],[fecha_aprobacion]],"",0)</f>
        <v>#NAME?</v>
      </c>
      <c r="S140" s="92">
        <f>SUMIF(DISPONIBILIDADES_2025[[#All],[consecutivo]],Contrato[[#This Row],[CDP]],DISPONIBILIDADES_2025[[#All],[valor_total_rubro]])</f>
        <v>61147776</v>
      </c>
      <c r="T140" s="118" t="e" cm="1">
        <f t="array" aca="1" ref="T140" ca="1">_xlfn.XLOOKUP(Contrato[[#This Row],[CONTRATO]]&amp;Contrato[[#This Row],[CDP]],Corr_Contr_CDP[[#All],[CONTRATO-CDP]],Corr_Contr_CDP[[#All],[CRP]],_xlfn.XLOOKUP(Contrato[[#This Row],[CDP]],COMPROMISOS_2025[[#All],[disponibilidad]],COMPROMISOS_2025[[#All],[consecutivo]],"",0),0)</f>
        <v>#NAME?</v>
      </c>
      <c r="U140" s="117" t="e" cm="1">
        <f t="array" aca="1" ref="U140" ca="1">+_xlfn.XLOOKUP(Contrato[[#This Row],[RCP]],COMPROMISOS_2025[[#All],[consecutivo]],COMPROMISOS_2025[[#All],[fecha_aprobacion]],"",0)</f>
        <v>#NAME?</v>
      </c>
      <c r="V140" s="93">
        <f ca="1">SUMIF(COMPROMISOS_2025[[#All],[consecutivo]],Contrato[[#This Row],[RCP]],COMPROMISOS_2025[[#All],[valor_total]])</f>
        <v>0</v>
      </c>
      <c r="W140" s="169">
        <v>45708</v>
      </c>
      <c r="X140" s="243" t="s">
        <v>901</v>
      </c>
      <c r="Y140" s="96">
        <v>45709</v>
      </c>
      <c r="Z140" s="161">
        <v>46005</v>
      </c>
      <c r="AA140" s="311" t="s">
        <v>1143</v>
      </c>
      <c r="AB140" s="119" t="s">
        <v>1127</v>
      </c>
      <c r="AC140" s="298"/>
      <c r="AD140" s="279">
        <v>202000006253</v>
      </c>
      <c r="AE140" s="38" t="s">
        <v>904</v>
      </c>
      <c r="AF140" s="120" t="str">
        <f>TEXT(LEFT(Contrato[[#This Row],[CONTRATO]],3),"0")</f>
        <v>134</v>
      </c>
      <c r="AG140" s="120" t="str">
        <f>IF(LEN(Contrato[[#This Row],[Contrato2]])=3,Contrato[[#This Row],[Contrato2]],TEXT(Contrato[[#This Row],[Contrato2]],"000"))</f>
        <v>134</v>
      </c>
      <c r="AH140" s="90">
        <f ca="1">IFERROR(_xlfn.DAYS(Contrato[[#This Row],[Fecha Proyectada liquidación]],TODAY())/30,"")</f>
        <v>11.4</v>
      </c>
      <c r="AI140" s="121">
        <f>+Contrato[[#This Row],[FECHA TERMINACIÓN ]]+120</f>
        <v>46125</v>
      </c>
      <c r="AJ140" s="89"/>
      <c r="AK140" s="91" t="str">
        <f ca="1">IF(Contrato[[#This Row],[FECHA TERMINACIÓN ]]&lt;TODAY(), "Terminado",IF(ISNUMBER(Contrato[[#This Row],[Fecha Real de liquiidación ]]),"Liquidado",IF(Contrato[[#This Row],[FECHA TERMINACIÓN ]]&gt;=TODAY(),"En ejecución","")))</f>
        <v>En ejecución</v>
      </c>
      <c r="AL140" s="107">
        <f ca="1">SUMIF(COMPROMISOS_2025[[#All],[consecutivo]],Contrato[[#This Row],[RCP]],COMPROMISOS_2025[[#All],[Total pagado]])</f>
        <v>0</v>
      </c>
      <c r="AM140" s="122">
        <f ca="1">IFERROR(Contrato[[#This Row],[Pagos]]/Contrato[[#This Row],[VALOR CONTRATO]],0)</f>
        <v>0</v>
      </c>
      <c r="AN140" s="160">
        <f ca="1">+Contrato[[#This Row],[VALOR CONTRATO]]-Contrato[[#This Row],[Pagos]]</f>
        <v>61147776</v>
      </c>
      <c r="AO140" s="111" t="e" cm="1">
        <f t="array" aca="1" ref="AO140" ca="1">_xlfn.XLOOKUP(Contrato[[#This Row],[DOCUMENTO ]],PERSONAL_ACTIVO_2025[[#All],[DOCUMENTO]],PERSONAL_ACTIVO_2025[[#All],[email]],0,0)</f>
        <v>#NAME?</v>
      </c>
      <c r="AP140" s="111" t="e" cm="1">
        <f t="array" aca="1" ref="AP140" ca="1">_xlfn.XLOOKUP(Contrato[[#This Row],[DOCUMENTO]],PERSONAL_ACTIVO_2025[[#All],[DOCUMENTO]],PERSONAL_ACTIVO_2025[[#All],[email]],0,0)</f>
        <v>#NAME?</v>
      </c>
      <c r="AQ140" s="111" cm="1">
        <f t="array" aca="1" ref="AQ140" ca="1">IF(ISBLANK(Contrato[[#This Row],[DEPENDENCIA ]]),0,IFERROR(_xlfn.XLOOKUP(Contrato[[#This Row],[DEPENDENCIA ]],#REF!,#REF!,0,0),0))</f>
        <v>0</v>
      </c>
      <c r="AR140" s="553">
        <f ca="1">+_xlfn.DAYS(Contrato[[#This Row],[FECHA TERMINACIÓN ]],TODAY())</f>
        <v>222</v>
      </c>
    </row>
    <row r="141" spans="1:44" s="111" customFormat="1" ht="36" customHeight="1" x14ac:dyDescent="0.25">
      <c r="A141" s="38">
        <v>331</v>
      </c>
      <c r="B141" s="226">
        <v>135</v>
      </c>
      <c r="C141" s="88" t="s">
        <v>529</v>
      </c>
      <c r="D141" s="192" t="s">
        <v>911</v>
      </c>
      <c r="E141" s="193" t="s">
        <v>112</v>
      </c>
      <c r="F141" s="194" t="s">
        <v>113</v>
      </c>
      <c r="G141" s="195" t="s">
        <v>1195</v>
      </c>
      <c r="H141" s="167">
        <v>98551148</v>
      </c>
      <c r="I141" s="292">
        <v>6239569</v>
      </c>
      <c r="J141" s="290">
        <v>61147776</v>
      </c>
      <c r="K141" s="158" t="s">
        <v>41</v>
      </c>
      <c r="L141" s="196" t="s">
        <v>1087</v>
      </c>
      <c r="M141" s="114" t="s">
        <v>939</v>
      </c>
      <c r="N141" s="113" t="e" cm="1">
        <f t="array" aca="1" ref="N141" ca="1">_xlfn.XLOOKUP(Contrato[[#This Row],[SUPERVISOR TITULAR]],PERSONAL_ACTIVO_2025[[#All],[NOMBRES Y APELLIDOS]],PERSONAL_ACTIVO_2025[[#All],[DOCUMENTO]],"",0)</f>
        <v>#NAME?</v>
      </c>
      <c r="O141" s="114" t="s">
        <v>943</v>
      </c>
      <c r="P141" s="115" t="e" cm="1">
        <f t="array" aca="1" ref="P141" ca="1">_xlfn.XLOOKUP(Contrato[[#This Row],[SUPERVISOR SUPLENTE ]],PERSONAL_ACTIVO_2025[[#All],[NOMBRES Y APELLIDOS]],PERSONAL_ACTIVO_2025[[#All],[DOCUMENTO]],"",0)</f>
        <v>#NAME?</v>
      </c>
      <c r="Q141" s="116">
        <v>165</v>
      </c>
      <c r="R141" s="137" t="e" cm="1">
        <f t="array" aca="1" ref="R141" ca="1">_xlfn.XLOOKUP(Contrato[[#This Row],[CDP]],DISPONIBILIDADES_2025[[#All],[consecutivo]],DISPONIBILIDADES_2025[[#All],[fecha_aprobacion]],"",0)</f>
        <v>#NAME?</v>
      </c>
      <c r="S141" s="92">
        <f>SUMIF(DISPONIBILIDADES_2025[[#All],[consecutivo]],Contrato[[#This Row],[CDP]],DISPONIBILIDADES_2025[[#All],[valor_total_rubro]])</f>
        <v>61147776</v>
      </c>
      <c r="T141" s="118" t="e" cm="1">
        <f t="array" aca="1" ref="T141" ca="1">_xlfn.XLOOKUP(Contrato[[#This Row],[CONTRATO]]&amp;Contrato[[#This Row],[CDP]],Corr_Contr_CDP[[#All],[CONTRATO-CDP]],Corr_Contr_CDP[[#All],[CRP]],_xlfn.XLOOKUP(Contrato[[#This Row],[CDP]],COMPROMISOS_2025[[#All],[disponibilidad]],COMPROMISOS_2025[[#All],[consecutivo]],"",0),0)</f>
        <v>#NAME?</v>
      </c>
      <c r="U141" s="117" t="e" cm="1">
        <f t="array" aca="1" ref="U141" ca="1">+_xlfn.XLOOKUP(Contrato[[#This Row],[RCP]],COMPROMISOS_2025[[#All],[consecutivo]],COMPROMISOS_2025[[#All],[fecha_aprobacion]],"",0)</f>
        <v>#NAME?</v>
      </c>
      <c r="V141" s="93">
        <f ca="1">SUMIF(COMPROMISOS_2025[[#All],[consecutivo]],Contrato[[#This Row],[RCP]],COMPROMISOS_2025[[#All],[valor_total]])</f>
        <v>0</v>
      </c>
      <c r="W141" s="169">
        <v>45707</v>
      </c>
      <c r="X141" s="243" t="s">
        <v>901</v>
      </c>
      <c r="Y141" s="96">
        <v>45709</v>
      </c>
      <c r="Z141" s="161">
        <v>46005</v>
      </c>
      <c r="AA141" s="311" t="s">
        <v>1143</v>
      </c>
      <c r="AB141" s="119" t="s">
        <v>1127</v>
      </c>
      <c r="AC141" s="298"/>
      <c r="AD141" s="279">
        <v>202000006254</v>
      </c>
      <c r="AE141" s="38" t="s">
        <v>904</v>
      </c>
      <c r="AF141" s="120" t="str">
        <f>TEXT(LEFT(Contrato[[#This Row],[CONTRATO]],3),"0")</f>
        <v>135</v>
      </c>
      <c r="AG141" s="120" t="str">
        <f>IF(LEN(Contrato[[#This Row],[Contrato2]])=3,Contrato[[#This Row],[Contrato2]],TEXT(Contrato[[#This Row],[Contrato2]],"000"))</f>
        <v>135</v>
      </c>
      <c r="AH141" s="90">
        <f ca="1">IFERROR(_xlfn.DAYS(Contrato[[#This Row],[Fecha Proyectada liquidación]],TODAY())/30,"")</f>
        <v>11.4</v>
      </c>
      <c r="AI141" s="121">
        <f>+Contrato[[#This Row],[FECHA TERMINACIÓN ]]+120</f>
        <v>46125</v>
      </c>
      <c r="AJ141" s="89"/>
      <c r="AK141" s="91" t="str">
        <f ca="1">IF(Contrato[[#This Row],[FECHA TERMINACIÓN ]]&lt;TODAY(), "Terminado",IF(ISNUMBER(Contrato[[#This Row],[Fecha Real de liquiidación ]]),"Liquidado",IF(Contrato[[#This Row],[FECHA TERMINACIÓN ]]&gt;=TODAY(),"En ejecución","")))</f>
        <v>En ejecución</v>
      </c>
      <c r="AL141" s="107">
        <f ca="1">SUMIF(COMPROMISOS_2025[[#All],[consecutivo]],Contrato[[#This Row],[RCP]],COMPROMISOS_2025[[#All],[Total pagado]])</f>
        <v>0</v>
      </c>
      <c r="AM141" s="122">
        <f ca="1">IFERROR(Contrato[[#This Row],[Pagos]]/Contrato[[#This Row],[VALOR CONTRATO]],0)</f>
        <v>0</v>
      </c>
      <c r="AN141" s="160">
        <f ca="1">+Contrato[[#This Row],[VALOR CONTRATO]]-Contrato[[#This Row],[Pagos]]</f>
        <v>61147776</v>
      </c>
      <c r="AO141" s="111" t="e" cm="1">
        <f t="array" aca="1" ref="AO141" ca="1">_xlfn.XLOOKUP(Contrato[[#This Row],[DOCUMENTO ]],PERSONAL_ACTIVO_2025[[#All],[DOCUMENTO]],PERSONAL_ACTIVO_2025[[#All],[email]],0,0)</f>
        <v>#NAME?</v>
      </c>
      <c r="AP141" s="111" t="e" cm="1">
        <f t="array" aca="1" ref="AP141" ca="1">_xlfn.XLOOKUP(Contrato[[#This Row],[DOCUMENTO]],PERSONAL_ACTIVO_2025[[#All],[DOCUMENTO]],PERSONAL_ACTIVO_2025[[#All],[email]],0,0)</f>
        <v>#NAME?</v>
      </c>
      <c r="AQ141" s="111" cm="1">
        <f t="array" aca="1" ref="AQ141" ca="1">IF(ISBLANK(Contrato[[#This Row],[DEPENDENCIA ]]),0,IFERROR(_xlfn.XLOOKUP(Contrato[[#This Row],[DEPENDENCIA ]],#REF!,#REF!,0,0),0))</f>
        <v>0</v>
      </c>
      <c r="AR141" s="553">
        <f ca="1">+_xlfn.DAYS(Contrato[[#This Row],[FECHA TERMINACIÓN ]],TODAY())</f>
        <v>222</v>
      </c>
    </row>
    <row r="142" spans="1:44" s="111" customFormat="1" ht="36" customHeight="1" x14ac:dyDescent="0.25">
      <c r="A142" s="38">
        <v>332</v>
      </c>
      <c r="B142" s="226">
        <v>136</v>
      </c>
      <c r="C142" s="88" t="s">
        <v>530</v>
      </c>
      <c r="D142" s="192" t="s">
        <v>911</v>
      </c>
      <c r="E142" s="193" t="s">
        <v>112</v>
      </c>
      <c r="F142" s="194" t="s">
        <v>113</v>
      </c>
      <c r="G142" s="195" t="s">
        <v>1196</v>
      </c>
      <c r="H142" s="167">
        <v>1000653897</v>
      </c>
      <c r="I142" s="292">
        <v>4157906</v>
      </c>
      <c r="J142" s="290">
        <v>40747479</v>
      </c>
      <c r="K142" s="158" t="s">
        <v>41</v>
      </c>
      <c r="L142" s="196" t="s">
        <v>1087</v>
      </c>
      <c r="M142" s="114" t="s">
        <v>939</v>
      </c>
      <c r="N142" s="113" t="e" cm="1">
        <f t="array" aca="1" ref="N142" ca="1">_xlfn.XLOOKUP(Contrato[[#This Row],[SUPERVISOR TITULAR]],PERSONAL_ACTIVO_2025[[#All],[NOMBRES Y APELLIDOS]],PERSONAL_ACTIVO_2025[[#All],[DOCUMENTO]],"",0)</f>
        <v>#NAME?</v>
      </c>
      <c r="O142" s="114" t="s">
        <v>943</v>
      </c>
      <c r="P142" s="115" t="e" cm="1">
        <f t="array" aca="1" ref="P142" ca="1">_xlfn.XLOOKUP(Contrato[[#This Row],[SUPERVISOR SUPLENTE ]],PERSONAL_ACTIVO_2025[[#All],[NOMBRES Y APELLIDOS]],PERSONAL_ACTIVO_2025[[#All],[DOCUMENTO]],"",0)</f>
        <v>#NAME?</v>
      </c>
      <c r="Q142" s="116">
        <v>166</v>
      </c>
      <c r="R142" s="137" t="e" cm="1">
        <f t="array" aca="1" ref="R142" ca="1">_xlfn.XLOOKUP(Contrato[[#This Row],[CDP]],DISPONIBILIDADES_2025[[#All],[consecutivo]],DISPONIBILIDADES_2025[[#All],[fecha_aprobacion]],"",0)</f>
        <v>#NAME?</v>
      </c>
      <c r="S142" s="92">
        <f>SUMIF(DISPONIBILIDADES_2025[[#All],[consecutivo]],Contrato[[#This Row],[CDP]],DISPONIBILIDADES_2025[[#All],[valor_total_rubro]])</f>
        <v>40747479</v>
      </c>
      <c r="T142" s="118" t="e" cm="1">
        <f t="array" aca="1" ref="T142" ca="1">_xlfn.XLOOKUP(Contrato[[#This Row],[CONTRATO]]&amp;Contrato[[#This Row],[CDP]],Corr_Contr_CDP[[#All],[CONTRATO-CDP]],Corr_Contr_CDP[[#All],[CRP]],_xlfn.XLOOKUP(Contrato[[#This Row],[CDP]],COMPROMISOS_2025[[#All],[disponibilidad]],COMPROMISOS_2025[[#All],[consecutivo]],"",0),0)</f>
        <v>#NAME?</v>
      </c>
      <c r="U142" s="117" t="e" cm="1">
        <f t="array" aca="1" ref="U142" ca="1">+_xlfn.XLOOKUP(Contrato[[#This Row],[RCP]],COMPROMISOS_2025[[#All],[consecutivo]],COMPROMISOS_2025[[#All],[fecha_aprobacion]],"",0)</f>
        <v>#NAME?</v>
      </c>
      <c r="V142" s="93">
        <f ca="1">SUMIF(COMPROMISOS_2025[[#All],[consecutivo]],Contrato[[#This Row],[RCP]],COMPROMISOS_2025[[#All],[valor_total]])</f>
        <v>0</v>
      </c>
      <c r="W142" s="169">
        <v>45707</v>
      </c>
      <c r="X142" s="243" t="s">
        <v>901</v>
      </c>
      <c r="Y142" s="397">
        <v>45709</v>
      </c>
      <c r="Z142" s="161">
        <v>46005</v>
      </c>
      <c r="AA142" s="311" t="s">
        <v>1143</v>
      </c>
      <c r="AB142" s="119" t="s">
        <v>1127</v>
      </c>
      <c r="AC142" s="298"/>
      <c r="AD142" s="279">
        <v>202000006255</v>
      </c>
      <c r="AE142" s="38" t="s">
        <v>904</v>
      </c>
      <c r="AF142" s="120" t="str">
        <f>TEXT(LEFT(Contrato[[#This Row],[CONTRATO]],3),"0")</f>
        <v>136</v>
      </c>
      <c r="AG142" s="120" t="str">
        <f>IF(LEN(Contrato[[#This Row],[Contrato2]])=3,Contrato[[#This Row],[Contrato2]],TEXT(Contrato[[#This Row],[Contrato2]],"000"))</f>
        <v>136</v>
      </c>
      <c r="AH142" s="90">
        <f ca="1">IFERROR(_xlfn.DAYS(Contrato[[#This Row],[Fecha Proyectada liquidación]],TODAY())/30,"")</f>
        <v>11.4</v>
      </c>
      <c r="AI142" s="121">
        <f>+Contrato[[#This Row],[FECHA TERMINACIÓN ]]+120</f>
        <v>46125</v>
      </c>
      <c r="AJ142" s="89"/>
      <c r="AK142" s="91" t="str">
        <f ca="1">IF(Contrato[[#This Row],[FECHA TERMINACIÓN ]]&lt;TODAY(), "Terminado",IF(ISNUMBER(Contrato[[#This Row],[Fecha Real de liquiidación ]]),"Liquidado",IF(Contrato[[#This Row],[FECHA TERMINACIÓN ]]&gt;=TODAY(),"En ejecución","")))</f>
        <v>En ejecución</v>
      </c>
      <c r="AL142" s="107">
        <f ca="1">SUMIF(COMPROMISOS_2025[[#All],[consecutivo]],Contrato[[#This Row],[RCP]],COMPROMISOS_2025[[#All],[Total pagado]])</f>
        <v>0</v>
      </c>
      <c r="AM142" s="122">
        <f ca="1">IFERROR(Contrato[[#This Row],[Pagos]]/Contrato[[#This Row],[VALOR CONTRATO]],0)</f>
        <v>0</v>
      </c>
      <c r="AN142" s="160">
        <f ca="1">+Contrato[[#This Row],[VALOR CONTRATO]]-Contrato[[#This Row],[Pagos]]</f>
        <v>40747479</v>
      </c>
      <c r="AO142" s="111" t="e" cm="1">
        <f t="array" aca="1" ref="AO142" ca="1">_xlfn.XLOOKUP(Contrato[[#This Row],[DOCUMENTO ]],PERSONAL_ACTIVO_2025[[#All],[DOCUMENTO]],PERSONAL_ACTIVO_2025[[#All],[email]],0,0)</f>
        <v>#NAME?</v>
      </c>
      <c r="AP142" s="111" t="e" cm="1">
        <f t="array" aca="1" ref="AP142" ca="1">_xlfn.XLOOKUP(Contrato[[#This Row],[DOCUMENTO]],PERSONAL_ACTIVO_2025[[#All],[DOCUMENTO]],PERSONAL_ACTIVO_2025[[#All],[email]],0,0)</f>
        <v>#NAME?</v>
      </c>
      <c r="AQ142" s="111" cm="1">
        <f t="array" aca="1" ref="AQ142" ca="1">IF(ISBLANK(Contrato[[#This Row],[DEPENDENCIA ]]),0,IFERROR(_xlfn.XLOOKUP(Contrato[[#This Row],[DEPENDENCIA ]],#REF!,#REF!,0,0),0))</f>
        <v>0</v>
      </c>
      <c r="AR142" s="553">
        <f ca="1">+_xlfn.DAYS(Contrato[[#This Row],[FECHA TERMINACIÓN ]],TODAY())</f>
        <v>222</v>
      </c>
    </row>
    <row r="143" spans="1:44" s="111" customFormat="1" ht="36" customHeight="1" x14ac:dyDescent="0.25">
      <c r="A143" s="38">
        <v>333</v>
      </c>
      <c r="B143" s="226">
        <v>137</v>
      </c>
      <c r="C143" s="88" t="s">
        <v>531</v>
      </c>
      <c r="D143" s="192" t="s">
        <v>911</v>
      </c>
      <c r="E143" s="193" t="s">
        <v>112</v>
      </c>
      <c r="F143" s="194" t="s">
        <v>113</v>
      </c>
      <c r="G143" s="195" t="s">
        <v>1197</v>
      </c>
      <c r="H143" s="167">
        <v>6892057</v>
      </c>
      <c r="I143" s="292">
        <v>5164201</v>
      </c>
      <c r="J143" s="290">
        <v>50609170</v>
      </c>
      <c r="K143" s="158" t="s">
        <v>41</v>
      </c>
      <c r="L143" s="196" t="s">
        <v>1087</v>
      </c>
      <c r="M143" s="114" t="s">
        <v>939</v>
      </c>
      <c r="N143" s="113" t="e" cm="1">
        <f t="array" aca="1" ref="N143" ca="1">_xlfn.XLOOKUP(Contrato[[#This Row],[SUPERVISOR TITULAR]],PERSONAL_ACTIVO_2025[[#All],[NOMBRES Y APELLIDOS]],PERSONAL_ACTIVO_2025[[#All],[DOCUMENTO]],"",0)</f>
        <v>#NAME?</v>
      </c>
      <c r="O143" s="114" t="s">
        <v>943</v>
      </c>
      <c r="P143" s="115" t="e" cm="1">
        <f t="array" aca="1" ref="P143" ca="1">_xlfn.XLOOKUP(Contrato[[#This Row],[SUPERVISOR SUPLENTE ]],PERSONAL_ACTIVO_2025[[#All],[NOMBRES Y APELLIDOS]],PERSONAL_ACTIVO_2025[[#All],[DOCUMENTO]],"",0)</f>
        <v>#NAME?</v>
      </c>
      <c r="Q143" s="116">
        <v>167</v>
      </c>
      <c r="R143" s="137" t="e" cm="1">
        <f t="array" aca="1" ref="R143" ca="1">_xlfn.XLOOKUP(Contrato[[#This Row],[CDP]],DISPONIBILIDADES_2025[[#All],[consecutivo]],DISPONIBILIDADES_2025[[#All],[fecha_aprobacion]],"",0)</f>
        <v>#NAME?</v>
      </c>
      <c r="S143" s="92">
        <f>SUMIF(DISPONIBILIDADES_2025[[#All],[consecutivo]],Contrato[[#This Row],[CDP]],DISPONIBILIDADES_2025[[#All],[valor_total_rubro]])</f>
        <v>50609170</v>
      </c>
      <c r="T143" s="118" t="e" cm="1">
        <f t="array" aca="1" ref="T143" ca="1">_xlfn.XLOOKUP(Contrato[[#This Row],[CONTRATO]]&amp;Contrato[[#This Row],[CDP]],Corr_Contr_CDP[[#All],[CONTRATO-CDP]],Corr_Contr_CDP[[#All],[CRP]],_xlfn.XLOOKUP(Contrato[[#This Row],[CDP]],COMPROMISOS_2025[[#All],[disponibilidad]],COMPROMISOS_2025[[#All],[consecutivo]],"",0),0)</f>
        <v>#NAME?</v>
      </c>
      <c r="U143" s="117" t="e" cm="1">
        <f t="array" aca="1" ref="U143" ca="1">+_xlfn.XLOOKUP(Contrato[[#This Row],[RCP]],COMPROMISOS_2025[[#All],[consecutivo]],COMPROMISOS_2025[[#All],[fecha_aprobacion]],"",0)</f>
        <v>#NAME?</v>
      </c>
      <c r="V143" s="93">
        <f ca="1">SUMIF(COMPROMISOS_2025[[#All],[consecutivo]],Contrato[[#This Row],[RCP]],COMPROMISOS_2025[[#All],[valor_total]])</f>
        <v>0</v>
      </c>
      <c r="W143" s="169">
        <v>45708</v>
      </c>
      <c r="X143" s="395" t="s">
        <v>901</v>
      </c>
      <c r="Y143" s="394">
        <v>45713</v>
      </c>
      <c r="Z143" s="396">
        <v>46005</v>
      </c>
      <c r="AA143" s="311" t="s">
        <v>1143</v>
      </c>
      <c r="AB143" s="119" t="s">
        <v>1127</v>
      </c>
      <c r="AC143" s="298"/>
      <c r="AD143" s="279">
        <v>202000006256</v>
      </c>
      <c r="AE143" s="38" t="s">
        <v>904</v>
      </c>
      <c r="AF143" s="120" t="str">
        <f>TEXT(LEFT(Contrato[[#This Row],[CONTRATO]],3),"0")</f>
        <v>137</v>
      </c>
      <c r="AG143" s="120" t="str">
        <f>IF(LEN(Contrato[[#This Row],[Contrato2]])=3,Contrato[[#This Row],[Contrato2]],TEXT(Contrato[[#This Row],[Contrato2]],"000"))</f>
        <v>137</v>
      </c>
      <c r="AH143" s="90">
        <f ca="1">IFERROR(_xlfn.DAYS(Contrato[[#This Row],[Fecha Proyectada liquidación]],TODAY())/30,"")</f>
        <v>11.4</v>
      </c>
      <c r="AI143" s="121">
        <f>+Contrato[[#This Row],[FECHA TERMINACIÓN ]]+120</f>
        <v>46125</v>
      </c>
      <c r="AJ143" s="89"/>
      <c r="AK143" s="91" t="str">
        <f ca="1">IF(Contrato[[#This Row],[FECHA TERMINACIÓN ]]&lt;TODAY(), "Terminado",IF(ISNUMBER(Contrato[[#This Row],[Fecha Real de liquiidación ]]),"Liquidado",IF(Contrato[[#This Row],[FECHA TERMINACIÓN ]]&gt;=TODAY(),"En ejecución","")))</f>
        <v>En ejecución</v>
      </c>
      <c r="AL143" s="107">
        <f ca="1">SUMIF(COMPROMISOS_2025[[#All],[consecutivo]],Contrato[[#This Row],[RCP]],COMPROMISOS_2025[[#All],[Total pagado]])</f>
        <v>0</v>
      </c>
      <c r="AM143" s="122">
        <f ca="1">IFERROR(Contrato[[#This Row],[Pagos]]/Contrato[[#This Row],[VALOR CONTRATO]],0)</f>
        <v>0</v>
      </c>
      <c r="AN143" s="160">
        <f ca="1">+Contrato[[#This Row],[VALOR CONTRATO]]-Contrato[[#This Row],[Pagos]]</f>
        <v>50609170</v>
      </c>
      <c r="AO143" s="111" t="e" cm="1">
        <f t="array" aca="1" ref="AO143" ca="1">_xlfn.XLOOKUP(Contrato[[#This Row],[DOCUMENTO ]],PERSONAL_ACTIVO_2025[[#All],[DOCUMENTO]],PERSONAL_ACTIVO_2025[[#All],[email]],0,0)</f>
        <v>#NAME?</v>
      </c>
      <c r="AP143" s="111" t="e" cm="1">
        <f t="array" aca="1" ref="AP143" ca="1">_xlfn.XLOOKUP(Contrato[[#This Row],[DOCUMENTO]],PERSONAL_ACTIVO_2025[[#All],[DOCUMENTO]],PERSONAL_ACTIVO_2025[[#All],[email]],0,0)</f>
        <v>#NAME?</v>
      </c>
      <c r="AQ143" s="111" cm="1">
        <f t="array" aca="1" ref="AQ143" ca="1">IF(ISBLANK(Contrato[[#This Row],[DEPENDENCIA ]]),0,IFERROR(_xlfn.XLOOKUP(Contrato[[#This Row],[DEPENDENCIA ]],#REF!,#REF!,0,0),0))</f>
        <v>0</v>
      </c>
      <c r="AR143" s="553">
        <f ca="1">+_xlfn.DAYS(Contrato[[#This Row],[FECHA TERMINACIÓN ]],TODAY())</f>
        <v>222</v>
      </c>
    </row>
    <row r="144" spans="1:44" s="111" customFormat="1" ht="36" customHeight="1" x14ac:dyDescent="0.25">
      <c r="A144" s="38">
        <v>334</v>
      </c>
      <c r="B144" s="226">
        <v>138</v>
      </c>
      <c r="C144" s="88" t="s">
        <v>532</v>
      </c>
      <c r="D144" s="192" t="s">
        <v>911</v>
      </c>
      <c r="E144" s="193" t="s">
        <v>112</v>
      </c>
      <c r="F144" s="194" t="s">
        <v>113</v>
      </c>
      <c r="G144" s="195" t="s">
        <v>1198</v>
      </c>
      <c r="H144" s="167">
        <v>1128478840</v>
      </c>
      <c r="I144" s="292">
        <v>2708734</v>
      </c>
      <c r="J144" s="290">
        <v>26545593</v>
      </c>
      <c r="K144" s="158" t="s">
        <v>41</v>
      </c>
      <c r="L144" s="196" t="s">
        <v>1087</v>
      </c>
      <c r="M144" s="114" t="s">
        <v>939</v>
      </c>
      <c r="N144" s="113" t="e" cm="1">
        <f t="array" aca="1" ref="N144" ca="1">_xlfn.XLOOKUP(Contrato[[#This Row],[SUPERVISOR TITULAR]],PERSONAL_ACTIVO_2025[[#All],[NOMBRES Y APELLIDOS]],PERSONAL_ACTIVO_2025[[#All],[DOCUMENTO]],"",0)</f>
        <v>#NAME?</v>
      </c>
      <c r="O144" s="114" t="s">
        <v>943</v>
      </c>
      <c r="P144" s="115" t="e" cm="1">
        <f t="array" aca="1" ref="P144" ca="1">_xlfn.XLOOKUP(Contrato[[#This Row],[SUPERVISOR SUPLENTE ]],PERSONAL_ACTIVO_2025[[#All],[NOMBRES Y APELLIDOS]],PERSONAL_ACTIVO_2025[[#All],[DOCUMENTO]],"",0)</f>
        <v>#NAME?</v>
      </c>
      <c r="Q144" s="116">
        <v>168</v>
      </c>
      <c r="R144" s="137" t="e" cm="1">
        <f t="array" aca="1" ref="R144" ca="1">_xlfn.XLOOKUP(Contrato[[#This Row],[CDP]],DISPONIBILIDADES_2025[[#All],[consecutivo]],DISPONIBILIDADES_2025[[#All],[fecha_aprobacion]],"",0)</f>
        <v>#NAME?</v>
      </c>
      <c r="S144" s="92">
        <f>SUMIF(DISPONIBILIDADES_2025[[#All],[consecutivo]],Contrato[[#This Row],[CDP]],DISPONIBILIDADES_2025[[#All],[valor_total_rubro]])</f>
        <v>26545593</v>
      </c>
      <c r="T144" s="118" t="e" cm="1">
        <f t="array" aca="1" ref="T144" ca="1">_xlfn.XLOOKUP(Contrato[[#This Row],[CONTRATO]]&amp;Contrato[[#This Row],[CDP]],Corr_Contr_CDP[[#All],[CONTRATO-CDP]],Corr_Contr_CDP[[#All],[CRP]],_xlfn.XLOOKUP(Contrato[[#This Row],[CDP]],COMPROMISOS_2025[[#All],[disponibilidad]],COMPROMISOS_2025[[#All],[consecutivo]],"",0),0)</f>
        <v>#NAME?</v>
      </c>
      <c r="U144" s="117" t="e" cm="1">
        <f t="array" aca="1" ref="U144" ca="1">+_xlfn.XLOOKUP(Contrato[[#This Row],[RCP]],COMPROMISOS_2025[[#All],[consecutivo]],COMPROMISOS_2025[[#All],[fecha_aprobacion]],"",0)</f>
        <v>#NAME?</v>
      </c>
      <c r="V144" s="93">
        <f ca="1">SUMIF(COMPROMISOS_2025[[#All],[consecutivo]],Contrato[[#This Row],[RCP]],COMPROMISOS_2025[[#All],[valor_total]])</f>
        <v>0</v>
      </c>
      <c r="W144" s="169">
        <v>45708</v>
      </c>
      <c r="X144" s="395" t="s">
        <v>901</v>
      </c>
      <c r="Y144" s="394">
        <v>45710</v>
      </c>
      <c r="Z144" s="396">
        <v>46005</v>
      </c>
      <c r="AA144" s="311" t="s">
        <v>1130</v>
      </c>
      <c r="AB144" s="119" t="s">
        <v>1127</v>
      </c>
      <c r="AC144" s="298"/>
      <c r="AD144" s="279">
        <v>202000006257</v>
      </c>
      <c r="AE144" s="38" t="s">
        <v>904</v>
      </c>
      <c r="AF144" s="120" t="str">
        <f>TEXT(LEFT(Contrato[[#This Row],[CONTRATO]],3),"0")</f>
        <v>138</v>
      </c>
      <c r="AG144" s="120" t="str">
        <f>IF(LEN(Contrato[[#This Row],[Contrato2]])=3,Contrato[[#This Row],[Contrato2]],TEXT(Contrato[[#This Row],[Contrato2]],"000"))</f>
        <v>138</v>
      </c>
      <c r="AH144" s="90">
        <f ca="1">IFERROR(_xlfn.DAYS(Contrato[[#This Row],[Fecha Proyectada liquidación]],TODAY())/30,"")</f>
        <v>11.4</v>
      </c>
      <c r="AI144" s="121">
        <f>+Contrato[[#This Row],[FECHA TERMINACIÓN ]]+120</f>
        <v>46125</v>
      </c>
      <c r="AJ144" s="89"/>
      <c r="AK144" s="91" t="str">
        <f ca="1">IF(Contrato[[#This Row],[FECHA TERMINACIÓN ]]&lt;TODAY(), "Terminado",IF(ISNUMBER(Contrato[[#This Row],[Fecha Real de liquiidación ]]),"Liquidado",IF(Contrato[[#This Row],[FECHA TERMINACIÓN ]]&gt;=TODAY(),"En ejecución","")))</f>
        <v>En ejecución</v>
      </c>
      <c r="AL144" s="107">
        <f ca="1">SUMIF(COMPROMISOS_2025[[#All],[consecutivo]],Contrato[[#This Row],[RCP]],COMPROMISOS_2025[[#All],[Total pagado]])</f>
        <v>0</v>
      </c>
      <c r="AM144" s="122">
        <f ca="1">IFERROR(Contrato[[#This Row],[Pagos]]/Contrato[[#This Row],[VALOR CONTRATO]],0)</f>
        <v>0</v>
      </c>
      <c r="AN144" s="160">
        <f ca="1">+Contrato[[#This Row],[VALOR CONTRATO]]-Contrato[[#This Row],[Pagos]]</f>
        <v>26545593</v>
      </c>
      <c r="AO144" s="111" t="e" cm="1">
        <f t="array" aca="1" ref="AO144" ca="1">_xlfn.XLOOKUP(Contrato[[#This Row],[DOCUMENTO ]],PERSONAL_ACTIVO_2025[[#All],[DOCUMENTO]],PERSONAL_ACTIVO_2025[[#All],[email]],0,0)</f>
        <v>#NAME?</v>
      </c>
      <c r="AP144" s="111" t="e" cm="1">
        <f t="array" aca="1" ref="AP144" ca="1">_xlfn.XLOOKUP(Contrato[[#This Row],[DOCUMENTO]],PERSONAL_ACTIVO_2025[[#All],[DOCUMENTO]],PERSONAL_ACTIVO_2025[[#All],[email]],0,0)</f>
        <v>#NAME?</v>
      </c>
      <c r="AQ144" s="111" cm="1">
        <f t="array" aca="1" ref="AQ144" ca="1">IF(ISBLANK(Contrato[[#This Row],[DEPENDENCIA ]]),0,IFERROR(_xlfn.XLOOKUP(Contrato[[#This Row],[DEPENDENCIA ]],#REF!,#REF!,0,0),0))</f>
        <v>0</v>
      </c>
      <c r="AR144" s="553">
        <f ca="1">+_xlfn.DAYS(Contrato[[#This Row],[FECHA TERMINACIÓN ]],TODAY())</f>
        <v>222</v>
      </c>
    </row>
    <row r="145" spans="1:44" s="111" customFormat="1" ht="36" customHeight="1" x14ac:dyDescent="0.25">
      <c r="A145" s="38">
        <v>336</v>
      </c>
      <c r="B145" s="226">
        <v>139</v>
      </c>
      <c r="C145" s="88" t="s">
        <v>534</v>
      </c>
      <c r="D145" s="192" t="s">
        <v>911</v>
      </c>
      <c r="E145" s="193" t="s">
        <v>112</v>
      </c>
      <c r="F145" s="194" t="s">
        <v>113</v>
      </c>
      <c r="G145" s="195" t="s">
        <v>1199</v>
      </c>
      <c r="H145" s="167">
        <v>1039078154</v>
      </c>
      <c r="I145" s="292">
        <v>2708734</v>
      </c>
      <c r="J145" s="290">
        <v>26545593</v>
      </c>
      <c r="K145" s="158" t="s">
        <v>41</v>
      </c>
      <c r="L145" s="196" t="s">
        <v>1087</v>
      </c>
      <c r="M145" s="114" t="s">
        <v>939</v>
      </c>
      <c r="N145" s="113" t="e" cm="1">
        <f t="array" aca="1" ref="N145" ca="1">_xlfn.XLOOKUP(Contrato[[#This Row],[SUPERVISOR TITULAR]],PERSONAL_ACTIVO_2025[[#All],[NOMBRES Y APELLIDOS]],PERSONAL_ACTIVO_2025[[#All],[DOCUMENTO]],"",0)</f>
        <v>#NAME?</v>
      </c>
      <c r="O145" s="114" t="s">
        <v>943</v>
      </c>
      <c r="P145" s="115" t="e" cm="1">
        <f t="array" aca="1" ref="P145" ca="1">_xlfn.XLOOKUP(Contrato[[#This Row],[SUPERVISOR SUPLENTE ]],PERSONAL_ACTIVO_2025[[#All],[NOMBRES Y APELLIDOS]],PERSONAL_ACTIVO_2025[[#All],[DOCUMENTO]],"",0)</f>
        <v>#NAME?</v>
      </c>
      <c r="Q145" s="116">
        <v>170</v>
      </c>
      <c r="R145" s="137" t="e" cm="1">
        <f t="array" aca="1" ref="R145" ca="1">_xlfn.XLOOKUP(Contrato[[#This Row],[CDP]],DISPONIBILIDADES_2025[[#All],[consecutivo]],DISPONIBILIDADES_2025[[#All],[fecha_aprobacion]],"",0)</f>
        <v>#NAME?</v>
      </c>
      <c r="S145" s="92">
        <f>SUMIF(DISPONIBILIDADES_2025[[#All],[consecutivo]],Contrato[[#This Row],[CDP]],DISPONIBILIDADES_2025[[#All],[valor_total_rubro]])</f>
        <v>26545593</v>
      </c>
      <c r="T145" s="118" t="e" cm="1">
        <f t="array" aca="1" ref="T145" ca="1">_xlfn.XLOOKUP(Contrato[[#This Row],[CONTRATO]]&amp;Contrato[[#This Row],[CDP]],Corr_Contr_CDP[[#All],[CONTRATO-CDP]],Corr_Contr_CDP[[#All],[CRP]],_xlfn.XLOOKUP(Contrato[[#This Row],[CDP]],COMPROMISOS_2025[[#All],[disponibilidad]],COMPROMISOS_2025[[#All],[consecutivo]],"",0),0)</f>
        <v>#NAME?</v>
      </c>
      <c r="U145" s="117" t="e" cm="1">
        <f t="array" aca="1" ref="U145" ca="1">+_xlfn.XLOOKUP(Contrato[[#This Row],[RCP]],COMPROMISOS_2025[[#All],[consecutivo]],COMPROMISOS_2025[[#All],[fecha_aprobacion]],"",0)</f>
        <v>#NAME?</v>
      </c>
      <c r="V145" s="93">
        <f ca="1">SUMIF(COMPROMISOS_2025[[#All],[consecutivo]],Contrato[[#This Row],[RCP]],COMPROMISOS_2025[[#All],[valor_total]])</f>
        <v>0</v>
      </c>
      <c r="W145" s="169">
        <v>45708</v>
      </c>
      <c r="X145" s="243" t="s">
        <v>901</v>
      </c>
      <c r="Y145" s="397">
        <v>45709</v>
      </c>
      <c r="Z145" s="161">
        <v>46005</v>
      </c>
      <c r="AA145" s="311" t="s">
        <v>1130</v>
      </c>
      <c r="AB145" s="119" t="s">
        <v>1127</v>
      </c>
      <c r="AC145" s="298"/>
      <c r="AD145" s="279">
        <v>202000006258</v>
      </c>
      <c r="AE145" s="38" t="s">
        <v>904</v>
      </c>
      <c r="AF145" s="120" t="str">
        <f>TEXT(LEFT(Contrato[[#This Row],[CONTRATO]],3),"0")</f>
        <v>139</v>
      </c>
      <c r="AG145" s="120" t="str">
        <f>IF(LEN(Contrato[[#This Row],[Contrato2]])=3,Contrato[[#This Row],[Contrato2]],TEXT(Contrato[[#This Row],[Contrato2]],"000"))</f>
        <v>139</v>
      </c>
      <c r="AH145" s="90">
        <f ca="1">IFERROR(_xlfn.DAYS(Contrato[[#This Row],[Fecha Proyectada liquidación]],TODAY())/30,"")</f>
        <v>11.4</v>
      </c>
      <c r="AI145" s="121">
        <f>+Contrato[[#This Row],[FECHA TERMINACIÓN ]]+120</f>
        <v>46125</v>
      </c>
      <c r="AJ145" s="89"/>
      <c r="AK145" s="91" t="str">
        <f ca="1">IF(Contrato[[#This Row],[FECHA TERMINACIÓN ]]&lt;TODAY(), "Terminado",IF(ISNUMBER(Contrato[[#This Row],[Fecha Real de liquiidación ]]),"Liquidado",IF(Contrato[[#This Row],[FECHA TERMINACIÓN ]]&gt;=TODAY(),"En ejecución","")))</f>
        <v>En ejecución</v>
      </c>
      <c r="AL145" s="107">
        <f ca="1">SUMIF(COMPROMISOS_2025[[#All],[consecutivo]],Contrato[[#This Row],[RCP]],COMPROMISOS_2025[[#All],[Total pagado]])</f>
        <v>0</v>
      </c>
      <c r="AM145" s="122">
        <f ca="1">IFERROR(Contrato[[#This Row],[Pagos]]/Contrato[[#This Row],[VALOR CONTRATO]],0)</f>
        <v>0</v>
      </c>
      <c r="AN145" s="160">
        <f ca="1">+Contrato[[#This Row],[VALOR CONTRATO]]-Contrato[[#This Row],[Pagos]]</f>
        <v>26545593</v>
      </c>
      <c r="AO145" s="111" t="e" cm="1">
        <f t="array" aca="1" ref="AO145" ca="1">_xlfn.XLOOKUP(Contrato[[#This Row],[DOCUMENTO ]],PERSONAL_ACTIVO_2025[[#All],[DOCUMENTO]],PERSONAL_ACTIVO_2025[[#All],[email]],0,0)</f>
        <v>#NAME?</v>
      </c>
      <c r="AP145" s="111" t="e" cm="1">
        <f t="array" aca="1" ref="AP145" ca="1">_xlfn.XLOOKUP(Contrato[[#This Row],[DOCUMENTO]],PERSONAL_ACTIVO_2025[[#All],[DOCUMENTO]],PERSONAL_ACTIVO_2025[[#All],[email]],0,0)</f>
        <v>#NAME?</v>
      </c>
      <c r="AQ145" s="111" cm="1">
        <f t="array" aca="1" ref="AQ145" ca="1">IF(ISBLANK(Contrato[[#This Row],[DEPENDENCIA ]]),0,IFERROR(_xlfn.XLOOKUP(Contrato[[#This Row],[DEPENDENCIA ]],#REF!,#REF!,0,0),0))</f>
        <v>0</v>
      </c>
      <c r="AR145" s="553">
        <f ca="1">+_xlfn.DAYS(Contrato[[#This Row],[FECHA TERMINACIÓN ]],TODAY())</f>
        <v>222</v>
      </c>
    </row>
    <row r="146" spans="1:44" s="111" customFormat="1" ht="36" customHeight="1" x14ac:dyDescent="0.25">
      <c r="A146" s="38">
        <v>337</v>
      </c>
      <c r="B146" s="226">
        <v>140</v>
      </c>
      <c r="C146" s="88" t="s">
        <v>535</v>
      </c>
      <c r="D146" s="192" t="s">
        <v>911</v>
      </c>
      <c r="E146" s="193" t="s">
        <v>112</v>
      </c>
      <c r="F146" s="194" t="s">
        <v>113</v>
      </c>
      <c r="G146" s="195" t="s">
        <v>1200</v>
      </c>
      <c r="H146" s="167">
        <v>8188483</v>
      </c>
      <c r="I146" s="292">
        <v>2708734</v>
      </c>
      <c r="J146" s="290">
        <v>26545593</v>
      </c>
      <c r="K146" s="158" t="s">
        <v>41</v>
      </c>
      <c r="L146" s="196" t="s">
        <v>1087</v>
      </c>
      <c r="M146" s="114" t="s">
        <v>939</v>
      </c>
      <c r="N146" s="113" t="e" cm="1">
        <f t="array" aca="1" ref="N146" ca="1">_xlfn.XLOOKUP(Contrato[[#This Row],[SUPERVISOR TITULAR]],PERSONAL_ACTIVO_2025[[#All],[NOMBRES Y APELLIDOS]],PERSONAL_ACTIVO_2025[[#All],[DOCUMENTO]],"",0)</f>
        <v>#NAME?</v>
      </c>
      <c r="O146" s="114" t="s">
        <v>943</v>
      </c>
      <c r="P146" s="115" t="e" cm="1">
        <f t="array" aca="1" ref="P146" ca="1">_xlfn.XLOOKUP(Contrato[[#This Row],[SUPERVISOR SUPLENTE ]],PERSONAL_ACTIVO_2025[[#All],[NOMBRES Y APELLIDOS]],PERSONAL_ACTIVO_2025[[#All],[DOCUMENTO]],"",0)</f>
        <v>#NAME?</v>
      </c>
      <c r="Q146" s="116">
        <v>171</v>
      </c>
      <c r="R146" s="137" t="e" cm="1">
        <f t="array" aca="1" ref="R146" ca="1">_xlfn.XLOOKUP(Contrato[[#This Row],[CDP]],DISPONIBILIDADES_2025[[#All],[consecutivo]],DISPONIBILIDADES_2025[[#All],[fecha_aprobacion]],"",0)</f>
        <v>#NAME?</v>
      </c>
      <c r="S146" s="92">
        <f>SUMIF(DISPONIBILIDADES_2025[[#All],[consecutivo]],Contrato[[#This Row],[CDP]],DISPONIBILIDADES_2025[[#All],[valor_total_rubro]])</f>
        <v>26545593</v>
      </c>
      <c r="T146" s="118" t="e" cm="1">
        <f t="array" aca="1" ref="T146" ca="1">_xlfn.XLOOKUP(Contrato[[#This Row],[CONTRATO]]&amp;Contrato[[#This Row],[CDP]],Corr_Contr_CDP[[#All],[CONTRATO-CDP]],Corr_Contr_CDP[[#All],[CRP]],_xlfn.XLOOKUP(Contrato[[#This Row],[CDP]],COMPROMISOS_2025[[#All],[disponibilidad]],COMPROMISOS_2025[[#All],[consecutivo]],"",0),0)</f>
        <v>#NAME?</v>
      </c>
      <c r="U146" s="117" t="e" cm="1">
        <f t="array" aca="1" ref="U146" ca="1">+_xlfn.XLOOKUP(Contrato[[#This Row],[RCP]],COMPROMISOS_2025[[#All],[consecutivo]],COMPROMISOS_2025[[#All],[fecha_aprobacion]],"",0)</f>
        <v>#NAME?</v>
      </c>
      <c r="V146" s="93">
        <f ca="1">SUMIF(COMPROMISOS_2025[[#All],[consecutivo]],Contrato[[#This Row],[RCP]],COMPROMISOS_2025[[#All],[valor_total]])</f>
        <v>0</v>
      </c>
      <c r="W146" s="169">
        <v>45708</v>
      </c>
      <c r="X146" s="243" t="s">
        <v>901</v>
      </c>
      <c r="Y146" s="397">
        <v>45709</v>
      </c>
      <c r="Z146" s="161">
        <v>46005</v>
      </c>
      <c r="AA146" s="311" t="s">
        <v>1143</v>
      </c>
      <c r="AB146" s="119" t="s">
        <v>1127</v>
      </c>
      <c r="AC146" s="298"/>
      <c r="AD146" s="279">
        <v>202000006297</v>
      </c>
      <c r="AE146" s="38" t="s">
        <v>904</v>
      </c>
      <c r="AF146" s="120" t="str">
        <f>TEXT(LEFT(Contrato[[#This Row],[CONTRATO]],3),"0")</f>
        <v>140</v>
      </c>
      <c r="AG146" s="120" t="str">
        <f>IF(LEN(Contrato[[#This Row],[Contrato2]])=3,Contrato[[#This Row],[Contrato2]],TEXT(Contrato[[#This Row],[Contrato2]],"000"))</f>
        <v>140</v>
      </c>
      <c r="AH146" s="90">
        <f ca="1">IFERROR(_xlfn.DAYS(Contrato[[#This Row],[Fecha Proyectada liquidación]],TODAY())/30,"")</f>
        <v>11.4</v>
      </c>
      <c r="AI146" s="121">
        <f>+Contrato[[#This Row],[FECHA TERMINACIÓN ]]+120</f>
        <v>46125</v>
      </c>
      <c r="AJ146" s="89"/>
      <c r="AK146" s="91" t="str">
        <f ca="1">IF(Contrato[[#This Row],[FECHA TERMINACIÓN ]]&lt;TODAY(), "Terminado",IF(ISNUMBER(Contrato[[#This Row],[Fecha Real de liquiidación ]]),"Liquidado",IF(Contrato[[#This Row],[FECHA TERMINACIÓN ]]&gt;=TODAY(),"En ejecución","")))</f>
        <v>En ejecución</v>
      </c>
      <c r="AL146" s="107">
        <f ca="1">SUMIF(COMPROMISOS_2025[[#All],[consecutivo]],Contrato[[#This Row],[RCP]],COMPROMISOS_2025[[#All],[Total pagado]])</f>
        <v>0</v>
      </c>
      <c r="AM146" s="122">
        <f ca="1">IFERROR(Contrato[[#This Row],[Pagos]]/Contrato[[#This Row],[VALOR CONTRATO]],0)</f>
        <v>0</v>
      </c>
      <c r="AN146" s="160">
        <f ca="1">+Contrato[[#This Row],[VALOR CONTRATO]]-Contrato[[#This Row],[Pagos]]</f>
        <v>26545593</v>
      </c>
      <c r="AO146" s="111" t="e" cm="1">
        <f t="array" aca="1" ref="AO146" ca="1">_xlfn.XLOOKUP(Contrato[[#This Row],[DOCUMENTO ]],PERSONAL_ACTIVO_2025[[#All],[DOCUMENTO]],PERSONAL_ACTIVO_2025[[#All],[email]],0,0)</f>
        <v>#NAME?</v>
      </c>
      <c r="AP146" s="111" t="e" cm="1">
        <f t="array" aca="1" ref="AP146" ca="1">_xlfn.XLOOKUP(Contrato[[#This Row],[DOCUMENTO]],PERSONAL_ACTIVO_2025[[#All],[DOCUMENTO]],PERSONAL_ACTIVO_2025[[#All],[email]],0,0)</f>
        <v>#NAME?</v>
      </c>
      <c r="AQ146" s="111" cm="1">
        <f t="array" aca="1" ref="AQ146" ca="1">IF(ISBLANK(Contrato[[#This Row],[DEPENDENCIA ]]),0,IFERROR(_xlfn.XLOOKUP(Contrato[[#This Row],[DEPENDENCIA ]],#REF!,#REF!,0,0),0))</f>
        <v>0</v>
      </c>
      <c r="AR146" s="553">
        <f ca="1">+_xlfn.DAYS(Contrato[[#This Row],[FECHA TERMINACIÓN ]],TODAY())</f>
        <v>222</v>
      </c>
    </row>
    <row r="147" spans="1:44" s="111" customFormat="1" ht="36" customHeight="1" x14ac:dyDescent="0.25">
      <c r="A147" s="38">
        <v>338</v>
      </c>
      <c r="B147" s="226">
        <v>141</v>
      </c>
      <c r="C147" s="88" t="s">
        <v>536</v>
      </c>
      <c r="D147" s="192" t="s">
        <v>911</v>
      </c>
      <c r="E147" s="193" t="s">
        <v>112</v>
      </c>
      <c r="F147" s="194" t="s">
        <v>113</v>
      </c>
      <c r="G147" s="195" t="s">
        <v>1201</v>
      </c>
      <c r="H147" s="167">
        <v>1036955178</v>
      </c>
      <c r="I147" s="292">
        <v>5164201</v>
      </c>
      <c r="J147" s="290">
        <v>50609170</v>
      </c>
      <c r="K147" s="158" t="s">
        <v>41</v>
      </c>
      <c r="L147" s="196" t="s">
        <v>1087</v>
      </c>
      <c r="M147" s="114" t="s">
        <v>939</v>
      </c>
      <c r="N147" s="113" t="e" cm="1">
        <f t="array" aca="1" ref="N147" ca="1">_xlfn.XLOOKUP(Contrato[[#This Row],[SUPERVISOR TITULAR]],PERSONAL_ACTIVO_2025[[#All],[NOMBRES Y APELLIDOS]],PERSONAL_ACTIVO_2025[[#All],[DOCUMENTO]],"",0)</f>
        <v>#NAME?</v>
      </c>
      <c r="O147" s="114" t="s">
        <v>943</v>
      </c>
      <c r="P147" s="115" t="e" cm="1">
        <f t="array" aca="1" ref="P147" ca="1">_xlfn.XLOOKUP(Contrato[[#This Row],[SUPERVISOR SUPLENTE ]],PERSONAL_ACTIVO_2025[[#All],[NOMBRES Y APELLIDOS]],PERSONAL_ACTIVO_2025[[#All],[DOCUMENTO]],"",0)</f>
        <v>#NAME?</v>
      </c>
      <c r="Q147" s="116">
        <v>172</v>
      </c>
      <c r="R147" s="137" t="e" cm="1">
        <f t="array" aca="1" ref="R147" ca="1">_xlfn.XLOOKUP(Contrato[[#This Row],[CDP]],DISPONIBILIDADES_2025[[#All],[consecutivo]],DISPONIBILIDADES_2025[[#All],[fecha_aprobacion]],"",0)</f>
        <v>#NAME?</v>
      </c>
      <c r="S147" s="92">
        <f>SUMIF(DISPONIBILIDADES_2025[[#All],[consecutivo]],Contrato[[#This Row],[CDP]],DISPONIBILIDADES_2025[[#All],[valor_total_rubro]])</f>
        <v>50609170</v>
      </c>
      <c r="T147" s="118" t="e" cm="1">
        <f t="array" aca="1" ref="T147" ca="1">_xlfn.XLOOKUP(Contrato[[#This Row],[CONTRATO]]&amp;Contrato[[#This Row],[CDP]],Corr_Contr_CDP[[#All],[CONTRATO-CDP]],Corr_Contr_CDP[[#All],[CRP]],_xlfn.XLOOKUP(Contrato[[#This Row],[CDP]],COMPROMISOS_2025[[#All],[disponibilidad]],COMPROMISOS_2025[[#All],[consecutivo]],"",0),0)</f>
        <v>#NAME?</v>
      </c>
      <c r="U147" s="117" t="e" cm="1">
        <f t="array" aca="1" ref="U147" ca="1">+_xlfn.XLOOKUP(Contrato[[#This Row],[RCP]],COMPROMISOS_2025[[#All],[consecutivo]],COMPROMISOS_2025[[#All],[fecha_aprobacion]],"",0)</f>
        <v>#NAME?</v>
      </c>
      <c r="V147" s="93">
        <f ca="1">SUMIF(COMPROMISOS_2025[[#All],[consecutivo]],Contrato[[#This Row],[RCP]],COMPROMISOS_2025[[#All],[valor_total]])</f>
        <v>0</v>
      </c>
      <c r="W147" s="169">
        <v>45708</v>
      </c>
      <c r="X147" s="243" t="s">
        <v>901</v>
      </c>
      <c r="Y147" s="397">
        <v>45709</v>
      </c>
      <c r="Z147" s="161">
        <v>46005</v>
      </c>
      <c r="AA147" s="311" t="s">
        <v>1130</v>
      </c>
      <c r="AB147" s="119" t="s">
        <v>1127</v>
      </c>
      <c r="AC147" s="298"/>
      <c r="AD147" s="279">
        <v>202000006259</v>
      </c>
      <c r="AE147" s="38" t="s">
        <v>904</v>
      </c>
      <c r="AF147" s="120" t="str">
        <f>TEXT(LEFT(Contrato[[#This Row],[CONTRATO]],3),"0")</f>
        <v>141</v>
      </c>
      <c r="AG147" s="120" t="str">
        <f>IF(LEN(Contrato[[#This Row],[Contrato2]])=3,Contrato[[#This Row],[Contrato2]],TEXT(Contrato[[#This Row],[Contrato2]],"000"))</f>
        <v>141</v>
      </c>
      <c r="AH147" s="90">
        <f ca="1">IFERROR(_xlfn.DAYS(Contrato[[#This Row],[Fecha Proyectada liquidación]],TODAY())/30,"")</f>
        <v>11.4</v>
      </c>
      <c r="AI147" s="121">
        <f>+Contrato[[#This Row],[FECHA TERMINACIÓN ]]+120</f>
        <v>46125</v>
      </c>
      <c r="AJ147" s="89"/>
      <c r="AK147" s="91" t="str">
        <f ca="1">IF(Contrato[[#This Row],[FECHA TERMINACIÓN ]]&lt;TODAY(), "Terminado",IF(ISNUMBER(Contrato[[#This Row],[Fecha Real de liquiidación ]]),"Liquidado",IF(Contrato[[#This Row],[FECHA TERMINACIÓN ]]&gt;=TODAY(),"En ejecución","")))</f>
        <v>En ejecución</v>
      </c>
      <c r="AL147" s="107">
        <f ca="1">SUMIF(COMPROMISOS_2025[[#All],[consecutivo]],Contrato[[#This Row],[RCP]],COMPROMISOS_2025[[#All],[Total pagado]])</f>
        <v>0</v>
      </c>
      <c r="AM147" s="122">
        <f ca="1">IFERROR(Contrato[[#This Row],[Pagos]]/Contrato[[#This Row],[VALOR CONTRATO]],0)</f>
        <v>0</v>
      </c>
      <c r="AN147" s="160">
        <f ca="1">+Contrato[[#This Row],[VALOR CONTRATO]]-Contrato[[#This Row],[Pagos]]</f>
        <v>50609170</v>
      </c>
      <c r="AO147" s="111" t="e" cm="1">
        <f t="array" aca="1" ref="AO147" ca="1">_xlfn.XLOOKUP(Contrato[[#This Row],[DOCUMENTO ]],PERSONAL_ACTIVO_2025[[#All],[DOCUMENTO]],PERSONAL_ACTIVO_2025[[#All],[email]],0,0)</f>
        <v>#NAME?</v>
      </c>
      <c r="AP147" s="111" t="e" cm="1">
        <f t="array" aca="1" ref="AP147" ca="1">_xlfn.XLOOKUP(Contrato[[#This Row],[DOCUMENTO]],PERSONAL_ACTIVO_2025[[#All],[DOCUMENTO]],PERSONAL_ACTIVO_2025[[#All],[email]],0,0)</f>
        <v>#NAME?</v>
      </c>
      <c r="AQ147" s="111" cm="1">
        <f t="array" aca="1" ref="AQ147" ca="1">IF(ISBLANK(Contrato[[#This Row],[DEPENDENCIA ]]),0,IFERROR(_xlfn.XLOOKUP(Contrato[[#This Row],[DEPENDENCIA ]],#REF!,#REF!,0,0),0))</f>
        <v>0</v>
      </c>
      <c r="AR147" s="553">
        <f ca="1">+_xlfn.DAYS(Contrato[[#This Row],[FECHA TERMINACIÓN ]],TODAY())</f>
        <v>222</v>
      </c>
    </row>
    <row r="148" spans="1:44" s="111" customFormat="1" ht="36" customHeight="1" x14ac:dyDescent="0.25">
      <c r="A148" s="38">
        <v>339</v>
      </c>
      <c r="B148" s="226">
        <v>142</v>
      </c>
      <c r="C148" s="88" t="s">
        <v>537</v>
      </c>
      <c r="D148" s="192" t="s">
        <v>911</v>
      </c>
      <c r="E148" s="193" t="s">
        <v>112</v>
      </c>
      <c r="F148" s="194" t="s">
        <v>113</v>
      </c>
      <c r="G148" s="195" t="s">
        <v>1202</v>
      </c>
      <c r="H148" s="167">
        <v>71732235</v>
      </c>
      <c r="I148" s="292">
        <v>2708734</v>
      </c>
      <c r="J148" s="290">
        <v>26545593</v>
      </c>
      <c r="K148" s="158" t="s">
        <v>41</v>
      </c>
      <c r="L148" s="196" t="s">
        <v>1087</v>
      </c>
      <c r="M148" s="114" t="s">
        <v>939</v>
      </c>
      <c r="N148" s="113" t="e" cm="1">
        <f t="array" aca="1" ref="N148" ca="1">_xlfn.XLOOKUP(Contrato[[#This Row],[SUPERVISOR TITULAR]],PERSONAL_ACTIVO_2025[[#All],[NOMBRES Y APELLIDOS]],PERSONAL_ACTIVO_2025[[#All],[DOCUMENTO]],"",0)</f>
        <v>#NAME?</v>
      </c>
      <c r="O148" s="114" t="s">
        <v>943</v>
      </c>
      <c r="P148" s="115" t="e" cm="1">
        <f t="array" aca="1" ref="P148" ca="1">_xlfn.XLOOKUP(Contrato[[#This Row],[SUPERVISOR SUPLENTE ]],PERSONAL_ACTIVO_2025[[#All],[NOMBRES Y APELLIDOS]],PERSONAL_ACTIVO_2025[[#All],[DOCUMENTO]],"",0)</f>
        <v>#NAME?</v>
      </c>
      <c r="Q148" s="116">
        <v>173</v>
      </c>
      <c r="R148" s="137" t="e" cm="1">
        <f t="array" aca="1" ref="R148" ca="1">_xlfn.XLOOKUP(Contrato[[#This Row],[CDP]],DISPONIBILIDADES_2025[[#All],[consecutivo]],DISPONIBILIDADES_2025[[#All],[fecha_aprobacion]],"",0)</f>
        <v>#NAME?</v>
      </c>
      <c r="S148" s="92">
        <f>SUMIF(DISPONIBILIDADES_2025[[#All],[consecutivo]],Contrato[[#This Row],[CDP]],DISPONIBILIDADES_2025[[#All],[valor_total_rubro]])</f>
        <v>26545593</v>
      </c>
      <c r="T148" s="118" t="e" cm="1">
        <f t="array" aca="1" ref="T148" ca="1">_xlfn.XLOOKUP(Contrato[[#This Row],[CONTRATO]]&amp;Contrato[[#This Row],[CDP]],Corr_Contr_CDP[[#All],[CONTRATO-CDP]],Corr_Contr_CDP[[#All],[CRP]],_xlfn.XLOOKUP(Contrato[[#This Row],[CDP]],COMPROMISOS_2025[[#All],[disponibilidad]],COMPROMISOS_2025[[#All],[consecutivo]],"",0),0)</f>
        <v>#NAME?</v>
      </c>
      <c r="U148" s="117" t="e" cm="1">
        <f t="array" aca="1" ref="U148" ca="1">+_xlfn.XLOOKUP(Contrato[[#This Row],[RCP]],COMPROMISOS_2025[[#All],[consecutivo]],COMPROMISOS_2025[[#All],[fecha_aprobacion]],"",0)</f>
        <v>#NAME?</v>
      </c>
      <c r="V148" s="93">
        <f ca="1">SUMIF(COMPROMISOS_2025[[#All],[consecutivo]],Contrato[[#This Row],[RCP]],COMPROMISOS_2025[[#All],[valor_total]])</f>
        <v>0</v>
      </c>
      <c r="W148" s="169">
        <v>45708</v>
      </c>
      <c r="X148" s="243" t="s">
        <v>901</v>
      </c>
      <c r="Y148" s="394">
        <v>45710</v>
      </c>
      <c r="Z148" s="396">
        <v>46005</v>
      </c>
      <c r="AA148" s="311" t="s">
        <v>1143</v>
      </c>
      <c r="AB148" s="119" t="s">
        <v>1127</v>
      </c>
      <c r="AC148" s="298"/>
      <c r="AD148" s="279">
        <v>202000006260</v>
      </c>
      <c r="AE148" s="38" t="s">
        <v>904</v>
      </c>
      <c r="AF148" s="120" t="str">
        <f>TEXT(LEFT(Contrato[[#This Row],[CONTRATO]],3),"0")</f>
        <v>142</v>
      </c>
      <c r="AG148" s="120" t="str">
        <f>IF(LEN(Contrato[[#This Row],[Contrato2]])=3,Contrato[[#This Row],[Contrato2]],TEXT(Contrato[[#This Row],[Contrato2]],"000"))</f>
        <v>142</v>
      </c>
      <c r="AH148" s="90">
        <f ca="1">IFERROR(_xlfn.DAYS(Contrato[[#This Row],[Fecha Proyectada liquidación]],TODAY())/30,"")</f>
        <v>11.4</v>
      </c>
      <c r="AI148" s="121">
        <f>+Contrato[[#This Row],[FECHA TERMINACIÓN ]]+120</f>
        <v>46125</v>
      </c>
      <c r="AJ148" s="89"/>
      <c r="AK148" s="91" t="str">
        <f ca="1">IF(Contrato[[#This Row],[FECHA TERMINACIÓN ]]&lt;TODAY(), "Terminado",IF(ISNUMBER(Contrato[[#This Row],[Fecha Real de liquiidación ]]),"Liquidado",IF(Contrato[[#This Row],[FECHA TERMINACIÓN ]]&gt;=TODAY(),"En ejecución","")))</f>
        <v>En ejecución</v>
      </c>
      <c r="AL148" s="107">
        <f ca="1">SUMIF(COMPROMISOS_2025[[#All],[consecutivo]],Contrato[[#This Row],[RCP]],COMPROMISOS_2025[[#All],[Total pagado]])</f>
        <v>0</v>
      </c>
      <c r="AM148" s="122">
        <f ca="1">IFERROR(Contrato[[#This Row],[Pagos]]/Contrato[[#This Row],[VALOR CONTRATO]],0)</f>
        <v>0</v>
      </c>
      <c r="AN148" s="160">
        <f ca="1">+Contrato[[#This Row],[VALOR CONTRATO]]-Contrato[[#This Row],[Pagos]]</f>
        <v>26545593</v>
      </c>
      <c r="AO148" s="111" t="e" cm="1">
        <f t="array" aca="1" ref="AO148" ca="1">_xlfn.XLOOKUP(Contrato[[#This Row],[DOCUMENTO ]],PERSONAL_ACTIVO_2025[[#All],[DOCUMENTO]],PERSONAL_ACTIVO_2025[[#All],[email]],0,0)</f>
        <v>#NAME?</v>
      </c>
      <c r="AP148" s="111" t="e" cm="1">
        <f t="array" aca="1" ref="AP148" ca="1">_xlfn.XLOOKUP(Contrato[[#This Row],[DOCUMENTO]],PERSONAL_ACTIVO_2025[[#All],[DOCUMENTO]],PERSONAL_ACTIVO_2025[[#All],[email]],0,0)</f>
        <v>#NAME?</v>
      </c>
      <c r="AQ148" s="111" cm="1">
        <f t="array" aca="1" ref="AQ148" ca="1">IF(ISBLANK(Contrato[[#This Row],[DEPENDENCIA ]]),0,IFERROR(_xlfn.XLOOKUP(Contrato[[#This Row],[DEPENDENCIA ]],#REF!,#REF!,0,0),0))</f>
        <v>0</v>
      </c>
      <c r="AR148" s="553">
        <f ca="1">+_xlfn.DAYS(Contrato[[#This Row],[FECHA TERMINACIÓN ]],TODAY())</f>
        <v>222</v>
      </c>
    </row>
    <row r="149" spans="1:44" s="111" customFormat="1" ht="36" customHeight="1" x14ac:dyDescent="0.25">
      <c r="A149" s="38">
        <v>341</v>
      </c>
      <c r="B149" s="226">
        <v>143</v>
      </c>
      <c r="C149" s="88" t="s">
        <v>539</v>
      </c>
      <c r="D149" s="192" t="s">
        <v>911</v>
      </c>
      <c r="E149" s="193" t="s">
        <v>112</v>
      </c>
      <c r="F149" s="194" t="s">
        <v>113</v>
      </c>
      <c r="G149" s="195" t="s">
        <v>1203</v>
      </c>
      <c r="H149" s="167">
        <v>1037600702</v>
      </c>
      <c r="I149" s="292">
        <v>4157906</v>
      </c>
      <c r="J149" s="290">
        <v>40747479</v>
      </c>
      <c r="K149" s="158" t="s">
        <v>41</v>
      </c>
      <c r="L149" s="196" t="s">
        <v>1087</v>
      </c>
      <c r="M149" s="114" t="s">
        <v>943</v>
      </c>
      <c r="N149" s="113" t="e" cm="1">
        <f t="array" aca="1" ref="N149" ca="1">_xlfn.XLOOKUP(Contrato[[#This Row],[SUPERVISOR TITULAR]],PERSONAL_ACTIVO_2025[[#All],[NOMBRES Y APELLIDOS]],PERSONAL_ACTIVO_2025[[#All],[DOCUMENTO]],"",0)</f>
        <v>#NAME?</v>
      </c>
      <c r="O149" s="114" t="s">
        <v>939</v>
      </c>
      <c r="P149" s="115" t="e" cm="1">
        <f t="array" aca="1" ref="P149" ca="1">_xlfn.XLOOKUP(Contrato[[#This Row],[SUPERVISOR SUPLENTE ]],PERSONAL_ACTIVO_2025[[#All],[NOMBRES Y APELLIDOS]],PERSONAL_ACTIVO_2025[[#All],[DOCUMENTO]],"",0)</f>
        <v>#NAME?</v>
      </c>
      <c r="Q149" s="116">
        <v>175</v>
      </c>
      <c r="R149" s="137" t="e" cm="1">
        <f t="array" aca="1" ref="R149" ca="1">_xlfn.XLOOKUP(Contrato[[#This Row],[CDP]],DISPONIBILIDADES_2025[[#All],[consecutivo]],DISPONIBILIDADES_2025[[#All],[fecha_aprobacion]],"",0)</f>
        <v>#NAME?</v>
      </c>
      <c r="S149" s="92">
        <f>SUMIF(DISPONIBILIDADES_2025[[#All],[consecutivo]],Contrato[[#This Row],[CDP]],DISPONIBILIDADES_2025[[#All],[valor_total_rubro]])</f>
        <v>40747479</v>
      </c>
      <c r="T149" s="118" t="e" cm="1">
        <f t="array" aca="1" ref="T149" ca="1">_xlfn.XLOOKUP(Contrato[[#This Row],[CONTRATO]]&amp;Contrato[[#This Row],[CDP]],Corr_Contr_CDP[[#All],[CONTRATO-CDP]],Corr_Contr_CDP[[#All],[CRP]],_xlfn.XLOOKUP(Contrato[[#This Row],[CDP]],COMPROMISOS_2025[[#All],[disponibilidad]],COMPROMISOS_2025[[#All],[consecutivo]],"",0),0)</f>
        <v>#NAME?</v>
      </c>
      <c r="U149" s="117" t="e" cm="1">
        <f t="array" aca="1" ref="U149" ca="1">+_xlfn.XLOOKUP(Contrato[[#This Row],[RCP]],COMPROMISOS_2025[[#All],[consecutivo]],COMPROMISOS_2025[[#All],[fecha_aprobacion]],"",0)</f>
        <v>#NAME?</v>
      </c>
      <c r="V149" s="93">
        <f ca="1">SUMIF(COMPROMISOS_2025[[#All],[consecutivo]],Contrato[[#This Row],[RCP]],COMPROMISOS_2025[[#All],[valor_total]])</f>
        <v>0</v>
      </c>
      <c r="W149" s="169">
        <v>45707</v>
      </c>
      <c r="X149" s="243" t="s">
        <v>901</v>
      </c>
      <c r="Y149" s="397">
        <v>45709</v>
      </c>
      <c r="Z149" s="161">
        <v>46005</v>
      </c>
      <c r="AA149" s="311" t="s">
        <v>1143</v>
      </c>
      <c r="AB149" s="119" t="s">
        <v>1127</v>
      </c>
      <c r="AC149" s="298"/>
      <c r="AD149" s="279">
        <v>202000006261</v>
      </c>
      <c r="AE149" s="38" t="s">
        <v>904</v>
      </c>
      <c r="AF149" s="120" t="str">
        <f>TEXT(LEFT(Contrato[[#This Row],[CONTRATO]],3),"0")</f>
        <v>143</v>
      </c>
      <c r="AG149" s="120" t="str">
        <f>IF(LEN(Contrato[[#This Row],[Contrato2]])=3,Contrato[[#This Row],[Contrato2]],TEXT(Contrato[[#This Row],[Contrato2]],"000"))</f>
        <v>143</v>
      </c>
      <c r="AH149" s="90">
        <f ca="1">IFERROR(_xlfn.DAYS(Contrato[[#This Row],[Fecha Proyectada liquidación]],TODAY())/30,"")</f>
        <v>11.4</v>
      </c>
      <c r="AI149" s="121">
        <f>+Contrato[[#This Row],[FECHA TERMINACIÓN ]]+120</f>
        <v>46125</v>
      </c>
      <c r="AJ149" s="89"/>
      <c r="AK149" s="91" t="str">
        <f ca="1">IF(Contrato[[#This Row],[FECHA TERMINACIÓN ]]&lt;TODAY(), "Terminado",IF(ISNUMBER(Contrato[[#This Row],[Fecha Real de liquiidación ]]),"Liquidado",IF(Contrato[[#This Row],[FECHA TERMINACIÓN ]]&gt;=TODAY(),"En ejecución","")))</f>
        <v>En ejecución</v>
      </c>
      <c r="AL149" s="107">
        <f ca="1">SUMIF(COMPROMISOS_2025[[#All],[consecutivo]],Contrato[[#This Row],[RCP]],COMPROMISOS_2025[[#All],[Total pagado]])</f>
        <v>0</v>
      </c>
      <c r="AM149" s="122">
        <f ca="1">IFERROR(Contrato[[#This Row],[Pagos]]/Contrato[[#This Row],[VALOR CONTRATO]],0)</f>
        <v>0</v>
      </c>
      <c r="AN149" s="160">
        <f ca="1">+Contrato[[#This Row],[VALOR CONTRATO]]-Contrato[[#This Row],[Pagos]]</f>
        <v>40747479</v>
      </c>
      <c r="AO149" s="111" t="e" cm="1">
        <f t="array" aca="1" ref="AO149" ca="1">_xlfn.XLOOKUP(Contrato[[#This Row],[DOCUMENTO ]],PERSONAL_ACTIVO_2025[[#All],[DOCUMENTO]],PERSONAL_ACTIVO_2025[[#All],[email]],0,0)</f>
        <v>#NAME?</v>
      </c>
      <c r="AP149" s="111" t="e" cm="1">
        <f t="array" aca="1" ref="AP149" ca="1">_xlfn.XLOOKUP(Contrato[[#This Row],[DOCUMENTO]],PERSONAL_ACTIVO_2025[[#All],[DOCUMENTO]],PERSONAL_ACTIVO_2025[[#All],[email]],0,0)</f>
        <v>#NAME?</v>
      </c>
      <c r="AQ149" s="111" cm="1">
        <f t="array" aca="1" ref="AQ149" ca="1">IF(ISBLANK(Contrato[[#This Row],[DEPENDENCIA ]]),0,IFERROR(_xlfn.XLOOKUP(Contrato[[#This Row],[DEPENDENCIA ]],#REF!,#REF!,0,0),0))</f>
        <v>0</v>
      </c>
      <c r="AR149" s="553">
        <f ca="1">+_xlfn.DAYS(Contrato[[#This Row],[FECHA TERMINACIÓN ]],TODAY())</f>
        <v>222</v>
      </c>
    </row>
    <row r="150" spans="1:44" s="111" customFormat="1" ht="36" customHeight="1" x14ac:dyDescent="0.25">
      <c r="A150" s="38">
        <v>342</v>
      </c>
      <c r="B150" s="226">
        <v>144</v>
      </c>
      <c r="C150" s="88" t="s">
        <v>540</v>
      </c>
      <c r="D150" s="192" t="s">
        <v>911</v>
      </c>
      <c r="E150" s="193" t="s">
        <v>112</v>
      </c>
      <c r="F150" s="194" t="s">
        <v>113</v>
      </c>
      <c r="G150" s="195" t="s">
        <v>1204</v>
      </c>
      <c r="H150" s="167">
        <v>43834689</v>
      </c>
      <c r="I150" s="292">
        <v>4157906</v>
      </c>
      <c r="J150" s="290">
        <v>40747479</v>
      </c>
      <c r="K150" s="158" t="s">
        <v>41</v>
      </c>
      <c r="L150" s="196" t="s">
        <v>1087</v>
      </c>
      <c r="M150" s="114" t="s">
        <v>943</v>
      </c>
      <c r="N150" s="113" t="e" cm="1">
        <f t="array" aca="1" ref="N150" ca="1">_xlfn.XLOOKUP(Contrato[[#This Row],[SUPERVISOR TITULAR]],PERSONAL_ACTIVO_2025[[#All],[NOMBRES Y APELLIDOS]],PERSONAL_ACTIVO_2025[[#All],[DOCUMENTO]],"",0)</f>
        <v>#NAME?</v>
      </c>
      <c r="O150" s="114" t="s">
        <v>939</v>
      </c>
      <c r="P150" s="115" t="e" cm="1">
        <f t="array" aca="1" ref="P150" ca="1">_xlfn.XLOOKUP(Contrato[[#This Row],[SUPERVISOR SUPLENTE ]],PERSONAL_ACTIVO_2025[[#All],[NOMBRES Y APELLIDOS]],PERSONAL_ACTIVO_2025[[#All],[DOCUMENTO]],"",0)</f>
        <v>#NAME?</v>
      </c>
      <c r="Q150" s="116">
        <v>176</v>
      </c>
      <c r="R150" s="137" t="e" cm="1">
        <f t="array" aca="1" ref="R150" ca="1">_xlfn.XLOOKUP(Contrato[[#This Row],[CDP]],DISPONIBILIDADES_2025[[#All],[consecutivo]],DISPONIBILIDADES_2025[[#All],[fecha_aprobacion]],"",0)</f>
        <v>#NAME?</v>
      </c>
      <c r="S150" s="92">
        <f>SUMIF(DISPONIBILIDADES_2025[[#All],[consecutivo]],Contrato[[#This Row],[CDP]],DISPONIBILIDADES_2025[[#All],[valor_total_rubro]])</f>
        <v>40747479</v>
      </c>
      <c r="T150" s="118" t="e" cm="1">
        <f t="array" aca="1" ref="T150" ca="1">_xlfn.XLOOKUP(Contrato[[#This Row],[CONTRATO]]&amp;Contrato[[#This Row],[CDP]],Corr_Contr_CDP[[#All],[CONTRATO-CDP]],Corr_Contr_CDP[[#All],[CRP]],_xlfn.XLOOKUP(Contrato[[#This Row],[CDP]],COMPROMISOS_2025[[#All],[disponibilidad]],COMPROMISOS_2025[[#All],[consecutivo]],"",0),0)</f>
        <v>#NAME?</v>
      </c>
      <c r="U150" s="117" t="e" cm="1">
        <f t="array" aca="1" ref="U150" ca="1">+_xlfn.XLOOKUP(Contrato[[#This Row],[RCP]],COMPROMISOS_2025[[#All],[consecutivo]],COMPROMISOS_2025[[#All],[fecha_aprobacion]],"",0)</f>
        <v>#NAME?</v>
      </c>
      <c r="V150" s="93">
        <f ca="1">SUMIF(COMPROMISOS_2025[[#All],[consecutivo]],Contrato[[#This Row],[RCP]],COMPROMISOS_2025[[#All],[valor_total]])</f>
        <v>0</v>
      </c>
      <c r="W150" s="169">
        <v>45707</v>
      </c>
      <c r="X150" s="243" t="s">
        <v>901</v>
      </c>
      <c r="Y150" s="397">
        <v>45709</v>
      </c>
      <c r="Z150" s="161">
        <v>46005</v>
      </c>
      <c r="AA150" s="311" t="s">
        <v>1143</v>
      </c>
      <c r="AB150" s="119" t="s">
        <v>1127</v>
      </c>
      <c r="AC150" s="298"/>
      <c r="AD150" s="279">
        <v>202000006262</v>
      </c>
      <c r="AE150" s="38" t="s">
        <v>904</v>
      </c>
      <c r="AF150" s="120" t="str">
        <f>TEXT(LEFT(Contrato[[#This Row],[CONTRATO]],3),"0")</f>
        <v>144</v>
      </c>
      <c r="AG150" s="120" t="str">
        <f>IF(LEN(Contrato[[#This Row],[Contrato2]])=3,Contrato[[#This Row],[Contrato2]],TEXT(Contrato[[#This Row],[Contrato2]],"000"))</f>
        <v>144</v>
      </c>
      <c r="AH150" s="90">
        <f ca="1">IFERROR(_xlfn.DAYS(Contrato[[#This Row],[Fecha Proyectada liquidación]],TODAY())/30,"")</f>
        <v>11.4</v>
      </c>
      <c r="AI150" s="121">
        <f>+Contrato[[#This Row],[FECHA TERMINACIÓN ]]+120</f>
        <v>46125</v>
      </c>
      <c r="AJ150" s="89"/>
      <c r="AK150" s="91" t="str">
        <f ca="1">IF(Contrato[[#This Row],[FECHA TERMINACIÓN ]]&lt;TODAY(), "Terminado",IF(ISNUMBER(Contrato[[#This Row],[Fecha Real de liquiidación ]]),"Liquidado",IF(Contrato[[#This Row],[FECHA TERMINACIÓN ]]&gt;=TODAY(),"En ejecución","")))</f>
        <v>En ejecución</v>
      </c>
      <c r="AL150" s="107">
        <f ca="1">SUMIF(COMPROMISOS_2025[[#All],[consecutivo]],Contrato[[#This Row],[RCP]],COMPROMISOS_2025[[#All],[Total pagado]])</f>
        <v>0</v>
      </c>
      <c r="AM150" s="122">
        <f ca="1">IFERROR(Contrato[[#This Row],[Pagos]]/Contrato[[#This Row],[VALOR CONTRATO]],0)</f>
        <v>0</v>
      </c>
      <c r="AN150" s="160">
        <f ca="1">+Contrato[[#This Row],[VALOR CONTRATO]]-Contrato[[#This Row],[Pagos]]</f>
        <v>40747479</v>
      </c>
      <c r="AO150" s="111" t="e" cm="1">
        <f t="array" aca="1" ref="AO150" ca="1">_xlfn.XLOOKUP(Contrato[[#This Row],[DOCUMENTO ]],PERSONAL_ACTIVO_2025[[#All],[DOCUMENTO]],PERSONAL_ACTIVO_2025[[#All],[email]],0,0)</f>
        <v>#NAME?</v>
      </c>
      <c r="AP150" s="111" t="e" cm="1">
        <f t="array" aca="1" ref="AP150" ca="1">_xlfn.XLOOKUP(Contrato[[#This Row],[DOCUMENTO]],PERSONAL_ACTIVO_2025[[#All],[DOCUMENTO]],PERSONAL_ACTIVO_2025[[#All],[email]],0,0)</f>
        <v>#NAME?</v>
      </c>
      <c r="AQ150" s="111" cm="1">
        <f t="array" aca="1" ref="AQ150" ca="1">IF(ISBLANK(Contrato[[#This Row],[DEPENDENCIA ]]),0,IFERROR(_xlfn.XLOOKUP(Contrato[[#This Row],[DEPENDENCIA ]],#REF!,#REF!,0,0),0))</f>
        <v>0</v>
      </c>
      <c r="AR150" s="553">
        <f ca="1">+_xlfn.DAYS(Contrato[[#This Row],[FECHA TERMINACIÓN ]],TODAY())</f>
        <v>222</v>
      </c>
    </row>
    <row r="151" spans="1:44" s="111" customFormat="1" ht="36" customHeight="1" x14ac:dyDescent="0.25">
      <c r="A151" s="38">
        <v>343</v>
      </c>
      <c r="B151" s="226">
        <v>145</v>
      </c>
      <c r="C151" s="88" t="s">
        <v>541</v>
      </c>
      <c r="D151" s="192" t="s">
        <v>911</v>
      </c>
      <c r="E151" s="193" t="s">
        <v>112</v>
      </c>
      <c r="F151" s="194" t="s">
        <v>113</v>
      </c>
      <c r="G151" s="195" t="s">
        <v>1205</v>
      </c>
      <c r="H151" s="167">
        <v>1110475245</v>
      </c>
      <c r="I151" s="292">
        <v>2708734</v>
      </c>
      <c r="J151" s="290">
        <v>26545593</v>
      </c>
      <c r="K151" s="158" t="s">
        <v>41</v>
      </c>
      <c r="L151" s="196" t="s">
        <v>1087</v>
      </c>
      <c r="M151" s="114" t="s">
        <v>943</v>
      </c>
      <c r="N151" s="113" t="e" cm="1">
        <f t="array" aca="1" ref="N151" ca="1">_xlfn.XLOOKUP(Contrato[[#This Row],[SUPERVISOR TITULAR]],PERSONAL_ACTIVO_2025[[#All],[NOMBRES Y APELLIDOS]],PERSONAL_ACTIVO_2025[[#All],[DOCUMENTO]],"",0)</f>
        <v>#NAME?</v>
      </c>
      <c r="O151" s="114" t="s">
        <v>939</v>
      </c>
      <c r="P151" s="115" t="e" cm="1">
        <f t="array" aca="1" ref="P151" ca="1">_xlfn.XLOOKUP(Contrato[[#This Row],[SUPERVISOR SUPLENTE ]],PERSONAL_ACTIVO_2025[[#All],[NOMBRES Y APELLIDOS]],PERSONAL_ACTIVO_2025[[#All],[DOCUMENTO]],"",0)</f>
        <v>#NAME?</v>
      </c>
      <c r="Q151" s="116">
        <v>177</v>
      </c>
      <c r="R151" s="137" t="e" cm="1">
        <f t="array" aca="1" ref="R151" ca="1">_xlfn.XLOOKUP(Contrato[[#This Row],[CDP]],DISPONIBILIDADES_2025[[#All],[consecutivo]],DISPONIBILIDADES_2025[[#All],[fecha_aprobacion]],"",0)</f>
        <v>#NAME?</v>
      </c>
      <c r="S151" s="92">
        <f>SUMIF(DISPONIBILIDADES_2025[[#All],[consecutivo]],Contrato[[#This Row],[CDP]],DISPONIBILIDADES_2025[[#All],[valor_total_rubro]])</f>
        <v>26545593</v>
      </c>
      <c r="T151" s="118" t="e" cm="1">
        <f t="array" aca="1" ref="T151" ca="1">_xlfn.XLOOKUP(Contrato[[#This Row],[CONTRATO]]&amp;Contrato[[#This Row],[CDP]],Corr_Contr_CDP[[#All],[CONTRATO-CDP]],Corr_Contr_CDP[[#All],[CRP]],_xlfn.XLOOKUP(Contrato[[#This Row],[CDP]],COMPROMISOS_2025[[#All],[disponibilidad]],COMPROMISOS_2025[[#All],[consecutivo]],"",0),0)</f>
        <v>#NAME?</v>
      </c>
      <c r="U151" s="117" t="e" cm="1">
        <f t="array" aca="1" ref="U151" ca="1">+_xlfn.XLOOKUP(Contrato[[#This Row],[RCP]],COMPROMISOS_2025[[#All],[consecutivo]],COMPROMISOS_2025[[#All],[fecha_aprobacion]],"",0)</f>
        <v>#NAME?</v>
      </c>
      <c r="V151" s="93">
        <f ca="1">SUMIF(COMPROMISOS_2025[[#All],[consecutivo]],Contrato[[#This Row],[RCP]],COMPROMISOS_2025[[#All],[valor_total]])</f>
        <v>0</v>
      </c>
      <c r="W151" s="169">
        <v>45708</v>
      </c>
      <c r="X151" s="243" t="s">
        <v>901</v>
      </c>
      <c r="Y151" s="397">
        <v>45709</v>
      </c>
      <c r="Z151" s="161">
        <v>46005</v>
      </c>
      <c r="AA151" s="311" t="s">
        <v>1130</v>
      </c>
      <c r="AB151" s="119" t="s">
        <v>1127</v>
      </c>
      <c r="AC151" s="298"/>
      <c r="AD151" s="279">
        <v>202000006263</v>
      </c>
      <c r="AE151" s="38" t="s">
        <v>904</v>
      </c>
      <c r="AF151" s="120" t="str">
        <f>TEXT(LEFT(Contrato[[#This Row],[CONTRATO]],3),"0")</f>
        <v>145</v>
      </c>
      <c r="AG151" s="120" t="str">
        <f>IF(LEN(Contrato[[#This Row],[Contrato2]])=3,Contrato[[#This Row],[Contrato2]],TEXT(Contrato[[#This Row],[Contrato2]],"000"))</f>
        <v>145</v>
      </c>
      <c r="AH151" s="90">
        <f ca="1">IFERROR(_xlfn.DAYS(Contrato[[#This Row],[Fecha Proyectada liquidación]],TODAY())/30,"")</f>
        <v>11.4</v>
      </c>
      <c r="AI151" s="121">
        <f>+Contrato[[#This Row],[FECHA TERMINACIÓN ]]+120</f>
        <v>46125</v>
      </c>
      <c r="AJ151" s="89"/>
      <c r="AK151" s="91" t="str">
        <f ca="1">IF(Contrato[[#This Row],[FECHA TERMINACIÓN ]]&lt;TODAY(), "Terminado",IF(ISNUMBER(Contrato[[#This Row],[Fecha Real de liquiidación ]]),"Liquidado",IF(Contrato[[#This Row],[FECHA TERMINACIÓN ]]&gt;=TODAY(),"En ejecución","")))</f>
        <v>En ejecución</v>
      </c>
      <c r="AL151" s="107">
        <f ca="1">SUMIF(COMPROMISOS_2025[[#All],[consecutivo]],Contrato[[#This Row],[RCP]],COMPROMISOS_2025[[#All],[Total pagado]])</f>
        <v>0</v>
      </c>
      <c r="AM151" s="122">
        <f ca="1">IFERROR(Contrato[[#This Row],[Pagos]]/Contrato[[#This Row],[VALOR CONTRATO]],0)</f>
        <v>0</v>
      </c>
      <c r="AN151" s="160">
        <f ca="1">+Contrato[[#This Row],[VALOR CONTRATO]]-Contrato[[#This Row],[Pagos]]</f>
        <v>26545593</v>
      </c>
      <c r="AO151" s="111" t="e" cm="1">
        <f t="array" aca="1" ref="AO151" ca="1">_xlfn.XLOOKUP(Contrato[[#This Row],[DOCUMENTO ]],PERSONAL_ACTIVO_2025[[#All],[DOCUMENTO]],PERSONAL_ACTIVO_2025[[#All],[email]],0,0)</f>
        <v>#NAME?</v>
      </c>
      <c r="AP151" s="111" t="e" cm="1">
        <f t="array" aca="1" ref="AP151" ca="1">_xlfn.XLOOKUP(Contrato[[#This Row],[DOCUMENTO]],PERSONAL_ACTIVO_2025[[#All],[DOCUMENTO]],PERSONAL_ACTIVO_2025[[#All],[email]],0,0)</f>
        <v>#NAME?</v>
      </c>
      <c r="AQ151" s="111" cm="1">
        <f t="array" aca="1" ref="AQ151" ca="1">IF(ISBLANK(Contrato[[#This Row],[DEPENDENCIA ]]),0,IFERROR(_xlfn.XLOOKUP(Contrato[[#This Row],[DEPENDENCIA ]],#REF!,#REF!,0,0),0))</f>
        <v>0</v>
      </c>
      <c r="AR151" s="553">
        <f ca="1">+_xlfn.DAYS(Contrato[[#This Row],[FECHA TERMINACIÓN ]],TODAY())</f>
        <v>222</v>
      </c>
    </row>
    <row r="152" spans="1:44" s="111" customFormat="1" ht="36" customHeight="1" x14ac:dyDescent="0.25">
      <c r="A152" s="38">
        <v>344</v>
      </c>
      <c r="B152" s="226">
        <v>146</v>
      </c>
      <c r="C152" s="88" t="s">
        <v>542</v>
      </c>
      <c r="D152" s="192" t="s">
        <v>911</v>
      </c>
      <c r="E152" s="193" t="s">
        <v>112</v>
      </c>
      <c r="F152" s="194" t="s">
        <v>113</v>
      </c>
      <c r="G152" s="195" t="s">
        <v>1206</v>
      </c>
      <c r="H152" s="167">
        <v>71383229</v>
      </c>
      <c r="I152" s="292">
        <v>4157906</v>
      </c>
      <c r="J152" s="290">
        <v>40747479</v>
      </c>
      <c r="K152" s="158" t="s">
        <v>41</v>
      </c>
      <c r="L152" s="196" t="s">
        <v>1087</v>
      </c>
      <c r="M152" s="114" t="s">
        <v>939</v>
      </c>
      <c r="N152" s="113" t="e" cm="1">
        <f t="array" aca="1" ref="N152" ca="1">_xlfn.XLOOKUP(Contrato[[#This Row],[SUPERVISOR TITULAR]],PERSONAL_ACTIVO_2025[[#All],[NOMBRES Y APELLIDOS]],PERSONAL_ACTIVO_2025[[#All],[DOCUMENTO]],"",0)</f>
        <v>#NAME?</v>
      </c>
      <c r="O152" s="114" t="s">
        <v>943</v>
      </c>
      <c r="P152" s="115" t="e" cm="1">
        <f t="array" aca="1" ref="P152" ca="1">_xlfn.XLOOKUP(Contrato[[#This Row],[SUPERVISOR SUPLENTE ]],PERSONAL_ACTIVO_2025[[#All],[NOMBRES Y APELLIDOS]],PERSONAL_ACTIVO_2025[[#All],[DOCUMENTO]],"",0)</f>
        <v>#NAME?</v>
      </c>
      <c r="Q152" s="116">
        <v>178</v>
      </c>
      <c r="R152" s="137" t="e" cm="1">
        <f t="array" aca="1" ref="R152" ca="1">_xlfn.XLOOKUP(Contrato[[#This Row],[CDP]],DISPONIBILIDADES_2025[[#All],[consecutivo]],DISPONIBILIDADES_2025[[#All],[fecha_aprobacion]],"",0)</f>
        <v>#NAME?</v>
      </c>
      <c r="S152" s="92">
        <f>SUMIF(DISPONIBILIDADES_2025[[#All],[consecutivo]],Contrato[[#This Row],[CDP]],DISPONIBILIDADES_2025[[#All],[valor_total_rubro]])</f>
        <v>40747479</v>
      </c>
      <c r="T152" s="118" t="e" cm="1">
        <f t="array" aca="1" ref="T152" ca="1">_xlfn.XLOOKUP(Contrato[[#This Row],[CONTRATO]]&amp;Contrato[[#This Row],[CDP]],Corr_Contr_CDP[[#All],[CONTRATO-CDP]],Corr_Contr_CDP[[#All],[CRP]],_xlfn.XLOOKUP(Contrato[[#This Row],[CDP]],COMPROMISOS_2025[[#All],[disponibilidad]],COMPROMISOS_2025[[#All],[consecutivo]],"",0),0)</f>
        <v>#NAME?</v>
      </c>
      <c r="U152" s="117" t="e" cm="1">
        <f t="array" aca="1" ref="U152" ca="1">+_xlfn.XLOOKUP(Contrato[[#This Row],[RCP]],COMPROMISOS_2025[[#All],[consecutivo]],COMPROMISOS_2025[[#All],[fecha_aprobacion]],"",0)</f>
        <v>#NAME?</v>
      </c>
      <c r="V152" s="93">
        <f ca="1">SUMIF(COMPROMISOS_2025[[#All],[consecutivo]],Contrato[[#This Row],[RCP]],COMPROMISOS_2025[[#All],[valor_total]])</f>
        <v>0</v>
      </c>
      <c r="W152" s="169">
        <v>45707</v>
      </c>
      <c r="X152" s="243" t="s">
        <v>901</v>
      </c>
      <c r="Y152" s="397">
        <v>45709</v>
      </c>
      <c r="Z152" s="161">
        <v>46005</v>
      </c>
      <c r="AA152" s="311" t="s">
        <v>1143</v>
      </c>
      <c r="AB152" s="119" t="s">
        <v>1127</v>
      </c>
      <c r="AC152" s="298"/>
      <c r="AD152" s="279">
        <v>202000006264</v>
      </c>
      <c r="AE152" s="38" t="s">
        <v>904</v>
      </c>
      <c r="AF152" s="120" t="str">
        <f>TEXT(LEFT(Contrato[[#This Row],[CONTRATO]],3),"0")</f>
        <v>146</v>
      </c>
      <c r="AG152" s="120" t="str">
        <f>IF(LEN(Contrato[[#This Row],[Contrato2]])=3,Contrato[[#This Row],[Contrato2]],TEXT(Contrato[[#This Row],[Contrato2]],"000"))</f>
        <v>146</v>
      </c>
      <c r="AH152" s="90">
        <f ca="1">IFERROR(_xlfn.DAYS(Contrato[[#This Row],[Fecha Proyectada liquidación]],TODAY())/30,"")</f>
        <v>11.4</v>
      </c>
      <c r="AI152" s="121">
        <f>+Contrato[[#This Row],[FECHA TERMINACIÓN ]]+120</f>
        <v>46125</v>
      </c>
      <c r="AJ152" s="89"/>
      <c r="AK152" s="91" t="str">
        <f ca="1">IF(Contrato[[#This Row],[FECHA TERMINACIÓN ]]&lt;TODAY(), "Terminado",IF(ISNUMBER(Contrato[[#This Row],[Fecha Real de liquiidación ]]),"Liquidado",IF(Contrato[[#This Row],[FECHA TERMINACIÓN ]]&gt;=TODAY(),"En ejecución","")))</f>
        <v>En ejecución</v>
      </c>
      <c r="AL152" s="107">
        <f ca="1">SUMIF(COMPROMISOS_2025[[#All],[consecutivo]],Contrato[[#This Row],[RCP]],COMPROMISOS_2025[[#All],[Total pagado]])</f>
        <v>0</v>
      </c>
      <c r="AM152" s="122">
        <f ca="1">IFERROR(Contrato[[#This Row],[Pagos]]/Contrato[[#This Row],[VALOR CONTRATO]],0)</f>
        <v>0</v>
      </c>
      <c r="AN152" s="160">
        <f ca="1">+Contrato[[#This Row],[VALOR CONTRATO]]-Contrato[[#This Row],[Pagos]]</f>
        <v>40747479</v>
      </c>
      <c r="AO152" s="111" t="e" cm="1">
        <f t="array" aca="1" ref="AO152" ca="1">_xlfn.XLOOKUP(Contrato[[#This Row],[DOCUMENTO ]],PERSONAL_ACTIVO_2025[[#All],[DOCUMENTO]],PERSONAL_ACTIVO_2025[[#All],[email]],0,0)</f>
        <v>#NAME?</v>
      </c>
      <c r="AP152" s="111" t="e" cm="1">
        <f t="array" aca="1" ref="AP152" ca="1">_xlfn.XLOOKUP(Contrato[[#This Row],[DOCUMENTO]],PERSONAL_ACTIVO_2025[[#All],[DOCUMENTO]],PERSONAL_ACTIVO_2025[[#All],[email]],0,0)</f>
        <v>#NAME?</v>
      </c>
      <c r="AQ152" s="111" cm="1">
        <f t="array" aca="1" ref="AQ152" ca="1">IF(ISBLANK(Contrato[[#This Row],[DEPENDENCIA ]]),0,IFERROR(_xlfn.XLOOKUP(Contrato[[#This Row],[DEPENDENCIA ]],#REF!,#REF!,0,0),0))</f>
        <v>0</v>
      </c>
      <c r="AR152" s="553">
        <f ca="1">+_xlfn.DAYS(Contrato[[#This Row],[FECHA TERMINACIÓN ]],TODAY())</f>
        <v>222</v>
      </c>
    </row>
    <row r="153" spans="1:44" s="111" customFormat="1" ht="36" customHeight="1" x14ac:dyDescent="0.25">
      <c r="A153" s="38">
        <v>345</v>
      </c>
      <c r="B153" s="226">
        <v>147</v>
      </c>
      <c r="C153" s="88" t="s">
        <v>543</v>
      </c>
      <c r="D153" s="192" t="s">
        <v>911</v>
      </c>
      <c r="E153" s="193" t="s">
        <v>112</v>
      </c>
      <c r="F153" s="194" t="s">
        <v>113</v>
      </c>
      <c r="G153" s="195" t="s">
        <v>1207</v>
      </c>
      <c r="H153" s="167">
        <v>71374824</v>
      </c>
      <c r="I153" s="292">
        <v>4157906</v>
      </c>
      <c r="J153" s="290">
        <v>40747479</v>
      </c>
      <c r="K153" s="158" t="s">
        <v>41</v>
      </c>
      <c r="L153" s="196" t="s">
        <v>1087</v>
      </c>
      <c r="M153" s="114" t="s">
        <v>939</v>
      </c>
      <c r="N153" s="113" t="e" cm="1">
        <f t="array" aca="1" ref="N153" ca="1">_xlfn.XLOOKUP(Contrato[[#This Row],[SUPERVISOR TITULAR]],PERSONAL_ACTIVO_2025[[#All],[NOMBRES Y APELLIDOS]],PERSONAL_ACTIVO_2025[[#All],[DOCUMENTO]],"",0)</f>
        <v>#NAME?</v>
      </c>
      <c r="O153" s="114" t="s">
        <v>943</v>
      </c>
      <c r="P153" s="115" t="e" cm="1">
        <f t="array" aca="1" ref="P153" ca="1">_xlfn.XLOOKUP(Contrato[[#This Row],[SUPERVISOR SUPLENTE ]],PERSONAL_ACTIVO_2025[[#All],[NOMBRES Y APELLIDOS]],PERSONAL_ACTIVO_2025[[#All],[DOCUMENTO]],"",0)</f>
        <v>#NAME?</v>
      </c>
      <c r="Q153" s="116">
        <v>179</v>
      </c>
      <c r="R153" s="137" t="e" cm="1">
        <f t="array" aca="1" ref="R153" ca="1">_xlfn.XLOOKUP(Contrato[[#This Row],[CDP]],DISPONIBILIDADES_2025[[#All],[consecutivo]],DISPONIBILIDADES_2025[[#All],[fecha_aprobacion]],"",0)</f>
        <v>#NAME?</v>
      </c>
      <c r="S153" s="92">
        <f>SUMIF(DISPONIBILIDADES_2025[[#All],[consecutivo]],Contrato[[#This Row],[CDP]],DISPONIBILIDADES_2025[[#All],[valor_total_rubro]])</f>
        <v>40747479</v>
      </c>
      <c r="T153" s="118" t="e" cm="1">
        <f t="array" aca="1" ref="T153" ca="1">_xlfn.XLOOKUP(Contrato[[#This Row],[CONTRATO]]&amp;Contrato[[#This Row],[CDP]],Corr_Contr_CDP[[#All],[CONTRATO-CDP]],Corr_Contr_CDP[[#All],[CRP]],_xlfn.XLOOKUP(Contrato[[#This Row],[CDP]],COMPROMISOS_2025[[#All],[disponibilidad]],COMPROMISOS_2025[[#All],[consecutivo]],"",0),0)</f>
        <v>#NAME?</v>
      </c>
      <c r="U153" s="117" t="e" cm="1">
        <f t="array" aca="1" ref="U153" ca="1">+_xlfn.XLOOKUP(Contrato[[#This Row],[RCP]],COMPROMISOS_2025[[#All],[consecutivo]],COMPROMISOS_2025[[#All],[fecha_aprobacion]],"",0)</f>
        <v>#NAME?</v>
      </c>
      <c r="V153" s="93">
        <f ca="1">SUMIF(COMPROMISOS_2025[[#All],[consecutivo]],Contrato[[#This Row],[RCP]],COMPROMISOS_2025[[#All],[valor_total]])</f>
        <v>0</v>
      </c>
      <c r="W153" s="169">
        <v>45707</v>
      </c>
      <c r="X153" s="243" t="s">
        <v>901</v>
      </c>
      <c r="Y153" s="397">
        <v>45709</v>
      </c>
      <c r="Z153" s="161">
        <v>46005</v>
      </c>
      <c r="AA153" s="311" t="s">
        <v>1143</v>
      </c>
      <c r="AB153" s="119" t="s">
        <v>1127</v>
      </c>
      <c r="AC153" s="298"/>
      <c r="AD153" s="279">
        <v>202000006265</v>
      </c>
      <c r="AE153" s="38" t="s">
        <v>904</v>
      </c>
      <c r="AF153" s="120" t="str">
        <f>TEXT(LEFT(Contrato[[#This Row],[CONTRATO]],3),"0")</f>
        <v>147</v>
      </c>
      <c r="AG153" s="120" t="str">
        <f>IF(LEN(Contrato[[#This Row],[Contrato2]])=3,Contrato[[#This Row],[Contrato2]],TEXT(Contrato[[#This Row],[Contrato2]],"000"))</f>
        <v>147</v>
      </c>
      <c r="AH153" s="90">
        <f ca="1">IFERROR(_xlfn.DAYS(Contrato[[#This Row],[Fecha Proyectada liquidación]],TODAY())/30,"")</f>
        <v>11.4</v>
      </c>
      <c r="AI153" s="121">
        <f>+Contrato[[#This Row],[FECHA TERMINACIÓN ]]+120</f>
        <v>46125</v>
      </c>
      <c r="AJ153" s="89"/>
      <c r="AK153" s="91" t="str">
        <f ca="1">IF(Contrato[[#This Row],[FECHA TERMINACIÓN ]]&lt;TODAY(), "Terminado",IF(ISNUMBER(Contrato[[#This Row],[Fecha Real de liquiidación ]]),"Liquidado",IF(Contrato[[#This Row],[FECHA TERMINACIÓN ]]&gt;=TODAY(),"En ejecución","")))</f>
        <v>En ejecución</v>
      </c>
      <c r="AL153" s="107">
        <f ca="1">SUMIF(COMPROMISOS_2025[[#All],[consecutivo]],Contrato[[#This Row],[RCP]],COMPROMISOS_2025[[#All],[Total pagado]])</f>
        <v>0</v>
      </c>
      <c r="AM153" s="122">
        <f ca="1">IFERROR(Contrato[[#This Row],[Pagos]]/Contrato[[#This Row],[VALOR CONTRATO]],0)</f>
        <v>0</v>
      </c>
      <c r="AN153" s="160">
        <f ca="1">+Contrato[[#This Row],[VALOR CONTRATO]]-Contrato[[#This Row],[Pagos]]</f>
        <v>40747479</v>
      </c>
      <c r="AO153" s="111" t="e" cm="1">
        <f t="array" aca="1" ref="AO153" ca="1">_xlfn.XLOOKUP(Contrato[[#This Row],[DOCUMENTO ]],PERSONAL_ACTIVO_2025[[#All],[DOCUMENTO]],PERSONAL_ACTIVO_2025[[#All],[email]],0,0)</f>
        <v>#NAME?</v>
      </c>
      <c r="AP153" s="111" t="e" cm="1">
        <f t="array" aca="1" ref="AP153" ca="1">_xlfn.XLOOKUP(Contrato[[#This Row],[DOCUMENTO]],PERSONAL_ACTIVO_2025[[#All],[DOCUMENTO]],PERSONAL_ACTIVO_2025[[#All],[email]],0,0)</f>
        <v>#NAME?</v>
      </c>
      <c r="AQ153" s="111" cm="1">
        <f t="array" aca="1" ref="AQ153" ca="1">IF(ISBLANK(Contrato[[#This Row],[DEPENDENCIA ]]),0,IFERROR(_xlfn.XLOOKUP(Contrato[[#This Row],[DEPENDENCIA ]],#REF!,#REF!,0,0),0))</f>
        <v>0</v>
      </c>
      <c r="AR153" s="553">
        <f ca="1">+_xlfn.DAYS(Contrato[[#This Row],[FECHA TERMINACIÓN ]],TODAY())</f>
        <v>222</v>
      </c>
    </row>
    <row r="154" spans="1:44" s="111" customFormat="1" ht="36" customHeight="1" x14ac:dyDescent="0.25">
      <c r="A154" s="38">
        <v>348</v>
      </c>
      <c r="B154" s="226">
        <v>148</v>
      </c>
      <c r="C154" s="88" t="s">
        <v>546</v>
      </c>
      <c r="D154" s="192" t="s">
        <v>911</v>
      </c>
      <c r="E154" s="193" t="s">
        <v>112</v>
      </c>
      <c r="F154" s="194" t="s">
        <v>113</v>
      </c>
      <c r="G154" s="195" t="s">
        <v>1208</v>
      </c>
      <c r="H154" s="167">
        <v>1037624083</v>
      </c>
      <c r="I154" s="292">
        <v>5164201</v>
      </c>
      <c r="J154" s="290">
        <v>50609170</v>
      </c>
      <c r="K154" s="158" t="s">
        <v>41</v>
      </c>
      <c r="L154" s="196" t="s">
        <v>1087</v>
      </c>
      <c r="M154" s="114" t="s">
        <v>939</v>
      </c>
      <c r="N154" s="113" t="e" cm="1">
        <f t="array" aca="1" ref="N154" ca="1">_xlfn.XLOOKUP(Contrato[[#This Row],[SUPERVISOR TITULAR]],PERSONAL_ACTIVO_2025[[#All],[NOMBRES Y APELLIDOS]],PERSONAL_ACTIVO_2025[[#All],[DOCUMENTO]],"",0)</f>
        <v>#NAME?</v>
      </c>
      <c r="O154" s="114" t="s">
        <v>943</v>
      </c>
      <c r="P154" s="115" t="e" cm="1">
        <f t="array" aca="1" ref="P154" ca="1">_xlfn.XLOOKUP(Contrato[[#This Row],[SUPERVISOR SUPLENTE ]],PERSONAL_ACTIVO_2025[[#All],[NOMBRES Y APELLIDOS]],PERSONAL_ACTIVO_2025[[#All],[DOCUMENTO]],"",0)</f>
        <v>#NAME?</v>
      </c>
      <c r="Q154" s="116">
        <v>182</v>
      </c>
      <c r="R154" s="137" t="e" cm="1">
        <f t="array" aca="1" ref="R154" ca="1">_xlfn.XLOOKUP(Contrato[[#This Row],[CDP]],DISPONIBILIDADES_2025[[#All],[consecutivo]],DISPONIBILIDADES_2025[[#All],[fecha_aprobacion]],"",0)</f>
        <v>#NAME?</v>
      </c>
      <c r="S154" s="92">
        <f>SUMIF(DISPONIBILIDADES_2025[[#All],[consecutivo]],Contrato[[#This Row],[CDP]],DISPONIBILIDADES_2025[[#All],[valor_total_rubro]])</f>
        <v>50609170</v>
      </c>
      <c r="T154" s="118" t="e" cm="1">
        <f t="array" aca="1" ref="T154" ca="1">_xlfn.XLOOKUP(Contrato[[#This Row],[CONTRATO]]&amp;Contrato[[#This Row],[CDP]],Corr_Contr_CDP[[#All],[CONTRATO-CDP]],Corr_Contr_CDP[[#All],[CRP]],_xlfn.XLOOKUP(Contrato[[#This Row],[CDP]],COMPROMISOS_2025[[#All],[disponibilidad]],COMPROMISOS_2025[[#All],[consecutivo]],"",0),0)</f>
        <v>#NAME?</v>
      </c>
      <c r="U154" s="117" t="e" cm="1">
        <f t="array" aca="1" ref="U154" ca="1">+_xlfn.XLOOKUP(Contrato[[#This Row],[RCP]],COMPROMISOS_2025[[#All],[consecutivo]],COMPROMISOS_2025[[#All],[fecha_aprobacion]],"",0)</f>
        <v>#NAME?</v>
      </c>
      <c r="V154" s="93">
        <f ca="1">SUMIF(COMPROMISOS_2025[[#All],[consecutivo]],Contrato[[#This Row],[RCP]],COMPROMISOS_2025[[#All],[valor_total]])</f>
        <v>0</v>
      </c>
      <c r="W154" s="169">
        <v>45708</v>
      </c>
      <c r="X154" s="243" t="s">
        <v>901</v>
      </c>
      <c r="Y154" s="397">
        <v>45709</v>
      </c>
      <c r="Z154" s="161">
        <v>46005</v>
      </c>
      <c r="AA154" s="311" t="s">
        <v>1143</v>
      </c>
      <c r="AB154" s="119" t="s">
        <v>1127</v>
      </c>
      <c r="AC154" s="298"/>
      <c r="AD154" s="279">
        <v>202000006266</v>
      </c>
      <c r="AE154" s="38" t="s">
        <v>904</v>
      </c>
      <c r="AF154" s="120" t="str">
        <f>TEXT(LEFT(Contrato[[#This Row],[CONTRATO]],3),"0")</f>
        <v>148</v>
      </c>
      <c r="AG154" s="120" t="str">
        <f>IF(LEN(Contrato[[#This Row],[Contrato2]])=3,Contrato[[#This Row],[Contrato2]],TEXT(Contrato[[#This Row],[Contrato2]],"000"))</f>
        <v>148</v>
      </c>
      <c r="AH154" s="90">
        <f ca="1">IFERROR(_xlfn.DAYS(Contrato[[#This Row],[Fecha Proyectada liquidación]],TODAY())/30,"")</f>
        <v>11.4</v>
      </c>
      <c r="AI154" s="121">
        <f>+Contrato[[#This Row],[FECHA TERMINACIÓN ]]+120</f>
        <v>46125</v>
      </c>
      <c r="AJ154" s="89"/>
      <c r="AK154" s="91" t="str">
        <f ca="1">IF(Contrato[[#This Row],[FECHA TERMINACIÓN ]]&lt;TODAY(), "Terminado",IF(ISNUMBER(Contrato[[#This Row],[Fecha Real de liquiidación ]]),"Liquidado",IF(Contrato[[#This Row],[FECHA TERMINACIÓN ]]&gt;=TODAY(),"En ejecución","")))</f>
        <v>En ejecución</v>
      </c>
      <c r="AL154" s="107">
        <f ca="1">SUMIF(COMPROMISOS_2025[[#All],[consecutivo]],Contrato[[#This Row],[RCP]],COMPROMISOS_2025[[#All],[Total pagado]])</f>
        <v>0</v>
      </c>
      <c r="AM154" s="122">
        <f ca="1">IFERROR(Contrato[[#This Row],[Pagos]]/Contrato[[#This Row],[VALOR CONTRATO]],0)</f>
        <v>0</v>
      </c>
      <c r="AN154" s="160">
        <f ca="1">+Contrato[[#This Row],[VALOR CONTRATO]]-Contrato[[#This Row],[Pagos]]</f>
        <v>50609170</v>
      </c>
      <c r="AO154" s="111" t="e" cm="1">
        <f t="array" aca="1" ref="AO154" ca="1">_xlfn.XLOOKUP(Contrato[[#This Row],[DOCUMENTO ]],PERSONAL_ACTIVO_2025[[#All],[DOCUMENTO]],PERSONAL_ACTIVO_2025[[#All],[email]],0,0)</f>
        <v>#NAME?</v>
      </c>
      <c r="AP154" s="111" t="e" cm="1">
        <f t="array" aca="1" ref="AP154" ca="1">_xlfn.XLOOKUP(Contrato[[#This Row],[DOCUMENTO]],PERSONAL_ACTIVO_2025[[#All],[DOCUMENTO]],PERSONAL_ACTIVO_2025[[#All],[email]],0,0)</f>
        <v>#NAME?</v>
      </c>
      <c r="AQ154" s="111" cm="1">
        <f t="array" aca="1" ref="AQ154" ca="1">IF(ISBLANK(Contrato[[#This Row],[DEPENDENCIA ]]),0,IFERROR(_xlfn.XLOOKUP(Contrato[[#This Row],[DEPENDENCIA ]],#REF!,#REF!,0,0),0))</f>
        <v>0</v>
      </c>
      <c r="AR154" s="553">
        <f ca="1">+_xlfn.DAYS(Contrato[[#This Row],[FECHA TERMINACIÓN ]],TODAY())</f>
        <v>222</v>
      </c>
    </row>
    <row r="155" spans="1:44" s="111" customFormat="1" ht="36" customHeight="1" x14ac:dyDescent="0.25">
      <c r="A155" s="38">
        <v>349</v>
      </c>
      <c r="B155" s="226">
        <v>149</v>
      </c>
      <c r="C155" s="88" t="s">
        <v>547</v>
      </c>
      <c r="D155" s="192" t="s">
        <v>911</v>
      </c>
      <c r="E155" s="193" t="s">
        <v>112</v>
      </c>
      <c r="F155" s="194" t="s">
        <v>113</v>
      </c>
      <c r="G155" s="195" t="s">
        <v>1209</v>
      </c>
      <c r="H155" s="167">
        <v>15349318</v>
      </c>
      <c r="I155" s="292">
        <v>4157906</v>
      </c>
      <c r="J155" s="290">
        <v>40747479</v>
      </c>
      <c r="K155" s="158" t="s">
        <v>41</v>
      </c>
      <c r="L155" s="196" t="s">
        <v>1087</v>
      </c>
      <c r="M155" s="114" t="s">
        <v>939</v>
      </c>
      <c r="N155" s="113" t="e" cm="1">
        <f t="array" aca="1" ref="N155" ca="1">_xlfn.XLOOKUP(Contrato[[#This Row],[SUPERVISOR TITULAR]],PERSONAL_ACTIVO_2025[[#All],[NOMBRES Y APELLIDOS]],PERSONAL_ACTIVO_2025[[#All],[DOCUMENTO]],"",0)</f>
        <v>#NAME?</v>
      </c>
      <c r="O155" s="114" t="s">
        <v>943</v>
      </c>
      <c r="P155" s="115" t="e" cm="1">
        <f t="array" aca="1" ref="P155" ca="1">_xlfn.XLOOKUP(Contrato[[#This Row],[SUPERVISOR SUPLENTE ]],PERSONAL_ACTIVO_2025[[#All],[NOMBRES Y APELLIDOS]],PERSONAL_ACTIVO_2025[[#All],[DOCUMENTO]],"",0)</f>
        <v>#NAME?</v>
      </c>
      <c r="Q155" s="116">
        <v>183</v>
      </c>
      <c r="R155" s="137" t="e" cm="1">
        <f t="array" aca="1" ref="R155" ca="1">_xlfn.XLOOKUP(Contrato[[#This Row],[CDP]],DISPONIBILIDADES_2025[[#All],[consecutivo]],DISPONIBILIDADES_2025[[#All],[fecha_aprobacion]],"",0)</f>
        <v>#NAME?</v>
      </c>
      <c r="S155" s="92">
        <f>SUMIF(DISPONIBILIDADES_2025[[#All],[consecutivo]],Contrato[[#This Row],[CDP]],DISPONIBILIDADES_2025[[#All],[valor_total_rubro]])</f>
        <v>40747479</v>
      </c>
      <c r="T155" s="118" t="e" cm="1">
        <f t="array" aca="1" ref="T155" ca="1">_xlfn.XLOOKUP(Contrato[[#This Row],[CONTRATO]]&amp;Contrato[[#This Row],[CDP]],Corr_Contr_CDP[[#All],[CONTRATO-CDP]],Corr_Contr_CDP[[#All],[CRP]],_xlfn.XLOOKUP(Contrato[[#This Row],[CDP]],COMPROMISOS_2025[[#All],[disponibilidad]],COMPROMISOS_2025[[#All],[consecutivo]],"",0),0)</f>
        <v>#NAME?</v>
      </c>
      <c r="U155" s="117" t="e" cm="1">
        <f t="array" aca="1" ref="U155" ca="1">+_xlfn.XLOOKUP(Contrato[[#This Row],[RCP]],COMPROMISOS_2025[[#All],[consecutivo]],COMPROMISOS_2025[[#All],[fecha_aprobacion]],"",0)</f>
        <v>#NAME?</v>
      </c>
      <c r="V155" s="93">
        <f ca="1">SUMIF(COMPROMISOS_2025[[#All],[consecutivo]],Contrato[[#This Row],[RCP]],COMPROMISOS_2025[[#All],[valor_total]])</f>
        <v>0</v>
      </c>
      <c r="W155" s="169">
        <v>45708</v>
      </c>
      <c r="X155" s="243" t="s">
        <v>901</v>
      </c>
      <c r="Y155" s="397">
        <v>45709</v>
      </c>
      <c r="Z155" s="161">
        <v>46005</v>
      </c>
      <c r="AA155" s="311" t="s">
        <v>1143</v>
      </c>
      <c r="AB155" s="119" t="s">
        <v>1127</v>
      </c>
      <c r="AC155" s="298"/>
      <c r="AD155" s="279">
        <v>202000006267</v>
      </c>
      <c r="AE155" s="38" t="s">
        <v>904</v>
      </c>
      <c r="AF155" s="120" t="str">
        <f>TEXT(LEFT(Contrato[[#This Row],[CONTRATO]],3),"0")</f>
        <v>149</v>
      </c>
      <c r="AG155" s="120" t="str">
        <f>IF(LEN(Contrato[[#This Row],[Contrato2]])=3,Contrato[[#This Row],[Contrato2]],TEXT(Contrato[[#This Row],[Contrato2]],"000"))</f>
        <v>149</v>
      </c>
      <c r="AH155" s="90">
        <f ca="1">IFERROR(_xlfn.DAYS(Contrato[[#This Row],[Fecha Proyectada liquidación]],TODAY())/30,"")</f>
        <v>11.4</v>
      </c>
      <c r="AI155" s="121">
        <f>+Contrato[[#This Row],[FECHA TERMINACIÓN ]]+120</f>
        <v>46125</v>
      </c>
      <c r="AJ155" s="89"/>
      <c r="AK155" s="91" t="str">
        <f ca="1">IF(Contrato[[#This Row],[FECHA TERMINACIÓN ]]&lt;TODAY(), "Terminado",IF(ISNUMBER(Contrato[[#This Row],[Fecha Real de liquiidación ]]),"Liquidado",IF(Contrato[[#This Row],[FECHA TERMINACIÓN ]]&gt;=TODAY(),"En ejecución","")))</f>
        <v>En ejecución</v>
      </c>
      <c r="AL155" s="107">
        <f ca="1">SUMIF(COMPROMISOS_2025[[#All],[consecutivo]],Contrato[[#This Row],[RCP]],COMPROMISOS_2025[[#All],[Total pagado]])</f>
        <v>0</v>
      </c>
      <c r="AM155" s="122">
        <f ca="1">IFERROR(Contrato[[#This Row],[Pagos]]/Contrato[[#This Row],[VALOR CONTRATO]],0)</f>
        <v>0</v>
      </c>
      <c r="AN155" s="160">
        <f ca="1">+Contrato[[#This Row],[VALOR CONTRATO]]-Contrato[[#This Row],[Pagos]]</f>
        <v>40747479</v>
      </c>
      <c r="AO155" s="111" t="e" cm="1">
        <f t="array" aca="1" ref="AO155" ca="1">_xlfn.XLOOKUP(Contrato[[#This Row],[DOCUMENTO ]],PERSONAL_ACTIVO_2025[[#All],[DOCUMENTO]],PERSONAL_ACTIVO_2025[[#All],[email]],0,0)</f>
        <v>#NAME?</v>
      </c>
      <c r="AP155" s="111" t="e" cm="1">
        <f t="array" aca="1" ref="AP155" ca="1">_xlfn.XLOOKUP(Contrato[[#This Row],[DOCUMENTO]],PERSONAL_ACTIVO_2025[[#All],[DOCUMENTO]],PERSONAL_ACTIVO_2025[[#All],[email]],0,0)</f>
        <v>#NAME?</v>
      </c>
      <c r="AQ155" s="111" cm="1">
        <f t="array" aca="1" ref="AQ155" ca="1">IF(ISBLANK(Contrato[[#This Row],[DEPENDENCIA ]]),0,IFERROR(_xlfn.XLOOKUP(Contrato[[#This Row],[DEPENDENCIA ]],#REF!,#REF!,0,0),0))</f>
        <v>0</v>
      </c>
      <c r="AR155" s="553">
        <f ca="1">+_xlfn.DAYS(Contrato[[#This Row],[FECHA TERMINACIÓN ]],TODAY())</f>
        <v>222</v>
      </c>
    </row>
    <row r="156" spans="1:44" s="111" customFormat="1" ht="36" customHeight="1" x14ac:dyDescent="0.25">
      <c r="A156" s="38">
        <v>351</v>
      </c>
      <c r="B156" s="226">
        <v>150</v>
      </c>
      <c r="C156" s="88" t="s">
        <v>549</v>
      </c>
      <c r="D156" s="192" t="s">
        <v>911</v>
      </c>
      <c r="E156" s="193" t="s">
        <v>112</v>
      </c>
      <c r="F156" s="194" t="s">
        <v>113</v>
      </c>
      <c r="G156" s="195" t="s">
        <v>1210</v>
      </c>
      <c r="H156" s="167">
        <v>1026137307</v>
      </c>
      <c r="I156" s="292">
        <v>6239569</v>
      </c>
      <c r="J156" s="290">
        <v>61147776</v>
      </c>
      <c r="K156" s="158" t="s">
        <v>41</v>
      </c>
      <c r="L156" s="196" t="s">
        <v>1087</v>
      </c>
      <c r="M156" s="114" t="s">
        <v>943</v>
      </c>
      <c r="N156" s="113" t="e" cm="1">
        <f t="array" aca="1" ref="N156" ca="1">_xlfn.XLOOKUP(Contrato[[#This Row],[SUPERVISOR TITULAR]],PERSONAL_ACTIVO_2025[[#All],[NOMBRES Y APELLIDOS]],PERSONAL_ACTIVO_2025[[#All],[DOCUMENTO]],"",0)</f>
        <v>#NAME?</v>
      </c>
      <c r="O156" s="114" t="s">
        <v>939</v>
      </c>
      <c r="P156" s="115" t="e" cm="1">
        <f t="array" aca="1" ref="P156" ca="1">_xlfn.XLOOKUP(Contrato[[#This Row],[SUPERVISOR SUPLENTE ]],PERSONAL_ACTIVO_2025[[#All],[NOMBRES Y APELLIDOS]],PERSONAL_ACTIVO_2025[[#All],[DOCUMENTO]],"",0)</f>
        <v>#NAME?</v>
      </c>
      <c r="Q156" s="116">
        <v>185</v>
      </c>
      <c r="R156" s="137" t="e" cm="1">
        <f t="array" aca="1" ref="R156" ca="1">_xlfn.XLOOKUP(Contrato[[#This Row],[CDP]],DISPONIBILIDADES_2025[[#All],[consecutivo]],DISPONIBILIDADES_2025[[#All],[fecha_aprobacion]],"",0)</f>
        <v>#NAME?</v>
      </c>
      <c r="S156" s="92">
        <f>SUMIF(DISPONIBILIDADES_2025[[#All],[consecutivo]],Contrato[[#This Row],[CDP]],DISPONIBILIDADES_2025[[#All],[valor_total_rubro]])</f>
        <v>61147776</v>
      </c>
      <c r="T156" s="118" t="e" cm="1">
        <f t="array" aca="1" ref="T156" ca="1">_xlfn.XLOOKUP(Contrato[[#This Row],[CONTRATO]]&amp;Contrato[[#This Row],[CDP]],Corr_Contr_CDP[[#All],[CONTRATO-CDP]],Corr_Contr_CDP[[#All],[CRP]],_xlfn.XLOOKUP(Contrato[[#This Row],[CDP]],COMPROMISOS_2025[[#All],[disponibilidad]],COMPROMISOS_2025[[#All],[consecutivo]],"",0),0)</f>
        <v>#NAME?</v>
      </c>
      <c r="U156" s="117" t="e" cm="1">
        <f t="array" aca="1" ref="U156" ca="1">+_xlfn.XLOOKUP(Contrato[[#This Row],[RCP]],COMPROMISOS_2025[[#All],[consecutivo]],COMPROMISOS_2025[[#All],[fecha_aprobacion]],"",0)</f>
        <v>#NAME?</v>
      </c>
      <c r="V156" s="93">
        <f ca="1">SUMIF(COMPROMISOS_2025[[#All],[consecutivo]],Contrato[[#This Row],[RCP]],COMPROMISOS_2025[[#All],[valor_total]])</f>
        <v>0</v>
      </c>
      <c r="W156" s="169">
        <v>45707</v>
      </c>
      <c r="X156" s="243" t="s">
        <v>901</v>
      </c>
      <c r="Y156" s="397">
        <v>45709</v>
      </c>
      <c r="Z156" s="161">
        <v>46005</v>
      </c>
      <c r="AA156" s="311" t="s">
        <v>1143</v>
      </c>
      <c r="AB156" s="119" t="s">
        <v>1127</v>
      </c>
      <c r="AC156" s="298"/>
      <c r="AD156" s="279">
        <v>202000006268</v>
      </c>
      <c r="AE156" s="38" t="s">
        <v>904</v>
      </c>
      <c r="AF156" s="120" t="str">
        <f>TEXT(LEFT(Contrato[[#This Row],[CONTRATO]],3),"0")</f>
        <v>150</v>
      </c>
      <c r="AG156" s="120" t="str">
        <f>IF(LEN(Contrato[[#This Row],[Contrato2]])=3,Contrato[[#This Row],[Contrato2]],TEXT(Contrato[[#This Row],[Contrato2]],"000"))</f>
        <v>150</v>
      </c>
      <c r="AH156" s="90">
        <f ca="1">IFERROR(_xlfn.DAYS(Contrato[[#This Row],[Fecha Proyectada liquidación]],TODAY())/30,"")</f>
        <v>11.4</v>
      </c>
      <c r="AI156" s="121">
        <f>+Contrato[[#This Row],[FECHA TERMINACIÓN ]]+120</f>
        <v>46125</v>
      </c>
      <c r="AJ156" s="89"/>
      <c r="AK156" s="91" t="str">
        <f ca="1">IF(Contrato[[#This Row],[FECHA TERMINACIÓN ]]&lt;TODAY(), "Terminado",IF(ISNUMBER(Contrato[[#This Row],[Fecha Real de liquiidación ]]),"Liquidado",IF(Contrato[[#This Row],[FECHA TERMINACIÓN ]]&gt;=TODAY(),"En ejecución","")))</f>
        <v>En ejecución</v>
      </c>
      <c r="AL156" s="107">
        <f ca="1">SUMIF(COMPROMISOS_2025[[#All],[consecutivo]],Contrato[[#This Row],[RCP]],COMPROMISOS_2025[[#All],[Total pagado]])</f>
        <v>0</v>
      </c>
      <c r="AM156" s="122">
        <f ca="1">IFERROR(Contrato[[#This Row],[Pagos]]/Contrato[[#This Row],[VALOR CONTRATO]],0)</f>
        <v>0</v>
      </c>
      <c r="AN156" s="160">
        <f ca="1">+Contrato[[#This Row],[VALOR CONTRATO]]-Contrato[[#This Row],[Pagos]]</f>
        <v>61147776</v>
      </c>
      <c r="AO156" s="111" t="e" cm="1">
        <f t="array" aca="1" ref="AO156" ca="1">_xlfn.XLOOKUP(Contrato[[#This Row],[DOCUMENTO ]],PERSONAL_ACTIVO_2025[[#All],[DOCUMENTO]],PERSONAL_ACTIVO_2025[[#All],[email]],0,0)</f>
        <v>#NAME?</v>
      </c>
      <c r="AP156" s="111" t="e" cm="1">
        <f t="array" aca="1" ref="AP156" ca="1">_xlfn.XLOOKUP(Contrato[[#This Row],[DOCUMENTO]],PERSONAL_ACTIVO_2025[[#All],[DOCUMENTO]],PERSONAL_ACTIVO_2025[[#All],[email]],0,0)</f>
        <v>#NAME?</v>
      </c>
      <c r="AQ156" s="111" cm="1">
        <f t="array" aca="1" ref="AQ156" ca="1">IF(ISBLANK(Contrato[[#This Row],[DEPENDENCIA ]]),0,IFERROR(_xlfn.XLOOKUP(Contrato[[#This Row],[DEPENDENCIA ]],#REF!,#REF!,0,0),0))</f>
        <v>0</v>
      </c>
      <c r="AR156" s="553">
        <f ca="1">+_xlfn.DAYS(Contrato[[#This Row],[FECHA TERMINACIÓN ]],TODAY())</f>
        <v>222</v>
      </c>
    </row>
    <row r="157" spans="1:44" s="111" customFormat="1" ht="36" customHeight="1" x14ac:dyDescent="0.25">
      <c r="A157" s="38">
        <v>352</v>
      </c>
      <c r="B157" s="226">
        <v>151</v>
      </c>
      <c r="C157" s="88" t="s">
        <v>550</v>
      </c>
      <c r="D157" s="192" t="s">
        <v>911</v>
      </c>
      <c r="E157" s="193" t="s">
        <v>112</v>
      </c>
      <c r="F157" s="194" t="s">
        <v>113</v>
      </c>
      <c r="G157" s="195" t="s">
        <v>1211</v>
      </c>
      <c r="H157" s="167">
        <v>98575572</v>
      </c>
      <c r="I157" s="292">
        <v>4157906</v>
      </c>
      <c r="J157" s="290">
        <v>40747479</v>
      </c>
      <c r="K157" s="158" t="s">
        <v>41</v>
      </c>
      <c r="L157" s="196" t="s">
        <v>1087</v>
      </c>
      <c r="M157" s="114" t="s">
        <v>943</v>
      </c>
      <c r="N157" s="113" t="e" cm="1">
        <f t="array" aca="1" ref="N157" ca="1">_xlfn.XLOOKUP(Contrato[[#This Row],[SUPERVISOR TITULAR]],PERSONAL_ACTIVO_2025[[#All],[NOMBRES Y APELLIDOS]],PERSONAL_ACTIVO_2025[[#All],[DOCUMENTO]],"",0)</f>
        <v>#NAME?</v>
      </c>
      <c r="O157" s="114" t="s">
        <v>939</v>
      </c>
      <c r="P157" s="115" t="e" cm="1">
        <f t="array" aca="1" ref="P157" ca="1">_xlfn.XLOOKUP(Contrato[[#This Row],[SUPERVISOR SUPLENTE ]],PERSONAL_ACTIVO_2025[[#All],[NOMBRES Y APELLIDOS]],PERSONAL_ACTIVO_2025[[#All],[DOCUMENTO]],"",0)</f>
        <v>#NAME?</v>
      </c>
      <c r="Q157" s="116">
        <v>186</v>
      </c>
      <c r="R157" s="137" t="e" cm="1">
        <f t="array" aca="1" ref="R157" ca="1">_xlfn.XLOOKUP(Contrato[[#This Row],[CDP]],DISPONIBILIDADES_2025[[#All],[consecutivo]],DISPONIBILIDADES_2025[[#All],[fecha_aprobacion]],"",0)</f>
        <v>#NAME?</v>
      </c>
      <c r="S157" s="92">
        <f>SUMIF(DISPONIBILIDADES_2025[[#All],[consecutivo]],Contrato[[#This Row],[CDP]],DISPONIBILIDADES_2025[[#All],[valor_total_rubro]])</f>
        <v>40747479</v>
      </c>
      <c r="T157" s="118" t="e" cm="1">
        <f t="array" aca="1" ref="T157" ca="1">_xlfn.XLOOKUP(Contrato[[#This Row],[CONTRATO]]&amp;Contrato[[#This Row],[CDP]],Corr_Contr_CDP[[#All],[CONTRATO-CDP]],Corr_Contr_CDP[[#All],[CRP]],_xlfn.XLOOKUP(Contrato[[#This Row],[CDP]],COMPROMISOS_2025[[#All],[disponibilidad]],COMPROMISOS_2025[[#All],[consecutivo]],"",0),0)</f>
        <v>#NAME?</v>
      </c>
      <c r="U157" s="117" t="e" cm="1">
        <f t="array" aca="1" ref="U157" ca="1">+_xlfn.XLOOKUP(Contrato[[#This Row],[RCP]],COMPROMISOS_2025[[#All],[consecutivo]],COMPROMISOS_2025[[#All],[fecha_aprobacion]],"",0)</f>
        <v>#NAME?</v>
      </c>
      <c r="V157" s="93">
        <f ca="1">SUMIF(COMPROMISOS_2025[[#All],[consecutivo]],Contrato[[#This Row],[RCP]],COMPROMISOS_2025[[#All],[valor_total]])</f>
        <v>0</v>
      </c>
      <c r="W157" s="169">
        <v>45707</v>
      </c>
      <c r="X157" s="243" t="s">
        <v>901</v>
      </c>
      <c r="Y157" s="397">
        <v>45709</v>
      </c>
      <c r="Z157" s="161">
        <v>46005</v>
      </c>
      <c r="AA157" s="311" t="s">
        <v>1143</v>
      </c>
      <c r="AB157" s="119" t="s">
        <v>1127</v>
      </c>
      <c r="AC157" s="298"/>
      <c r="AD157" s="279">
        <v>202000006269</v>
      </c>
      <c r="AE157" s="38" t="s">
        <v>904</v>
      </c>
      <c r="AF157" s="120" t="str">
        <f>TEXT(LEFT(Contrato[[#This Row],[CONTRATO]],3),"0")</f>
        <v>151</v>
      </c>
      <c r="AG157" s="120" t="str">
        <f>IF(LEN(Contrato[[#This Row],[Contrato2]])=3,Contrato[[#This Row],[Contrato2]],TEXT(Contrato[[#This Row],[Contrato2]],"000"))</f>
        <v>151</v>
      </c>
      <c r="AH157" s="90">
        <f ca="1">IFERROR(_xlfn.DAYS(Contrato[[#This Row],[Fecha Proyectada liquidación]],TODAY())/30,"")</f>
        <v>11.4</v>
      </c>
      <c r="AI157" s="121">
        <f>+Contrato[[#This Row],[FECHA TERMINACIÓN ]]+120</f>
        <v>46125</v>
      </c>
      <c r="AJ157" s="89"/>
      <c r="AK157" s="91" t="str">
        <f ca="1">IF(Contrato[[#This Row],[FECHA TERMINACIÓN ]]&lt;TODAY(), "Terminado",IF(ISNUMBER(Contrato[[#This Row],[Fecha Real de liquiidación ]]),"Liquidado",IF(Contrato[[#This Row],[FECHA TERMINACIÓN ]]&gt;=TODAY(),"En ejecución","")))</f>
        <v>En ejecución</v>
      </c>
      <c r="AL157" s="107">
        <f ca="1">SUMIF(COMPROMISOS_2025[[#All],[consecutivo]],Contrato[[#This Row],[RCP]],COMPROMISOS_2025[[#All],[Total pagado]])</f>
        <v>0</v>
      </c>
      <c r="AM157" s="122">
        <f ca="1">IFERROR(Contrato[[#This Row],[Pagos]]/Contrato[[#This Row],[VALOR CONTRATO]],0)</f>
        <v>0</v>
      </c>
      <c r="AN157" s="160">
        <f ca="1">+Contrato[[#This Row],[VALOR CONTRATO]]-Contrato[[#This Row],[Pagos]]</f>
        <v>40747479</v>
      </c>
      <c r="AO157" s="111" t="e" cm="1">
        <f t="array" aca="1" ref="AO157" ca="1">_xlfn.XLOOKUP(Contrato[[#This Row],[DOCUMENTO ]],PERSONAL_ACTIVO_2025[[#All],[DOCUMENTO]],PERSONAL_ACTIVO_2025[[#All],[email]],0,0)</f>
        <v>#NAME?</v>
      </c>
      <c r="AP157" s="111" t="e" cm="1">
        <f t="array" aca="1" ref="AP157" ca="1">_xlfn.XLOOKUP(Contrato[[#This Row],[DOCUMENTO]],PERSONAL_ACTIVO_2025[[#All],[DOCUMENTO]],PERSONAL_ACTIVO_2025[[#All],[email]],0,0)</f>
        <v>#NAME?</v>
      </c>
      <c r="AQ157" s="111" cm="1">
        <f t="array" aca="1" ref="AQ157" ca="1">IF(ISBLANK(Contrato[[#This Row],[DEPENDENCIA ]]),0,IFERROR(_xlfn.XLOOKUP(Contrato[[#This Row],[DEPENDENCIA ]],#REF!,#REF!,0,0),0))</f>
        <v>0</v>
      </c>
      <c r="AR157" s="553">
        <f ca="1">+_xlfn.DAYS(Contrato[[#This Row],[FECHA TERMINACIÓN ]],TODAY())</f>
        <v>222</v>
      </c>
    </row>
    <row r="158" spans="1:44" s="111" customFormat="1" ht="36" customHeight="1" x14ac:dyDescent="0.25">
      <c r="A158" s="38">
        <v>353</v>
      </c>
      <c r="B158" s="226">
        <v>152</v>
      </c>
      <c r="C158" s="88" t="s">
        <v>551</v>
      </c>
      <c r="D158" s="192" t="s">
        <v>911</v>
      </c>
      <c r="E158" s="193" t="s">
        <v>112</v>
      </c>
      <c r="F158" s="194" t="s">
        <v>113</v>
      </c>
      <c r="G158" s="195" t="s">
        <v>1212</v>
      </c>
      <c r="H158" s="167">
        <v>71734412</v>
      </c>
      <c r="I158" s="292">
        <v>4157906</v>
      </c>
      <c r="J158" s="290">
        <v>40747479</v>
      </c>
      <c r="K158" s="158" t="s">
        <v>41</v>
      </c>
      <c r="L158" s="196" t="s">
        <v>1087</v>
      </c>
      <c r="M158" s="114" t="s">
        <v>943</v>
      </c>
      <c r="N158" s="113" t="e" cm="1">
        <f t="array" aca="1" ref="N158" ca="1">_xlfn.XLOOKUP(Contrato[[#This Row],[SUPERVISOR TITULAR]],PERSONAL_ACTIVO_2025[[#All],[NOMBRES Y APELLIDOS]],PERSONAL_ACTIVO_2025[[#All],[DOCUMENTO]],"",0)</f>
        <v>#NAME?</v>
      </c>
      <c r="O158" s="114" t="s">
        <v>939</v>
      </c>
      <c r="P158" s="115" t="e" cm="1">
        <f t="array" aca="1" ref="P158" ca="1">_xlfn.XLOOKUP(Contrato[[#This Row],[SUPERVISOR SUPLENTE ]],PERSONAL_ACTIVO_2025[[#All],[NOMBRES Y APELLIDOS]],PERSONAL_ACTIVO_2025[[#All],[DOCUMENTO]],"",0)</f>
        <v>#NAME?</v>
      </c>
      <c r="Q158" s="116">
        <v>187</v>
      </c>
      <c r="R158" s="137" t="e" cm="1">
        <f t="array" aca="1" ref="R158" ca="1">_xlfn.XLOOKUP(Contrato[[#This Row],[CDP]],DISPONIBILIDADES_2025[[#All],[consecutivo]],DISPONIBILIDADES_2025[[#All],[fecha_aprobacion]],"",0)</f>
        <v>#NAME?</v>
      </c>
      <c r="S158" s="92">
        <f>SUMIF(DISPONIBILIDADES_2025[[#All],[consecutivo]],Contrato[[#This Row],[CDP]],DISPONIBILIDADES_2025[[#All],[valor_total_rubro]])</f>
        <v>40747479</v>
      </c>
      <c r="T158" s="118" t="e" cm="1">
        <f t="array" aca="1" ref="T158" ca="1">_xlfn.XLOOKUP(Contrato[[#This Row],[CONTRATO]]&amp;Contrato[[#This Row],[CDP]],Corr_Contr_CDP[[#All],[CONTRATO-CDP]],Corr_Contr_CDP[[#All],[CRP]],_xlfn.XLOOKUP(Contrato[[#This Row],[CDP]],COMPROMISOS_2025[[#All],[disponibilidad]],COMPROMISOS_2025[[#All],[consecutivo]],"",0),0)</f>
        <v>#NAME?</v>
      </c>
      <c r="U158" s="117" t="e" cm="1">
        <f t="array" aca="1" ref="U158" ca="1">+_xlfn.XLOOKUP(Contrato[[#This Row],[RCP]],COMPROMISOS_2025[[#All],[consecutivo]],COMPROMISOS_2025[[#All],[fecha_aprobacion]],"",0)</f>
        <v>#NAME?</v>
      </c>
      <c r="V158" s="93">
        <f ca="1">SUMIF(COMPROMISOS_2025[[#All],[consecutivo]],Contrato[[#This Row],[RCP]],COMPROMISOS_2025[[#All],[valor_total]])</f>
        <v>0</v>
      </c>
      <c r="W158" s="169">
        <v>45707</v>
      </c>
      <c r="X158" s="243" t="s">
        <v>901</v>
      </c>
      <c r="Y158" s="397">
        <v>45709</v>
      </c>
      <c r="Z158" s="161">
        <v>46005</v>
      </c>
      <c r="AA158" s="311" t="s">
        <v>1143</v>
      </c>
      <c r="AB158" s="119" t="s">
        <v>1127</v>
      </c>
      <c r="AC158" s="298"/>
      <c r="AD158" s="279">
        <v>202000006270</v>
      </c>
      <c r="AE158" s="38" t="s">
        <v>904</v>
      </c>
      <c r="AF158" s="120" t="str">
        <f>TEXT(LEFT(Contrato[[#This Row],[CONTRATO]],3),"0")</f>
        <v>152</v>
      </c>
      <c r="AG158" s="120" t="str">
        <f>IF(LEN(Contrato[[#This Row],[Contrato2]])=3,Contrato[[#This Row],[Contrato2]],TEXT(Contrato[[#This Row],[Contrato2]],"000"))</f>
        <v>152</v>
      </c>
      <c r="AH158" s="90">
        <f ca="1">IFERROR(_xlfn.DAYS(Contrato[[#This Row],[Fecha Proyectada liquidación]],TODAY())/30,"")</f>
        <v>11.4</v>
      </c>
      <c r="AI158" s="121">
        <f>+Contrato[[#This Row],[FECHA TERMINACIÓN ]]+120</f>
        <v>46125</v>
      </c>
      <c r="AJ158" s="89"/>
      <c r="AK158" s="91" t="str">
        <f ca="1">IF(Contrato[[#This Row],[FECHA TERMINACIÓN ]]&lt;TODAY(), "Terminado",IF(ISNUMBER(Contrato[[#This Row],[Fecha Real de liquiidación ]]),"Liquidado",IF(Contrato[[#This Row],[FECHA TERMINACIÓN ]]&gt;=TODAY(),"En ejecución","")))</f>
        <v>En ejecución</v>
      </c>
      <c r="AL158" s="107">
        <f ca="1">SUMIF(COMPROMISOS_2025[[#All],[consecutivo]],Contrato[[#This Row],[RCP]],COMPROMISOS_2025[[#All],[Total pagado]])</f>
        <v>0</v>
      </c>
      <c r="AM158" s="122">
        <f ca="1">IFERROR(Contrato[[#This Row],[Pagos]]/Contrato[[#This Row],[VALOR CONTRATO]],0)</f>
        <v>0</v>
      </c>
      <c r="AN158" s="160">
        <f ca="1">+Contrato[[#This Row],[VALOR CONTRATO]]-Contrato[[#This Row],[Pagos]]</f>
        <v>40747479</v>
      </c>
      <c r="AO158" s="111" t="e" cm="1">
        <f t="array" aca="1" ref="AO158" ca="1">_xlfn.XLOOKUP(Contrato[[#This Row],[DOCUMENTO ]],PERSONAL_ACTIVO_2025[[#All],[DOCUMENTO]],PERSONAL_ACTIVO_2025[[#All],[email]],0,0)</f>
        <v>#NAME?</v>
      </c>
      <c r="AP158" s="111" t="e" cm="1">
        <f t="array" aca="1" ref="AP158" ca="1">_xlfn.XLOOKUP(Contrato[[#This Row],[DOCUMENTO]],PERSONAL_ACTIVO_2025[[#All],[DOCUMENTO]],PERSONAL_ACTIVO_2025[[#All],[email]],0,0)</f>
        <v>#NAME?</v>
      </c>
      <c r="AQ158" s="111" cm="1">
        <f t="array" aca="1" ref="AQ158" ca="1">IF(ISBLANK(Contrato[[#This Row],[DEPENDENCIA ]]),0,IFERROR(_xlfn.XLOOKUP(Contrato[[#This Row],[DEPENDENCIA ]],#REF!,#REF!,0,0),0))</f>
        <v>0</v>
      </c>
      <c r="AR158" s="553">
        <f ca="1">+_xlfn.DAYS(Contrato[[#This Row],[FECHA TERMINACIÓN ]],TODAY())</f>
        <v>222</v>
      </c>
    </row>
    <row r="159" spans="1:44" s="111" customFormat="1" ht="36" customHeight="1" x14ac:dyDescent="0.25">
      <c r="A159" s="38">
        <v>354</v>
      </c>
      <c r="B159" s="226">
        <v>153</v>
      </c>
      <c r="C159" s="88" t="s">
        <v>552</v>
      </c>
      <c r="D159" s="192" t="s">
        <v>911</v>
      </c>
      <c r="E159" s="193" t="s">
        <v>112</v>
      </c>
      <c r="F159" s="194" t="s">
        <v>113</v>
      </c>
      <c r="G159" s="195" t="s">
        <v>1213</v>
      </c>
      <c r="H159" s="167">
        <v>43209715</v>
      </c>
      <c r="I159" s="292">
        <v>4157906</v>
      </c>
      <c r="J159" s="290">
        <v>40747479</v>
      </c>
      <c r="K159" s="158" t="s">
        <v>41</v>
      </c>
      <c r="L159" s="196" t="s">
        <v>1087</v>
      </c>
      <c r="M159" s="114" t="s">
        <v>943</v>
      </c>
      <c r="N159" s="113" t="e" cm="1">
        <f t="array" aca="1" ref="N159" ca="1">_xlfn.XLOOKUP(Contrato[[#This Row],[SUPERVISOR TITULAR]],PERSONAL_ACTIVO_2025[[#All],[NOMBRES Y APELLIDOS]],PERSONAL_ACTIVO_2025[[#All],[DOCUMENTO]],"",0)</f>
        <v>#NAME?</v>
      </c>
      <c r="O159" s="114" t="s">
        <v>939</v>
      </c>
      <c r="P159" s="115" t="e" cm="1">
        <f t="array" aca="1" ref="P159" ca="1">_xlfn.XLOOKUP(Contrato[[#This Row],[SUPERVISOR SUPLENTE ]],PERSONAL_ACTIVO_2025[[#All],[NOMBRES Y APELLIDOS]],PERSONAL_ACTIVO_2025[[#All],[DOCUMENTO]],"",0)</f>
        <v>#NAME?</v>
      </c>
      <c r="Q159" s="116">
        <v>188</v>
      </c>
      <c r="R159" s="137" t="e" cm="1">
        <f t="array" aca="1" ref="R159" ca="1">_xlfn.XLOOKUP(Contrato[[#This Row],[CDP]],DISPONIBILIDADES_2025[[#All],[consecutivo]],DISPONIBILIDADES_2025[[#All],[fecha_aprobacion]],"",0)</f>
        <v>#NAME?</v>
      </c>
      <c r="S159" s="92">
        <f>SUMIF(DISPONIBILIDADES_2025[[#All],[consecutivo]],Contrato[[#This Row],[CDP]],DISPONIBILIDADES_2025[[#All],[valor_total_rubro]])</f>
        <v>40747479</v>
      </c>
      <c r="T159" s="118" t="e" cm="1">
        <f t="array" aca="1" ref="T159" ca="1">_xlfn.XLOOKUP(Contrato[[#This Row],[CONTRATO]]&amp;Contrato[[#This Row],[CDP]],Corr_Contr_CDP[[#All],[CONTRATO-CDP]],Corr_Contr_CDP[[#All],[CRP]],_xlfn.XLOOKUP(Contrato[[#This Row],[CDP]],COMPROMISOS_2025[[#All],[disponibilidad]],COMPROMISOS_2025[[#All],[consecutivo]],"",0),0)</f>
        <v>#NAME?</v>
      </c>
      <c r="U159" s="117" t="e" cm="1">
        <f t="array" aca="1" ref="U159" ca="1">+_xlfn.XLOOKUP(Contrato[[#This Row],[RCP]],COMPROMISOS_2025[[#All],[consecutivo]],COMPROMISOS_2025[[#All],[fecha_aprobacion]],"",0)</f>
        <v>#NAME?</v>
      </c>
      <c r="V159" s="93">
        <f ca="1">SUMIF(COMPROMISOS_2025[[#All],[consecutivo]],Contrato[[#This Row],[RCP]],COMPROMISOS_2025[[#All],[valor_total]])</f>
        <v>0</v>
      </c>
      <c r="W159" s="169">
        <v>45708</v>
      </c>
      <c r="X159" s="243" t="s">
        <v>901</v>
      </c>
      <c r="Y159" s="397">
        <v>45709</v>
      </c>
      <c r="Z159" s="161">
        <v>46005</v>
      </c>
      <c r="AA159" s="311" t="s">
        <v>1143</v>
      </c>
      <c r="AB159" s="119" t="s">
        <v>1127</v>
      </c>
      <c r="AC159" s="298"/>
      <c r="AD159" s="279">
        <v>202000006271</v>
      </c>
      <c r="AE159" s="38" t="s">
        <v>904</v>
      </c>
      <c r="AF159" s="120" t="str">
        <f>TEXT(LEFT(Contrato[[#This Row],[CONTRATO]],3),"0")</f>
        <v>153</v>
      </c>
      <c r="AG159" s="120" t="str">
        <f>IF(LEN(Contrato[[#This Row],[Contrato2]])=3,Contrato[[#This Row],[Contrato2]],TEXT(Contrato[[#This Row],[Contrato2]],"000"))</f>
        <v>153</v>
      </c>
      <c r="AH159" s="90">
        <f ca="1">IFERROR(_xlfn.DAYS(Contrato[[#This Row],[Fecha Proyectada liquidación]],TODAY())/30,"")</f>
        <v>11.4</v>
      </c>
      <c r="AI159" s="121">
        <f>+Contrato[[#This Row],[FECHA TERMINACIÓN ]]+120</f>
        <v>46125</v>
      </c>
      <c r="AJ159" s="89"/>
      <c r="AK159" s="91" t="str">
        <f ca="1">IF(Contrato[[#This Row],[FECHA TERMINACIÓN ]]&lt;TODAY(), "Terminado",IF(ISNUMBER(Contrato[[#This Row],[Fecha Real de liquiidación ]]),"Liquidado",IF(Contrato[[#This Row],[FECHA TERMINACIÓN ]]&gt;=TODAY(),"En ejecución","")))</f>
        <v>En ejecución</v>
      </c>
      <c r="AL159" s="107">
        <f ca="1">SUMIF(COMPROMISOS_2025[[#All],[consecutivo]],Contrato[[#This Row],[RCP]],COMPROMISOS_2025[[#All],[Total pagado]])</f>
        <v>0</v>
      </c>
      <c r="AM159" s="122">
        <f ca="1">IFERROR(Contrato[[#This Row],[Pagos]]/Contrato[[#This Row],[VALOR CONTRATO]],0)</f>
        <v>0</v>
      </c>
      <c r="AN159" s="160">
        <f ca="1">+Contrato[[#This Row],[VALOR CONTRATO]]-Contrato[[#This Row],[Pagos]]</f>
        <v>40747479</v>
      </c>
      <c r="AO159" s="111" t="e" cm="1">
        <f t="array" aca="1" ref="AO159" ca="1">_xlfn.XLOOKUP(Contrato[[#This Row],[DOCUMENTO ]],PERSONAL_ACTIVO_2025[[#All],[DOCUMENTO]],PERSONAL_ACTIVO_2025[[#All],[email]],0,0)</f>
        <v>#NAME?</v>
      </c>
      <c r="AP159" s="111" t="e" cm="1">
        <f t="array" aca="1" ref="AP159" ca="1">_xlfn.XLOOKUP(Contrato[[#This Row],[DOCUMENTO]],PERSONAL_ACTIVO_2025[[#All],[DOCUMENTO]],PERSONAL_ACTIVO_2025[[#All],[email]],0,0)</f>
        <v>#NAME?</v>
      </c>
      <c r="AQ159" s="111" cm="1">
        <f t="array" aca="1" ref="AQ159" ca="1">IF(ISBLANK(Contrato[[#This Row],[DEPENDENCIA ]]),0,IFERROR(_xlfn.XLOOKUP(Contrato[[#This Row],[DEPENDENCIA ]],#REF!,#REF!,0,0),0))</f>
        <v>0</v>
      </c>
      <c r="AR159" s="553">
        <f ca="1">+_xlfn.DAYS(Contrato[[#This Row],[FECHA TERMINACIÓN ]],TODAY())</f>
        <v>222</v>
      </c>
    </row>
    <row r="160" spans="1:44" s="111" customFormat="1" ht="36" customHeight="1" x14ac:dyDescent="0.25">
      <c r="A160" s="38">
        <v>356</v>
      </c>
      <c r="B160" s="226">
        <v>154</v>
      </c>
      <c r="C160" s="88" t="s">
        <v>554</v>
      </c>
      <c r="D160" s="192" t="s">
        <v>911</v>
      </c>
      <c r="E160" s="193" t="s">
        <v>112</v>
      </c>
      <c r="F160" s="194" t="s">
        <v>113</v>
      </c>
      <c r="G160" s="195" t="s">
        <v>1214</v>
      </c>
      <c r="H160" s="167">
        <v>71744403</v>
      </c>
      <c r="I160" s="292">
        <v>4157906</v>
      </c>
      <c r="J160" s="290">
        <v>40747479</v>
      </c>
      <c r="K160" s="158" t="s">
        <v>41</v>
      </c>
      <c r="L160" s="196" t="s">
        <v>1087</v>
      </c>
      <c r="M160" s="114" t="s">
        <v>943</v>
      </c>
      <c r="N160" s="113" t="e" cm="1">
        <f t="array" aca="1" ref="N160" ca="1">_xlfn.XLOOKUP(Contrato[[#This Row],[SUPERVISOR TITULAR]],PERSONAL_ACTIVO_2025[[#All],[NOMBRES Y APELLIDOS]],PERSONAL_ACTIVO_2025[[#All],[DOCUMENTO]],"",0)</f>
        <v>#NAME?</v>
      </c>
      <c r="O160" s="114" t="s">
        <v>939</v>
      </c>
      <c r="P160" s="115" t="e" cm="1">
        <f t="array" aca="1" ref="P160" ca="1">_xlfn.XLOOKUP(Contrato[[#This Row],[SUPERVISOR SUPLENTE ]],PERSONAL_ACTIVO_2025[[#All],[NOMBRES Y APELLIDOS]],PERSONAL_ACTIVO_2025[[#All],[DOCUMENTO]],"",0)</f>
        <v>#NAME?</v>
      </c>
      <c r="Q160" s="116">
        <v>190</v>
      </c>
      <c r="R160" s="137" t="e" cm="1">
        <f t="array" aca="1" ref="R160" ca="1">_xlfn.XLOOKUP(Contrato[[#This Row],[CDP]],DISPONIBILIDADES_2025[[#All],[consecutivo]],DISPONIBILIDADES_2025[[#All],[fecha_aprobacion]],"",0)</f>
        <v>#NAME?</v>
      </c>
      <c r="S160" s="92">
        <f>SUMIF(DISPONIBILIDADES_2025[[#All],[consecutivo]],Contrato[[#This Row],[CDP]],DISPONIBILIDADES_2025[[#All],[valor_total_rubro]])</f>
        <v>40747479</v>
      </c>
      <c r="T160" s="118" t="e" cm="1">
        <f t="array" aca="1" ref="T160" ca="1">_xlfn.XLOOKUP(Contrato[[#This Row],[CONTRATO]]&amp;Contrato[[#This Row],[CDP]],Corr_Contr_CDP[[#All],[CONTRATO-CDP]],Corr_Contr_CDP[[#All],[CRP]],_xlfn.XLOOKUP(Contrato[[#This Row],[CDP]],COMPROMISOS_2025[[#All],[disponibilidad]],COMPROMISOS_2025[[#All],[consecutivo]],"",0),0)</f>
        <v>#NAME?</v>
      </c>
      <c r="U160" s="117" t="e" cm="1">
        <f t="array" aca="1" ref="U160" ca="1">+_xlfn.XLOOKUP(Contrato[[#This Row],[RCP]],COMPROMISOS_2025[[#All],[consecutivo]],COMPROMISOS_2025[[#All],[fecha_aprobacion]],"",0)</f>
        <v>#NAME?</v>
      </c>
      <c r="V160" s="93">
        <f ca="1">SUMIF(COMPROMISOS_2025[[#All],[consecutivo]],Contrato[[#This Row],[RCP]],COMPROMISOS_2025[[#All],[valor_total]])</f>
        <v>0</v>
      </c>
      <c r="W160" s="169">
        <v>45707</v>
      </c>
      <c r="X160" s="243" t="s">
        <v>901</v>
      </c>
      <c r="Y160" s="397">
        <v>45709</v>
      </c>
      <c r="Z160" s="161">
        <v>46005</v>
      </c>
      <c r="AA160" s="311" t="s">
        <v>1143</v>
      </c>
      <c r="AB160" s="119" t="s">
        <v>1127</v>
      </c>
      <c r="AC160" s="298"/>
      <c r="AD160" s="279">
        <v>202000006272</v>
      </c>
      <c r="AE160" s="38" t="s">
        <v>904</v>
      </c>
      <c r="AF160" s="120" t="str">
        <f>TEXT(LEFT(Contrato[[#This Row],[CONTRATO]],3),"0")</f>
        <v>154</v>
      </c>
      <c r="AG160" s="120" t="str">
        <f>IF(LEN(Contrato[[#This Row],[Contrato2]])=3,Contrato[[#This Row],[Contrato2]],TEXT(Contrato[[#This Row],[Contrato2]],"000"))</f>
        <v>154</v>
      </c>
      <c r="AH160" s="90">
        <f ca="1">IFERROR(_xlfn.DAYS(Contrato[[#This Row],[Fecha Proyectada liquidación]],TODAY())/30,"")</f>
        <v>11.4</v>
      </c>
      <c r="AI160" s="121">
        <f>+Contrato[[#This Row],[FECHA TERMINACIÓN ]]+120</f>
        <v>46125</v>
      </c>
      <c r="AJ160" s="89"/>
      <c r="AK160" s="91" t="str">
        <f ca="1">IF(Contrato[[#This Row],[FECHA TERMINACIÓN ]]&lt;TODAY(), "Terminado",IF(ISNUMBER(Contrato[[#This Row],[Fecha Real de liquiidación ]]),"Liquidado",IF(Contrato[[#This Row],[FECHA TERMINACIÓN ]]&gt;=TODAY(),"En ejecución","")))</f>
        <v>En ejecución</v>
      </c>
      <c r="AL160" s="107">
        <f ca="1">SUMIF(COMPROMISOS_2025[[#All],[consecutivo]],Contrato[[#This Row],[RCP]],COMPROMISOS_2025[[#All],[Total pagado]])</f>
        <v>0</v>
      </c>
      <c r="AM160" s="122">
        <f ca="1">IFERROR(Contrato[[#This Row],[Pagos]]/Contrato[[#This Row],[VALOR CONTRATO]],0)</f>
        <v>0</v>
      </c>
      <c r="AN160" s="160">
        <f ca="1">+Contrato[[#This Row],[VALOR CONTRATO]]-Contrato[[#This Row],[Pagos]]</f>
        <v>40747479</v>
      </c>
      <c r="AO160" s="111" t="e" cm="1">
        <f t="array" aca="1" ref="AO160" ca="1">_xlfn.XLOOKUP(Contrato[[#This Row],[DOCUMENTO ]],PERSONAL_ACTIVO_2025[[#All],[DOCUMENTO]],PERSONAL_ACTIVO_2025[[#All],[email]],0,0)</f>
        <v>#NAME?</v>
      </c>
      <c r="AP160" s="111" t="e" cm="1">
        <f t="array" aca="1" ref="AP160" ca="1">_xlfn.XLOOKUP(Contrato[[#This Row],[DOCUMENTO]],PERSONAL_ACTIVO_2025[[#All],[DOCUMENTO]],PERSONAL_ACTIVO_2025[[#All],[email]],0,0)</f>
        <v>#NAME?</v>
      </c>
      <c r="AQ160" s="111" cm="1">
        <f t="array" aca="1" ref="AQ160" ca="1">IF(ISBLANK(Contrato[[#This Row],[DEPENDENCIA ]]),0,IFERROR(_xlfn.XLOOKUP(Contrato[[#This Row],[DEPENDENCIA ]],#REF!,#REF!,0,0),0))</f>
        <v>0</v>
      </c>
      <c r="AR160" s="553">
        <f ca="1">+_xlfn.DAYS(Contrato[[#This Row],[FECHA TERMINACIÓN ]],TODAY())</f>
        <v>222</v>
      </c>
    </row>
    <row r="161" spans="1:44" s="111" customFormat="1" ht="36" customHeight="1" x14ac:dyDescent="0.25">
      <c r="A161" s="38">
        <v>357</v>
      </c>
      <c r="B161" s="226">
        <v>155</v>
      </c>
      <c r="C161" s="88" t="s">
        <v>555</v>
      </c>
      <c r="D161" s="192" t="s">
        <v>911</v>
      </c>
      <c r="E161" s="193" t="s">
        <v>112</v>
      </c>
      <c r="F161" s="194" t="s">
        <v>113</v>
      </c>
      <c r="G161" s="195" t="s">
        <v>1215</v>
      </c>
      <c r="H161" s="167">
        <v>1035222143</v>
      </c>
      <c r="I161" s="292">
        <v>4157906</v>
      </c>
      <c r="J161" s="290">
        <v>40747479</v>
      </c>
      <c r="K161" s="158" t="s">
        <v>41</v>
      </c>
      <c r="L161" s="196" t="s">
        <v>1087</v>
      </c>
      <c r="M161" s="114" t="s">
        <v>943</v>
      </c>
      <c r="N161" s="113" t="e" cm="1">
        <f t="array" aca="1" ref="N161" ca="1">_xlfn.XLOOKUP(Contrato[[#This Row],[SUPERVISOR TITULAR]],PERSONAL_ACTIVO_2025[[#All],[NOMBRES Y APELLIDOS]],PERSONAL_ACTIVO_2025[[#All],[DOCUMENTO]],"",0)</f>
        <v>#NAME?</v>
      </c>
      <c r="O161" s="114" t="s">
        <v>939</v>
      </c>
      <c r="P161" s="115" t="e" cm="1">
        <f t="array" aca="1" ref="P161" ca="1">_xlfn.XLOOKUP(Contrato[[#This Row],[SUPERVISOR SUPLENTE ]],PERSONAL_ACTIVO_2025[[#All],[NOMBRES Y APELLIDOS]],PERSONAL_ACTIVO_2025[[#All],[DOCUMENTO]],"",0)</f>
        <v>#NAME?</v>
      </c>
      <c r="Q161" s="116">
        <v>191</v>
      </c>
      <c r="R161" s="137" t="e" cm="1">
        <f t="array" aca="1" ref="R161" ca="1">_xlfn.XLOOKUP(Contrato[[#This Row],[CDP]],DISPONIBILIDADES_2025[[#All],[consecutivo]],DISPONIBILIDADES_2025[[#All],[fecha_aprobacion]],"",0)</f>
        <v>#NAME?</v>
      </c>
      <c r="S161" s="92">
        <f>SUMIF(DISPONIBILIDADES_2025[[#All],[consecutivo]],Contrato[[#This Row],[CDP]],DISPONIBILIDADES_2025[[#All],[valor_total_rubro]])</f>
        <v>40747479</v>
      </c>
      <c r="T161" s="118" t="e" cm="1">
        <f t="array" aca="1" ref="T161" ca="1">_xlfn.XLOOKUP(Contrato[[#This Row],[CONTRATO]]&amp;Contrato[[#This Row],[CDP]],Corr_Contr_CDP[[#All],[CONTRATO-CDP]],Corr_Contr_CDP[[#All],[CRP]],_xlfn.XLOOKUP(Contrato[[#This Row],[CDP]],COMPROMISOS_2025[[#All],[disponibilidad]],COMPROMISOS_2025[[#All],[consecutivo]],"",0),0)</f>
        <v>#NAME?</v>
      </c>
      <c r="U161" s="117" t="e" cm="1">
        <f t="array" aca="1" ref="U161" ca="1">+_xlfn.XLOOKUP(Contrato[[#This Row],[RCP]],COMPROMISOS_2025[[#All],[consecutivo]],COMPROMISOS_2025[[#All],[fecha_aprobacion]],"",0)</f>
        <v>#NAME?</v>
      </c>
      <c r="V161" s="93">
        <f ca="1">SUMIF(COMPROMISOS_2025[[#All],[consecutivo]],Contrato[[#This Row],[RCP]],COMPROMISOS_2025[[#All],[valor_total]])</f>
        <v>0</v>
      </c>
      <c r="W161" s="169">
        <v>45708</v>
      </c>
      <c r="X161" s="243" t="s">
        <v>901</v>
      </c>
      <c r="Y161" s="397">
        <v>45709</v>
      </c>
      <c r="Z161" s="161">
        <v>46005</v>
      </c>
      <c r="AA161" s="311" t="s">
        <v>1143</v>
      </c>
      <c r="AB161" s="119" t="s">
        <v>1127</v>
      </c>
      <c r="AC161" s="298"/>
      <c r="AD161" s="279">
        <v>202000006273</v>
      </c>
      <c r="AE161" s="38" t="s">
        <v>904</v>
      </c>
      <c r="AF161" s="120" t="str">
        <f>TEXT(LEFT(Contrato[[#This Row],[CONTRATO]],3),"0")</f>
        <v>155</v>
      </c>
      <c r="AG161" s="120" t="str">
        <f>IF(LEN(Contrato[[#This Row],[Contrato2]])=3,Contrato[[#This Row],[Contrato2]],TEXT(Contrato[[#This Row],[Contrato2]],"000"))</f>
        <v>155</v>
      </c>
      <c r="AH161" s="90">
        <f ca="1">IFERROR(_xlfn.DAYS(Contrato[[#This Row],[Fecha Proyectada liquidación]],TODAY())/30,"")</f>
        <v>11.4</v>
      </c>
      <c r="AI161" s="121">
        <f>+Contrato[[#This Row],[FECHA TERMINACIÓN ]]+120</f>
        <v>46125</v>
      </c>
      <c r="AJ161" s="89"/>
      <c r="AK161" s="91" t="str">
        <f ca="1">IF(Contrato[[#This Row],[FECHA TERMINACIÓN ]]&lt;TODAY(), "Terminado",IF(ISNUMBER(Contrato[[#This Row],[Fecha Real de liquiidación ]]),"Liquidado",IF(Contrato[[#This Row],[FECHA TERMINACIÓN ]]&gt;=TODAY(),"En ejecución","")))</f>
        <v>En ejecución</v>
      </c>
      <c r="AL161" s="107">
        <f ca="1">SUMIF(COMPROMISOS_2025[[#All],[consecutivo]],Contrato[[#This Row],[RCP]],COMPROMISOS_2025[[#All],[Total pagado]])</f>
        <v>0</v>
      </c>
      <c r="AM161" s="122">
        <f ca="1">IFERROR(Contrato[[#This Row],[Pagos]]/Contrato[[#This Row],[VALOR CONTRATO]],0)</f>
        <v>0</v>
      </c>
      <c r="AN161" s="160">
        <f ca="1">+Contrato[[#This Row],[VALOR CONTRATO]]-Contrato[[#This Row],[Pagos]]</f>
        <v>40747479</v>
      </c>
      <c r="AO161" s="111" t="e" cm="1">
        <f t="array" aca="1" ref="AO161" ca="1">_xlfn.XLOOKUP(Contrato[[#This Row],[DOCUMENTO ]],PERSONAL_ACTIVO_2025[[#All],[DOCUMENTO]],PERSONAL_ACTIVO_2025[[#All],[email]],0,0)</f>
        <v>#NAME?</v>
      </c>
      <c r="AP161" s="111" t="e" cm="1">
        <f t="array" aca="1" ref="AP161" ca="1">_xlfn.XLOOKUP(Contrato[[#This Row],[DOCUMENTO]],PERSONAL_ACTIVO_2025[[#All],[DOCUMENTO]],PERSONAL_ACTIVO_2025[[#All],[email]],0,0)</f>
        <v>#NAME?</v>
      </c>
      <c r="AQ161" s="111" cm="1">
        <f t="array" aca="1" ref="AQ161" ca="1">IF(ISBLANK(Contrato[[#This Row],[DEPENDENCIA ]]),0,IFERROR(_xlfn.XLOOKUP(Contrato[[#This Row],[DEPENDENCIA ]],#REF!,#REF!,0,0),0))</f>
        <v>0</v>
      </c>
      <c r="AR161" s="553">
        <f ca="1">+_xlfn.DAYS(Contrato[[#This Row],[FECHA TERMINACIÓN ]],TODAY())</f>
        <v>222</v>
      </c>
    </row>
    <row r="162" spans="1:44" s="111" customFormat="1" ht="36" customHeight="1" x14ac:dyDescent="0.25">
      <c r="A162" s="38">
        <v>358</v>
      </c>
      <c r="B162" s="226">
        <v>156</v>
      </c>
      <c r="C162" s="88" t="s">
        <v>556</v>
      </c>
      <c r="D162" s="192" t="s">
        <v>911</v>
      </c>
      <c r="E162" s="193" t="s">
        <v>112</v>
      </c>
      <c r="F162" s="194" t="s">
        <v>113</v>
      </c>
      <c r="G162" s="195" t="s">
        <v>1216</v>
      </c>
      <c r="H162" s="167">
        <v>71315062</v>
      </c>
      <c r="I162" s="292">
        <v>4157906</v>
      </c>
      <c r="J162" s="290">
        <v>40747479</v>
      </c>
      <c r="K162" s="158" t="s">
        <v>41</v>
      </c>
      <c r="L162" s="196" t="s">
        <v>1087</v>
      </c>
      <c r="M162" s="114" t="s">
        <v>943</v>
      </c>
      <c r="N162" s="113" t="e" cm="1">
        <f t="array" aca="1" ref="N162" ca="1">_xlfn.XLOOKUP(Contrato[[#This Row],[SUPERVISOR TITULAR]],PERSONAL_ACTIVO_2025[[#All],[NOMBRES Y APELLIDOS]],PERSONAL_ACTIVO_2025[[#All],[DOCUMENTO]],"",0)</f>
        <v>#NAME?</v>
      </c>
      <c r="O162" s="114" t="s">
        <v>939</v>
      </c>
      <c r="P162" s="115" t="e" cm="1">
        <f t="array" aca="1" ref="P162" ca="1">_xlfn.XLOOKUP(Contrato[[#This Row],[SUPERVISOR SUPLENTE ]],PERSONAL_ACTIVO_2025[[#All],[NOMBRES Y APELLIDOS]],PERSONAL_ACTIVO_2025[[#All],[DOCUMENTO]],"",0)</f>
        <v>#NAME?</v>
      </c>
      <c r="Q162" s="116">
        <v>192</v>
      </c>
      <c r="R162" s="137" t="e" cm="1">
        <f t="array" aca="1" ref="R162" ca="1">_xlfn.XLOOKUP(Contrato[[#This Row],[CDP]],DISPONIBILIDADES_2025[[#All],[consecutivo]],DISPONIBILIDADES_2025[[#All],[fecha_aprobacion]],"",0)</f>
        <v>#NAME?</v>
      </c>
      <c r="S162" s="92">
        <f>SUMIF(DISPONIBILIDADES_2025[[#All],[consecutivo]],Contrato[[#This Row],[CDP]],DISPONIBILIDADES_2025[[#All],[valor_total_rubro]])</f>
        <v>40747479</v>
      </c>
      <c r="T162" s="118" t="e" cm="1">
        <f t="array" aca="1" ref="T162" ca="1">_xlfn.XLOOKUP(Contrato[[#This Row],[CONTRATO]]&amp;Contrato[[#This Row],[CDP]],Corr_Contr_CDP[[#All],[CONTRATO-CDP]],Corr_Contr_CDP[[#All],[CRP]],_xlfn.XLOOKUP(Contrato[[#This Row],[CDP]],COMPROMISOS_2025[[#All],[disponibilidad]],COMPROMISOS_2025[[#All],[consecutivo]],"",0),0)</f>
        <v>#NAME?</v>
      </c>
      <c r="U162" s="117" t="e" cm="1">
        <f t="array" aca="1" ref="U162" ca="1">+_xlfn.XLOOKUP(Contrato[[#This Row],[RCP]],COMPROMISOS_2025[[#All],[consecutivo]],COMPROMISOS_2025[[#All],[fecha_aprobacion]],"",0)</f>
        <v>#NAME?</v>
      </c>
      <c r="V162" s="93">
        <f ca="1">SUMIF(COMPROMISOS_2025[[#All],[consecutivo]],Contrato[[#This Row],[RCP]],COMPROMISOS_2025[[#All],[valor_total]])</f>
        <v>0</v>
      </c>
      <c r="W162" s="169">
        <v>45708</v>
      </c>
      <c r="X162" s="243" t="s">
        <v>901</v>
      </c>
      <c r="Y162" s="397">
        <v>45709</v>
      </c>
      <c r="Z162" s="161">
        <v>46005</v>
      </c>
      <c r="AA162" s="311" t="s">
        <v>1143</v>
      </c>
      <c r="AB162" s="119" t="s">
        <v>1127</v>
      </c>
      <c r="AC162" s="298"/>
      <c r="AD162" s="279">
        <v>202000006279</v>
      </c>
      <c r="AE162" s="38" t="s">
        <v>904</v>
      </c>
      <c r="AF162" s="120" t="str">
        <f>TEXT(LEFT(Contrato[[#This Row],[CONTRATO]],3),"0")</f>
        <v>156</v>
      </c>
      <c r="AG162" s="120" t="str">
        <f>IF(LEN(Contrato[[#This Row],[Contrato2]])=3,Contrato[[#This Row],[Contrato2]],TEXT(Contrato[[#This Row],[Contrato2]],"000"))</f>
        <v>156</v>
      </c>
      <c r="AH162" s="90">
        <f ca="1">IFERROR(_xlfn.DAYS(Contrato[[#This Row],[Fecha Proyectada liquidación]],TODAY())/30,"")</f>
        <v>11.4</v>
      </c>
      <c r="AI162" s="121">
        <f>+Contrato[[#This Row],[FECHA TERMINACIÓN ]]+120</f>
        <v>46125</v>
      </c>
      <c r="AJ162" s="89"/>
      <c r="AK162" s="91" t="str">
        <f ca="1">IF(Contrato[[#This Row],[FECHA TERMINACIÓN ]]&lt;TODAY(), "Terminado",IF(ISNUMBER(Contrato[[#This Row],[Fecha Real de liquiidación ]]),"Liquidado",IF(Contrato[[#This Row],[FECHA TERMINACIÓN ]]&gt;=TODAY(),"En ejecución","")))</f>
        <v>En ejecución</v>
      </c>
      <c r="AL162" s="107">
        <f ca="1">SUMIF(COMPROMISOS_2025[[#All],[consecutivo]],Contrato[[#This Row],[RCP]],COMPROMISOS_2025[[#All],[Total pagado]])</f>
        <v>0</v>
      </c>
      <c r="AM162" s="122">
        <f ca="1">IFERROR(Contrato[[#This Row],[Pagos]]/Contrato[[#This Row],[VALOR CONTRATO]],0)</f>
        <v>0</v>
      </c>
      <c r="AN162" s="160">
        <f ca="1">+Contrato[[#This Row],[VALOR CONTRATO]]-Contrato[[#This Row],[Pagos]]</f>
        <v>40747479</v>
      </c>
      <c r="AO162" s="111" t="e" cm="1">
        <f t="array" aca="1" ref="AO162" ca="1">_xlfn.XLOOKUP(Contrato[[#This Row],[DOCUMENTO ]],PERSONAL_ACTIVO_2025[[#All],[DOCUMENTO]],PERSONAL_ACTIVO_2025[[#All],[email]],0,0)</f>
        <v>#NAME?</v>
      </c>
      <c r="AP162" s="111" t="e" cm="1">
        <f t="array" aca="1" ref="AP162" ca="1">_xlfn.XLOOKUP(Contrato[[#This Row],[DOCUMENTO]],PERSONAL_ACTIVO_2025[[#All],[DOCUMENTO]],PERSONAL_ACTIVO_2025[[#All],[email]],0,0)</f>
        <v>#NAME?</v>
      </c>
      <c r="AQ162" s="111" cm="1">
        <f t="array" aca="1" ref="AQ162" ca="1">IF(ISBLANK(Contrato[[#This Row],[DEPENDENCIA ]]),0,IFERROR(_xlfn.XLOOKUP(Contrato[[#This Row],[DEPENDENCIA ]],#REF!,#REF!,0,0),0))</f>
        <v>0</v>
      </c>
      <c r="AR162" s="553">
        <f ca="1">+_xlfn.DAYS(Contrato[[#This Row],[FECHA TERMINACIÓN ]],TODAY())</f>
        <v>222</v>
      </c>
    </row>
    <row r="163" spans="1:44" s="111" customFormat="1" ht="36" customHeight="1" x14ac:dyDescent="0.25">
      <c r="A163" s="38">
        <v>359</v>
      </c>
      <c r="B163" s="226">
        <v>157</v>
      </c>
      <c r="C163" s="88" t="s">
        <v>557</v>
      </c>
      <c r="D163" s="192" t="s">
        <v>911</v>
      </c>
      <c r="E163" s="193" t="s">
        <v>112</v>
      </c>
      <c r="F163" s="194" t="s">
        <v>113</v>
      </c>
      <c r="G163" s="195" t="s">
        <v>1217</v>
      </c>
      <c r="H163" s="167">
        <v>1146434793</v>
      </c>
      <c r="I163" s="292">
        <v>4157906</v>
      </c>
      <c r="J163" s="290">
        <v>40747479</v>
      </c>
      <c r="K163" s="158" t="s">
        <v>41</v>
      </c>
      <c r="L163" s="196" t="s">
        <v>1087</v>
      </c>
      <c r="M163" s="114" t="s">
        <v>943</v>
      </c>
      <c r="N163" s="113" t="e" cm="1">
        <f t="array" aca="1" ref="N163" ca="1">_xlfn.XLOOKUP(Contrato[[#This Row],[SUPERVISOR TITULAR]],PERSONAL_ACTIVO_2025[[#All],[NOMBRES Y APELLIDOS]],PERSONAL_ACTIVO_2025[[#All],[DOCUMENTO]],"",0)</f>
        <v>#NAME?</v>
      </c>
      <c r="O163" s="114" t="s">
        <v>939</v>
      </c>
      <c r="P163" s="115" t="e" cm="1">
        <f t="array" aca="1" ref="P163" ca="1">_xlfn.XLOOKUP(Contrato[[#This Row],[SUPERVISOR SUPLENTE ]],PERSONAL_ACTIVO_2025[[#All],[NOMBRES Y APELLIDOS]],PERSONAL_ACTIVO_2025[[#All],[DOCUMENTO]],"",0)</f>
        <v>#NAME?</v>
      </c>
      <c r="Q163" s="116">
        <v>193</v>
      </c>
      <c r="R163" s="137" t="e" cm="1">
        <f t="array" aca="1" ref="R163" ca="1">_xlfn.XLOOKUP(Contrato[[#This Row],[CDP]],DISPONIBILIDADES_2025[[#All],[consecutivo]],DISPONIBILIDADES_2025[[#All],[fecha_aprobacion]],"",0)</f>
        <v>#NAME?</v>
      </c>
      <c r="S163" s="92">
        <f>SUMIF(DISPONIBILIDADES_2025[[#All],[consecutivo]],Contrato[[#This Row],[CDP]],DISPONIBILIDADES_2025[[#All],[valor_total_rubro]])</f>
        <v>40747479</v>
      </c>
      <c r="T163" s="118" t="e" cm="1">
        <f t="array" aca="1" ref="T163" ca="1">_xlfn.XLOOKUP(Contrato[[#This Row],[CONTRATO]]&amp;Contrato[[#This Row],[CDP]],Corr_Contr_CDP[[#All],[CONTRATO-CDP]],Corr_Contr_CDP[[#All],[CRP]],_xlfn.XLOOKUP(Contrato[[#This Row],[CDP]],COMPROMISOS_2025[[#All],[disponibilidad]],COMPROMISOS_2025[[#All],[consecutivo]],"",0),0)</f>
        <v>#NAME?</v>
      </c>
      <c r="U163" s="117" t="e" cm="1">
        <f t="array" aca="1" ref="U163" ca="1">+_xlfn.XLOOKUP(Contrato[[#This Row],[RCP]],COMPROMISOS_2025[[#All],[consecutivo]],COMPROMISOS_2025[[#All],[fecha_aprobacion]],"",0)</f>
        <v>#NAME?</v>
      </c>
      <c r="V163" s="93">
        <f ca="1">SUMIF(COMPROMISOS_2025[[#All],[consecutivo]],Contrato[[#This Row],[RCP]],COMPROMISOS_2025[[#All],[valor_total]])</f>
        <v>0</v>
      </c>
      <c r="W163" s="169">
        <v>45707</v>
      </c>
      <c r="X163" s="243" t="s">
        <v>901</v>
      </c>
      <c r="Y163" s="394">
        <v>45710</v>
      </c>
      <c r="Z163" s="396">
        <v>46005</v>
      </c>
      <c r="AA163" s="311" t="s">
        <v>1143</v>
      </c>
      <c r="AB163" s="119" t="s">
        <v>1127</v>
      </c>
      <c r="AC163" s="298"/>
      <c r="AD163" s="279">
        <v>202000006280</v>
      </c>
      <c r="AE163" s="38" t="s">
        <v>904</v>
      </c>
      <c r="AF163" s="120" t="str">
        <f>TEXT(LEFT(Contrato[[#This Row],[CONTRATO]],3),"0")</f>
        <v>157</v>
      </c>
      <c r="AG163" s="120" t="str">
        <f>IF(LEN(Contrato[[#This Row],[Contrato2]])=3,Contrato[[#This Row],[Contrato2]],TEXT(Contrato[[#This Row],[Contrato2]],"000"))</f>
        <v>157</v>
      </c>
      <c r="AH163" s="90">
        <f ca="1">IFERROR(_xlfn.DAYS(Contrato[[#This Row],[Fecha Proyectada liquidación]],TODAY())/30,"")</f>
        <v>11.4</v>
      </c>
      <c r="AI163" s="121">
        <f>+Contrato[[#This Row],[FECHA TERMINACIÓN ]]+120</f>
        <v>46125</v>
      </c>
      <c r="AJ163" s="89"/>
      <c r="AK163" s="91" t="str">
        <f ca="1">IF(Contrato[[#This Row],[FECHA TERMINACIÓN ]]&lt;TODAY(), "Terminado",IF(ISNUMBER(Contrato[[#This Row],[Fecha Real de liquiidación ]]),"Liquidado",IF(Contrato[[#This Row],[FECHA TERMINACIÓN ]]&gt;=TODAY(),"En ejecución","")))</f>
        <v>En ejecución</v>
      </c>
      <c r="AL163" s="107">
        <f ca="1">SUMIF(COMPROMISOS_2025[[#All],[consecutivo]],Contrato[[#This Row],[RCP]],COMPROMISOS_2025[[#All],[Total pagado]])</f>
        <v>0</v>
      </c>
      <c r="AM163" s="122">
        <f ca="1">IFERROR(Contrato[[#This Row],[Pagos]]/Contrato[[#This Row],[VALOR CONTRATO]],0)</f>
        <v>0</v>
      </c>
      <c r="AN163" s="160">
        <f ca="1">+Contrato[[#This Row],[VALOR CONTRATO]]-Contrato[[#This Row],[Pagos]]</f>
        <v>40747479</v>
      </c>
      <c r="AO163" s="111" t="e" cm="1">
        <f t="array" aca="1" ref="AO163" ca="1">_xlfn.XLOOKUP(Contrato[[#This Row],[DOCUMENTO ]],PERSONAL_ACTIVO_2025[[#All],[DOCUMENTO]],PERSONAL_ACTIVO_2025[[#All],[email]],0,0)</f>
        <v>#NAME?</v>
      </c>
      <c r="AP163" s="111" t="e" cm="1">
        <f t="array" aca="1" ref="AP163" ca="1">_xlfn.XLOOKUP(Contrato[[#This Row],[DOCUMENTO]],PERSONAL_ACTIVO_2025[[#All],[DOCUMENTO]],PERSONAL_ACTIVO_2025[[#All],[email]],0,0)</f>
        <v>#NAME?</v>
      </c>
      <c r="AQ163" s="111" cm="1">
        <f t="array" aca="1" ref="AQ163" ca="1">IF(ISBLANK(Contrato[[#This Row],[DEPENDENCIA ]]),0,IFERROR(_xlfn.XLOOKUP(Contrato[[#This Row],[DEPENDENCIA ]],#REF!,#REF!,0,0),0))</f>
        <v>0</v>
      </c>
      <c r="AR163" s="553">
        <f ca="1">+_xlfn.DAYS(Contrato[[#This Row],[FECHA TERMINACIÓN ]],TODAY())</f>
        <v>222</v>
      </c>
    </row>
    <row r="164" spans="1:44" s="111" customFormat="1" ht="36" customHeight="1" x14ac:dyDescent="0.25">
      <c r="A164" s="38">
        <v>360</v>
      </c>
      <c r="B164" s="226">
        <v>158</v>
      </c>
      <c r="C164" s="88" t="s">
        <v>558</v>
      </c>
      <c r="D164" s="192" t="s">
        <v>911</v>
      </c>
      <c r="E164" s="193" t="s">
        <v>112</v>
      </c>
      <c r="F164" s="194" t="s">
        <v>113</v>
      </c>
      <c r="G164" s="195" t="s">
        <v>1218</v>
      </c>
      <c r="H164" s="167">
        <v>1037649671</v>
      </c>
      <c r="I164" s="292">
        <v>2708734</v>
      </c>
      <c r="J164" s="290">
        <v>26545593</v>
      </c>
      <c r="K164" s="158" t="s">
        <v>41</v>
      </c>
      <c r="L164" s="196" t="s">
        <v>1087</v>
      </c>
      <c r="M164" s="114" t="s">
        <v>943</v>
      </c>
      <c r="N164" s="113" t="e" cm="1">
        <f t="array" aca="1" ref="N164" ca="1">_xlfn.XLOOKUP(Contrato[[#This Row],[SUPERVISOR TITULAR]],PERSONAL_ACTIVO_2025[[#All],[NOMBRES Y APELLIDOS]],PERSONAL_ACTIVO_2025[[#All],[DOCUMENTO]],"",0)</f>
        <v>#NAME?</v>
      </c>
      <c r="O164" s="114" t="s">
        <v>939</v>
      </c>
      <c r="P164" s="115" t="e" cm="1">
        <f t="array" aca="1" ref="P164" ca="1">_xlfn.XLOOKUP(Contrato[[#This Row],[SUPERVISOR SUPLENTE ]],PERSONAL_ACTIVO_2025[[#All],[NOMBRES Y APELLIDOS]],PERSONAL_ACTIVO_2025[[#All],[DOCUMENTO]],"",0)</f>
        <v>#NAME?</v>
      </c>
      <c r="Q164" s="116">
        <v>194</v>
      </c>
      <c r="R164" s="137" t="e" cm="1">
        <f t="array" aca="1" ref="R164" ca="1">_xlfn.XLOOKUP(Contrato[[#This Row],[CDP]],DISPONIBILIDADES_2025[[#All],[consecutivo]],DISPONIBILIDADES_2025[[#All],[fecha_aprobacion]],"",0)</f>
        <v>#NAME?</v>
      </c>
      <c r="S164" s="92">
        <f>SUMIF(DISPONIBILIDADES_2025[[#All],[consecutivo]],Contrato[[#This Row],[CDP]],DISPONIBILIDADES_2025[[#All],[valor_total_rubro]])</f>
        <v>26545593</v>
      </c>
      <c r="T164" s="118" t="e" cm="1">
        <f t="array" aca="1" ref="T164" ca="1">_xlfn.XLOOKUP(Contrato[[#This Row],[CONTRATO]]&amp;Contrato[[#This Row],[CDP]],Corr_Contr_CDP[[#All],[CONTRATO-CDP]],Corr_Contr_CDP[[#All],[CRP]],_xlfn.XLOOKUP(Contrato[[#This Row],[CDP]],COMPROMISOS_2025[[#All],[disponibilidad]],COMPROMISOS_2025[[#All],[consecutivo]],"",0),0)</f>
        <v>#NAME?</v>
      </c>
      <c r="U164" s="117" t="e" cm="1">
        <f t="array" aca="1" ref="U164" ca="1">+_xlfn.XLOOKUP(Contrato[[#This Row],[RCP]],COMPROMISOS_2025[[#All],[consecutivo]],COMPROMISOS_2025[[#All],[fecha_aprobacion]],"",0)</f>
        <v>#NAME?</v>
      </c>
      <c r="V164" s="93">
        <f ca="1">SUMIF(COMPROMISOS_2025[[#All],[consecutivo]],Contrato[[#This Row],[RCP]],COMPROMISOS_2025[[#All],[valor_total]])</f>
        <v>0</v>
      </c>
      <c r="W164" s="169">
        <v>45708</v>
      </c>
      <c r="X164" s="243" t="s">
        <v>901</v>
      </c>
      <c r="Y164" s="397">
        <v>45709</v>
      </c>
      <c r="Z164" s="161">
        <v>46005</v>
      </c>
      <c r="AA164" s="311" t="s">
        <v>1143</v>
      </c>
      <c r="AB164" s="119" t="s">
        <v>1127</v>
      </c>
      <c r="AC164" s="298"/>
      <c r="AD164" s="279">
        <v>202000006281</v>
      </c>
      <c r="AE164" s="38" t="s">
        <v>904</v>
      </c>
      <c r="AF164" s="120" t="str">
        <f>TEXT(LEFT(Contrato[[#This Row],[CONTRATO]],3),"0")</f>
        <v>158</v>
      </c>
      <c r="AG164" s="120" t="str">
        <f>IF(LEN(Contrato[[#This Row],[Contrato2]])=3,Contrato[[#This Row],[Contrato2]],TEXT(Contrato[[#This Row],[Contrato2]],"000"))</f>
        <v>158</v>
      </c>
      <c r="AH164" s="90">
        <f ca="1">IFERROR(_xlfn.DAYS(Contrato[[#This Row],[Fecha Proyectada liquidación]],TODAY())/30,"")</f>
        <v>11.4</v>
      </c>
      <c r="AI164" s="121">
        <f>+Contrato[[#This Row],[FECHA TERMINACIÓN ]]+120</f>
        <v>46125</v>
      </c>
      <c r="AJ164" s="89"/>
      <c r="AK164" s="91" t="str">
        <f ca="1">IF(Contrato[[#This Row],[FECHA TERMINACIÓN ]]&lt;TODAY(), "Terminado",IF(ISNUMBER(Contrato[[#This Row],[Fecha Real de liquiidación ]]),"Liquidado",IF(Contrato[[#This Row],[FECHA TERMINACIÓN ]]&gt;=TODAY(),"En ejecución","")))</f>
        <v>En ejecución</v>
      </c>
      <c r="AL164" s="107">
        <f ca="1">SUMIF(COMPROMISOS_2025[[#All],[consecutivo]],Contrato[[#This Row],[RCP]],COMPROMISOS_2025[[#All],[Total pagado]])</f>
        <v>0</v>
      </c>
      <c r="AM164" s="122">
        <f ca="1">IFERROR(Contrato[[#This Row],[Pagos]]/Contrato[[#This Row],[VALOR CONTRATO]],0)</f>
        <v>0</v>
      </c>
      <c r="AN164" s="160">
        <f ca="1">+Contrato[[#This Row],[VALOR CONTRATO]]-Contrato[[#This Row],[Pagos]]</f>
        <v>26545593</v>
      </c>
      <c r="AO164" s="111" t="e" cm="1">
        <f t="array" aca="1" ref="AO164" ca="1">_xlfn.XLOOKUP(Contrato[[#This Row],[DOCUMENTO ]],PERSONAL_ACTIVO_2025[[#All],[DOCUMENTO]],PERSONAL_ACTIVO_2025[[#All],[email]],0,0)</f>
        <v>#NAME?</v>
      </c>
      <c r="AP164" s="111" t="e" cm="1">
        <f t="array" aca="1" ref="AP164" ca="1">_xlfn.XLOOKUP(Contrato[[#This Row],[DOCUMENTO]],PERSONAL_ACTIVO_2025[[#All],[DOCUMENTO]],PERSONAL_ACTIVO_2025[[#All],[email]],0,0)</f>
        <v>#NAME?</v>
      </c>
      <c r="AQ164" s="111" cm="1">
        <f t="array" aca="1" ref="AQ164" ca="1">IF(ISBLANK(Contrato[[#This Row],[DEPENDENCIA ]]),0,IFERROR(_xlfn.XLOOKUP(Contrato[[#This Row],[DEPENDENCIA ]],#REF!,#REF!,0,0),0))</f>
        <v>0</v>
      </c>
      <c r="AR164" s="553">
        <f ca="1">+_xlfn.DAYS(Contrato[[#This Row],[FECHA TERMINACIÓN ]],TODAY())</f>
        <v>222</v>
      </c>
    </row>
    <row r="165" spans="1:44" s="111" customFormat="1" ht="36" customHeight="1" x14ac:dyDescent="0.25">
      <c r="A165" s="38">
        <v>361</v>
      </c>
      <c r="B165" s="226">
        <v>159</v>
      </c>
      <c r="C165" s="88" t="s">
        <v>559</v>
      </c>
      <c r="D165" s="192" t="s">
        <v>911</v>
      </c>
      <c r="E165" s="193" t="s">
        <v>112</v>
      </c>
      <c r="F165" s="194" t="s">
        <v>113</v>
      </c>
      <c r="G165" s="195" t="s">
        <v>1219</v>
      </c>
      <c r="H165" s="167">
        <v>98628015</v>
      </c>
      <c r="I165" s="292">
        <v>4157906</v>
      </c>
      <c r="J165" s="290">
        <v>40747479</v>
      </c>
      <c r="K165" s="158" t="s">
        <v>41</v>
      </c>
      <c r="L165" s="196" t="s">
        <v>1087</v>
      </c>
      <c r="M165" s="114" t="s">
        <v>943</v>
      </c>
      <c r="N165" s="113" t="e" cm="1">
        <f t="array" aca="1" ref="N165" ca="1">_xlfn.XLOOKUP(Contrato[[#This Row],[SUPERVISOR TITULAR]],PERSONAL_ACTIVO_2025[[#All],[NOMBRES Y APELLIDOS]],PERSONAL_ACTIVO_2025[[#All],[DOCUMENTO]],"",0)</f>
        <v>#NAME?</v>
      </c>
      <c r="O165" s="114" t="s">
        <v>939</v>
      </c>
      <c r="P165" s="115" t="e" cm="1">
        <f t="array" aca="1" ref="P165" ca="1">_xlfn.XLOOKUP(Contrato[[#This Row],[SUPERVISOR SUPLENTE ]],PERSONAL_ACTIVO_2025[[#All],[NOMBRES Y APELLIDOS]],PERSONAL_ACTIVO_2025[[#All],[DOCUMENTO]],"",0)</f>
        <v>#NAME?</v>
      </c>
      <c r="Q165" s="116">
        <v>195</v>
      </c>
      <c r="R165" s="137" t="e" cm="1">
        <f t="array" aca="1" ref="R165" ca="1">_xlfn.XLOOKUP(Contrato[[#This Row],[CDP]],DISPONIBILIDADES_2025[[#All],[consecutivo]],DISPONIBILIDADES_2025[[#All],[fecha_aprobacion]],"",0)</f>
        <v>#NAME?</v>
      </c>
      <c r="S165" s="92">
        <f>SUMIF(DISPONIBILIDADES_2025[[#All],[consecutivo]],Contrato[[#This Row],[CDP]],DISPONIBILIDADES_2025[[#All],[valor_total_rubro]])</f>
        <v>40747479</v>
      </c>
      <c r="T165" s="118" t="e" cm="1">
        <f t="array" aca="1" ref="T165" ca="1">_xlfn.XLOOKUP(Contrato[[#This Row],[CONTRATO]]&amp;Contrato[[#This Row],[CDP]],Corr_Contr_CDP[[#All],[CONTRATO-CDP]],Corr_Contr_CDP[[#All],[CRP]],_xlfn.XLOOKUP(Contrato[[#This Row],[CDP]],COMPROMISOS_2025[[#All],[disponibilidad]],COMPROMISOS_2025[[#All],[consecutivo]],"",0),0)</f>
        <v>#NAME?</v>
      </c>
      <c r="U165" s="117" t="e" cm="1">
        <f t="array" aca="1" ref="U165" ca="1">+_xlfn.XLOOKUP(Contrato[[#This Row],[RCP]],COMPROMISOS_2025[[#All],[consecutivo]],COMPROMISOS_2025[[#All],[fecha_aprobacion]],"",0)</f>
        <v>#NAME?</v>
      </c>
      <c r="V165" s="93">
        <f ca="1">SUMIF(COMPROMISOS_2025[[#All],[consecutivo]],Contrato[[#This Row],[RCP]],COMPROMISOS_2025[[#All],[valor_total]])</f>
        <v>0</v>
      </c>
      <c r="W165" s="169">
        <v>45707</v>
      </c>
      <c r="X165" s="243" t="s">
        <v>901</v>
      </c>
      <c r="Y165" s="397">
        <v>45709</v>
      </c>
      <c r="Z165" s="161">
        <v>46005</v>
      </c>
      <c r="AA165" s="311" t="s">
        <v>1143</v>
      </c>
      <c r="AB165" s="119" t="s">
        <v>1127</v>
      </c>
      <c r="AC165" s="298"/>
      <c r="AD165" s="279">
        <v>202000006282</v>
      </c>
      <c r="AE165" s="38" t="s">
        <v>904</v>
      </c>
      <c r="AF165" s="120" t="str">
        <f>TEXT(LEFT(Contrato[[#This Row],[CONTRATO]],3),"0")</f>
        <v>159</v>
      </c>
      <c r="AG165" s="120" t="str">
        <f>IF(LEN(Contrato[[#This Row],[Contrato2]])=3,Contrato[[#This Row],[Contrato2]],TEXT(Contrato[[#This Row],[Contrato2]],"000"))</f>
        <v>159</v>
      </c>
      <c r="AH165" s="90">
        <f ca="1">IFERROR(_xlfn.DAYS(Contrato[[#This Row],[Fecha Proyectada liquidación]],TODAY())/30,"")</f>
        <v>11.4</v>
      </c>
      <c r="AI165" s="121">
        <f>+Contrato[[#This Row],[FECHA TERMINACIÓN ]]+120</f>
        <v>46125</v>
      </c>
      <c r="AJ165" s="89"/>
      <c r="AK165" s="91" t="str">
        <f ca="1">IF(Contrato[[#This Row],[FECHA TERMINACIÓN ]]&lt;TODAY(), "Terminado",IF(ISNUMBER(Contrato[[#This Row],[Fecha Real de liquiidación ]]),"Liquidado",IF(Contrato[[#This Row],[FECHA TERMINACIÓN ]]&gt;=TODAY(),"En ejecución","")))</f>
        <v>En ejecución</v>
      </c>
      <c r="AL165" s="107">
        <f ca="1">SUMIF(COMPROMISOS_2025[[#All],[consecutivo]],Contrato[[#This Row],[RCP]],COMPROMISOS_2025[[#All],[Total pagado]])</f>
        <v>0</v>
      </c>
      <c r="AM165" s="122">
        <f ca="1">IFERROR(Contrato[[#This Row],[Pagos]]/Contrato[[#This Row],[VALOR CONTRATO]],0)</f>
        <v>0</v>
      </c>
      <c r="AN165" s="160">
        <f ca="1">+Contrato[[#This Row],[VALOR CONTRATO]]-Contrato[[#This Row],[Pagos]]</f>
        <v>40747479</v>
      </c>
      <c r="AO165" s="111" t="e" cm="1">
        <f t="array" aca="1" ref="AO165" ca="1">_xlfn.XLOOKUP(Contrato[[#This Row],[DOCUMENTO ]],PERSONAL_ACTIVO_2025[[#All],[DOCUMENTO]],PERSONAL_ACTIVO_2025[[#All],[email]],0,0)</f>
        <v>#NAME?</v>
      </c>
      <c r="AP165" s="111" t="e" cm="1">
        <f t="array" aca="1" ref="AP165" ca="1">_xlfn.XLOOKUP(Contrato[[#This Row],[DOCUMENTO]],PERSONAL_ACTIVO_2025[[#All],[DOCUMENTO]],PERSONAL_ACTIVO_2025[[#All],[email]],0,0)</f>
        <v>#NAME?</v>
      </c>
      <c r="AQ165" s="111" cm="1">
        <f t="array" aca="1" ref="AQ165" ca="1">IF(ISBLANK(Contrato[[#This Row],[DEPENDENCIA ]]),0,IFERROR(_xlfn.XLOOKUP(Contrato[[#This Row],[DEPENDENCIA ]],#REF!,#REF!,0,0),0))</f>
        <v>0</v>
      </c>
      <c r="AR165" s="553">
        <f ca="1">+_xlfn.DAYS(Contrato[[#This Row],[FECHA TERMINACIÓN ]],TODAY())</f>
        <v>222</v>
      </c>
    </row>
    <row r="166" spans="1:44" s="111" customFormat="1" ht="36" customHeight="1" x14ac:dyDescent="0.25">
      <c r="A166" s="38">
        <v>362</v>
      </c>
      <c r="B166" s="226">
        <v>160</v>
      </c>
      <c r="C166" s="88" t="s">
        <v>560</v>
      </c>
      <c r="D166" s="192" t="s">
        <v>911</v>
      </c>
      <c r="E166" s="193" t="s">
        <v>112</v>
      </c>
      <c r="F166" s="194" t="s">
        <v>113</v>
      </c>
      <c r="G166" s="195" t="s">
        <v>1220</v>
      </c>
      <c r="H166" s="167">
        <v>71216330</v>
      </c>
      <c r="I166" s="292">
        <v>5164201</v>
      </c>
      <c r="J166" s="290">
        <v>50609170</v>
      </c>
      <c r="K166" s="158" t="s">
        <v>41</v>
      </c>
      <c r="L166" s="196" t="s">
        <v>1087</v>
      </c>
      <c r="M166" s="114" t="s">
        <v>943</v>
      </c>
      <c r="N166" s="113" t="e" cm="1">
        <f t="array" aca="1" ref="N166" ca="1">_xlfn.XLOOKUP(Contrato[[#This Row],[SUPERVISOR TITULAR]],PERSONAL_ACTIVO_2025[[#All],[NOMBRES Y APELLIDOS]],PERSONAL_ACTIVO_2025[[#All],[DOCUMENTO]],"",0)</f>
        <v>#NAME?</v>
      </c>
      <c r="O166" s="114" t="s">
        <v>939</v>
      </c>
      <c r="P166" s="115" t="e" cm="1">
        <f t="array" aca="1" ref="P166" ca="1">_xlfn.XLOOKUP(Contrato[[#This Row],[SUPERVISOR SUPLENTE ]],PERSONAL_ACTIVO_2025[[#All],[NOMBRES Y APELLIDOS]],PERSONAL_ACTIVO_2025[[#All],[DOCUMENTO]],"",0)</f>
        <v>#NAME?</v>
      </c>
      <c r="Q166" s="116">
        <v>196</v>
      </c>
      <c r="R166" s="137" t="e" cm="1">
        <f t="array" aca="1" ref="R166" ca="1">_xlfn.XLOOKUP(Contrato[[#This Row],[CDP]],DISPONIBILIDADES_2025[[#All],[consecutivo]],DISPONIBILIDADES_2025[[#All],[fecha_aprobacion]],"",0)</f>
        <v>#NAME?</v>
      </c>
      <c r="S166" s="92">
        <f>SUMIF(DISPONIBILIDADES_2025[[#All],[consecutivo]],Contrato[[#This Row],[CDP]],DISPONIBILIDADES_2025[[#All],[valor_total_rubro]])</f>
        <v>50609170</v>
      </c>
      <c r="T166" s="118" t="e" cm="1">
        <f t="array" aca="1" ref="T166" ca="1">_xlfn.XLOOKUP(Contrato[[#This Row],[CONTRATO]]&amp;Contrato[[#This Row],[CDP]],Corr_Contr_CDP[[#All],[CONTRATO-CDP]],Corr_Contr_CDP[[#All],[CRP]],_xlfn.XLOOKUP(Contrato[[#This Row],[CDP]],COMPROMISOS_2025[[#All],[disponibilidad]],COMPROMISOS_2025[[#All],[consecutivo]],"",0),0)</f>
        <v>#NAME?</v>
      </c>
      <c r="U166" s="117" t="e" cm="1">
        <f t="array" aca="1" ref="U166" ca="1">+_xlfn.XLOOKUP(Contrato[[#This Row],[RCP]],COMPROMISOS_2025[[#All],[consecutivo]],COMPROMISOS_2025[[#All],[fecha_aprobacion]],"",0)</f>
        <v>#NAME?</v>
      </c>
      <c r="V166" s="93">
        <f ca="1">SUMIF(COMPROMISOS_2025[[#All],[consecutivo]],Contrato[[#This Row],[RCP]],COMPROMISOS_2025[[#All],[valor_total]])</f>
        <v>0</v>
      </c>
      <c r="W166" s="169">
        <v>45707</v>
      </c>
      <c r="X166" s="243" t="s">
        <v>901</v>
      </c>
      <c r="Y166" s="397">
        <v>45709</v>
      </c>
      <c r="Z166" s="161">
        <v>46005</v>
      </c>
      <c r="AA166" s="311" t="s">
        <v>1143</v>
      </c>
      <c r="AB166" s="119" t="s">
        <v>1127</v>
      </c>
      <c r="AC166" s="298"/>
      <c r="AD166" s="279">
        <v>202000006283</v>
      </c>
      <c r="AE166" s="38" t="s">
        <v>904</v>
      </c>
      <c r="AF166" s="120" t="str">
        <f>TEXT(LEFT(Contrato[[#This Row],[CONTRATO]],3),"0")</f>
        <v>160</v>
      </c>
      <c r="AG166" s="120" t="str">
        <f>IF(LEN(Contrato[[#This Row],[Contrato2]])=3,Contrato[[#This Row],[Contrato2]],TEXT(Contrato[[#This Row],[Contrato2]],"000"))</f>
        <v>160</v>
      </c>
      <c r="AH166" s="90">
        <f ca="1">IFERROR(_xlfn.DAYS(Contrato[[#This Row],[Fecha Proyectada liquidación]],TODAY())/30,"")</f>
        <v>11.4</v>
      </c>
      <c r="AI166" s="121">
        <f>+Contrato[[#This Row],[FECHA TERMINACIÓN ]]+120</f>
        <v>46125</v>
      </c>
      <c r="AJ166" s="89"/>
      <c r="AK166" s="91" t="str">
        <f ca="1">IF(Contrato[[#This Row],[FECHA TERMINACIÓN ]]&lt;TODAY(), "Terminado",IF(ISNUMBER(Contrato[[#This Row],[Fecha Real de liquiidación ]]),"Liquidado",IF(Contrato[[#This Row],[FECHA TERMINACIÓN ]]&gt;=TODAY(),"En ejecución","")))</f>
        <v>En ejecución</v>
      </c>
      <c r="AL166" s="107">
        <f ca="1">SUMIF(COMPROMISOS_2025[[#All],[consecutivo]],Contrato[[#This Row],[RCP]],COMPROMISOS_2025[[#All],[Total pagado]])</f>
        <v>0</v>
      </c>
      <c r="AM166" s="122">
        <f ca="1">IFERROR(Contrato[[#This Row],[Pagos]]/Contrato[[#This Row],[VALOR CONTRATO]],0)</f>
        <v>0</v>
      </c>
      <c r="AN166" s="160">
        <f ca="1">+Contrato[[#This Row],[VALOR CONTRATO]]-Contrato[[#This Row],[Pagos]]</f>
        <v>50609170</v>
      </c>
      <c r="AO166" s="111" t="e" cm="1">
        <f t="array" aca="1" ref="AO166" ca="1">_xlfn.XLOOKUP(Contrato[[#This Row],[DOCUMENTO ]],PERSONAL_ACTIVO_2025[[#All],[DOCUMENTO]],PERSONAL_ACTIVO_2025[[#All],[email]],0,0)</f>
        <v>#NAME?</v>
      </c>
      <c r="AP166" s="111" t="e" cm="1">
        <f t="array" aca="1" ref="AP166" ca="1">_xlfn.XLOOKUP(Contrato[[#This Row],[DOCUMENTO]],PERSONAL_ACTIVO_2025[[#All],[DOCUMENTO]],PERSONAL_ACTIVO_2025[[#All],[email]],0,0)</f>
        <v>#NAME?</v>
      </c>
      <c r="AQ166" s="111" cm="1">
        <f t="array" aca="1" ref="AQ166" ca="1">IF(ISBLANK(Contrato[[#This Row],[DEPENDENCIA ]]),0,IFERROR(_xlfn.XLOOKUP(Contrato[[#This Row],[DEPENDENCIA ]],#REF!,#REF!,0,0),0))</f>
        <v>0</v>
      </c>
      <c r="AR166" s="553">
        <f ca="1">+_xlfn.DAYS(Contrato[[#This Row],[FECHA TERMINACIÓN ]],TODAY())</f>
        <v>222</v>
      </c>
    </row>
    <row r="167" spans="1:44" s="379" customFormat="1" ht="36" customHeight="1" x14ac:dyDescent="0.25">
      <c r="A167" s="348">
        <v>363</v>
      </c>
      <c r="B167" s="349">
        <v>161</v>
      </c>
      <c r="C167" s="350" t="s">
        <v>561</v>
      </c>
      <c r="D167" s="351" t="s">
        <v>911</v>
      </c>
      <c r="E167" s="352" t="s">
        <v>112</v>
      </c>
      <c r="F167" s="353" t="s">
        <v>113</v>
      </c>
      <c r="G167" s="354" t="s">
        <v>1221</v>
      </c>
      <c r="H167" s="355">
        <v>1037582162</v>
      </c>
      <c r="I167" s="356">
        <v>4157906</v>
      </c>
      <c r="J167" s="357">
        <v>40747479</v>
      </c>
      <c r="K167" s="158" t="s">
        <v>41</v>
      </c>
      <c r="L167" s="358" t="s">
        <v>1087</v>
      </c>
      <c r="M167" s="359" t="s">
        <v>943</v>
      </c>
      <c r="N167" s="360" t="e" cm="1">
        <f t="array" aca="1" ref="N167" ca="1">_xlfn.XLOOKUP(Contrato[[#This Row],[SUPERVISOR TITULAR]],PERSONAL_ACTIVO_2025[[#All],[NOMBRES Y APELLIDOS]],PERSONAL_ACTIVO_2025[[#All],[DOCUMENTO]],"",0)</f>
        <v>#NAME?</v>
      </c>
      <c r="O167" s="359" t="s">
        <v>939</v>
      </c>
      <c r="P167" s="360" t="e" cm="1">
        <f t="array" aca="1" ref="P167" ca="1">_xlfn.XLOOKUP(Contrato[[#This Row],[SUPERVISOR SUPLENTE ]],PERSONAL_ACTIVO_2025[[#All],[NOMBRES Y APELLIDOS]],PERSONAL_ACTIVO_2025[[#All],[DOCUMENTO]],"",0)</f>
        <v>#NAME?</v>
      </c>
      <c r="Q167" s="361">
        <v>197</v>
      </c>
      <c r="R167" s="362" t="e" cm="1">
        <f t="array" aca="1" ref="R167" ca="1">_xlfn.XLOOKUP(Contrato[[#This Row],[CDP]],DISPONIBILIDADES_2025[[#All],[consecutivo]],DISPONIBILIDADES_2025[[#All],[fecha_aprobacion]],"",0)</f>
        <v>#NAME?</v>
      </c>
      <c r="S167" s="363">
        <f>SUMIF(DISPONIBILIDADES_2025[[#All],[consecutivo]],Contrato[[#This Row],[CDP]],DISPONIBILIDADES_2025[[#All],[valor_total_rubro]])</f>
        <v>40747479</v>
      </c>
      <c r="T167" s="364" t="e" cm="1">
        <f t="array" aca="1" ref="T167" ca="1">_xlfn.XLOOKUP(Contrato[[#This Row],[CONTRATO]]&amp;Contrato[[#This Row],[CDP]],Corr_Contr_CDP[[#All],[CONTRATO-CDP]],Corr_Contr_CDP[[#All],[CRP]],_xlfn.XLOOKUP(Contrato[[#This Row],[CDP]],COMPROMISOS_2025[[#All],[disponibilidad]],COMPROMISOS_2025[[#All],[consecutivo]],"",0),0)</f>
        <v>#NAME?</v>
      </c>
      <c r="U167" s="365" t="e" cm="1">
        <f t="array" aca="1" ref="U167" ca="1">+_xlfn.XLOOKUP(Contrato[[#This Row],[RCP]],COMPROMISOS_2025[[#All],[consecutivo]],COMPROMISOS_2025[[#All],[fecha_aprobacion]],"",0)</f>
        <v>#NAME?</v>
      </c>
      <c r="V167" s="366">
        <f ca="1">SUMIF(COMPROMISOS_2025[[#All],[consecutivo]],Contrato[[#This Row],[RCP]],COMPROMISOS_2025[[#All],[valor_total]])</f>
        <v>0</v>
      </c>
      <c r="W167" s="367">
        <v>45707</v>
      </c>
      <c r="X167" s="368" t="s">
        <v>901</v>
      </c>
      <c r="Y167" s="397">
        <v>45709</v>
      </c>
      <c r="Z167" s="161">
        <v>46005</v>
      </c>
      <c r="AA167" s="398" t="s">
        <v>1143</v>
      </c>
      <c r="AB167" s="369" t="s">
        <v>1127</v>
      </c>
      <c r="AC167" s="370"/>
      <c r="AD167" s="279">
        <v>202000006284</v>
      </c>
      <c r="AE167" s="38" t="s">
        <v>904</v>
      </c>
      <c r="AF167" s="371" t="str">
        <f>TEXT(LEFT(Contrato[[#This Row],[CONTRATO]],3),"0")</f>
        <v>161</v>
      </c>
      <c r="AG167" s="371" t="str">
        <f>IF(LEN(Contrato[[#This Row],[Contrato2]])=3,Contrato[[#This Row],[Contrato2]],TEXT(Contrato[[#This Row],[Contrato2]],"000"))</f>
        <v>161</v>
      </c>
      <c r="AH167" s="372">
        <f ca="1">IFERROR(_xlfn.DAYS(Contrato[[#This Row],[Fecha Proyectada liquidación]],TODAY())/30,"")</f>
        <v>11.4</v>
      </c>
      <c r="AI167" s="373">
        <f>+Contrato[[#This Row],[FECHA TERMINACIÓN ]]+120</f>
        <v>46125</v>
      </c>
      <c r="AJ167" s="374"/>
      <c r="AK167" s="375" t="str">
        <f ca="1">IF(Contrato[[#This Row],[FECHA TERMINACIÓN ]]&lt;TODAY(), "Terminado",IF(ISNUMBER(Contrato[[#This Row],[Fecha Real de liquiidación ]]),"Liquidado",IF(Contrato[[#This Row],[FECHA TERMINACIÓN ]]&gt;=TODAY(),"En ejecución","")))</f>
        <v>En ejecución</v>
      </c>
      <c r="AL167" s="376">
        <f ca="1">SUMIF(COMPROMISOS_2025[[#All],[consecutivo]],Contrato[[#This Row],[RCP]],COMPROMISOS_2025[[#All],[Total pagado]])</f>
        <v>0</v>
      </c>
      <c r="AM167" s="377">
        <f ca="1">IFERROR(Contrato[[#This Row],[Pagos]]/Contrato[[#This Row],[VALOR CONTRATO]],0)</f>
        <v>0</v>
      </c>
      <c r="AN167" s="378">
        <f ca="1">+Contrato[[#This Row],[VALOR CONTRATO]]-Contrato[[#This Row],[Pagos]]</f>
        <v>40747479</v>
      </c>
      <c r="AO167" s="379" t="e" cm="1">
        <f t="array" aca="1" ref="AO167" ca="1">_xlfn.XLOOKUP(Contrato[[#This Row],[DOCUMENTO ]],PERSONAL_ACTIVO_2025[[#All],[DOCUMENTO]],PERSONAL_ACTIVO_2025[[#All],[email]],0,0)</f>
        <v>#NAME?</v>
      </c>
      <c r="AP167" s="379" t="e" cm="1">
        <f t="array" aca="1" ref="AP167" ca="1">_xlfn.XLOOKUP(Contrato[[#This Row],[DOCUMENTO]],PERSONAL_ACTIVO_2025[[#All],[DOCUMENTO]],PERSONAL_ACTIVO_2025[[#All],[email]],0,0)</f>
        <v>#NAME?</v>
      </c>
      <c r="AQ167" s="379" cm="1">
        <f t="array" aca="1" ref="AQ167" ca="1">IF(ISBLANK(Contrato[[#This Row],[DEPENDENCIA ]]),0,IFERROR(_xlfn.XLOOKUP(Contrato[[#This Row],[DEPENDENCIA ]],#REF!,#REF!,0,0),0))</f>
        <v>0</v>
      </c>
      <c r="AR167" s="554">
        <f ca="1">+_xlfn.DAYS(Contrato[[#This Row],[FECHA TERMINACIÓN ]],TODAY())</f>
        <v>222</v>
      </c>
    </row>
    <row r="168" spans="1:44" s="111" customFormat="1" ht="36" customHeight="1" x14ac:dyDescent="0.25">
      <c r="A168" s="38">
        <v>364</v>
      </c>
      <c r="B168" s="226">
        <v>162</v>
      </c>
      <c r="C168" s="88" t="s">
        <v>562</v>
      </c>
      <c r="D168" s="192" t="s">
        <v>911</v>
      </c>
      <c r="E168" s="193" t="s">
        <v>112</v>
      </c>
      <c r="F168" s="194" t="s">
        <v>113</v>
      </c>
      <c r="G168" s="195" t="s">
        <v>1222</v>
      </c>
      <c r="H168" s="167">
        <v>71737394</v>
      </c>
      <c r="I168" s="292">
        <v>5164201</v>
      </c>
      <c r="J168" s="290">
        <v>50609170</v>
      </c>
      <c r="K168" s="158" t="s">
        <v>41</v>
      </c>
      <c r="L168" s="196" t="s">
        <v>1087</v>
      </c>
      <c r="M168" s="114" t="s">
        <v>939</v>
      </c>
      <c r="N168" s="113" t="e" cm="1">
        <f t="array" aca="1" ref="N168" ca="1">_xlfn.XLOOKUP(Contrato[[#This Row],[SUPERVISOR TITULAR]],PERSONAL_ACTIVO_2025[[#All],[NOMBRES Y APELLIDOS]],PERSONAL_ACTIVO_2025[[#All],[DOCUMENTO]],"",0)</f>
        <v>#NAME?</v>
      </c>
      <c r="O168" s="114" t="s">
        <v>943</v>
      </c>
      <c r="P168" s="115" t="e" cm="1">
        <f t="array" aca="1" ref="P168" ca="1">_xlfn.XLOOKUP(Contrato[[#This Row],[SUPERVISOR SUPLENTE ]],PERSONAL_ACTIVO_2025[[#All],[NOMBRES Y APELLIDOS]],PERSONAL_ACTIVO_2025[[#All],[DOCUMENTO]],"",0)</f>
        <v>#NAME?</v>
      </c>
      <c r="Q168" s="116">
        <v>198</v>
      </c>
      <c r="R168" s="137" t="e" cm="1">
        <f t="array" aca="1" ref="R168" ca="1">_xlfn.XLOOKUP(Contrato[[#This Row],[CDP]],DISPONIBILIDADES_2025[[#All],[consecutivo]],DISPONIBILIDADES_2025[[#All],[fecha_aprobacion]],"",0)</f>
        <v>#NAME?</v>
      </c>
      <c r="S168" s="92">
        <f>SUMIF(DISPONIBILIDADES_2025[[#All],[consecutivo]],Contrato[[#This Row],[CDP]],DISPONIBILIDADES_2025[[#All],[valor_total_rubro]])</f>
        <v>50609170</v>
      </c>
      <c r="T168" s="118" t="e" cm="1">
        <f t="array" aca="1" ref="T168" ca="1">_xlfn.XLOOKUP(Contrato[[#This Row],[CONTRATO]]&amp;Contrato[[#This Row],[CDP]],Corr_Contr_CDP[[#All],[CONTRATO-CDP]],Corr_Contr_CDP[[#All],[CRP]],_xlfn.XLOOKUP(Contrato[[#This Row],[CDP]],COMPROMISOS_2025[[#All],[disponibilidad]],COMPROMISOS_2025[[#All],[consecutivo]],"",0),0)</f>
        <v>#NAME?</v>
      </c>
      <c r="U168" s="117" t="e" cm="1">
        <f t="array" aca="1" ref="U168" ca="1">+_xlfn.XLOOKUP(Contrato[[#This Row],[RCP]],COMPROMISOS_2025[[#All],[consecutivo]],COMPROMISOS_2025[[#All],[fecha_aprobacion]],"",0)</f>
        <v>#NAME?</v>
      </c>
      <c r="V168" s="93">
        <f ca="1">SUMIF(COMPROMISOS_2025[[#All],[consecutivo]],Contrato[[#This Row],[RCP]],COMPROMISOS_2025[[#All],[valor_total]])</f>
        <v>0</v>
      </c>
      <c r="W168" s="169">
        <v>45708</v>
      </c>
      <c r="X168" s="243" t="s">
        <v>901</v>
      </c>
      <c r="Y168" s="397">
        <v>45709</v>
      </c>
      <c r="Z168" s="161">
        <v>46005</v>
      </c>
      <c r="AA168" s="311" t="s">
        <v>1143</v>
      </c>
      <c r="AB168" s="119" t="s">
        <v>1127</v>
      </c>
      <c r="AC168" s="298"/>
      <c r="AD168" s="279">
        <v>202000006285</v>
      </c>
      <c r="AE168" s="38" t="s">
        <v>904</v>
      </c>
      <c r="AF168" s="120" t="str">
        <f>TEXT(LEFT(Contrato[[#This Row],[CONTRATO]],3),"0")</f>
        <v>162</v>
      </c>
      <c r="AG168" s="120" t="str">
        <f>IF(LEN(Contrato[[#This Row],[Contrato2]])=3,Contrato[[#This Row],[Contrato2]],TEXT(Contrato[[#This Row],[Contrato2]],"000"))</f>
        <v>162</v>
      </c>
      <c r="AH168" s="90">
        <f ca="1">IFERROR(_xlfn.DAYS(Contrato[[#This Row],[Fecha Proyectada liquidación]],TODAY())/30,"")</f>
        <v>11.4</v>
      </c>
      <c r="AI168" s="121">
        <f>+Contrato[[#This Row],[FECHA TERMINACIÓN ]]+120</f>
        <v>46125</v>
      </c>
      <c r="AJ168" s="89"/>
      <c r="AK168" s="91" t="str">
        <f ca="1">IF(Contrato[[#This Row],[FECHA TERMINACIÓN ]]&lt;TODAY(), "Terminado",IF(ISNUMBER(Contrato[[#This Row],[Fecha Real de liquiidación ]]),"Liquidado",IF(Contrato[[#This Row],[FECHA TERMINACIÓN ]]&gt;=TODAY(),"En ejecución","")))</f>
        <v>En ejecución</v>
      </c>
      <c r="AL168" s="107">
        <f ca="1">SUMIF(COMPROMISOS_2025[[#All],[consecutivo]],Contrato[[#This Row],[RCP]],COMPROMISOS_2025[[#All],[Total pagado]])</f>
        <v>0</v>
      </c>
      <c r="AM168" s="122">
        <f ca="1">IFERROR(Contrato[[#This Row],[Pagos]]/Contrato[[#This Row],[VALOR CONTRATO]],0)</f>
        <v>0</v>
      </c>
      <c r="AN168" s="160">
        <f ca="1">+Contrato[[#This Row],[VALOR CONTRATO]]-Contrato[[#This Row],[Pagos]]</f>
        <v>50609170</v>
      </c>
      <c r="AO168" s="111" t="e" cm="1">
        <f t="array" aca="1" ref="AO168" ca="1">_xlfn.XLOOKUP(Contrato[[#This Row],[DOCUMENTO ]],PERSONAL_ACTIVO_2025[[#All],[DOCUMENTO]],PERSONAL_ACTIVO_2025[[#All],[email]],0,0)</f>
        <v>#NAME?</v>
      </c>
      <c r="AP168" s="111" t="e" cm="1">
        <f t="array" aca="1" ref="AP168" ca="1">_xlfn.XLOOKUP(Contrato[[#This Row],[DOCUMENTO]],PERSONAL_ACTIVO_2025[[#All],[DOCUMENTO]],PERSONAL_ACTIVO_2025[[#All],[email]],0,0)</f>
        <v>#NAME?</v>
      </c>
      <c r="AQ168" s="111" cm="1">
        <f t="array" aca="1" ref="AQ168" ca="1">IF(ISBLANK(Contrato[[#This Row],[DEPENDENCIA ]]),0,IFERROR(_xlfn.XLOOKUP(Contrato[[#This Row],[DEPENDENCIA ]],#REF!,#REF!,0,0),0))</f>
        <v>0</v>
      </c>
      <c r="AR168" s="553">
        <f ca="1">+_xlfn.DAYS(Contrato[[#This Row],[FECHA TERMINACIÓN ]],TODAY())</f>
        <v>222</v>
      </c>
    </row>
    <row r="169" spans="1:44" s="111" customFormat="1" ht="36" customHeight="1" x14ac:dyDescent="0.25">
      <c r="A169" s="38">
        <v>365</v>
      </c>
      <c r="B169" s="226">
        <v>163</v>
      </c>
      <c r="C169" s="88" t="s">
        <v>563</v>
      </c>
      <c r="D169" s="192" t="s">
        <v>911</v>
      </c>
      <c r="E169" s="193" t="s">
        <v>112</v>
      </c>
      <c r="F169" s="194" t="s">
        <v>113</v>
      </c>
      <c r="G169" s="195" t="s">
        <v>1223</v>
      </c>
      <c r="H169" s="167">
        <v>1113520825</v>
      </c>
      <c r="I169" s="292">
        <v>6239569</v>
      </c>
      <c r="J169" s="290">
        <v>61147776</v>
      </c>
      <c r="K169" s="158" t="s">
        <v>41</v>
      </c>
      <c r="L169" s="196" t="s">
        <v>1087</v>
      </c>
      <c r="M169" s="114" t="s">
        <v>939</v>
      </c>
      <c r="N169" s="113" t="e" cm="1">
        <f t="array" aca="1" ref="N169" ca="1">_xlfn.XLOOKUP(Contrato[[#This Row],[SUPERVISOR TITULAR]],PERSONAL_ACTIVO_2025[[#All],[NOMBRES Y APELLIDOS]],PERSONAL_ACTIVO_2025[[#All],[DOCUMENTO]],"",0)</f>
        <v>#NAME?</v>
      </c>
      <c r="O169" s="114" t="s">
        <v>943</v>
      </c>
      <c r="P169" s="115" t="e" cm="1">
        <f t="array" aca="1" ref="P169" ca="1">_xlfn.XLOOKUP(Contrato[[#This Row],[SUPERVISOR SUPLENTE ]],PERSONAL_ACTIVO_2025[[#All],[NOMBRES Y APELLIDOS]],PERSONAL_ACTIVO_2025[[#All],[DOCUMENTO]],"",0)</f>
        <v>#NAME?</v>
      </c>
      <c r="Q169" s="116">
        <v>199</v>
      </c>
      <c r="R169" s="137" t="e" cm="1">
        <f t="array" aca="1" ref="R169" ca="1">_xlfn.XLOOKUP(Contrato[[#This Row],[CDP]],DISPONIBILIDADES_2025[[#All],[consecutivo]],DISPONIBILIDADES_2025[[#All],[fecha_aprobacion]],"",0)</f>
        <v>#NAME?</v>
      </c>
      <c r="S169" s="92">
        <f>SUMIF(DISPONIBILIDADES_2025[[#All],[consecutivo]],Contrato[[#This Row],[CDP]],DISPONIBILIDADES_2025[[#All],[valor_total_rubro]])</f>
        <v>61147776</v>
      </c>
      <c r="T169" s="118" t="e" cm="1">
        <f t="array" aca="1" ref="T169" ca="1">_xlfn.XLOOKUP(Contrato[[#This Row],[CONTRATO]]&amp;Contrato[[#This Row],[CDP]],Corr_Contr_CDP[[#All],[CONTRATO-CDP]],Corr_Contr_CDP[[#All],[CRP]],_xlfn.XLOOKUP(Contrato[[#This Row],[CDP]],COMPROMISOS_2025[[#All],[disponibilidad]],COMPROMISOS_2025[[#All],[consecutivo]],"",0),0)</f>
        <v>#NAME?</v>
      </c>
      <c r="U169" s="117" t="e" cm="1">
        <f t="array" aca="1" ref="U169" ca="1">+_xlfn.XLOOKUP(Contrato[[#This Row],[RCP]],COMPROMISOS_2025[[#All],[consecutivo]],COMPROMISOS_2025[[#All],[fecha_aprobacion]],"",0)</f>
        <v>#NAME?</v>
      </c>
      <c r="V169" s="93">
        <f ca="1">SUMIF(COMPROMISOS_2025[[#All],[consecutivo]],Contrato[[#This Row],[RCP]],COMPROMISOS_2025[[#All],[valor_total]])</f>
        <v>0</v>
      </c>
      <c r="W169" s="169">
        <v>45707</v>
      </c>
      <c r="X169" s="243" t="s">
        <v>901</v>
      </c>
      <c r="Y169" s="397">
        <v>45709</v>
      </c>
      <c r="Z169" s="161">
        <v>46005</v>
      </c>
      <c r="AA169" s="311" t="s">
        <v>1143</v>
      </c>
      <c r="AB169" s="119" t="s">
        <v>1127</v>
      </c>
      <c r="AC169" s="298"/>
      <c r="AD169" s="279">
        <v>202000006286</v>
      </c>
      <c r="AE169" s="38" t="s">
        <v>904</v>
      </c>
      <c r="AF169" s="120" t="str">
        <f>TEXT(LEFT(Contrato[[#This Row],[CONTRATO]],3),"0")</f>
        <v>163</v>
      </c>
      <c r="AG169" s="120" t="str">
        <f>IF(LEN(Contrato[[#This Row],[Contrato2]])=3,Contrato[[#This Row],[Contrato2]],TEXT(Contrato[[#This Row],[Contrato2]],"000"))</f>
        <v>163</v>
      </c>
      <c r="AH169" s="90">
        <f ca="1">IFERROR(_xlfn.DAYS(Contrato[[#This Row],[Fecha Proyectada liquidación]],TODAY())/30,"")</f>
        <v>11.4</v>
      </c>
      <c r="AI169" s="121">
        <f>+Contrato[[#This Row],[FECHA TERMINACIÓN ]]+120</f>
        <v>46125</v>
      </c>
      <c r="AJ169" s="89"/>
      <c r="AK169" s="91" t="str">
        <f ca="1">IF(Contrato[[#This Row],[FECHA TERMINACIÓN ]]&lt;TODAY(), "Terminado",IF(ISNUMBER(Contrato[[#This Row],[Fecha Real de liquiidación ]]),"Liquidado",IF(Contrato[[#This Row],[FECHA TERMINACIÓN ]]&gt;=TODAY(),"En ejecución","")))</f>
        <v>En ejecución</v>
      </c>
      <c r="AL169" s="107">
        <f ca="1">SUMIF(COMPROMISOS_2025[[#All],[consecutivo]],Contrato[[#This Row],[RCP]],COMPROMISOS_2025[[#All],[Total pagado]])</f>
        <v>0</v>
      </c>
      <c r="AM169" s="122">
        <f ca="1">IFERROR(Contrato[[#This Row],[Pagos]]/Contrato[[#This Row],[VALOR CONTRATO]],0)</f>
        <v>0</v>
      </c>
      <c r="AN169" s="160">
        <f ca="1">+Contrato[[#This Row],[VALOR CONTRATO]]-Contrato[[#This Row],[Pagos]]</f>
        <v>61147776</v>
      </c>
      <c r="AO169" s="111" t="e" cm="1">
        <f t="array" aca="1" ref="AO169" ca="1">_xlfn.XLOOKUP(Contrato[[#This Row],[DOCUMENTO ]],PERSONAL_ACTIVO_2025[[#All],[DOCUMENTO]],PERSONAL_ACTIVO_2025[[#All],[email]],0,0)</f>
        <v>#NAME?</v>
      </c>
      <c r="AP169" s="111" t="e" cm="1">
        <f t="array" aca="1" ref="AP169" ca="1">_xlfn.XLOOKUP(Contrato[[#This Row],[DOCUMENTO]],PERSONAL_ACTIVO_2025[[#All],[DOCUMENTO]],PERSONAL_ACTIVO_2025[[#All],[email]],0,0)</f>
        <v>#NAME?</v>
      </c>
      <c r="AQ169" s="111" cm="1">
        <f t="array" aca="1" ref="AQ169" ca="1">IF(ISBLANK(Contrato[[#This Row],[DEPENDENCIA ]]),0,IFERROR(_xlfn.XLOOKUP(Contrato[[#This Row],[DEPENDENCIA ]],#REF!,#REF!,0,0),0))</f>
        <v>0</v>
      </c>
      <c r="AR169" s="553">
        <f ca="1">+_xlfn.DAYS(Contrato[[#This Row],[FECHA TERMINACIÓN ]],TODAY())</f>
        <v>222</v>
      </c>
    </row>
    <row r="170" spans="1:44" s="111" customFormat="1" ht="36" customHeight="1" x14ac:dyDescent="0.25">
      <c r="A170" s="38">
        <v>366</v>
      </c>
      <c r="B170" s="226">
        <v>164</v>
      </c>
      <c r="C170" s="88" t="s">
        <v>564</v>
      </c>
      <c r="D170" s="192" t="s">
        <v>911</v>
      </c>
      <c r="E170" s="193" t="s">
        <v>112</v>
      </c>
      <c r="F170" s="194" t="s">
        <v>113</v>
      </c>
      <c r="G170" s="195" t="s">
        <v>1224</v>
      </c>
      <c r="H170" s="167">
        <v>8434470</v>
      </c>
      <c r="I170" s="292">
        <v>6239569</v>
      </c>
      <c r="J170" s="290">
        <v>61147776</v>
      </c>
      <c r="K170" s="158" t="s">
        <v>41</v>
      </c>
      <c r="L170" s="196" t="s">
        <v>1087</v>
      </c>
      <c r="M170" s="114" t="s">
        <v>939</v>
      </c>
      <c r="N170" s="113" t="e" cm="1">
        <f t="array" aca="1" ref="N170" ca="1">_xlfn.XLOOKUP(Contrato[[#This Row],[SUPERVISOR TITULAR]],PERSONAL_ACTIVO_2025[[#All],[NOMBRES Y APELLIDOS]],PERSONAL_ACTIVO_2025[[#All],[DOCUMENTO]],"",0)</f>
        <v>#NAME?</v>
      </c>
      <c r="O170" s="114" t="s">
        <v>943</v>
      </c>
      <c r="P170" s="115" t="e" cm="1">
        <f t="array" aca="1" ref="P170" ca="1">_xlfn.XLOOKUP(Contrato[[#This Row],[SUPERVISOR SUPLENTE ]],PERSONAL_ACTIVO_2025[[#All],[NOMBRES Y APELLIDOS]],PERSONAL_ACTIVO_2025[[#All],[DOCUMENTO]],"",0)</f>
        <v>#NAME?</v>
      </c>
      <c r="Q170" s="116">
        <v>200</v>
      </c>
      <c r="R170" s="137" t="e" cm="1">
        <f t="array" aca="1" ref="R170" ca="1">_xlfn.XLOOKUP(Contrato[[#This Row],[CDP]],DISPONIBILIDADES_2025[[#All],[consecutivo]],DISPONIBILIDADES_2025[[#All],[fecha_aprobacion]],"",0)</f>
        <v>#NAME?</v>
      </c>
      <c r="S170" s="92">
        <f>SUMIF(DISPONIBILIDADES_2025[[#All],[consecutivo]],Contrato[[#This Row],[CDP]],DISPONIBILIDADES_2025[[#All],[valor_total_rubro]])</f>
        <v>61147776</v>
      </c>
      <c r="T170" s="118" t="e" cm="1">
        <f t="array" aca="1" ref="T170" ca="1">_xlfn.XLOOKUP(Contrato[[#This Row],[CONTRATO]]&amp;Contrato[[#This Row],[CDP]],Corr_Contr_CDP[[#All],[CONTRATO-CDP]],Corr_Contr_CDP[[#All],[CRP]],_xlfn.XLOOKUP(Contrato[[#This Row],[CDP]],COMPROMISOS_2025[[#All],[disponibilidad]],COMPROMISOS_2025[[#All],[consecutivo]],"",0),0)</f>
        <v>#NAME?</v>
      </c>
      <c r="U170" s="117" t="e" cm="1">
        <f t="array" aca="1" ref="U170" ca="1">+_xlfn.XLOOKUP(Contrato[[#This Row],[RCP]],COMPROMISOS_2025[[#All],[consecutivo]],COMPROMISOS_2025[[#All],[fecha_aprobacion]],"",0)</f>
        <v>#NAME?</v>
      </c>
      <c r="V170" s="93">
        <f ca="1">SUMIF(COMPROMISOS_2025[[#All],[consecutivo]],Contrato[[#This Row],[RCP]],COMPROMISOS_2025[[#All],[valor_total]])</f>
        <v>0</v>
      </c>
      <c r="W170" s="169">
        <v>45707</v>
      </c>
      <c r="X170" s="243" t="s">
        <v>901</v>
      </c>
      <c r="Y170" s="397">
        <v>45709</v>
      </c>
      <c r="Z170" s="161">
        <v>46005</v>
      </c>
      <c r="AA170" s="311" t="s">
        <v>1143</v>
      </c>
      <c r="AB170" s="119" t="s">
        <v>1127</v>
      </c>
      <c r="AC170" s="298"/>
      <c r="AD170" s="279">
        <v>202000006288</v>
      </c>
      <c r="AE170" s="38" t="s">
        <v>904</v>
      </c>
      <c r="AF170" s="120" t="str">
        <f>TEXT(LEFT(Contrato[[#This Row],[CONTRATO]],3),"0")</f>
        <v>164</v>
      </c>
      <c r="AG170" s="120" t="str">
        <f>IF(LEN(Contrato[[#This Row],[Contrato2]])=3,Contrato[[#This Row],[Contrato2]],TEXT(Contrato[[#This Row],[Contrato2]],"000"))</f>
        <v>164</v>
      </c>
      <c r="AH170" s="90">
        <f ca="1">IFERROR(_xlfn.DAYS(Contrato[[#This Row],[Fecha Proyectada liquidación]],TODAY())/30,"")</f>
        <v>11.4</v>
      </c>
      <c r="AI170" s="121">
        <f>+Contrato[[#This Row],[FECHA TERMINACIÓN ]]+120</f>
        <v>46125</v>
      </c>
      <c r="AJ170" s="89"/>
      <c r="AK170" s="91" t="str">
        <f ca="1">IF(Contrato[[#This Row],[FECHA TERMINACIÓN ]]&lt;TODAY(), "Terminado",IF(ISNUMBER(Contrato[[#This Row],[Fecha Real de liquiidación ]]),"Liquidado",IF(Contrato[[#This Row],[FECHA TERMINACIÓN ]]&gt;=TODAY(),"En ejecución","")))</f>
        <v>En ejecución</v>
      </c>
      <c r="AL170" s="107">
        <f ca="1">SUMIF(COMPROMISOS_2025[[#All],[consecutivo]],Contrato[[#This Row],[RCP]],COMPROMISOS_2025[[#All],[Total pagado]])</f>
        <v>0</v>
      </c>
      <c r="AM170" s="122">
        <f ca="1">IFERROR(Contrato[[#This Row],[Pagos]]/Contrato[[#This Row],[VALOR CONTRATO]],0)</f>
        <v>0</v>
      </c>
      <c r="AN170" s="160">
        <f ca="1">+Contrato[[#This Row],[VALOR CONTRATO]]-Contrato[[#This Row],[Pagos]]</f>
        <v>61147776</v>
      </c>
      <c r="AO170" s="111" t="e" cm="1">
        <f t="array" aca="1" ref="AO170" ca="1">_xlfn.XLOOKUP(Contrato[[#This Row],[DOCUMENTO ]],PERSONAL_ACTIVO_2025[[#All],[DOCUMENTO]],PERSONAL_ACTIVO_2025[[#All],[email]],0,0)</f>
        <v>#NAME?</v>
      </c>
      <c r="AP170" s="111" t="e" cm="1">
        <f t="array" aca="1" ref="AP170" ca="1">_xlfn.XLOOKUP(Contrato[[#This Row],[DOCUMENTO]],PERSONAL_ACTIVO_2025[[#All],[DOCUMENTO]],PERSONAL_ACTIVO_2025[[#All],[email]],0,0)</f>
        <v>#NAME?</v>
      </c>
      <c r="AQ170" s="111" cm="1">
        <f t="array" aca="1" ref="AQ170" ca="1">IF(ISBLANK(Contrato[[#This Row],[DEPENDENCIA ]]),0,IFERROR(_xlfn.XLOOKUP(Contrato[[#This Row],[DEPENDENCIA ]],#REF!,#REF!,0,0),0))</f>
        <v>0</v>
      </c>
      <c r="AR170" s="553">
        <f ca="1">+_xlfn.DAYS(Contrato[[#This Row],[FECHA TERMINACIÓN ]],TODAY())</f>
        <v>222</v>
      </c>
    </row>
    <row r="171" spans="1:44" s="111" customFormat="1" ht="36" customHeight="1" x14ac:dyDescent="0.25">
      <c r="A171" s="38">
        <v>368</v>
      </c>
      <c r="B171" s="226">
        <v>165</v>
      </c>
      <c r="C171" s="88" t="s">
        <v>566</v>
      </c>
      <c r="D171" s="192" t="s">
        <v>911</v>
      </c>
      <c r="E171" s="193" t="s">
        <v>112</v>
      </c>
      <c r="F171" s="194" t="s">
        <v>113</v>
      </c>
      <c r="G171" s="195" t="s">
        <v>1225</v>
      </c>
      <c r="H171" s="167">
        <v>80040215</v>
      </c>
      <c r="I171" s="292">
        <v>4157906</v>
      </c>
      <c r="J171" s="290">
        <v>40747479</v>
      </c>
      <c r="K171" s="158" t="s">
        <v>41</v>
      </c>
      <c r="L171" s="196" t="s">
        <v>1087</v>
      </c>
      <c r="M171" s="114" t="s">
        <v>939</v>
      </c>
      <c r="N171" s="113" t="e" cm="1">
        <f t="array" aca="1" ref="N171" ca="1">_xlfn.XLOOKUP(Contrato[[#This Row],[SUPERVISOR TITULAR]],PERSONAL_ACTIVO_2025[[#All],[NOMBRES Y APELLIDOS]],PERSONAL_ACTIVO_2025[[#All],[DOCUMENTO]],"",0)</f>
        <v>#NAME?</v>
      </c>
      <c r="O171" s="114" t="s">
        <v>943</v>
      </c>
      <c r="P171" s="115" t="e" cm="1">
        <f t="array" aca="1" ref="P171" ca="1">_xlfn.XLOOKUP(Contrato[[#This Row],[SUPERVISOR SUPLENTE ]],PERSONAL_ACTIVO_2025[[#All],[NOMBRES Y APELLIDOS]],PERSONAL_ACTIVO_2025[[#All],[DOCUMENTO]],"",0)</f>
        <v>#NAME?</v>
      </c>
      <c r="Q171" s="116">
        <v>202</v>
      </c>
      <c r="R171" s="137" t="e" cm="1">
        <f t="array" aca="1" ref="R171" ca="1">_xlfn.XLOOKUP(Contrato[[#This Row],[CDP]],DISPONIBILIDADES_2025[[#All],[consecutivo]],DISPONIBILIDADES_2025[[#All],[fecha_aprobacion]],"",0)</f>
        <v>#NAME?</v>
      </c>
      <c r="S171" s="92">
        <f>SUMIF(DISPONIBILIDADES_2025[[#All],[consecutivo]],Contrato[[#This Row],[CDP]],DISPONIBILIDADES_2025[[#All],[valor_total_rubro]])</f>
        <v>40747479</v>
      </c>
      <c r="T171" s="118" t="e" cm="1">
        <f t="array" aca="1" ref="T171" ca="1">_xlfn.XLOOKUP(Contrato[[#This Row],[CONTRATO]]&amp;Contrato[[#This Row],[CDP]],Corr_Contr_CDP[[#All],[CONTRATO-CDP]],Corr_Contr_CDP[[#All],[CRP]],_xlfn.XLOOKUP(Contrato[[#This Row],[CDP]],COMPROMISOS_2025[[#All],[disponibilidad]],COMPROMISOS_2025[[#All],[consecutivo]],"",0),0)</f>
        <v>#NAME?</v>
      </c>
      <c r="U171" s="117" t="e" cm="1">
        <f t="array" aca="1" ref="U171" ca="1">+_xlfn.XLOOKUP(Contrato[[#This Row],[RCP]],COMPROMISOS_2025[[#All],[consecutivo]],COMPROMISOS_2025[[#All],[fecha_aprobacion]],"",0)</f>
        <v>#NAME?</v>
      </c>
      <c r="V171" s="93">
        <f ca="1">SUMIF(COMPROMISOS_2025[[#All],[consecutivo]],Contrato[[#This Row],[RCP]],COMPROMISOS_2025[[#All],[valor_total]])</f>
        <v>0</v>
      </c>
      <c r="W171" s="169">
        <v>45708</v>
      </c>
      <c r="X171" s="243" t="s">
        <v>901</v>
      </c>
      <c r="Y171" s="397">
        <v>45709</v>
      </c>
      <c r="Z171" s="161">
        <v>46005</v>
      </c>
      <c r="AA171" s="311" t="s">
        <v>1143</v>
      </c>
      <c r="AB171" s="119" t="s">
        <v>1127</v>
      </c>
      <c r="AC171" s="298"/>
      <c r="AD171" s="279">
        <v>202000006289</v>
      </c>
      <c r="AE171" s="38" t="s">
        <v>904</v>
      </c>
      <c r="AF171" s="120" t="str">
        <f>TEXT(LEFT(Contrato[[#This Row],[CONTRATO]],3),"0")</f>
        <v>165</v>
      </c>
      <c r="AG171" s="120" t="str">
        <f>IF(LEN(Contrato[[#This Row],[Contrato2]])=3,Contrato[[#This Row],[Contrato2]],TEXT(Contrato[[#This Row],[Contrato2]],"000"))</f>
        <v>165</v>
      </c>
      <c r="AH171" s="90">
        <f ca="1">IFERROR(_xlfn.DAYS(Contrato[[#This Row],[Fecha Proyectada liquidación]],TODAY())/30,"")</f>
        <v>11.4</v>
      </c>
      <c r="AI171" s="121">
        <f>+Contrato[[#This Row],[FECHA TERMINACIÓN ]]+120</f>
        <v>46125</v>
      </c>
      <c r="AJ171" s="89"/>
      <c r="AK171" s="91" t="str">
        <f ca="1">IF(Contrato[[#This Row],[FECHA TERMINACIÓN ]]&lt;TODAY(), "Terminado",IF(ISNUMBER(Contrato[[#This Row],[Fecha Real de liquiidación ]]),"Liquidado",IF(Contrato[[#This Row],[FECHA TERMINACIÓN ]]&gt;=TODAY(),"En ejecución","")))</f>
        <v>En ejecución</v>
      </c>
      <c r="AL171" s="107">
        <f ca="1">SUMIF(COMPROMISOS_2025[[#All],[consecutivo]],Contrato[[#This Row],[RCP]],COMPROMISOS_2025[[#All],[Total pagado]])</f>
        <v>0</v>
      </c>
      <c r="AM171" s="122">
        <f ca="1">IFERROR(Contrato[[#This Row],[Pagos]]/Contrato[[#This Row],[VALOR CONTRATO]],0)</f>
        <v>0</v>
      </c>
      <c r="AN171" s="160">
        <f ca="1">+Contrato[[#This Row],[VALOR CONTRATO]]-Contrato[[#This Row],[Pagos]]</f>
        <v>40747479</v>
      </c>
      <c r="AO171" s="111" t="e" cm="1">
        <f t="array" aca="1" ref="AO171" ca="1">_xlfn.XLOOKUP(Contrato[[#This Row],[DOCUMENTO ]],PERSONAL_ACTIVO_2025[[#All],[DOCUMENTO]],PERSONAL_ACTIVO_2025[[#All],[email]],0,0)</f>
        <v>#NAME?</v>
      </c>
      <c r="AP171" s="111" t="e" cm="1">
        <f t="array" aca="1" ref="AP171" ca="1">_xlfn.XLOOKUP(Contrato[[#This Row],[DOCUMENTO]],PERSONAL_ACTIVO_2025[[#All],[DOCUMENTO]],PERSONAL_ACTIVO_2025[[#All],[email]],0,0)</f>
        <v>#NAME?</v>
      </c>
      <c r="AQ171" s="111" cm="1">
        <f t="array" aca="1" ref="AQ171" ca="1">IF(ISBLANK(Contrato[[#This Row],[DEPENDENCIA ]]),0,IFERROR(_xlfn.XLOOKUP(Contrato[[#This Row],[DEPENDENCIA ]],#REF!,#REF!,0,0),0))</f>
        <v>0</v>
      </c>
      <c r="AR171" s="553">
        <f ca="1">+_xlfn.DAYS(Contrato[[#This Row],[FECHA TERMINACIÓN ]],TODAY())</f>
        <v>222</v>
      </c>
    </row>
    <row r="172" spans="1:44" s="111" customFormat="1" ht="36" customHeight="1" x14ac:dyDescent="0.25">
      <c r="A172" s="38">
        <v>369</v>
      </c>
      <c r="B172" s="226">
        <v>166</v>
      </c>
      <c r="C172" s="88" t="s">
        <v>567</v>
      </c>
      <c r="D172" s="192" t="s">
        <v>911</v>
      </c>
      <c r="E172" s="193" t="s">
        <v>112</v>
      </c>
      <c r="F172" s="194" t="s">
        <v>113</v>
      </c>
      <c r="G172" s="195" t="s">
        <v>1226</v>
      </c>
      <c r="H172" s="167">
        <v>1037629422</v>
      </c>
      <c r="I172" s="292">
        <v>4157906</v>
      </c>
      <c r="J172" s="290">
        <v>40747479</v>
      </c>
      <c r="K172" s="158" t="s">
        <v>41</v>
      </c>
      <c r="L172" s="196" t="s">
        <v>1087</v>
      </c>
      <c r="M172" s="114" t="s">
        <v>939</v>
      </c>
      <c r="N172" s="113" t="e" cm="1">
        <f t="array" aca="1" ref="N172" ca="1">_xlfn.XLOOKUP(Contrato[[#This Row],[SUPERVISOR TITULAR]],PERSONAL_ACTIVO_2025[[#All],[NOMBRES Y APELLIDOS]],PERSONAL_ACTIVO_2025[[#All],[DOCUMENTO]],"",0)</f>
        <v>#NAME?</v>
      </c>
      <c r="O172" s="114" t="s">
        <v>943</v>
      </c>
      <c r="P172" s="115" t="e" cm="1">
        <f t="array" aca="1" ref="P172" ca="1">_xlfn.XLOOKUP(Contrato[[#This Row],[SUPERVISOR SUPLENTE ]],PERSONAL_ACTIVO_2025[[#All],[NOMBRES Y APELLIDOS]],PERSONAL_ACTIVO_2025[[#All],[DOCUMENTO]],"",0)</f>
        <v>#NAME?</v>
      </c>
      <c r="Q172" s="116">
        <v>203</v>
      </c>
      <c r="R172" s="137" t="e" cm="1">
        <f t="array" aca="1" ref="R172" ca="1">_xlfn.XLOOKUP(Contrato[[#This Row],[CDP]],DISPONIBILIDADES_2025[[#All],[consecutivo]],DISPONIBILIDADES_2025[[#All],[fecha_aprobacion]],"",0)</f>
        <v>#NAME?</v>
      </c>
      <c r="S172" s="92">
        <f>SUMIF(DISPONIBILIDADES_2025[[#All],[consecutivo]],Contrato[[#This Row],[CDP]],DISPONIBILIDADES_2025[[#All],[valor_total_rubro]])</f>
        <v>40747479</v>
      </c>
      <c r="T172" s="118" t="e" cm="1">
        <f t="array" aca="1" ref="T172" ca="1">_xlfn.XLOOKUP(Contrato[[#This Row],[CONTRATO]]&amp;Contrato[[#This Row],[CDP]],Corr_Contr_CDP[[#All],[CONTRATO-CDP]],Corr_Contr_CDP[[#All],[CRP]],_xlfn.XLOOKUP(Contrato[[#This Row],[CDP]],COMPROMISOS_2025[[#All],[disponibilidad]],COMPROMISOS_2025[[#All],[consecutivo]],"",0),0)</f>
        <v>#NAME?</v>
      </c>
      <c r="U172" s="117" t="e" cm="1">
        <f t="array" aca="1" ref="U172" ca="1">+_xlfn.XLOOKUP(Contrato[[#This Row],[RCP]],COMPROMISOS_2025[[#All],[consecutivo]],COMPROMISOS_2025[[#All],[fecha_aprobacion]],"",0)</f>
        <v>#NAME?</v>
      </c>
      <c r="V172" s="93">
        <f ca="1">SUMIF(COMPROMISOS_2025[[#All],[consecutivo]],Contrato[[#This Row],[RCP]],COMPROMISOS_2025[[#All],[valor_total]])</f>
        <v>0</v>
      </c>
      <c r="W172" s="169">
        <v>45708</v>
      </c>
      <c r="X172" s="243" t="s">
        <v>901</v>
      </c>
      <c r="Y172" s="397">
        <v>45709</v>
      </c>
      <c r="Z172" s="161">
        <v>46005</v>
      </c>
      <c r="AA172" s="311" t="s">
        <v>1143</v>
      </c>
      <c r="AB172" s="119" t="s">
        <v>1127</v>
      </c>
      <c r="AC172" s="298"/>
      <c r="AD172" s="279">
        <v>202000006291</v>
      </c>
      <c r="AE172" s="38" t="s">
        <v>904</v>
      </c>
      <c r="AF172" s="120" t="str">
        <f>TEXT(LEFT(Contrato[[#This Row],[CONTRATO]],3),"0")</f>
        <v>166</v>
      </c>
      <c r="AG172" s="120" t="str">
        <f>IF(LEN(Contrato[[#This Row],[Contrato2]])=3,Contrato[[#This Row],[Contrato2]],TEXT(Contrato[[#This Row],[Contrato2]],"000"))</f>
        <v>166</v>
      </c>
      <c r="AH172" s="90">
        <f ca="1">IFERROR(_xlfn.DAYS(Contrato[[#This Row],[Fecha Proyectada liquidación]],TODAY())/30,"")</f>
        <v>11.4</v>
      </c>
      <c r="AI172" s="121">
        <f>+Contrato[[#This Row],[FECHA TERMINACIÓN ]]+120</f>
        <v>46125</v>
      </c>
      <c r="AJ172" s="89"/>
      <c r="AK172" s="91" t="str">
        <f ca="1">IF(Contrato[[#This Row],[FECHA TERMINACIÓN ]]&lt;TODAY(), "Terminado",IF(ISNUMBER(Contrato[[#This Row],[Fecha Real de liquiidación ]]),"Liquidado",IF(Contrato[[#This Row],[FECHA TERMINACIÓN ]]&gt;=TODAY(),"En ejecución","")))</f>
        <v>En ejecución</v>
      </c>
      <c r="AL172" s="107">
        <f ca="1">SUMIF(COMPROMISOS_2025[[#All],[consecutivo]],Contrato[[#This Row],[RCP]],COMPROMISOS_2025[[#All],[Total pagado]])</f>
        <v>0</v>
      </c>
      <c r="AM172" s="122">
        <f ca="1">IFERROR(Contrato[[#This Row],[Pagos]]/Contrato[[#This Row],[VALOR CONTRATO]],0)</f>
        <v>0</v>
      </c>
      <c r="AN172" s="160">
        <f ca="1">+Contrato[[#This Row],[VALOR CONTRATO]]-Contrato[[#This Row],[Pagos]]</f>
        <v>40747479</v>
      </c>
      <c r="AO172" s="111" t="e" cm="1">
        <f t="array" aca="1" ref="AO172" ca="1">_xlfn.XLOOKUP(Contrato[[#This Row],[DOCUMENTO ]],PERSONAL_ACTIVO_2025[[#All],[DOCUMENTO]],PERSONAL_ACTIVO_2025[[#All],[email]],0,0)</f>
        <v>#NAME?</v>
      </c>
      <c r="AP172" s="111" t="e" cm="1">
        <f t="array" aca="1" ref="AP172" ca="1">_xlfn.XLOOKUP(Contrato[[#This Row],[DOCUMENTO]],PERSONAL_ACTIVO_2025[[#All],[DOCUMENTO]],PERSONAL_ACTIVO_2025[[#All],[email]],0,0)</f>
        <v>#NAME?</v>
      </c>
      <c r="AQ172" s="111" cm="1">
        <f t="array" aca="1" ref="AQ172" ca="1">IF(ISBLANK(Contrato[[#This Row],[DEPENDENCIA ]]),0,IFERROR(_xlfn.XLOOKUP(Contrato[[#This Row],[DEPENDENCIA ]],#REF!,#REF!,0,0),0))</f>
        <v>0</v>
      </c>
      <c r="AR172" s="553">
        <f ca="1">+_xlfn.DAYS(Contrato[[#This Row],[FECHA TERMINACIÓN ]],TODAY())</f>
        <v>222</v>
      </c>
    </row>
    <row r="173" spans="1:44" s="111" customFormat="1" ht="36" customHeight="1" x14ac:dyDescent="0.25">
      <c r="A173" s="38">
        <v>370</v>
      </c>
      <c r="B173" s="226">
        <v>167</v>
      </c>
      <c r="C173" s="88" t="s">
        <v>568</v>
      </c>
      <c r="D173" s="192" t="s">
        <v>911</v>
      </c>
      <c r="E173" s="193" t="s">
        <v>112</v>
      </c>
      <c r="F173" s="194" t="s">
        <v>113</v>
      </c>
      <c r="G173" s="195" t="s">
        <v>1227</v>
      </c>
      <c r="H173" s="167">
        <v>1042767191</v>
      </c>
      <c r="I173" s="292">
        <v>2708734</v>
      </c>
      <c r="J173" s="290">
        <v>26545593</v>
      </c>
      <c r="K173" s="158" t="s">
        <v>41</v>
      </c>
      <c r="L173" s="196" t="s">
        <v>1087</v>
      </c>
      <c r="M173" s="114" t="s">
        <v>939</v>
      </c>
      <c r="N173" s="113" t="e" cm="1">
        <f t="array" aca="1" ref="N173" ca="1">_xlfn.XLOOKUP(Contrato[[#This Row],[SUPERVISOR TITULAR]],PERSONAL_ACTIVO_2025[[#All],[NOMBRES Y APELLIDOS]],PERSONAL_ACTIVO_2025[[#All],[DOCUMENTO]],"",0)</f>
        <v>#NAME?</v>
      </c>
      <c r="O173" s="114" t="s">
        <v>943</v>
      </c>
      <c r="P173" s="115" t="e" cm="1">
        <f t="array" aca="1" ref="P173" ca="1">_xlfn.XLOOKUP(Contrato[[#This Row],[SUPERVISOR SUPLENTE ]],PERSONAL_ACTIVO_2025[[#All],[NOMBRES Y APELLIDOS]],PERSONAL_ACTIVO_2025[[#All],[DOCUMENTO]],"",0)</f>
        <v>#NAME?</v>
      </c>
      <c r="Q173" s="116">
        <v>204</v>
      </c>
      <c r="R173" s="137" t="e" cm="1">
        <f t="array" aca="1" ref="R173" ca="1">_xlfn.XLOOKUP(Contrato[[#This Row],[CDP]],DISPONIBILIDADES_2025[[#All],[consecutivo]],DISPONIBILIDADES_2025[[#All],[fecha_aprobacion]],"",0)</f>
        <v>#NAME?</v>
      </c>
      <c r="S173" s="92">
        <f>SUMIF(DISPONIBILIDADES_2025[[#All],[consecutivo]],Contrato[[#This Row],[CDP]],DISPONIBILIDADES_2025[[#All],[valor_total_rubro]])</f>
        <v>26545593</v>
      </c>
      <c r="T173" s="118" t="e" cm="1">
        <f t="array" aca="1" ref="T173" ca="1">_xlfn.XLOOKUP(Contrato[[#This Row],[CONTRATO]]&amp;Contrato[[#This Row],[CDP]],Corr_Contr_CDP[[#All],[CONTRATO-CDP]],Corr_Contr_CDP[[#All],[CRP]],_xlfn.XLOOKUP(Contrato[[#This Row],[CDP]],COMPROMISOS_2025[[#All],[disponibilidad]],COMPROMISOS_2025[[#All],[consecutivo]],"",0),0)</f>
        <v>#NAME?</v>
      </c>
      <c r="U173" s="117" t="e" cm="1">
        <f t="array" aca="1" ref="U173" ca="1">+_xlfn.XLOOKUP(Contrato[[#This Row],[RCP]],COMPROMISOS_2025[[#All],[consecutivo]],COMPROMISOS_2025[[#All],[fecha_aprobacion]],"",0)</f>
        <v>#NAME?</v>
      </c>
      <c r="V173" s="93">
        <f ca="1">SUMIF(COMPROMISOS_2025[[#All],[consecutivo]],Contrato[[#This Row],[RCP]],COMPROMISOS_2025[[#All],[valor_total]])</f>
        <v>0</v>
      </c>
      <c r="W173" s="169">
        <v>45708</v>
      </c>
      <c r="X173" s="243" t="s">
        <v>901</v>
      </c>
      <c r="Y173" s="397">
        <v>45709</v>
      </c>
      <c r="Z173" s="161">
        <v>46005</v>
      </c>
      <c r="AA173" s="311" t="s">
        <v>1143</v>
      </c>
      <c r="AB173" s="119" t="s">
        <v>1127</v>
      </c>
      <c r="AC173" s="298"/>
      <c r="AD173" s="549">
        <v>202000006293</v>
      </c>
      <c r="AE173" s="38" t="s">
        <v>904</v>
      </c>
      <c r="AF173" s="120" t="str">
        <f>TEXT(LEFT(Contrato[[#This Row],[CONTRATO]],3),"0")</f>
        <v>167</v>
      </c>
      <c r="AG173" s="120" t="str">
        <f>IF(LEN(Contrato[[#This Row],[Contrato2]])=3,Contrato[[#This Row],[Contrato2]],TEXT(Contrato[[#This Row],[Contrato2]],"000"))</f>
        <v>167</v>
      </c>
      <c r="AH173" s="90">
        <f ca="1">IFERROR(_xlfn.DAYS(Contrato[[#This Row],[Fecha Proyectada liquidación]],TODAY())/30,"")</f>
        <v>11.4</v>
      </c>
      <c r="AI173" s="121">
        <f>+Contrato[[#This Row],[FECHA TERMINACIÓN ]]+120</f>
        <v>46125</v>
      </c>
      <c r="AJ173" s="89"/>
      <c r="AK173" s="91" t="str">
        <f ca="1">IF(Contrato[[#This Row],[FECHA TERMINACIÓN ]]&lt;TODAY(), "Terminado",IF(ISNUMBER(Contrato[[#This Row],[Fecha Real de liquiidación ]]),"Liquidado",IF(Contrato[[#This Row],[FECHA TERMINACIÓN ]]&gt;=TODAY(),"En ejecución","")))</f>
        <v>En ejecución</v>
      </c>
      <c r="AL173" s="107">
        <f ca="1">SUMIF(COMPROMISOS_2025[[#All],[consecutivo]],Contrato[[#This Row],[RCP]],COMPROMISOS_2025[[#All],[Total pagado]])</f>
        <v>0</v>
      </c>
      <c r="AM173" s="122">
        <f ca="1">IFERROR(Contrato[[#This Row],[Pagos]]/Contrato[[#This Row],[VALOR CONTRATO]],0)</f>
        <v>0</v>
      </c>
      <c r="AN173" s="160">
        <f ca="1">+Contrato[[#This Row],[VALOR CONTRATO]]-Contrato[[#This Row],[Pagos]]</f>
        <v>26545593</v>
      </c>
      <c r="AO173" s="111" t="e" cm="1">
        <f t="array" aca="1" ref="AO173" ca="1">_xlfn.XLOOKUP(Contrato[[#This Row],[DOCUMENTO ]],PERSONAL_ACTIVO_2025[[#All],[DOCUMENTO]],PERSONAL_ACTIVO_2025[[#All],[email]],0,0)</f>
        <v>#NAME?</v>
      </c>
      <c r="AP173" s="111" t="e" cm="1">
        <f t="array" aca="1" ref="AP173" ca="1">_xlfn.XLOOKUP(Contrato[[#This Row],[DOCUMENTO]],PERSONAL_ACTIVO_2025[[#All],[DOCUMENTO]],PERSONAL_ACTIVO_2025[[#All],[email]],0,0)</f>
        <v>#NAME?</v>
      </c>
      <c r="AQ173" s="111" cm="1">
        <f t="array" aca="1" ref="AQ173" ca="1">IF(ISBLANK(Contrato[[#This Row],[DEPENDENCIA ]]),0,IFERROR(_xlfn.XLOOKUP(Contrato[[#This Row],[DEPENDENCIA ]],#REF!,#REF!,0,0),0))</f>
        <v>0</v>
      </c>
      <c r="AR173" s="553">
        <f ca="1">+_xlfn.DAYS(Contrato[[#This Row],[FECHA TERMINACIÓN ]],TODAY())</f>
        <v>222</v>
      </c>
    </row>
    <row r="174" spans="1:44" s="111" customFormat="1" ht="36" customHeight="1" x14ac:dyDescent="0.25">
      <c r="A174" s="38">
        <v>373</v>
      </c>
      <c r="B174" s="226">
        <v>168</v>
      </c>
      <c r="C174" s="88" t="s">
        <v>571</v>
      </c>
      <c r="D174" s="192" t="s">
        <v>911</v>
      </c>
      <c r="E174" s="193" t="s">
        <v>112</v>
      </c>
      <c r="F174" s="194" t="s">
        <v>113</v>
      </c>
      <c r="G174" s="195" t="s">
        <v>1228</v>
      </c>
      <c r="H174" s="167">
        <v>1017257043</v>
      </c>
      <c r="I174" s="292">
        <v>2708734</v>
      </c>
      <c r="J174" s="290">
        <v>26545593</v>
      </c>
      <c r="K174" s="158" t="s">
        <v>41</v>
      </c>
      <c r="L174" s="196" t="s">
        <v>1087</v>
      </c>
      <c r="M174" s="114" t="s">
        <v>939</v>
      </c>
      <c r="N174" s="113" t="e" cm="1">
        <f t="array" aca="1" ref="N174" ca="1">_xlfn.XLOOKUP(Contrato[[#This Row],[SUPERVISOR TITULAR]],PERSONAL_ACTIVO_2025[[#All],[NOMBRES Y APELLIDOS]],PERSONAL_ACTIVO_2025[[#All],[DOCUMENTO]],"",0)</f>
        <v>#NAME?</v>
      </c>
      <c r="O174" s="114" t="s">
        <v>943</v>
      </c>
      <c r="P174" s="115" t="e" cm="1">
        <f t="array" aca="1" ref="P174" ca="1">_xlfn.XLOOKUP(Contrato[[#This Row],[SUPERVISOR SUPLENTE ]],PERSONAL_ACTIVO_2025[[#All],[NOMBRES Y APELLIDOS]],PERSONAL_ACTIVO_2025[[#All],[DOCUMENTO]],"",0)</f>
        <v>#NAME?</v>
      </c>
      <c r="Q174" s="116">
        <v>206</v>
      </c>
      <c r="R174" s="137" t="e" cm="1">
        <f t="array" aca="1" ref="R174" ca="1">_xlfn.XLOOKUP(Contrato[[#This Row],[CDP]],DISPONIBILIDADES_2025[[#All],[consecutivo]],DISPONIBILIDADES_2025[[#All],[fecha_aprobacion]],"",0)</f>
        <v>#NAME?</v>
      </c>
      <c r="S174" s="92">
        <f>SUMIF(DISPONIBILIDADES_2025[[#All],[consecutivo]],Contrato[[#This Row],[CDP]],DISPONIBILIDADES_2025[[#All],[valor_total_rubro]])</f>
        <v>26545593</v>
      </c>
      <c r="T174" s="118" t="e" cm="1">
        <f t="array" aca="1" ref="T174" ca="1">_xlfn.XLOOKUP(Contrato[[#This Row],[CONTRATO]]&amp;Contrato[[#This Row],[CDP]],Corr_Contr_CDP[[#All],[CONTRATO-CDP]],Corr_Contr_CDP[[#All],[CRP]],_xlfn.XLOOKUP(Contrato[[#This Row],[CDP]],COMPROMISOS_2025[[#All],[disponibilidad]],COMPROMISOS_2025[[#All],[consecutivo]],"",0),0)</f>
        <v>#NAME?</v>
      </c>
      <c r="U174" s="117" t="e" cm="1">
        <f t="array" aca="1" ref="U174" ca="1">+_xlfn.XLOOKUP(Contrato[[#This Row],[RCP]],COMPROMISOS_2025[[#All],[consecutivo]],COMPROMISOS_2025[[#All],[fecha_aprobacion]],"",0)</f>
        <v>#NAME?</v>
      </c>
      <c r="V174" s="93">
        <f ca="1">SUMIF(COMPROMISOS_2025[[#All],[consecutivo]],Contrato[[#This Row],[RCP]],COMPROMISOS_2025[[#All],[valor_total]])</f>
        <v>0</v>
      </c>
      <c r="W174" s="169">
        <v>45708</v>
      </c>
      <c r="X174" s="243" t="s">
        <v>901</v>
      </c>
      <c r="Y174" s="397">
        <v>45709</v>
      </c>
      <c r="Z174" s="161">
        <v>46005</v>
      </c>
      <c r="AA174" s="311" t="s">
        <v>1143</v>
      </c>
      <c r="AB174" s="119" t="s">
        <v>1127</v>
      </c>
      <c r="AC174" s="298"/>
      <c r="AD174" s="279">
        <v>202000006294</v>
      </c>
      <c r="AE174" s="38" t="s">
        <v>904</v>
      </c>
      <c r="AF174" s="120" t="str">
        <f>TEXT(LEFT(Contrato[[#This Row],[CONTRATO]],3),"0")</f>
        <v>168</v>
      </c>
      <c r="AG174" s="120" t="str">
        <f>IF(LEN(Contrato[[#This Row],[Contrato2]])=3,Contrato[[#This Row],[Contrato2]],TEXT(Contrato[[#This Row],[Contrato2]],"000"))</f>
        <v>168</v>
      </c>
      <c r="AH174" s="90">
        <f ca="1">IFERROR(_xlfn.DAYS(Contrato[[#This Row],[Fecha Proyectada liquidación]],TODAY())/30,"")</f>
        <v>11.4</v>
      </c>
      <c r="AI174" s="121">
        <f>+Contrato[[#This Row],[FECHA TERMINACIÓN ]]+120</f>
        <v>46125</v>
      </c>
      <c r="AJ174" s="89"/>
      <c r="AK174" s="91" t="str">
        <f ca="1">IF(Contrato[[#This Row],[FECHA TERMINACIÓN ]]&lt;TODAY(), "Terminado",IF(ISNUMBER(Contrato[[#This Row],[Fecha Real de liquiidación ]]),"Liquidado",IF(Contrato[[#This Row],[FECHA TERMINACIÓN ]]&gt;=TODAY(),"En ejecución","")))</f>
        <v>En ejecución</v>
      </c>
      <c r="AL174" s="107">
        <f ca="1">SUMIF(COMPROMISOS_2025[[#All],[consecutivo]],Contrato[[#This Row],[RCP]],COMPROMISOS_2025[[#All],[Total pagado]])</f>
        <v>0</v>
      </c>
      <c r="AM174" s="122">
        <f ca="1">IFERROR(Contrato[[#This Row],[Pagos]]/Contrato[[#This Row],[VALOR CONTRATO]],0)</f>
        <v>0</v>
      </c>
      <c r="AN174" s="160">
        <f ca="1">+Contrato[[#This Row],[VALOR CONTRATO]]-Contrato[[#This Row],[Pagos]]</f>
        <v>26545593</v>
      </c>
      <c r="AO174" s="111" t="e" cm="1">
        <f t="array" aca="1" ref="AO174" ca="1">_xlfn.XLOOKUP(Contrato[[#This Row],[DOCUMENTO ]],PERSONAL_ACTIVO_2025[[#All],[DOCUMENTO]],PERSONAL_ACTIVO_2025[[#All],[email]],0,0)</f>
        <v>#NAME?</v>
      </c>
      <c r="AP174" s="111" t="e" cm="1">
        <f t="array" aca="1" ref="AP174" ca="1">_xlfn.XLOOKUP(Contrato[[#This Row],[DOCUMENTO]],PERSONAL_ACTIVO_2025[[#All],[DOCUMENTO]],PERSONAL_ACTIVO_2025[[#All],[email]],0,0)</f>
        <v>#NAME?</v>
      </c>
      <c r="AQ174" s="111" cm="1">
        <f t="array" aca="1" ref="AQ174" ca="1">IF(ISBLANK(Contrato[[#This Row],[DEPENDENCIA ]]),0,IFERROR(_xlfn.XLOOKUP(Contrato[[#This Row],[DEPENDENCIA ]],#REF!,#REF!,0,0),0))</f>
        <v>0</v>
      </c>
      <c r="AR174" s="553">
        <f ca="1">+_xlfn.DAYS(Contrato[[#This Row],[FECHA TERMINACIÓN ]],TODAY())</f>
        <v>222</v>
      </c>
    </row>
    <row r="175" spans="1:44" s="111" customFormat="1" ht="36" customHeight="1" x14ac:dyDescent="0.25">
      <c r="A175" s="38">
        <v>374</v>
      </c>
      <c r="B175" s="226">
        <v>169</v>
      </c>
      <c r="C175" s="88" t="s">
        <v>572</v>
      </c>
      <c r="D175" s="192" t="s">
        <v>911</v>
      </c>
      <c r="E175" s="193" t="s">
        <v>112</v>
      </c>
      <c r="F175" s="194" t="s">
        <v>113</v>
      </c>
      <c r="G175" s="195" t="s">
        <v>1229</v>
      </c>
      <c r="H175" s="167">
        <v>1017215382</v>
      </c>
      <c r="I175" s="292">
        <v>5164201</v>
      </c>
      <c r="J175" s="290">
        <v>50609170</v>
      </c>
      <c r="K175" s="158" t="s">
        <v>41</v>
      </c>
      <c r="L175" s="196" t="s">
        <v>1087</v>
      </c>
      <c r="M175" s="114" t="s">
        <v>939</v>
      </c>
      <c r="N175" s="113" t="e" cm="1">
        <f t="array" aca="1" ref="N175" ca="1">_xlfn.XLOOKUP(Contrato[[#This Row],[SUPERVISOR TITULAR]],PERSONAL_ACTIVO_2025[[#All],[NOMBRES Y APELLIDOS]],PERSONAL_ACTIVO_2025[[#All],[DOCUMENTO]],"",0)</f>
        <v>#NAME?</v>
      </c>
      <c r="O175" s="114" t="s">
        <v>943</v>
      </c>
      <c r="P175" s="115" t="e" cm="1">
        <f t="array" aca="1" ref="P175" ca="1">_xlfn.XLOOKUP(Contrato[[#This Row],[SUPERVISOR SUPLENTE ]],PERSONAL_ACTIVO_2025[[#All],[NOMBRES Y APELLIDOS]],PERSONAL_ACTIVO_2025[[#All],[DOCUMENTO]],"",0)</f>
        <v>#NAME?</v>
      </c>
      <c r="Q175" s="116">
        <v>207</v>
      </c>
      <c r="R175" s="137" t="e" cm="1">
        <f t="array" aca="1" ref="R175" ca="1">_xlfn.XLOOKUP(Contrato[[#This Row],[CDP]],DISPONIBILIDADES_2025[[#All],[consecutivo]],DISPONIBILIDADES_2025[[#All],[fecha_aprobacion]],"",0)</f>
        <v>#NAME?</v>
      </c>
      <c r="S175" s="92">
        <f>SUMIF(DISPONIBILIDADES_2025[[#All],[consecutivo]],Contrato[[#This Row],[CDP]],DISPONIBILIDADES_2025[[#All],[valor_total_rubro]])</f>
        <v>50609170</v>
      </c>
      <c r="T175" s="118" t="e" cm="1">
        <f t="array" aca="1" ref="T175" ca="1">_xlfn.XLOOKUP(Contrato[[#This Row],[CONTRATO]]&amp;Contrato[[#This Row],[CDP]],Corr_Contr_CDP[[#All],[CONTRATO-CDP]],Corr_Contr_CDP[[#All],[CRP]],_xlfn.XLOOKUP(Contrato[[#This Row],[CDP]],COMPROMISOS_2025[[#All],[disponibilidad]],COMPROMISOS_2025[[#All],[consecutivo]],"",0),0)</f>
        <v>#NAME?</v>
      </c>
      <c r="U175" s="117" t="e" cm="1">
        <f t="array" aca="1" ref="U175" ca="1">+_xlfn.XLOOKUP(Contrato[[#This Row],[RCP]],COMPROMISOS_2025[[#All],[consecutivo]],COMPROMISOS_2025[[#All],[fecha_aprobacion]],"",0)</f>
        <v>#NAME?</v>
      </c>
      <c r="V175" s="93">
        <f ca="1">SUMIF(COMPROMISOS_2025[[#All],[consecutivo]],Contrato[[#This Row],[RCP]],COMPROMISOS_2025[[#All],[valor_total]])</f>
        <v>0</v>
      </c>
      <c r="W175" s="169">
        <v>45708</v>
      </c>
      <c r="X175" s="243" t="s">
        <v>901</v>
      </c>
      <c r="Y175" s="397">
        <v>45709</v>
      </c>
      <c r="Z175" s="161">
        <v>46005</v>
      </c>
      <c r="AA175" s="311" t="s">
        <v>1130</v>
      </c>
      <c r="AB175" s="119" t="s">
        <v>1127</v>
      </c>
      <c r="AC175" s="298"/>
      <c r="AD175" s="279">
        <v>202000006296</v>
      </c>
      <c r="AE175" s="38" t="s">
        <v>904</v>
      </c>
      <c r="AF175" s="120" t="str">
        <f>TEXT(LEFT(Contrato[[#This Row],[CONTRATO]],3),"0")</f>
        <v>169</v>
      </c>
      <c r="AG175" s="120" t="str">
        <f>IF(LEN(Contrato[[#This Row],[Contrato2]])=3,Contrato[[#This Row],[Contrato2]],TEXT(Contrato[[#This Row],[Contrato2]],"000"))</f>
        <v>169</v>
      </c>
      <c r="AH175" s="90">
        <f ca="1">IFERROR(_xlfn.DAYS(Contrato[[#This Row],[Fecha Proyectada liquidación]],TODAY())/30,"")</f>
        <v>11.4</v>
      </c>
      <c r="AI175" s="121">
        <f>+Contrato[[#This Row],[FECHA TERMINACIÓN ]]+120</f>
        <v>46125</v>
      </c>
      <c r="AJ175" s="89"/>
      <c r="AK175" s="91" t="str">
        <f ca="1">IF(Contrato[[#This Row],[FECHA TERMINACIÓN ]]&lt;TODAY(), "Terminado",IF(ISNUMBER(Contrato[[#This Row],[Fecha Real de liquiidación ]]),"Liquidado",IF(Contrato[[#This Row],[FECHA TERMINACIÓN ]]&gt;=TODAY(),"En ejecución","")))</f>
        <v>En ejecución</v>
      </c>
      <c r="AL175" s="107">
        <f ca="1">SUMIF(COMPROMISOS_2025[[#All],[consecutivo]],Contrato[[#This Row],[RCP]],COMPROMISOS_2025[[#All],[Total pagado]])</f>
        <v>0</v>
      </c>
      <c r="AM175" s="122">
        <f ca="1">IFERROR(Contrato[[#This Row],[Pagos]]/Contrato[[#This Row],[VALOR CONTRATO]],0)</f>
        <v>0</v>
      </c>
      <c r="AN175" s="160">
        <f ca="1">+Contrato[[#This Row],[VALOR CONTRATO]]-Contrato[[#This Row],[Pagos]]</f>
        <v>50609170</v>
      </c>
      <c r="AO175" s="111" t="e" cm="1">
        <f t="array" aca="1" ref="AO175" ca="1">_xlfn.XLOOKUP(Contrato[[#This Row],[DOCUMENTO ]],PERSONAL_ACTIVO_2025[[#All],[DOCUMENTO]],PERSONAL_ACTIVO_2025[[#All],[email]],0,0)</f>
        <v>#NAME?</v>
      </c>
      <c r="AP175" s="111" t="e" cm="1">
        <f t="array" aca="1" ref="AP175" ca="1">_xlfn.XLOOKUP(Contrato[[#This Row],[DOCUMENTO]],PERSONAL_ACTIVO_2025[[#All],[DOCUMENTO]],PERSONAL_ACTIVO_2025[[#All],[email]],0,0)</f>
        <v>#NAME?</v>
      </c>
      <c r="AQ175" s="111" cm="1">
        <f t="array" aca="1" ref="AQ175" ca="1">IF(ISBLANK(Contrato[[#This Row],[DEPENDENCIA ]]),0,IFERROR(_xlfn.XLOOKUP(Contrato[[#This Row],[DEPENDENCIA ]],#REF!,#REF!,0,0),0))</f>
        <v>0</v>
      </c>
      <c r="AR175" s="553">
        <f ca="1">+_xlfn.DAYS(Contrato[[#This Row],[FECHA TERMINACIÓN ]],TODAY())</f>
        <v>222</v>
      </c>
    </row>
    <row r="176" spans="1:44" s="111" customFormat="1" ht="36" customHeight="1" x14ac:dyDescent="0.25">
      <c r="A176" s="38">
        <v>375</v>
      </c>
      <c r="B176" s="226">
        <v>170</v>
      </c>
      <c r="C176" s="88" t="s">
        <v>573</v>
      </c>
      <c r="D176" s="192" t="s">
        <v>911</v>
      </c>
      <c r="E176" s="193" t="s">
        <v>112</v>
      </c>
      <c r="F176" s="194" t="s">
        <v>113</v>
      </c>
      <c r="G176" s="195" t="s">
        <v>1230</v>
      </c>
      <c r="H176" s="167">
        <v>98630846</v>
      </c>
      <c r="I176" s="292">
        <v>5164201</v>
      </c>
      <c r="J176" s="290">
        <v>50609170</v>
      </c>
      <c r="K176" s="158" t="s">
        <v>41</v>
      </c>
      <c r="L176" s="196" t="s">
        <v>1087</v>
      </c>
      <c r="M176" s="114" t="s">
        <v>939</v>
      </c>
      <c r="N176" s="113" t="e" cm="1">
        <f t="array" aca="1" ref="N176" ca="1">_xlfn.XLOOKUP(Contrato[[#This Row],[SUPERVISOR TITULAR]],PERSONAL_ACTIVO_2025[[#All],[NOMBRES Y APELLIDOS]],PERSONAL_ACTIVO_2025[[#All],[DOCUMENTO]],"",0)</f>
        <v>#NAME?</v>
      </c>
      <c r="O176" s="114" t="s">
        <v>943</v>
      </c>
      <c r="P176" s="115" t="e" cm="1">
        <f t="array" aca="1" ref="P176" ca="1">_xlfn.XLOOKUP(Contrato[[#This Row],[SUPERVISOR SUPLENTE ]],PERSONAL_ACTIVO_2025[[#All],[NOMBRES Y APELLIDOS]],PERSONAL_ACTIVO_2025[[#All],[DOCUMENTO]],"",0)</f>
        <v>#NAME?</v>
      </c>
      <c r="Q176" s="116">
        <v>208</v>
      </c>
      <c r="R176" s="137" t="e" cm="1">
        <f t="array" aca="1" ref="R176" ca="1">_xlfn.XLOOKUP(Contrato[[#This Row],[CDP]],DISPONIBILIDADES_2025[[#All],[consecutivo]],DISPONIBILIDADES_2025[[#All],[fecha_aprobacion]],"",0)</f>
        <v>#NAME?</v>
      </c>
      <c r="S176" s="92">
        <f>SUMIF(DISPONIBILIDADES_2025[[#All],[consecutivo]],Contrato[[#This Row],[CDP]],DISPONIBILIDADES_2025[[#All],[valor_total_rubro]])</f>
        <v>50609170</v>
      </c>
      <c r="T176" s="118" t="e" cm="1">
        <f t="array" aca="1" ref="T176" ca="1">_xlfn.XLOOKUP(Contrato[[#This Row],[CONTRATO]]&amp;Contrato[[#This Row],[CDP]],Corr_Contr_CDP[[#All],[CONTRATO-CDP]],Corr_Contr_CDP[[#All],[CRP]],_xlfn.XLOOKUP(Contrato[[#This Row],[CDP]],COMPROMISOS_2025[[#All],[disponibilidad]],COMPROMISOS_2025[[#All],[consecutivo]],"",0),0)</f>
        <v>#NAME?</v>
      </c>
      <c r="U176" s="117" t="e" cm="1">
        <f t="array" aca="1" ref="U176" ca="1">+_xlfn.XLOOKUP(Contrato[[#This Row],[RCP]],COMPROMISOS_2025[[#All],[consecutivo]],COMPROMISOS_2025[[#All],[fecha_aprobacion]],"",0)</f>
        <v>#NAME?</v>
      </c>
      <c r="V176" s="93">
        <f ca="1">SUMIF(COMPROMISOS_2025[[#All],[consecutivo]],Contrato[[#This Row],[RCP]],COMPROMISOS_2025[[#All],[valor_total]])</f>
        <v>0</v>
      </c>
      <c r="W176" s="169">
        <v>45708</v>
      </c>
      <c r="X176" s="243" t="s">
        <v>901</v>
      </c>
      <c r="Y176" s="397">
        <v>45709</v>
      </c>
      <c r="Z176" s="161">
        <v>46005</v>
      </c>
      <c r="AA176" s="311" t="s">
        <v>1130</v>
      </c>
      <c r="AB176" s="119" t="s">
        <v>1127</v>
      </c>
      <c r="AC176" s="298"/>
      <c r="AD176" s="550">
        <v>202000006298</v>
      </c>
      <c r="AE176" s="38" t="s">
        <v>904</v>
      </c>
      <c r="AF176" s="120" t="str">
        <f>TEXT(LEFT(Contrato[[#This Row],[CONTRATO]],3),"0")</f>
        <v>170</v>
      </c>
      <c r="AG176" s="120" t="str">
        <f>IF(LEN(Contrato[[#This Row],[Contrato2]])=3,Contrato[[#This Row],[Contrato2]],TEXT(Contrato[[#This Row],[Contrato2]],"000"))</f>
        <v>170</v>
      </c>
      <c r="AH176" s="90">
        <f ca="1">IFERROR(_xlfn.DAYS(Contrato[[#This Row],[Fecha Proyectada liquidación]],TODAY())/30,"")</f>
        <v>11.4</v>
      </c>
      <c r="AI176" s="121">
        <f>+Contrato[[#This Row],[FECHA TERMINACIÓN ]]+120</f>
        <v>46125</v>
      </c>
      <c r="AJ176" s="89"/>
      <c r="AK176" s="91" t="str">
        <f ca="1">IF(Contrato[[#This Row],[FECHA TERMINACIÓN ]]&lt;TODAY(), "Terminado",IF(ISNUMBER(Contrato[[#This Row],[Fecha Real de liquiidación ]]),"Liquidado",IF(Contrato[[#This Row],[FECHA TERMINACIÓN ]]&gt;=TODAY(),"En ejecución","")))</f>
        <v>En ejecución</v>
      </c>
      <c r="AL176" s="107">
        <f ca="1">SUMIF(COMPROMISOS_2025[[#All],[consecutivo]],Contrato[[#This Row],[RCP]],COMPROMISOS_2025[[#All],[Total pagado]])</f>
        <v>0</v>
      </c>
      <c r="AM176" s="122">
        <f ca="1">IFERROR(Contrato[[#This Row],[Pagos]]/Contrato[[#This Row],[VALOR CONTRATO]],0)</f>
        <v>0</v>
      </c>
      <c r="AN176" s="160">
        <f ca="1">+Contrato[[#This Row],[VALOR CONTRATO]]-Contrato[[#This Row],[Pagos]]</f>
        <v>50609170</v>
      </c>
      <c r="AO176" s="111" t="e" cm="1">
        <f t="array" aca="1" ref="AO176" ca="1">_xlfn.XLOOKUP(Contrato[[#This Row],[DOCUMENTO ]],PERSONAL_ACTIVO_2025[[#All],[DOCUMENTO]],PERSONAL_ACTIVO_2025[[#All],[email]],0,0)</f>
        <v>#NAME?</v>
      </c>
      <c r="AP176" s="111" t="e" cm="1">
        <f t="array" aca="1" ref="AP176" ca="1">_xlfn.XLOOKUP(Contrato[[#This Row],[DOCUMENTO]],PERSONAL_ACTIVO_2025[[#All],[DOCUMENTO]],PERSONAL_ACTIVO_2025[[#All],[email]],0,0)</f>
        <v>#NAME?</v>
      </c>
      <c r="AQ176" s="111" cm="1">
        <f t="array" aca="1" ref="AQ176" ca="1">IF(ISBLANK(Contrato[[#This Row],[DEPENDENCIA ]]),0,IFERROR(_xlfn.XLOOKUP(Contrato[[#This Row],[DEPENDENCIA ]],#REF!,#REF!,0,0),0))</f>
        <v>0</v>
      </c>
      <c r="AR176" s="553">
        <f ca="1">+_xlfn.DAYS(Contrato[[#This Row],[FECHA TERMINACIÓN ]],TODAY())</f>
        <v>222</v>
      </c>
    </row>
    <row r="177" spans="1:44" s="111" customFormat="1" ht="36" customHeight="1" x14ac:dyDescent="0.25">
      <c r="A177" s="38">
        <v>376</v>
      </c>
      <c r="B177" s="226">
        <v>171</v>
      </c>
      <c r="C177" s="88" t="s">
        <v>574</v>
      </c>
      <c r="D177" s="192" t="s">
        <v>911</v>
      </c>
      <c r="E177" s="193" t="s">
        <v>112</v>
      </c>
      <c r="F177" s="194" t="s">
        <v>113</v>
      </c>
      <c r="G177" s="195" t="s">
        <v>1231</v>
      </c>
      <c r="H177" s="167">
        <v>71217825</v>
      </c>
      <c r="I177" s="292">
        <v>5164201</v>
      </c>
      <c r="J177" s="290">
        <v>50609170</v>
      </c>
      <c r="K177" s="158" t="s">
        <v>41</v>
      </c>
      <c r="L177" s="196" t="s">
        <v>1087</v>
      </c>
      <c r="M177" s="114" t="s">
        <v>939</v>
      </c>
      <c r="N177" s="113" t="e" cm="1">
        <f t="array" aca="1" ref="N177" ca="1">_xlfn.XLOOKUP(Contrato[[#This Row],[SUPERVISOR TITULAR]],PERSONAL_ACTIVO_2025[[#All],[NOMBRES Y APELLIDOS]],PERSONAL_ACTIVO_2025[[#All],[DOCUMENTO]],"",0)</f>
        <v>#NAME?</v>
      </c>
      <c r="O177" s="114" t="s">
        <v>943</v>
      </c>
      <c r="P177" s="115" t="e" cm="1">
        <f t="array" aca="1" ref="P177" ca="1">_xlfn.XLOOKUP(Contrato[[#This Row],[SUPERVISOR SUPLENTE ]],PERSONAL_ACTIVO_2025[[#All],[NOMBRES Y APELLIDOS]],PERSONAL_ACTIVO_2025[[#All],[DOCUMENTO]],"",0)</f>
        <v>#NAME?</v>
      </c>
      <c r="Q177" s="116">
        <v>209</v>
      </c>
      <c r="R177" s="137" t="e" cm="1">
        <f t="array" aca="1" ref="R177" ca="1">_xlfn.XLOOKUP(Contrato[[#This Row],[CDP]],DISPONIBILIDADES_2025[[#All],[consecutivo]],DISPONIBILIDADES_2025[[#All],[fecha_aprobacion]],"",0)</f>
        <v>#NAME?</v>
      </c>
      <c r="S177" s="92">
        <f>SUMIF(DISPONIBILIDADES_2025[[#All],[consecutivo]],Contrato[[#This Row],[CDP]],DISPONIBILIDADES_2025[[#All],[valor_total_rubro]])</f>
        <v>50609170</v>
      </c>
      <c r="T177" s="118" t="e" cm="1">
        <f t="array" aca="1" ref="T177" ca="1">_xlfn.XLOOKUP(Contrato[[#This Row],[CONTRATO]]&amp;Contrato[[#This Row],[CDP]],Corr_Contr_CDP[[#All],[CONTRATO-CDP]],Corr_Contr_CDP[[#All],[CRP]],_xlfn.XLOOKUP(Contrato[[#This Row],[CDP]],COMPROMISOS_2025[[#All],[disponibilidad]],COMPROMISOS_2025[[#All],[consecutivo]],"",0),0)</f>
        <v>#NAME?</v>
      </c>
      <c r="U177" s="117" t="e" cm="1">
        <f t="array" aca="1" ref="U177" ca="1">+_xlfn.XLOOKUP(Contrato[[#This Row],[RCP]],COMPROMISOS_2025[[#All],[consecutivo]],COMPROMISOS_2025[[#All],[fecha_aprobacion]],"",0)</f>
        <v>#NAME?</v>
      </c>
      <c r="V177" s="93">
        <f ca="1">SUMIF(COMPROMISOS_2025[[#All],[consecutivo]],Contrato[[#This Row],[RCP]],COMPROMISOS_2025[[#All],[valor_total]])</f>
        <v>0</v>
      </c>
      <c r="W177" s="169">
        <v>45708</v>
      </c>
      <c r="X177" s="243" t="s">
        <v>901</v>
      </c>
      <c r="Y177" s="397">
        <v>45709</v>
      </c>
      <c r="Z177" s="161">
        <v>46005</v>
      </c>
      <c r="AA177" s="198" t="s">
        <v>1130</v>
      </c>
      <c r="AB177" s="119" t="s">
        <v>1127</v>
      </c>
      <c r="AC177" s="298"/>
      <c r="AD177" s="279">
        <v>202000006299</v>
      </c>
      <c r="AE177" s="38" t="s">
        <v>904</v>
      </c>
      <c r="AF177" s="120" t="str">
        <f>TEXT(LEFT(Contrato[[#This Row],[CONTRATO]],3),"0")</f>
        <v>171</v>
      </c>
      <c r="AG177" s="120" t="str">
        <f>IF(LEN(Contrato[[#This Row],[Contrato2]])=3,Contrato[[#This Row],[Contrato2]],TEXT(Contrato[[#This Row],[Contrato2]],"000"))</f>
        <v>171</v>
      </c>
      <c r="AH177" s="90">
        <f ca="1">IFERROR(_xlfn.DAYS(Contrato[[#This Row],[Fecha Proyectada liquidación]],TODAY())/30,"")</f>
        <v>11.4</v>
      </c>
      <c r="AI177" s="121">
        <f>+Contrato[[#This Row],[FECHA TERMINACIÓN ]]+120</f>
        <v>46125</v>
      </c>
      <c r="AJ177" s="89"/>
      <c r="AK177" s="91" t="str">
        <f ca="1">IF(Contrato[[#This Row],[FECHA TERMINACIÓN ]]&lt;TODAY(), "Terminado",IF(ISNUMBER(Contrato[[#This Row],[Fecha Real de liquiidación ]]),"Liquidado",IF(Contrato[[#This Row],[FECHA TERMINACIÓN ]]&gt;=TODAY(),"En ejecución","")))</f>
        <v>En ejecución</v>
      </c>
      <c r="AL177" s="107">
        <f ca="1">SUMIF(COMPROMISOS_2025[[#All],[consecutivo]],Contrato[[#This Row],[RCP]],COMPROMISOS_2025[[#All],[Total pagado]])</f>
        <v>0</v>
      </c>
      <c r="AM177" s="122">
        <f ca="1">IFERROR(Contrato[[#This Row],[Pagos]]/Contrato[[#This Row],[VALOR CONTRATO]],0)</f>
        <v>0</v>
      </c>
      <c r="AN177" s="160">
        <f ca="1">+Contrato[[#This Row],[VALOR CONTRATO]]-Contrato[[#This Row],[Pagos]]</f>
        <v>50609170</v>
      </c>
      <c r="AO177" s="111" t="e" cm="1">
        <f t="array" aca="1" ref="AO177" ca="1">_xlfn.XLOOKUP(Contrato[[#This Row],[DOCUMENTO ]],PERSONAL_ACTIVO_2025[[#All],[DOCUMENTO]],PERSONAL_ACTIVO_2025[[#All],[email]],0,0)</f>
        <v>#NAME?</v>
      </c>
      <c r="AP177" s="111" t="e" cm="1">
        <f t="array" aca="1" ref="AP177" ca="1">_xlfn.XLOOKUP(Contrato[[#This Row],[DOCUMENTO]],PERSONAL_ACTIVO_2025[[#All],[DOCUMENTO]],PERSONAL_ACTIVO_2025[[#All],[email]],0,0)</f>
        <v>#NAME?</v>
      </c>
      <c r="AQ177" s="111" cm="1">
        <f t="array" aca="1" ref="AQ177" ca="1">IF(ISBLANK(Contrato[[#This Row],[DEPENDENCIA ]]),0,IFERROR(_xlfn.XLOOKUP(Contrato[[#This Row],[DEPENDENCIA ]],#REF!,#REF!,0,0),0))</f>
        <v>0</v>
      </c>
      <c r="AR177" s="553">
        <f ca="1">+_xlfn.DAYS(Contrato[[#This Row],[FECHA TERMINACIÓN ]],TODAY())</f>
        <v>222</v>
      </c>
    </row>
    <row r="178" spans="1:44" s="111" customFormat="1" ht="36" customHeight="1" x14ac:dyDescent="0.25">
      <c r="A178" s="38">
        <v>377</v>
      </c>
      <c r="B178" s="226">
        <v>172</v>
      </c>
      <c r="C178" s="88" t="s">
        <v>575</v>
      </c>
      <c r="D178" s="192" t="s">
        <v>911</v>
      </c>
      <c r="E178" s="193" t="s">
        <v>112</v>
      </c>
      <c r="F178" s="194" t="s">
        <v>113</v>
      </c>
      <c r="G178" s="195" t="s">
        <v>1232</v>
      </c>
      <c r="H178" s="167">
        <v>1020418840</v>
      </c>
      <c r="I178" s="292">
        <v>5164201</v>
      </c>
      <c r="J178" s="290">
        <v>50609170</v>
      </c>
      <c r="K178" s="158" t="s">
        <v>41</v>
      </c>
      <c r="L178" s="196" t="s">
        <v>1087</v>
      </c>
      <c r="M178" s="114" t="s">
        <v>939</v>
      </c>
      <c r="N178" s="113" t="e" cm="1">
        <f t="array" aca="1" ref="N178" ca="1">_xlfn.XLOOKUP(Contrato[[#This Row],[SUPERVISOR TITULAR]],PERSONAL_ACTIVO_2025[[#All],[NOMBRES Y APELLIDOS]],PERSONAL_ACTIVO_2025[[#All],[DOCUMENTO]],"",0)</f>
        <v>#NAME?</v>
      </c>
      <c r="O178" s="114" t="s">
        <v>943</v>
      </c>
      <c r="P178" s="115" t="e" cm="1">
        <f t="array" aca="1" ref="P178" ca="1">_xlfn.XLOOKUP(Contrato[[#This Row],[SUPERVISOR SUPLENTE ]],PERSONAL_ACTIVO_2025[[#All],[NOMBRES Y APELLIDOS]],PERSONAL_ACTIVO_2025[[#All],[DOCUMENTO]],"",0)</f>
        <v>#NAME?</v>
      </c>
      <c r="Q178" s="116">
        <v>210</v>
      </c>
      <c r="R178" s="137" t="e" cm="1">
        <f t="array" aca="1" ref="R178" ca="1">_xlfn.XLOOKUP(Contrato[[#This Row],[CDP]],DISPONIBILIDADES_2025[[#All],[consecutivo]],DISPONIBILIDADES_2025[[#All],[fecha_aprobacion]],"",0)</f>
        <v>#NAME?</v>
      </c>
      <c r="S178" s="92">
        <f>SUMIF(DISPONIBILIDADES_2025[[#All],[consecutivo]],Contrato[[#This Row],[CDP]],DISPONIBILIDADES_2025[[#All],[valor_total_rubro]])</f>
        <v>50609170</v>
      </c>
      <c r="T178" s="118" t="e" cm="1">
        <f t="array" aca="1" ref="T178" ca="1">_xlfn.XLOOKUP(Contrato[[#This Row],[CONTRATO]]&amp;Contrato[[#This Row],[CDP]],Corr_Contr_CDP[[#All],[CONTRATO-CDP]],Corr_Contr_CDP[[#All],[CRP]],_xlfn.XLOOKUP(Contrato[[#This Row],[CDP]],COMPROMISOS_2025[[#All],[disponibilidad]],COMPROMISOS_2025[[#All],[consecutivo]],"",0),0)</f>
        <v>#NAME?</v>
      </c>
      <c r="U178" s="117" t="e" cm="1">
        <f t="array" aca="1" ref="U178" ca="1">+_xlfn.XLOOKUP(Contrato[[#This Row],[RCP]],COMPROMISOS_2025[[#All],[consecutivo]],COMPROMISOS_2025[[#All],[fecha_aprobacion]],"",0)</f>
        <v>#NAME?</v>
      </c>
      <c r="V178" s="93">
        <f ca="1">SUMIF(COMPROMISOS_2025[[#All],[consecutivo]],Contrato[[#This Row],[RCP]],COMPROMISOS_2025[[#All],[valor_total]])</f>
        <v>0</v>
      </c>
      <c r="W178" s="169">
        <v>45708</v>
      </c>
      <c r="X178" s="243" t="s">
        <v>901</v>
      </c>
      <c r="Y178" s="397">
        <v>45709</v>
      </c>
      <c r="Z178" s="161">
        <v>46005</v>
      </c>
      <c r="AA178" s="198" t="s">
        <v>1130</v>
      </c>
      <c r="AB178" s="119" t="s">
        <v>1127</v>
      </c>
      <c r="AC178" s="298"/>
      <c r="AD178" s="279">
        <v>202000006300</v>
      </c>
      <c r="AE178" s="38" t="s">
        <v>904</v>
      </c>
      <c r="AF178" s="120" t="str">
        <f>TEXT(LEFT(Contrato[[#This Row],[CONTRATO]],3),"0")</f>
        <v>172</v>
      </c>
      <c r="AG178" s="120" t="str">
        <f>IF(LEN(Contrato[[#This Row],[Contrato2]])=3,Contrato[[#This Row],[Contrato2]],TEXT(Contrato[[#This Row],[Contrato2]],"000"))</f>
        <v>172</v>
      </c>
      <c r="AH178" s="90">
        <f ca="1">IFERROR(_xlfn.DAYS(Contrato[[#This Row],[Fecha Proyectada liquidación]],TODAY())/30,"")</f>
        <v>11.4</v>
      </c>
      <c r="AI178" s="121">
        <f>+Contrato[[#This Row],[FECHA TERMINACIÓN ]]+120</f>
        <v>46125</v>
      </c>
      <c r="AJ178" s="89"/>
      <c r="AK178" s="91" t="str">
        <f ca="1">IF(Contrato[[#This Row],[FECHA TERMINACIÓN ]]&lt;TODAY(), "Terminado",IF(ISNUMBER(Contrato[[#This Row],[Fecha Real de liquiidación ]]),"Liquidado",IF(Contrato[[#This Row],[FECHA TERMINACIÓN ]]&gt;=TODAY(),"En ejecución","")))</f>
        <v>En ejecución</v>
      </c>
      <c r="AL178" s="107">
        <f ca="1">SUMIF(COMPROMISOS_2025[[#All],[consecutivo]],Contrato[[#This Row],[RCP]],COMPROMISOS_2025[[#All],[Total pagado]])</f>
        <v>0</v>
      </c>
      <c r="AM178" s="122">
        <f ca="1">IFERROR(Contrato[[#This Row],[Pagos]]/Contrato[[#This Row],[VALOR CONTRATO]],0)</f>
        <v>0</v>
      </c>
      <c r="AN178" s="160">
        <f ca="1">+Contrato[[#This Row],[VALOR CONTRATO]]-Contrato[[#This Row],[Pagos]]</f>
        <v>50609170</v>
      </c>
      <c r="AO178" s="111" t="e" cm="1">
        <f t="array" aca="1" ref="AO178" ca="1">_xlfn.XLOOKUP(Contrato[[#This Row],[DOCUMENTO ]],PERSONAL_ACTIVO_2025[[#All],[DOCUMENTO]],PERSONAL_ACTIVO_2025[[#All],[email]],0,0)</f>
        <v>#NAME?</v>
      </c>
      <c r="AP178" s="111" t="e" cm="1">
        <f t="array" aca="1" ref="AP178" ca="1">_xlfn.XLOOKUP(Contrato[[#This Row],[DOCUMENTO]],PERSONAL_ACTIVO_2025[[#All],[DOCUMENTO]],PERSONAL_ACTIVO_2025[[#All],[email]],0,0)</f>
        <v>#NAME?</v>
      </c>
      <c r="AQ178" s="111" cm="1">
        <f t="array" aca="1" ref="AQ178" ca="1">IF(ISBLANK(Contrato[[#This Row],[DEPENDENCIA ]]),0,IFERROR(_xlfn.XLOOKUP(Contrato[[#This Row],[DEPENDENCIA ]],#REF!,#REF!,0,0),0))</f>
        <v>0</v>
      </c>
      <c r="AR178" s="553">
        <f ca="1">+_xlfn.DAYS(Contrato[[#This Row],[FECHA TERMINACIÓN ]],TODAY())</f>
        <v>222</v>
      </c>
    </row>
    <row r="179" spans="1:44" s="111" customFormat="1" ht="36" customHeight="1" x14ac:dyDescent="0.25">
      <c r="A179" s="38">
        <v>379</v>
      </c>
      <c r="B179" s="226">
        <v>173</v>
      </c>
      <c r="C179" s="88" t="s">
        <v>577</v>
      </c>
      <c r="D179" s="192" t="s">
        <v>911</v>
      </c>
      <c r="E179" s="193" t="s">
        <v>112</v>
      </c>
      <c r="F179" s="194" t="s">
        <v>113</v>
      </c>
      <c r="G179" s="195" t="s">
        <v>1233</v>
      </c>
      <c r="H179" s="167">
        <v>6918861</v>
      </c>
      <c r="I179" s="292">
        <v>6239569</v>
      </c>
      <c r="J179" s="290">
        <v>61147776</v>
      </c>
      <c r="K179" s="158" t="s">
        <v>41</v>
      </c>
      <c r="L179" s="196" t="s">
        <v>1087</v>
      </c>
      <c r="M179" s="114" t="s">
        <v>938</v>
      </c>
      <c r="N179" s="113" t="e" cm="1">
        <f t="array" aca="1" ref="N179" ca="1">_xlfn.XLOOKUP(Contrato[[#This Row],[SUPERVISOR TITULAR]],PERSONAL_ACTIVO_2025[[#All],[NOMBRES Y APELLIDOS]],PERSONAL_ACTIVO_2025[[#All],[DOCUMENTO]],"",0)</f>
        <v>#NAME?</v>
      </c>
      <c r="O179" s="114" t="s">
        <v>1091</v>
      </c>
      <c r="P179" s="115" t="e" cm="1">
        <f t="array" aca="1" ref="P179" ca="1">_xlfn.XLOOKUP(Contrato[[#This Row],[SUPERVISOR SUPLENTE ]],PERSONAL_ACTIVO_2025[[#All],[NOMBRES Y APELLIDOS]],PERSONAL_ACTIVO_2025[[#All],[DOCUMENTO]],"",0)</f>
        <v>#NAME?</v>
      </c>
      <c r="Q179" s="116">
        <v>212</v>
      </c>
      <c r="R179" s="137" t="e" cm="1">
        <f t="array" aca="1" ref="R179" ca="1">_xlfn.XLOOKUP(Contrato[[#This Row],[CDP]],DISPONIBILIDADES_2025[[#All],[consecutivo]],DISPONIBILIDADES_2025[[#All],[fecha_aprobacion]],"",0)</f>
        <v>#NAME?</v>
      </c>
      <c r="S179" s="92">
        <f>SUMIF(DISPONIBILIDADES_2025[[#All],[consecutivo]],Contrato[[#This Row],[CDP]],DISPONIBILIDADES_2025[[#All],[valor_total_rubro]])</f>
        <v>61147776</v>
      </c>
      <c r="T179" s="118" t="e" cm="1">
        <f t="array" aca="1" ref="T179" ca="1">_xlfn.XLOOKUP(Contrato[[#This Row],[CONTRATO]]&amp;Contrato[[#This Row],[CDP]],Corr_Contr_CDP[[#All],[CONTRATO-CDP]],Corr_Contr_CDP[[#All],[CRP]],_xlfn.XLOOKUP(Contrato[[#This Row],[CDP]],COMPROMISOS_2025[[#All],[disponibilidad]],COMPROMISOS_2025[[#All],[consecutivo]],"",0),0)</f>
        <v>#NAME?</v>
      </c>
      <c r="U179" s="117" t="e" cm="1">
        <f t="array" aca="1" ref="U179" ca="1">+_xlfn.XLOOKUP(Contrato[[#This Row],[RCP]],COMPROMISOS_2025[[#All],[consecutivo]],COMPROMISOS_2025[[#All],[fecha_aprobacion]],"",0)</f>
        <v>#NAME?</v>
      </c>
      <c r="V179" s="93">
        <f ca="1">SUMIF(COMPROMISOS_2025[[#All],[consecutivo]],Contrato[[#This Row],[RCP]],COMPROMISOS_2025[[#All],[valor_total]])</f>
        <v>0</v>
      </c>
      <c r="W179" s="169">
        <v>45708</v>
      </c>
      <c r="X179" s="243" t="s">
        <v>901</v>
      </c>
      <c r="Y179" s="397">
        <v>45709</v>
      </c>
      <c r="Z179" s="161">
        <v>46005</v>
      </c>
      <c r="AA179" s="198" t="s">
        <v>1143</v>
      </c>
      <c r="AB179" s="119" t="s">
        <v>1127</v>
      </c>
      <c r="AC179" s="299"/>
      <c r="AD179" s="279">
        <v>202000006301</v>
      </c>
      <c r="AE179" s="38" t="s">
        <v>904</v>
      </c>
      <c r="AF179" s="120" t="str">
        <f>TEXT(LEFT(Contrato[[#This Row],[CONTRATO]],3),"0")</f>
        <v>173</v>
      </c>
      <c r="AG179" s="120" t="str">
        <f>IF(LEN(Contrato[[#This Row],[Contrato2]])=3,Contrato[[#This Row],[Contrato2]],TEXT(Contrato[[#This Row],[Contrato2]],"000"))</f>
        <v>173</v>
      </c>
      <c r="AH179" s="90">
        <f ca="1">IFERROR(_xlfn.DAYS(Contrato[[#This Row],[Fecha Proyectada liquidación]],TODAY())/30,"")</f>
        <v>11.4</v>
      </c>
      <c r="AI179" s="121">
        <f>+Contrato[[#This Row],[FECHA TERMINACIÓN ]]+120</f>
        <v>46125</v>
      </c>
      <c r="AJ179" s="89"/>
      <c r="AK179" s="91" t="str">
        <f ca="1">IF(Contrato[[#This Row],[FECHA TERMINACIÓN ]]&lt;TODAY(), "Terminado",IF(ISNUMBER(Contrato[[#This Row],[Fecha Real de liquiidación ]]),"Liquidado",IF(Contrato[[#This Row],[FECHA TERMINACIÓN ]]&gt;=TODAY(),"En ejecución","")))</f>
        <v>En ejecución</v>
      </c>
      <c r="AL179" s="107">
        <f ca="1">SUMIF(COMPROMISOS_2025[[#All],[consecutivo]],Contrato[[#This Row],[RCP]],COMPROMISOS_2025[[#All],[Total pagado]])</f>
        <v>0</v>
      </c>
      <c r="AM179" s="122">
        <f ca="1">IFERROR(Contrato[[#This Row],[Pagos]]/Contrato[[#This Row],[VALOR CONTRATO]],0)</f>
        <v>0</v>
      </c>
      <c r="AN179" s="160">
        <f ca="1">+Contrato[[#This Row],[VALOR CONTRATO]]-Contrato[[#This Row],[Pagos]]</f>
        <v>61147776</v>
      </c>
      <c r="AO179" s="111" t="e" cm="1">
        <f t="array" aca="1" ref="AO179" ca="1">_xlfn.XLOOKUP(Contrato[[#This Row],[DOCUMENTO ]],PERSONAL_ACTIVO_2025[[#All],[DOCUMENTO]],PERSONAL_ACTIVO_2025[[#All],[email]],0,0)</f>
        <v>#NAME?</v>
      </c>
      <c r="AP179" s="111" t="e" cm="1">
        <f t="array" aca="1" ref="AP179" ca="1">_xlfn.XLOOKUP(Contrato[[#This Row],[DOCUMENTO]],PERSONAL_ACTIVO_2025[[#All],[DOCUMENTO]],PERSONAL_ACTIVO_2025[[#All],[email]],0,0)</f>
        <v>#NAME?</v>
      </c>
      <c r="AQ179" s="111" cm="1">
        <f t="array" aca="1" ref="AQ179" ca="1">IF(ISBLANK(Contrato[[#This Row],[DEPENDENCIA ]]),0,IFERROR(_xlfn.XLOOKUP(Contrato[[#This Row],[DEPENDENCIA ]],#REF!,#REF!,0,0),0))</f>
        <v>0</v>
      </c>
      <c r="AR179" s="553">
        <f ca="1">+_xlfn.DAYS(Contrato[[#This Row],[FECHA TERMINACIÓN ]],TODAY())</f>
        <v>222</v>
      </c>
    </row>
    <row r="180" spans="1:44" s="111" customFormat="1" ht="36" customHeight="1" x14ac:dyDescent="0.25">
      <c r="A180" s="38">
        <v>380</v>
      </c>
      <c r="B180" s="226">
        <v>174</v>
      </c>
      <c r="C180" s="88" t="s">
        <v>578</v>
      </c>
      <c r="D180" s="192" t="s">
        <v>911</v>
      </c>
      <c r="E180" s="193" t="s">
        <v>112</v>
      </c>
      <c r="F180" s="194" t="s">
        <v>113</v>
      </c>
      <c r="G180" s="195" t="s">
        <v>1234</v>
      </c>
      <c r="H180" s="167">
        <v>80195539</v>
      </c>
      <c r="I180" s="292">
        <v>6239569</v>
      </c>
      <c r="J180" s="290">
        <v>61147776</v>
      </c>
      <c r="K180" s="158" t="s">
        <v>41</v>
      </c>
      <c r="L180" s="196" t="s">
        <v>1087</v>
      </c>
      <c r="M180" s="114" t="s">
        <v>938</v>
      </c>
      <c r="N180" s="113" t="e" cm="1">
        <f t="array" aca="1" ref="N180" ca="1">_xlfn.XLOOKUP(Contrato[[#This Row],[SUPERVISOR TITULAR]],PERSONAL_ACTIVO_2025[[#All],[NOMBRES Y APELLIDOS]],PERSONAL_ACTIVO_2025[[#All],[DOCUMENTO]],"",0)</f>
        <v>#NAME?</v>
      </c>
      <c r="O180" s="114" t="s">
        <v>1091</v>
      </c>
      <c r="P180" s="115" t="e" cm="1">
        <f t="array" aca="1" ref="P180" ca="1">_xlfn.XLOOKUP(Contrato[[#This Row],[SUPERVISOR SUPLENTE ]],PERSONAL_ACTIVO_2025[[#All],[NOMBRES Y APELLIDOS]],PERSONAL_ACTIVO_2025[[#All],[DOCUMENTO]],"",0)</f>
        <v>#NAME?</v>
      </c>
      <c r="Q180" s="116">
        <v>213</v>
      </c>
      <c r="R180" s="137" t="e" cm="1">
        <f t="array" aca="1" ref="R180" ca="1">_xlfn.XLOOKUP(Contrato[[#This Row],[CDP]],DISPONIBILIDADES_2025[[#All],[consecutivo]],DISPONIBILIDADES_2025[[#All],[fecha_aprobacion]],"",0)</f>
        <v>#NAME?</v>
      </c>
      <c r="S180" s="92">
        <f>SUMIF(DISPONIBILIDADES_2025[[#All],[consecutivo]],Contrato[[#This Row],[CDP]],DISPONIBILIDADES_2025[[#All],[valor_total_rubro]])</f>
        <v>61147776</v>
      </c>
      <c r="T180" s="118" t="e" cm="1">
        <f t="array" aca="1" ref="T180" ca="1">_xlfn.XLOOKUP(Contrato[[#This Row],[CONTRATO]]&amp;Contrato[[#This Row],[CDP]],Corr_Contr_CDP[[#All],[CONTRATO-CDP]],Corr_Contr_CDP[[#All],[CRP]],_xlfn.XLOOKUP(Contrato[[#This Row],[CDP]],COMPROMISOS_2025[[#All],[disponibilidad]],COMPROMISOS_2025[[#All],[consecutivo]],"",0),0)</f>
        <v>#NAME?</v>
      </c>
      <c r="U180" s="117" t="e" cm="1">
        <f t="array" aca="1" ref="U180" ca="1">+_xlfn.XLOOKUP(Contrato[[#This Row],[RCP]],COMPROMISOS_2025[[#All],[consecutivo]],COMPROMISOS_2025[[#All],[fecha_aprobacion]],"",0)</f>
        <v>#NAME?</v>
      </c>
      <c r="V180" s="93">
        <f ca="1">SUMIF(COMPROMISOS_2025[[#All],[consecutivo]],Contrato[[#This Row],[RCP]],COMPROMISOS_2025[[#All],[valor_total]])</f>
        <v>0</v>
      </c>
      <c r="W180" s="169">
        <v>45708</v>
      </c>
      <c r="X180" s="243" t="s">
        <v>901</v>
      </c>
      <c r="Y180" s="397">
        <v>45709</v>
      </c>
      <c r="Z180" s="161">
        <v>46005</v>
      </c>
      <c r="AA180" s="198" t="s">
        <v>1143</v>
      </c>
      <c r="AB180" s="119" t="s">
        <v>1127</v>
      </c>
      <c r="AC180" s="299"/>
      <c r="AD180" s="279">
        <v>202000006302</v>
      </c>
      <c r="AE180" s="38" t="s">
        <v>904</v>
      </c>
      <c r="AF180" s="120" t="str">
        <f>TEXT(LEFT(Contrato[[#This Row],[CONTRATO]],3),"0")</f>
        <v>174</v>
      </c>
      <c r="AG180" s="120" t="str">
        <f>IF(LEN(Contrato[[#This Row],[Contrato2]])=3,Contrato[[#This Row],[Contrato2]],TEXT(Contrato[[#This Row],[Contrato2]],"000"))</f>
        <v>174</v>
      </c>
      <c r="AH180" s="90">
        <f ca="1">IFERROR(_xlfn.DAYS(Contrato[[#This Row],[Fecha Proyectada liquidación]],TODAY())/30,"")</f>
        <v>11.4</v>
      </c>
      <c r="AI180" s="121">
        <f>+Contrato[[#This Row],[FECHA TERMINACIÓN ]]+120</f>
        <v>46125</v>
      </c>
      <c r="AJ180" s="89"/>
      <c r="AK180" s="91" t="str">
        <f ca="1">IF(Contrato[[#This Row],[FECHA TERMINACIÓN ]]&lt;TODAY(), "Terminado",IF(ISNUMBER(Contrato[[#This Row],[Fecha Real de liquiidación ]]),"Liquidado",IF(Contrato[[#This Row],[FECHA TERMINACIÓN ]]&gt;=TODAY(),"En ejecución","")))</f>
        <v>En ejecución</v>
      </c>
      <c r="AL180" s="107">
        <f ca="1">SUMIF(COMPROMISOS_2025[[#All],[consecutivo]],Contrato[[#This Row],[RCP]],COMPROMISOS_2025[[#All],[Total pagado]])</f>
        <v>0</v>
      </c>
      <c r="AM180" s="122">
        <f ca="1">IFERROR(Contrato[[#This Row],[Pagos]]/Contrato[[#This Row],[VALOR CONTRATO]],0)</f>
        <v>0</v>
      </c>
      <c r="AN180" s="160">
        <f ca="1">+Contrato[[#This Row],[VALOR CONTRATO]]-Contrato[[#This Row],[Pagos]]</f>
        <v>61147776</v>
      </c>
      <c r="AO180" s="111" t="e" cm="1">
        <f t="array" aca="1" ref="AO180" ca="1">_xlfn.XLOOKUP(Contrato[[#This Row],[DOCUMENTO ]],PERSONAL_ACTIVO_2025[[#All],[DOCUMENTO]],PERSONAL_ACTIVO_2025[[#All],[email]],0,0)</f>
        <v>#NAME?</v>
      </c>
      <c r="AP180" s="111" t="e" cm="1">
        <f t="array" aca="1" ref="AP180" ca="1">_xlfn.XLOOKUP(Contrato[[#This Row],[DOCUMENTO]],PERSONAL_ACTIVO_2025[[#All],[DOCUMENTO]],PERSONAL_ACTIVO_2025[[#All],[email]],0,0)</f>
        <v>#NAME?</v>
      </c>
      <c r="AQ180" s="111" cm="1">
        <f t="array" aca="1" ref="AQ180" ca="1">IF(ISBLANK(Contrato[[#This Row],[DEPENDENCIA ]]),0,IFERROR(_xlfn.XLOOKUP(Contrato[[#This Row],[DEPENDENCIA ]],#REF!,#REF!,0,0),0))</f>
        <v>0</v>
      </c>
      <c r="AR180" s="553">
        <f ca="1">+_xlfn.DAYS(Contrato[[#This Row],[FECHA TERMINACIÓN ]],TODAY())</f>
        <v>222</v>
      </c>
    </row>
    <row r="181" spans="1:44" s="111" customFormat="1" ht="36" customHeight="1" x14ac:dyDescent="0.25">
      <c r="A181" s="38">
        <v>381</v>
      </c>
      <c r="B181" s="226">
        <v>175</v>
      </c>
      <c r="C181" s="88" t="s">
        <v>579</v>
      </c>
      <c r="D181" s="192" t="s">
        <v>911</v>
      </c>
      <c r="E181" s="193" t="s">
        <v>112</v>
      </c>
      <c r="F181" s="194" t="s">
        <v>113</v>
      </c>
      <c r="G181" s="195" t="s">
        <v>1235</v>
      </c>
      <c r="H181" s="167">
        <v>1037236165</v>
      </c>
      <c r="I181" s="292">
        <v>6239569</v>
      </c>
      <c r="J181" s="290">
        <v>61147776</v>
      </c>
      <c r="K181" s="158" t="s">
        <v>41</v>
      </c>
      <c r="L181" s="196" t="s">
        <v>1087</v>
      </c>
      <c r="M181" s="114" t="s">
        <v>938</v>
      </c>
      <c r="N181" s="113" t="e" cm="1">
        <f t="array" aca="1" ref="N181" ca="1">_xlfn.XLOOKUP(Contrato[[#This Row],[SUPERVISOR TITULAR]],PERSONAL_ACTIVO_2025[[#All],[NOMBRES Y APELLIDOS]],PERSONAL_ACTIVO_2025[[#All],[DOCUMENTO]],"",0)</f>
        <v>#NAME?</v>
      </c>
      <c r="O181" s="114" t="s">
        <v>1091</v>
      </c>
      <c r="P181" s="115" t="e" cm="1">
        <f t="array" aca="1" ref="P181" ca="1">_xlfn.XLOOKUP(Contrato[[#This Row],[SUPERVISOR SUPLENTE ]],PERSONAL_ACTIVO_2025[[#All],[NOMBRES Y APELLIDOS]],PERSONAL_ACTIVO_2025[[#All],[DOCUMENTO]],"",0)</f>
        <v>#NAME?</v>
      </c>
      <c r="Q181" s="116">
        <v>214</v>
      </c>
      <c r="R181" s="137" t="e" cm="1">
        <f t="array" aca="1" ref="R181" ca="1">_xlfn.XLOOKUP(Contrato[[#This Row],[CDP]],DISPONIBILIDADES_2025[[#All],[consecutivo]],DISPONIBILIDADES_2025[[#All],[fecha_aprobacion]],"",0)</f>
        <v>#NAME?</v>
      </c>
      <c r="S181" s="92">
        <f>SUMIF(DISPONIBILIDADES_2025[[#All],[consecutivo]],Contrato[[#This Row],[CDP]],DISPONIBILIDADES_2025[[#All],[valor_total_rubro]])</f>
        <v>61147776</v>
      </c>
      <c r="T181" s="118" t="e" cm="1">
        <f t="array" aca="1" ref="T181" ca="1">_xlfn.XLOOKUP(Contrato[[#This Row],[CONTRATO]]&amp;Contrato[[#This Row],[CDP]],Corr_Contr_CDP[[#All],[CONTRATO-CDP]],Corr_Contr_CDP[[#All],[CRP]],_xlfn.XLOOKUP(Contrato[[#This Row],[CDP]],COMPROMISOS_2025[[#All],[disponibilidad]],COMPROMISOS_2025[[#All],[consecutivo]],"",0),0)</f>
        <v>#NAME?</v>
      </c>
      <c r="U181" s="117" t="e" cm="1">
        <f t="array" aca="1" ref="U181" ca="1">+_xlfn.XLOOKUP(Contrato[[#This Row],[RCP]],COMPROMISOS_2025[[#All],[consecutivo]],COMPROMISOS_2025[[#All],[fecha_aprobacion]],"",0)</f>
        <v>#NAME?</v>
      </c>
      <c r="V181" s="93">
        <f ca="1">SUMIF(COMPROMISOS_2025[[#All],[consecutivo]],Contrato[[#This Row],[RCP]],COMPROMISOS_2025[[#All],[valor_total]])</f>
        <v>0</v>
      </c>
      <c r="W181" s="169">
        <v>45708</v>
      </c>
      <c r="X181" s="243" t="s">
        <v>901</v>
      </c>
      <c r="Y181" s="397">
        <v>45709</v>
      </c>
      <c r="Z181" s="161">
        <v>46005</v>
      </c>
      <c r="AA181" s="198" t="s">
        <v>1143</v>
      </c>
      <c r="AB181" s="119" t="s">
        <v>1127</v>
      </c>
      <c r="AC181" s="299"/>
      <c r="AD181" s="279">
        <v>202000006303</v>
      </c>
      <c r="AE181" s="38" t="s">
        <v>904</v>
      </c>
      <c r="AF181" s="120" t="str">
        <f>TEXT(LEFT(Contrato[[#This Row],[CONTRATO]],3),"0")</f>
        <v>175</v>
      </c>
      <c r="AG181" s="120" t="str">
        <f>IF(LEN(Contrato[[#This Row],[Contrato2]])=3,Contrato[[#This Row],[Contrato2]],TEXT(Contrato[[#This Row],[Contrato2]],"000"))</f>
        <v>175</v>
      </c>
      <c r="AH181" s="90">
        <f ca="1">IFERROR(_xlfn.DAYS(Contrato[[#This Row],[Fecha Proyectada liquidación]],TODAY())/30,"")</f>
        <v>11.4</v>
      </c>
      <c r="AI181" s="121">
        <f>+Contrato[[#This Row],[FECHA TERMINACIÓN ]]+120</f>
        <v>46125</v>
      </c>
      <c r="AJ181" s="89"/>
      <c r="AK181" s="91" t="str">
        <f ca="1">IF(Contrato[[#This Row],[FECHA TERMINACIÓN ]]&lt;TODAY(), "Terminado",IF(ISNUMBER(Contrato[[#This Row],[Fecha Real de liquiidación ]]),"Liquidado",IF(Contrato[[#This Row],[FECHA TERMINACIÓN ]]&gt;=TODAY(),"En ejecución","")))</f>
        <v>En ejecución</v>
      </c>
      <c r="AL181" s="107">
        <f ca="1">SUMIF(COMPROMISOS_2025[[#All],[consecutivo]],Contrato[[#This Row],[RCP]],COMPROMISOS_2025[[#All],[Total pagado]])</f>
        <v>0</v>
      </c>
      <c r="AM181" s="122">
        <f ca="1">IFERROR(Contrato[[#This Row],[Pagos]]/Contrato[[#This Row],[VALOR CONTRATO]],0)</f>
        <v>0</v>
      </c>
      <c r="AN181" s="160">
        <f ca="1">+Contrato[[#This Row],[VALOR CONTRATO]]-Contrato[[#This Row],[Pagos]]</f>
        <v>61147776</v>
      </c>
      <c r="AO181" s="111" t="e" cm="1">
        <f t="array" aca="1" ref="AO181" ca="1">_xlfn.XLOOKUP(Contrato[[#This Row],[DOCUMENTO ]],PERSONAL_ACTIVO_2025[[#All],[DOCUMENTO]],PERSONAL_ACTIVO_2025[[#All],[email]],0,0)</f>
        <v>#NAME?</v>
      </c>
      <c r="AP181" s="111" t="e" cm="1">
        <f t="array" aca="1" ref="AP181" ca="1">_xlfn.XLOOKUP(Contrato[[#This Row],[DOCUMENTO]],PERSONAL_ACTIVO_2025[[#All],[DOCUMENTO]],PERSONAL_ACTIVO_2025[[#All],[email]],0,0)</f>
        <v>#NAME?</v>
      </c>
      <c r="AQ181" s="111" cm="1">
        <f t="array" aca="1" ref="AQ181" ca="1">IF(ISBLANK(Contrato[[#This Row],[DEPENDENCIA ]]),0,IFERROR(_xlfn.XLOOKUP(Contrato[[#This Row],[DEPENDENCIA ]],#REF!,#REF!,0,0),0))</f>
        <v>0</v>
      </c>
      <c r="AR181" s="553">
        <f ca="1">+_xlfn.DAYS(Contrato[[#This Row],[FECHA TERMINACIÓN ]],TODAY())</f>
        <v>222</v>
      </c>
    </row>
    <row r="182" spans="1:44" s="111" customFormat="1" ht="36" customHeight="1" x14ac:dyDescent="0.25">
      <c r="A182" s="38">
        <v>385</v>
      </c>
      <c r="B182" s="226">
        <v>176</v>
      </c>
      <c r="C182" s="88" t="s">
        <v>583</v>
      </c>
      <c r="D182" s="192" t="s">
        <v>911</v>
      </c>
      <c r="E182" s="193" t="s">
        <v>112</v>
      </c>
      <c r="F182" s="194" t="s">
        <v>113</v>
      </c>
      <c r="G182" s="195" t="s">
        <v>1236</v>
      </c>
      <c r="H182" s="167">
        <v>8163337</v>
      </c>
      <c r="I182" s="292">
        <v>6239569</v>
      </c>
      <c r="J182" s="290">
        <v>61147776</v>
      </c>
      <c r="K182" s="158" t="s">
        <v>41</v>
      </c>
      <c r="L182" s="196" t="s">
        <v>1087</v>
      </c>
      <c r="M182" s="114" t="s">
        <v>938</v>
      </c>
      <c r="N182" s="113" t="e" cm="1">
        <f t="array" aca="1" ref="N182" ca="1">_xlfn.XLOOKUP(Contrato[[#This Row],[SUPERVISOR TITULAR]],PERSONAL_ACTIVO_2025[[#All],[NOMBRES Y APELLIDOS]],PERSONAL_ACTIVO_2025[[#All],[DOCUMENTO]],"",0)</f>
        <v>#NAME?</v>
      </c>
      <c r="O182" s="114" t="s">
        <v>1091</v>
      </c>
      <c r="P182" s="115" t="e" cm="1">
        <f t="array" aca="1" ref="P182" ca="1">_xlfn.XLOOKUP(Contrato[[#This Row],[SUPERVISOR SUPLENTE ]],PERSONAL_ACTIVO_2025[[#All],[NOMBRES Y APELLIDOS]],PERSONAL_ACTIVO_2025[[#All],[DOCUMENTO]],"",0)</f>
        <v>#NAME?</v>
      </c>
      <c r="Q182" s="116">
        <v>218</v>
      </c>
      <c r="R182" s="137" t="e" cm="1">
        <f t="array" aca="1" ref="R182" ca="1">_xlfn.XLOOKUP(Contrato[[#This Row],[CDP]],DISPONIBILIDADES_2025[[#All],[consecutivo]],DISPONIBILIDADES_2025[[#All],[fecha_aprobacion]],"",0)</f>
        <v>#NAME?</v>
      </c>
      <c r="S182" s="92">
        <f>SUMIF(DISPONIBILIDADES_2025[[#All],[consecutivo]],Contrato[[#This Row],[CDP]],DISPONIBILIDADES_2025[[#All],[valor_total_rubro]])</f>
        <v>61147776</v>
      </c>
      <c r="T182" s="118" t="e" cm="1">
        <f t="array" aca="1" ref="T182" ca="1">_xlfn.XLOOKUP(Contrato[[#This Row],[CONTRATO]]&amp;Contrato[[#This Row],[CDP]],Corr_Contr_CDP[[#All],[CONTRATO-CDP]],Corr_Contr_CDP[[#All],[CRP]],_xlfn.XLOOKUP(Contrato[[#This Row],[CDP]],COMPROMISOS_2025[[#All],[disponibilidad]],COMPROMISOS_2025[[#All],[consecutivo]],"",0),0)</f>
        <v>#NAME?</v>
      </c>
      <c r="U182" s="117" t="e" cm="1">
        <f t="array" aca="1" ref="U182" ca="1">+_xlfn.XLOOKUP(Contrato[[#This Row],[RCP]],COMPROMISOS_2025[[#All],[consecutivo]],COMPROMISOS_2025[[#All],[fecha_aprobacion]],"",0)</f>
        <v>#NAME?</v>
      </c>
      <c r="V182" s="93">
        <f ca="1">SUMIF(COMPROMISOS_2025[[#All],[consecutivo]],Contrato[[#This Row],[RCP]],COMPROMISOS_2025[[#All],[valor_total]])</f>
        <v>0</v>
      </c>
      <c r="W182" s="169">
        <v>45708</v>
      </c>
      <c r="X182" s="243" t="s">
        <v>901</v>
      </c>
      <c r="Y182" s="397">
        <v>45709</v>
      </c>
      <c r="Z182" s="161">
        <v>46005</v>
      </c>
      <c r="AA182" s="198" t="s">
        <v>1130</v>
      </c>
      <c r="AB182" s="119" t="s">
        <v>1127</v>
      </c>
      <c r="AC182" s="299"/>
      <c r="AD182" s="279">
        <v>202000006304</v>
      </c>
      <c r="AE182" s="38" t="s">
        <v>904</v>
      </c>
      <c r="AF182" s="120" t="str">
        <f>TEXT(LEFT(Contrato[[#This Row],[CONTRATO]],3),"0")</f>
        <v>176</v>
      </c>
      <c r="AG182" s="120" t="str">
        <f>IF(LEN(Contrato[[#This Row],[Contrato2]])=3,Contrato[[#This Row],[Contrato2]],TEXT(Contrato[[#This Row],[Contrato2]],"000"))</f>
        <v>176</v>
      </c>
      <c r="AH182" s="90">
        <f ca="1">IFERROR(_xlfn.DAYS(Contrato[[#This Row],[Fecha Proyectada liquidación]],TODAY())/30,"")</f>
        <v>11.4</v>
      </c>
      <c r="AI182" s="121">
        <f>+Contrato[[#This Row],[FECHA TERMINACIÓN ]]+120</f>
        <v>46125</v>
      </c>
      <c r="AJ182" s="89"/>
      <c r="AK182" s="91" t="str">
        <f ca="1">IF(Contrato[[#This Row],[FECHA TERMINACIÓN ]]&lt;TODAY(), "Terminado",IF(ISNUMBER(Contrato[[#This Row],[Fecha Real de liquiidación ]]),"Liquidado",IF(Contrato[[#This Row],[FECHA TERMINACIÓN ]]&gt;=TODAY(),"En ejecución","")))</f>
        <v>En ejecución</v>
      </c>
      <c r="AL182" s="107">
        <f ca="1">SUMIF(COMPROMISOS_2025[[#All],[consecutivo]],Contrato[[#This Row],[RCP]],COMPROMISOS_2025[[#All],[Total pagado]])</f>
        <v>0</v>
      </c>
      <c r="AM182" s="122">
        <f ca="1">IFERROR(Contrato[[#This Row],[Pagos]]/Contrato[[#This Row],[VALOR CONTRATO]],0)</f>
        <v>0</v>
      </c>
      <c r="AN182" s="160">
        <f ca="1">+Contrato[[#This Row],[VALOR CONTRATO]]-Contrato[[#This Row],[Pagos]]</f>
        <v>61147776</v>
      </c>
      <c r="AO182" s="111" t="e" cm="1">
        <f t="array" aca="1" ref="AO182" ca="1">_xlfn.XLOOKUP(Contrato[[#This Row],[DOCUMENTO ]],PERSONAL_ACTIVO_2025[[#All],[DOCUMENTO]],PERSONAL_ACTIVO_2025[[#All],[email]],0,0)</f>
        <v>#NAME?</v>
      </c>
      <c r="AP182" s="111" t="e" cm="1">
        <f t="array" aca="1" ref="AP182" ca="1">_xlfn.XLOOKUP(Contrato[[#This Row],[DOCUMENTO]],PERSONAL_ACTIVO_2025[[#All],[DOCUMENTO]],PERSONAL_ACTIVO_2025[[#All],[email]],0,0)</f>
        <v>#NAME?</v>
      </c>
      <c r="AQ182" s="111" cm="1">
        <f t="array" aca="1" ref="AQ182" ca="1">IF(ISBLANK(Contrato[[#This Row],[DEPENDENCIA ]]),0,IFERROR(_xlfn.XLOOKUP(Contrato[[#This Row],[DEPENDENCIA ]],#REF!,#REF!,0,0),0))</f>
        <v>0</v>
      </c>
      <c r="AR182" s="553">
        <f ca="1">+_xlfn.DAYS(Contrato[[#This Row],[FECHA TERMINACIÓN ]],TODAY())</f>
        <v>222</v>
      </c>
    </row>
    <row r="183" spans="1:44" s="111" customFormat="1" ht="36" customHeight="1" x14ac:dyDescent="0.25">
      <c r="A183" s="38">
        <v>387</v>
      </c>
      <c r="B183" s="226">
        <v>177</v>
      </c>
      <c r="C183" s="88" t="s">
        <v>585</v>
      </c>
      <c r="D183" s="192" t="s">
        <v>911</v>
      </c>
      <c r="E183" s="193" t="s">
        <v>112</v>
      </c>
      <c r="F183" s="194" t="s">
        <v>113</v>
      </c>
      <c r="G183" s="195" t="s">
        <v>1237</v>
      </c>
      <c r="H183" s="167">
        <v>71988040</v>
      </c>
      <c r="I183" s="292">
        <v>6239569</v>
      </c>
      <c r="J183" s="290">
        <v>61147776</v>
      </c>
      <c r="K183" s="158" t="s">
        <v>41</v>
      </c>
      <c r="L183" s="196" t="s">
        <v>1087</v>
      </c>
      <c r="M183" s="114" t="s">
        <v>938</v>
      </c>
      <c r="N183" s="113" t="e" cm="1">
        <f t="array" aca="1" ref="N183" ca="1">_xlfn.XLOOKUP(Contrato[[#This Row],[SUPERVISOR TITULAR]],PERSONAL_ACTIVO_2025[[#All],[NOMBRES Y APELLIDOS]],PERSONAL_ACTIVO_2025[[#All],[DOCUMENTO]],"",0)</f>
        <v>#NAME?</v>
      </c>
      <c r="O183" s="114" t="s">
        <v>1091</v>
      </c>
      <c r="P183" s="115" t="e" cm="1">
        <f t="array" aca="1" ref="P183" ca="1">_xlfn.XLOOKUP(Contrato[[#This Row],[SUPERVISOR SUPLENTE ]],PERSONAL_ACTIVO_2025[[#All],[NOMBRES Y APELLIDOS]],PERSONAL_ACTIVO_2025[[#All],[DOCUMENTO]],"",0)</f>
        <v>#NAME?</v>
      </c>
      <c r="Q183" s="116">
        <v>220</v>
      </c>
      <c r="R183" s="137" t="e" cm="1">
        <f t="array" aca="1" ref="R183" ca="1">_xlfn.XLOOKUP(Contrato[[#This Row],[CDP]],DISPONIBILIDADES_2025[[#All],[consecutivo]],DISPONIBILIDADES_2025[[#All],[fecha_aprobacion]],"",0)</f>
        <v>#NAME?</v>
      </c>
      <c r="S183" s="92">
        <f>SUMIF(DISPONIBILIDADES_2025[[#All],[consecutivo]],Contrato[[#This Row],[CDP]],DISPONIBILIDADES_2025[[#All],[valor_total_rubro]])</f>
        <v>61147776</v>
      </c>
      <c r="T183" s="118" t="e" cm="1">
        <f t="array" aca="1" ref="T183" ca="1">_xlfn.XLOOKUP(Contrato[[#This Row],[CONTRATO]]&amp;Contrato[[#This Row],[CDP]],Corr_Contr_CDP[[#All],[CONTRATO-CDP]],Corr_Contr_CDP[[#All],[CRP]],_xlfn.XLOOKUP(Contrato[[#This Row],[CDP]],COMPROMISOS_2025[[#All],[disponibilidad]],COMPROMISOS_2025[[#All],[consecutivo]],"",0),0)</f>
        <v>#NAME?</v>
      </c>
      <c r="U183" s="117" t="e" cm="1">
        <f t="array" aca="1" ref="U183" ca="1">+_xlfn.XLOOKUP(Contrato[[#This Row],[RCP]],COMPROMISOS_2025[[#All],[consecutivo]],COMPROMISOS_2025[[#All],[fecha_aprobacion]],"",0)</f>
        <v>#NAME?</v>
      </c>
      <c r="V183" s="93">
        <f ca="1">SUMIF(COMPROMISOS_2025[[#All],[consecutivo]],Contrato[[#This Row],[RCP]],COMPROMISOS_2025[[#All],[valor_total]])</f>
        <v>0</v>
      </c>
      <c r="W183" s="169">
        <v>45708</v>
      </c>
      <c r="X183" s="243" t="s">
        <v>901</v>
      </c>
      <c r="Y183" s="397">
        <v>45709</v>
      </c>
      <c r="Z183" s="161">
        <v>46005</v>
      </c>
      <c r="AA183" s="198" t="s">
        <v>1139</v>
      </c>
      <c r="AB183" s="119" t="s">
        <v>1127</v>
      </c>
      <c r="AC183" s="299"/>
      <c r="AD183" s="279">
        <v>202000006305</v>
      </c>
      <c r="AE183" s="38" t="s">
        <v>904</v>
      </c>
      <c r="AF183" s="120" t="str">
        <f>TEXT(LEFT(Contrato[[#This Row],[CONTRATO]],3),"0")</f>
        <v>177</v>
      </c>
      <c r="AG183" s="120" t="str">
        <f>IF(LEN(Contrato[[#This Row],[Contrato2]])=3,Contrato[[#This Row],[Contrato2]],TEXT(Contrato[[#This Row],[Contrato2]],"000"))</f>
        <v>177</v>
      </c>
      <c r="AH183" s="90">
        <f ca="1">IFERROR(_xlfn.DAYS(Contrato[[#This Row],[Fecha Proyectada liquidación]],TODAY())/30,"")</f>
        <v>11.4</v>
      </c>
      <c r="AI183" s="121">
        <f>+Contrato[[#This Row],[FECHA TERMINACIÓN ]]+120</f>
        <v>46125</v>
      </c>
      <c r="AJ183" s="89"/>
      <c r="AK183" s="91" t="str">
        <f ca="1">IF(Contrato[[#This Row],[FECHA TERMINACIÓN ]]&lt;TODAY(), "Terminado",IF(ISNUMBER(Contrato[[#This Row],[Fecha Real de liquiidación ]]),"Liquidado",IF(Contrato[[#This Row],[FECHA TERMINACIÓN ]]&gt;=TODAY(),"En ejecución","")))</f>
        <v>En ejecución</v>
      </c>
      <c r="AL183" s="107">
        <f ca="1">SUMIF(COMPROMISOS_2025[[#All],[consecutivo]],Contrato[[#This Row],[RCP]],COMPROMISOS_2025[[#All],[Total pagado]])</f>
        <v>0</v>
      </c>
      <c r="AM183" s="122">
        <f ca="1">IFERROR(Contrato[[#This Row],[Pagos]]/Contrato[[#This Row],[VALOR CONTRATO]],0)</f>
        <v>0</v>
      </c>
      <c r="AN183" s="160">
        <f ca="1">+Contrato[[#This Row],[VALOR CONTRATO]]-Contrato[[#This Row],[Pagos]]</f>
        <v>61147776</v>
      </c>
      <c r="AO183" s="111" t="e" cm="1">
        <f t="array" aca="1" ref="AO183" ca="1">_xlfn.XLOOKUP(Contrato[[#This Row],[DOCUMENTO ]],PERSONAL_ACTIVO_2025[[#All],[DOCUMENTO]],PERSONAL_ACTIVO_2025[[#All],[email]],0,0)</f>
        <v>#NAME?</v>
      </c>
      <c r="AP183" s="111" t="e" cm="1">
        <f t="array" aca="1" ref="AP183" ca="1">_xlfn.XLOOKUP(Contrato[[#This Row],[DOCUMENTO]],PERSONAL_ACTIVO_2025[[#All],[DOCUMENTO]],PERSONAL_ACTIVO_2025[[#All],[email]],0,0)</f>
        <v>#NAME?</v>
      </c>
      <c r="AQ183" s="111" cm="1">
        <f t="array" aca="1" ref="AQ183" ca="1">IF(ISBLANK(Contrato[[#This Row],[DEPENDENCIA ]]),0,IFERROR(_xlfn.XLOOKUP(Contrato[[#This Row],[DEPENDENCIA ]],#REF!,#REF!,0,0),0))</f>
        <v>0</v>
      </c>
      <c r="AR183" s="553">
        <f ca="1">+_xlfn.DAYS(Contrato[[#This Row],[FECHA TERMINACIÓN ]],TODAY())</f>
        <v>222</v>
      </c>
    </row>
    <row r="184" spans="1:44" s="111" customFormat="1" ht="36" customHeight="1" x14ac:dyDescent="0.25">
      <c r="A184" s="38">
        <v>389</v>
      </c>
      <c r="B184" s="226">
        <v>178</v>
      </c>
      <c r="C184" s="88" t="s">
        <v>587</v>
      </c>
      <c r="D184" s="192" t="s">
        <v>911</v>
      </c>
      <c r="E184" s="193" t="s">
        <v>112</v>
      </c>
      <c r="F184" s="194" t="s">
        <v>113</v>
      </c>
      <c r="G184" s="195" t="s">
        <v>1238</v>
      </c>
      <c r="H184" s="167">
        <v>15483073</v>
      </c>
      <c r="I184" s="292">
        <v>6239569</v>
      </c>
      <c r="J184" s="290">
        <v>61147776</v>
      </c>
      <c r="K184" s="158" t="s">
        <v>41</v>
      </c>
      <c r="L184" s="196" t="s">
        <v>1087</v>
      </c>
      <c r="M184" s="114" t="s">
        <v>938</v>
      </c>
      <c r="N184" s="113" t="e" cm="1">
        <f t="array" aca="1" ref="N184" ca="1">_xlfn.XLOOKUP(Contrato[[#This Row],[SUPERVISOR TITULAR]],PERSONAL_ACTIVO_2025[[#All],[NOMBRES Y APELLIDOS]],PERSONAL_ACTIVO_2025[[#All],[DOCUMENTO]],"",0)</f>
        <v>#NAME?</v>
      </c>
      <c r="O184" s="114" t="s">
        <v>1091</v>
      </c>
      <c r="P184" s="115" t="e" cm="1">
        <f t="array" aca="1" ref="P184" ca="1">_xlfn.XLOOKUP(Contrato[[#This Row],[SUPERVISOR SUPLENTE ]],PERSONAL_ACTIVO_2025[[#All],[NOMBRES Y APELLIDOS]],PERSONAL_ACTIVO_2025[[#All],[DOCUMENTO]],"",0)</f>
        <v>#NAME?</v>
      </c>
      <c r="Q184" s="116">
        <v>222</v>
      </c>
      <c r="R184" s="137" t="e" cm="1">
        <f t="array" aca="1" ref="R184" ca="1">_xlfn.XLOOKUP(Contrato[[#This Row],[CDP]],DISPONIBILIDADES_2025[[#All],[consecutivo]],DISPONIBILIDADES_2025[[#All],[fecha_aprobacion]],"",0)</f>
        <v>#NAME?</v>
      </c>
      <c r="S184" s="92">
        <f>SUMIF(DISPONIBILIDADES_2025[[#All],[consecutivo]],Contrato[[#This Row],[CDP]],DISPONIBILIDADES_2025[[#All],[valor_total_rubro]])</f>
        <v>61147776</v>
      </c>
      <c r="T184" s="118" t="e" cm="1">
        <f t="array" aca="1" ref="T184" ca="1">_xlfn.XLOOKUP(Contrato[[#This Row],[CONTRATO]]&amp;Contrato[[#This Row],[CDP]],Corr_Contr_CDP[[#All],[CONTRATO-CDP]],Corr_Contr_CDP[[#All],[CRP]],_xlfn.XLOOKUP(Contrato[[#This Row],[CDP]],COMPROMISOS_2025[[#All],[disponibilidad]],COMPROMISOS_2025[[#All],[consecutivo]],"",0),0)</f>
        <v>#NAME?</v>
      </c>
      <c r="U184" s="117" t="e" cm="1">
        <f t="array" aca="1" ref="U184" ca="1">+_xlfn.XLOOKUP(Contrato[[#This Row],[RCP]],COMPROMISOS_2025[[#All],[consecutivo]],COMPROMISOS_2025[[#All],[fecha_aprobacion]],"",0)</f>
        <v>#NAME?</v>
      </c>
      <c r="V184" s="93">
        <f ca="1">SUMIF(COMPROMISOS_2025[[#All],[consecutivo]],Contrato[[#This Row],[RCP]],COMPROMISOS_2025[[#All],[valor_total]])</f>
        <v>0</v>
      </c>
      <c r="W184" s="169">
        <v>45708</v>
      </c>
      <c r="X184" s="243" t="s">
        <v>901</v>
      </c>
      <c r="Y184" s="397">
        <v>45709</v>
      </c>
      <c r="Z184" s="161">
        <v>46005</v>
      </c>
      <c r="AA184" s="198" t="s">
        <v>1143</v>
      </c>
      <c r="AB184" s="119" t="s">
        <v>1127</v>
      </c>
      <c r="AC184" s="299"/>
      <c r="AD184" s="279">
        <v>202000006307</v>
      </c>
      <c r="AE184" s="38" t="s">
        <v>904</v>
      </c>
      <c r="AF184" s="120" t="str">
        <f>TEXT(LEFT(Contrato[[#This Row],[CONTRATO]],3),"0")</f>
        <v>178</v>
      </c>
      <c r="AG184" s="120" t="str">
        <f>IF(LEN(Contrato[[#This Row],[Contrato2]])=3,Contrato[[#This Row],[Contrato2]],TEXT(Contrato[[#This Row],[Contrato2]],"000"))</f>
        <v>178</v>
      </c>
      <c r="AH184" s="90">
        <f ca="1">IFERROR(_xlfn.DAYS(Contrato[[#This Row],[Fecha Proyectada liquidación]],TODAY())/30,"")</f>
        <v>11.4</v>
      </c>
      <c r="AI184" s="121">
        <f>+Contrato[[#This Row],[FECHA TERMINACIÓN ]]+120</f>
        <v>46125</v>
      </c>
      <c r="AJ184" s="89"/>
      <c r="AK184" s="91" t="str">
        <f ca="1">IF(Contrato[[#This Row],[FECHA TERMINACIÓN ]]&lt;TODAY(), "Terminado",IF(ISNUMBER(Contrato[[#This Row],[Fecha Real de liquiidación ]]),"Liquidado",IF(Contrato[[#This Row],[FECHA TERMINACIÓN ]]&gt;=TODAY(),"En ejecución","")))</f>
        <v>En ejecución</v>
      </c>
      <c r="AL184" s="107">
        <f ca="1">SUMIF(COMPROMISOS_2025[[#All],[consecutivo]],Contrato[[#This Row],[RCP]],COMPROMISOS_2025[[#All],[Total pagado]])</f>
        <v>0</v>
      </c>
      <c r="AM184" s="122">
        <f ca="1">IFERROR(Contrato[[#This Row],[Pagos]]/Contrato[[#This Row],[VALOR CONTRATO]],0)</f>
        <v>0</v>
      </c>
      <c r="AN184" s="160">
        <f ca="1">+Contrato[[#This Row],[VALOR CONTRATO]]-Contrato[[#This Row],[Pagos]]</f>
        <v>61147776</v>
      </c>
      <c r="AO184" s="111" t="e" cm="1">
        <f t="array" aca="1" ref="AO184" ca="1">_xlfn.XLOOKUP(Contrato[[#This Row],[DOCUMENTO ]],PERSONAL_ACTIVO_2025[[#All],[DOCUMENTO]],PERSONAL_ACTIVO_2025[[#All],[email]],0,0)</f>
        <v>#NAME?</v>
      </c>
      <c r="AP184" s="111" t="e" cm="1">
        <f t="array" aca="1" ref="AP184" ca="1">_xlfn.XLOOKUP(Contrato[[#This Row],[DOCUMENTO]],PERSONAL_ACTIVO_2025[[#All],[DOCUMENTO]],PERSONAL_ACTIVO_2025[[#All],[email]],0,0)</f>
        <v>#NAME?</v>
      </c>
      <c r="AQ184" s="111" cm="1">
        <f t="array" aca="1" ref="AQ184" ca="1">IF(ISBLANK(Contrato[[#This Row],[DEPENDENCIA ]]),0,IFERROR(_xlfn.XLOOKUP(Contrato[[#This Row],[DEPENDENCIA ]],#REF!,#REF!,0,0),0))</f>
        <v>0</v>
      </c>
      <c r="AR184" s="553">
        <f ca="1">+_xlfn.DAYS(Contrato[[#This Row],[FECHA TERMINACIÓN ]],TODAY())</f>
        <v>222</v>
      </c>
    </row>
    <row r="185" spans="1:44" s="111" customFormat="1" ht="36" customHeight="1" x14ac:dyDescent="0.25">
      <c r="A185" s="38">
        <v>390</v>
      </c>
      <c r="B185" s="226">
        <v>179</v>
      </c>
      <c r="C185" s="88" t="s">
        <v>588</v>
      </c>
      <c r="D185" s="192" t="s">
        <v>911</v>
      </c>
      <c r="E185" s="193" t="s">
        <v>112</v>
      </c>
      <c r="F185" s="194" t="s">
        <v>113</v>
      </c>
      <c r="G185" s="195" t="s">
        <v>1239</v>
      </c>
      <c r="H185" s="167">
        <v>98632774</v>
      </c>
      <c r="I185" s="292">
        <v>5164201</v>
      </c>
      <c r="J185" s="290">
        <v>50609170</v>
      </c>
      <c r="K185" s="158" t="s">
        <v>41</v>
      </c>
      <c r="L185" s="196" t="s">
        <v>1087</v>
      </c>
      <c r="M185" s="114" t="s">
        <v>938</v>
      </c>
      <c r="N185" s="113" t="e" cm="1">
        <f t="array" aca="1" ref="N185" ca="1">_xlfn.XLOOKUP(Contrato[[#This Row],[SUPERVISOR TITULAR]],PERSONAL_ACTIVO_2025[[#All],[NOMBRES Y APELLIDOS]],PERSONAL_ACTIVO_2025[[#All],[DOCUMENTO]],"",0)</f>
        <v>#NAME?</v>
      </c>
      <c r="O185" s="114" t="s">
        <v>1091</v>
      </c>
      <c r="P185" s="115" t="e" cm="1">
        <f t="array" aca="1" ref="P185" ca="1">_xlfn.XLOOKUP(Contrato[[#This Row],[SUPERVISOR SUPLENTE ]],PERSONAL_ACTIVO_2025[[#All],[NOMBRES Y APELLIDOS]],PERSONAL_ACTIVO_2025[[#All],[DOCUMENTO]],"",0)</f>
        <v>#NAME?</v>
      </c>
      <c r="Q185" s="116">
        <v>223</v>
      </c>
      <c r="R185" s="137" t="e" cm="1">
        <f t="array" aca="1" ref="R185" ca="1">_xlfn.XLOOKUP(Contrato[[#This Row],[CDP]],DISPONIBILIDADES_2025[[#All],[consecutivo]],DISPONIBILIDADES_2025[[#All],[fecha_aprobacion]],"",0)</f>
        <v>#NAME?</v>
      </c>
      <c r="S185" s="92">
        <f>SUMIF(DISPONIBILIDADES_2025[[#All],[consecutivo]],Contrato[[#This Row],[CDP]],DISPONIBILIDADES_2025[[#All],[valor_total_rubro]])</f>
        <v>50609170</v>
      </c>
      <c r="T185" s="118" t="e" cm="1">
        <f t="array" aca="1" ref="T185" ca="1">_xlfn.XLOOKUP(Contrato[[#This Row],[CONTRATO]]&amp;Contrato[[#This Row],[CDP]],Corr_Contr_CDP[[#All],[CONTRATO-CDP]],Corr_Contr_CDP[[#All],[CRP]],_xlfn.XLOOKUP(Contrato[[#This Row],[CDP]],COMPROMISOS_2025[[#All],[disponibilidad]],COMPROMISOS_2025[[#All],[consecutivo]],"",0),0)</f>
        <v>#NAME?</v>
      </c>
      <c r="U185" s="117" t="e" cm="1">
        <f t="array" aca="1" ref="U185" ca="1">+_xlfn.XLOOKUP(Contrato[[#This Row],[RCP]],COMPROMISOS_2025[[#All],[consecutivo]],COMPROMISOS_2025[[#All],[fecha_aprobacion]],"",0)</f>
        <v>#NAME?</v>
      </c>
      <c r="V185" s="93">
        <f ca="1">SUMIF(COMPROMISOS_2025[[#All],[consecutivo]],Contrato[[#This Row],[RCP]],COMPROMISOS_2025[[#All],[valor_total]])</f>
        <v>0</v>
      </c>
      <c r="W185" s="169">
        <v>45708</v>
      </c>
      <c r="X185" s="243" t="s">
        <v>901</v>
      </c>
      <c r="Y185" s="397">
        <v>45709</v>
      </c>
      <c r="Z185" s="161">
        <v>46005</v>
      </c>
      <c r="AA185" s="198" t="s">
        <v>1130</v>
      </c>
      <c r="AB185" s="119" t="s">
        <v>1127</v>
      </c>
      <c r="AC185" s="299"/>
      <c r="AD185" s="279">
        <v>202000006309</v>
      </c>
      <c r="AE185" s="38" t="s">
        <v>904</v>
      </c>
      <c r="AF185" s="120" t="str">
        <f>TEXT(LEFT(Contrato[[#This Row],[CONTRATO]],3),"0")</f>
        <v>179</v>
      </c>
      <c r="AG185" s="120" t="str">
        <f>IF(LEN(Contrato[[#This Row],[Contrato2]])=3,Contrato[[#This Row],[Contrato2]],TEXT(Contrato[[#This Row],[Contrato2]],"000"))</f>
        <v>179</v>
      </c>
      <c r="AH185" s="90">
        <f ca="1">IFERROR(_xlfn.DAYS(Contrato[[#This Row],[Fecha Proyectada liquidación]],TODAY())/30,"")</f>
        <v>11.4</v>
      </c>
      <c r="AI185" s="121">
        <f>+Contrato[[#This Row],[FECHA TERMINACIÓN ]]+120</f>
        <v>46125</v>
      </c>
      <c r="AJ185" s="89"/>
      <c r="AK185" s="91" t="str">
        <f ca="1">IF(Contrato[[#This Row],[FECHA TERMINACIÓN ]]&lt;TODAY(), "Terminado",IF(ISNUMBER(Contrato[[#This Row],[Fecha Real de liquiidación ]]),"Liquidado",IF(Contrato[[#This Row],[FECHA TERMINACIÓN ]]&gt;=TODAY(),"En ejecución","")))</f>
        <v>En ejecución</v>
      </c>
      <c r="AL185" s="107">
        <f ca="1">SUMIF(COMPROMISOS_2025[[#All],[consecutivo]],Contrato[[#This Row],[RCP]],COMPROMISOS_2025[[#All],[Total pagado]])</f>
        <v>0</v>
      </c>
      <c r="AM185" s="122">
        <f ca="1">IFERROR(Contrato[[#This Row],[Pagos]]/Contrato[[#This Row],[VALOR CONTRATO]],0)</f>
        <v>0</v>
      </c>
      <c r="AN185" s="160">
        <f ca="1">+Contrato[[#This Row],[VALOR CONTRATO]]-Contrato[[#This Row],[Pagos]]</f>
        <v>50609170</v>
      </c>
      <c r="AO185" s="111" t="e" cm="1">
        <f t="array" aca="1" ref="AO185" ca="1">_xlfn.XLOOKUP(Contrato[[#This Row],[DOCUMENTO ]],PERSONAL_ACTIVO_2025[[#All],[DOCUMENTO]],PERSONAL_ACTIVO_2025[[#All],[email]],0,0)</f>
        <v>#NAME?</v>
      </c>
      <c r="AP185" s="111" t="e" cm="1">
        <f t="array" aca="1" ref="AP185" ca="1">_xlfn.XLOOKUP(Contrato[[#This Row],[DOCUMENTO]],PERSONAL_ACTIVO_2025[[#All],[DOCUMENTO]],PERSONAL_ACTIVO_2025[[#All],[email]],0,0)</f>
        <v>#NAME?</v>
      </c>
      <c r="AQ185" s="111" cm="1">
        <f t="array" aca="1" ref="AQ185" ca="1">IF(ISBLANK(Contrato[[#This Row],[DEPENDENCIA ]]),0,IFERROR(_xlfn.XLOOKUP(Contrato[[#This Row],[DEPENDENCIA ]],#REF!,#REF!,0,0),0))</f>
        <v>0</v>
      </c>
      <c r="AR185" s="553">
        <f ca="1">+_xlfn.DAYS(Contrato[[#This Row],[FECHA TERMINACIÓN ]],TODAY())</f>
        <v>222</v>
      </c>
    </row>
    <row r="186" spans="1:44" s="111" customFormat="1" ht="36" customHeight="1" x14ac:dyDescent="0.25">
      <c r="A186" s="38">
        <v>391</v>
      </c>
      <c r="B186" s="226">
        <v>180</v>
      </c>
      <c r="C186" s="88" t="s">
        <v>589</v>
      </c>
      <c r="D186" s="192" t="s">
        <v>911</v>
      </c>
      <c r="E186" s="193" t="s">
        <v>112</v>
      </c>
      <c r="F186" s="194" t="s">
        <v>113</v>
      </c>
      <c r="G186" s="195" t="s">
        <v>1240</v>
      </c>
      <c r="H186" s="167">
        <v>3402168</v>
      </c>
      <c r="I186" s="292">
        <v>6239569</v>
      </c>
      <c r="J186" s="290">
        <v>61147776</v>
      </c>
      <c r="K186" s="158" t="s">
        <v>41</v>
      </c>
      <c r="L186" s="196" t="s">
        <v>1087</v>
      </c>
      <c r="M186" s="114" t="s">
        <v>938</v>
      </c>
      <c r="N186" s="113" t="e" cm="1">
        <f t="array" aca="1" ref="N186" ca="1">_xlfn.XLOOKUP(Contrato[[#This Row],[SUPERVISOR TITULAR]],PERSONAL_ACTIVO_2025[[#All],[NOMBRES Y APELLIDOS]],PERSONAL_ACTIVO_2025[[#All],[DOCUMENTO]],"",0)</f>
        <v>#NAME?</v>
      </c>
      <c r="O186" s="114" t="s">
        <v>1091</v>
      </c>
      <c r="P186" s="115" t="e" cm="1">
        <f t="array" aca="1" ref="P186" ca="1">_xlfn.XLOOKUP(Contrato[[#This Row],[SUPERVISOR SUPLENTE ]],PERSONAL_ACTIVO_2025[[#All],[NOMBRES Y APELLIDOS]],PERSONAL_ACTIVO_2025[[#All],[DOCUMENTO]],"",0)</f>
        <v>#NAME?</v>
      </c>
      <c r="Q186" s="116">
        <v>224</v>
      </c>
      <c r="R186" s="137" t="e" cm="1">
        <f t="array" aca="1" ref="R186" ca="1">_xlfn.XLOOKUP(Contrato[[#This Row],[CDP]],DISPONIBILIDADES_2025[[#All],[consecutivo]],DISPONIBILIDADES_2025[[#All],[fecha_aprobacion]],"",0)</f>
        <v>#NAME?</v>
      </c>
      <c r="S186" s="92">
        <f>SUMIF(DISPONIBILIDADES_2025[[#All],[consecutivo]],Contrato[[#This Row],[CDP]],DISPONIBILIDADES_2025[[#All],[valor_total_rubro]])</f>
        <v>61147776</v>
      </c>
      <c r="T186" s="118" t="e" cm="1">
        <f t="array" aca="1" ref="T186" ca="1">_xlfn.XLOOKUP(Contrato[[#This Row],[CONTRATO]]&amp;Contrato[[#This Row],[CDP]],Corr_Contr_CDP[[#All],[CONTRATO-CDP]],Corr_Contr_CDP[[#All],[CRP]],_xlfn.XLOOKUP(Contrato[[#This Row],[CDP]],COMPROMISOS_2025[[#All],[disponibilidad]],COMPROMISOS_2025[[#All],[consecutivo]],"",0),0)</f>
        <v>#NAME?</v>
      </c>
      <c r="U186" s="117" t="e" cm="1">
        <f t="array" aca="1" ref="U186" ca="1">+_xlfn.XLOOKUP(Contrato[[#This Row],[RCP]],COMPROMISOS_2025[[#All],[consecutivo]],COMPROMISOS_2025[[#All],[fecha_aprobacion]],"",0)</f>
        <v>#NAME?</v>
      </c>
      <c r="V186" s="93">
        <f ca="1">SUMIF(COMPROMISOS_2025[[#All],[consecutivo]],Contrato[[#This Row],[RCP]],COMPROMISOS_2025[[#All],[valor_total]])</f>
        <v>0</v>
      </c>
      <c r="W186" s="169">
        <v>45708</v>
      </c>
      <c r="X186" s="243" t="s">
        <v>901</v>
      </c>
      <c r="Y186" s="397">
        <v>45709</v>
      </c>
      <c r="Z186" s="161">
        <v>46005</v>
      </c>
      <c r="AA186" s="198" t="s">
        <v>1143</v>
      </c>
      <c r="AB186" s="119" t="s">
        <v>1127</v>
      </c>
      <c r="AC186" s="300"/>
      <c r="AD186" s="279">
        <v>202000006310</v>
      </c>
      <c r="AE186" s="38" t="s">
        <v>904</v>
      </c>
      <c r="AF186" s="120" t="str">
        <f>TEXT(LEFT(Contrato[[#This Row],[CONTRATO]],3),"0")</f>
        <v>180</v>
      </c>
      <c r="AG186" s="120" t="str">
        <f>IF(LEN(Contrato[[#This Row],[Contrato2]])=3,Contrato[[#This Row],[Contrato2]],TEXT(Contrato[[#This Row],[Contrato2]],"000"))</f>
        <v>180</v>
      </c>
      <c r="AH186" s="90">
        <f ca="1">IFERROR(_xlfn.DAYS(Contrato[[#This Row],[Fecha Proyectada liquidación]],TODAY())/30,"")</f>
        <v>11.4</v>
      </c>
      <c r="AI186" s="121">
        <f>+Contrato[[#This Row],[FECHA TERMINACIÓN ]]+120</f>
        <v>46125</v>
      </c>
      <c r="AJ186" s="89"/>
      <c r="AK186" s="91" t="str">
        <f ca="1">IF(Contrato[[#This Row],[FECHA TERMINACIÓN ]]&lt;TODAY(), "Terminado",IF(ISNUMBER(Contrato[[#This Row],[Fecha Real de liquiidación ]]),"Liquidado",IF(Contrato[[#This Row],[FECHA TERMINACIÓN ]]&gt;=TODAY(),"En ejecución","")))</f>
        <v>En ejecución</v>
      </c>
      <c r="AL186" s="107">
        <f ca="1">SUMIF(COMPROMISOS_2025[[#All],[consecutivo]],Contrato[[#This Row],[RCP]],COMPROMISOS_2025[[#All],[Total pagado]])</f>
        <v>0</v>
      </c>
      <c r="AM186" s="122">
        <f ca="1">IFERROR(Contrato[[#This Row],[Pagos]]/Contrato[[#This Row],[VALOR CONTRATO]],0)</f>
        <v>0</v>
      </c>
      <c r="AN186" s="160">
        <f ca="1">+Contrato[[#This Row],[VALOR CONTRATO]]-Contrato[[#This Row],[Pagos]]</f>
        <v>61147776</v>
      </c>
      <c r="AO186" s="111" t="e" cm="1">
        <f t="array" aca="1" ref="AO186" ca="1">_xlfn.XLOOKUP(Contrato[[#This Row],[DOCUMENTO ]],PERSONAL_ACTIVO_2025[[#All],[DOCUMENTO]],PERSONAL_ACTIVO_2025[[#All],[email]],0,0)</f>
        <v>#NAME?</v>
      </c>
      <c r="AP186" s="111" t="e" cm="1">
        <f t="array" aca="1" ref="AP186" ca="1">_xlfn.XLOOKUP(Contrato[[#This Row],[DOCUMENTO]],PERSONAL_ACTIVO_2025[[#All],[DOCUMENTO]],PERSONAL_ACTIVO_2025[[#All],[email]],0,0)</f>
        <v>#NAME?</v>
      </c>
      <c r="AQ186" s="111" cm="1">
        <f t="array" aca="1" ref="AQ186" ca="1">IF(ISBLANK(Contrato[[#This Row],[DEPENDENCIA ]]),0,IFERROR(_xlfn.XLOOKUP(Contrato[[#This Row],[DEPENDENCIA ]],#REF!,#REF!,0,0),0))</f>
        <v>0</v>
      </c>
      <c r="AR186" s="553">
        <f ca="1">+_xlfn.DAYS(Contrato[[#This Row],[FECHA TERMINACIÓN ]],TODAY())</f>
        <v>222</v>
      </c>
    </row>
    <row r="187" spans="1:44" s="111" customFormat="1" ht="36" customHeight="1" x14ac:dyDescent="0.25">
      <c r="A187" s="38">
        <v>393</v>
      </c>
      <c r="B187" s="226">
        <v>181</v>
      </c>
      <c r="C187" s="88" t="s">
        <v>591</v>
      </c>
      <c r="D187" s="192" t="s">
        <v>911</v>
      </c>
      <c r="E187" s="193" t="s">
        <v>112</v>
      </c>
      <c r="F187" s="194" t="s">
        <v>113</v>
      </c>
      <c r="G187" s="195" t="s">
        <v>1241</v>
      </c>
      <c r="H187" s="167">
        <v>70810561</v>
      </c>
      <c r="I187" s="292">
        <v>8320021</v>
      </c>
      <c r="J187" s="290">
        <v>81536206</v>
      </c>
      <c r="K187" s="158" t="s">
        <v>41</v>
      </c>
      <c r="L187" s="196" t="s">
        <v>1087</v>
      </c>
      <c r="M187" s="114" t="s">
        <v>938</v>
      </c>
      <c r="N187" s="113" t="e" cm="1">
        <f t="array" aca="1" ref="N187" ca="1">_xlfn.XLOOKUP(Contrato[[#This Row],[SUPERVISOR TITULAR]],PERSONAL_ACTIVO_2025[[#All],[NOMBRES Y APELLIDOS]],PERSONAL_ACTIVO_2025[[#All],[DOCUMENTO]],"",0)</f>
        <v>#NAME?</v>
      </c>
      <c r="O187" s="114" t="s">
        <v>1091</v>
      </c>
      <c r="P187" s="115" t="e" cm="1">
        <f t="array" aca="1" ref="P187" ca="1">_xlfn.XLOOKUP(Contrato[[#This Row],[SUPERVISOR SUPLENTE ]],PERSONAL_ACTIVO_2025[[#All],[NOMBRES Y APELLIDOS]],PERSONAL_ACTIVO_2025[[#All],[DOCUMENTO]],"",0)</f>
        <v>#NAME?</v>
      </c>
      <c r="Q187" s="116">
        <v>226</v>
      </c>
      <c r="R187" s="137" t="e" cm="1">
        <f t="array" aca="1" ref="R187" ca="1">_xlfn.XLOOKUP(Contrato[[#This Row],[CDP]],DISPONIBILIDADES_2025[[#All],[consecutivo]],DISPONIBILIDADES_2025[[#All],[fecha_aprobacion]],"",0)</f>
        <v>#NAME?</v>
      </c>
      <c r="S187" s="92">
        <f>SUMIF(DISPONIBILIDADES_2025[[#All],[consecutivo]],Contrato[[#This Row],[CDP]],DISPONIBILIDADES_2025[[#All],[valor_total_rubro]])</f>
        <v>81536206</v>
      </c>
      <c r="T187" s="118" t="e" cm="1">
        <f t="array" aca="1" ref="T187" ca="1">_xlfn.XLOOKUP(Contrato[[#This Row],[CONTRATO]]&amp;Contrato[[#This Row],[CDP]],Corr_Contr_CDP[[#All],[CONTRATO-CDP]],Corr_Contr_CDP[[#All],[CRP]],_xlfn.XLOOKUP(Contrato[[#This Row],[CDP]],COMPROMISOS_2025[[#All],[disponibilidad]],COMPROMISOS_2025[[#All],[consecutivo]],"",0),0)</f>
        <v>#NAME?</v>
      </c>
      <c r="U187" s="117" t="e" cm="1">
        <f t="array" aca="1" ref="U187" ca="1">+_xlfn.XLOOKUP(Contrato[[#This Row],[RCP]],COMPROMISOS_2025[[#All],[consecutivo]],COMPROMISOS_2025[[#All],[fecha_aprobacion]],"",0)</f>
        <v>#NAME?</v>
      </c>
      <c r="V187" s="93">
        <f ca="1">SUMIF(COMPROMISOS_2025[[#All],[consecutivo]],Contrato[[#This Row],[RCP]],COMPROMISOS_2025[[#All],[valor_total]])</f>
        <v>0</v>
      </c>
      <c r="W187" s="169">
        <v>45708</v>
      </c>
      <c r="X187" s="243" t="s">
        <v>901</v>
      </c>
      <c r="Y187" s="397">
        <v>45709</v>
      </c>
      <c r="Z187" s="161">
        <v>46005</v>
      </c>
      <c r="AA187" s="198" t="s">
        <v>1143</v>
      </c>
      <c r="AB187" s="119" t="s">
        <v>1127</v>
      </c>
      <c r="AC187" s="301"/>
      <c r="AD187" s="279">
        <v>202000006311</v>
      </c>
      <c r="AE187" s="38" t="s">
        <v>904</v>
      </c>
      <c r="AF187" s="120" t="str">
        <f>TEXT(LEFT(Contrato[[#This Row],[CONTRATO]],3),"0")</f>
        <v>181</v>
      </c>
      <c r="AG187" s="120" t="str">
        <f>IF(LEN(Contrato[[#This Row],[Contrato2]])=3,Contrato[[#This Row],[Contrato2]],TEXT(Contrato[[#This Row],[Contrato2]],"000"))</f>
        <v>181</v>
      </c>
      <c r="AH187" s="90">
        <f ca="1">IFERROR(_xlfn.DAYS(Contrato[[#This Row],[Fecha Proyectada liquidación]],TODAY())/30,"")</f>
        <v>11.4</v>
      </c>
      <c r="AI187" s="121">
        <f>+Contrato[[#This Row],[FECHA TERMINACIÓN ]]+120</f>
        <v>46125</v>
      </c>
      <c r="AJ187" s="89"/>
      <c r="AK187" s="91" t="str">
        <f ca="1">IF(Contrato[[#This Row],[FECHA TERMINACIÓN ]]&lt;TODAY(), "Terminado",IF(ISNUMBER(Contrato[[#This Row],[Fecha Real de liquiidación ]]),"Liquidado",IF(Contrato[[#This Row],[FECHA TERMINACIÓN ]]&gt;=TODAY(),"En ejecución","")))</f>
        <v>En ejecución</v>
      </c>
      <c r="AL187" s="107">
        <f ca="1">SUMIF(COMPROMISOS_2025[[#All],[consecutivo]],Contrato[[#This Row],[RCP]],COMPROMISOS_2025[[#All],[Total pagado]])</f>
        <v>0</v>
      </c>
      <c r="AM187" s="122">
        <f ca="1">IFERROR(Contrato[[#This Row],[Pagos]]/Contrato[[#This Row],[VALOR CONTRATO]],0)</f>
        <v>0</v>
      </c>
      <c r="AN187" s="160">
        <f ca="1">+Contrato[[#This Row],[VALOR CONTRATO]]-Contrato[[#This Row],[Pagos]]</f>
        <v>81536206</v>
      </c>
      <c r="AO187" s="111" t="e" cm="1">
        <f t="array" aca="1" ref="AO187" ca="1">_xlfn.XLOOKUP(Contrato[[#This Row],[DOCUMENTO ]],PERSONAL_ACTIVO_2025[[#All],[DOCUMENTO]],PERSONAL_ACTIVO_2025[[#All],[email]],0,0)</f>
        <v>#NAME?</v>
      </c>
      <c r="AP187" s="111" t="e" cm="1">
        <f t="array" aca="1" ref="AP187" ca="1">_xlfn.XLOOKUP(Contrato[[#This Row],[DOCUMENTO]],PERSONAL_ACTIVO_2025[[#All],[DOCUMENTO]],PERSONAL_ACTIVO_2025[[#All],[email]],0,0)</f>
        <v>#NAME?</v>
      </c>
      <c r="AQ187" s="111" cm="1">
        <f t="array" aca="1" ref="AQ187" ca="1">IF(ISBLANK(Contrato[[#This Row],[DEPENDENCIA ]]),0,IFERROR(_xlfn.XLOOKUP(Contrato[[#This Row],[DEPENDENCIA ]],#REF!,#REF!,0,0),0))</f>
        <v>0</v>
      </c>
      <c r="AR187" s="553">
        <f ca="1">+_xlfn.DAYS(Contrato[[#This Row],[FECHA TERMINACIÓN ]],TODAY())</f>
        <v>222</v>
      </c>
    </row>
    <row r="188" spans="1:44" s="111" customFormat="1" ht="36" customHeight="1" x14ac:dyDescent="0.25">
      <c r="A188" s="38">
        <v>394</v>
      </c>
      <c r="B188" s="226">
        <v>182</v>
      </c>
      <c r="C188" s="88" t="s">
        <v>592</v>
      </c>
      <c r="D188" s="192" t="s">
        <v>911</v>
      </c>
      <c r="E188" s="193" t="s">
        <v>112</v>
      </c>
      <c r="F188" s="194" t="s">
        <v>113</v>
      </c>
      <c r="G188" s="195" t="s">
        <v>1242</v>
      </c>
      <c r="H188" s="167">
        <v>10011429</v>
      </c>
      <c r="I188" s="292">
        <v>5164201</v>
      </c>
      <c r="J188" s="290">
        <v>50609170</v>
      </c>
      <c r="K188" s="158" t="s">
        <v>41</v>
      </c>
      <c r="L188" s="196" t="s">
        <v>1087</v>
      </c>
      <c r="M188" s="114" t="s">
        <v>938</v>
      </c>
      <c r="N188" s="113" t="e" cm="1">
        <f t="array" aca="1" ref="N188" ca="1">_xlfn.XLOOKUP(Contrato[[#This Row],[SUPERVISOR TITULAR]],PERSONAL_ACTIVO_2025[[#All],[NOMBRES Y APELLIDOS]],PERSONAL_ACTIVO_2025[[#All],[DOCUMENTO]],"",0)</f>
        <v>#NAME?</v>
      </c>
      <c r="O188" s="114" t="s">
        <v>1091</v>
      </c>
      <c r="P188" s="115" t="e" cm="1">
        <f t="array" aca="1" ref="P188" ca="1">_xlfn.XLOOKUP(Contrato[[#This Row],[SUPERVISOR SUPLENTE ]],PERSONAL_ACTIVO_2025[[#All],[NOMBRES Y APELLIDOS]],PERSONAL_ACTIVO_2025[[#All],[DOCUMENTO]],"",0)</f>
        <v>#NAME?</v>
      </c>
      <c r="Q188" s="116">
        <v>227</v>
      </c>
      <c r="R188" s="137" t="e" cm="1">
        <f t="array" aca="1" ref="R188" ca="1">_xlfn.XLOOKUP(Contrato[[#This Row],[CDP]],DISPONIBILIDADES_2025[[#All],[consecutivo]],DISPONIBILIDADES_2025[[#All],[fecha_aprobacion]],"",0)</f>
        <v>#NAME?</v>
      </c>
      <c r="S188" s="92">
        <f>SUMIF(DISPONIBILIDADES_2025[[#All],[consecutivo]],Contrato[[#This Row],[CDP]],DISPONIBILIDADES_2025[[#All],[valor_total_rubro]])</f>
        <v>50609170</v>
      </c>
      <c r="T188" s="118" t="e" cm="1">
        <f t="array" aca="1" ref="T188" ca="1">_xlfn.XLOOKUP(Contrato[[#This Row],[CONTRATO]]&amp;Contrato[[#This Row],[CDP]],Corr_Contr_CDP[[#All],[CONTRATO-CDP]],Corr_Contr_CDP[[#All],[CRP]],_xlfn.XLOOKUP(Contrato[[#This Row],[CDP]],COMPROMISOS_2025[[#All],[disponibilidad]],COMPROMISOS_2025[[#All],[consecutivo]],"",0),0)</f>
        <v>#NAME?</v>
      </c>
      <c r="U188" s="117" t="e" cm="1">
        <f t="array" aca="1" ref="U188" ca="1">+_xlfn.XLOOKUP(Contrato[[#This Row],[RCP]],COMPROMISOS_2025[[#All],[consecutivo]],COMPROMISOS_2025[[#All],[fecha_aprobacion]],"",0)</f>
        <v>#NAME?</v>
      </c>
      <c r="V188" s="93">
        <f ca="1">SUMIF(COMPROMISOS_2025[[#All],[consecutivo]],Contrato[[#This Row],[RCP]],COMPROMISOS_2025[[#All],[valor_total]])</f>
        <v>0</v>
      </c>
      <c r="W188" s="169">
        <v>45708</v>
      </c>
      <c r="X188" s="243" t="s">
        <v>901</v>
      </c>
      <c r="Y188" s="397">
        <v>45709</v>
      </c>
      <c r="Z188" s="161">
        <v>46005</v>
      </c>
      <c r="AA188" s="198" t="s">
        <v>1139</v>
      </c>
      <c r="AB188" s="119" t="s">
        <v>1127</v>
      </c>
      <c r="AC188" s="301"/>
      <c r="AD188" s="279">
        <v>202000006312</v>
      </c>
      <c r="AE188" s="38" t="s">
        <v>904</v>
      </c>
      <c r="AF188" s="120" t="str">
        <f>TEXT(LEFT(Contrato[[#This Row],[CONTRATO]],3),"0")</f>
        <v>182</v>
      </c>
      <c r="AG188" s="120" t="str">
        <f>IF(LEN(Contrato[[#This Row],[Contrato2]])=3,Contrato[[#This Row],[Contrato2]],TEXT(Contrato[[#This Row],[Contrato2]],"000"))</f>
        <v>182</v>
      </c>
      <c r="AH188" s="90">
        <f ca="1">IFERROR(_xlfn.DAYS(Contrato[[#This Row],[Fecha Proyectada liquidación]],TODAY())/30,"")</f>
        <v>11.4</v>
      </c>
      <c r="AI188" s="121">
        <f>+Contrato[[#This Row],[FECHA TERMINACIÓN ]]+120</f>
        <v>46125</v>
      </c>
      <c r="AJ188" s="89"/>
      <c r="AK188" s="91" t="str">
        <f ca="1">IF(Contrato[[#This Row],[FECHA TERMINACIÓN ]]&lt;TODAY(), "Terminado",IF(ISNUMBER(Contrato[[#This Row],[Fecha Real de liquiidación ]]),"Liquidado",IF(Contrato[[#This Row],[FECHA TERMINACIÓN ]]&gt;=TODAY(),"En ejecución","")))</f>
        <v>En ejecución</v>
      </c>
      <c r="AL188" s="107">
        <f ca="1">SUMIF(COMPROMISOS_2025[[#All],[consecutivo]],Contrato[[#This Row],[RCP]],COMPROMISOS_2025[[#All],[Total pagado]])</f>
        <v>0</v>
      </c>
      <c r="AM188" s="122">
        <f ca="1">IFERROR(Contrato[[#This Row],[Pagos]]/Contrato[[#This Row],[VALOR CONTRATO]],0)</f>
        <v>0</v>
      </c>
      <c r="AN188" s="160">
        <f ca="1">+Contrato[[#This Row],[VALOR CONTRATO]]-Contrato[[#This Row],[Pagos]]</f>
        <v>50609170</v>
      </c>
      <c r="AO188" s="111" t="e" cm="1">
        <f t="array" aca="1" ref="AO188" ca="1">_xlfn.XLOOKUP(Contrato[[#This Row],[DOCUMENTO ]],PERSONAL_ACTIVO_2025[[#All],[DOCUMENTO]],PERSONAL_ACTIVO_2025[[#All],[email]],0,0)</f>
        <v>#NAME?</v>
      </c>
      <c r="AP188" s="111" t="e" cm="1">
        <f t="array" aca="1" ref="AP188" ca="1">_xlfn.XLOOKUP(Contrato[[#This Row],[DOCUMENTO]],PERSONAL_ACTIVO_2025[[#All],[DOCUMENTO]],PERSONAL_ACTIVO_2025[[#All],[email]],0,0)</f>
        <v>#NAME?</v>
      </c>
      <c r="AQ188" s="111" cm="1">
        <f t="array" aca="1" ref="AQ188" ca="1">IF(ISBLANK(Contrato[[#This Row],[DEPENDENCIA ]]),0,IFERROR(_xlfn.XLOOKUP(Contrato[[#This Row],[DEPENDENCIA ]],#REF!,#REF!,0,0),0))</f>
        <v>0</v>
      </c>
      <c r="AR188" s="553">
        <f ca="1">+_xlfn.DAYS(Contrato[[#This Row],[FECHA TERMINACIÓN ]],TODAY())</f>
        <v>222</v>
      </c>
    </row>
    <row r="189" spans="1:44" s="111" customFormat="1" ht="36" customHeight="1" x14ac:dyDescent="0.25">
      <c r="A189" s="38">
        <v>395</v>
      </c>
      <c r="B189" s="226">
        <v>183</v>
      </c>
      <c r="C189" s="88" t="s">
        <v>593</v>
      </c>
      <c r="D189" s="192" t="s">
        <v>911</v>
      </c>
      <c r="E189" s="193" t="s">
        <v>112</v>
      </c>
      <c r="F189" s="194" t="s">
        <v>113</v>
      </c>
      <c r="G189" s="195" t="s">
        <v>1243</v>
      </c>
      <c r="H189" s="167">
        <v>8154096</v>
      </c>
      <c r="I189" s="292">
        <v>5164201</v>
      </c>
      <c r="J189" s="290">
        <v>50609170</v>
      </c>
      <c r="K189" s="158" t="s">
        <v>41</v>
      </c>
      <c r="L189" s="196" t="s">
        <v>1087</v>
      </c>
      <c r="M189" s="114" t="s">
        <v>938</v>
      </c>
      <c r="N189" s="113" t="e" cm="1">
        <f t="array" aca="1" ref="N189" ca="1">_xlfn.XLOOKUP(Contrato[[#This Row],[SUPERVISOR TITULAR]],PERSONAL_ACTIVO_2025[[#All],[NOMBRES Y APELLIDOS]],PERSONAL_ACTIVO_2025[[#All],[DOCUMENTO]],"",0)</f>
        <v>#NAME?</v>
      </c>
      <c r="O189" s="114" t="s">
        <v>1091</v>
      </c>
      <c r="P189" s="115" t="e" cm="1">
        <f t="array" aca="1" ref="P189" ca="1">_xlfn.XLOOKUP(Contrato[[#This Row],[SUPERVISOR SUPLENTE ]],PERSONAL_ACTIVO_2025[[#All],[NOMBRES Y APELLIDOS]],PERSONAL_ACTIVO_2025[[#All],[DOCUMENTO]],"",0)</f>
        <v>#NAME?</v>
      </c>
      <c r="Q189" s="116">
        <v>228</v>
      </c>
      <c r="R189" s="137" t="e" cm="1">
        <f t="array" aca="1" ref="R189" ca="1">_xlfn.XLOOKUP(Contrato[[#This Row],[CDP]],DISPONIBILIDADES_2025[[#All],[consecutivo]],DISPONIBILIDADES_2025[[#All],[fecha_aprobacion]],"",0)</f>
        <v>#NAME?</v>
      </c>
      <c r="S189" s="92">
        <f>SUMIF(DISPONIBILIDADES_2025[[#All],[consecutivo]],Contrato[[#This Row],[CDP]],DISPONIBILIDADES_2025[[#All],[valor_total_rubro]])</f>
        <v>50609170</v>
      </c>
      <c r="T189" s="118" t="e" cm="1">
        <f t="array" aca="1" ref="T189" ca="1">_xlfn.XLOOKUP(Contrato[[#This Row],[CONTRATO]]&amp;Contrato[[#This Row],[CDP]],Corr_Contr_CDP[[#All],[CONTRATO-CDP]],Corr_Contr_CDP[[#All],[CRP]],_xlfn.XLOOKUP(Contrato[[#This Row],[CDP]],COMPROMISOS_2025[[#All],[disponibilidad]],COMPROMISOS_2025[[#All],[consecutivo]],"",0),0)</f>
        <v>#NAME?</v>
      </c>
      <c r="U189" s="117" t="e" cm="1">
        <f t="array" aca="1" ref="U189" ca="1">+_xlfn.XLOOKUP(Contrato[[#This Row],[RCP]],COMPROMISOS_2025[[#All],[consecutivo]],COMPROMISOS_2025[[#All],[fecha_aprobacion]],"",0)</f>
        <v>#NAME?</v>
      </c>
      <c r="V189" s="93">
        <f ca="1">SUMIF(COMPROMISOS_2025[[#All],[consecutivo]],Contrato[[#This Row],[RCP]],COMPROMISOS_2025[[#All],[valor_total]])</f>
        <v>0</v>
      </c>
      <c r="W189" s="169">
        <v>45708</v>
      </c>
      <c r="X189" s="243" t="s">
        <v>901</v>
      </c>
      <c r="Y189" s="397">
        <v>45709</v>
      </c>
      <c r="Z189" s="161">
        <v>46005</v>
      </c>
      <c r="AA189" s="198" t="s">
        <v>1139</v>
      </c>
      <c r="AB189" s="119" t="s">
        <v>1127</v>
      </c>
      <c r="AC189" s="301"/>
      <c r="AD189" s="279">
        <v>202000006313</v>
      </c>
      <c r="AE189" s="38" t="s">
        <v>904</v>
      </c>
      <c r="AF189" s="120" t="str">
        <f>TEXT(LEFT(Contrato[[#This Row],[CONTRATO]],3),"0")</f>
        <v>183</v>
      </c>
      <c r="AG189" s="120" t="str">
        <f>IF(LEN(Contrato[[#This Row],[Contrato2]])=3,Contrato[[#This Row],[Contrato2]],TEXT(Contrato[[#This Row],[Contrato2]],"000"))</f>
        <v>183</v>
      </c>
      <c r="AH189" s="90">
        <f ca="1">IFERROR(_xlfn.DAYS(Contrato[[#This Row],[Fecha Proyectada liquidación]],TODAY())/30,"")</f>
        <v>11.4</v>
      </c>
      <c r="AI189" s="121">
        <f>+Contrato[[#This Row],[FECHA TERMINACIÓN ]]+120</f>
        <v>46125</v>
      </c>
      <c r="AJ189" s="89"/>
      <c r="AK189" s="91" t="str">
        <f ca="1">IF(Contrato[[#This Row],[FECHA TERMINACIÓN ]]&lt;TODAY(), "Terminado",IF(ISNUMBER(Contrato[[#This Row],[Fecha Real de liquiidación ]]),"Liquidado",IF(Contrato[[#This Row],[FECHA TERMINACIÓN ]]&gt;=TODAY(),"En ejecución","")))</f>
        <v>En ejecución</v>
      </c>
      <c r="AL189" s="107">
        <f ca="1">SUMIF(COMPROMISOS_2025[[#All],[consecutivo]],Contrato[[#This Row],[RCP]],COMPROMISOS_2025[[#All],[Total pagado]])</f>
        <v>0</v>
      </c>
      <c r="AM189" s="122">
        <f ca="1">IFERROR(Contrato[[#This Row],[Pagos]]/Contrato[[#This Row],[VALOR CONTRATO]],0)</f>
        <v>0</v>
      </c>
      <c r="AN189" s="160">
        <f ca="1">+Contrato[[#This Row],[VALOR CONTRATO]]-Contrato[[#This Row],[Pagos]]</f>
        <v>50609170</v>
      </c>
      <c r="AO189" s="111" t="e" cm="1">
        <f t="array" aca="1" ref="AO189" ca="1">_xlfn.XLOOKUP(Contrato[[#This Row],[DOCUMENTO ]],PERSONAL_ACTIVO_2025[[#All],[DOCUMENTO]],PERSONAL_ACTIVO_2025[[#All],[email]],0,0)</f>
        <v>#NAME?</v>
      </c>
      <c r="AP189" s="111" t="e" cm="1">
        <f t="array" aca="1" ref="AP189" ca="1">_xlfn.XLOOKUP(Contrato[[#This Row],[DOCUMENTO]],PERSONAL_ACTIVO_2025[[#All],[DOCUMENTO]],PERSONAL_ACTIVO_2025[[#All],[email]],0,0)</f>
        <v>#NAME?</v>
      </c>
      <c r="AQ189" s="111" cm="1">
        <f t="array" aca="1" ref="AQ189" ca="1">IF(ISBLANK(Contrato[[#This Row],[DEPENDENCIA ]]),0,IFERROR(_xlfn.XLOOKUP(Contrato[[#This Row],[DEPENDENCIA ]],#REF!,#REF!,0,0),0))</f>
        <v>0</v>
      </c>
      <c r="AR189" s="553">
        <f ca="1">+_xlfn.DAYS(Contrato[[#This Row],[FECHA TERMINACIÓN ]],TODAY())</f>
        <v>222</v>
      </c>
    </row>
    <row r="190" spans="1:44" s="111" customFormat="1" ht="36" customHeight="1" x14ac:dyDescent="0.25">
      <c r="A190" s="38">
        <v>396</v>
      </c>
      <c r="B190" s="226">
        <v>184</v>
      </c>
      <c r="C190" s="88" t="s">
        <v>594</v>
      </c>
      <c r="D190" s="192" t="s">
        <v>911</v>
      </c>
      <c r="E190" s="193" t="s">
        <v>112</v>
      </c>
      <c r="F190" s="194" t="s">
        <v>113</v>
      </c>
      <c r="G190" s="195" t="s">
        <v>1244</v>
      </c>
      <c r="H190" s="167">
        <v>8323529</v>
      </c>
      <c r="I190" s="292">
        <v>5164201</v>
      </c>
      <c r="J190" s="290">
        <v>50609170</v>
      </c>
      <c r="K190" s="158" t="s">
        <v>41</v>
      </c>
      <c r="L190" s="196" t="s">
        <v>1087</v>
      </c>
      <c r="M190" s="114" t="s">
        <v>938</v>
      </c>
      <c r="N190" s="113" t="e" cm="1">
        <f t="array" aca="1" ref="N190" ca="1">_xlfn.XLOOKUP(Contrato[[#This Row],[SUPERVISOR TITULAR]],PERSONAL_ACTIVO_2025[[#All],[NOMBRES Y APELLIDOS]],PERSONAL_ACTIVO_2025[[#All],[DOCUMENTO]],"",0)</f>
        <v>#NAME?</v>
      </c>
      <c r="O190" s="114" t="s">
        <v>1091</v>
      </c>
      <c r="P190" s="115" t="e" cm="1">
        <f t="array" aca="1" ref="P190" ca="1">_xlfn.XLOOKUP(Contrato[[#This Row],[SUPERVISOR SUPLENTE ]],PERSONAL_ACTIVO_2025[[#All],[NOMBRES Y APELLIDOS]],PERSONAL_ACTIVO_2025[[#All],[DOCUMENTO]],"",0)</f>
        <v>#NAME?</v>
      </c>
      <c r="Q190" s="116">
        <v>229</v>
      </c>
      <c r="R190" s="137" t="e" cm="1">
        <f t="array" aca="1" ref="R190" ca="1">_xlfn.XLOOKUP(Contrato[[#This Row],[CDP]],DISPONIBILIDADES_2025[[#All],[consecutivo]],DISPONIBILIDADES_2025[[#All],[fecha_aprobacion]],"",0)</f>
        <v>#NAME?</v>
      </c>
      <c r="S190" s="92">
        <f>SUMIF(DISPONIBILIDADES_2025[[#All],[consecutivo]],Contrato[[#This Row],[CDP]],DISPONIBILIDADES_2025[[#All],[valor_total_rubro]])</f>
        <v>50609170</v>
      </c>
      <c r="T190" s="118" t="e" cm="1">
        <f t="array" aca="1" ref="T190" ca="1">_xlfn.XLOOKUP(Contrato[[#This Row],[CONTRATO]]&amp;Contrato[[#This Row],[CDP]],Corr_Contr_CDP[[#All],[CONTRATO-CDP]],Corr_Contr_CDP[[#All],[CRP]],_xlfn.XLOOKUP(Contrato[[#This Row],[CDP]],COMPROMISOS_2025[[#All],[disponibilidad]],COMPROMISOS_2025[[#All],[consecutivo]],"",0),0)</f>
        <v>#NAME?</v>
      </c>
      <c r="U190" s="117" t="e" cm="1">
        <f t="array" aca="1" ref="U190" ca="1">+_xlfn.XLOOKUP(Contrato[[#This Row],[RCP]],COMPROMISOS_2025[[#All],[consecutivo]],COMPROMISOS_2025[[#All],[fecha_aprobacion]],"",0)</f>
        <v>#NAME?</v>
      </c>
      <c r="V190" s="93">
        <f ca="1">SUMIF(COMPROMISOS_2025[[#All],[consecutivo]],Contrato[[#This Row],[RCP]],COMPROMISOS_2025[[#All],[valor_total]])</f>
        <v>0</v>
      </c>
      <c r="W190" s="169">
        <v>45708</v>
      </c>
      <c r="X190" s="243" t="s">
        <v>901</v>
      </c>
      <c r="Y190" s="397">
        <v>45709</v>
      </c>
      <c r="Z190" s="161">
        <v>46005</v>
      </c>
      <c r="AA190" s="198" t="s">
        <v>1139</v>
      </c>
      <c r="AB190" s="119" t="s">
        <v>1127</v>
      </c>
      <c r="AC190" s="302"/>
      <c r="AD190" s="279">
        <v>202000006314</v>
      </c>
      <c r="AE190" s="38" t="s">
        <v>904</v>
      </c>
      <c r="AF190" s="120" t="str">
        <f>TEXT(LEFT(Contrato[[#This Row],[CONTRATO]],3),"0")</f>
        <v>184</v>
      </c>
      <c r="AG190" s="120" t="str">
        <f>IF(LEN(Contrato[[#This Row],[Contrato2]])=3,Contrato[[#This Row],[Contrato2]],TEXT(Contrato[[#This Row],[Contrato2]],"000"))</f>
        <v>184</v>
      </c>
      <c r="AH190" s="90">
        <f ca="1">IFERROR(_xlfn.DAYS(Contrato[[#This Row],[Fecha Proyectada liquidación]],TODAY())/30,"")</f>
        <v>11.4</v>
      </c>
      <c r="AI190" s="121">
        <f>+Contrato[[#This Row],[FECHA TERMINACIÓN ]]+120</f>
        <v>46125</v>
      </c>
      <c r="AJ190" s="89"/>
      <c r="AK190" s="91" t="str">
        <f ca="1">IF(Contrato[[#This Row],[FECHA TERMINACIÓN ]]&lt;TODAY(), "Terminado",IF(ISNUMBER(Contrato[[#This Row],[Fecha Real de liquiidación ]]),"Liquidado",IF(Contrato[[#This Row],[FECHA TERMINACIÓN ]]&gt;=TODAY(),"En ejecución","")))</f>
        <v>En ejecución</v>
      </c>
      <c r="AL190" s="107">
        <f ca="1">SUMIF(COMPROMISOS_2025[[#All],[consecutivo]],Contrato[[#This Row],[RCP]],COMPROMISOS_2025[[#All],[Total pagado]])</f>
        <v>0</v>
      </c>
      <c r="AM190" s="122">
        <f ca="1">IFERROR(Contrato[[#This Row],[Pagos]]/Contrato[[#This Row],[VALOR CONTRATO]],0)</f>
        <v>0</v>
      </c>
      <c r="AN190" s="160">
        <f ca="1">+Contrato[[#This Row],[VALOR CONTRATO]]-Contrato[[#This Row],[Pagos]]</f>
        <v>50609170</v>
      </c>
      <c r="AO190" s="111" t="e" cm="1">
        <f t="array" aca="1" ref="AO190" ca="1">_xlfn.XLOOKUP(Contrato[[#This Row],[DOCUMENTO ]],PERSONAL_ACTIVO_2025[[#All],[DOCUMENTO]],PERSONAL_ACTIVO_2025[[#All],[email]],0,0)</f>
        <v>#NAME?</v>
      </c>
      <c r="AP190" s="111" t="e" cm="1">
        <f t="array" aca="1" ref="AP190" ca="1">_xlfn.XLOOKUP(Contrato[[#This Row],[DOCUMENTO]],PERSONAL_ACTIVO_2025[[#All],[DOCUMENTO]],PERSONAL_ACTIVO_2025[[#All],[email]],0,0)</f>
        <v>#NAME?</v>
      </c>
      <c r="AQ190" s="111" cm="1">
        <f t="array" aca="1" ref="AQ190" ca="1">IF(ISBLANK(Contrato[[#This Row],[DEPENDENCIA ]]),0,IFERROR(_xlfn.XLOOKUP(Contrato[[#This Row],[DEPENDENCIA ]],#REF!,#REF!,0,0),0))</f>
        <v>0</v>
      </c>
      <c r="AR190" s="553">
        <f ca="1">+_xlfn.DAYS(Contrato[[#This Row],[FECHA TERMINACIÓN ]],TODAY())</f>
        <v>222</v>
      </c>
    </row>
    <row r="191" spans="1:44" s="111" customFormat="1" ht="36" customHeight="1" x14ac:dyDescent="0.25">
      <c r="A191" s="38">
        <v>397</v>
      </c>
      <c r="B191" s="226">
        <v>185</v>
      </c>
      <c r="C191" s="88" t="s">
        <v>595</v>
      </c>
      <c r="D191" s="192" t="s">
        <v>911</v>
      </c>
      <c r="E191" s="193" t="s">
        <v>112</v>
      </c>
      <c r="F191" s="194" t="s">
        <v>113</v>
      </c>
      <c r="G191" s="195" t="s">
        <v>1245</v>
      </c>
      <c r="H191" s="167">
        <v>1045021905</v>
      </c>
      <c r="I191" s="292">
        <v>5164201</v>
      </c>
      <c r="J191" s="290">
        <v>50609170</v>
      </c>
      <c r="K191" s="158" t="s">
        <v>41</v>
      </c>
      <c r="L191" s="196" t="s">
        <v>1087</v>
      </c>
      <c r="M191" s="114" t="s">
        <v>938</v>
      </c>
      <c r="N191" s="113" t="e" cm="1">
        <f t="array" aca="1" ref="N191" ca="1">_xlfn.XLOOKUP(Contrato[[#This Row],[SUPERVISOR TITULAR]],PERSONAL_ACTIVO_2025[[#All],[NOMBRES Y APELLIDOS]],PERSONAL_ACTIVO_2025[[#All],[DOCUMENTO]],"",0)</f>
        <v>#NAME?</v>
      </c>
      <c r="O191" s="114" t="s">
        <v>1091</v>
      </c>
      <c r="P191" s="115" t="e" cm="1">
        <f t="array" aca="1" ref="P191" ca="1">_xlfn.XLOOKUP(Contrato[[#This Row],[SUPERVISOR SUPLENTE ]],PERSONAL_ACTIVO_2025[[#All],[NOMBRES Y APELLIDOS]],PERSONAL_ACTIVO_2025[[#All],[DOCUMENTO]],"",0)</f>
        <v>#NAME?</v>
      </c>
      <c r="Q191" s="116">
        <v>230</v>
      </c>
      <c r="R191" s="137" t="e" cm="1">
        <f t="array" aca="1" ref="R191" ca="1">_xlfn.XLOOKUP(Contrato[[#This Row],[CDP]],DISPONIBILIDADES_2025[[#All],[consecutivo]],DISPONIBILIDADES_2025[[#All],[fecha_aprobacion]],"",0)</f>
        <v>#NAME?</v>
      </c>
      <c r="S191" s="92">
        <f>SUMIF(DISPONIBILIDADES_2025[[#All],[consecutivo]],Contrato[[#This Row],[CDP]],DISPONIBILIDADES_2025[[#All],[valor_total_rubro]])</f>
        <v>50609170</v>
      </c>
      <c r="T191" s="118" t="e" cm="1">
        <f t="array" aca="1" ref="T191" ca="1">_xlfn.XLOOKUP(Contrato[[#This Row],[CONTRATO]]&amp;Contrato[[#This Row],[CDP]],Corr_Contr_CDP[[#All],[CONTRATO-CDP]],Corr_Contr_CDP[[#All],[CRP]],_xlfn.XLOOKUP(Contrato[[#This Row],[CDP]],COMPROMISOS_2025[[#All],[disponibilidad]],COMPROMISOS_2025[[#All],[consecutivo]],"",0),0)</f>
        <v>#NAME?</v>
      </c>
      <c r="U191" s="117" t="e" cm="1">
        <f t="array" aca="1" ref="U191" ca="1">+_xlfn.XLOOKUP(Contrato[[#This Row],[RCP]],COMPROMISOS_2025[[#All],[consecutivo]],COMPROMISOS_2025[[#All],[fecha_aprobacion]],"",0)</f>
        <v>#NAME?</v>
      </c>
      <c r="V191" s="93">
        <f ca="1">SUMIF(COMPROMISOS_2025[[#All],[consecutivo]],Contrato[[#This Row],[RCP]],COMPROMISOS_2025[[#All],[valor_total]])</f>
        <v>0</v>
      </c>
      <c r="W191" s="169">
        <v>45708</v>
      </c>
      <c r="X191" s="243" t="s">
        <v>901</v>
      </c>
      <c r="Y191" s="397">
        <v>45709</v>
      </c>
      <c r="Z191" s="161">
        <v>46005</v>
      </c>
      <c r="AA191" s="198" t="s">
        <v>1139</v>
      </c>
      <c r="AB191" s="119" t="s">
        <v>1127</v>
      </c>
      <c r="AC191" s="302"/>
      <c r="AD191" s="279">
        <v>202000006315</v>
      </c>
      <c r="AE191" s="38" t="s">
        <v>904</v>
      </c>
      <c r="AF191" s="120" t="str">
        <f>TEXT(LEFT(Contrato[[#This Row],[CONTRATO]],3),"0")</f>
        <v>185</v>
      </c>
      <c r="AG191" s="120" t="str">
        <f>IF(LEN(Contrato[[#This Row],[Contrato2]])=3,Contrato[[#This Row],[Contrato2]],TEXT(Contrato[[#This Row],[Contrato2]],"000"))</f>
        <v>185</v>
      </c>
      <c r="AH191" s="90">
        <f ca="1">IFERROR(_xlfn.DAYS(Contrato[[#This Row],[Fecha Proyectada liquidación]],TODAY())/30,"")</f>
        <v>11.4</v>
      </c>
      <c r="AI191" s="121">
        <f>+Contrato[[#This Row],[FECHA TERMINACIÓN ]]+120</f>
        <v>46125</v>
      </c>
      <c r="AJ191" s="89"/>
      <c r="AK191" s="91" t="str">
        <f ca="1">IF(Contrato[[#This Row],[FECHA TERMINACIÓN ]]&lt;TODAY(), "Terminado",IF(ISNUMBER(Contrato[[#This Row],[Fecha Real de liquiidación ]]),"Liquidado",IF(Contrato[[#This Row],[FECHA TERMINACIÓN ]]&gt;=TODAY(),"En ejecución","")))</f>
        <v>En ejecución</v>
      </c>
      <c r="AL191" s="107">
        <f ca="1">SUMIF(COMPROMISOS_2025[[#All],[consecutivo]],Contrato[[#This Row],[RCP]],COMPROMISOS_2025[[#All],[Total pagado]])</f>
        <v>0</v>
      </c>
      <c r="AM191" s="122">
        <f ca="1">IFERROR(Contrato[[#This Row],[Pagos]]/Contrato[[#This Row],[VALOR CONTRATO]],0)</f>
        <v>0</v>
      </c>
      <c r="AN191" s="160">
        <f ca="1">+Contrato[[#This Row],[VALOR CONTRATO]]-Contrato[[#This Row],[Pagos]]</f>
        <v>50609170</v>
      </c>
      <c r="AO191" s="111" t="e" cm="1">
        <f t="array" aca="1" ref="AO191" ca="1">_xlfn.XLOOKUP(Contrato[[#This Row],[DOCUMENTO ]],PERSONAL_ACTIVO_2025[[#All],[DOCUMENTO]],PERSONAL_ACTIVO_2025[[#All],[email]],0,0)</f>
        <v>#NAME?</v>
      </c>
      <c r="AP191" s="111" t="e" cm="1">
        <f t="array" aca="1" ref="AP191" ca="1">_xlfn.XLOOKUP(Contrato[[#This Row],[DOCUMENTO]],PERSONAL_ACTIVO_2025[[#All],[DOCUMENTO]],PERSONAL_ACTIVO_2025[[#All],[email]],0,0)</f>
        <v>#NAME?</v>
      </c>
      <c r="AQ191" s="111" cm="1">
        <f t="array" aca="1" ref="AQ191" ca="1">IF(ISBLANK(Contrato[[#This Row],[DEPENDENCIA ]]),0,IFERROR(_xlfn.XLOOKUP(Contrato[[#This Row],[DEPENDENCIA ]],#REF!,#REF!,0,0),0))</f>
        <v>0</v>
      </c>
      <c r="AR191" s="553">
        <f ca="1">+_xlfn.DAYS(Contrato[[#This Row],[FECHA TERMINACIÓN ]],TODAY())</f>
        <v>222</v>
      </c>
    </row>
    <row r="192" spans="1:44" s="111" customFormat="1" ht="36" customHeight="1" x14ac:dyDescent="0.25">
      <c r="A192" s="38">
        <v>398</v>
      </c>
      <c r="B192" s="226">
        <v>186</v>
      </c>
      <c r="C192" s="88" t="s">
        <v>596</v>
      </c>
      <c r="D192" s="192" t="s">
        <v>911</v>
      </c>
      <c r="E192" s="193" t="s">
        <v>112</v>
      </c>
      <c r="F192" s="194" t="s">
        <v>113</v>
      </c>
      <c r="G192" s="195" t="s">
        <v>1246</v>
      </c>
      <c r="H192" s="167">
        <v>15488736</v>
      </c>
      <c r="I192" s="292">
        <v>5164201</v>
      </c>
      <c r="J192" s="290">
        <v>50609170</v>
      </c>
      <c r="K192" s="158" t="s">
        <v>41</v>
      </c>
      <c r="L192" s="196" t="s">
        <v>1087</v>
      </c>
      <c r="M192" s="114" t="s">
        <v>938</v>
      </c>
      <c r="N192" s="113" t="e" cm="1">
        <f t="array" aca="1" ref="N192" ca="1">_xlfn.XLOOKUP(Contrato[[#This Row],[SUPERVISOR TITULAR]],PERSONAL_ACTIVO_2025[[#All],[NOMBRES Y APELLIDOS]],PERSONAL_ACTIVO_2025[[#All],[DOCUMENTO]],"",0)</f>
        <v>#NAME?</v>
      </c>
      <c r="O192" s="114" t="s">
        <v>1091</v>
      </c>
      <c r="P192" s="115" t="e" cm="1">
        <f t="array" aca="1" ref="P192" ca="1">_xlfn.XLOOKUP(Contrato[[#This Row],[SUPERVISOR SUPLENTE ]],PERSONAL_ACTIVO_2025[[#All],[NOMBRES Y APELLIDOS]],PERSONAL_ACTIVO_2025[[#All],[DOCUMENTO]],"",0)</f>
        <v>#NAME?</v>
      </c>
      <c r="Q192" s="116">
        <v>231</v>
      </c>
      <c r="R192" s="137" t="e" cm="1">
        <f t="array" aca="1" ref="R192" ca="1">_xlfn.XLOOKUP(Contrato[[#This Row],[CDP]],DISPONIBILIDADES_2025[[#All],[consecutivo]],DISPONIBILIDADES_2025[[#All],[fecha_aprobacion]],"",0)</f>
        <v>#NAME?</v>
      </c>
      <c r="S192" s="92">
        <f>SUMIF(DISPONIBILIDADES_2025[[#All],[consecutivo]],Contrato[[#This Row],[CDP]],DISPONIBILIDADES_2025[[#All],[valor_total_rubro]])</f>
        <v>50609170</v>
      </c>
      <c r="T192" s="118" t="e" cm="1">
        <f t="array" aca="1" ref="T192" ca="1">_xlfn.XLOOKUP(Contrato[[#This Row],[CONTRATO]]&amp;Contrato[[#This Row],[CDP]],Corr_Contr_CDP[[#All],[CONTRATO-CDP]],Corr_Contr_CDP[[#All],[CRP]],_xlfn.XLOOKUP(Contrato[[#This Row],[CDP]],COMPROMISOS_2025[[#All],[disponibilidad]],COMPROMISOS_2025[[#All],[consecutivo]],"",0),0)</f>
        <v>#NAME?</v>
      </c>
      <c r="U192" s="117" t="e" cm="1">
        <f t="array" aca="1" ref="U192" ca="1">+_xlfn.XLOOKUP(Contrato[[#This Row],[RCP]],COMPROMISOS_2025[[#All],[consecutivo]],COMPROMISOS_2025[[#All],[fecha_aprobacion]],"",0)</f>
        <v>#NAME?</v>
      </c>
      <c r="V192" s="93">
        <f ca="1">SUMIF(COMPROMISOS_2025[[#All],[consecutivo]],Contrato[[#This Row],[RCP]],COMPROMISOS_2025[[#All],[valor_total]])</f>
        <v>0</v>
      </c>
      <c r="W192" s="169">
        <v>45708</v>
      </c>
      <c r="X192" s="243" t="s">
        <v>901</v>
      </c>
      <c r="Y192" s="397">
        <v>45709</v>
      </c>
      <c r="Z192" s="161">
        <v>46005</v>
      </c>
      <c r="AA192" s="198" t="s">
        <v>1139</v>
      </c>
      <c r="AB192" s="119" t="s">
        <v>1127</v>
      </c>
      <c r="AC192" s="303"/>
      <c r="AD192" s="279">
        <v>202000006316</v>
      </c>
      <c r="AE192" s="38" t="s">
        <v>904</v>
      </c>
      <c r="AF192" s="120" t="str">
        <f>TEXT(LEFT(Contrato[[#This Row],[CONTRATO]],3),"0")</f>
        <v>186</v>
      </c>
      <c r="AG192" s="120" t="str">
        <f>IF(LEN(Contrato[[#This Row],[Contrato2]])=3,Contrato[[#This Row],[Contrato2]],TEXT(Contrato[[#This Row],[Contrato2]],"000"))</f>
        <v>186</v>
      </c>
      <c r="AH192" s="90">
        <f ca="1">IFERROR(_xlfn.DAYS(Contrato[[#This Row],[Fecha Proyectada liquidación]],TODAY())/30,"")</f>
        <v>11.4</v>
      </c>
      <c r="AI192" s="121">
        <f>+Contrato[[#This Row],[FECHA TERMINACIÓN ]]+120</f>
        <v>46125</v>
      </c>
      <c r="AJ192" s="89"/>
      <c r="AK192" s="91" t="str">
        <f ca="1">IF(Contrato[[#This Row],[FECHA TERMINACIÓN ]]&lt;TODAY(), "Terminado",IF(ISNUMBER(Contrato[[#This Row],[Fecha Real de liquiidación ]]),"Liquidado",IF(Contrato[[#This Row],[FECHA TERMINACIÓN ]]&gt;=TODAY(),"En ejecución","")))</f>
        <v>En ejecución</v>
      </c>
      <c r="AL192" s="107">
        <f ca="1">SUMIF(COMPROMISOS_2025[[#All],[consecutivo]],Contrato[[#This Row],[RCP]],COMPROMISOS_2025[[#All],[Total pagado]])</f>
        <v>0</v>
      </c>
      <c r="AM192" s="122">
        <f ca="1">IFERROR(Contrato[[#This Row],[Pagos]]/Contrato[[#This Row],[VALOR CONTRATO]],0)</f>
        <v>0</v>
      </c>
      <c r="AN192" s="160">
        <f ca="1">+Contrato[[#This Row],[VALOR CONTRATO]]-Contrato[[#This Row],[Pagos]]</f>
        <v>50609170</v>
      </c>
      <c r="AO192" s="111" t="e" cm="1">
        <f t="array" aca="1" ref="AO192" ca="1">_xlfn.XLOOKUP(Contrato[[#This Row],[DOCUMENTO ]],PERSONAL_ACTIVO_2025[[#All],[DOCUMENTO]],PERSONAL_ACTIVO_2025[[#All],[email]],0,0)</f>
        <v>#NAME?</v>
      </c>
      <c r="AP192" s="111" t="e" cm="1">
        <f t="array" aca="1" ref="AP192" ca="1">_xlfn.XLOOKUP(Contrato[[#This Row],[DOCUMENTO]],PERSONAL_ACTIVO_2025[[#All],[DOCUMENTO]],PERSONAL_ACTIVO_2025[[#All],[email]],0,0)</f>
        <v>#NAME?</v>
      </c>
      <c r="AQ192" s="111" cm="1">
        <f t="array" aca="1" ref="AQ192" ca="1">IF(ISBLANK(Contrato[[#This Row],[DEPENDENCIA ]]),0,IFERROR(_xlfn.XLOOKUP(Contrato[[#This Row],[DEPENDENCIA ]],#REF!,#REF!,0,0),0))</f>
        <v>0</v>
      </c>
      <c r="AR192" s="553">
        <f ca="1">+_xlfn.DAYS(Contrato[[#This Row],[FECHA TERMINACIÓN ]],TODAY())</f>
        <v>222</v>
      </c>
    </row>
    <row r="193" spans="1:44" s="111" customFormat="1" ht="36" customHeight="1" x14ac:dyDescent="0.25">
      <c r="A193" s="38">
        <v>399</v>
      </c>
      <c r="B193" s="226">
        <v>187</v>
      </c>
      <c r="C193" s="88" t="s">
        <v>597</v>
      </c>
      <c r="D193" s="192" t="s">
        <v>911</v>
      </c>
      <c r="E193" s="193" t="s">
        <v>112</v>
      </c>
      <c r="F193" s="194" t="s">
        <v>113</v>
      </c>
      <c r="G193" s="195" t="s">
        <v>1247</v>
      </c>
      <c r="H193" s="167">
        <v>7975527</v>
      </c>
      <c r="I193" s="292">
        <v>10361584</v>
      </c>
      <c r="J193" s="290">
        <v>101543523</v>
      </c>
      <c r="K193" s="158" t="s">
        <v>41</v>
      </c>
      <c r="L193" s="196" t="s">
        <v>1087</v>
      </c>
      <c r="M193" s="114" t="s">
        <v>938</v>
      </c>
      <c r="N193" s="113" t="e" cm="1">
        <f t="array" aca="1" ref="N193" ca="1">_xlfn.XLOOKUP(Contrato[[#This Row],[SUPERVISOR TITULAR]],PERSONAL_ACTIVO_2025[[#All],[NOMBRES Y APELLIDOS]],PERSONAL_ACTIVO_2025[[#All],[DOCUMENTO]],"",0)</f>
        <v>#NAME?</v>
      </c>
      <c r="O193" s="114" t="s">
        <v>1091</v>
      </c>
      <c r="P193" s="115" t="e" cm="1">
        <f t="array" aca="1" ref="P193" ca="1">_xlfn.XLOOKUP(Contrato[[#This Row],[SUPERVISOR SUPLENTE ]],PERSONAL_ACTIVO_2025[[#All],[NOMBRES Y APELLIDOS]],PERSONAL_ACTIVO_2025[[#All],[DOCUMENTO]],"",0)</f>
        <v>#NAME?</v>
      </c>
      <c r="Q193" s="116">
        <v>232</v>
      </c>
      <c r="R193" s="137" t="e" cm="1">
        <f t="array" aca="1" ref="R193" ca="1">_xlfn.XLOOKUP(Contrato[[#This Row],[CDP]],DISPONIBILIDADES_2025[[#All],[consecutivo]],DISPONIBILIDADES_2025[[#All],[fecha_aprobacion]],"",0)</f>
        <v>#NAME?</v>
      </c>
      <c r="S193" s="92">
        <f>SUMIF(DISPONIBILIDADES_2025[[#All],[consecutivo]],Contrato[[#This Row],[CDP]],DISPONIBILIDADES_2025[[#All],[valor_total_rubro]])</f>
        <v>101543523</v>
      </c>
      <c r="T193" s="118" t="e" cm="1">
        <f t="array" aca="1" ref="T193" ca="1">_xlfn.XLOOKUP(Contrato[[#This Row],[CONTRATO]]&amp;Contrato[[#This Row],[CDP]],Corr_Contr_CDP[[#All],[CONTRATO-CDP]],Corr_Contr_CDP[[#All],[CRP]],_xlfn.XLOOKUP(Contrato[[#This Row],[CDP]],COMPROMISOS_2025[[#All],[disponibilidad]],COMPROMISOS_2025[[#All],[consecutivo]],"",0),0)</f>
        <v>#NAME?</v>
      </c>
      <c r="U193" s="117" t="e" cm="1">
        <f t="array" aca="1" ref="U193" ca="1">+_xlfn.XLOOKUP(Contrato[[#This Row],[RCP]],COMPROMISOS_2025[[#All],[consecutivo]],COMPROMISOS_2025[[#All],[fecha_aprobacion]],"",0)</f>
        <v>#NAME?</v>
      </c>
      <c r="V193" s="93">
        <f ca="1">SUMIF(COMPROMISOS_2025[[#All],[consecutivo]],Contrato[[#This Row],[RCP]],COMPROMISOS_2025[[#All],[valor_total]])</f>
        <v>0</v>
      </c>
      <c r="W193" s="169">
        <v>45708</v>
      </c>
      <c r="X193" s="243" t="s">
        <v>901</v>
      </c>
      <c r="Y193" s="397">
        <v>45709</v>
      </c>
      <c r="Z193" s="161">
        <v>46005</v>
      </c>
      <c r="AA193" s="198" t="s">
        <v>1143</v>
      </c>
      <c r="AB193" s="119" t="s">
        <v>1127</v>
      </c>
      <c r="AC193" s="303"/>
      <c r="AD193" s="279">
        <v>202000006317</v>
      </c>
      <c r="AE193" s="38" t="s">
        <v>904</v>
      </c>
      <c r="AF193" s="120" t="str">
        <f>TEXT(LEFT(Contrato[[#This Row],[CONTRATO]],3),"0")</f>
        <v>187</v>
      </c>
      <c r="AG193" s="120" t="str">
        <f>IF(LEN(Contrato[[#This Row],[Contrato2]])=3,Contrato[[#This Row],[Contrato2]],TEXT(Contrato[[#This Row],[Contrato2]],"000"))</f>
        <v>187</v>
      </c>
      <c r="AH193" s="90">
        <f ca="1">IFERROR(_xlfn.DAYS(Contrato[[#This Row],[Fecha Proyectada liquidación]],TODAY())/30,"")</f>
        <v>11.4</v>
      </c>
      <c r="AI193" s="121">
        <f>+Contrato[[#This Row],[FECHA TERMINACIÓN ]]+120</f>
        <v>46125</v>
      </c>
      <c r="AJ193" s="89"/>
      <c r="AK193" s="91" t="str">
        <f ca="1">IF(Contrato[[#This Row],[FECHA TERMINACIÓN ]]&lt;TODAY(), "Terminado",IF(ISNUMBER(Contrato[[#This Row],[Fecha Real de liquiidación ]]),"Liquidado",IF(Contrato[[#This Row],[FECHA TERMINACIÓN ]]&gt;=TODAY(),"En ejecución","")))</f>
        <v>En ejecución</v>
      </c>
      <c r="AL193" s="107">
        <f ca="1">SUMIF(COMPROMISOS_2025[[#All],[consecutivo]],Contrato[[#This Row],[RCP]],COMPROMISOS_2025[[#All],[Total pagado]])</f>
        <v>0</v>
      </c>
      <c r="AM193" s="122">
        <f ca="1">IFERROR(Contrato[[#This Row],[Pagos]]/Contrato[[#This Row],[VALOR CONTRATO]],0)</f>
        <v>0</v>
      </c>
      <c r="AN193" s="160">
        <f ca="1">+Contrato[[#This Row],[VALOR CONTRATO]]-Contrato[[#This Row],[Pagos]]</f>
        <v>101543523</v>
      </c>
      <c r="AO193" s="111" t="e" cm="1">
        <f t="array" aca="1" ref="AO193" ca="1">_xlfn.XLOOKUP(Contrato[[#This Row],[DOCUMENTO ]],PERSONAL_ACTIVO_2025[[#All],[DOCUMENTO]],PERSONAL_ACTIVO_2025[[#All],[email]],0,0)</f>
        <v>#NAME?</v>
      </c>
      <c r="AP193" s="111" t="e" cm="1">
        <f t="array" aca="1" ref="AP193" ca="1">_xlfn.XLOOKUP(Contrato[[#This Row],[DOCUMENTO]],PERSONAL_ACTIVO_2025[[#All],[DOCUMENTO]],PERSONAL_ACTIVO_2025[[#All],[email]],0,0)</f>
        <v>#NAME?</v>
      </c>
      <c r="AQ193" s="111" cm="1">
        <f t="array" aca="1" ref="AQ193" ca="1">IF(ISBLANK(Contrato[[#This Row],[DEPENDENCIA ]]),0,IFERROR(_xlfn.XLOOKUP(Contrato[[#This Row],[DEPENDENCIA ]],#REF!,#REF!,0,0),0))</f>
        <v>0</v>
      </c>
      <c r="AR193" s="553">
        <f ca="1">+_xlfn.DAYS(Contrato[[#This Row],[FECHA TERMINACIÓN ]],TODAY())</f>
        <v>222</v>
      </c>
    </row>
    <row r="194" spans="1:44" s="111" customFormat="1" ht="36" customHeight="1" x14ac:dyDescent="0.25">
      <c r="A194" s="38">
        <v>401</v>
      </c>
      <c r="B194" s="226">
        <v>188</v>
      </c>
      <c r="C194" s="88" t="s">
        <v>599</v>
      </c>
      <c r="D194" s="192" t="s">
        <v>911</v>
      </c>
      <c r="E194" s="193" t="s">
        <v>112</v>
      </c>
      <c r="F194" s="194" t="s">
        <v>113</v>
      </c>
      <c r="G194" s="195" t="s">
        <v>1248</v>
      </c>
      <c r="H194" s="167">
        <v>1088318330</v>
      </c>
      <c r="I194" s="292">
        <v>2708734</v>
      </c>
      <c r="J194" s="290">
        <v>26545593</v>
      </c>
      <c r="K194" s="158" t="s">
        <v>41</v>
      </c>
      <c r="L194" s="196" t="s">
        <v>1087</v>
      </c>
      <c r="M194" s="114" t="s">
        <v>938</v>
      </c>
      <c r="N194" s="113" t="e" cm="1">
        <f t="array" aca="1" ref="N194" ca="1">_xlfn.XLOOKUP(Contrato[[#This Row],[SUPERVISOR TITULAR]],PERSONAL_ACTIVO_2025[[#All],[NOMBRES Y APELLIDOS]],PERSONAL_ACTIVO_2025[[#All],[DOCUMENTO]],"",0)</f>
        <v>#NAME?</v>
      </c>
      <c r="O194" s="114" t="s">
        <v>1091</v>
      </c>
      <c r="P194" s="115" t="e" cm="1">
        <f t="array" aca="1" ref="P194" ca="1">_xlfn.XLOOKUP(Contrato[[#This Row],[SUPERVISOR SUPLENTE ]],PERSONAL_ACTIVO_2025[[#All],[NOMBRES Y APELLIDOS]],PERSONAL_ACTIVO_2025[[#All],[DOCUMENTO]],"",0)</f>
        <v>#NAME?</v>
      </c>
      <c r="Q194" s="116">
        <v>234</v>
      </c>
      <c r="R194" s="137" t="e" cm="1">
        <f t="array" aca="1" ref="R194" ca="1">_xlfn.XLOOKUP(Contrato[[#This Row],[CDP]],DISPONIBILIDADES_2025[[#All],[consecutivo]],DISPONIBILIDADES_2025[[#All],[fecha_aprobacion]],"",0)</f>
        <v>#NAME?</v>
      </c>
      <c r="S194" s="92">
        <f>SUMIF(DISPONIBILIDADES_2025[[#All],[consecutivo]],Contrato[[#This Row],[CDP]],DISPONIBILIDADES_2025[[#All],[valor_total_rubro]])</f>
        <v>26545593</v>
      </c>
      <c r="T194" s="118" t="e" cm="1">
        <f t="array" aca="1" ref="T194" ca="1">_xlfn.XLOOKUP(Contrato[[#This Row],[CONTRATO]]&amp;Contrato[[#This Row],[CDP]],Corr_Contr_CDP[[#All],[CONTRATO-CDP]],Corr_Contr_CDP[[#All],[CRP]],_xlfn.XLOOKUP(Contrato[[#This Row],[CDP]],COMPROMISOS_2025[[#All],[disponibilidad]],COMPROMISOS_2025[[#All],[consecutivo]],"",0),0)</f>
        <v>#NAME?</v>
      </c>
      <c r="U194" s="117" t="e" cm="1">
        <f t="array" aca="1" ref="U194" ca="1">+_xlfn.XLOOKUP(Contrato[[#This Row],[RCP]],COMPROMISOS_2025[[#All],[consecutivo]],COMPROMISOS_2025[[#All],[fecha_aprobacion]],"",0)</f>
        <v>#NAME?</v>
      </c>
      <c r="V194" s="93">
        <f ca="1">SUMIF(COMPROMISOS_2025[[#All],[consecutivo]],Contrato[[#This Row],[RCP]],COMPROMISOS_2025[[#All],[valor_total]])</f>
        <v>0</v>
      </c>
      <c r="W194" s="169">
        <v>45708</v>
      </c>
      <c r="X194" s="243" t="s">
        <v>901</v>
      </c>
      <c r="Y194" s="397">
        <v>45709</v>
      </c>
      <c r="Z194" s="161">
        <v>46005</v>
      </c>
      <c r="AA194" s="198" t="s">
        <v>1143</v>
      </c>
      <c r="AB194" s="119" t="s">
        <v>1127</v>
      </c>
      <c r="AC194" s="302"/>
      <c r="AD194" s="279">
        <v>202000006318</v>
      </c>
      <c r="AE194" s="38" t="s">
        <v>904</v>
      </c>
      <c r="AF194" s="120" t="str">
        <f>TEXT(LEFT(Contrato[[#This Row],[CONTRATO]],3),"0")</f>
        <v>188</v>
      </c>
      <c r="AG194" s="120" t="str">
        <f>IF(LEN(Contrato[[#This Row],[Contrato2]])=3,Contrato[[#This Row],[Contrato2]],TEXT(Contrato[[#This Row],[Contrato2]],"000"))</f>
        <v>188</v>
      </c>
      <c r="AH194" s="90">
        <f ca="1">IFERROR(_xlfn.DAYS(Contrato[[#This Row],[Fecha Proyectada liquidación]],TODAY())/30,"")</f>
        <v>11.4</v>
      </c>
      <c r="AI194" s="121">
        <f>+Contrato[[#This Row],[FECHA TERMINACIÓN ]]+120</f>
        <v>46125</v>
      </c>
      <c r="AJ194" s="89"/>
      <c r="AK194" s="91" t="str">
        <f ca="1">IF(Contrato[[#This Row],[FECHA TERMINACIÓN ]]&lt;TODAY(), "Terminado",IF(ISNUMBER(Contrato[[#This Row],[Fecha Real de liquiidación ]]),"Liquidado",IF(Contrato[[#This Row],[FECHA TERMINACIÓN ]]&gt;=TODAY(),"En ejecución","")))</f>
        <v>En ejecución</v>
      </c>
      <c r="AL194" s="107">
        <f ca="1">SUMIF(COMPROMISOS_2025[[#All],[consecutivo]],Contrato[[#This Row],[RCP]],COMPROMISOS_2025[[#All],[Total pagado]])</f>
        <v>0</v>
      </c>
      <c r="AM194" s="122">
        <f ca="1">IFERROR(Contrato[[#This Row],[Pagos]]/Contrato[[#This Row],[VALOR CONTRATO]],0)</f>
        <v>0</v>
      </c>
      <c r="AN194" s="160">
        <f ca="1">+Contrato[[#This Row],[VALOR CONTRATO]]-Contrato[[#This Row],[Pagos]]</f>
        <v>26545593</v>
      </c>
      <c r="AO194" s="111" t="e" cm="1">
        <f t="array" aca="1" ref="AO194" ca="1">_xlfn.XLOOKUP(Contrato[[#This Row],[DOCUMENTO ]],PERSONAL_ACTIVO_2025[[#All],[DOCUMENTO]],PERSONAL_ACTIVO_2025[[#All],[email]],0,0)</f>
        <v>#NAME?</v>
      </c>
      <c r="AP194" s="111" t="e" cm="1">
        <f t="array" aca="1" ref="AP194" ca="1">_xlfn.XLOOKUP(Contrato[[#This Row],[DOCUMENTO]],PERSONAL_ACTIVO_2025[[#All],[DOCUMENTO]],PERSONAL_ACTIVO_2025[[#All],[email]],0,0)</f>
        <v>#NAME?</v>
      </c>
      <c r="AQ194" s="111" cm="1">
        <f t="array" aca="1" ref="AQ194" ca="1">IF(ISBLANK(Contrato[[#This Row],[DEPENDENCIA ]]),0,IFERROR(_xlfn.XLOOKUP(Contrato[[#This Row],[DEPENDENCIA ]],#REF!,#REF!,0,0),0))</f>
        <v>0</v>
      </c>
      <c r="AR194" s="553">
        <f ca="1">+_xlfn.DAYS(Contrato[[#This Row],[FECHA TERMINACIÓN ]],TODAY())</f>
        <v>222</v>
      </c>
    </row>
    <row r="195" spans="1:44" s="111" customFormat="1" ht="36" customHeight="1" x14ac:dyDescent="0.25">
      <c r="A195" s="38">
        <v>402</v>
      </c>
      <c r="B195" s="226">
        <v>189</v>
      </c>
      <c r="C195" s="88" t="s">
        <v>600</v>
      </c>
      <c r="D195" s="192" t="s">
        <v>911</v>
      </c>
      <c r="E195" s="193" t="s">
        <v>112</v>
      </c>
      <c r="F195" s="194" t="s">
        <v>113</v>
      </c>
      <c r="G195" s="195" t="s">
        <v>1249</v>
      </c>
      <c r="H195" s="167">
        <v>1041234805</v>
      </c>
      <c r="I195" s="292">
        <v>2708734</v>
      </c>
      <c r="J195" s="290">
        <v>26545593</v>
      </c>
      <c r="K195" s="158" t="s">
        <v>41</v>
      </c>
      <c r="L195" s="196" t="s">
        <v>1087</v>
      </c>
      <c r="M195" s="114" t="s">
        <v>938</v>
      </c>
      <c r="N195" s="113" t="e" cm="1">
        <f t="array" aca="1" ref="N195" ca="1">_xlfn.XLOOKUP(Contrato[[#This Row],[SUPERVISOR TITULAR]],PERSONAL_ACTIVO_2025[[#All],[NOMBRES Y APELLIDOS]],PERSONAL_ACTIVO_2025[[#All],[DOCUMENTO]],"",0)</f>
        <v>#NAME?</v>
      </c>
      <c r="O195" s="114" t="s">
        <v>1091</v>
      </c>
      <c r="P195" s="115" t="e" cm="1">
        <f t="array" aca="1" ref="P195" ca="1">_xlfn.XLOOKUP(Contrato[[#This Row],[SUPERVISOR SUPLENTE ]],PERSONAL_ACTIVO_2025[[#All],[NOMBRES Y APELLIDOS]],PERSONAL_ACTIVO_2025[[#All],[DOCUMENTO]],"",0)</f>
        <v>#NAME?</v>
      </c>
      <c r="Q195" s="116">
        <v>235</v>
      </c>
      <c r="R195" s="137" t="e" cm="1">
        <f t="array" aca="1" ref="R195" ca="1">_xlfn.XLOOKUP(Contrato[[#This Row],[CDP]],DISPONIBILIDADES_2025[[#All],[consecutivo]],DISPONIBILIDADES_2025[[#All],[fecha_aprobacion]],"",0)</f>
        <v>#NAME?</v>
      </c>
      <c r="S195" s="92">
        <f>SUMIF(DISPONIBILIDADES_2025[[#All],[consecutivo]],Contrato[[#This Row],[CDP]],DISPONIBILIDADES_2025[[#All],[valor_total_rubro]])</f>
        <v>26545593</v>
      </c>
      <c r="T195" s="118" t="e" cm="1">
        <f t="array" aca="1" ref="T195" ca="1">_xlfn.XLOOKUP(Contrato[[#This Row],[CONTRATO]]&amp;Contrato[[#This Row],[CDP]],Corr_Contr_CDP[[#All],[CONTRATO-CDP]],Corr_Contr_CDP[[#All],[CRP]],_xlfn.XLOOKUP(Contrato[[#This Row],[CDP]],COMPROMISOS_2025[[#All],[disponibilidad]],COMPROMISOS_2025[[#All],[consecutivo]],"",0),0)</f>
        <v>#NAME?</v>
      </c>
      <c r="U195" s="117" t="e" cm="1">
        <f t="array" aca="1" ref="U195" ca="1">+_xlfn.XLOOKUP(Contrato[[#This Row],[RCP]],COMPROMISOS_2025[[#All],[consecutivo]],COMPROMISOS_2025[[#All],[fecha_aprobacion]],"",0)</f>
        <v>#NAME?</v>
      </c>
      <c r="V195" s="93">
        <f ca="1">SUMIF(COMPROMISOS_2025[[#All],[consecutivo]],Contrato[[#This Row],[RCP]],COMPROMISOS_2025[[#All],[valor_total]])</f>
        <v>0</v>
      </c>
      <c r="W195" s="169">
        <v>45708</v>
      </c>
      <c r="X195" s="243" t="s">
        <v>901</v>
      </c>
      <c r="Y195" s="397">
        <v>45709</v>
      </c>
      <c r="Z195" s="161">
        <v>46005</v>
      </c>
      <c r="AA195" s="198" t="s">
        <v>1143</v>
      </c>
      <c r="AB195" s="119" t="s">
        <v>1127</v>
      </c>
      <c r="AC195" s="303"/>
      <c r="AD195" s="279">
        <v>202000006319</v>
      </c>
      <c r="AE195" s="38" t="s">
        <v>904</v>
      </c>
      <c r="AF195" s="120" t="str">
        <f>TEXT(LEFT(Contrato[[#This Row],[CONTRATO]],3),"0")</f>
        <v>189</v>
      </c>
      <c r="AG195" s="120" t="str">
        <f>IF(LEN(Contrato[[#This Row],[Contrato2]])=3,Contrato[[#This Row],[Contrato2]],TEXT(Contrato[[#This Row],[Contrato2]],"000"))</f>
        <v>189</v>
      </c>
      <c r="AH195" s="90">
        <f ca="1">IFERROR(_xlfn.DAYS(Contrato[[#This Row],[Fecha Proyectada liquidación]],TODAY())/30,"")</f>
        <v>11.4</v>
      </c>
      <c r="AI195" s="121">
        <f>+Contrato[[#This Row],[FECHA TERMINACIÓN ]]+120</f>
        <v>46125</v>
      </c>
      <c r="AJ195" s="89"/>
      <c r="AK195" s="91" t="str">
        <f ca="1">IF(Contrato[[#This Row],[FECHA TERMINACIÓN ]]&lt;TODAY(), "Terminado",IF(ISNUMBER(Contrato[[#This Row],[Fecha Real de liquiidación ]]),"Liquidado",IF(Contrato[[#This Row],[FECHA TERMINACIÓN ]]&gt;=TODAY(),"En ejecución","")))</f>
        <v>En ejecución</v>
      </c>
      <c r="AL195" s="107">
        <f ca="1">SUMIF(COMPROMISOS_2025[[#All],[consecutivo]],Contrato[[#This Row],[RCP]],COMPROMISOS_2025[[#All],[Total pagado]])</f>
        <v>0</v>
      </c>
      <c r="AM195" s="122">
        <f ca="1">IFERROR(Contrato[[#This Row],[Pagos]]/Contrato[[#This Row],[VALOR CONTRATO]],0)</f>
        <v>0</v>
      </c>
      <c r="AN195" s="160">
        <f ca="1">+Contrato[[#This Row],[VALOR CONTRATO]]-Contrato[[#This Row],[Pagos]]</f>
        <v>26545593</v>
      </c>
      <c r="AO195" s="111" t="e" cm="1">
        <f t="array" aca="1" ref="AO195" ca="1">_xlfn.XLOOKUP(Contrato[[#This Row],[DOCUMENTO ]],PERSONAL_ACTIVO_2025[[#All],[DOCUMENTO]],PERSONAL_ACTIVO_2025[[#All],[email]],0,0)</f>
        <v>#NAME?</v>
      </c>
      <c r="AP195" s="111" t="e" cm="1">
        <f t="array" aca="1" ref="AP195" ca="1">_xlfn.XLOOKUP(Contrato[[#This Row],[DOCUMENTO]],PERSONAL_ACTIVO_2025[[#All],[DOCUMENTO]],PERSONAL_ACTIVO_2025[[#All],[email]],0,0)</f>
        <v>#NAME?</v>
      </c>
      <c r="AQ195" s="111" cm="1">
        <f t="array" aca="1" ref="AQ195" ca="1">IF(ISBLANK(Contrato[[#This Row],[DEPENDENCIA ]]),0,IFERROR(_xlfn.XLOOKUP(Contrato[[#This Row],[DEPENDENCIA ]],#REF!,#REF!,0,0),0))</f>
        <v>0</v>
      </c>
      <c r="AR195" s="553">
        <f ca="1">+_xlfn.DAYS(Contrato[[#This Row],[FECHA TERMINACIÓN ]],TODAY())</f>
        <v>222</v>
      </c>
    </row>
    <row r="196" spans="1:44" s="111" customFormat="1" ht="36" customHeight="1" x14ac:dyDescent="0.25">
      <c r="A196" s="38">
        <v>403</v>
      </c>
      <c r="B196" s="226">
        <v>190</v>
      </c>
      <c r="C196" s="88" t="s">
        <v>601</v>
      </c>
      <c r="D196" s="192" t="s">
        <v>911</v>
      </c>
      <c r="E196" s="193" t="s">
        <v>112</v>
      </c>
      <c r="F196" s="194" t="s">
        <v>113</v>
      </c>
      <c r="G196" s="195" t="s">
        <v>1250</v>
      </c>
      <c r="H196" s="167">
        <v>1017163203</v>
      </c>
      <c r="I196" s="292">
        <v>5164201</v>
      </c>
      <c r="J196" s="290">
        <v>50609170</v>
      </c>
      <c r="K196" s="158" t="s">
        <v>41</v>
      </c>
      <c r="L196" s="196" t="s">
        <v>1087</v>
      </c>
      <c r="M196" s="114" t="s">
        <v>938</v>
      </c>
      <c r="N196" s="113" t="e" cm="1">
        <f t="array" aca="1" ref="N196" ca="1">_xlfn.XLOOKUP(Contrato[[#This Row],[SUPERVISOR TITULAR]],PERSONAL_ACTIVO_2025[[#All],[NOMBRES Y APELLIDOS]],PERSONAL_ACTIVO_2025[[#All],[DOCUMENTO]],"",0)</f>
        <v>#NAME?</v>
      </c>
      <c r="O196" s="114" t="s">
        <v>1091</v>
      </c>
      <c r="P196" s="115" t="e" cm="1">
        <f t="array" aca="1" ref="P196" ca="1">_xlfn.XLOOKUP(Contrato[[#This Row],[SUPERVISOR SUPLENTE ]],PERSONAL_ACTIVO_2025[[#All],[NOMBRES Y APELLIDOS]],PERSONAL_ACTIVO_2025[[#All],[DOCUMENTO]],"",0)</f>
        <v>#NAME?</v>
      </c>
      <c r="Q196" s="116">
        <v>236</v>
      </c>
      <c r="R196" s="137" t="e" cm="1">
        <f t="array" aca="1" ref="R196" ca="1">_xlfn.XLOOKUP(Contrato[[#This Row],[CDP]],DISPONIBILIDADES_2025[[#All],[consecutivo]],DISPONIBILIDADES_2025[[#All],[fecha_aprobacion]],"",0)</f>
        <v>#NAME?</v>
      </c>
      <c r="S196" s="92">
        <f>SUMIF(DISPONIBILIDADES_2025[[#All],[consecutivo]],Contrato[[#This Row],[CDP]],DISPONIBILIDADES_2025[[#All],[valor_total_rubro]])</f>
        <v>50609170</v>
      </c>
      <c r="T196" s="118" t="e" cm="1">
        <f t="array" aca="1" ref="T196" ca="1">_xlfn.XLOOKUP(Contrato[[#This Row],[CONTRATO]]&amp;Contrato[[#This Row],[CDP]],Corr_Contr_CDP[[#All],[CONTRATO-CDP]],Corr_Contr_CDP[[#All],[CRP]],_xlfn.XLOOKUP(Contrato[[#This Row],[CDP]],COMPROMISOS_2025[[#All],[disponibilidad]],COMPROMISOS_2025[[#All],[consecutivo]],"",0),0)</f>
        <v>#NAME?</v>
      </c>
      <c r="U196" s="117" t="e" cm="1">
        <f t="array" aca="1" ref="U196" ca="1">+_xlfn.XLOOKUP(Contrato[[#This Row],[RCP]],COMPROMISOS_2025[[#All],[consecutivo]],COMPROMISOS_2025[[#All],[fecha_aprobacion]],"",0)</f>
        <v>#NAME?</v>
      </c>
      <c r="V196" s="93">
        <f ca="1">SUMIF(COMPROMISOS_2025[[#All],[consecutivo]],Contrato[[#This Row],[RCP]],COMPROMISOS_2025[[#All],[valor_total]])</f>
        <v>0</v>
      </c>
      <c r="W196" s="169">
        <v>45708</v>
      </c>
      <c r="X196" s="243" t="s">
        <v>901</v>
      </c>
      <c r="Y196" s="397">
        <v>45709</v>
      </c>
      <c r="Z196" s="161">
        <v>46005</v>
      </c>
      <c r="AA196" s="198" t="s">
        <v>1130</v>
      </c>
      <c r="AB196" s="119" t="s">
        <v>1127</v>
      </c>
      <c r="AC196" s="303"/>
      <c r="AD196" s="279">
        <v>202000006320</v>
      </c>
      <c r="AE196" s="38" t="s">
        <v>904</v>
      </c>
      <c r="AF196" s="120" t="str">
        <f>TEXT(LEFT(Contrato[[#This Row],[CONTRATO]],3),"0")</f>
        <v>190</v>
      </c>
      <c r="AG196" s="120" t="str">
        <f>IF(LEN(Contrato[[#This Row],[Contrato2]])=3,Contrato[[#This Row],[Contrato2]],TEXT(Contrato[[#This Row],[Contrato2]],"000"))</f>
        <v>190</v>
      </c>
      <c r="AH196" s="90">
        <f ca="1">IFERROR(_xlfn.DAYS(Contrato[[#This Row],[Fecha Proyectada liquidación]],TODAY())/30,"")</f>
        <v>11.4</v>
      </c>
      <c r="AI196" s="121">
        <f>+Contrato[[#This Row],[FECHA TERMINACIÓN ]]+120</f>
        <v>46125</v>
      </c>
      <c r="AJ196" s="89"/>
      <c r="AK196" s="91" t="str">
        <f ca="1">IF(Contrato[[#This Row],[FECHA TERMINACIÓN ]]&lt;TODAY(), "Terminado",IF(ISNUMBER(Contrato[[#This Row],[Fecha Real de liquiidación ]]),"Liquidado",IF(Contrato[[#This Row],[FECHA TERMINACIÓN ]]&gt;=TODAY(),"En ejecución","")))</f>
        <v>En ejecución</v>
      </c>
      <c r="AL196" s="107">
        <f ca="1">SUMIF(COMPROMISOS_2025[[#All],[consecutivo]],Contrato[[#This Row],[RCP]],COMPROMISOS_2025[[#All],[Total pagado]])</f>
        <v>0</v>
      </c>
      <c r="AM196" s="122">
        <f ca="1">IFERROR(Contrato[[#This Row],[Pagos]]/Contrato[[#This Row],[VALOR CONTRATO]],0)</f>
        <v>0</v>
      </c>
      <c r="AN196" s="160">
        <f ca="1">+Contrato[[#This Row],[VALOR CONTRATO]]-Contrato[[#This Row],[Pagos]]</f>
        <v>50609170</v>
      </c>
      <c r="AO196" s="111" t="e" cm="1">
        <f t="array" aca="1" ref="AO196" ca="1">_xlfn.XLOOKUP(Contrato[[#This Row],[DOCUMENTO ]],PERSONAL_ACTIVO_2025[[#All],[DOCUMENTO]],PERSONAL_ACTIVO_2025[[#All],[email]],0,0)</f>
        <v>#NAME?</v>
      </c>
      <c r="AP196" s="111" t="e" cm="1">
        <f t="array" aca="1" ref="AP196" ca="1">_xlfn.XLOOKUP(Contrato[[#This Row],[DOCUMENTO]],PERSONAL_ACTIVO_2025[[#All],[DOCUMENTO]],PERSONAL_ACTIVO_2025[[#All],[email]],0,0)</f>
        <v>#NAME?</v>
      </c>
      <c r="AQ196" s="111" cm="1">
        <f t="array" aca="1" ref="AQ196" ca="1">IF(ISBLANK(Contrato[[#This Row],[DEPENDENCIA ]]),0,IFERROR(_xlfn.XLOOKUP(Contrato[[#This Row],[DEPENDENCIA ]],#REF!,#REF!,0,0),0))</f>
        <v>0</v>
      </c>
      <c r="AR196" s="553">
        <f ca="1">+_xlfn.DAYS(Contrato[[#This Row],[FECHA TERMINACIÓN ]],TODAY())</f>
        <v>222</v>
      </c>
    </row>
    <row r="197" spans="1:44" s="111" customFormat="1" ht="36" customHeight="1" x14ac:dyDescent="0.25">
      <c r="A197" s="38">
        <v>404</v>
      </c>
      <c r="B197" s="226">
        <v>191</v>
      </c>
      <c r="C197" s="88" t="s">
        <v>602</v>
      </c>
      <c r="D197" s="192" t="s">
        <v>911</v>
      </c>
      <c r="E197" s="193" t="s">
        <v>112</v>
      </c>
      <c r="F197" s="194" t="s">
        <v>113</v>
      </c>
      <c r="G197" s="195" t="s">
        <v>1251</v>
      </c>
      <c r="H197" s="167">
        <v>635014</v>
      </c>
      <c r="I197" s="292">
        <v>6239569</v>
      </c>
      <c r="J197" s="290">
        <v>61147776</v>
      </c>
      <c r="K197" s="158" t="s">
        <v>41</v>
      </c>
      <c r="L197" s="196" t="s">
        <v>1087</v>
      </c>
      <c r="M197" s="114" t="s">
        <v>938</v>
      </c>
      <c r="N197" s="113" t="e" cm="1">
        <f t="array" aca="1" ref="N197" ca="1">_xlfn.XLOOKUP(Contrato[[#This Row],[SUPERVISOR TITULAR]],PERSONAL_ACTIVO_2025[[#All],[NOMBRES Y APELLIDOS]],PERSONAL_ACTIVO_2025[[#All],[DOCUMENTO]],"",0)</f>
        <v>#NAME?</v>
      </c>
      <c r="O197" s="114" t="s">
        <v>1091</v>
      </c>
      <c r="P197" s="115" t="e" cm="1">
        <f t="array" aca="1" ref="P197" ca="1">_xlfn.XLOOKUP(Contrato[[#This Row],[SUPERVISOR SUPLENTE ]],PERSONAL_ACTIVO_2025[[#All],[NOMBRES Y APELLIDOS]],PERSONAL_ACTIVO_2025[[#All],[DOCUMENTO]],"",0)</f>
        <v>#NAME?</v>
      </c>
      <c r="Q197" s="116">
        <v>237</v>
      </c>
      <c r="R197" s="137" t="e" cm="1">
        <f t="array" aca="1" ref="R197" ca="1">_xlfn.XLOOKUP(Contrato[[#This Row],[CDP]],DISPONIBILIDADES_2025[[#All],[consecutivo]],DISPONIBILIDADES_2025[[#All],[fecha_aprobacion]],"",0)</f>
        <v>#NAME?</v>
      </c>
      <c r="S197" s="92">
        <f>SUMIF(DISPONIBILIDADES_2025[[#All],[consecutivo]],Contrato[[#This Row],[CDP]],DISPONIBILIDADES_2025[[#All],[valor_total_rubro]])</f>
        <v>61147776</v>
      </c>
      <c r="T197" s="118" t="e" cm="1">
        <f t="array" aca="1" ref="T197" ca="1">_xlfn.XLOOKUP(Contrato[[#This Row],[CONTRATO]]&amp;Contrato[[#This Row],[CDP]],Corr_Contr_CDP[[#All],[CONTRATO-CDP]],Corr_Contr_CDP[[#All],[CRP]],_xlfn.XLOOKUP(Contrato[[#This Row],[CDP]],COMPROMISOS_2025[[#All],[disponibilidad]],COMPROMISOS_2025[[#All],[consecutivo]],"",0),0)</f>
        <v>#NAME?</v>
      </c>
      <c r="U197" s="117" t="e" cm="1">
        <f t="array" aca="1" ref="U197" ca="1">+_xlfn.XLOOKUP(Contrato[[#This Row],[RCP]],COMPROMISOS_2025[[#All],[consecutivo]],COMPROMISOS_2025[[#All],[fecha_aprobacion]],"",0)</f>
        <v>#NAME?</v>
      </c>
      <c r="V197" s="93">
        <f ca="1">SUMIF(COMPROMISOS_2025[[#All],[consecutivo]],Contrato[[#This Row],[RCP]],COMPROMISOS_2025[[#All],[valor_total]])</f>
        <v>0</v>
      </c>
      <c r="W197" s="169">
        <v>45708</v>
      </c>
      <c r="X197" s="243" t="s">
        <v>901</v>
      </c>
      <c r="Y197" s="397">
        <v>45709</v>
      </c>
      <c r="Z197" s="161">
        <v>46005</v>
      </c>
      <c r="AA197" s="198" t="s">
        <v>1139</v>
      </c>
      <c r="AB197" s="119" t="s">
        <v>1127</v>
      </c>
      <c r="AC197" s="303"/>
      <c r="AD197" s="279">
        <v>202000006321</v>
      </c>
      <c r="AE197" s="38" t="s">
        <v>904</v>
      </c>
      <c r="AF197" s="120" t="str">
        <f>TEXT(LEFT(Contrato[[#This Row],[CONTRATO]],3),"0")</f>
        <v>191</v>
      </c>
      <c r="AG197" s="120" t="str">
        <f>IF(LEN(Contrato[[#This Row],[Contrato2]])=3,Contrato[[#This Row],[Contrato2]],TEXT(Contrato[[#This Row],[Contrato2]],"000"))</f>
        <v>191</v>
      </c>
      <c r="AH197" s="90">
        <f ca="1">IFERROR(_xlfn.DAYS(Contrato[[#This Row],[Fecha Proyectada liquidación]],TODAY())/30,"")</f>
        <v>11.4</v>
      </c>
      <c r="AI197" s="121">
        <f>+Contrato[[#This Row],[FECHA TERMINACIÓN ]]+120</f>
        <v>46125</v>
      </c>
      <c r="AJ197" s="89"/>
      <c r="AK197" s="91" t="str">
        <f ca="1">IF(Contrato[[#This Row],[FECHA TERMINACIÓN ]]&lt;TODAY(), "Terminado",IF(ISNUMBER(Contrato[[#This Row],[Fecha Real de liquiidación ]]),"Liquidado",IF(Contrato[[#This Row],[FECHA TERMINACIÓN ]]&gt;=TODAY(),"En ejecución","")))</f>
        <v>En ejecución</v>
      </c>
      <c r="AL197" s="107">
        <f ca="1">SUMIF(COMPROMISOS_2025[[#All],[consecutivo]],Contrato[[#This Row],[RCP]],COMPROMISOS_2025[[#All],[Total pagado]])</f>
        <v>0</v>
      </c>
      <c r="AM197" s="122">
        <f ca="1">IFERROR(Contrato[[#This Row],[Pagos]]/Contrato[[#This Row],[VALOR CONTRATO]],0)</f>
        <v>0</v>
      </c>
      <c r="AN197" s="160">
        <f ca="1">+Contrato[[#This Row],[VALOR CONTRATO]]-Contrato[[#This Row],[Pagos]]</f>
        <v>61147776</v>
      </c>
      <c r="AO197" s="111" t="e" cm="1">
        <f t="array" aca="1" ref="AO197" ca="1">_xlfn.XLOOKUP(Contrato[[#This Row],[DOCUMENTO ]],PERSONAL_ACTIVO_2025[[#All],[DOCUMENTO]],PERSONAL_ACTIVO_2025[[#All],[email]],0,0)</f>
        <v>#NAME?</v>
      </c>
      <c r="AP197" s="111" t="e" cm="1">
        <f t="array" aca="1" ref="AP197" ca="1">_xlfn.XLOOKUP(Contrato[[#This Row],[DOCUMENTO]],PERSONAL_ACTIVO_2025[[#All],[DOCUMENTO]],PERSONAL_ACTIVO_2025[[#All],[email]],0,0)</f>
        <v>#NAME?</v>
      </c>
      <c r="AQ197" s="111" cm="1">
        <f t="array" aca="1" ref="AQ197" ca="1">IF(ISBLANK(Contrato[[#This Row],[DEPENDENCIA ]]),0,IFERROR(_xlfn.XLOOKUP(Contrato[[#This Row],[DEPENDENCIA ]],#REF!,#REF!,0,0),0))</f>
        <v>0</v>
      </c>
      <c r="AR197" s="553">
        <f ca="1">+_xlfn.DAYS(Contrato[[#This Row],[FECHA TERMINACIÓN ]],TODAY())</f>
        <v>222</v>
      </c>
    </row>
    <row r="198" spans="1:44" s="111" customFormat="1" ht="36" customHeight="1" x14ac:dyDescent="0.25">
      <c r="A198" s="38">
        <v>405</v>
      </c>
      <c r="B198" s="226">
        <v>192</v>
      </c>
      <c r="C198" s="88" t="s">
        <v>603</v>
      </c>
      <c r="D198" s="192" t="s">
        <v>911</v>
      </c>
      <c r="E198" s="193" t="s">
        <v>112</v>
      </c>
      <c r="F198" s="194" t="s">
        <v>113</v>
      </c>
      <c r="G198" s="195" t="s">
        <v>1252</v>
      </c>
      <c r="H198" s="167">
        <v>1152440541</v>
      </c>
      <c r="I198" s="292">
        <v>6239569</v>
      </c>
      <c r="J198" s="290">
        <v>61147776</v>
      </c>
      <c r="K198" s="158" t="s">
        <v>41</v>
      </c>
      <c r="L198" s="196" t="s">
        <v>1087</v>
      </c>
      <c r="M198" s="114" t="s">
        <v>938</v>
      </c>
      <c r="N198" s="113" t="e" cm="1">
        <f t="array" aca="1" ref="N198" ca="1">_xlfn.XLOOKUP(Contrato[[#This Row],[SUPERVISOR TITULAR]],PERSONAL_ACTIVO_2025[[#All],[NOMBRES Y APELLIDOS]],PERSONAL_ACTIVO_2025[[#All],[DOCUMENTO]],"",0)</f>
        <v>#NAME?</v>
      </c>
      <c r="O198" s="114" t="s">
        <v>1091</v>
      </c>
      <c r="P198" s="115" t="e" cm="1">
        <f t="array" aca="1" ref="P198" ca="1">_xlfn.XLOOKUP(Contrato[[#This Row],[SUPERVISOR SUPLENTE ]],PERSONAL_ACTIVO_2025[[#All],[NOMBRES Y APELLIDOS]],PERSONAL_ACTIVO_2025[[#All],[DOCUMENTO]],"",0)</f>
        <v>#NAME?</v>
      </c>
      <c r="Q198" s="116">
        <v>238</v>
      </c>
      <c r="R198" s="137" t="e" cm="1">
        <f t="array" aca="1" ref="R198" ca="1">_xlfn.XLOOKUP(Contrato[[#This Row],[CDP]],DISPONIBILIDADES_2025[[#All],[consecutivo]],DISPONIBILIDADES_2025[[#All],[fecha_aprobacion]],"",0)</f>
        <v>#NAME?</v>
      </c>
      <c r="S198" s="92">
        <f>SUMIF(DISPONIBILIDADES_2025[[#All],[consecutivo]],Contrato[[#This Row],[CDP]],DISPONIBILIDADES_2025[[#All],[valor_total_rubro]])</f>
        <v>61147776</v>
      </c>
      <c r="T198" s="118" t="e" cm="1">
        <f t="array" aca="1" ref="T198" ca="1">_xlfn.XLOOKUP(Contrato[[#This Row],[CONTRATO]]&amp;Contrato[[#This Row],[CDP]],Corr_Contr_CDP[[#All],[CONTRATO-CDP]],Corr_Contr_CDP[[#All],[CRP]],_xlfn.XLOOKUP(Contrato[[#This Row],[CDP]],COMPROMISOS_2025[[#All],[disponibilidad]],COMPROMISOS_2025[[#All],[consecutivo]],"",0),0)</f>
        <v>#NAME?</v>
      </c>
      <c r="U198" s="117" t="e" cm="1">
        <f t="array" aca="1" ref="U198" ca="1">+_xlfn.XLOOKUP(Contrato[[#This Row],[RCP]],COMPROMISOS_2025[[#All],[consecutivo]],COMPROMISOS_2025[[#All],[fecha_aprobacion]],"",0)</f>
        <v>#NAME?</v>
      </c>
      <c r="V198" s="93">
        <f ca="1">SUMIF(COMPROMISOS_2025[[#All],[consecutivo]],Contrato[[#This Row],[RCP]],COMPROMISOS_2025[[#All],[valor_total]])</f>
        <v>0</v>
      </c>
      <c r="W198" s="169">
        <v>45708</v>
      </c>
      <c r="X198" s="243" t="s">
        <v>901</v>
      </c>
      <c r="Y198" s="397">
        <v>45709</v>
      </c>
      <c r="Z198" s="161">
        <v>46005</v>
      </c>
      <c r="AA198" s="198" t="s">
        <v>1143</v>
      </c>
      <c r="AB198" s="119" t="s">
        <v>1127</v>
      </c>
      <c r="AC198" s="304"/>
      <c r="AD198" s="279">
        <v>202000006322</v>
      </c>
      <c r="AE198" s="38" t="s">
        <v>904</v>
      </c>
      <c r="AF198" s="120" t="str">
        <f>TEXT(LEFT(Contrato[[#This Row],[CONTRATO]],3),"0")</f>
        <v>192</v>
      </c>
      <c r="AG198" s="120" t="str">
        <f>IF(LEN(Contrato[[#This Row],[Contrato2]])=3,Contrato[[#This Row],[Contrato2]],TEXT(Contrato[[#This Row],[Contrato2]],"000"))</f>
        <v>192</v>
      </c>
      <c r="AH198" s="90">
        <f ca="1">IFERROR(_xlfn.DAYS(Contrato[[#This Row],[Fecha Proyectada liquidación]],TODAY())/30,"")</f>
        <v>11.4</v>
      </c>
      <c r="AI198" s="121">
        <f>+Contrato[[#This Row],[FECHA TERMINACIÓN ]]+120</f>
        <v>46125</v>
      </c>
      <c r="AJ198" s="89"/>
      <c r="AK198" s="91" t="str">
        <f ca="1">IF(Contrato[[#This Row],[FECHA TERMINACIÓN ]]&lt;TODAY(), "Terminado",IF(ISNUMBER(Contrato[[#This Row],[Fecha Real de liquiidación ]]),"Liquidado",IF(Contrato[[#This Row],[FECHA TERMINACIÓN ]]&gt;=TODAY(),"En ejecución","")))</f>
        <v>En ejecución</v>
      </c>
      <c r="AL198" s="107">
        <f ca="1">SUMIF(COMPROMISOS_2025[[#All],[consecutivo]],Contrato[[#This Row],[RCP]],COMPROMISOS_2025[[#All],[Total pagado]])</f>
        <v>0</v>
      </c>
      <c r="AM198" s="122">
        <f ca="1">IFERROR(Contrato[[#This Row],[Pagos]]/Contrato[[#This Row],[VALOR CONTRATO]],0)</f>
        <v>0</v>
      </c>
      <c r="AN198" s="160">
        <f ca="1">+Contrato[[#This Row],[VALOR CONTRATO]]-Contrato[[#This Row],[Pagos]]</f>
        <v>61147776</v>
      </c>
      <c r="AO198" s="111" t="e" cm="1">
        <f t="array" aca="1" ref="AO198" ca="1">_xlfn.XLOOKUP(Contrato[[#This Row],[DOCUMENTO ]],PERSONAL_ACTIVO_2025[[#All],[DOCUMENTO]],PERSONAL_ACTIVO_2025[[#All],[email]],0,0)</f>
        <v>#NAME?</v>
      </c>
      <c r="AP198" s="111" t="e" cm="1">
        <f t="array" aca="1" ref="AP198" ca="1">_xlfn.XLOOKUP(Contrato[[#This Row],[DOCUMENTO]],PERSONAL_ACTIVO_2025[[#All],[DOCUMENTO]],PERSONAL_ACTIVO_2025[[#All],[email]],0,0)</f>
        <v>#NAME?</v>
      </c>
      <c r="AQ198" s="111" cm="1">
        <f t="array" aca="1" ref="AQ198" ca="1">IF(ISBLANK(Contrato[[#This Row],[DEPENDENCIA ]]),0,IFERROR(_xlfn.XLOOKUP(Contrato[[#This Row],[DEPENDENCIA ]],#REF!,#REF!,0,0),0))</f>
        <v>0</v>
      </c>
      <c r="AR198" s="553">
        <f ca="1">+_xlfn.DAYS(Contrato[[#This Row],[FECHA TERMINACIÓN ]],TODAY())</f>
        <v>222</v>
      </c>
    </row>
    <row r="199" spans="1:44" s="111" customFormat="1" ht="36" customHeight="1" x14ac:dyDescent="0.25">
      <c r="A199" s="38">
        <v>406</v>
      </c>
      <c r="B199" s="226">
        <v>193</v>
      </c>
      <c r="C199" s="88" t="s">
        <v>604</v>
      </c>
      <c r="D199" s="192" t="s">
        <v>911</v>
      </c>
      <c r="E199" s="193" t="s">
        <v>112</v>
      </c>
      <c r="F199" s="194" t="s">
        <v>113</v>
      </c>
      <c r="G199" s="195" t="s">
        <v>1253</v>
      </c>
      <c r="H199" s="167">
        <v>43113989</v>
      </c>
      <c r="I199" s="292">
        <v>2708734</v>
      </c>
      <c r="J199" s="290">
        <v>26545593</v>
      </c>
      <c r="K199" s="158" t="s">
        <v>41</v>
      </c>
      <c r="L199" s="196" t="s">
        <v>1087</v>
      </c>
      <c r="M199" s="114" t="s">
        <v>938</v>
      </c>
      <c r="N199" s="113" t="e" cm="1">
        <f t="array" aca="1" ref="N199" ca="1">_xlfn.XLOOKUP(Contrato[[#This Row],[SUPERVISOR TITULAR]],PERSONAL_ACTIVO_2025[[#All],[NOMBRES Y APELLIDOS]],PERSONAL_ACTIVO_2025[[#All],[DOCUMENTO]],"",0)</f>
        <v>#NAME?</v>
      </c>
      <c r="O199" s="114" t="s">
        <v>1091</v>
      </c>
      <c r="P199" s="115" t="e" cm="1">
        <f t="array" aca="1" ref="P199" ca="1">_xlfn.XLOOKUP(Contrato[[#This Row],[SUPERVISOR SUPLENTE ]],PERSONAL_ACTIVO_2025[[#All],[NOMBRES Y APELLIDOS]],PERSONAL_ACTIVO_2025[[#All],[DOCUMENTO]],"",0)</f>
        <v>#NAME?</v>
      </c>
      <c r="Q199" s="116">
        <v>239</v>
      </c>
      <c r="R199" s="137" t="e" cm="1">
        <f t="array" aca="1" ref="R199" ca="1">_xlfn.XLOOKUP(Contrato[[#This Row],[CDP]],DISPONIBILIDADES_2025[[#All],[consecutivo]],DISPONIBILIDADES_2025[[#All],[fecha_aprobacion]],"",0)</f>
        <v>#NAME?</v>
      </c>
      <c r="S199" s="92">
        <f>SUMIF(DISPONIBILIDADES_2025[[#All],[consecutivo]],Contrato[[#This Row],[CDP]],DISPONIBILIDADES_2025[[#All],[valor_total_rubro]])</f>
        <v>26545593</v>
      </c>
      <c r="T199" s="118" t="e" cm="1">
        <f t="array" aca="1" ref="T199" ca="1">_xlfn.XLOOKUP(Contrato[[#This Row],[CONTRATO]]&amp;Contrato[[#This Row],[CDP]],Corr_Contr_CDP[[#All],[CONTRATO-CDP]],Corr_Contr_CDP[[#All],[CRP]],_xlfn.XLOOKUP(Contrato[[#This Row],[CDP]],COMPROMISOS_2025[[#All],[disponibilidad]],COMPROMISOS_2025[[#All],[consecutivo]],"",0),0)</f>
        <v>#NAME?</v>
      </c>
      <c r="U199" s="117" t="e" cm="1">
        <f t="array" aca="1" ref="U199" ca="1">+_xlfn.XLOOKUP(Contrato[[#This Row],[RCP]],COMPROMISOS_2025[[#All],[consecutivo]],COMPROMISOS_2025[[#All],[fecha_aprobacion]],"",0)</f>
        <v>#NAME?</v>
      </c>
      <c r="V199" s="93">
        <f ca="1">SUMIF(COMPROMISOS_2025[[#All],[consecutivo]],Contrato[[#This Row],[RCP]],COMPROMISOS_2025[[#All],[valor_total]])</f>
        <v>0</v>
      </c>
      <c r="W199" s="169">
        <v>45708</v>
      </c>
      <c r="X199" s="243" t="s">
        <v>901</v>
      </c>
      <c r="Y199" s="397">
        <v>45709</v>
      </c>
      <c r="Z199" s="161">
        <v>46005</v>
      </c>
      <c r="AA199" s="198" t="s">
        <v>1130</v>
      </c>
      <c r="AB199" s="119" t="s">
        <v>1127</v>
      </c>
      <c r="AC199" s="303"/>
      <c r="AD199" s="279">
        <v>202000006323</v>
      </c>
      <c r="AE199" s="38" t="s">
        <v>904</v>
      </c>
      <c r="AF199" s="120" t="str">
        <f>TEXT(LEFT(Contrato[[#This Row],[CONTRATO]],3),"0")</f>
        <v>193</v>
      </c>
      <c r="AG199" s="120" t="str">
        <f>IF(LEN(Contrato[[#This Row],[Contrato2]])=3,Contrato[[#This Row],[Contrato2]],TEXT(Contrato[[#This Row],[Contrato2]],"000"))</f>
        <v>193</v>
      </c>
      <c r="AH199" s="90">
        <f ca="1">IFERROR(_xlfn.DAYS(Contrato[[#This Row],[Fecha Proyectada liquidación]],TODAY())/30,"")</f>
        <v>11.4</v>
      </c>
      <c r="AI199" s="121">
        <f>+Contrato[[#This Row],[FECHA TERMINACIÓN ]]+120</f>
        <v>46125</v>
      </c>
      <c r="AJ199" s="89"/>
      <c r="AK199" s="91" t="str">
        <f ca="1">IF(Contrato[[#This Row],[FECHA TERMINACIÓN ]]&lt;TODAY(), "Terminado",IF(ISNUMBER(Contrato[[#This Row],[Fecha Real de liquiidación ]]),"Liquidado",IF(Contrato[[#This Row],[FECHA TERMINACIÓN ]]&gt;=TODAY(),"En ejecución","")))</f>
        <v>En ejecución</v>
      </c>
      <c r="AL199" s="107">
        <f ca="1">SUMIF(COMPROMISOS_2025[[#All],[consecutivo]],Contrato[[#This Row],[RCP]],COMPROMISOS_2025[[#All],[Total pagado]])</f>
        <v>0</v>
      </c>
      <c r="AM199" s="122">
        <f ca="1">IFERROR(Contrato[[#This Row],[Pagos]]/Contrato[[#This Row],[VALOR CONTRATO]],0)</f>
        <v>0</v>
      </c>
      <c r="AN199" s="160">
        <f ca="1">+Contrato[[#This Row],[VALOR CONTRATO]]-Contrato[[#This Row],[Pagos]]</f>
        <v>26545593</v>
      </c>
      <c r="AO199" s="111" t="e" cm="1">
        <f t="array" aca="1" ref="AO199" ca="1">_xlfn.XLOOKUP(Contrato[[#This Row],[DOCUMENTO ]],PERSONAL_ACTIVO_2025[[#All],[DOCUMENTO]],PERSONAL_ACTIVO_2025[[#All],[email]],0,0)</f>
        <v>#NAME?</v>
      </c>
      <c r="AP199" s="111" t="e" cm="1">
        <f t="array" aca="1" ref="AP199" ca="1">_xlfn.XLOOKUP(Contrato[[#This Row],[DOCUMENTO]],PERSONAL_ACTIVO_2025[[#All],[DOCUMENTO]],PERSONAL_ACTIVO_2025[[#All],[email]],0,0)</f>
        <v>#NAME?</v>
      </c>
      <c r="AQ199" s="111" cm="1">
        <f t="array" aca="1" ref="AQ199" ca="1">IF(ISBLANK(Contrato[[#This Row],[DEPENDENCIA ]]),0,IFERROR(_xlfn.XLOOKUP(Contrato[[#This Row],[DEPENDENCIA ]],#REF!,#REF!,0,0),0))</f>
        <v>0</v>
      </c>
      <c r="AR199" s="553">
        <f ca="1">+_xlfn.DAYS(Contrato[[#This Row],[FECHA TERMINACIÓN ]],TODAY())</f>
        <v>222</v>
      </c>
    </row>
    <row r="200" spans="1:44" s="111" customFormat="1" ht="36" customHeight="1" x14ac:dyDescent="0.25">
      <c r="A200" s="38">
        <v>407</v>
      </c>
      <c r="B200" s="226">
        <v>194</v>
      </c>
      <c r="C200" s="88" t="s">
        <v>605</v>
      </c>
      <c r="D200" s="192" t="s">
        <v>911</v>
      </c>
      <c r="E200" s="193" t="s">
        <v>112</v>
      </c>
      <c r="F200" s="194" t="s">
        <v>113</v>
      </c>
      <c r="G200" s="195" t="s">
        <v>1254</v>
      </c>
      <c r="H200" s="167">
        <v>1037578877</v>
      </c>
      <c r="I200" s="292">
        <v>4157906</v>
      </c>
      <c r="J200" s="290">
        <v>40747479</v>
      </c>
      <c r="K200" s="158" t="s">
        <v>41</v>
      </c>
      <c r="L200" s="196" t="s">
        <v>1087</v>
      </c>
      <c r="M200" s="114" t="s">
        <v>938</v>
      </c>
      <c r="N200" s="113" t="e" cm="1">
        <f t="array" aca="1" ref="N200" ca="1">_xlfn.XLOOKUP(Contrato[[#This Row],[SUPERVISOR TITULAR]],PERSONAL_ACTIVO_2025[[#All],[NOMBRES Y APELLIDOS]],PERSONAL_ACTIVO_2025[[#All],[DOCUMENTO]],"",0)</f>
        <v>#NAME?</v>
      </c>
      <c r="O200" s="114" t="s">
        <v>1091</v>
      </c>
      <c r="P200" s="115" t="e" cm="1">
        <f t="array" aca="1" ref="P200" ca="1">_xlfn.XLOOKUP(Contrato[[#This Row],[SUPERVISOR SUPLENTE ]],PERSONAL_ACTIVO_2025[[#All],[NOMBRES Y APELLIDOS]],PERSONAL_ACTIVO_2025[[#All],[DOCUMENTO]],"",0)</f>
        <v>#NAME?</v>
      </c>
      <c r="Q200" s="116">
        <v>240</v>
      </c>
      <c r="R200" s="137" t="e" cm="1">
        <f t="array" aca="1" ref="R200" ca="1">_xlfn.XLOOKUP(Contrato[[#This Row],[CDP]],DISPONIBILIDADES_2025[[#All],[consecutivo]],DISPONIBILIDADES_2025[[#All],[fecha_aprobacion]],"",0)</f>
        <v>#NAME?</v>
      </c>
      <c r="S200" s="92">
        <f>SUMIF(DISPONIBILIDADES_2025[[#All],[consecutivo]],Contrato[[#This Row],[CDP]],DISPONIBILIDADES_2025[[#All],[valor_total_rubro]])</f>
        <v>40747479</v>
      </c>
      <c r="T200" s="118" t="e" cm="1">
        <f t="array" aca="1" ref="T200" ca="1">_xlfn.XLOOKUP(Contrato[[#This Row],[CONTRATO]]&amp;Contrato[[#This Row],[CDP]],Corr_Contr_CDP[[#All],[CONTRATO-CDP]],Corr_Contr_CDP[[#All],[CRP]],_xlfn.XLOOKUP(Contrato[[#This Row],[CDP]],COMPROMISOS_2025[[#All],[disponibilidad]],COMPROMISOS_2025[[#All],[consecutivo]],"",0),0)</f>
        <v>#NAME?</v>
      </c>
      <c r="U200" s="117" t="e" cm="1">
        <f t="array" aca="1" ref="U200" ca="1">+_xlfn.XLOOKUP(Contrato[[#This Row],[RCP]],COMPROMISOS_2025[[#All],[consecutivo]],COMPROMISOS_2025[[#All],[fecha_aprobacion]],"",0)</f>
        <v>#NAME?</v>
      </c>
      <c r="V200" s="93">
        <f ca="1">SUMIF(COMPROMISOS_2025[[#All],[consecutivo]],Contrato[[#This Row],[RCP]],COMPROMISOS_2025[[#All],[valor_total]])</f>
        <v>0</v>
      </c>
      <c r="W200" s="169">
        <v>45708</v>
      </c>
      <c r="X200" s="243" t="s">
        <v>901</v>
      </c>
      <c r="Y200" s="397">
        <v>45709</v>
      </c>
      <c r="Z200" s="161">
        <v>46005</v>
      </c>
      <c r="AA200" s="198" t="s">
        <v>1130</v>
      </c>
      <c r="AB200" s="119" t="s">
        <v>1127</v>
      </c>
      <c r="AC200" s="303"/>
      <c r="AD200" s="279">
        <v>202000006324</v>
      </c>
      <c r="AE200" s="38" t="s">
        <v>904</v>
      </c>
      <c r="AF200" s="120" t="str">
        <f>TEXT(LEFT(Contrato[[#This Row],[CONTRATO]],3),"0")</f>
        <v>194</v>
      </c>
      <c r="AG200" s="120" t="str">
        <f>IF(LEN(Contrato[[#This Row],[Contrato2]])=3,Contrato[[#This Row],[Contrato2]],TEXT(Contrato[[#This Row],[Contrato2]],"000"))</f>
        <v>194</v>
      </c>
      <c r="AH200" s="90">
        <f ca="1">IFERROR(_xlfn.DAYS(Contrato[[#This Row],[Fecha Proyectada liquidación]],TODAY())/30,"")</f>
        <v>11.4</v>
      </c>
      <c r="AI200" s="121">
        <f>+Contrato[[#This Row],[FECHA TERMINACIÓN ]]+120</f>
        <v>46125</v>
      </c>
      <c r="AJ200" s="89"/>
      <c r="AK200" s="91" t="str">
        <f ca="1">IF(Contrato[[#This Row],[FECHA TERMINACIÓN ]]&lt;TODAY(), "Terminado",IF(ISNUMBER(Contrato[[#This Row],[Fecha Real de liquiidación ]]),"Liquidado",IF(Contrato[[#This Row],[FECHA TERMINACIÓN ]]&gt;=TODAY(),"En ejecución","")))</f>
        <v>En ejecución</v>
      </c>
      <c r="AL200" s="107">
        <f ca="1">SUMIF(COMPROMISOS_2025[[#All],[consecutivo]],Contrato[[#This Row],[RCP]],COMPROMISOS_2025[[#All],[Total pagado]])</f>
        <v>0</v>
      </c>
      <c r="AM200" s="122">
        <f ca="1">IFERROR(Contrato[[#This Row],[Pagos]]/Contrato[[#This Row],[VALOR CONTRATO]],0)</f>
        <v>0</v>
      </c>
      <c r="AN200" s="160">
        <f ca="1">+Contrato[[#This Row],[VALOR CONTRATO]]-Contrato[[#This Row],[Pagos]]</f>
        <v>40747479</v>
      </c>
      <c r="AO200" s="111" t="e" cm="1">
        <f t="array" aca="1" ref="AO200" ca="1">_xlfn.XLOOKUP(Contrato[[#This Row],[DOCUMENTO ]],PERSONAL_ACTIVO_2025[[#All],[DOCUMENTO]],PERSONAL_ACTIVO_2025[[#All],[email]],0,0)</f>
        <v>#NAME?</v>
      </c>
      <c r="AP200" s="111" t="e" cm="1">
        <f t="array" aca="1" ref="AP200" ca="1">_xlfn.XLOOKUP(Contrato[[#This Row],[DOCUMENTO]],PERSONAL_ACTIVO_2025[[#All],[DOCUMENTO]],PERSONAL_ACTIVO_2025[[#All],[email]],0,0)</f>
        <v>#NAME?</v>
      </c>
      <c r="AQ200" s="111" cm="1">
        <f t="array" aca="1" ref="AQ200" ca="1">IF(ISBLANK(Contrato[[#This Row],[DEPENDENCIA ]]),0,IFERROR(_xlfn.XLOOKUP(Contrato[[#This Row],[DEPENDENCIA ]],#REF!,#REF!,0,0),0))</f>
        <v>0</v>
      </c>
      <c r="AR200" s="553">
        <f ca="1">+_xlfn.DAYS(Contrato[[#This Row],[FECHA TERMINACIÓN ]],TODAY())</f>
        <v>222</v>
      </c>
    </row>
    <row r="201" spans="1:44" s="111" customFormat="1" ht="36" customHeight="1" x14ac:dyDescent="0.25">
      <c r="A201" s="38">
        <v>408</v>
      </c>
      <c r="B201" s="226">
        <v>195</v>
      </c>
      <c r="C201" s="88" t="s">
        <v>606</v>
      </c>
      <c r="D201" s="192" t="s">
        <v>911</v>
      </c>
      <c r="E201" s="193" t="s">
        <v>112</v>
      </c>
      <c r="F201" s="194" t="s">
        <v>113</v>
      </c>
      <c r="G201" s="195" t="s">
        <v>1255</v>
      </c>
      <c r="H201" s="167">
        <v>1035429696</v>
      </c>
      <c r="I201" s="292">
        <v>2708734</v>
      </c>
      <c r="J201" s="290">
        <v>26545593</v>
      </c>
      <c r="K201" s="158" t="s">
        <v>41</v>
      </c>
      <c r="L201" s="196" t="s">
        <v>1087</v>
      </c>
      <c r="M201" s="114" t="s">
        <v>938</v>
      </c>
      <c r="N201" s="113" t="e" cm="1">
        <f t="array" aca="1" ref="N201" ca="1">_xlfn.XLOOKUP(Contrato[[#This Row],[SUPERVISOR TITULAR]],PERSONAL_ACTIVO_2025[[#All],[NOMBRES Y APELLIDOS]],PERSONAL_ACTIVO_2025[[#All],[DOCUMENTO]],"",0)</f>
        <v>#NAME?</v>
      </c>
      <c r="O201" s="114" t="s">
        <v>1091</v>
      </c>
      <c r="P201" s="115" t="e" cm="1">
        <f t="array" aca="1" ref="P201" ca="1">_xlfn.XLOOKUP(Contrato[[#This Row],[SUPERVISOR SUPLENTE ]],PERSONAL_ACTIVO_2025[[#All],[NOMBRES Y APELLIDOS]],PERSONAL_ACTIVO_2025[[#All],[DOCUMENTO]],"",0)</f>
        <v>#NAME?</v>
      </c>
      <c r="Q201" s="116">
        <v>241</v>
      </c>
      <c r="R201" s="137" t="e" cm="1">
        <f t="array" aca="1" ref="R201" ca="1">_xlfn.XLOOKUP(Contrato[[#This Row],[CDP]],DISPONIBILIDADES_2025[[#All],[consecutivo]],DISPONIBILIDADES_2025[[#All],[fecha_aprobacion]],"",0)</f>
        <v>#NAME?</v>
      </c>
      <c r="S201" s="92">
        <f>SUMIF(DISPONIBILIDADES_2025[[#All],[consecutivo]],Contrato[[#This Row],[CDP]],DISPONIBILIDADES_2025[[#All],[valor_total_rubro]])</f>
        <v>26545593</v>
      </c>
      <c r="T201" s="118" t="e" cm="1">
        <f t="array" aca="1" ref="T201" ca="1">_xlfn.XLOOKUP(Contrato[[#This Row],[CONTRATO]]&amp;Contrato[[#This Row],[CDP]],Corr_Contr_CDP[[#All],[CONTRATO-CDP]],Corr_Contr_CDP[[#All],[CRP]],_xlfn.XLOOKUP(Contrato[[#This Row],[CDP]],COMPROMISOS_2025[[#All],[disponibilidad]],COMPROMISOS_2025[[#All],[consecutivo]],"",0),0)</f>
        <v>#NAME?</v>
      </c>
      <c r="U201" s="117" t="e" cm="1">
        <f t="array" aca="1" ref="U201" ca="1">+_xlfn.XLOOKUP(Contrato[[#This Row],[RCP]],COMPROMISOS_2025[[#All],[consecutivo]],COMPROMISOS_2025[[#All],[fecha_aprobacion]],"",0)</f>
        <v>#NAME?</v>
      </c>
      <c r="V201" s="93">
        <f ca="1">SUMIF(COMPROMISOS_2025[[#All],[consecutivo]],Contrato[[#This Row],[RCP]],COMPROMISOS_2025[[#All],[valor_total]])</f>
        <v>0</v>
      </c>
      <c r="W201" s="169">
        <v>45708</v>
      </c>
      <c r="X201" s="243" t="s">
        <v>901</v>
      </c>
      <c r="Y201" s="397">
        <v>45709</v>
      </c>
      <c r="Z201" s="161">
        <v>46005</v>
      </c>
      <c r="AA201" s="198" t="s">
        <v>1130</v>
      </c>
      <c r="AB201" s="119" t="s">
        <v>1127</v>
      </c>
      <c r="AC201" s="303"/>
      <c r="AD201" s="279">
        <v>202000006325</v>
      </c>
      <c r="AE201" s="38" t="s">
        <v>904</v>
      </c>
      <c r="AF201" s="120" t="str">
        <f>TEXT(LEFT(Contrato[[#This Row],[CONTRATO]],3),"0")</f>
        <v>195</v>
      </c>
      <c r="AG201" s="120" t="str">
        <f>IF(LEN(Contrato[[#This Row],[Contrato2]])=3,Contrato[[#This Row],[Contrato2]],TEXT(Contrato[[#This Row],[Contrato2]],"000"))</f>
        <v>195</v>
      </c>
      <c r="AH201" s="90">
        <f ca="1">IFERROR(_xlfn.DAYS(Contrato[[#This Row],[Fecha Proyectada liquidación]],TODAY())/30,"")</f>
        <v>11.4</v>
      </c>
      <c r="AI201" s="121">
        <f>+Contrato[[#This Row],[FECHA TERMINACIÓN ]]+120</f>
        <v>46125</v>
      </c>
      <c r="AJ201" s="89"/>
      <c r="AK201" s="91" t="str">
        <f ca="1">IF(Contrato[[#This Row],[FECHA TERMINACIÓN ]]&lt;TODAY(), "Terminado",IF(ISNUMBER(Contrato[[#This Row],[Fecha Real de liquiidación ]]),"Liquidado",IF(Contrato[[#This Row],[FECHA TERMINACIÓN ]]&gt;=TODAY(),"En ejecución","")))</f>
        <v>En ejecución</v>
      </c>
      <c r="AL201" s="107">
        <f ca="1">SUMIF(COMPROMISOS_2025[[#All],[consecutivo]],Contrato[[#This Row],[RCP]],COMPROMISOS_2025[[#All],[Total pagado]])</f>
        <v>0</v>
      </c>
      <c r="AM201" s="122">
        <f ca="1">IFERROR(Contrato[[#This Row],[Pagos]]/Contrato[[#This Row],[VALOR CONTRATO]],0)</f>
        <v>0</v>
      </c>
      <c r="AN201" s="160">
        <f ca="1">+Contrato[[#This Row],[VALOR CONTRATO]]-Contrato[[#This Row],[Pagos]]</f>
        <v>26545593</v>
      </c>
      <c r="AO201" s="111" t="e" cm="1">
        <f t="array" aca="1" ref="AO201" ca="1">_xlfn.XLOOKUP(Contrato[[#This Row],[DOCUMENTO ]],PERSONAL_ACTIVO_2025[[#All],[DOCUMENTO]],PERSONAL_ACTIVO_2025[[#All],[email]],0,0)</f>
        <v>#NAME?</v>
      </c>
      <c r="AP201" s="111" t="e" cm="1">
        <f t="array" aca="1" ref="AP201" ca="1">_xlfn.XLOOKUP(Contrato[[#This Row],[DOCUMENTO]],PERSONAL_ACTIVO_2025[[#All],[DOCUMENTO]],PERSONAL_ACTIVO_2025[[#All],[email]],0,0)</f>
        <v>#NAME?</v>
      </c>
      <c r="AQ201" s="111" cm="1">
        <f t="array" aca="1" ref="AQ201" ca="1">IF(ISBLANK(Contrato[[#This Row],[DEPENDENCIA ]]),0,IFERROR(_xlfn.XLOOKUP(Contrato[[#This Row],[DEPENDENCIA ]],#REF!,#REF!,0,0),0))</f>
        <v>0</v>
      </c>
      <c r="AR201" s="553">
        <f ca="1">+_xlfn.DAYS(Contrato[[#This Row],[FECHA TERMINACIÓN ]],TODAY())</f>
        <v>222</v>
      </c>
    </row>
    <row r="202" spans="1:44" s="111" customFormat="1" ht="36" customHeight="1" x14ac:dyDescent="0.25">
      <c r="A202" s="38">
        <v>409</v>
      </c>
      <c r="B202" s="226">
        <v>196</v>
      </c>
      <c r="C202" s="88" t="s">
        <v>607</v>
      </c>
      <c r="D202" s="192" t="s">
        <v>911</v>
      </c>
      <c r="E202" s="193" t="s">
        <v>112</v>
      </c>
      <c r="F202" s="194" t="s">
        <v>113</v>
      </c>
      <c r="G202" s="195" t="s">
        <v>1256</v>
      </c>
      <c r="H202" s="167">
        <v>3474237</v>
      </c>
      <c r="I202" s="292">
        <v>8320021</v>
      </c>
      <c r="J202" s="290">
        <v>81536206</v>
      </c>
      <c r="K202" s="158" t="s">
        <v>41</v>
      </c>
      <c r="L202" s="196" t="s">
        <v>1087</v>
      </c>
      <c r="M202" s="114" t="s">
        <v>938</v>
      </c>
      <c r="N202" s="113" t="e" cm="1">
        <f t="array" aca="1" ref="N202" ca="1">_xlfn.XLOOKUP(Contrato[[#This Row],[SUPERVISOR TITULAR]],PERSONAL_ACTIVO_2025[[#All],[NOMBRES Y APELLIDOS]],PERSONAL_ACTIVO_2025[[#All],[DOCUMENTO]],"",0)</f>
        <v>#NAME?</v>
      </c>
      <c r="O202" s="114" t="s">
        <v>1091</v>
      </c>
      <c r="P202" s="115" t="e" cm="1">
        <f t="array" aca="1" ref="P202" ca="1">_xlfn.XLOOKUP(Contrato[[#This Row],[SUPERVISOR SUPLENTE ]],PERSONAL_ACTIVO_2025[[#All],[NOMBRES Y APELLIDOS]],PERSONAL_ACTIVO_2025[[#All],[DOCUMENTO]],"",0)</f>
        <v>#NAME?</v>
      </c>
      <c r="Q202" s="116">
        <v>242</v>
      </c>
      <c r="R202" s="137" t="e" cm="1">
        <f t="array" aca="1" ref="R202" ca="1">_xlfn.XLOOKUP(Contrato[[#This Row],[CDP]],DISPONIBILIDADES_2025[[#All],[consecutivo]],DISPONIBILIDADES_2025[[#All],[fecha_aprobacion]],"",0)</f>
        <v>#NAME?</v>
      </c>
      <c r="S202" s="92">
        <f>SUMIF(DISPONIBILIDADES_2025[[#All],[consecutivo]],Contrato[[#This Row],[CDP]],DISPONIBILIDADES_2025[[#All],[valor_total_rubro]])</f>
        <v>81536206</v>
      </c>
      <c r="T202" s="118" t="e" cm="1">
        <f t="array" aca="1" ref="T202" ca="1">_xlfn.XLOOKUP(Contrato[[#This Row],[CONTRATO]]&amp;Contrato[[#This Row],[CDP]],Corr_Contr_CDP[[#All],[CONTRATO-CDP]],Corr_Contr_CDP[[#All],[CRP]],_xlfn.XLOOKUP(Contrato[[#This Row],[CDP]],COMPROMISOS_2025[[#All],[disponibilidad]],COMPROMISOS_2025[[#All],[consecutivo]],"",0),0)</f>
        <v>#NAME?</v>
      </c>
      <c r="U202" s="117" t="e" cm="1">
        <f t="array" aca="1" ref="U202" ca="1">+_xlfn.XLOOKUP(Contrato[[#This Row],[RCP]],COMPROMISOS_2025[[#All],[consecutivo]],COMPROMISOS_2025[[#All],[fecha_aprobacion]],"",0)</f>
        <v>#NAME?</v>
      </c>
      <c r="V202" s="93">
        <f ca="1">SUMIF(COMPROMISOS_2025[[#All],[consecutivo]],Contrato[[#This Row],[RCP]],COMPROMISOS_2025[[#All],[valor_total]])</f>
        <v>0</v>
      </c>
      <c r="W202" s="169">
        <v>45708</v>
      </c>
      <c r="X202" s="243" t="s">
        <v>901</v>
      </c>
      <c r="Y202" s="397">
        <v>45709</v>
      </c>
      <c r="Z202" s="161">
        <v>46005</v>
      </c>
      <c r="AA202" s="198" t="s">
        <v>1143</v>
      </c>
      <c r="AB202" s="119" t="s">
        <v>1127</v>
      </c>
      <c r="AC202" s="304"/>
      <c r="AD202" s="279">
        <v>202000006326</v>
      </c>
      <c r="AE202" s="38" t="s">
        <v>904</v>
      </c>
      <c r="AF202" s="120" t="str">
        <f>TEXT(LEFT(Contrato[[#This Row],[CONTRATO]],3),"0")</f>
        <v>196</v>
      </c>
      <c r="AG202" s="120" t="str">
        <f>IF(LEN(Contrato[[#This Row],[Contrato2]])=3,Contrato[[#This Row],[Contrato2]],TEXT(Contrato[[#This Row],[Contrato2]],"000"))</f>
        <v>196</v>
      </c>
      <c r="AH202" s="90">
        <f ca="1">IFERROR(_xlfn.DAYS(Contrato[[#This Row],[Fecha Proyectada liquidación]],TODAY())/30,"")</f>
        <v>11.4</v>
      </c>
      <c r="AI202" s="121">
        <f>+Contrato[[#This Row],[FECHA TERMINACIÓN ]]+120</f>
        <v>46125</v>
      </c>
      <c r="AJ202" s="89"/>
      <c r="AK202" s="91" t="str">
        <f ca="1">IF(Contrato[[#This Row],[FECHA TERMINACIÓN ]]&lt;TODAY(), "Terminado",IF(ISNUMBER(Contrato[[#This Row],[Fecha Real de liquiidación ]]),"Liquidado",IF(Contrato[[#This Row],[FECHA TERMINACIÓN ]]&gt;=TODAY(),"En ejecución","")))</f>
        <v>En ejecución</v>
      </c>
      <c r="AL202" s="107">
        <f ca="1">SUMIF(COMPROMISOS_2025[[#All],[consecutivo]],Contrato[[#This Row],[RCP]],COMPROMISOS_2025[[#All],[Total pagado]])</f>
        <v>0</v>
      </c>
      <c r="AM202" s="122">
        <f ca="1">IFERROR(Contrato[[#This Row],[Pagos]]/Contrato[[#This Row],[VALOR CONTRATO]],0)</f>
        <v>0</v>
      </c>
      <c r="AN202" s="160">
        <f ca="1">+Contrato[[#This Row],[VALOR CONTRATO]]-Contrato[[#This Row],[Pagos]]</f>
        <v>81536206</v>
      </c>
      <c r="AO202" s="111" t="e" cm="1">
        <f t="array" aca="1" ref="AO202" ca="1">_xlfn.XLOOKUP(Contrato[[#This Row],[DOCUMENTO ]],PERSONAL_ACTIVO_2025[[#All],[DOCUMENTO]],PERSONAL_ACTIVO_2025[[#All],[email]],0,0)</f>
        <v>#NAME?</v>
      </c>
      <c r="AP202" s="111" t="e" cm="1">
        <f t="array" aca="1" ref="AP202" ca="1">_xlfn.XLOOKUP(Contrato[[#This Row],[DOCUMENTO]],PERSONAL_ACTIVO_2025[[#All],[DOCUMENTO]],PERSONAL_ACTIVO_2025[[#All],[email]],0,0)</f>
        <v>#NAME?</v>
      </c>
      <c r="AQ202" s="111" cm="1">
        <f t="array" aca="1" ref="AQ202" ca="1">IF(ISBLANK(Contrato[[#This Row],[DEPENDENCIA ]]),0,IFERROR(_xlfn.XLOOKUP(Contrato[[#This Row],[DEPENDENCIA ]],#REF!,#REF!,0,0),0))</f>
        <v>0</v>
      </c>
      <c r="AR202" s="553">
        <f ca="1">+_xlfn.DAYS(Contrato[[#This Row],[FECHA TERMINACIÓN ]],TODAY())</f>
        <v>222</v>
      </c>
    </row>
    <row r="203" spans="1:44" s="111" customFormat="1" ht="36" customHeight="1" x14ac:dyDescent="0.25">
      <c r="A203" s="38">
        <v>410</v>
      </c>
      <c r="B203" s="226">
        <v>197</v>
      </c>
      <c r="C203" s="88" t="s">
        <v>608</v>
      </c>
      <c r="D203" s="192" t="s">
        <v>911</v>
      </c>
      <c r="E203" s="193" t="s">
        <v>112</v>
      </c>
      <c r="F203" s="194" t="s">
        <v>113</v>
      </c>
      <c r="G203" s="195" t="s">
        <v>1257</v>
      </c>
      <c r="H203" s="167">
        <v>15302841</v>
      </c>
      <c r="I203" s="292">
        <v>7280018</v>
      </c>
      <c r="J203" s="290">
        <v>71344176</v>
      </c>
      <c r="K203" s="158" t="s">
        <v>41</v>
      </c>
      <c r="L203" s="196" t="s">
        <v>1087</v>
      </c>
      <c r="M203" s="114" t="s">
        <v>938</v>
      </c>
      <c r="N203" s="113" t="e" cm="1">
        <f t="array" aca="1" ref="N203" ca="1">_xlfn.XLOOKUP(Contrato[[#This Row],[SUPERVISOR TITULAR]],PERSONAL_ACTIVO_2025[[#All],[NOMBRES Y APELLIDOS]],PERSONAL_ACTIVO_2025[[#All],[DOCUMENTO]],"",0)</f>
        <v>#NAME?</v>
      </c>
      <c r="O203" s="114" t="s">
        <v>1091</v>
      </c>
      <c r="P203" s="115" t="e" cm="1">
        <f t="array" aca="1" ref="P203" ca="1">_xlfn.XLOOKUP(Contrato[[#This Row],[SUPERVISOR SUPLENTE ]],PERSONAL_ACTIVO_2025[[#All],[NOMBRES Y APELLIDOS]],PERSONAL_ACTIVO_2025[[#All],[DOCUMENTO]],"",0)</f>
        <v>#NAME?</v>
      </c>
      <c r="Q203" s="116">
        <v>243</v>
      </c>
      <c r="R203" s="137" t="e" cm="1">
        <f t="array" aca="1" ref="R203" ca="1">_xlfn.XLOOKUP(Contrato[[#This Row],[CDP]],DISPONIBILIDADES_2025[[#All],[consecutivo]],DISPONIBILIDADES_2025[[#All],[fecha_aprobacion]],"",0)</f>
        <v>#NAME?</v>
      </c>
      <c r="S203" s="92">
        <f>SUMIF(DISPONIBILIDADES_2025[[#All],[consecutivo]],Contrato[[#This Row],[CDP]],DISPONIBILIDADES_2025[[#All],[valor_total_rubro]])</f>
        <v>71344176</v>
      </c>
      <c r="T203" s="118" t="e" cm="1">
        <f t="array" aca="1" ref="T203" ca="1">_xlfn.XLOOKUP(Contrato[[#This Row],[CONTRATO]]&amp;Contrato[[#This Row],[CDP]],Corr_Contr_CDP[[#All],[CONTRATO-CDP]],Corr_Contr_CDP[[#All],[CRP]],_xlfn.XLOOKUP(Contrato[[#This Row],[CDP]],COMPROMISOS_2025[[#All],[disponibilidad]],COMPROMISOS_2025[[#All],[consecutivo]],"",0),0)</f>
        <v>#NAME?</v>
      </c>
      <c r="U203" s="117" t="e" cm="1">
        <f t="array" aca="1" ref="U203" ca="1">+_xlfn.XLOOKUP(Contrato[[#This Row],[RCP]],COMPROMISOS_2025[[#All],[consecutivo]],COMPROMISOS_2025[[#All],[fecha_aprobacion]],"",0)</f>
        <v>#NAME?</v>
      </c>
      <c r="V203" s="93">
        <f ca="1">SUMIF(COMPROMISOS_2025[[#All],[consecutivo]],Contrato[[#This Row],[RCP]],COMPROMISOS_2025[[#All],[valor_total]])</f>
        <v>0</v>
      </c>
      <c r="W203" s="169">
        <v>45708</v>
      </c>
      <c r="X203" s="243" t="s">
        <v>901</v>
      </c>
      <c r="Y203" s="397">
        <v>45709</v>
      </c>
      <c r="Z203" s="161">
        <v>46005</v>
      </c>
      <c r="AA203" s="198" t="s">
        <v>1143</v>
      </c>
      <c r="AB203" s="119" t="s">
        <v>1127</v>
      </c>
      <c r="AC203" s="303"/>
      <c r="AD203" s="279">
        <v>202000006327</v>
      </c>
      <c r="AE203" s="38" t="s">
        <v>904</v>
      </c>
      <c r="AF203" s="120" t="str">
        <f>TEXT(LEFT(Contrato[[#This Row],[CONTRATO]],3),"0")</f>
        <v>197</v>
      </c>
      <c r="AG203" s="120" t="str">
        <f>IF(LEN(Contrato[[#This Row],[Contrato2]])=3,Contrato[[#This Row],[Contrato2]],TEXT(Contrato[[#This Row],[Contrato2]],"000"))</f>
        <v>197</v>
      </c>
      <c r="AH203" s="90">
        <f ca="1">IFERROR(_xlfn.DAYS(Contrato[[#This Row],[Fecha Proyectada liquidación]],TODAY())/30,"")</f>
        <v>11.4</v>
      </c>
      <c r="AI203" s="121">
        <f>+Contrato[[#This Row],[FECHA TERMINACIÓN ]]+120</f>
        <v>46125</v>
      </c>
      <c r="AJ203" s="89"/>
      <c r="AK203" s="91" t="str">
        <f ca="1">IF(Contrato[[#This Row],[FECHA TERMINACIÓN ]]&lt;TODAY(), "Terminado",IF(ISNUMBER(Contrato[[#This Row],[Fecha Real de liquiidación ]]),"Liquidado",IF(Contrato[[#This Row],[FECHA TERMINACIÓN ]]&gt;=TODAY(),"En ejecución","")))</f>
        <v>En ejecución</v>
      </c>
      <c r="AL203" s="107">
        <f ca="1">SUMIF(COMPROMISOS_2025[[#All],[consecutivo]],Contrato[[#This Row],[RCP]],COMPROMISOS_2025[[#All],[Total pagado]])</f>
        <v>0</v>
      </c>
      <c r="AM203" s="122">
        <f ca="1">IFERROR(Contrato[[#This Row],[Pagos]]/Contrato[[#This Row],[VALOR CONTRATO]],0)</f>
        <v>0</v>
      </c>
      <c r="AN203" s="160">
        <f ca="1">+Contrato[[#This Row],[VALOR CONTRATO]]-Contrato[[#This Row],[Pagos]]</f>
        <v>71344176</v>
      </c>
      <c r="AO203" s="111" t="e" cm="1">
        <f t="array" aca="1" ref="AO203" ca="1">_xlfn.XLOOKUP(Contrato[[#This Row],[DOCUMENTO ]],PERSONAL_ACTIVO_2025[[#All],[DOCUMENTO]],PERSONAL_ACTIVO_2025[[#All],[email]],0,0)</f>
        <v>#NAME?</v>
      </c>
      <c r="AP203" s="111" t="e" cm="1">
        <f t="array" aca="1" ref="AP203" ca="1">_xlfn.XLOOKUP(Contrato[[#This Row],[DOCUMENTO]],PERSONAL_ACTIVO_2025[[#All],[DOCUMENTO]],PERSONAL_ACTIVO_2025[[#All],[email]],0,0)</f>
        <v>#NAME?</v>
      </c>
      <c r="AQ203" s="111" cm="1">
        <f t="array" aca="1" ref="AQ203" ca="1">IF(ISBLANK(Contrato[[#This Row],[DEPENDENCIA ]]),0,IFERROR(_xlfn.XLOOKUP(Contrato[[#This Row],[DEPENDENCIA ]],#REF!,#REF!,0,0),0))</f>
        <v>0</v>
      </c>
      <c r="AR203" s="553">
        <f ca="1">+_xlfn.DAYS(Contrato[[#This Row],[FECHA TERMINACIÓN ]],TODAY())</f>
        <v>222</v>
      </c>
    </row>
    <row r="204" spans="1:44" s="111" customFormat="1" ht="36" customHeight="1" x14ac:dyDescent="0.25">
      <c r="A204" s="38">
        <v>411</v>
      </c>
      <c r="B204" s="226">
        <v>198</v>
      </c>
      <c r="C204" s="88" t="s">
        <v>609</v>
      </c>
      <c r="D204" s="192" t="s">
        <v>911</v>
      </c>
      <c r="E204" s="193" t="s">
        <v>112</v>
      </c>
      <c r="F204" s="194" t="s">
        <v>113</v>
      </c>
      <c r="G204" s="195" t="s">
        <v>1258</v>
      </c>
      <c r="H204" s="167">
        <v>1036622309</v>
      </c>
      <c r="I204" s="292">
        <v>5164201</v>
      </c>
      <c r="J204" s="290">
        <v>50609170</v>
      </c>
      <c r="K204" s="158" t="s">
        <v>41</v>
      </c>
      <c r="L204" s="196" t="s">
        <v>1087</v>
      </c>
      <c r="M204" s="114" t="s">
        <v>938</v>
      </c>
      <c r="N204" s="113" t="e" cm="1">
        <f t="array" aca="1" ref="N204" ca="1">_xlfn.XLOOKUP(Contrato[[#This Row],[SUPERVISOR TITULAR]],PERSONAL_ACTIVO_2025[[#All],[NOMBRES Y APELLIDOS]],PERSONAL_ACTIVO_2025[[#All],[DOCUMENTO]],"",0)</f>
        <v>#NAME?</v>
      </c>
      <c r="O204" s="114" t="s">
        <v>1091</v>
      </c>
      <c r="P204" s="115" t="e" cm="1">
        <f t="array" aca="1" ref="P204" ca="1">_xlfn.XLOOKUP(Contrato[[#This Row],[SUPERVISOR SUPLENTE ]],PERSONAL_ACTIVO_2025[[#All],[NOMBRES Y APELLIDOS]],PERSONAL_ACTIVO_2025[[#All],[DOCUMENTO]],"",0)</f>
        <v>#NAME?</v>
      </c>
      <c r="Q204" s="116">
        <v>244</v>
      </c>
      <c r="R204" s="137" t="e" cm="1">
        <f t="array" aca="1" ref="R204" ca="1">_xlfn.XLOOKUP(Contrato[[#This Row],[CDP]],DISPONIBILIDADES_2025[[#All],[consecutivo]],DISPONIBILIDADES_2025[[#All],[fecha_aprobacion]],"",0)</f>
        <v>#NAME?</v>
      </c>
      <c r="S204" s="92">
        <f>SUMIF(DISPONIBILIDADES_2025[[#All],[consecutivo]],Contrato[[#This Row],[CDP]],DISPONIBILIDADES_2025[[#All],[valor_total_rubro]])</f>
        <v>50609170</v>
      </c>
      <c r="T204" s="118" t="e" cm="1">
        <f t="array" aca="1" ref="T204" ca="1">_xlfn.XLOOKUP(Contrato[[#This Row],[CONTRATO]]&amp;Contrato[[#This Row],[CDP]],Corr_Contr_CDP[[#All],[CONTRATO-CDP]],Corr_Contr_CDP[[#All],[CRP]],_xlfn.XLOOKUP(Contrato[[#This Row],[CDP]],COMPROMISOS_2025[[#All],[disponibilidad]],COMPROMISOS_2025[[#All],[consecutivo]],"",0),0)</f>
        <v>#NAME?</v>
      </c>
      <c r="U204" s="117" t="e" cm="1">
        <f t="array" aca="1" ref="U204" ca="1">+_xlfn.XLOOKUP(Contrato[[#This Row],[RCP]],COMPROMISOS_2025[[#All],[consecutivo]],COMPROMISOS_2025[[#All],[fecha_aprobacion]],"",0)</f>
        <v>#NAME?</v>
      </c>
      <c r="V204" s="93">
        <f ca="1">SUMIF(COMPROMISOS_2025[[#All],[consecutivo]],Contrato[[#This Row],[RCP]],COMPROMISOS_2025[[#All],[valor_total]])</f>
        <v>0</v>
      </c>
      <c r="W204" s="169">
        <v>45708</v>
      </c>
      <c r="X204" s="243" t="s">
        <v>901</v>
      </c>
      <c r="Y204" s="397">
        <v>45709</v>
      </c>
      <c r="Z204" s="161">
        <v>46005</v>
      </c>
      <c r="AA204" s="198" t="s">
        <v>1143</v>
      </c>
      <c r="AB204" s="119" t="s">
        <v>1127</v>
      </c>
      <c r="AC204" s="303"/>
      <c r="AD204" s="279">
        <v>202000006329</v>
      </c>
      <c r="AE204" s="38" t="s">
        <v>904</v>
      </c>
      <c r="AF204" s="120" t="str">
        <f>TEXT(LEFT(Contrato[[#This Row],[CONTRATO]],3),"0")</f>
        <v>198</v>
      </c>
      <c r="AG204" s="120" t="str">
        <f>IF(LEN(Contrato[[#This Row],[Contrato2]])=3,Contrato[[#This Row],[Contrato2]],TEXT(Contrato[[#This Row],[Contrato2]],"000"))</f>
        <v>198</v>
      </c>
      <c r="AH204" s="90">
        <f ca="1">IFERROR(_xlfn.DAYS(Contrato[[#This Row],[Fecha Proyectada liquidación]],TODAY())/30,"")</f>
        <v>11.4</v>
      </c>
      <c r="AI204" s="121">
        <f>+Contrato[[#This Row],[FECHA TERMINACIÓN ]]+120</f>
        <v>46125</v>
      </c>
      <c r="AJ204" s="89"/>
      <c r="AK204" s="91" t="str">
        <f ca="1">IF(Contrato[[#This Row],[FECHA TERMINACIÓN ]]&lt;TODAY(), "Terminado",IF(ISNUMBER(Contrato[[#This Row],[Fecha Real de liquiidación ]]),"Liquidado",IF(Contrato[[#This Row],[FECHA TERMINACIÓN ]]&gt;=TODAY(),"En ejecución","")))</f>
        <v>En ejecución</v>
      </c>
      <c r="AL204" s="107">
        <f ca="1">SUMIF(COMPROMISOS_2025[[#All],[consecutivo]],Contrato[[#This Row],[RCP]],COMPROMISOS_2025[[#All],[Total pagado]])</f>
        <v>0</v>
      </c>
      <c r="AM204" s="122">
        <f ca="1">IFERROR(Contrato[[#This Row],[Pagos]]/Contrato[[#This Row],[VALOR CONTRATO]],0)</f>
        <v>0</v>
      </c>
      <c r="AN204" s="160">
        <f ca="1">+Contrato[[#This Row],[VALOR CONTRATO]]-Contrato[[#This Row],[Pagos]]</f>
        <v>50609170</v>
      </c>
      <c r="AO204" s="111" t="e" cm="1">
        <f t="array" aca="1" ref="AO204" ca="1">_xlfn.XLOOKUP(Contrato[[#This Row],[DOCUMENTO ]],PERSONAL_ACTIVO_2025[[#All],[DOCUMENTO]],PERSONAL_ACTIVO_2025[[#All],[email]],0,0)</f>
        <v>#NAME?</v>
      </c>
      <c r="AP204" s="111" t="e" cm="1">
        <f t="array" aca="1" ref="AP204" ca="1">_xlfn.XLOOKUP(Contrato[[#This Row],[DOCUMENTO]],PERSONAL_ACTIVO_2025[[#All],[DOCUMENTO]],PERSONAL_ACTIVO_2025[[#All],[email]],0,0)</f>
        <v>#NAME?</v>
      </c>
      <c r="AQ204" s="111" cm="1">
        <f t="array" aca="1" ref="AQ204" ca="1">IF(ISBLANK(Contrato[[#This Row],[DEPENDENCIA ]]),0,IFERROR(_xlfn.XLOOKUP(Contrato[[#This Row],[DEPENDENCIA ]],#REF!,#REF!,0,0),0))</f>
        <v>0</v>
      </c>
      <c r="AR204" s="553">
        <f ca="1">+_xlfn.DAYS(Contrato[[#This Row],[FECHA TERMINACIÓN ]],TODAY())</f>
        <v>222</v>
      </c>
    </row>
    <row r="205" spans="1:44" s="111" customFormat="1" ht="36" customHeight="1" x14ac:dyDescent="0.25">
      <c r="A205" s="38">
        <v>412</v>
      </c>
      <c r="B205" s="226">
        <v>199</v>
      </c>
      <c r="C205" s="88" t="s">
        <v>610</v>
      </c>
      <c r="D205" s="192" t="s">
        <v>911</v>
      </c>
      <c r="E205" s="193" t="s">
        <v>112</v>
      </c>
      <c r="F205" s="194" t="s">
        <v>113</v>
      </c>
      <c r="G205" s="195" t="s">
        <v>1259</v>
      </c>
      <c r="H205" s="167">
        <v>98570270</v>
      </c>
      <c r="I205" s="292">
        <v>4157906</v>
      </c>
      <c r="J205" s="290">
        <v>40747479</v>
      </c>
      <c r="K205" s="158" t="s">
        <v>41</v>
      </c>
      <c r="L205" s="196" t="s">
        <v>1087</v>
      </c>
      <c r="M205" s="114" t="s">
        <v>938</v>
      </c>
      <c r="N205" s="113" t="e" cm="1">
        <f t="array" aca="1" ref="N205" ca="1">_xlfn.XLOOKUP(Contrato[[#This Row],[SUPERVISOR TITULAR]],PERSONAL_ACTIVO_2025[[#All],[NOMBRES Y APELLIDOS]],PERSONAL_ACTIVO_2025[[#All],[DOCUMENTO]],"",0)</f>
        <v>#NAME?</v>
      </c>
      <c r="O205" s="114" t="s">
        <v>1091</v>
      </c>
      <c r="P205" s="115" t="e" cm="1">
        <f t="array" aca="1" ref="P205" ca="1">_xlfn.XLOOKUP(Contrato[[#This Row],[SUPERVISOR SUPLENTE ]],PERSONAL_ACTIVO_2025[[#All],[NOMBRES Y APELLIDOS]],PERSONAL_ACTIVO_2025[[#All],[DOCUMENTO]],"",0)</f>
        <v>#NAME?</v>
      </c>
      <c r="Q205" s="116">
        <v>245</v>
      </c>
      <c r="R205" s="137" t="e" cm="1">
        <f t="array" aca="1" ref="R205" ca="1">_xlfn.XLOOKUP(Contrato[[#This Row],[CDP]],DISPONIBILIDADES_2025[[#All],[consecutivo]],DISPONIBILIDADES_2025[[#All],[fecha_aprobacion]],"",0)</f>
        <v>#NAME?</v>
      </c>
      <c r="S205" s="92">
        <f>SUMIF(DISPONIBILIDADES_2025[[#All],[consecutivo]],Contrato[[#This Row],[CDP]],DISPONIBILIDADES_2025[[#All],[valor_total_rubro]])</f>
        <v>40747479</v>
      </c>
      <c r="T205" s="118" t="e" cm="1">
        <f t="array" aca="1" ref="T205" ca="1">_xlfn.XLOOKUP(Contrato[[#This Row],[CONTRATO]]&amp;Contrato[[#This Row],[CDP]],Corr_Contr_CDP[[#All],[CONTRATO-CDP]],Corr_Contr_CDP[[#All],[CRP]],_xlfn.XLOOKUP(Contrato[[#This Row],[CDP]],COMPROMISOS_2025[[#All],[disponibilidad]],COMPROMISOS_2025[[#All],[consecutivo]],"",0),0)</f>
        <v>#NAME?</v>
      </c>
      <c r="U205" s="117" t="e" cm="1">
        <f t="array" aca="1" ref="U205" ca="1">+_xlfn.XLOOKUP(Contrato[[#This Row],[RCP]],COMPROMISOS_2025[[#All],[consecutivo]],COMPROMISOS_2025[[#All],[fecha_aprobacion]],"",0)</f>
        <v>#NAME?</v>
      </c>
      <c r="V205" s="93">
        <f ca="1">SUMIF(COMPROMISOS_2025[[#All],[consecutivo]],Contrato[[#This Row],[RCP]],COMPROMISOS_2025[[#All],[valor_total]])</f>
        <v>0</v>
      </c>
      <c r="W205" s="169">
        <v>45708</v>
      </c>
      <c r="X205" s="243" t="s">
        <v>901</v>
      </c>
      <c r="Y205" s="397">
        <v>45709</v>
      </c>
      <c r="Z205" s="161">
        <v>46005</v>
      </c>
      <c r="AA205" s="198" t="s">
        <v>1130</v>
      </c>
      <c r="AB205" s="119" t="s">
        <v>1127</v>
      </c>
      <c r="AC205" s="303"/>
      <c r="AD205" s="279">
        <v>202000006330</v>
      </c>
      <c r="AE205" s="38" t="s">
        <v>904</v>
      </c>
      <c r="AF205" s="120" t="str">
        <f>TEXT(LEFT(Contrato[[#This Row],[CONTRATO]],3),"0")</f>
        <v>199</v>
      </c>
      <c r="AG205" s="120" t="str">
        <f>IF(LEN(Contrato[[#This Row],[Contrato2]])=3,Contrato[[#This Row],[Contrato2]],TEXT(Contrato[[#This Row],[Contrato2]],"000"))</f>
        <v>199</v>
      </c>
      <c r="AH205" s="90">
        <f ca="1">IFERROR(_xlfn.DAYS(Contrato[[#This Row],[Fecha Proyectada liquidación]],TODAY())/30,"")</f>
        <v>11.4</v>
      </c>
      <c r="AI205" s="121">
        <f>+Contrato[[#This Row],[FECHA TERMINACIÓN ]]+120</f>
        <v>46125</v>
      </c>
      <c r="AJ205" s="89"/>
      <c r="AK205" s="91" t="str">
        <f ca="1">IF(Contrato[[#This Row],[FECHA TERMINACIÓN ]]&lt;TODAY(), "Terminado",IF(ISNUMBER(Contrato[[#This Row],[Fecha Real de liquiidación ]]),"Liquidado",IF(Contrato[[#This Row],[FECHA TERMINACIÓN ]]&gt;=TODAY(),"En ejecución","")))</f>
        <v>En ejecución</v>
      </c>
      <c r="AL205" s="107">
        <f ca="1">SUMIF(COMPROMISOS_2025[[#All],[consecutivo]],Contrato[[#This Row],[RCP]],COMPROMISOS_2025[[#All],[Total pagado]])</f>
        <v>0</v>
      </c>
      <c r="AM205" s="122">
        <f ca="1">IFERROR(Contrato[[#This Row],[Pagos]]/Contrato[[#This Row],[VALOR CONTRATO]],0)</f>
        <v>0</v>
      </c>
      <c r="AN205" s="160">
        <f ca="1">+Contrato[[#This Row],[VALOR CONTRATO]]-Contrato[[#This Row],[Pagos]]</f>
        <v>40747479</v>
      </c>
      <c r="AO205" s="111" t="e" cm="1">
        <f t="array" aca="1" ref="AO205" ca="1">_xlfn.XLOOKUP(Contrato[[#This Row],[DOCUMENTO ]],PERSONAL_ACTIVO_2025[[#All],[DOCUMENTO]],PERSONAL_ACTIVO_2025[[#All],[email]],0,0)</f>
        <v>#NAME?</v>
      </c>
      <c r="AP205" s="111" t="e" cm="1">
        <f t="array" aca="1" ref="AP205" ca="1">_xlfn.XLOOKUP(Contrato[[#This Row],[DOCUMENTO]],PERSONAL_ACTIVO_2025[[#All],[DOCUMENTO]],PERSONAL_ACTIVO_2025[[#All],[email]],0,0)</f>
        <v>#NAME?</v>
      </c>
      <c r="AQ205" s="111" cm="1">
        <f t="array" aca="1" ref="AQ205" ca="1">IF(ISBLANK(Contrato[[#This Row],[DEPENDENCIA ]]),0,IFERROR(_xlfn.XLOOKUP(Contrato[[#This Row],[DEPENDENCIA ]],#REF!,#REF!,0,0),0))</f>
        <v>0</v>
      </c>
      <c r="AR205" s="553">
        <f ca="1">+_xlfn.DAYS(Contrato[[#This Row],[FECHA TERMINACIÓN ]],TODAY())</f>
        <v>222</v>
      </c>
    </row>
    <row r="206" spans="1:44" s="111" customFormat="1" ht="36" customHeight="1" x14ac:dyDescent="0.25">
      <c r="A206" s="38">
        <v>413</v>
      </c>
      <c r="B206" s="226">
        <v>200</v>
      </c>
      <c r="C206" s="88" t="s">
        <v>611</v>
      </c>
      <c r="D206" s="192" t="s">
        <v>911</v>
      </c>
      <c r="E206" s="193" t="s">
        <v>112</v>
      </c>
      <c r="F206" s="194" t="s">
        <v>113</v>
      </c>
      <c r="G206" s="195" t="s">
        <v>1260</v>
      </c>
      <c r="H206" s="167">
        <v>1001227167</v>
      </c>
      <c r="I206" s="292">
        <v>4157906</v>
      </c>
      <c r="J206" s="290">
        <v>40747479</v>
      </c>
      <c r="K206" s="158" t="s">
        <v>41</v>
      </c>
      <c r="L206" s="196" t="s">
        <v>1087</v>
      </c>
      <c r="M206" s="114" t="s">
        <v>938</v>
      </c>
      <c r="N206" s="113" t="e" cm="1">
        <f t="array" aca="1" ref="N206" ca="1">_xlfn.XLOOKUP(Contrato[[#This Row],[SUPERVISOR TITULAR]],PERSONAL_ACTIVO_2025[[#All],[NOMBRES Y APELLIDOS]],PERSONAL_ACTIVO_2025[[#All],[DOCUMENTO]],"",0)</f>
        <v>#NAME?</v>
      </c>
      <c r="O206" s="114" t="s">
        <v>1091</v>
      </c>
      <c r="P206" s="115" t="e" cm="1">
        <f t="array" aca="1" ref="P206" ca="1">_xlfn.XLOOKUP(Contrato[[#This Row],[SUPERVISOR SUPLENTE ]],PERSONAL_ACTIVO_2025[[#All],[NOMBRES Y APELLIDOS]],PERSONAL_ACTIVO_2025[[#All],[DOCUMENTO]],"",0)</f>
        <v>#NAME?</v>
      </c>
      <c r="Q206" s="116">
        <v>246</v>
      </c>
      <c r="R206" s="137" t="e" cm="1">
        <f t="array" aca="1" ref="R206" ca="1">_xlfn.XLOOKUP(Contrato[[#This Row],[CDP]],DISPONIBILIDADES_2025[[#All],[consecutivo]],DISPONIBILIDADES_2025[[#All],[fecha_aprobacion]],"",0)</f>
        <v>#NAME?</v>
      </c>
      <c r="S206" s="92">
        <f>SUMIF(DISPONIBILIDADES_2025[[#All],[consecutivo]],Contrato[[#This Row],[CDP]],DISPONIBILIDADES_2025[[#All],[valor_total_rubro]])</f>
        <v>40747479</v>
      </c>
      <c r="T206" s="118" t="e" cm="1">
        <f t="array" aca="1" ref="T206" ca="1">_xlfn.XLOOKUP(Contrato[[#This Row],[CONTRATO]]&amp;Contrato[[#This Row],[CDP]],Corr_Contr_CDP[[#All],[CONTRATO-CDP]],Corr_Contr_CDP[[#All],[CRP]],_xlfn.XLOOKUP(Contrato[[#This Row],[CDP]],COMPROMISOS_2025[[#All],[disponibilidad]],COMPROMISOS_2025[[#All],[consecutivo]],"",0),0)</f>
        <v>#NAME?</v>
      </c>
      <c r="U206" s="117" t="e" cm="1">
        <f t="array" aca="1" ref="U206" ca="1">+_xlfn.XLOOKUP(Contrato[[#This Row],[RCP]],COMPROMISOS_2025[[#All],[consecutivo]],COMPROMISOS_2025[[#All],[fecha_aprobacion]],"",0)</f>
        <v>#NAME?</v>
      </c>
      <c r="V206" s="93">
        <f ca="1">SUMIF(COMPROMISOS_2025[[#All],[consecutivo]],Contrato[[#This Row],[RCP]],COMPROMISOS_2025[[#All],[valor_total]])</f>
        <v>0</v>
      </c>
      <c r="W206" s="169">
        <v>45708</v>
      </c>
      <c r="X206" s="243" t="s">
        <v>901</v>
      </c>
      <c r="Y206" s="397">
        <v>45709</v>
      </c>
      <c r="Z206" s="161">
        <v>46005</v>
      </c>
      <c r="AA206" s="198" t="s">
        <v>1130</v>
      </c>
      <c r="AB206" s="119" t="s">
        <v>1127</v>
      </c>
      <c r="AC206" s="303"/>
      <c r="AD206" s="279">
        <v>202000006331</v>
      </c>
      <c r="AE206" s="38" t="s">
        <v>904</v>
      </c>
      <c r="AF206" s="120" t="str">
        <f>TEXT(LEFT(Contrato[[#This Row],[CONTRATO]],3),"0")</f>
        <v>200</v>
      </c>
      <c r="AG206" s="120" t="str">
        <f>IF(LEN(Contrato[[#This Row],[Contrato2]])=3,Contrato[[#This Row],[Contrato2]],TEXT(Contrato[[#This Row],[Contrato2]],"000"))</f>
        <v>200</v>
      </c>
      <c r="AH206" s="90">
        <f ca="1">IFERROR(_xlfn.DAYS(Contrato[[#This Row],[Fecha Proyectada liquidación]],TODAY())/30,"")</f>
        <v>11.4</v>
      </c>
      <c r="AI206" s="121">
        <f>+Contrato[[#This Row],[FECHA TERMINACIÓN ]]+120</f>
        <v>46125</v>
      </c>
      <c r="AJ206" s="89"/>
      <c r="AK206" s="91" t="str">
        <f ca="1">IF(Contrato[[#This Row],[FECHA TERMINACIÓN ]]&lt;TODAY(), "Terminado",IF(ISNUMBER(Contrato[[#This Row],[Fecha Real de liquiidación ]]),"Liquidado",IF(Contrato[[#This Row],[FECHA TERMINACIÓN ]]&gt;=TODAY(),"En ejecución","")))</f>
        <v>En ejecución</v>
      </c>
      <c r="AL206" s="107">
        <f ca="1">SUMIF(COMPROMISOS_2025[[#All],[consecutivo]],Contrato[[#This Row],[RCP]],COMPROMISOS_2025[[#All],[Total pagado]])</f>
        <v>0</v>
      </c>
      <c r="AM206" s="122">
        <f ca="1">IFERROR(Contrato[[#This Row],[Pagos]]/Contrato[[#This Row],[VALOR CONTRATO]],0)</f>
        <v>0</v>
      </c>
      <c r="AN206" s="160">
        <f ca="1">+Contrato[[#This Row],[VALOR CONTRATO]]-Contrato[[#This Row],[Pagos]]</f>
        <v>40747479</v>
      </c>
      <c r="AO206" s="111" t="e" cm="1">
        <f t="array" aca="1" ref="AO206" ca="1">_xlfn.XLOOKUP(Contrato[[#This Row],[DOCUMENTO ]],PERSONAL_ACTIVO_2025[[#All],[DOCUMENTO]],PERSONAL_ACTIVO_2025[[#All],[email]],0,0)</f>
        <v>#NAME?</v>
      </c>
      <c r="AP206" s="111" t="e" cm="1">
        <f t="array" aca="1" ref="AP206" ca="1">_xlfn.XLOOKUP(Contrato[[#This Row],[DOCUMENTO]],PERSONAL_ACTIVO_2025[[#All],[DOCUMENTO]],PERSONAL_ACTIVO_2025[[#All],[email]],0,0)</f>
        <v>#NAME?</v>
      </c>
      <c r="AQ206" s="111" cm="1">
        <f t="array" aca="1" ref="AQ206" ca="1">IF(ISBLANK(Contrato[[#This Row],[DEPENDENCIA ]]),0,IFERROR(_xlfn.XLOOKUP(Contrato[[#This Row],[DEPENDENCIA ]],#REF!,#REF!,0,0),0))</f>
        <v>0</v>
      </c>
      <c r="AR206" s="553">
        <f ca="1">+_xlfn.DAYS(Contrato[[#This Row],[FECHA TERMINACIÓN ]],TODAY())</f>
        <v>222</v>
      </c>
    </row>
    <row r="207" spans="1:44" s="111" customFormat="1" ht="36" customHeight="1" x14ac:dyDescent="0.25">
      <c r="A207" s="38">
        <v>415</v>
      </c>
      <c r="B207" s="226">
        <v>201</v>
      </c>
      <c r="C207" s="88" t="s">
        <v>613</v>
      </c>
      <c r="D207" s="192" t="s">
        <v>911</v>
      </c>
      <c r="E207" s="193" t="s">
        <v>112</v>
      </c>
      <c r="F207" s="194" t="s">
        <v>113</v>
      </c>
      <c r="G207" s="195" t="s">
        <v>1261</v>
      </c>
      <c r="H207" s="167">
        <v>1001497203</v>
      </c>
      <c r="I207" s="292">
        <v>2708734</v>
      </c>
      <c r="J207" s="290">
        <v>26545593</v>
      </c>
      <c r="K207" s="158" t="s">
        <v>41</v>
      </c>
      <c r="L207" s="196" t="s">
        <v>1087</v>
      </c>
      <c r="M207" s="114" t="s">
        <v>938</v>
      </c>
      <c r="N207" s="113" t="e" cm="1">
        <f t="array" aca="1" ref="N207" ca="1">_xlfn.XLOOKUP(Contrato[[#This Row],[SUPERVISOR TITULAR]],PERSONAL_ACTIVO_2025[[#All],[NOMBRES Y APELLIDOS]],PERSONAL_ACTIVO_2025[[#All],[DOCUMENTO]],"",0)</f>
        <v>#NAME?</v>
      </c>
      <c r="O207" s="114" t="s">
        <v>1091</v>
      </c>
      <c r="P207" s="115" t="e" cm="1">
        <f t="array" aca="1" ref="P207" ca="1">_xlfn.XLOOKUP(Contrato[[#This Row],[SUPERVISOR SUPLENTE ]],PERSONAL_ACTIVO_2025[[#All],[NOMBRES Y APELLIDOS]],PERSONAL_ACTIVO_2025[[#All],[DOCUMENTO]],"",0)</f>
        <v>#NAME?</v>
      </c>
      <c r="Q207" s="116">
        <v>248</v>
      </c>
      <c r="R207" s="137" t="e" cm="1">
        <f t="array" aca="1" ref="R207" ca="1">_xlfn.XLOOKUP(Contrato[[#This Row],[CDP]],DISPONIBILIDADES_2025[[#All],[consecutivo]],DISPONIBILIDADES_2025[[#All],[fecha_aprobacion]],"",0)</f>
        <v>#NAME?</v>
      </c>
      <c r="S207" s="92">
        <f>SUMIF(DISPONIBILIDADES_2025[[#All],[consecutivo]],Contrato[[#This Row],[CDP]],DISPONIBILIDADES_2025[[#All],[valor_total_rubro]])</f>
        <v>26545593</v>
      </c>
      <c r="T207" s="118" t="e" cm="1">
        <f t="array" aca="1" ref="T207" ca="1">_xlfn.XLOOKUP(Contrato[[#This Row],[CONTRATO]]&amp;Contrato[[#This Row],[CDP]],Corr_Contr_CDP[[#All],[CONTRATO-CDP]],Corr_Contr_CDP[[#All],[CRP]],_xlfn.XLOOKUP(Contrato[[#This Row],[CDP]],COMPROMISOS_2025[[#All],[disponibilidad]],COMPROMISOS_2025[[#All],[consecutivo]],"",0),0)</f>
        <v>#NAME?</v>
      </c>
      <c r="U207" s="117" t="e" cm="1">
        <f t="array" aca="1" ref="U207" ca="1">+_xlfn.XLOOKUP(Contrato[[#This Row],[RCP]],COMPROMISOS_2025[[#All],[consecutivo]],COMPROMISOS_2025[[#All],[fecha_aprobacion]],"",0)</f>
        <v>#NAME?</v>
      </c>
      <c r="V207" s="93">
        <f ca="1">SUMIF(COMPROMISOS_2025[[#All],[consecutivo]],Contrato[[#This Row],[RCP]],COMPROMISOS_2025[[#All],[valor_total]])</f>
        <v>0</v>
      </c>
      <c r="W207" s="169">
        <v>45708</v>
      </c>
      <c r="X207" s="243" t="s">
        <v>901</v>
      </c>
      <c r="Y207" s="397">
        <v>45709</v>
      </c>
      <c r="Z207" s="161">
        <v>46005</v>
      </c>
      <c r="AA207" s="198" t="s">
        <v>1130</v>
      </c>
      <c r="AB207" s="119" t="s">
        <v>1127</v>
      </c>
      <c r="AC207" s="303"/>
      <c r="AD207" s="279">
        <v>202000006332</v>
      </c>
      <c r="AE207" s="38" t="s">
        <v>904</v>
      </c>
      <c r="AF207" s="120" t="str">
        <f>TEXT(LEFT(Contrato[[#This Row],[CONTRATO]],3),"0")</f>
        <v>201</v>
      </c>
      <c r="AG207" s="120" t="str">
        <f>IF(LEN(Contrato[[#This Row],[Contrato2]])=3,Contrato[[#This Row],[Contrato2]],TEXT(Contrato[[#This Row],[Contrato2]],"000"))</f>
        <v>201</v>
      </c>
      <c r="AH207" s="90">
        <f ca="1">IFERROR(_xlfn.DAYS(Contrato[[#This Row],[Fecha Proyectada liquidación]],TODAY())/30,"")</f>
        <v>11.4</v>
      </c>
      <c r="AI207" s="121">
        <f>+Contrato[[#This Row],[FECHA TERMINACIÓN ]]+120</f>
        <v>46125</v>
      </c>
      <c r="AJ207" s="89"/>
      <c r="AK207" s="91" t="str">
        <f ca="1">IF(Contrato[[#This Row],[FECHA TERMINACIÓN ]]&lt;TODAY(), "Terminado",IF(ISNUMBER(Contrato[[#This Row],[Fecha Real de liquiidación ]]),"Liquidado",IF(Contrato[[#This Row],[FECHA TERMINACIÓN ]]&gt;=TODAY(),"En ejecución","")))</f>
        <v>En ejecución</v>
      </c>
      <c r="AL207" s="107">
        <f ca="1">SUMIF(COMPROMISOS_2025[[#All],[consecutivo]],Contrato[[#This Row],[RCP]],COMPROMISOS_2025[[#All],[Total pagado]])</f>
        <v>0</v>
      </c>
      <c r="AM207" s="122">
        <f ca="1">IFERROR(Contrato[[#This Row],[Pagos]]/Contrato[[#This Row],[VALOR CONTRATO]],0)</f>
        <v>0</v>
      </c>
      <c r="AN207" s="160">
        <f ca="1">+Contrato[[#This Row],[VALOR CONTRATO]]-Contrato[[#This Row],[Pagos]]</f>
        <v>26545593</v>
      </c>
      <c r="AO207" s="111" t="e" cm="1">
        <f t="array" aca="1" ref="AO207" ca="1">_xlfn.XLOOKUP(Contrato[[#This Row],[DOCUMENTO ]],PERSONAL_ACTIVO_2025[[#All],[DOCUMENTO]],PERSONAL_ACTIVO_2025[[#All],[email]],0,0)</f>
        <v>#NAME?</v>
      </c>
      <c r="AP207" s="111" t="e" cm="1">
        <f t="array" aca="1" ref="AP207" ca="1">_xlfn.XLOOKUP(Contrato[[#This Row],[DOCUMENTO]],PERSONAL_ACTIVO_2025[[#All],[DOCUMENTO]],PERSONAL_ACTIVO_2025[[#All],[email]],0,0)</f>
        <v>#NAME?</v>
      </c>
      <c r="AQ207" s="111" cm="1">
        <f t="array" aca="1" ref="AQ207" ca="1">IF(ISBLANK(Contrato[[#This Row],[DEPENDENCIA ]]),0,IFERROR(_xlfn.XLOOKUP(Contrato[[#This Row],[DEPENDENCIA ]],#REF!,#REF!,0,0),0))</f>
        <v>0</v>
      </c>
      <c r="AR207" s="553">
        <f ca="1">+_xlfn.DAYS(Contrato[[#This Row],[FECHA TERMINACIÓN ]],TODAY())</f>
        <v>222</v>
      </c>
    </row>
    <row r="208" spans="1:44" s="111" customFormat="1" ht="36" customHeight="1" x14ac:dyDescent="0.25">
      <c r="A208" s="38">
        <v>416</v>
      </c>
      <c r="B208" s="226">
        <v>202</v>
      </c>
      <c r="C208" s="88" t="s">
        <v>614</v>
      </c>
      <c r="D208" s="192" t="s">
        <v>911</v>
      </c>
      <c r="E208" s="193" t="s">
        <v>112</v>
      </c>
      <c r="F208" s="194" t="s">
        <v>113</v>
      </c>
      <c r="G208" s="195" t="s">
        <v>1262</v>
      </c>
      <c r="H208" s="167">
        <v>71334771</v>
      </c>
      <c r="I208" s="292">
        <v>2708734</v>
      </c>
      <c r="J208" s="290">
        <v>26545593</v>
      </c>
      <c r="K208" s="158" t="s">
        <v>41</v>
      </c>
      <c r="L208" s="196" t="s">
        <v>1087</v>
      </c>
      <c r="M208" s="114" t="s">
        <v>938</v>
      </c>
      <c r="N208" s="113" t="e" cm="1">
        <f t="array" aca="1" ref="N208" ca="1">_xlfn.XLOOKUP(Contrato[[#This Row],[SUPERVISOR TITULAR]],PERSONAL_ACTIVO_2025[[#All],[NOMBRES Y APELLIDOS]],PERSONAL_ACTIVO_2025[[#All],[DOCUMENTO]],"",0)</f>
        <v>#NAME?</v>
      </c>
      <c r="O208" s="114" t="s">
        <v>1091</v>
      </c>
      <c r="P208" s="115" t="e" cm="1">
        <f t="array" aca="1" ref="P208" ca="1">_xlfn.XLOOKUP(Contrato[[#This Row],[SUPERVISOR SUPLENTE ]],PERSONAL_ACTIVO_2025[[#All],[NOMBRES Y APELLIDOS]],PERSONAL_ACTIVO_2025[[#All],[DOCUMENTO]],"",0)</f>
        <v>#NAME?</v>
      </c>
      <c r="Q208" s="116">
        <v>249</v>
      </c>
      <c r="R208" s="137" t="e" cm="1">
        <f t="array" aca="1" ref="R208" ca="1">_xlfn.XLOOKUP(Contrato[[#This Row],[CDP]],DISPONIBILIDADES_2025[[#All],[consecutivo]],DISPONIBILIDADES_2025[[#All],[fecha_aprobacion]],"",0)</f>
        <v>#NAME?</v>
      </c>
      <c r="S208" s="92">
        <f>SUMIF(DISPONIBILIDADES_2025[[#All],[consecutivo]],Contrato[[#This Row],[CDP]],DISPONIBILIDADES_2025[[#All],[valor_total_rubro]])</f>
        <v>26545593</v>
      </c>
      <c r="T208" s="118" t="e" cm="1">
        <f t="array" aca="1" ref="T208" ca="1">_xlfn.XLOOKUP(Contrato[[#This Row],[CONTRATO]]&amp;Contrato[[#This Row],[CDP]],Corr_Contr_CDP[[#All],[CONTRATO-CDP]],Corr_Contr_CDP[[#All],[CRP]],_xlfn.XLOOKUP(Contrato[[#This Row],[CDP]],COMPROMISOS_2025[[#All],[disponibilidad]],COMPROMISOS_2025[[#All],[consecutivo]],"",0),0)</f>
        <v>#NAME?</v>
      </c>
      <c r="U208" s="117" t="e" cm="1">
        <f t="array" aca="1" ref="U208" ca="1">+_xlfn.XLOOKUP(Contrato[[#This Row],[RCP]],COMPROMISOS_2025[[#All],[consecutivo]],COMPROMISOS_2025[[#All],[fecha_aprobacion]],"",0)</f>
        <v>#NAME?</v>
      </c>
      <c r="V208" s="93">
        <f ca="1">SUMIF(COMPROMISOS_2025[[#All],[consecutivo]],Contrato[[#This Row],[RCP]],COMPROMISOS_2025[[#All],[valor_total]])</f>
        <v>0</v>
      </c>
      <c r="W208" s="169">
        <v>45708</v>
      </c>
      <c r="X208" s="243" t="s">
        <v>901</v>
      </c>
      <c r="Y208" s="397">
        <v>45709</v>
      </c>
      <c r="Z208" s="161">
        <v>46005</v>
      </c>
      <c r="AA208" s="400" t="s">
        <v>1143</v>
      </c>
      <c r="AB208" s="119" t="s">
        <v>1127</v>
      </c>
      <c r="AC208" s="304"/>
      <c r="AD208" s="279">
        <v>202000006333</v>
      </c>
      <c r="AE208" s="38" t="s">
        <v>904</v>
      </c>
      <c r="AF208" s="120" t="str">
        <f>TEXT(LEFT(Contrato[[#This Row],[CONTRATO]],3),"0")</f>
        <v>202</v>
      </c>
      <c r="AG208" s="120" t="str">
        <f>IF(LEN(Contrato[[#This Row],[Contrato2]])=3,Contrato[[#This Row],[Contrato2]],TEXT(Contrato[[#This Row],[Contrato2]],"000"))</f>
        <v>202</v>
      </c>
      <c r="AH208" s="90">
        <f ca="1">IFERROR(_xlfn.DAYS(Contrato[[#This Row],[Fecha Proyectada liquidación]],TODAY())/30,"")</f>
        <v>11.4</v>
      </c>
      <c r="AI208" s="121">
        <f>+Contrato[[#This Row],[FECHA TERMINACIÓN ]]+120</f>
        <v>46125</v>
      </c>
      <c r="AJ208" s="89"/>
      <c r="AK208" s="91" t="str">
        <f ca="1">IF(Contrato[[#This Row],[FECHA TERMINACIÓN ]]&lt;TODAY(), "Terminado",IF(ISNUMBER(Contrato[[#This Row],[Fecha Real de liquiidación ]]),"Liquidado",IF(Contrato[[#This Row],[FECHA TERMINACIÓN ]]&gt;=TODAY(),"En ejecución","")))</f>
        <v>En ejecución</v>
      </c>
      <c r="AL208" s="107">
        <f ca="1">SUMIF(COMPROMISOS_2025[[#All],[consecutivo]],Contrato[[#This Row],[RCP]],COMPROMISOS_2025[[#All],[Total pagado]])</f>
        <v>0</v>
      </c>
      <c r="AM208" s="122">
        <f ca="1">IFERROR(Contrato[[#This Row],[Pagos]]/Contrato[[#This Row],[VALOR CONTRATO]],0)</f>
        <v>0</v>
      </c>
      <c r="AN208" s="160">
        <f ca="1">+Contrato[[#This Row],[VALOR CONTRATO]]-Contrato[[#This Row],[Pagos]]</f>
        <v>26545593</v>
      </c>
      <c r="AO208" s="111" t="e" cm="1">
        <f t="array" aca="1" ref="AO208" ca="1">_xlfn.XLOOKUP(Contrato[[#This Row],[DOCUMENTO ]],PERSONAL_ACTIVO_2025[[#All],[DOCUMENTO]],PERSONAL_ACTIVO_2025[[#All],[email]],0,0)</f>
        <v>#NAME?</v>
      </c>
      <c r="AP208" s="111" t="e" cm="1">
        <f t="array" aca="1" ref="AP208" ca="1">_xlfn.XLOOKUP(Contrato[[#This Row],[DOCUMENTO]],PERSONAL_ACTIVO_2025[[#All],[DOCUMENTO]],PERSONAL_ACTIVO_2025[[#All],[email]],0,0)</f>
        <v>#NAME?</v>
      </c>
      <c r="AQ208" s="111" cm="1">
        <f t="array" aca="1" ref="AQ208" ca="1">IF(ISBLANK(Contrato[[#This Row],[DEPENDENCIA ]]),0,IFERROR(_xlfn.XLOOKUP(Contrato[[#This Row],[DEPENDENCIA ]],#REF!,#REF!,0,0),0))</f>
        <v>0</v>
      </c>
      <c r="AR208" s="553">
        <f ca="1">+_xlfn.DAYS(Contrato[[#This Row],[FECHA TERMINACIÓN ]],TODAY())</f>
        <v>222</v>
      </c>
    </row>
    <row r="209" spans="1:44" s="111" customFormat="1" ht="36" customHeight="1" x14ac:dyDescent="0.25">
      <c r="A209" s="38">
        <v>417</v>
      </c>
      <c r="B209" s="226">
        <v>203</v>
      </c>
      <c r="C209" s="88" t="s">
        <v>615</v>
      </c>
      <c r="D209" s="192" t="s">
        <v>911</v>
      </c>
      <c r="E209" s="193" t="s">
        <v>112</v>
      </c>
      <c r="F209" s="194" t="s">
        <v>113</v>
      </c>
      <c r="G209" s="195" t="s">
        <v>1263</v>
      </c>
      <c r="H209" s="167">
        <v>43599588</v>
      </c>
      <c r="I209" s="292">
        <v>6239569</v>
      </c>
      <c r="J209" s="290">
        <v>61147776</v>
      </c>
      <c r="K209" s="158" t="s">
        <v>41</v>
      </c>
      <c r="L209" s="196" t="s">
        <v>1087</v>
      </c>
      <c r="M209" s="114" t="s">
        <v>938</v>
      </c>
      <c r="N209" s="113" t="e" cm="1">
        <f t="array" aca="1" ref="N209" ca="1">_xlfn.XLOOKUP(Contrato[[#This Row],[SUPERVISOR TITULAR]],PERSONAL_ACTIVO_2025[[#All],[NOMBRES Y APELLIDOS]],PERSONAL_ACTIVO_2025[[#All],[DOCUMENTO]],"",0)</f>
        <v>#NAME?</v>
      </c>
      <c r="O209" s="114" t="s">
        <v>1091</v>
      </c>
      <c r="P209" s="115" t="e" cm="1">
        <f t="array" aca="1" ref="P209" ca="1">_xlfn.XLOOKUP(Contrato[[#This Row],[SUPERVISOR SUPLENTE ]],PERSONAL_ACTIVO_2025[[#All],[NOMBRES Y APELLIDOS]],PERSONAL_ACTIVO_2025[[#All],[DOCUMENTO]],"",0)</f>
        <v>#NAME?</v>
      </c>
      <c r="Q209" s="116">
        <v>250</v>
      </c>
      <c r="R209" s="137" t="e" cm="1">
        <f t="array" aca="1" ref="R209" ca="1">_xlfn.XLOOKUP(Contrato[[#This Row],[CDP]],DISPONIBILIDADES_2025[[#All],[consecutivo]],DISPONIBILIDADES_2025[[#All],[fecha_aprobacion]],"",0)</f>
        <v>#NAME?</v>
      </c>
      <c r="S209" s="92">
        <f>SUMIF(DISPONIBILIDADES_2025[[#All],[consecutivo]],Contrato[[#This Row],[CDP]],DISPONIBILIDADES_2025[[#All],[valor_total_rubro]])</f>
        <v>61147776</v>
      </c>
      <c r="T209" s="118" t="e" cm="1">
        <f t="array" aca="1" ref="T209" ca="1">_xlfn.XLOOKUP(Contrato[[#This Row],[CONTRATO]]&amp;Contrato[[#This Row],[CDP]],Corr_Contr_CDP[[#All],[CONTRATO-CDP]],Corr_Contr_CDP[[#All],[CRP]],_xlfn.XLOOKUP(Contrato[[#This Row],[CDP]],COMPROMISOS_2025[[#All],[disponibilidad]],COMPROMISOS_2025[[#All],[consecutivo]],"",0),0)</f>
        <v>#NAME?</v>
      </c>
      <c r="U209" s="117" t="e" cm="1">
        <f t="array" aca="1" ref="U209" ca="1">+_xlfn.XLOOKUP(Contrato[[#This Row],[RCP]],COMPROMISOS_2025[[#All],[consecutivo]],COMPROMISOS_2025[[#All],[fecha_aprobacion]],"",0)</f>
        <v>#NAME?</v>
      </c>
      <c r="V209" s="93">
        <f ca="1">SUMIF(COMPROMISOS_2025[[#All],[consecutivo]],Contrato[[#This Row],[RCP]],COMPROMISOS_2025[[#All],[valor_total]])</f>
        <v>0</v>
      </c>
      <c r="W209" s="169">
        <v>45708</v>
      </c>
      <c r="X209" s="243" t="s">
        <v>901</v>
      </c>
      <c r="Y209" s="397">
        <v>45709</v>
      </c>
      <c r="Z209" s="161">
        <v>46005</v>
      </c>
      <c r="AA209" s="198" t="s">
        <v>1130</v>
      </c>
      <c r="AB209" s="119" t="s">
        <v>1127</v>
      </c>
      <c r="AC209" s="299"/>
      <c r="AD209" s="279">
        <v>202000006334</v>
      </c>
      <c r="AE209" s="38" t="s">
        <v>904</v>
      </c>
      <c r="AF209" s="120" t="str">
        <f>TEXT(LEFT(Contrato[[#This Row],[CONTRATO]],3),"0")</f>
        <v>203</v>
      </c>
      <c r="AG209" s="120" t="str">
        <f>IF(LEN(Contrato[[#This Row],[Contrato2]])=3,Contrato[[#This Row],[Contrato2]],TEXT(Contrato[[#This Row],[Contrato2]],"000"))</f>
        <v>203</v>
      </c>
      <c r="AH209" s="90">
        <f ca="1">IFERROR(_xlfn.DAYS(Contrato[[#This Row],[Fecha Proyectada liquidación]],TODAY())/30,"")</f>
        <v>11.4</v>
      </c>
      <c r="AI209" s="121">
        <f>+Contrato[[#This Row],[FECHA TERMINACIÓN ]]+120</f>
        <v>46125</v>
      </c>
      <c r="AJ209" s="89"/>
      <c r="AK209" s="91" t="str">
        <f ca="1">IF(Contrato[[#This Row],[FECHA TERMINACIÓN ]]&lt;TODAY(), "Terminado",IF(ISNUMBER(Contrato[[#This Row],[Fecha Real de liquiidación ]]),"Liquidado",IF(Contrato[[#This Row],[FECHA TERMINACIÓN ]]&gt;=TODAY(),"En ejecución","")))</f>
        <v>En ejecución</v>
      </c>
      <c r="AL209" s="107">
        <f ca="1">SUMIF(COMPROMISOS_2025[[#All],[consecutivo]],Contrato[[#This Row],[RCP]],COMPROMISOS_2025[[#All],[Total pagado]])</f>
        <v>0</v>
      </c>
      <c r="AM209" s="122">
        <f ca="1">IFERROR(Contrato[[#This Row],[Pagos]]/Contrato[[#This Row],[VALOR CONTRATO]],0)</f>
        <v>0</v>
      </c>
      <c r="AN209" s="160">
        <f ca="1">+Contrato[[#This Row],[VALOR CONTRATO]]-Contrato[[#This Row],[Pagos]]</f>
        <v>61147776</v>
      </c>
      <c r="AO209" s="111" t="e" cm="1">
        <f t="array" aca="1" ref="AO209" ca="1">_xlfn.XLOOKUP(Contrato[[#This Row],[DOCUMENTO ]],PERSONAL_ACTIVO_2025[[#All],[DOCUMENTO]],PERSONAL_ACTIVO_2025[[#All],[email]],0,0)</f>
        <v>#NAME?</v>
      </c>
      <c r="AP209" s="111" t="e" cm="1">
        <f t="array" aca="1" ref="AP209" ca="1">_xlfn.XLOOKUP(Contrato[[#This Row],[DOCUMENTO]],PERSONAL_ACTIVO_2025[[#All],[DOCUMENTO]],PERSONAL_ACTIVO_2025[[#All],[email]],0,0)</f>
        <v>#NAME?</v>
      </c>
      <c r="AQ209" s="111" cm="1">
        <f t="array" aca="1" ref="AQ209" ca="1">IF(ISBLANK(Contrato[[#This Row],[DEPENDENCIA ]]),0,IFERROR(_xlfn.XLOOKUP(Contrato[[#This Row],[DEPENDENCIA ]],#REF!,#REF!,0,0),0))</f>
        <v>0</v>
      </c>
      <c r="AR209" s="553">
        <f ca="1">+_xlfn.DAYS(Contrato[[#This Row],[FECHA TERMINACIÓN ]],TODAY())</f>
        <v>222</v>
      </c>
    </row>
    <row r="210" spans="1:44" s="111" customFormat="1" ht="36" customHeight="1" x14ac:dyDescent="0.25">
      <c r="A210" s="38">
        <v>418</v>
      </c>
      <c r="B210" s="226">
        <v>204</v>
      </c>
      <c r="C210" s="88" t="s">
        <v>616</v>
      </c>
      <c r="D210" s="192" t="s">
        <v>911</v>
      </c>
      <c r="E210" s="193" t="s">
        <v>112</v>
      </c>
      <c r="F210" s="194" t="s">
        <v>113</v>
      </c>
      <c r="G210" s="195" t="s">
        <v>1264</v>
      </c>
      <c r="H210" s="167">
        <v>43278118</v>
      </c>
      <c r="I210" s="292">
        <v>5164201</v>
      </c>
      <c r="J210" s="290">
        <v>50609170</v>
      </c>
      <c r="K210" s="158" t="s">
        <v>41</v>
      </c>
      <c r="L210" s="196" t="s">
        <v>1087</v>
      </c>
      <c r="M210" s="114" t="s">
        <v>938</v>
      </c>
      <c r="N210" s="113" t="e" cm="1">
        <f t="array" aca="1" ref="N210" ca="1">_xlfn.XLOOKUP(Contrato[[#This Row],[SUPERVISOR TITULAR]],PERSONAL_ACTIVO_2025[[#All],[NOMBRES Y APELLIDOS]],PERSONAL_ACTIVO_2025[[#All],[DOCUMENTO]],"",0)</f>
        <v>#NAME?</v>
      </c>
      <c r="O210" s="114" t="s">
        <v>1091</v>
      </c>
      <c r="P210" s="115" t="e" cm="1">
        <f t="array" aca="1" ref="P210" ca="1">_xlfn.XLOOKUP(Contrato[[#This Row],[SUPERVISOR SUPLENTE ]],PERSONAL_ACTIVO_2025[[#All],[NOMBRES Y APELLIDOS]],PERSONAL_ACTIVO_2025[[#All],[DOCUMENTO]],"",0)</f>
        <v>#NAME?</v>
      </c>
      <c r="Q210" s="116">
        <v>251</v>
      </c>
      <c r="R210" s="137" t="e" cm="1">
        <f t="array" aca="1" ref="R210" ca="1">_xlfn.XLOOKUP(Contrato[[#This Row],[CDP]],DISPONIBILIDADES_2025[[#All],[consecutivo]],DISPONIBILIDADES_2025[[#All],[fecha_aprobacion]],"",0)</f>
        <v>#NAME?</v>
      </c>
      <c r="S210" s="92">
        <f>SUMIF(DISPONIBILIDADES_2025[[#All],[consecutivo]],Contrato[[#This Row],[CDP]],DISPONIBILIDADES_2025[[#All],[valor_total_rubro]])</f>
        <v>50609170</v>
      </c>
      <c r="T210" s="118" t="e" cm="1">
        <f t="array" aca="1" ref="T210" ca="1">_xlfn.XLOOKUP(Contrato[[#This Row],[CONTRATO]]&amp;Contrato[[#This Row],[CDP]],Corr_Contr_CDP[[#All],[CONTRATO-CDP]],Corr_Contr_CDP[[#All],[CRP]],_xlfn.XLOOKUP(Contrato[[#This Row],[CDP]],COMPROMISOS_2025[[#All],[disponibilidad]],COMPROMISOS_2025[[#All],[consecutivo]],"",0),0)</f>
        <v>#NAME?</v>
      </c>
      <c r="U210" s="117" t="e" cm="1">
        <f t="array" aca="1" ref="U210" ca="1">+_xlfn.XLOOKUP(Contrato[[#This Row],[RCP]],COMPROMISOS_2025[[#All],[consecutivo]],COMPROMISOS_2025[[#All],[fecha_aprobacion]],"",0)</f>
        <v>#NAME?</v>
      </c>
      <c r="V210" s="93">
        <f ca="1">SUMIF(COMPROMISOS_2025[[#All],[consecutivo]],Contrato[[#This Row],[RCP]],COMPROMISOS_2025[[#All],[valor_total]])</f>
        <v>0</v>
      </c>
      <c r="W210" s="169">
        <v>45708</v>
      </c>
      <c r="X210" s="243" t="s">
        <v>901</v>
      </c>
      <c r="Y210" s="397">
        <v>45709</v>
      </c>
      <c r="Z210" s="161">
        <v>46005</v>
      </c>
      <c r="AA210" s="198" t="s">
        <v>1130</v>
      </c>
      <c r="AB210" s="119" t="s">
        <v>1127</v>
      </c>
      <c r="AC210" s="302"/>
      <c r="AD210" s="279">
        <v>202000006335</v>
      </c>
      <c r="AE210" s="38" t="s">
        <v>904</v>
      </c>
      <c r="AF210" s="120" t="str">
        <f>TEXT(LEFT(Contrato[[#This Row],[CONTRATO]],3),"0")</f>
        <v>204</v>
      </c>
      <c r="AG210" s="120" t="str">
        <f>IF(LEN(Contrato[[#This Row],[Contrato2]])=3,Contrato[[#This Row],[Contrato2]],TEXT(Contrato[[#This Row],[Contrato2]],"000"))</f>
        <v>204</v>
      </c>
      <c r="AH210" s="90">
        <f ca="1">IFERROR(_xlfn.DAYS(Contrato[[#This Row],[Fecha Proyectada liquidación]],TODAY())/30,"")</f>
        <v>11.4</v>
      </c>
      <c r="AI210" s="121">
        <f>+Contrato[[#This Row],[FECHA TERMINACIÓN ]]+120</f>
        <v>46125</v>
      </c>
      <c r="AJ210" s="89"/>
      <c r="AK210" s="91" t="str">
        <f ca="1">IF(Contrato[[#This Row],[FECHA TERMINACIÓN ]]&lt;TODAY(), "Terminado",IF(ISNUMBER(Contrato[[#This Row],[Fecha Real de liquiidación ]]),"Liquidado",IF(Contrato[[#This Row],[FECHA TERMINACIÓN ]]&gt;=TODAY(),"En ejecución","")))</f>
        <v>En ejecución</v>
      </c>
      <c r="AL210" s="107">
        <f ca="1">SUMIF(COMPROMISOS_2025[[#All],[consecutivo]],Contrato[[#This Row],[RCP]],COMPROMISOS_2025[[#All],[Total pagado]])</f>
        <v>0</v>
      </c>
      <c r="AM210" s="122">
        <f ca="1">IFERROR(Contrato[[#This Row],[Pagos]]/Contrato[[#This Row],[VALOR CONTRATO]],0)</f>
        <v>0</v>
      </c>
      <c r="AN210" s="160">
        <f ca="1">+Contrato[[#This Row],[VALOR CONTRATO]]-Contrato[[#This Row],[Pagos]]</f>
        <v>50609170</v>
      </c>
      <c r="AO210" s="111" t="e" cm="1">
        <f t="array" aca="1" ref="AO210" ca="1">_xlfn.XLOOKUP(Contrato[[#This Row],[DOCUMENTO ]],PERSONAL_ACTIVO_2025[[#All],[DOCUMENTO]],PERSONAL_ACTIVO_2025[[#All],[email]],0,0)</f>
        <v>#NAME?</v>
      </c>
      <c r="AP210" s="111" t="e" cm="1">
        <f t="array" aca="1" ref="AP210" ca="1">_xlfn.XLOOKUP(Contrato[[#This Row],[DOCUMENTO]],PERSONAL_ACTIVO_2025[[#All],[DOCUMENTO]],PERSONAL_ACTIVO_2025[[#All],[email]],0,0)</f>
        <v>#NAME?</v>
      </c>
      <c r="AQ210" s="111" cm="1">
        <f t="array" aca="1" ref="AQ210" ca="1">IF(ISBLANK(Contrato[[#This Row],[DEPENDENCIA ]]),0,IFERROR(_xlfn.XLOOKUP(Contrato[[#This Row],[DEPENDENCIA ]],#REF!,#REF!,0,0),0))</f>
        <v>0</v>
      </c>
      <c r="AR210" s="553">
        <f ca="1">+_xlfn.DAYS(Contrato[[#This Row],[FECHA TERMINACIÓN ]],TODAY())</f>
        <v>222</v>
      </c>
    </row>
    <row r="211" spans="1:44" s="111" customFormat="1" ht="36" customHeight="1" x14ac:dyDescent="0.25">
      <c r="A211" s="38">
        <v>419</v>
      </c>
      <c r="B211" s="226">
        <v>205</v>
      </c>
      <c r="C211" s="88" t="s">
        <v>617</v>
      </c>
      <c r="D211" s="192" t="s">
        <v>911</v>
      </c>
      <c r="E211" s="193" t="s">
        <v>112</v>
      </c>
      <c r="F211" s="194" t="s">
        <v>113</v>
      </c>
      <c r="G211" s="195" t="s">
        <v>1265</v>
      </c>
      <c r="H211" s="167">
        <v>16708074</v>
      </c>
      <c r="I211" s="292">
        <v>6239569</v>
      </c>
      <c r="J211" s="290">
        <v>61147776</v>
      </c>
      <c r="K211" s="158" t="s">
        <v>41</v>
      </c>
      <c r="L211" s="196" t="s">
        <v>1087</v>
      </c>
      <c r="M211" s="114" t="s">
        <v>943</v>
      </c>
      <c r="N211" s="113" t="e" cm="1">
        <f t="array" aca="1" ref="N211" ca="1">_xlfn.XLOOKUP(Contrato[[#This Row],[SUPERVISOR TITULAR]],PERSONAL_ACTIVO_2025[[#All],[NOMBRES Y APELLIDOS]],PERSONAL_ACTIVO_2025[[#All],[DOCUMENTO]],"",0)</f>
        <v>#NAME?</v>
      </c>
      <c r="O211" s="114" t="s">
        <v>939</v>
      </c>
      <c r="P211" s="115" t="e" cm="1">
        <f t="array" aca="1" ref="P211" ca="1">_xlfn.XLOOKUP(Contrato[[#This Row],[SUPERVISOR SUPLENTE ]],PERSONAL_ACTIVO_2025[[#All],[NOMBRES Y APELLIDOS]],PERSONAL_ACTIVO_2025[[#All],[DOCUMENTO]],"",0)</f>
        <v>#NAME?</v>
      </c>
      <c r="Q211" s="116">
        <v>252</v>
      </c>
      <c r="R211" s="137" t="e" cm="1">
        <f t="array" aca="1" ref="R211" ca="1">_xlfn.XLOOKUP(Contrato[[#This Row],[CDP]],DISPONIBILIDADES_2025[[#All],[consecutivo]],DISPONIBILIDADES_2025[[#All],[fecha_aprobacion]],"",0)</f>
        <v>#NAME?</v>
      </c>
      <c r="S211" s="92">
        <f>SUMIF(DISPONIBILIDADES_2025[[#All],[consecutivo]],Contrato[[#This Row],[CDP]],DISPONIBILIDADES_2025[[#All],[valor_total_rubro]])</f>
        <v>61147776</v>
      </c>
      <c r="T211" s="118" t="e" cm="1">
        <f t="array" aca="1" ref="T211" ca="1">_xlfn.XLOOKUP(Contrato[[#This Row],[CONTRATO]]&amp;Contrato[[#This Row],[CDP]],Corr_Contr_CDP[[#All],[CONTRATO-CDP]],Corr_Contr_CDP[[#All],[CRP]],_xlfn.XLOOKUP(Contrato[[#This Row],[CDP]],COMPROMISOS_2025[[#All],[disponibilidad]],COMPROMISOS_2025[[#All],[consecutivo]],"",0),0)</f>
        <v>#NAME?</v>
      </c>
      <c r="U211" s="117" t="e" cm="1">
        <f t="array" aca="1" ref="U211" ca="1">+_xlfn.XLOOKUP(Contrato[[#This Row],[RCP]],COMPROMISOS_2025[[#All],[consecutivo]],COMPROMISOS_2025[[#All],[fecha_aprobacion]],"",0)</f>
        <v>#NAME?</v>
      </c>
      <c r="V211" s="93">
        <f ca="1">SUMIF(COMPROMISOS_2025[[#All],[consecutivo]],Contrato[[#This Row],[RCP]],COMPROMISOS_2025[[#All],[valor_total]])</f>
        <v>0</v>
      </c>
      <c r="W211" s="169">
        <v>45708</v>
      </c>
      <c r="X211" s="243" t="s">
        <v>901</v>
      </c>
      <c r="Y211" s="397">
        <v>45709</v>
      </c>
      <c r="Z211" s="161">
        <v>46005</v>
      </c>
      <c r="AA211" s="400" t="s">
        <v>1143</v>
      </c>
      <c r="AB211" s="119" t="s">
        <v>1127</v>
      </c>
      <c r="AC211" s="304"/>
      <c r="AD211" s="279">
        <v>202000006336</v>
      </c>
      <c r="AE211" s="38" t="s">
        <v>904</v>
      </c>
      <c r="AF211" s="120" t="str">
        <f>TEXT(LEFT(Contrato[[#This Row],[CONTRATO]],3),"0")</f>
        <v>205</v>
      </c>
      <c r="AG211" s="120" t="str">
        <f>IF(LEN(Contrato[[#This Row],[Contrato2]])=3,Contrato[[#This Row],[Contrato2]],TEXT(Contrato[[#This Row],[Contrato2]],"000"))</f>
        <v>205</v>
      </c>
      <c r="AH211" s="90">
        <f ca="1">IFERROR(_xlfn.DAYS(Contrato[[#This Row],[Fecha Proyectada liquidación]],TODAY())/30,"")</f>
        <v>11.4</v>
      </c>
      <c r="AI211" s="121">
        <f>+Contrato[[#This Row],[FECHA TERMINACIÓN ]]+120</f>
        <v>46125</v>
      </c>
      <c r="AJ211" s="89"/>
      <c r="AK211" s="91" t="str">
        <f ca="1">IF(Contrato[[#This Row],[FECHA TERMINACIÓN ]]&lt;TODAY(), "Terminado",IF(ISNUMBER(Contrato[[#This Row],[Fecha Real de liquiidación ]]),"Liquidado",IF(Contrato[[#This Row],[FECHA TERMINACIÓN ]]&gt;=TODAY(),"En ejecución","")))</f>
        <v>En ejecución</v>
      </c>
      <c r="AL211" s="107">
        <f ca="1">SUMIF(COMPROMISOS_2025[[#All],[consecutivo]],Contrato[[#This Row],[RCP]],COMPROMISOS_2025[[#All],[Total pagado]])</f>
        <v>0</v>
      </c>
      <c r="AM211" s="122">
        <f ca="1">IFERROR(Contrato[[#This Row],[Pagos]]/Contrato[[#This Row],[VALOR CONTRATO]],0)</f>
        <v>0</v>
      </c>
      <c r="AN211" s="160">
        <f ca="1">+Contrato[[#This Row],[VALOR CONTRATO]]-Contrato[[#This Row],[Pagos]]</f>
        <v>61147776</v>
      </c>
      <c r="AO211" s="111" t="e" cm="1">
        <f t="array" aca="1" ref="AO211" ca="1">_xlfn.XLOOKUP(Contrato[[#This Row],[DOCUMENTO ]],PERSONAL_ACTIVO_2025[[#All],[DOCUMENTO]],PERSONAL_ACTIVO_2025[[#All],[email]],0,0)</f>
        <v>#NAME?</v>
      </c>
      <c r="AP211" s="111" t="e" cm="1">
        <f t="array" aca="1" ref="AP211" ca="1">_xlfn.XLOOKUP(Contrato[[#This Row],[DOCUMENTO]],PERSONAL_ACTIVO_2025[[#All],[DOCUMENTO]],PERSONAL_ACTIVO_2025[[#All],[email]],0,0)</f>
        <v>#NAME?</v>
      </c>
      <c r="AQ211" s="111" cm="1">
        <f t="array" aca="1" ref="AQ211" ca="1">IF(ISBLANK(Contrato[[#This Row],[DEPENDENCIA ]]),0,IFERROR(_xlfn.XLOOKUP(Contrato[[#This Row],[DEPENDENCIA ]],#REF!,#REF!,0,0),0))</f>
        <v>0</v>
      </c>
      <c r="AR211" s="553">
        <f ca="1">+_xlfn.DAYS(Contrato[[#This Row],[FECHA TERMINACIÓN ]],TODAY())</f>
        <v>222</v>
      </c>
    </row>
    <row r="212" spans="1:44" s="111" customFormat="1" ht="36" customHeight="1" x14ac:dyDescent="0.25">
      <c r="A212" s="38">
        <v>420</v>
      </c>
      <c r="B212" s="226">
        <v>206</v>
      </c>
      <c r="C212" s="88" t="s">
        <v>618</v>
      </c>
      <c r="D212" s="192" t="s">
        <v>911</v>
      </c>
      <c r="E212" s="193" t="s">
        <v>112</v>
      </c>
      <c r="F212" s="194" t="s">
        <v>113</v>
      </c>
      <c r="G212" s="195" t="s">
        <v>1266</v>
      </c>
      <c r="H212" s="167">
        <v>8001230</v>
      </c>
      <c r="I212" s="292">
        <v>6239569</v>
      </c>
      <c r="J212" s="290">
        <v>61147776</v>
      </c>
      <c r="K212" s="158" t="s">
        <v>41</v>
      </c>
      <c r="L212" s="196" t="s">
        <v>1087</v>
      </c>
      <c r="M212" s="114" t="s">
        <v>943</v>
      </c>
      <c r="N212" s="113" t="e" cm="1">
        <f t="array" aca="1" ref="N212" ca="1">_xlfn.XLOOKUP(Contrato[[#This Row],[SUPERVISOR TITULAR]],PERSONAL_ACTIVO_2025[[#All],[NOMBRES Y APELLIDOS]],PERSONAL_ACTIVO_2025[[#All],[DOCUMENTO]],"",0)</f>
        <v>#NAME?</v>
      </c>
      <c r="O212" s="114" t="s">
        <v>939</v>
      </c>
      <c r="P212" s="115" t="e" cm="1">
        <f t="array" aca="1" ref="P212" ca="1">_xlfn.XLOOKUP(Contrato[[#This Row],[SUPERVISOR SUPLENTE ]],PERSONAL_ACTIVO_2025[[#All],[NOMBRES Y APELLIDOS]],PERSONAL_ACTIVO_2025[[#All],[DOCUMENTO]],"",0)</f>
        <v>#NAME?</v>
      </c>
      <c r="Q212" s="116">
        <v>253</v>
      </c>
      <c r="R212" s="137" t="e" cm="1">
        <f t="array" aca="1" ref="R212" ca="1">_xlfn.XLOOKUP(Contrato[[#This Row],[CDP]],DISPONIBILIDADES_2025[[#All],[consecutivo]],DISPONIBILIDADES_2025[[#All],[fecha_aprobacion]],"",0)</f>
        <v>#NAME?</v>
      </c>
      <c r="S212" s="92">
        <f>SUMIF(DISPONIBILIDADES_2025[[#All],[consecutivo]],Contrato[[#This Row],[CDP]],DISPONIBILIDADES_2025[[#All],[valor_total_rubro]])</f>
        <v>61147776</v>
      </c>
      <c r="T212" s="118" t="e" cm="1">
        <f t="array" aca="1" ref="T212" ca="1">_xlfn.XLOOKUP(Contrato[[#This Row],[CONTRATO]]&amp;Contrato[[#This Row],[CDP]],Corr_Contr_CDP[[#All],[CONTRATO-CDP]],Corr_Contr_CDP[[#All],[CRP]],_xlfn.XLOOKUP(Contrato[[#This Row],[CDP]],COMPROMISOS_2025[[#All],[disponibilidad]],COMPROMISOS_2025[[#All],[consecutivo]],"",0),0)</f>
        <v>#NAME?</v>
      </c>
      <c r="U212" s="117" t="e" cm="1">
        <f t="array" aca="1" ref="U212" ca="1">+_xlfn.XLOOKUP(Contrato[[#This Row],[RCP]],COMPROMISOS_2025[[#All],[consecutivo]],COMPROMISOS_2025[[#All],[fecha_aprobacion]],"",0)</f>
        <v>#NAME?</v>
      </c>
      <c r="V212" s="93">
        <f ca="1">SUMIF(COMPROMISOS_2025[[#All],[consecutivo]],Contrato[[#This Row],[RCP]],COMPROMISOS_2025[[#All],[valor_total]])</f>
        <v>0</v>
      </c>
      <c r="W212" s="169">
        <v>45708</v>
      </c>
      <c r="X212" s="243" t="s">
        <v>901</v>
      </c>
      <c r="Y212" s="397">
        <v>45709</v>
      </c>
      <c r="Z212" s="161">
        <v>46005</v>
      </c>
      <c r="AA212" s="198" t="s">
        <v>1143</v>
      </c>
      <c r="AB212" s="119" t="s">
        <v>1127</v>
      </c>
      <c r="AC212" s="304"/>
      <c r="AD212" s="279">
        <v>202000006337</v>
      </c>
      <c r="AE212" s="38" t="s">
        <v>904</v>
      </c>
      <c r="AF212" s="120" t="str">
        <f>TEXT(LEFT(Contrato[[#This Row],[CONTRATO]],3),"0")</f>
        <v>206</v>
      </c>
      <c r="AG212" s="120" t="str">
        <f>IF(LEN(Contrato[[#This Row],[Contrato2]])=3,Contrato[[#This Row],[Contrato2]],TEXT(Contrato[[#This Row],[Contrato2]],"000"))</f>
        <v>206</v>
      </c>
      <c r="AH212" s="90">
        <f ca="1">IFERROR(_xlfn.DAYS(Contrato[[#This Row],[Fecha Proyectada liquidación]],TODAY())/30,"")</f>
        <v>11.4</v>
      </c>
      <c r="AI212" s="121">
        <f>+Contrato[[#This Row],[FECHA TERMINACIÓN ]]+120</f>
        <v>46125</v>
      </c>
      <c r="AJ212" s="89"/>
      <c r="AK212" s="91" t="str">
        <f ca="1">IF(Contrato[[#This Row],[FECHA TERMINACIÓN ]]&lt;TODAY(), "Terminado",IF(ISNUMBER(Contrato[[#This Row],[Fecha Real de liquiidación ]]),"Liquidado",IF(Contrato[[#This Row],[FECHA TERMINACIÓN ]]&gt;=TODAY(),"En ejecución","")))</f>
        <v>En ejecución</v>
      </c>
      <c r="AL212" s="107">
        <f ca="1">SUMIF(COMPROMISOS_2025[[#All],[consecutivo]],Contrato[[#This Row],[RCP]],COMPROMISOS_2025[[#All],[Total pagado]])</f>
        <v>0</v>
      </c>
      <c r="AM212" s="122">
        <f ca="1">IFERROR(Contrato[[#This Row],[Pagos]]/Contrato[[#This Row],[VALOR CONTRATO]],0)</f>
        <v>0</v>
      </c>
      <c r="AN212" s="160">
        <f ca="1">+Contrato[[#This Row],[VALOR CONTRATO]]-Contrato[[#This Row],[Pagos]]</f>
        <v>61147776</v>
      </c>
      <c r="AO212" s="111" t="e" cm="1">
        <f t="array" aca="1" ref="AO212" ca="1">_xlfn.XLOOKUP(Contrato[[#This Row],[DOCUMENTO ]],PERSONAL_ACTIVO_2025[[#All],[DOCUMENTO]],PERSONAL_ACTIVO_2025[[#All],[email]],0,0)</f>
        <v>#NAME?</v>
      </c>
      <c r="AP212" s="111" t="e" cm="1">
        <f t="array" aca="1" ref="AP212" ca="1">_xlfn.XLOOKUP(Contrato[[#This Row],[DOCUMENTO]],PERSONAL_ACTIVO_2025[[#All],[DOCUMENTO]],PERSONAL_ACTIVO_2025[[#All],[email]],0,0)</f>
        <v>#NAME?</v>
      </c>
      <c r="AQ212" s="111" cm="1">
        <f t="array" aca="1" ref="AQ212" ca="1">IF(ISBLANK(Contrato[[#This Row],[DEPENDENCIA ]]),0,IFERROR(_xlfn.XLOOKUP(Contrato[[#This Row],[DEPENDENCIA ]],#REF!,#REF!,0,0),0))</f>
        <v>0</v>
      </c>
      <c r="AR212" s="553">
        <f ca="1">+_xlfn.DAYS(Contrato[[#This Row],[FECHA TERMINACIÓN ]],TODAY())</f>
        <v>222</v>
      </c>
    </row>
    <row r="213" spans="1:44" s="111" customFormat="1" ht="36" customHeight="1" x14ac:dyDescent="0.25">
      <c r="A213" s="38">
        <v>422</v>
      </c>
      <c r="B213" s="226">
        <v>207</v>
      </c>
      <c r="C213" s="88" t="s">
        <v>620</v>
      </c>
      <c r="D213" s="192" t="s">
        <v>911</v>
      </c>
      <c r="E213" s="193" t="s">
        <v>112</v>
      </c>
      <c r="F213" s="194" t="s">
        <v>113</v>
      </c>
      <c r="G213" s="195" t="s">
        <v>1267</v>
      </c>
      <c r="H213" s="167">
        <v>1128276428</v>
      </c>
      <c r="I213" s="292">
        <v>4157906</v>
      </c>
      <c r="J213" s="290">
        <v>40747479</v>
      </c>
      <c r="K213" s="158" t="s">
        <v>41</v>
      </c>
      <c r="L213" s="196" t="s">
        <v>1087</v>
      </c>
      <c r="M213" s="114" t="s">
        <v>943</v>
      </c>
      <c r="N213" s="113" t="e" cm="1">
        <f t="array" aca="1" ref="N213" ca="1">_xlfn.XLOOKUP(Contrato[[#This Row],[SUPERVISOR TITULAR]],PERSONAL_ACTIVO_2025[[#All],[NOMBRES Y APELLIDOS]],PERSONAL_ACTIVO_2025[[#All],[DOCUMENTO]],"",0)</f>
        <v>#NAME?</v>
      </c>
      <c r="O213" s="114" t="s">
        <v>939</v>
      </c>
      <c r="P213" s="115" t="e" cm="1">
        <f t="array" aca="1" ref="P213" ca="1">_xlfn.XLOOKUP(Contrato[[#This Row],[SUPERVISOR SUPLENTE ]],PERSONAL_ACTIVO_2025[[#All],[NOMBRES Y APELLIDOS]],PERSONAL_ACTIVO_2025[[#All],[DOCUMENTO]],"",0)</f>
        <v>#NAME?</v>
      </c>
      <c r="Q213" s="116">
        <v>255</v>
      </c>
      <c r="R213" s="137" t="e" cm="1">
        <f t="array" aca="1" ref="R213" ca="1">_xlfn.XLOOKUP(Contrato[[#This Row],[CDP]],DISPONIBILIDADES_2025[[#All],[consecutivo]],DISPONIBILIDADES_2025[[#All],[fecha_aprobacion]],"",0)</f>
        <v>#NAME?</v>
      </c>
      <c r="S213" s="92">
        <f>SUMIF(DISPONIBILIDADES_2025[[#All],[consecutivo]],Contrato[[#This Row],[CDP]],DISPONIBILIDADES_2025[[#All],[valor_total_rubro]])</f>
        <v>40747479</v>
      </c>
      <c r="T213" s="118" t="e" cm="1">
        <f t="array" aca="1" ref="T213" ca="1">_xlfn.XLOOKUP(Contrato[[#This Row],[CONTRATO]]&amp;Contrato[[#This Row],[CDP]],Corr_Contr_CDP[[#All],[CONTRATO-CDP]],Corr_Contr_CDP[[#All],[CRP]],_xlfn.XLOOKUP(Contrato[[#This Row],[CDP]],COMPROMISOS_2025[[#All],[disponibilidad]],COMPROMISOS_2025[[#All],[consecutivo]],"",0),0)</f>
        <v>#NAME?</v>
      </c>
      <c r="U213" s="117" t="e" cm="1">
        <f t="array" aca="1" ref="U213" ca="1">+_xlfn.XLOOKUP(Contrato[[#This Row],[RCP]],COMPROMISOS_2025[[#All],[consecutivo]],COMPROMISOS_2025[[#All],[fecha_aprobacion]],"",0)</f>
        <v>#NAME?</v>
      </c>
      <c r="V213" s="93">
        <f ca="1">SUMIF(COMPROMISOS_2025[[#All],[consecutivo]],Contrato[[#This Row],[RCP]],COMPROMISOS_2025[[#All],[valor_total]])</f>
        <v>0</v>
      </c>
      <c r="W213" s="169">
        <v>45708</v>
      </c>
      <c r="X213" s="243" t="s">
        <v>901</v>
      </c>
      <c r="Y213" s="397">
        <v>45709</v>
      </c>
      <c r="Z213" s="161">
        <v>46005</v>
      </c>
      <c r="AA213" s="198" t="s">
        <v>1130</v>
      </c>
      <c r="AB213" s="119" t="s">
        <v>1127</v>
      </c>
      <c r="AC213" s="304"/>
      <c r="AD213" s="279">
        <v>202000006338</v>
      </c>
      <c r="AE213" s="38" t="s">
        <v>904</v>
      </c>
      <c r="AF213" s="120" t="str">
        <f>TEXT(LEFT(Contrato[[#This Row],[CONTRATO]],3),"0")</f>
        <v>207</v>
      </c>
      <c r="AG213" s="120" t="str">
        <f>IF(LEN(Contrato[[#This Row],[Contrato2]])=3,Contrato[[#This Row],[Contrato2]],TEXT(Contrato[[#This Row],[Contrato2]],"000"))</f>
        <v>207</v>
      </c>
      <c r="AH213" s="90">
        <f ca="1">IFERROR(_xlfn.DAYS(Contrato[[#This Row],[Fecha Proyectada liquidación]],TODAY())/30,"")</f>
        <v>11.4</v>
      </c>
      <c r="AI213" s="121">
        <f>+Contrato[[#This Row],[FECHA TERMINACIÓN ]]+120</f>
        <v>46125</v>
      </c>
      <c r="AJ213" s="89"/>
      <c r="AK213" s="91" t="str">
        <f ca="1">IF(Contrato[[#This Row],[FECHA TERMINACIÓN ]]&lt;TODAY(), "Terminado",IF(ISNUMBER(Contrato[[#This Row],[Fecha Real de liquiidación ]]),"Liquidado",IF(Contrato[[#This Row],[FECHA TERMINACIÓN ]]&gt;=TODAY(),"En ejecución","")))</f>
        <v>En ejecución</v>
      </c>
      <c r="AL213" s="107">
        <f ca="1">SUMIF(COMPROMISOS_2025[[#All],[consecutivo]],Contrato[[#This Row],[RCP]],COMPROMISOS_2025[[#All],[Total pagado]])</f>
        <v>0</v>
      </c>
      <c r="AM213" s="122">
        <f ca="1">IFERROR(Contrato[[#This Row],[Pagos]]/Contrato[[#This Row],[VALOR CONTRATO]],0)</f>
        <v>0</v>
      </c>
      <c r="AN213" s="160">
        <f ca="1">+Contrato[[#This Row],[VALOR CONTRATO]]-Contrato[[#This Row],[Pagos]]</f>
        <v>40747479</v>
      </c>
      <c r="AO213" s="111" t="e" cm="1">
        <f t="array" aca="1" ref="AO213" ca="1">_xlfn.XLOOKUP(Contrato[[#This Row],[DOCUMENTO ]],PERSONAL_ACTIVO_2025[[#All],[DOCUMENTO]],PERSONAL_ACTIVO_2025[[#All],[email]],0,0)</f>
        <v>#NAME?</v>
      </c>
      <c r="AP213" s="111" t="e" cm="1">
        <f t="array" aca="1" ref="AP213" ca="1">_xlfn.XLOOKUP(Contrato[[#This Row],[DOCUMENTO]],PERSONAL_ACTIVO_2025[[#All],[DOCUMENTO]],PERSONAL_ACTIVO_2025[[#All],[email]],0,0)</f>
        <v>#NAME?</v>
      </c>
      <c r="AQ213" s="111" cm="1">
        <f t="array" aca="1" ref="AQ213" ca="1">IF(ISBLANK(Contrato[[#This Row],[DEPENDENCIA ]]),0,IFERROR(_xlfn.XLOOKUP(Contrato[[#This Row],[DEPENDENCIA ]],#REF!,#REF!,0,0),0))</f>
        <v>0</v>
      </c>
      <c r="AR213" s="553">
        <f ca="1">+_xlfn.DAYS(Contrato[[#This Row],[FECHA TERMINACIÓN ]],TODAY())</f>
        <v>222</v>
      </c>
    </row>
    <row r="214" spans="1:44" s="111" customFormat="1" ht="36" customHeight="1" x14ac:dyDescent="0.25">
      <c r="A214" s="38">
        <v>423</v>
      </c>
      <c r="B214" s="226">
        <v>208</v>
      </c>
      <c r="C214" s="88" t="s">
        <v>621</v>
      </c>
      <c r="D214" s="192" t="s">
        <v>911</v>
      </c>
      <c r="E214" s="193" t="s">
        <v>112</v>
      </c>
      <c r="F214" s="194" t="s">
        <v>113</v>
      </c>
      <c r="G214" s="195" t="s">
        <v>1268</v>
      </c>
      <c r="H214" s="167">
        <v>1128269668</v>
      </c>
      <c r="I214" s="292">
        <v>5164201</v>
      </c>
      <c r="J214" s="290">
        <v>50609170</v>
      </c>
      <c r="K214" s="158" t="s">
        <v>41</v>
      </c>
      <c r="L214" s="196" t="s">
        <v>1087</v>
      </c>
      <c r="M214" s="114" t="s">
        <v>943</v>
      </c>
      <c r="N214" s="113" t="e" cm="1">
        <f t="array" aca="1" ref="N214" ca="1">_xlfn.XLOOKUP(Contrato[[#This Row],[SUPERVISOR TITULAR]],PERSONAL_ACTIVO_2025[[#All],[NOMBRES Y APELLIDOS]],PERSONAL_ACTIVO_2025[[#All],[DOCUMENTO]],"",0)</f>
        <v>#NAME?</v>
      </c>
      <c r="O214" s="114" t="s">
        <v>939</v>
      </c>
      <c r="P214" s="115" t="e" cm="1">
        <f t="array" aca="1" ref="P214" ca="1">_xlfn.XLOOKUP(Contrato[[#This Row],[SUPERVISOR SUPLENTE ]],PERSONAL_ACTIVO_2025[[#All],[NOMBRES Y APELLIDOS]],PERSONAL_ACTIVO_2025[[#All],[DOCUMENTO]],"",0)</f>
        <v>#NAME?</v>
      </c>
      <c r="Q214" s="116">
        <v>256</v>
      </c>
      <c r="R214" s="137" t="e" cm="1">
        <f t="array" aca="1" ref="R214" ca="1">_xlfn.XLOOKUP(Contrato[[#This Row],[CDP]],DISPONIBILIDADES_2025[[#All],[consecutivo]],DISPONIBILIDADES_2025[[#All],[fecha_aprobacion]],"",0)</f>
        <v>#NAME?</v>
      </c>
      <c r="S214" s="92">
        <f>SUMIF(DISPONIBILIDADES_2025[[#All],[consecutivo]],Contrato[[#This Row],[CDP]],DISPONIBILIDADES_2025[[#All],[valor_total_rubro]])</f>
        <v>50609170</v>
      </c>
      <c r="T214" s="118" t="e" cm="1">
        <f t="array" aca="1" ref="T214" ca="1">_xlfn.XLOOKUP(Contrato[[#This Row],[CONTRATO]]&amp;Contrato[[#This Row],[CDP]],Corr_Contr_CDP[[#All],[CONTRATO-CDP]],Corr_Contr_CDP[[#All],[CRP]],_xlfn.XLOOKUP(Contrato[[#This Row],[CDP]],COMPROMISOS_2025[[#All],[disponibilidad]],COMPROMISOS_2025[[#All],[consecutivo]],"",0),0)</f>
        <v>#NAME?</v>
      </c>
      <c r="U214" s="117" t="e" cm="1">
        <f t="array" aca="1" ref="U214" ca="1">+_xlfn.XLOOKUP(Contrato[[#This Row],[RCP]],COMPROMISOS_2025[[#All],[consecutivo]],COMPROMISOS_2025[[#All],[fecha_aprobacion]],"",0)</f>
        <v>#NAME?</v>
      </c>
      <c r="V214" s="93">
        <f ca="1">SUMIF(COMPROMISOS_2025[[#All],[consecutivo]],Contrato[[#This Row],[RCP]],COMPROMISOS_2025[[#All],[valor_total]])</f>
        <v>0</v>
      </c>
      <c r="W214" s="169">
        <v>45708</v>
      </c>
      <c r="X214" s="243" t="s">
        <v>901</v>
      </c>
      <c r="Y214" s="397">
        <v>45709</v>
      </c>
      <c r="Z214" s="161">
        <v>46005</v>
      </c>
      <c r="AA214" s="198" t="s">
        <v>1269</v>
      </c>
      <c r="AB214" s="119" t="s">
        <v>1127</v>
      </c>
      <c r="AC214" s="304"/>
      <c r="AD214" s="279">
        <v>202000006340</v>
      </c>
      <c r="AE214" s="38" t="s">
        <v>904</v>
      </c>
      <c r="AF214" s="120" t="str">
        <f>TEXT(LEFT(Contrato[[#This Row],[CONTRATO]],3),"0")</f>
        <v>208</v>
      </c>
      <c r="AG214" s="120" t="str">
        <f>IF(LEN(Contrato[[#This Row],[Contrato2]])=3,Contrato[[#This Row],[Contrato2]],TEXT(Contrato[[#This Row],[Contrato2]],"000"))</f>
        <v>208</v>
      </c>
      <c r="AH214" s="90">
        <f ca="1">IFERROR(_xlfn.DAYS(Contrato[[#This Row],[Fecha Proyectada liquidación]],TODAY())/30,"")</f>
        <v>11.4</v>
      </c>
      <c r="AI214" s="121">
        <f>+Contrato[[#This Row],[FECHA TERMINACIÓN ]]+120</f>
        <v>46125</v>
      </c>
      <c r="AJ214" s="89"/>
      <c r="AK214" s="91" t="str">
        <f ca="1">IF(Contrato[[#This Row],[FECHA TERMINACIÓN ]]&lt;TODAY(), "Terminado",IF(ISNUMBER(Contrato[[#This Row],[Fecha Real de liquiidación ]]),"Liquidado",IF(Contrato[[#This Row],[FECHA TERMINACIÓN ]]&gt;=TODAY(),"En ejecución","")))</f>
        <v>En ejecución</v>
      </c>
      <c r="AL214" s="107">
        <f ca="1">SUMIF(COMPROMISOS_2025[[#All],[consecutivo]],Contrato[[#This Row],[RCP]],COMPROMISOS_2025[[#All],[Total pagado]])</f>
        <v>0</v>
      </c>
      <c r="AM214" s="122">
        <f ca="1">IFERROR(Contrato[[#This Row],[Pagos]]/Contrato[[#This Row],[VALOR CONTRATO]],0)</f>
        <v>0</v>
      </c>
      <c r="AN214" s="160">
        <f ca="1">+Contrato[[#This Row],[VALOR CONTRATO]]-Contrato[[#This Row],[Pagos]]</f>
        <v>50609170</v>
      </c>
      <c r="AO214" s="111" t="e" cm="1">
        <f t="array" aca="1" ref="AO214" ca="1">_xlfn.XLOOKUP(Contrato[[#This Row],[DOCUMENTO ]],PERSONAL_ACTIVO_2025[[#All],[DOCUMENTO]],PERSONAL_ACTIVO_2025[[#All],[email]],0,0)</f>
        <v>#NAME?</v>
      </c>
      <c r="AP214" s="111" t="e" cm="1">
        <f t="array" aca="1" ref="AP214" ca="1">_xlfn.XLOOKUP(Contrato[[#This Row],[DOCUMENTO]],PERSONAL_ACTIVO_2025[[#All],[DOCUMENTO]],PERSONAL_ACTIVO_2025[[#All],[email]],0,0)</f>
        <v>#NAME?</v>
      </c>
      <c r="AQ214" s="111" cm="1">
        <f t="array" aca="1" ref="AQ214" ca="1">IF(ISBLANK(Contrato[[#This Row],[DEPENDENCIA ]]),0,IFERROR(_xlfn.XLOOKUP(Contrato[[#This Row],[DEPENDENCIA ]],#REF!,#REF!,0,0),0))</f>
        <v>0</v>
      </c>
      <c r="AR214" s="553">
        <f ca="1">+_xlfn.DAYS(Contrato[[#This Row],[FECHA TERMINACIÓN ]],TODAY())</f>
        <v>222</v>
      </c>
    </row>
    <row r="215" spans="1:44" s="111" customFormat="1" ht="36" customHeight="1" x14ac:dyDescent="0.25">
      <c r="A215" s="38">
        <v>424</v>
      </c>
      <c r="B215" s="226">
        <v>209</v>
      </c>
      <c r="C215" s="88" t="s">
        <v>622</v>
      </c>
      <c r="D215" s="192" t="s">
        <v>911</v>
      </c>
      <c r="E215" s="193" t="s">
        <v>112</v>
      </c>
      <c r="F215" s="194" t="s">
        <v>113</v>
      </c>
      <c r="G215" s="195" t="s">
        <v>1270</v>
      </c>
      <c r="H215" s="167">
        <v>1128280663</v>
      </c>
      <c r="I215" s="292">
        <v>4157906</v>
      </c>
      <c r="J215" s="290">
        <v>40747479</v>
      </c>
      <c r="K215" s="158" t="s">
        <v>41</v>
      </c>
      <c r="L215" s="196" t="s">
        <v>1087</v>
      </c>
      <c r="M215" s="114" t="s">
        <v>943</v>
      </c>
      <c r="N215" s="113" t="e" cm="1">
        <f t="array" aca="1" ref="N215" ca="1">_xlfn.XLOOKUP(Contrato[[#This Row],[SUPERVISOR TITULAR]],PERSONAL_ACTIVO_2025[[#All],[NOMBRES Y APELLIDOS]],PERSONAL_ACTIVO_2025[[#All],[DOCUMENTO]],"",0)</f>
        <v>#NAME?</v>
      </c>
      <c r="O215" s="114" t="s">
        <v>939</v>
      </c>
      <c r="P215" s="115" t="e" cm="1">
        <f t="array" aca="1" ref="P215" ca="1">_xlfn.XLOOKUP(Contrato[[#This Row],[SUPERVISOR SUPLENTE ]],PERSONAL_ACTIVO_2025[[#All],[NOMBRES Y APELLIDOS]],PERSONAL_ACTIVO_2025[[#All],[DOCUMENTO]],"",0)</f>
        <v>#NAME?</v>
      </c>
      <c r="Q215" s="116">
        <v>257</v>
      </c>
      <c r="R215" s="137" t="e" cm="1">
        <f t="array" aca="1" ref="R215" ca="1">_xlfn.XLOOKUP(Contrato[[#This Row],[CDP]],DISPONIBILIDADES_2025[[#All],[consecutivo]],DISPONIBILIDADES_2025[[#All],[fecha_aprobacion]],"",0)</f>
        <v>#NAME?</v>
      </c>
      <c r="S215" s="92">
        <f>SUMIF(DISPONIBILIDADES_2025[[#All],[consecutivo]],Contrato[[#This Row],[CDP]],DISPONIBILIDADES_2025[[#All],[valor_total_rubro]])</f>
        <v>40747479</v>
      </c>
      <c r="T215" s="118" t="e" cm="1">
        <f t="array" aca="1" ref="T215" ca="1">_xlfn.XLOOKUP(Contrato[[#This Row],[CONTRATO]]&amp;Contrato[[#This Row],[CDP]],Corr_Contr_CDP[[#All],[CONTRATO-CDP]],Corr_Contr_CDP[[#All],[CRP]],_xlfn.XLOOKUP(Contrato[[#This Row],[CDP]],COMPROMISOS_2025[[#All],[disponibilidad]],COMPROMISOS_2025[[#All],[consecutivo]],"",0),0)</f>
        <v>#NAME?</v>
      </c>
      <c r="U215" s="117" t="e" cm="1">
        <f t="array" aca="1" ref="U215" ca="1">+_xlfn.XLOOKUP(Contrato[[#This Row],[RCP]],COMPROMISOS_2025[[#All],[consecutivo]],COMPROMISOS_2025[[#All],[fecha_aprobacion]],"",0)</f>
        <v>#NAME?</v>
      </c>
      <c r="V215" s="93">
        <f ca="1">SUMIF(COMPROMISOS_2025[[#All],[consecutivo]],Contrato[[#This Row],[RCP]],COMPROMISOS_2025[[#All],[valor_total]])</f>
        <v>0</v>
      </c>
      <c r="W215" s="169">
        <v>45708</v>
      </c>
      <c r="X215" s="243" t="s">
        <v>901</v>
      </c>
      <c r="Y215" s="397">
        <v>45714</v>
      </c>
      <c r="Z215" s="161">
        <v>46005</v>
      </c>
      <c r="AA215" s="198" t="s">
        <v>1130</v>
      </c>
      <c r="AB215" s="119" t="s">
        <v>1127</v>
      </c>
      <c r="AC215" s="304"/>
      <c r="AD215" s="279">
        <v>202000006341</v>
      </c>
      <c r="AE215" s="38" t="s">
        <v>904</v>
      </c>
      <c r="AF215" s="120" t="str">
        <f>TEXT(LEFT(Contrato[[#This Row],[CONTRATO]],3),"0")</f>
        <v>209</v>
      </c>
      <c r="AG215" s="120" t="str">
        <f>IF(LEN(Contrato[[#This Row],[Contrato2]])=3,Contrato[[#This Row],[Contrato2]],TEXT(Contrato[[#This Row],[Contrato2]],"000"))</f>
        <v>209</v>
      </c>
      <c r="AH215" s="90">
        <f ca="1">IFERROR(_xlfn.DAYS(Contrato[[#This Row],[Fecha Proyectada liquidación]],TODAY())/30,"")</f>
        <v>11.4</v>
      </c>
      <c r="AI215" s="121">
        <f>+Contrato[[#This Row],[FECHA TERMINACIÓN ]]+120</f>
        <v>46125</v>
      </c>
      <c r="AJ215" s="89"/>
      <c r="AK215" s="91" t="str">
        <f ca="1">IF(Contrato[[#This Row],[FECHA TERMINACIÓN ]]&lt;TODAY(), "Terminado",IF(ISNUMBER(Contrato[[#This Row],[Fecha Real de liquiidación ]]),"Liquidado",IF(Contrato[[#This Row],[FECHA TERMINACIÓN ]]&gt;=TODAY(),"En ejecución","")))</f>
        <v>En ejecución</v>
      </c>
      <c r="AL215" s="107">
        <f ca="1">SUMIF(COMPROMISOS_2025[[#All],[consecutivo]],Contrato[[#This Row],[RCP]],COMPROMISOS_2025[[#All],[Total pagado]])</f>
        <v>0</v>
      </c>
      <c r="AM215" s="122">
        <f ca="1">IFERROR(Contrato[[#This Row],[Pagos]]/Contrato[[#This Row],[VALOR CONTRATO]],0)</f>
        <v>0</v>
      </c>
      <c r="AN215" s="160">
        <f ca="1">+Contrato[[#This Row],[VALOR CONTRATO]]-Contrato[[#This Row],[Pagos]]</f>
        <v>40747479</v>
      </c>
      <c r="AO215" s="111" t="e" cm="1">
        <f t="array" aca="1" ref="AO215" ca="1">_xlfn.XLOOKUP(Contrato[[#This Row],[DOCUMENTO ]],PERSONAL_ACTIVO_2025[[#All],[DOCUMENTO]],PERSONAL_ACTIVO_2025[[#All],[email]],0,0)</f>
        <v>#NAME?</v>
      </c>
      <c r="AP215" s="111" t="e" cm="1">
        <f t="array" aca="1" ref="AP215" ca="1">_xlfn.XLOOKUP(Contrato[[#This Row],[DOCUMENTO]],PERSONAL_ACTIVO_2025[[#All],[DOCUMENTO]],PERSONAL_ACTIVO_2025[[#All],[email]],0,0)</f>
        <v>#NAME?</v>
      </c>
      <c r="AQ215" s="111" cm="1">
        <f t="array" aca="1" ref="AQ215" ca="1">IF(ISBLANK(Contrato[[#This Row],[DEPENDENCIA ]]),0,IFERROR(_xlfn.XLOOKUP(Contrato[[#This Row],[DEPENDENCIA ]],#REF!,#REF!,0,0),0))</f>
        <v>0</v>
      </c>
      <c r="AR215" s="553">
        <f ca="1">+_xlfn.DAYS(Contrato[[#This Row],[FECHA TERMINACIÓN ]],TODAY())</f>
        <v>222</v>
      </c>
    </row>
    <row r="216" spans="1:44" s="111" customFormat="1" ht="36" customHeight="1" x14ac:dyDescent="0.25">
      <c r="A216" s="38">
        <v>425</v>
      </c>
      <c r="B216" s="226">
        <v>210</v>
      </c>
      <c r="C216" s="88" t="s">
        <v>623</v>
      </c>
      <c r="D216" s="192" t="s">
        <v>911</v>
      </c>
      <c r="E216" s="193" t="s">
        <v>112</v>
      </c>
      <c r="F216" s="194" t="s">
        <v>113</v>
      </c>
      <c r="G216" s="195" t="s">
        <v>1271</v>
      </c>
      <c r="H216" s="167">
        <v>12113640</v>
      </c>
      <c r="I216" s="292">
        <v>6239569</v>
      </c>
      <c r="J216" s="290">
        <v>61147776</v>
      </c>
      <c r="K216" s="158" t="s">
        <v>41</v>
      </c>
      <c r="L216" s="196" t="s">
        <v>1087</v>
      </c>
      <c r="M216" s="114" t="s">
        <v>943</v>
      </c>
      <c r="N216" s="113" t="e" cm="1">
        <f t="array" aca="1" ref="N216" ca="1">_xlfn.XLOOKUP(Contrato[[#This Row],[SUPERVISOR TITULAR]],PERSONAL_ACTIVO_2025[[#All],[NOMBRES Y APELLIDOS]],PERSONAL_ACTIVO_2025[[#All],[DOCUMENTO]],"",0)</f>
        <v>#NAME?</v>
      </c>
      <c r="O216" s="114" t="s">
        <v>939</v>
      </c>
      <c r="P216" s="115" t="e" cm="1">
        <f t="array" aca="1" ref="P216" ca="1">_xlfn.XLOOKUP(Contrato[[#This Row],[SUPERVISOR SUPLENTE ]],PERSONAL_ACTIVO_2025[[#All],[NOMBRES Y APELLIDOS]],PERSONAL_ACTIVO_2025[[#All],[DOCUMENTO]],"",0)</f>
        <v>#NAME?</v>
      </c>
      <c r="Q216" s="116">
        <v>258</v>
      </c>
      <c r="R216" s="137" t="e" cm="1">
        <f t="array" aca="1" ref="R216" ca="1">_xlfn.XLOOKUP(Contrato[[#This Row],[CDP]],DISPONIBILIDADES_2025[[#All],[consecutivo]],DISPONIBILIDADES_2025[[#All],[fecha_aprobacion]],"",0)</f>
        <v>#NAME?</v>
      </c>
      <c r="S216" s="92">
        <f>SUMIF(DISPONIBILIDADES_2025[[#All],[consecutivo]],Contrato[[#This Row],[CDP]],DISPONIBILIDADES_2025[[#All],[valor_total_rubro]])</f>
        <v>61147776</v>
      </c>
      <c r="T216" s="118" t="e" cm="1">
        <f t="array" aca="1" ref="T216" ca="1">_xlfn.XLOOKUP(Contrato[[#This Row],[CONTRATO]]&amp;Contrato[[#This Row],[CDP]],Corr_Contr_CDP[[#All],[CONTRATO-CDP]],Corr_Contr_CDP[[#All],[CRP]],_xlfn.XLOOKUP(Contrato[[#This Row],[CDP]],COMPROMISOS_2025[[#All],[disponibilidad]],COMPROMISOS_2025[[#All],[consecutivo]],"",0),0)</f>
        <v>#NAME?</v>
      </c>
      <c r="U216" s="117" t="e" cm="1">
        <f t="array" aca="1" ref="U216" ca="1">+_xlfn.XLOOKUP(Contrato[[#This Row],[RCP]],COMPROMISOS_2025[[#All],[consecutivo]],COMPROMISOS_2025[[#All],[fecha_aprobacion]],"",0)</f>
        <v>#NAME?</v>
      </c>
      <c r="V216" s="93">
        <f ca="1">SUMIF(COMPROMISOS_2025[[#All],[consecutivo]],Contrato[[#This Row],[RCP]],COMPROMISOS_2025[[#All],[valor_total]])</f>
        <v>0</v>
      </c>
      <c r="W216" s="169">
        <v>45708</v>
      </c>
      <c r="X216" s="243" t="s">
        <v>901</v>
      </c>
      <c r="Y216" s="397">
        <v>45709</v>
      </c>
      <c r="Z216" s="161">
        <v>46005</v>
      </c>
      <c r="AA216" s="198" t="s">
        <v>1272</v>
      </c>
      <c r="AB216" s="119" t="s">
        <v>1127</v>
      </c>
      <c r="AC216" s="304"/>
      <c r="AD216" s="279">
        <v>202000006342</v>
      </c>
      <c r="AE216" s="38" t="s">
        <v>904</v>
      </c>
      <c r="AF216" s="120" t="str">
        <f>TEXT(LEFT(Contrato[[#This Row],[CONTRATO]],3),"0")</f>
        <v>210</v>
      </c>
      <c r="AG216" s="120" t="str">
        <f>IF(LEN(Contrato[[#This Row],[Contrato2]])=3,Contrato[[#This Row],[Contrato2]],TEXT(Contrato[[#This Row],[Contrato2]],"000"))</f>
        <v>210</v>
      </c>
      <c r="AH216" s="90">
        <f ca="1">IFERROR(_xlfn.DAYS(Contrato[[#This Row],[Fecha Proyectada liquidación]],TODAY())/30,"")</f>
        <v>11.4</v>
      </c>
      <c r="AI216" s="121">
        <f>+Contrato[[#This Row],[FECHA TERMINACIÓN ]]+120</f>
        <v>46125</v>
      </c>
      <c r="AJ216" s="89"/>
      <c r="AK216" s="91" t="str">
        <f ca="1">IF(Contrato[[#This Row],[FECHA TERMINACIÓN ]]&lt;TODAY(), "Terminado",IF(ISNUMBER(Contrato[[#This Row],[Fecha Real de liquiidación ]]),"Liquidado",IF(Contrato[[#This Row],[FECHA TERMINACIÓN ]]&gt;=TODAY(),"En ejecución","")))</f>
        <v>En ejecución</v>
      </c>
      <c r="AL216" s="107">
        <f ca="1">SUMIF(COMPROMISOS_2025[[#All],[consecutivo]],Contrato[[#This Row],[RCP]],COMPROMISOS_2025[[#All],[Total pagado]])</f>
        <v>0</v>
      </c>
      <c r="AM216" s="122">
        <f ca="1">IFERROR(Contrato[[#This Row],[Pagos]]/Contrato[[#This Row],[VALOR CONTRATO]],0)</f>
        <v>0</v>
      </c>
      <c r="AN216" s="160">
        <f ca="1">+Contrato[[#This Row],[VALOR CONTRATO]]-Contrato[[#This Row],[Pagos]]</f>
        <v>61147776</v>
      </c>
      <c r="AO216" s="111" t="e" cm="1">
        <f t="array" aca="1" ref="AO216" ca="1">_xlfn.XLOOKUP(Contrato[[#This Row],[DOCUMENTO ]],PERSONAL_ACTIVO_2025[[#All],[DOCUMENTO]],PERSONAL_ACTIVO_2025[[#All],[email]],0,0)</f>
        <v>#NAME?</v>
      </c>
      <c r="AP216" s="111" t="e" cm="1">
        <f t="array" aca="1" ref="AP216" ca="1">_xlfn.XLOOKUP(Contrato[[#This Row],[DOCUMENTO]],PERSONAL_ACTIVO_2025[[#All],[DOCUMENTO]],PERSONAL_ACTIVO_2025[[#All],[email]],0,0)</f>
        <v>#NAME?</v>
      </c>
      <c r="AQ216" s="111" cm="1">
        <f t="array" aca="1" ref="AQ216" ca="1">IF(ISBLANK(Contrato[[#This Row],[DEPENDENCIA ]]),0,IFERROR(_xlfn.XLOOKUP(Contrato[[#This Row],[DEPENDENCIA ]],#REF!,#REF!,0,0),0))</f>
        <v>0</v>
      </c>
      <c r="AR216" s="553">
        <f ca="1">+_xlfn.DAYS(Contrato[[#This Row],[FECHA TERMINACIÓN ]],TODAY())</f>
        <v>222</v>
      </c>
    </row>
    <row r="217" spans="1:44" s="111" customFormat="1" ht="36" customHeight="1" x14ac:dyDescent="0.25">
      <c r="A217" s="38">
        <v>579</v>
      </c>
      <c r="B217" s="226">
        <v>210</v>
      </c>
      <c r="C217" s="88" t="s">
        <v>816</v>
      </c>
      <c r="D217" s="192" t="s">
        <v>911</v>
      </c>
      <c r="E217" s="193" t="s">
        <v>112</v>
      </c>
      <c r="F217" s="194" t="s">
        <v>113</v>
      </c>
      <c r="G217" s="195" t="s">
        <v>1271</v>
      </c>
      <c r="H217" s="167">
        <v>12113640</v>
      </c>
      <c r="I217" s="290">
        <v>1185518</v>
      </c>
      <c r="J217" s="290">
        <v>11618077</v>
      </c>
      <c r="K217" s="158"/>
      <c r="L217" s="196" t="s">
        <v>1273</v>
      </c>
      <c r="M217" s="114" t="s">
        <v>943</v>
      </c>
      <c r="N217" s="113" t="e" cm="1">
        <f t="array" aca="1" ref="N217" ca="1">_xlfn.XLOOKUP(Contrato[[#This Row],[SUPERVISOR TITULAR]],PERSONAL_ACTIVO_2025[[#All],[NOMBRES Y APELLIDOS]],PERSONAL_ACTIVO_2025[[#All],[DOCUMENTO]],"",0)</f>
        <v>#NAME?</v>
      </c>
      <c r="O217" s="114" t="s">
        <v>939</v>
      </c>
      <c r="P217" s="115" t="e" cm="1">
        <f t="array" aca="1" ref="P217" ca="1">_xlfn.XLOOKUP(Contrato[[#This Row],[SUPERVISOR SUPLENTE ]],PERSONAL_ACTIVO_2025[[#All],[NOMBRES Y APELLIDOS]],PERSONAL_ACTIVO_2025[[#All],[DOCUMENTO]],"",0)</f>
        <v>#NAME?</v>
      </c>
      <c r="Q217" s="116">
        <v>424</v>
      </c>
      <c r="R217" s="137" t="e" cm="1">
        <f t="array" aca="1" ref="R217" ca="1">_xlfn.XLOOKUP(Contrato[[#This Row],[CDP]],DISPONIBILIDADES_2025[[#All],[consecutivo]],DISPONIBILIDADES_2025[[#All],[fecha_aprobacion]],"",0)</f>
        <v>#NAME?</v>
      </c>
      <c r="S217" s="92">
        <f>SUMIF(DISPONIBILIDADES_2025[[#All],[consecutivo]],Contrato[[#This Row],[CDP]],DISPONIBILIDADES_2025[[#All],[valor_total_rubro]])</f>
        <v>11618077</v>
      </c>
      <c r="T217" s="118" t="e" cm="1">
        <f t="array" aca="1" ref="T217" ca="1">_xlfn.XLOOKUP(Contrato[[#This Row],[CONTRATO]]&amp;Contrato[[#This Row],[CDP]],Corr_Contr_CDP[[#All],[CONTRATO-CDP]],Corr_Contr_CDP[[#All],[CRP]],_xlfn.XLOOKUP(Contrato[[#This Row],[CDP]],COMPROMISOS_2025[[#All],[disponibilidad]],COMPROMISOS_2025[[#All],[consecutivo]],"",0),0)</f>
        <v>#NAME?</v>
      </c>
      <c r="U217" s="117" t="e" cm="1">
        <f t="array" aca="1" ref="U217" ca="1">+_xlfn.XLOOKUP(Contrato[[#This Row],[RCP]],COMPROMISOS_2025[[#All],[consecutivo]],COMPROMISOS_2025[[#All],[fecha_aprobacion]],"",0)</f>
        <v>#NAME?</v>
      </c>
      <c r="V217" s="93">
        <f ca="1">SUMIF(COMPROMISOS_2025[[#All],[consecutivo]],Contrato[[#This Row],[RCP]],COMPROMISOS_2025[[#All],[valor_total]])</f>
        <v>0</v>
      </c>
      <c r="W217" s="243">
        <v>45747</v>
      </c>
      <c r="X217" s="243" t="s">
        <v>901</v>
      </c>
      <c r="Y217" s="96" t="e">
        <f ca="1">+LEFT(_xlfn.XLOOKUP(Contrato[[#This Row],[CONTRATO3DIG]],SECOP_II!AE:AE,SECOP_II!F:F,"",0),10)</f>
        <v>#NAME?</v>
      </c>
      <c r="Z217" s="161" t="e">
        <f ca="1">+LEFT(_xlfn.XLOOKUP(Contrato[[#This Row],[CONTRATO3DIG]],SECOP_II!AE:AE,SECOP_II!G:G,"",0),10)</f>
        <v>#NAME?</v>
      </c>
      <c r="AA217" s="244"/>
      <c r="AB217" s="119" t="s">
        <v>41</v>
      </c>
      <c r="AC217" s="305"/>
      <c r="AD217" s="545"/>
      <c r="AE217" s="38"/>
      <c r="AF217" s="120" t="str">
        <f>TEXT(LEFT(Contrato[[#This Row],[CONTRATO]],3),"0")</f>
        <v>210</v>
      </c>
      <c r="AG217" s="120" t="str">
        <f>IF(LEN(Contrato[[#This Row],[Contrato2]])=3,Contrato[[#This Row],[Contrato2]],TEXT(Contrato[[#This Row],[Contrato2]],"000"))</f>
        <v>210</v>
      </c>
      <c r="AH217" s="90" t="str">
        <f ca="1">IFERROR(_xlfn.DAYS(Contrato[[#This Row],[Fecha Proyectada liquidación]],TODAY())/30,"")</f>
        <v/>
      </c>
      <c r="AI217" s="121" t="e">
        <f ca="1">+Contrato[[#This Row],[FECHA TERMINACIÓN ]]+120</f>
        <v>#NAME?</v>
      </c>
      <c r="AJ217" s="89"/>
      <c r="AK217" s="91" t="e">
        <f ca="1">IF(Contrato[[#This Row],[FECHA TERMINACIÓN ]]&lt;TODAY(), "Terminado",IF(ISNUMBER(Contrato[[#This Row],[Fecha Real de liquiidación ]]),"Liquidado",IF(Contrato[[#This Row],[FECHA TERMINACIÓN ]]&gt;=TODAY(),"En ejecución","")))</f>
        <v>#NAME?</v>
      </c>
      <c r="AL217" s="107">
        <f ca="1">SUMIF(COMPROMISOS_2025[[#All],[consecutivo]],Contrato[[#This Row],[RCP]],COMPROMISOS_2025[[#All],[Total pagado]])</f>
        <v>0</v>
      </c>
      <c r="AM217" s="122">
        <f ca="1">IFERROR(Contrato[[#This Row],[Pagos]]/Contrato[[#This Row],[VALOR CONTRATO]],0)</f>
        <v>0</v>
      </c>
      <c r="AN217" s="160">
        <f ca="1">+Contrato[[#This Row],[VALOR CONTRATO]]-Contrato[[#This Row],[Pagos]]</f>
        <v>11618077</v>
      </c>
      <c r="AO217" s="111" t="e" cm="1">
        <f t="array" aca="1" ref="AO217" ca="1">_xlfn.XLOOKUP(Contrato[[#This Row],[DOCUMENTO ]],PERSONAL_ACTIVO_2025[[#All],[DOCUMENTO]],PERSONAL_ACTIVO_2025[[#All],[email]],0,0)</f>
        <v>#NAME?</v>
      </c>
      <c r="AP217" s="111" t="e" cm="1">
        <f t="array" aca="1" ref="AP217" ca="1">_xlfn.XLOOKUP(Contrato[[#This Row],[DOCUMENTO]],PERSONAL_ACTIVO_2025[[#All],[DOCUMENTO]],PERSONAL_ACTIVO_2025[[#All],[email]],0,0)</f>
        <v>#NAME?</v>
      </c>
      <c r="AQ217" s="111" cm="1">
        <f t="array" aca="1" ref="AQ217" ca="1">IF(ISBLANK(Contrato[[#This Row],[DEPENDENCIA ]]),0,IFERROR(_xlfn.XLOOKUP(Contrato[[#This Row],[DEPENDENCIA ]],#REF!,#REF!,0,0),0))</f>
        <v>0</v>
      </c>
      <c r="AR217" s="553" t="e">
        <f ca="1">+_xlfn.DAYS(Contrato[[#This Row],[FECHA TERMINACIÓN ]],TODAY())</f>
        <v>#NAME?</v>
      </c>
    </row>
    <row r="218" spans="1:44" s="111" customFormat="1" ht="36" customHeight="1" x14ac:dyDescent="0.25">
      <c r="A218" s="38">
        <v>426</v>
      </c>
      <c r="B218" s="226">
        <v>211</v>
      </c>
      <c r="C218" s="88" t="s">
        <v>624</v>
      </c>
      <c r="D218" s="192" t="s">
        <v>911</v>
      </c>
      <c r="E218" s="193" t="s">
        <v>112</v>
      </c>
      <c r="F218" s="194" t="s">
        <v>113</v>
      </c>
      <c r="G218" s="195" t="s">
        <v>1274</v>
      </c>
      <c r="H218" s="167">
        <v>15368469</v>
      </c>
      <c r="I218" s="292">
        <v>8320021</v>
      </c>
      <c r="J218" s="290">
        <v>81536206</v>
      </c>
      <c r="K218" s="158" t="s">
        <v>41</v>
      </c>
      <c r="L218" s="196" t="s">
        <v>1087</v>
      </c>
      <c r="M218" s="114" t="s">
        <v>943</v>
      </c>
      <c r="N218" s="113" t="e" cm="1">
        <f t="array" aca="1" ref="N218" ca="1">_xlfn.XLOOKUP(Contrato[[#This Row],[SUPERVISOR TITULAR]],PERSONAL_ACTIVO_2025[[#All],[NOMBRES Y APELLIDOS]],PERSONAL_ACTIVO_2025[[#All],[DOCUMENTO]],"",0)</f>
        <v>#NAME?</v>
      </c>
      <c r="O218" s="114" t="s">
        <v>939</v>
      </c>
      <c r="P218" s="115" t="e" cm="1">
        <f t="array" aca="1" ref="P218" ca="1">_xlfn.XLOOKUP(Contrato[[#This Row],[SUPERVISOR SUPLENTE ]],PERSONAL_ACTIVO_2025[[#All],[NOMBRES Y APELLIDOS]],PERSONAL_ACTIVO_2025[[#All],[DOCUMENTO]],"",0)</f>
        <v>#NAME?</v>
      </c>
      <c r="Q218" s="116">
        <v>259</v>
      </c>
      <c r="R218" s="137" t="e" cm="1">
        <f t="array" aca="1" ref="R218" ca="1">_xlfn.XLOOKUP(Contrato[[#This Row],[CDP]],DISPONIBILIDADES_2025[[#All],[consecutivo]],DISPONIBILIDADES_2025[[#All],[fecha_aprobacion]],"",0)</f>
        <v>#NAME?</v>
      </c>
      <c r="S218" s="92">
        <f>SUMIF(DISPONIBILIDADES_2025[[#All],[consecutivo]],Contrato[[#This Row],[CDP]],DISPONIBILIDADES_2025[[#All],[valor_total_rubro]])</f>
        <v>81536206</v>
      </c>
      <c r="T218" s="118" t="e" cm="1">
        <f t="array" aca="1" ref="T218" ca="1">_xlfn.XLOOKUP(Contrato[[#This Row],[CONTRATO]]&amp;Contrato[[#This Row],[CDP]],Corr_Contr_CDP[[#All],[CONTRATO-CDP]],Corr_Contr_CDP[[#All],[CRP]],_xlfn.XLOOKUP(Contrato[[#This Row],[CDP]],COMPROMISOS_2025[[#All],[disponibilidad]],COMPROMISOS_2025[[#All],[consecutivo]],"",0),0)</f>
        <v>#NAME?</v>
      </c>
      <c r="U218" s="117" t="e" cm="1">
        <f t="array" aca="1" ref="U218" ca="1">+_xlfn.XLOOKUP(Contrato[[#This Row],[RCP]],COMPROMISOS_2025[[#All],[consecutivo]],COMPROMISOS_2025[[#All],[fecha_aprobacion]],"",0)</f>
        <v>#NAME?</v>
      </c>
      <c r="V218" s="93">
        <f ca="1">SUMIF(COMPROMISOS_2025[[#All],[consecutivo]],Contrato[[#This Row],[RCP]],COMPROMISOS_2025[[#All],[valor_total]])</f>
        <v>0</v>
      </c>
      <c r="W218" s="169">
        <v>45708</v>
      </c>
      <c r="X218" s="243" t="s">
        <v>901</v>
      </c>
      <c r="Y218" s="397">
        <v>45709</v>
      </c>
      <c r="Z218" s="161">
        <v>46005</v>
      </c>
      <c r="AA218" s="198" t="s">
        <v>1143</v>
      </c>
      <c r="AB218" s="119" t="s">
        <v>1127</v>
      </c>
      <c r="AC218" s="304"/>
      <c r="AD218" s="279">
        <v>202000006343</v>
      </c>
      <c r="AE218" s="38" t="s">
        <v>904</v>
      </c>
      <c r="AF218" s="120" t="str">
        <f>TEXT(LEFT(Contrato[[#This Row],[CONTRATO]],3),"0")</f>
        <v>211</v>
      </c>
      <c r="AG218" s="120" t="str">
        <f>IF(LEN(Contrato[[#This Row],[Contrato2]])=3,Contrato[[#This Row],[Contrato2]],TEXT(Contrato[[#This Row],[Contrato2]],"000"))</f>
        <v>211</v>
      </c>
      <c r="AH218" s="90">
        <f ca="1">IFERROR(_xlfn.DAYS(Contrato[[#This Row],[Fecha Proyectada liquidación]],TODAY())/30,"")</f>
        <v>11.4</v>
      </c>
      <c r="AI218" s="121">
        <f>+Contrato[[#This Row],[FECHA TERMINACIÓN ]]+120</f>
        <v>46125</v>
      </c>
      <c r="AJ218" s="89"/>
      <c r="AK218" s="91" t="str">
        <f ca="1">IF(Contrato[[#This Row],[FECHA TERMINACIÓN ]]&lt;TODAY(), "Terminado",IF(ISNUMBER(Contrato[[#This Row],[Fecha Real de liquiidación ]]),"Liquidado",IF(Contrato[[#This Row],[FECHA TERMINACIÓN ]]&gt;=TODAY(),"En ejecución","")))</f>
        <v>En ejecución</v>
      </c>
      <c r="AL218" s="107">
        <f ca="1">SUMIF(COMPROMISOS_2025[[#All],[consecutivo]],Contrato[[#This Row],[RCP]],COMPROMISOS_2025[[#All],[Total pagado]])</f>
        <v>0</v>
      </c>
      <c r="AM218" s="122">
        <f ca="1">IFERROR(Contrato[[#This Row],[Pagos]]/Contrato[[#This Row],[VALOR CONTRATO]],0)</f>
        <v>0</v>
      </c>
      <c r="AN218" s="160">
        <f ca="1">+Contrato[[#This Row],[VALOR CONTRATO]]-Contrato[[#This Row],[Pagos]]</f>
        <v>81536206</v>
      </c>
      <c r="AO218" s="111" t="e" cm="1">
        <f t="array" aca="1" ref="AO218" ca="1">_xlfn.XLOOKUP(Contrato[[#This Row],[DOCUMENTO ]],PERSONAL_ACTIVO_2025[[#All],[DOCUMENTO]],PERSONAL_ACTIVO_2025[[#All],[email]],0,0)</f>
        <v>#NAME?</v>
      </c>
      <c r="AP218" s="111" t="e" cm="1">
        <f t="array" aca="1" ref="AP218" ca="1">_xlfn.XLOOKUP(Contrato[[#This Row],[DOCUMENTO]],PERSONAL_ACTIVO_2025[[#All],[DOCUMENTO]],PERSONAL_ACTIVO_2025[[#All],[email]],0,0)</f>
        <v>#NAME?</v>
      </c>
      <c r="AQ218" s="111" cm="1">
        <f t="array" aca="1" ref="AQ218" ca="1">IF(ISBLANK(Contrato[[#This Row],[DEPENDENCIA ]]),0,IFERROR(_xlfn.XLOOKUP(Contrato[[#This Row],[DEPENDENCIA ]],#REF!,#REF!,0,0),0))</f>
        <v>0</v>
      </c>
      <c r="AR218" s="553">
        <f ca="1">+_xlfn.DAYS(Contrato[[#This Row],[FECHA TERMINACIÓN ]],TODAY())</f>
        <v>222</v>
      </c>
    </row>
    <row r="219" spans="1:44" s="111" customFormat="1" ht="36" customHeight="1" x14ac:dyDescent="0.25">
      <c r="A219" s="38">
        <v>427</v>
      </c>
      <c r="B219" s="226">
        <v>212</v>
      </c>
      <c r="C219" s="88" t="s">
        <v>625</v>
      </c>
      <c r="D219" s="192" t="s">
        <v>911</v>
      </c>
      <c r="E219" s="193" t="s">
        <v>112</v>
      </c>
      <c r="F219" s="194" t="s">
        <v>113</v>
      </c>
      <c r="G219" s="195" t="s">
        <v>1275</v>
      </c>
      <c r="H219" s="167">
        <v>70527132</v>
      </c>
      <c r="I219" s="292">
        <v>5164201</v>
      </c>
      <c r="J219" s="290">
        <v>50609170</v>
      </c>
      <c r="K219" s="158" t="s">
        <v>41</v>
      </c>
      <c r="L219" s="196" t="s">
        <v>1087</v>
      </c>
      <c r="M219" s="114" t="s">
        <v>943</v>
      </c>
      <c r="N219" s="113" t="e" cm="1">
        <f t="array" aca="1" ref="N219" ca="1">_xlfn.XLOOKUP(Contrato[[#This Row],[SUPERVISOR TITULAR]],PERSONAL_ACTIVO_2025[[#All],[NOMBRES Y APELLIDOS]],PERSONAL_ACTIVO_2025[[#All],[DOCUMENTO]],"",0)</f>
        <v>#NAME?</v>
      </c>
      <c r="O219" s="114" t="s">
        <v>939</v>
      </c>
      <c r="P219" s="115" t="e" cm="1">
        <f t="array" aca="1" ref="P219" ca="1">_xlfn.XLOOKUP(Contrato[[#This Row],[SUPERVISOR SUPLENTE ]],PERSONAL_ACTIVO_2025[[#All],[NOMBRES Y APELLIDOS]],PERSONAL_ACTIVO_2025[[#All],[DOCUMENTO]],"",0)</f>
        <v>#NAME?</v>
      </c>
      <c r="Q219" s="116">
        <v>260</v>
      </c>
      <c r="R219" s="137" t="e" cm="1">
        <f t="array" aca="1" ref="R219" ca="1">_xlfn.XLOOKUP(Contrato[[#This Row],[CDP]],DISPONIBILIDADES_2025[[#All],[consecutivo]],DISPONIBILIDADES_2025[[#All],[fecha_aprobacion]],"",0)</f>
        <v>#NAME?</v>
      </c>
      <c r="S219" s="92">
        <f>SUMIF(DISPONIBILIDADES_2025[[#All],[consecutivo]],Contrato[[#This Row],[CDP]],DISPONIBILIDADES_2025[[#All],[valor_total_rubro]])</f>
        <v>50609170</v>
      </c>
      <c r="T219" s="118" t="e" cm="1">
        <f t="array" aca="1" ref="T219" ca="1">_xlfn.XLOOKUP(Contrato[[#This Row],[CONTRATO]]&amp;Contrato[[#This Row],[CDP]],Corr_Contr_CDP[[#All],[CONTRATO-CDP]],Corr_Contr_CDP[[#All],[CRP]],_xlfn.XLOOKUP(Contrato[[#This Row],[CDP]],COMPROMISOS_2025[[#All],[disponibilidad]],COMPROMISOS_2025[[#All],[consecutivo]],"",0),0)</f>
        <v>#NAME?</v>
      </c>
      <c r="U219" s="117" t="e" cm="1">
        <f t="array" aca="1" ref="U219" ca="1">+_xlfn.XLOOKUP(Contrato[[#This Row],[RCP]],COMPROMISOS_2025[[#All],[consecutivo]],COMPROMISOS_2025[[#All],[fecha_aprobacion]],"",0)</f>
        <v>#NAME?</v>
      </c>
      <c r="V219" s="93">
        <f ca="1">SUMIF(COMPROMISOS_2025[[#All],[consecutivo]],Contrato[[#This Row],[RCP]],COMPROMISOS_2025[[#All],[valor_total]])</f>
        <v>0</v>
      </c>
      <c r="W219" s="169">
        <v>45708</v>
      </c>
      <c r="X219" s="243" t="s">
        <v>901</v>
      </c>
      <c r="Y219" s="397">
        <v>45709</v>
      </c>
      <c r="Z219" s="161">
        <v>46005</v>
      </c>
      <c r="AA219" s="392" t="s">
        <v>1134</v>
      </c>
      <c r="AB219" s="119" t="s">
        <v>1127</v>
      </c>
      <c r="AC219" s="304"/>
      <c r="AD219" s="279">
        <v>202000006344</v>
      </c>
      <c r="AE219" s="38" t="s">
        <v>904</v>
      </c>
      <c r="AF219" s="120" t="str">
        <f>TEXT(LEFT(Contrato[[#This Row],[CONTRATO]],3),"0")</f>
        <v>212</v>
      </c>
      <c r="AG219" s="120" t="str">
        <f>IF(LEN(Contrato[[#This Row],[Contrato2]])=3,Contrato[[#This Row],[Contrato2]],TEXT(Contrato[[#This Row],[Contrato2]],"000"))</f>
        <v>212</v>
      </c>
      <c r="AH219" s="90">
        <f ca="1">IFERROR(_xlfn.DAYS(Contrato[[#This Row],[Fecha Proyectada liquidación]],TODAY())/30,"")</f>
        <v>11.4</v>
      </c>
      <c r="AI219" s="121">
        <f>+Contrato[[#This Row],[FECHA TERMINACIÓN ]]+120</f>
        <v>46125</v>
      </c>
      <c r="AJ219" s="89"/>
      <c r="AK219" s="91" t="str">
        <f ca="1">IF(Contrato[[#This Row],[FECHA TERMINACIÓN ]]&lt;TODAY(), "Terminado",IF(ISNUMBER(Contrato[[#This Row],[Fecha Real de liquiidación ]]),"Liquidado",IF(Contrato[[#This Row],[FECHA TERMINACIÓN ]]&gt;=TODAY(),"En ejecución","")))</f>
        <v>En ejecución</v>
      </c>
      <c r="AL219" s="107">
        <f ca="1">SUMIF(COMPROMISOS_2025[[#All],[consecutivo]],Contrato[[#This Row],[RCP]],COMPROMISOS_2025[[#All],[Total pagado]])</f>
        <v>0</v>
      </c>
      <c r="AM219" s="122">
        <f ca="1">IFERROR(Contrato[[#This Row],[Pagos]]/Contrato[[#This Row],[VALOR CONTRATO]],0)</f>
        <v>0</v>
      </c>
      <c r="AN219" s="160">
        <f ca="1">+Contrato[[#This Row],[VALOR CONTRATO]]-Contrato[[#This Row],[Pagos]]</f>
        <v>50609170</v>
      </c>
      <c r="AO219" s="111" t="e" cm="1">
        <f t="array" aca="1" ref="AO219" ca="1">_xlfn.XLOOKUP(Contrato[[#This Row],[DOCUMENTO ]],PERSONAL_ACTIVO_2025[[#All],[DOCUMENTO]],PERSONAL_ACTIVO_2025[[#All],[email]],0,0)</f>
        <v>#NAME?</v>
      </c>
      <c r="AP219" s="111" t="e" cm="1">
        <f t="array" aca="1" ref="AP219" ca="1">_xlfn.XLOOKUP(Contrato[[#This Row],[DOCUMENTO]],PERSONAL_ACTIVO_2025[[#All],[DOCUMENTO]],PERSONAL_ACTIVO_2025[[#All],[email]],0,0)</f>
        <v>#NAME?</v>
      </c>
      <c r="AQ219" s="111" cm="1">
        <f t="array" aca="1" ref="AQ219" ca="1">IF(ISBLANK(Contrato[[#This Row],[DEPENDENCIA ]]),0,IFERROR(_xlfn.XLOOKUP(Contrato[[#This Row],[DEPENDENCIA ]],#REF!,#REF!,0,0),0))</f>
        <v>0</v>
      </c>
      <c r="AR219" s="553">
        <f ca="1">+_xlfn.DAYS(Contrato[[#This Row],[FECHA TERMINACIÓN ]],TODAY())</f>
        <v>222</v>
      </c>
    </row>
    <row r="220" spans="1:44" s="111" customFormat="1" ht="36" customHeight="1" x14ac:dyDescent="0.25">
      <c r="A220" s="38">
        <v>428</v>
      </c>
      <c r="B220" s="226">
        <v>213</v>
      </c>
      <c r="C220" s="88" t="s">
        <v>626</v>
      </c>
      <c r="D220" s="192" t="s">
        <v>911</v>
      </c>
      <c r="E220" s="193" t="s">
        <v>112</v>
      </c>
      <c r="F220" s="194" t="s">
        <v>113</v>
      </c>
      <c r="G220" s="195" t="s">
        <v>1276</v>
      </c>
      <c r="H220" s="167">
        <v>1040355608</v>
      </c>
      <c r="I220" s="292">
        <v>4157906</v>
      </c>
      <c r="J220" s="290">
        <v>40747479</v>
      </c>
      <c r="K220" s="158" t="s">
        <v>41</v>
      </c>
      <c r="L220" s="196" t="s">
        <v>1087</v>
      </c>
      <c r="M220" s="114" t="s">
        <v>943</v>
      </c>
      <c r="N220" s="113" t="e" cm="1">
        <f t="array" aca="1" ref="N220" ca="1">_xlfn.XLOOKUP(Contrato[[#This Row],[SUPERVISOR TITULAR]],PERSONAL_ACTIVO_2025[[#All],[NOMBRES Y APELLIDOS]],PERSONAL_ACTIVO_2025[[#All],[DOCUMENTO]],"",0)</f>
        <v>#NAME?</v>
      </c>
      <c r="O220" s="114" t="s">
        <v>939</v>
      </c>
      <c r="P220" s="115" t="e" cm="1">
        <f t="array" aca="1" ref="P220" ca="1">_xlfn.XLOOKUP(Contrato[[#This Row],[SUPERVISOR SUPLENTE ]],PERSONAL_ACTIVO_2025[[#All],[NOMBRES Y APELLIDOS]],PERSONAL_ACTIVO_2025[[#All],[DOCUMENTO]],"",0)</f>
        <v>#NAME?</v>
      </c>
      <c r="Q220" s="116">
        <v>261</v>
      </c>
      <c r="R220" s="137" t="e" cm="1">
        <f t="array" aca="1" ref="R220" ca="1">_xlfn.XLOOKUP(Contrato[[#This Row],[CDP]],DISPONIBILIDADES_2025[[#All],[consecutivo]],DISPONIBILIDADES_2025[[#All],[fecha_aprobacion]],"",0)</f>
        <v>#NAME?</v>
      </c>
      <c r="S220" s="92">
        <f>SUMIF(DISPONIBILIDADES_2025[[#All],[consecutivo]],Contrato[[#This Row],[CDP]],DISPONIBILIDADES_2025[[#All],[valor_total_rubro]])</f>
        <v>40747479</v>
      </c>
      <c r="T220" s="118" t="e" cm="1">
        <f t="array" aca="1" ref="T220" ca="1">_xlfn.XLOOKUP(Contrato[[#This Row],[CONTRATO]]&amp;Contrato[[#This Row],[CDP]],Corr_Contr_CDP[[#All],[CONTRATO-CDP]],Corr_Contr_CDP[[#All],[CRP]],_xlfn.XLOOKUP(Contrato[[#This Row],[CDP]],COMPROMISOS_2025[[#All],[disponibilidad]],COMPROMISOS_2025[[#All],[consecutivo]],"",0),0)</f>
        <v>#NAME?</v>
      </c>
      <c r="U220" s="117" t="e" cm="1">
        <f t="array" aca="1" ref="U220" ca="1">+_xlfn.XLOOKUP(Contrato[[#This Row],[RCP]],COMPROMISOS_2025[[#All],[consecutivo]],COMPROMISOS_2025[[#All],[fecha_aprobacion]],"",0)</f>
        <v>#NAME?</v>
      </c>
      <c r="V220" s="93">
        <f ca="1">SUMIF(COMPROMISOS_2025[[#All],[consecutivo]],Contrato[[#This Row],[RCP]],COMPROMISOS_2025[[#All],[valor_total]])</f>
        <v>0</v>
      </c>
      <c r="W220" s="169">
        <v>45708</v>
      </c>
      <c r="X220" s="243" t="s">
        <v>901</v>
      </c>
      <c r="Y220" s="397">
        <v>45709</v>
      </c>
      <c r="Z220" s="161">
        <v>46005</v>
      </c>
      <c r="AA220" s="392" t="s">
        <v>1139</v>
      </c>
      <c r="AB220" s="119" t="s">
        <v>1127</v>
      </c>
      <c r="AC220" s="304"/>
      <c r="AD220" s="279">
        <v>202000006345</v>
      </c>
      <c r="AE220" s="38" t="s">
        <v>904</v>
      </c>
      <c r="AF220" s="120" t="str">
        <f>TEXT(LEFT(Contrato[[#This Row],[CONTRATO]],3),"0")</f>
        <v>213</v>
      </c>
      <c r="AG220" s="120" t="str">
        <f>IF(LEN(Contrato[[#This Row],[Contrato2]])=3,Contrato[[#This Row],[Contrato2]],TEXT(Contrato[[#This Row],[Contrato2]],"000"))</f>
        <v>213</v>
      </c>
      <c r="AH220" s="90">
        <f ca="1">IFERROR(_xlfn.DAYS(Contrato[[#This Row],[Fecha Proyectada liquidación]],TODAY())/30,"")</f>
        <v>11.4</v>
      </c>
      <c r="AI220" s="121">
        <f>+Contrato[[#This Row],[FECHA TERMINACIÓN ]]+120</f>
        <v>46125</v>
      </c>
      <c r="AJ220" s="89"/>
      <c r="AK220" s="91" t="str">
        <f ca="1">IF(Contrato[[#This Row],[FECHA TERMINACIÓN ]]&lt;TODAY(), "Terminado",IF(ISNUMBER(Contrato[[#This Row],[Fecha Real de liquiidación ]]),"Liquidado",IF(Contrato[[#This Row],[FECHA TERMINACIÓN ]]&gt;=TODAY(),"En ejecución","")))</f>
        <v>En ejecución</v>
      </c>
      <c r="AL220" s="107">
        <f ca="1">SUMIF(COMPROMISOS_2025[[#All],[consecutivo]],Contrato[[#This Row],[RCP]],COMPROMISOS_2025[[#All],[Total pagado]])</f>
        <v>0</v>
      </c>
      <c r="AM220" s="122">
        <f ca="1">IFERROR(Contrato[[#This Row],[Pagos]]/Contrato[[#This Row],[VALOR CONTRATO]],0)</f>
        <v>0</v>
      </c>
      <c r="AN220" s="160">
        <f ca="1">+Contrato[[#This Row],[VALOR CONTRATO]]-Contrato[[#This Row],[Pagos]]</f>
        <v>40747479</v>
      </c>
      <c r="AO220" s="111" t="e" cm="1">
        <f t="array" aca="1" ref="AO220" ca="1">_xlfn.XLOOKUP(Contrato[[#This Row],[DOCUMENTO ]],PERSONAL_ACTIVO_2025[[#All],[DOCUMENTO]],PERSONAL_ACTIVO_2025[[#All],[email]],0,0)</f>
        <v>#NAME?</v>
      </c>
      <c r="AP220" s="111" t="e" cm="1">
        <f t="array" aca="1" ref="AP220" ca="1">_xlfn.XLOOKUP(Contrato[[#This Row],[DOCUMENTO]],PERSONAL_ACTIVO_2025[[#All],[DOCUMENTO]],PERSONAL_ACTIVO_2025[[#All],[email]],0,0)</f>
        <v>#NAME?</v>
      </c>
      <c r="AQ220" s="111" cm="1">
        <f t="array" aca="1" ref="AQ220" ca="1">IF(ISBLANK(Contrato[[#This Row],[DEPENDENCIA ]]),0,IFERROR(_xlfn.XLOOKUP(Contrato[[#This Row],[DEPENDENCIA ]],#REF!,#REF!,0,0),0))</f>
        <v>0</v>
      </c>
      <c r="AR220" s="553">
        <f ca="1">+_xlfn.DAYS(Contrato[[#This Row],[FECHA TERMINACIÓN ]],TODAY())</f>
        <v>222</v>
      </c>
    </row>
    <row r="221" spans="1:44" s="111" customFormat="1" ht="36" customHeight="1" x14ac:dyDescent="0.25">
      <c r="A221" s="38">
        <v>499</v>
      </c>
      <c r="B221" s="226">
        <v>214</v>
      </c>
      <c r="C221" s="88" t="s">
        <v>710</v>
      </c>
      <c r="D221" s="192" t="s">
        <v>1043</v>
      </c>
      <c r="E221" s="193" t="s">
        <v>112</v>
      </c>
      <c r="F221" s="194" t="s">
        <v>113</v>
      </c>
      <c r="G221" s="195" t="s">
        <v>1277</v>
      </c>
      <c r="H221" s="167">
        <v>1037669125</v>
      </c>
      <c r="I221" s="292">
        <v>4786600</v>
      </c>
      <c r="J221" s="290">
        <v>23933000</v>
      </c>
      <c r="K221" s="158" t="s">
        <v>41</v>
      </c>
      <c r="L221" s="196" t="s">
        <v>1278</v>
      </c>
      <c r="M221" s="114" t="s">
        <v>1279</v>
      </c>
      <c r="N221" s="113" t="e" cm="1">
        <f t="array" aca="1" ref="N221" ca="1">_xlfn.XLOOKUP(Contrato[[#This Row],[SUPERVISOR TITULAR]],PERSONAL_ACTIVO_2025[[#All],[NOMBRES Y APELLIDOS]],PERSONAL_ACTIVO_2025[[#All],[DOCUMENTO]],"",0)</f>
        <v>#NAME?</v>
      </c>
      <c r="O221" s="114" t="s">
        <v>1046</v>
      </c>
      <c r="P221" s="115" t="e" cm="1">
        <f t="array" aca="1" ref="P221" ca="1">_xlfn.XLOOKUP(Contrato[[#This Row],[SUPERVISOR SUPLENTE ]],PERSONAL_ACTIVO_2025[[#All],[NOMBRES Y APELLIDOS]],PERSONAL_ACTIVO_2025[[#All],[DOCUMENTO]],"",0)</f>
        <v>#NAME?</v>
      </c>
      <c r="Q221" s="116">
        <v>300</v>
      </c>
      <c r="R221" s="137" t="e" cm="1">
        <f t="array" aca="1" ref="R221" ca="1">_xlfn.XLOOKUP(Contrato[[#This Row],[CDP]],DISPONIBILIDADES_2025[[#All],[consecutivo]],DISPONIBILIDADES_2025[[#All],[fecha_aprobacion]],"",0)</f>
        <v>#NAME?</v>
      </c>
      <c r="S221" s="92">
        <f>SUMIF(DISPONIBILIDADES_2025[[#All],[consecutivo]],Contrato[[#This Row],[CDP]],DISPONIBILIDADES_2025[[#All],[valor_total_rubro]])</f>
        <v>23933000</v>
      </c>
      <c r="T221" s="118" t="e" cm="1">
        <f t="array" aca="1" ref="T221" ca="1">_xlfn.XLOOKUP(Contrato[[#This Row],[CONTRATO]]&amp;Contrato[[#This Row],[CDP]],Corr_Contr_CDP[[#All],[CONTRATO-CDP]],Corr_Contr_CDP[[#All],[CRP]],_xlfn.XLOOKUP(Contrato[[#This Row],[CDP]],COMPROMISOS_2025[[#All],[disponibilidad]],COMPROMISOS_2025[[#All],[consecutivo]],"",0),0)</f>
        <v>#NAME?</v>
      </c>
      <c r="U221" s="117" t="e" cm="1">
        <f t="array" aca="1" ref="U221" ca="1">+_xlfn.XLOOKUP(Contrato[[#This Row],[RCP]],COMPROMISOS_2025[[#All],[consecutivo]],COMPROMISOS_2025[[#All],[fecha_aprobacion]],"",0)</f>
        <v>#NAME?</v>
      </c>
      <c r="V221" s="93">
        <f ca="1">SUMIF(COMPROMISOS_2025[[#All],[consecutivo]],Contrato[[#This Row],[RCP]],COMPROMISOS_2025[[#All],[valor_total]])</f>
        <v>0</v>
      </c>
      <c r="W221" s="243">
        <v>45712</v>
      </c>
      <c r="X221" s="243" t="s">
        <v>901</v>
      </c>
      <c r="Y221" s="96">
        <v>45712</v>
      </c>
      <c r="Z221" s="161">
        <v>45862</v>
      </c>
      <c r="AA221" s="338" t="s">
        <v>1280</v>
      </c>
      <c r="AB221" s="119" t="s">
        <v>920</v>
      </c>
      <c r="AC221" s="305"/>
      <c r="AD221" s="279">
        <v>202000006365</v>
      </c>
      <c r="AE221" s="38" t="s">
        <v>904</v>
      </c>
      <c r="AF221" s="120" t="str">
        <f>TEXT(LEFT(Contrato[[#This Row],[CONTRATO]],3),"0")</f>
        <v>214</v>
      </c>
      <c r="AG221" s="120" t="str">
        <f>IF(LEN(Contrato[[#This Row],[Contrato2]])=3,Contrato[[#This Row],[Contrato2]],TEXT(Contrato[[#This Row],[Contrato2]],"000"))</f>
        <v>214</v>
      </c>
      <c r="AH221" s="90">
        <f ca="1">IFERROR(_xlfn.DAYS(Contrato[[#This Row],[Fecha Proyectada liquidación]],TODAY())/30,"")</f>
        <v>6.6333333333333337</v>
      </c>
      <c r="AI221" s="121">
        <f>+Contrato[[#This Row],[FECHA TERMINACIÓN ]]+120</f>
        <v>45982</v>
      </c>
      <c r="AJ221" s="89"/>
      <c r="AK221" s="91" t="str">
        <f ca="1">IF(Contrato[[#This Row],[FECHA TERMINACIÓN ]]&lt;TODAY(), "Terminado",IF(ISNUMBER(Contrato[[#This Row],[Fecha Real de liquiidación ]]),"Liquidado",IF(Contrato[[#This Row],[FECHA TERMINACIÓN ]]&gt;=TODAY(),"En ejecución","")))</f>
        <v>En ejecución</v>
      </c>
      <c r="AL221" s="107">
        <f ca="1">SUMIF(COMPROMISOS_2025[[#All],[consecutivo]],Contrato[[#This Row],[RCP]],COMPROMISOS_2025[[#All],[Total pagado]])</f>
        <v>0</v>
      </c>
      <c r="AM221" s="122">
        <f ca="1">IFERROR(Contrato[[#This Row],[Pagos]]/Contrato[[#This Row],[VALOR CONTRATO]],0)</f>
        <v>0</v>
      </c>
      <c r="AN221" s="160">
        <f ca="1">+Contrato[[#This Row],[VALOR CONTRATO]]-Contrato[[#This Row],[Pagos]]</f>
        <v>23933000</v>
      </c>
      <c r="AO221" s="111" t="e" cm="1">
        <f t="array" aca="1" ref="AO221" ca="1">_xlfn.XLOOKUP(Contrato[[#This Row],[DOCUMENTO ]],PERSONAL_ACTIVO_2025[[#All],[DOCUMENTO]],PERSONAL_ACTIVO_2025[[#All],[email]],0,0)</f>
        <v>#NAME?</v>
      </c>
      <c r="AP221" s="111" t="e" cm="1">
        <f t="array" aca="1" ref="AP221" ca="1">_xlfn.XLOOKUP(Contrato[[#This Row],[DOCUMENTO]],PERSONAL_ACTIVO_2025[[#All],[DOCUMENTO]],PERSONAL_ACTIVO_2025[[#All],[email]],0,0)</f>
        <v>#NAME?</v>
      </c>
      <c r="AQ221" s="111" cm="1">
        <f t="array" aca="1" ref="AQ221" ca="1">IF(ISBLANK(Contrato[[#This Row],[DEPENDENCIA ]]),0,IFERROR(_xlfn.XLOOKUP(Contrato[[#This Row],[DEPENDENCIA ]],#REF!,#REF!,0,0),0))</f>
        <v>0</v>
      </c>
      <c r="AR221" s="553">
        <f ca="1">+_xlfn.DAYS(Contrato[[#This Row],[FECHA TERMINACIÓN ]],TODAY())</f>
        <v>79</v>
      </c>
    </row>
    <row r="222" spans="1:44" s="111" customFormat="1" ht="36" customHeight="1" x14ac:dyDescent="0.25">
      <c r="A222" s="38">
        <v>430</v>
      </c>
      <c r="B222" s="226">
        <v>215</v>
      </c>
      <c r="C222" s="88" t="s">
        <v>628</v>
      </c>
      <c r="D222" s="192" t="s">
        <v>911</v>
      </c>
      <c r="E222" s="193" t="s">
        <v>112</v>
      </c>
      <c r="F222" s="194" t="s">
        <v>113</v>
      </c>
      <c r="G222" s="195" t="s">
        <v>1281</v>
      </c>
      <c r="H222" s="167">
        <v>1017240769</v>
      </c>
      <c r="I222" s="292">
        <v>2708734</v>
      </c>
      <c r="J222" s="290">
        <v>26545593</v>
      </c>
      <c r="K222" s="158" t="s">
        <v>41</v>
      </c>
      <c r="L222" s="196" t="s">
        <v>1087</v>
      </c>
      <c r="M222" s="114" t="s">
        <v>943</v>
      </c>
      <c r="N222" s="113" t="e" cm="1">
        <f t="array" aca="1" ref="N222" ca="1">_xlfn.XLOOKUP(Contrato[[#This Row],[SUPERVISOR TITULAR]],PERSONAL_ACTIVO_2025[[#All],[NOMBRES Y APELLIDOS]],PERSONAL_ACTIVO_2025[[#All],[DOCUMENTO]],"",0)</f>
        <v>#NAME?</v>
      </c>
      <c r="O222" s="114" t="s">
        <v>939</v>
      </c>
      <c r="P222" s="115" t="e" cm="1">
        <f t="array" aca="1" ref="P222" ca="1">_xlfn.XLOOKUP(Contrato[[#This Row],[SUPERVISOR SUPLENTE ]],PERSONAL_ACTIVO_2025[[#All],[NOMBRES Y APELLIDOS]],PERSONAL_ACTIVO_2025[[#All],[DOCUMENTO]],"",0)</f>
        <v>#NAME?</v>
      </c>
      <c r="Q222" s="116">
        <v>263</v>
      </c>
      <c r="R222" s="137" t="e" cm="1">
        <f t="array" aca="1" ref="R222" ca="1">_xlfn.XLOOKUP(Contrato[[#This Row],[CDP]],DISPONIBILIDADES_2025[[#All],[consecutivo]],DISPONIBILIDADES_2025[[#All],[fecha_aprobacion]],"",0)</f>
        <v>#NAME?</v>
      </c>
      <c r="S222" s="92">
        <f>SUMIF(DISPONIBILIDADES_2025[[#All],[consecutivo]],Contrato[[#This Row],[CDP]],DISPONIBILIDADES_2025[[#All],[valor_total_rubro]])</f>
        <v>26545593</v>
      </c>
      <c r="T222" s="118" t="e" cm="1">
        <f t="array" aca="1" ref="T222" ca="1">_xlfn.XLOOKUP(Contrato[[#This Row],[CONTRATO]]&amp;Contrato[[#This Row],[CDP]],Corr_Contr_CDP[[#All],[CONTRATO-CDP]],Corr_Contr_CDP[[#All],[CRP]],_xlfn.XLOOKUP(Contrato[[#This Row],[CDP]],COMPROMISOS_2025[[#All],[disponibilidad]],COMPROMISOS_2025[[#All],[consecutivo]],"",0),0)</f>
        <v>#NAME?</v>
      </c>
      <c r="U222" s="117" t="e" cm="1">
        <f t="array" aca="1" ref="U222" ca="1">+_xlfn.XLOOKUP(Contrato[[#This Row],[RCP]],COMPROMISOS_2025[[#All],[consecutivo]],COMPROMISOS_2025[[#All],[fecha_aprobacion]],"",0)</f>
        <v>#NAME?</v>
      </c>
      <c r="V222" s="93">
        <f ca="1">SUMIF(COMPROMISOS_2025[[#All],[consecutivo]],Contrato[[#This Row],[RCP]],COMPROMISOS_2025[[#All],[valor_total]])</f>
        <v>0</v>
      </c>
      <c r="W222" s="169">
        <v>45708</v>
      </c>
      <c r="X222" s="243" t="s">
        <v>901</v>
      </c>
      <c r="Y222" s="397">
        <v>45713</v>
      </c>
      <c r="Z222" s="161">
        <v>46005</v>
      </c>
      <c r="AA222" s="198" t="s">
        <v>1130</v>
      </c>
      <c r="AB222" s="119" t="s">
        <v>1127</v>
      </c>
      <c r="AC222" s="306"/>
      <c r="AD222" s="279">
        <v>202000006346</v>
      </c>
      <c r="AE222" s="38" t="s">
        <v>904</v>
      </c>
      <c r="AF222" s="120" t="str">
        <f>TEXT(LEFT(Contrato[[#This Row],[CONTRATO]],3),"0")</f>
        <v>215</v>
      </c>
      <c r="AG222" s="120" t="str">
        <f>IF(LEN(Contrato[[#This Row],[Contrato2]])=3,Contrato[[#This Row],[Contrato2]],TEXT(Contrato[[#This Row],[Contrato2]],"000"))</f>
        <v>215</v>
      </c>
      <c r="AH222" s="90">
        <f ca="1">IFERROR(_xlfn.DAYS(Contrato[[#This Row],[Fecha Proyectada liquidación]],TODAY())/30,"")</f>
        <v>11.4</v>
      </c>
      <c r="AI222" s="121">
        <f>+Contrato[[#This Row],[FECHA TERMINACIÓN ]]+120</f>
        <v>46125</v>
      </c>
      <c r="AJ222" s="89"/>
      <c r="AK222" s="91" t="str">
        <f ca="1">IF(Contrato[[#This Row],[FECHA TERMINACIÓN ]]&lt;TODAY(), "Terminado",IF(ISNUMBER(Contrato[[#This Row],[Fecha Real de liquiidación ]]),"Liquidado",IF(Contrato[[#This Row],[FECHA TERMINACIÓN ]]&gt;=TODAY(),"En ejecución","")))</f>
        <v>En ejecución</v>
      </c>
      <c r="AL222" s="107">
        <f ca="1">SUMIF(COMPROMISOS_2025[[#All],[consecutivo]],Contrato[[#This Row],[RCP]],COMPROMISOS_2025[[#All],[Total pagado]])</f>
        <v>0</v>
      </c>
      <c r="AM222" s="122">
        <f ca="1">IFERROR(Contrato[[#This Row],[Pagos]]/Contrato[[#This Row],[VALOR CONTRATO]],0)</f>
        <v>0</v>
      </c>
      <c r="AN222" s="160">
        <f ca="1">+Contrato[[#This Row],[VALOR CONTRATO]]-Contrato[[#This Row],[Pagos]]</f>
        <v>26545593</v>
      </c>
      <c r="AO222" s="111" t="e" cm="1">
        <f t="array" aca="1" ref="AO222" ca="1">_xlfn.XLOOKUP(Contrato[[#This Row],[DOCUMENTO ]],PERSONAL_ACTIVO_2025[[#All],[DOCUMENTO]],PERSONAL_ACTIVO_2025[[#All],[email]],0,0)</f>
        <v>#NAME?</v>
      </c>
      <c r="AP222" s="111" t="e" cm="1">
        <f t="array" aca="1" ref="AP222" ca="1">_xlfn.XLOOKUP(Contrato[[#This Row],[DOCUMENTO]],PERSONAL_ACTIVO_2025[[#All],[DOCUMENTO]],PERSONAL_ACTIVO_2025[[#All],[email]],0,0)</f>
        <v>#NAME?</v>
      </c>
      <c r="AQ222" s="111" cm="1">
        <f t="array" aca="1" ref="AQ222" ca="1">IF(ISBLANK(Contrato[[#This Row],[DEPENDENCIA ]]),0,IFERROR(_xlfn.XLOOKUP(Contrato[[#This Row],[DEPENDENCIA ]],#REF!,#REF!,0,0),0))</f>
        <v>0</v>
      </c>
      <c r="AR222" s="553">
        <f ca="1">+_xlfn.DAYS(Contrato[[#This Row],[FECHA TERMINACIÓN ]],TODAY())</f>
        <v>222</v>
      </c>
    </row>
    <row r="223" spans="1:44" s="111" customFormat="1" ht="36" customHeight="1" x14ac:dyDescent="0.25">
      <c r="A223" s="38">
        <v>431</v>
      </c>
      <c r="B223" s="226">
        <v>216</v>
      </c>
      <c r="C223" s="88" t="s">
        <v>629</v>
      </c>
      <c r="D223" s="192" t="s">
        <v>911</v>
      </c>
      <c r="E223" s="193" t="s">
        <v>112</v>
      </c>
      <c r="F223" s="194" t="s">
        <v>113</v>
      </c>
      <c r="G223" s="195" t="s">
        <v>1282</v>
      </c>
      <c r="H223" s="167">
        <v>42888951</v>
      </c>
      <c r="I223" s="292">
        <v>4157906</v>
      </c>
      <c r="J223" s="290">
        <v>40747479</v>
      </c>
      <c r="K223" s="158" t="s">
        <v>41</v>
      </c>
      <c r="L223" s="196" t="s">
        <v>1087</v>
      </c>
      <c r="M223" s="114" t="s">
        <v>943</v>
      </c>
      <c r="N223" s="113" t="e" cm="1">
        <f t="array" aca="1" ref="N223" ca="1">_xlfn.XLOOKUP(Contrato[[#This Row],[SUPERVISOR TITULAR]],PERSONAL_ACTIVO_2025[[#All],[NOMBRES Y APELLIDOS]],PERSONAL_ACTIVO_2025[[#All],[DOCUMENTO]],"",0)</f>
        <v>#NAME?</v>
      </c>
      <c r="O223" s="114" t="s">
        <v>939</v>
      </c>
      <c r="P223" s="115" t="e" cm="1">
        <f t="array" aca="1" ref="P223" ca="1">_xlfn.XLOOKUP(Contrato[[#This Row],[SUPERVISOR SUPLENTE ]],PERSONAL_ACTIVO_2025[[#All],[NOMBRES Y APELLIDOS]],PERSONAL_ACTIVO_2025[[#All],[DOCUMENTO]],"",0)</f>
        <v>#NAME?</v>
      </c>
      <c r="Q223" s="116">
        <v>264</v>
      </c>
      <c r="R223" s="137" t="e" cm="1">
        <f t="array" aca="1" ref="R223" ca="1">_xlfn.XLOOKUP(Contrato[[#This Row],[CDP]],DISPONIBILIDADES_2025[[#All],[consecutivo]],DISPONIBILIDADES_2025[[#All],[fecha_aprobacion]],"",0)</f>
        <v>#NAME?</v>
      </c>
      <c r="S223" s="92">
        <f>SUMIF(DISPONIBILIDADES_2025[[#All],[consecutivo]],Contrato[[#This Row],[CDP]],DISPONIBILIDADES_2025[[#All],[valor_total_rubro]])</f>
        <v>40747479</v>
      </c>
      <c r="T223" s="118" t="e" cm="1">
        <f t="array" aca="1" ref="T223" ca="1">_xlfn.XLOOKUP(Contrato[[#This Row],[CONTRATO]]&amp;Contrato[[#This Row],[CDP]],Corr_Contr_CDP[[#All],[CONTRATO-CDP]],Corr_Contr_CDP[[#All],[CRP]],_xlfn.XLOOKUP(Contrato[[#This Row],[CDP]],COMPROMISOS_2025[[#All],[disponibilidad]],COMPROMISOS_2025[[#All],[consecutivo]],"",0),0)</f>
        <v>#NAME?</v>
      </c>
      <c r="U223" s="117" t="e" cm="1">
        <f t="array" aca="1" ref="U223" ca="1">+_xlfn.XLOOKUP(Contrato[[#This Row],[RCP]],COMPROMISOS_2025[[#All],[consecutivo]],COMPROMISOS_2025[[#All],[fecha_aprobacion]],"",0)</f>
        <v>#NAME?</v>
      </c>
      <c r="V223" s="93">
        <f ca="1">SUMIF(COMPROMISOS_2025[[#All],[consecutivo]],Contrato[[#This Row],[RCP]],COMPROMISOS_2025[[#All],[valor_total]])</f>
        <v>0</v>
      </c>
      <c r="W223" s="169">
        <v>45708</v>
      </c>
      <c r="X223" s="243" t="s">
        <v>901</v>
      </c>
      <c r="Y223" s="397">
        <v>45709</v>
      </c>
      <c r="Z223" s="161">
        <v>46005</v>
      </c>
      <c r="AA223" s="198" t="s">
        <v>1143</v>
      </c>
      <c r="AB223" s="119" t="s">
        <v>1127</v>
      </c>
      <c r="AC223" s="305"/>
      <c r="AD223" s="279">
        <v>202000006347</v>
      </c>
      <c r="AE223" s="38" t="s">
        <v>904</v>
      </c>
      <c r="AF223" s="120" t="str">
        <f>TEXT(LEFT(Contrato[[#This Row],[CONTRATO]],3),"0")</f>
        <v>216</v>
      </c>
      <c r="AG223" s="120" t="str">
        <f>IF(LEN(Contrato[[#This Row],[Contrato2]])=3,Contrato[[#This Row],[Contrato2]],TEXT(Contrato[[#This Row],[Contrato2]],"000"))</f>
        <v>216</v>
      </c>
      <c r="AH223" s="90">
        <f ca="1">IFERROR(_xlfn.DAYS(Contrato[[#This Row],[Fecha Proyectada liquidación]],TODAY())/30,"")</f>
        <v>11.4</v>
      </c>
      <c r="AI223" s="121">
        <f>+Contrato[[#This Row],[FECHA TERMINACIÓN ]]+120</f>
        <v>46125</v>
      </c>
      <c r="AJ223" s="89"/>
      <c r="AK223" s="91" t="str">
        <f ca="1">IF(Contrato[[#This Row],[FECHA TERMINACIÓN ]]&lt;TODAY(), "Terminado",IF(ISNUMBER(Contrato[[#This Row],[Fecha Real de liquiidación ]]),"Liquidado",IF(Contrato[[#This Row],[FECHA TERMINACIÓN ]]&gt;=TODAY(),"En ejecución","")))</f>
        <v>En ejecución</v>
      </c>
      <c r="AL223" s="107">
        <f ca="1">SUMIF(COMPROMISOS_2025[[#All],[consecutivo]],Contrato[[#This Row],[RCP]],COMPROMISOS_2025[[#All],[Total pagado]])</f>
        <v>0</v>
      </c>
      <c r="AM223" s="122">
        <f ca="1">IFERROR(Contrato[[#This Row],[Pagos]]/Contrato[[#This Row],[VALOR CONTRATO]],0)</f>
        <v>0</v>
      </c>
      <c r="AN223" s="160">
        <f ca="1">+Contrato[[#This Row],[VALOR CONTRATO]]-Contrato[[#This Row],[Pagos]]</f>
        <v>40747479</v>
      </c>
      <c r="AO223" s="111" t="e" cm="1">
        <f t="array" aca="1" ref="AO223" ca="1">_xlfn.XLOOKUP(Contrato[[#This Row],[DOCUMENTO ]],PERSONAL_ACTIVO_2025[[#All],[DOCUMENTO]],PERSONAL_ACTIVO_2025[[#All],[email]],0,0)</f>
        <v>#NAME?</v>
      </c>
      <c r="AP223" s="111" t="e" cm="1">
        <f t="array" aca="1" ref="AP223" ca="1">_xlfn.XLOOKUP(Contrato[[#This Row],[DOCUMENTO]],PERSONAL_ACTIVO_2025[[#All],[DOCUMENTO]],PERSONAL_ACTIVO_2025[[#All],[email]],0,0)</f>
        <v>#NAME?</v>
      </c>
      <c r="AQ223" s="111" cm="1">
        <f t="array" aca="1" ref="AQ223" ca="1">IF(ISBLANK(Contrato[[#This Row],[DEPENDENCIA ]]),0,IFERROR(_xlfn.XLOOKUP(Contrato[[#This Row],[DEPENDENCIA ]],#REF!,#REF!,0,0),0))</f>
        <v>0</v>
      </c>
      <c r="AR223" s="553">
        <f ca="1">+_xlfn.DAYS(Contrato[[#This Row],[FECHA TERMINACIÓN ]],TODAY())</f>
        <v>222</v>
      </c>
    </row>
    <row r="224" spans="1:44" s="111" customFormat="1" ht="36" customHeight="1" x14ac:dyDescent="0.25">
      <c r="A224" s="38">
        <v>435</v>
      </c>
      <c r="B224" s="226">
        <v>217</v>
      </c>
      <c r="C224" s="88" t="s">
        <v>633</v>
      </c>
      <c r="D224" s="192" t="s">
        <v>911</v>
      </c>
      <c r="E224" s="193" t="s">
        <v>112</v>
      </c>
      <c r="F224" s="194" t="s">
        <v>113</v>
      </c>
      <c r="G224" s="195" t="s">
        <v>1283</v>
      </c>
      <c r="H224" s="167">
        <v>1098612957</v>
      </c>
      <c r="I224" s="292">
        <v>6239569</v>
      </c>
      <c r="J224" s="290">
        <v>61147776</v>
      </c>
      <c r="K224" s="158" t="s">
        <v>41</v>
      </c>
      <c r="L224" s="196" t="s">
        <v>1087</v>
      </c>
      <c r="M224" s="114" t="s">
        <v>943</v>
      </c>
      <c r="N224" s="113" t="e" cm="1">
        <f t="array" aca="1" ref="N224" ca="1">_xlfn.XLOOKUP(Contrato[[#This Row],[SUPERVISOR TITULAR]],PERSONAL_ACTIVO_2025[[#All],[NOMBRES Y APELLIDOS]],PERSONAL_ACTIVO_2025[[#All],[DOCUMENTO]],"",0)</f>
        <v>#NAME?</v>
      </c>
      <c r="O224" s="114" t="s">
        <v>939</v>
      </c>
      <c r="P224" s="115" t="e" cm="1">
        <f t="array" aca="1" ref="P224" ca="1">_xlfn.XLOOKUP(Contrato[[#This Row],[SUPERVISOR SUPLENTE ]],PERSONAL_ACTIVO_2025[[#All],[NOMBRES Y APELLIDOS]],PERSONAL_ACTIVO_2025[[#All],[DOCUMENTO]],"",0)</f>
        <v>#NAME?</v>
      </c>
      <c r="Q224" s="116">
        <v>268</v>
      </c>
      <c r="R224" s="137" t="e" cm="1">
        <f t="array" aca="1" ref="R224" ca="1">_xlfn.XLOOKUP(Contrato[[#This Row],[CDP]],DISPONIBILIDADES_2025[[#All],[consecutivo]],DISPONIBILIDADES_2025[[#All],[fecha_aprobacion]],"",0)</f>
        <v>#NAME?</v>
      </c>
      <c r="S224" s="92">
        <f>SUMIF(DISPONIBILIDADES_2025[[#All],[consecutivo]],Contrato[[#This Row],[CDP]],DISPONIBILIDADES_2025[[#All],[valor_total_rubro]])</f>
        <v>61147776</v>
      </c>
      <c r="T224" s="118" t="e" cm="1">
        <f t="array" aca="1" ref="T224" ca="1">_xlfn.XLOOKUP(Contrato[[#This Row],[CONTRATO]]&amp;Contrato[[#This Row],[CDP]],Corr_Contr_CDP[[#All],[CONTRATO-CDP]],Corr_Contr_CDP[[#All],[CRP]],_xlfn.XLOOKUP(Contrato[[#This Row],[CDP]],COMPROMISOS_2025[[#All],[disponibilidad]],COMPROMISOS_2025[[#All],[consecutivo]],"",0),0)</f>
        <v>#NAME?</v>
      </c>
      <c r="U224" s="117" t="e" cm="1">
        <f t="array" aca="1" ref="U224" ca="1">+_xlfn.XLOOKUP(Contrato[[#This Row],[RCP]],COMPROMISOS_2025[[#All],[consecutivo]],COMPROMISOS_2025[[#All],[fecha_aprobacion]],"",0)</f>
        <v>#NAME?</v>
      </c>
      <c r="V224" s="93">
        <f ca="1">SUMIF(COMPROMISOS_2025[[#All],[consecutivo]],Contrato[[#This Row],[RCP]],COMPROMISOS_2025[[#All],[valor_total]])</f>
        <v>0</v>
      </c>
      <c r="W224" s="169">
        <v>45708</v>
      </c>
      <c r="X224" s="243" t="s">
        <v>901</v>
      </c>
      <c r="Y224" s="397">
        <v>45709</v>
      </c>
      <c r="Z224" s="161">
        <v>46005</v>
      </c>
      <c r="AA224" s="198" t="s">
        <v>1143</v>
      </c>
      <c r="AB224" s="119" t="s">
        <v>1127</v>
      </c>
      <c r="AC224" s="305"/>
      <c r="AD224" s="279">
        <v>202000006348</v>
      </c>
      <c r="AE224" s="38" t="s">
        <v>904</v>
      </c>
      <c r="AF224" s="120" t="str">
        <f>TEXT(LEFT(Contrato[[#This Row],[CONTRATO]],3),"0")</f>
        <v>217</v>
      </c>
      <c r="AG224" s="120" t="str">
        <f>IF(LEN(Contrato[[#This Row],[Contrato2]])=3,Contrato[[#This Row],[Contrato2]],TEXT(Contrato[[#This Row],[Contrato2]],"000"))</f>
        <v>217</v>
      </c>
      <c r="AH224" s="90">
        <f ca="1">IFERROR(_xlfn.DAYS(Contrato[[#This Row],[Fecha Proyectada liquidación]],TODAY())/30,"")</f>
        <v>11.4</v>
      </c>
      <c r="AI224" s="121">
        <f>+Contrato[[#This Row],[FECHA TERMINACIÓN ]]+120</f>
        <v>46125</v>
      </c>
      <c r="AJ224" s="89"/>
      <c r="AK224" s="91" t="str">
        <f ca="1">IF(Contrato[[#This Row],[FECHA TERMINACIÓN ]]&lt;TODAY(), "Terminado",IF(ISNUMBER(Contrato[[#This Row],[Fecha Real de liquiidación ]]),"Liquidado",IF(Contrato[[#This Row],[FECHA TERMINACIÓN ]]&gt;=TODAY(),"En ejecución","")))</f>
        <v>En ejecución</v>
      </c>
      <c r="AL224" s="107">
        <f ca="1">SUMIF(COMPROMISOS_2025[[#All],[consecutivo]],Contrato[[#This Row],[RCP]],COMPROMISOS_2025[[#All],[Total pagado]])</f>
        <v>0</v>
      </c>
      <c r="AM224" s="122">
        <f ca="1">IFERROR(Contrato[[#This Row],[Pagos]]/Contrato[[#This Row],[VALOR CONTRATO]],0)</f>
        <v>0</v>
      </c>
      <c r="AN224" s="160">
        <f ca="1">+Contrato[[#This Row],[VALOR CONTRATO]]-Contrato[[#This Row],[Pagos]]</f>
        <v>61147776</v>
      </c>
      <c r="AO224" s="111" t="e" cm="1">
        <f t="array" aca="1" ref="AO224" ca="1">_xlfn.XLOOKUP(Contrato[[#This Row],[DOCUMENTO ]],PERSONAL_ACTIVO_2025[[#All],[DOCUMENTO]],PERSONAL_ACTIVO_2025[[#All],[email]],0,0)</f>
        <v>#NAME?</v>
      </c>
      <c r="AP224" s="111" t="e" cm="1">
        <f t="array" aca="1" ref="AP224" ca="1">_xlfn.XLOOKUP(Contrato[[#This Row],[DOCUMENTO]],PERSONAL_ACTIVO_2025[[#All],[DOCUMENTO]],PERSONAL_ACTIVO_2025[[#All],[email]],0,0)</f>
        <v>#NAME?</v>
      </c>
      <c r="AQ224" s="111" cm="1">
        <f t="array" aca="1" ref="AQ224" ca="1">IF(ISBLANK(Contrato[[#This Row],[DEPENDENCIA ]]),0,IFERROR(_xlfn.XLOOKUP(Contrato[[#This Row],[DEPENDENCIA ]],#REF!,#REF!,0,0),0))</f>
        <v>0</v>
      </c>
      <c r="AR224" s="553">
        <f ca="1">+_xlfn.DAYS(Contrato[[#This Row],[FECHA TERMINACIÓN ]],TODAY())</f>
        <v>222</v>
      </c>
    </row>
    <row r="225" spans="1:44" s="111" customFormat="1" ht="36" customHeight="1" x14ac:dyDescent="0.25">
      <c r="A225" s="38">
        <v>436</v>
      </c>
      <c r="B225" s="226">
        <v>218</v>
      </c>
      <c r="C225" s="88" t="s">
        <v>635</v>
      </c>
      <c r="D225" s="192" t="s">
        <v>911</v>
      </c>
      <c r="E225" s="193" t="s">
        <v>112</v>
      </c>
      <c r="F225" s="194" t="s">
        <v>113</v>
      </c>
      <c r="G225" s="195" t="s">
        <v>1284</v>
      </c>
      <c r="H225" s="167">
        <v>98627095</v>
      </c>
      <c r="I225" s="292">
        <v>4157906</v>
      </c>
      <c r="J225" s="290">
        <v>40747479</v>
      </c>
      <c r="K225" s="158" t="s">
        <v>41</v>
      </c>
      <c r="L225" s="196" t="s">
        <v>1087</v>
      </c>
      <c r="M225" s="114" t="s">
        <v>943</v>
      </c>
      <c r="N225" s="113" t="e" cm="1">
        <f t="array" aca="1" ref="N225" ca="1">_xlfn.XLOOKUP(Contrato[[#This Row],[SUPERVISOR TITULAR]],PERSONAL_ACTIVO_2025[[#All],[NOMBRES Y APELLIDOS]],PERSONAL_ACTIVO_2025[[#All],[DOCUMENTO]],"",0)</f>
        <v>#NAME?</v>
      </c>
      <c r="O225" s="114" t="s">
        <v>939</v>
      </c>
      <c r="P225" s="115" t="e" cm="1">
        <f t="array" aca="1" ref="P225" ca="1">_xlfn.XLOOKUP(Contrato[[#This Row],[SUPERVISOR SUPLENTE ]],PERSONAL_ACTIVO_2025[[#All],[NOMBRES Y APELLIDOS]],PERSONAL_ACTIVO_2025[[#All],[DOCUMENTO]],"",0)</f>
        <v>#NAME?</v>
      </c>
      <c r="Q225" s="116">
        <v>269</v>
      </c>
      <c r="R225" s="137" t="e" cm="1">
        <f t="array" aca="1" ref="R225" ca="1">_xlfn.XLOOKUP(Contrato[[#This Row],[CDP]],DISPONIBILIDADES_2025[[#All],[consecutivo]],DISPONIBILIDADES_2025[[#All],[fecha_aprobacion]],"",0)</f>
        <v>#NAME?</v>
      </c>
      <c r="S225" s="92">
        <f>SUMIF(DISPONIBILIDADES_2025[[#All],[consecutivo]],Contrato[[#This Row],[CDP]],DISPONIBILIDADES_2025[[#All],[valor_total_rubro]])</f>
        <v>40747479</v>
      </c>
      <c r="T225" s="118" t="e" cm="1">
        <f t="array" aca="1" ref="T225" ca="1">_xlfn.XLOOKUP(Contrato[[#This Row],[CONTRATO]]&amp;Contrato[[#This Row],[CDP]],Corr_Contr_CDP[[#All],[CONTRATO-CDP]],Corr_Contr_CDP[[#All],[CRP]],_xlfn.XLOOKUP(Contrato[[#This Row],[CDP]],COMPROMISOS_2025[[#All],[disponibilidad]],COMPROMISOS_2025[[#All],[consecutivo]],"",0),0)</f>
        <v>#NAME?</v>
      </c>
      <c r="U225" s="117" t="e" cm="1">
        <f t="array" aca="1" ref="U225" ca="1">+_xlfn.XLOOKUP(Contrato[[#This Row],[RCP]],COMPROMISOS_2025[[#All],[consecutivo]],COMPROMISOS_2025[[#All],[fecha_aprobacion]],"",0)</f>
        <v>#NAME?</v>
      </c>
      <c r="V225" s="93">
        <f ca="1">SUMIF(COMPROMISOS_2025[[#All],[consecutivo]],Contrato[[#This Row],[RCP]],COMPROMISOS_2025[[#All],[valor_total]])</f>
        <v>0</v>
      </c>
      <c r="W225" s="169">
        <v>45708</v>
      </c>
      <c r="X225" s="243" t="s">
        <v>901</v>
      </c>
      <c r="Y225" s="397">
        <v>45709</v>
      </c>
      <c r="Z225" s="161">
        <v>46005</v>
      </c>
      <c r="AA225" s="198" t="s">
        <v>1130</v>
      </c>
      <c r="AB225" s="119" t="s">
        <v>1127</v>
      </c>
      <c r="AC225" s="305"/>
      <c r="AD225" s="279">
        <v>202000006349</v>
      </c>
      <c r="AE225" s="38" t="s">
        <v>904</v>
      </c>
      <c r="AF225" s="120" t="str">
        <f>TEXT(LEFT(Contrato[[#This Row],[CONTRATO]],3),"0")</f>
        <v>218</v>
      </c>
      <c r="AG225" s="120" t="str">
        <f>IF(LEN(Contrato[[#This Row],[Contrato2]])=3,Contrato[[#This Row],[Contrato2]],TEXT(Contrato[[#This Row],[Contrato2]],"000"))</f>
        <v>218</v>
      </c>
      <c r="AH225" s="90">
        <f ca="1">IFERROR(_xlfn.DAYS(Contrato[[#This Row],[Fecha Proyectada liquidación]],TODAY())/30,"")</f>
        <v>11.4</v>
      </c>
      <c r="AI225" s="121">
        <f>+Contrato[[#This Row],[FECHA TERMINACIÓN ]]+120</f>
        <v>46125</v>
      </c>
      <c r="AJ225" s="89"/>
      <c r="AK225" s="91" t="str">
        <f ca="1">IF(Contrato[[#This Row],[FECHA TERMINACIÓN ]]&lt;TODAY(), "Terminado",IF(ISNUMBER(Contrato[[#This Row],[Fecha Real de liquiidación ]]),"Liquidado",IF(Contrato[[#This Row],[FECHA TERMINACIÓN ]]&gt;=TODAY(),"En ejecución","")))</f>
        <v>En ejecución</v>
      </c>
      <c r="AL225" s="107">
        <f ca="1">SUMIF(COMPROMISOS_2025[[#All],[consecutivo]],Contrato[[#This Row],[RCP]],COMPROMISOS_2025[[#All],[Total pagado]])</f>
        <v>0</v>
      </c>
      <c r="AM225" s="122">
        <f ca="1">IFERROR(Contrato[[#This Row],[Pagos]]/Contrato[[#This Row],[VALOR CONTRATO]],0)</f>
        <v>0</v>
      </c>
      <c r="AN225" s="160">
        <f ca="1">+Contrato[[#This Row],[VALOR CONTRATO]]-Contrato[[#This Row],[Pagos]]</f>
        <v>40747479</v>
      </c>
      <c r="AO225" s="111" t="e" cm="1">
        <f t="array" aca="1" ref="AO225" ca="1">_xlfn.XLOOKUP(Contrato[[#This Row],[DOCUMENTO ]],PERSONAL_ACTIVO_2025[[#All],[DOCUMENTO]],PERSONAL_ACTIVO_2025[[#All],[email]],0,0)</f>
        <v>#NAME?</v>
      </c>
      <c r="AP225" s="111" t="e" cm="1">
        <f t="array" aca="1" ref="AP225" ca="1">_xlfn.XLOOKUP(Contrato[[#This Row],[DOCUMENTO]],PERSONAL_ACTIVO_2025[[#All],[DOCUMENTO]],PERSONAL_ACTIVO_2025[[#All],[email]],0,0)</f>
        <v>#NAME?</v>
      </c>
      <c r="AQ225" s="111" cm="1">
        <f t="array" aca="1" ref="AQ225" ca="1">IF(ISBLANK(Contrato[[#This Row],[DEPENDENCIA ]]),0,IFERROR(_xlfn.XLOOKUP(Contrato[[#This Row],[DEPENDENCIA ]],#REF!,#REF!,0,0),0))</f>
        <v>0</v>
      </c>
      <c r="AR225" s="553">
        <f ca="1">+_xlfn.DAYS(Contrato[[#This Row],[FECHA TERMINACIÓN ]],TODAY())</f>
        <v>222</v>
      </c>
    </row>
    <row r="226" spans="1:44" s="111" customFormat="1" ht="36" customHeight="1" x14ac:dyDescent="0.25">
      <c r="A226" s="38">
        <v>437</v>
      </c>
      <c r="B226" s="226">
        <v>219</v>
      </c>
      <c r="C226" s="88" t="s">
        <v>636</v>
      </c>
      <c r="D226" s="192" t="s">
        <v>911</v>
      </c>
      <c r="E226" s="193" t="s">
        <v>112</v>
      </c>
      <c r="F226" s="194" t="s">
        <v>113</v>
      </c>
      <c r="G226" s="288" t="s">
        <v>1285</v>
      </c>
      <c r="H226" s="167">
        <v>1037591708</v>
      </c>
      <c r="I226" s="292">
        <v>2708734</v>
      </c>
      <c r="J226" s="290">
        <v>26545593</v>
      </c>
      <c r="K226" s="158" t="s">
        <v>41</v>
      </c>
      <c r="L226" s="196" t="s">
        <v>1087</v>
      </c>
      <c r="M226" s="114" t="s">
        <v>943</v>
      </c>
      <c r="N226" s="113" t="e" cm="1">
        <f t="array" aca="1" ref="N226" ca="1">_xlfn.XLOOKUP(Contrato[[#This Row],[SUPERVISOR TITULAR]],PERSONAL_ACTIVO_2025[[#All],[NOMBRES Y APELLIDOS]],PERSONAL_ACTIVO_2025[[#All],[DOCUMENTO]],"",0)</f>
        <v>#NAME?</v>
      </c>
      <c r="O226" s="114" t="s">
        <v>939</v>
      </c>
      <c r="P226" s="115" t="e" cm="1">
        <f t="array" aca="1" ref="P226" ca="1">_xlfn.XLOOKUP(Contrato[[#This Row],[SUPERVISOR SUPLENTE ]],PERSONAL_ACTIVO_2025[[#All],[NOMBRES Y APELLIDOS]],PERSONAL_ACTIVO_2025[[#All],[DOCUMENTO]],"",0)</f>
        <v>#NAME?</v>
      </c>
      <c r="Q226" s="116">
        <v>270</v>
      </c>
      <c r="R226" s="137" t="e" cm="1">
        <f t="array" aca="1" ref="R226" ca="1">_xlfn.XLOOKUP(Contrato[[#This Row],[CDP]],DISPONIBILIDADES_2025[[#All],[consecutivo]],DISPONIBILIDADES_2025[[#All],[fecha_aprobacion]],"",0)</f>
        <v>#NAME?</v>
      </c>
      <c r="S226" s="92">
        <f>SUMIF(DISPONIBILIDADES_2025[[#All],[consecutivo]],Contrato[[#This Row],[CDP]],DISPONIBILIDADES_2025[[#All],[valor_total_rubro]])</f>
        <v>26545593</v>
      </c>
      <c r="T226" s="118" t="e" cm="1">
        <f t="array" aca="1" ref="T226" ca="1">_xlfn.XLOOKUP(Contrato[[#This Row],[CONTRATO]]&amp;Contrato[[#This Row],[CDP]],Corr_Contr_CDP[[#All],[CONTRATO-CDP]],Corr_Contr_CDP[[#All],[CRP]],_xlfn.XLOOKUP(Contrato[[#This Row],[CDP]],COMPROMISOS_2025[[#All],[disponibilidad]],COMPROMISOS_2025[[#All],[consecutivo]],"",0),0)</f>
        <v>#NAME?</v>
      </c>
      <c r="U226" s="117" t="e" cm="1">
        <f t="array" aca="1" ref="U226" ca="1">+_xlfn.XLOOKUP(Contrato[[#This Row],[RCP]],COMPROMISOS_2025[[#All],[consecutivo]],COMPROMISOS_2025[[#All],[fecha_aprobacion]],"",0)</f>
        <v>#NAME?</v>
      </c>
      <c r="V226" s="93">
        <f ca="1">SUMIF(COMPROMISOS_2025[[#All],[consecutivo]],Contrato[[#This Row],[RCP]],COMPROMISOS_2025[[#All],[valor_total]])</f>
        <v>0</v>
      </c>
      <c r="W226" s="169">
        <v>45708</v>
      </c>
      <c r="X226" s="243" t="s">
        <v>901</v>
      </c>
      <c r="Y226" s="397">
        <v>45709</v>
      </c>
      <c r="Z226" s="161">
        <v>46005</v>
      </c>
      <c r="AA226" s="198" t="s">
        <v>1130</v>
      </c>
      <c r="AB226" s="119" t="s">
        <v>1127</v>
      </c>
      <c r="AC226" s="305"/>
      <c r="AD226" s="279">
        <v>202000006350</v>
      </c>
      <c r="AE226" s="38" t="s">
        <v>904</v>
      </c>
      <c r="AF226" s="120" t="str">
        <f>TEXT(LEFT(Contrato[[#This Row],[CONTRATO]],3),"0")</f>
        <v>219</v>
      </c>
      <c r="AG226" s="120" t="str">
        <f>IF(LEN(Contrato[[#This Row],[Contrato2]])=3,Contrato[[#This Row],[Contrato2]],TEXT(Contrato[[#This Row],[Contrato2]],"000"))</f>
        <v>219</v>
      </c>
      <c r="AH226" s="90">
        <f ca="1">IFERROR(_xlfn.DAYS(Contrato[[#This Row],[Fecha Proyectada liquidación]],TODAY())/30,"")</f>
        <v>11.4</v>
      </c>
      <c r="AI226" s="121">
        <f>+Contrato[[#This Row],[FECHA TERMINACIÓN ]]+120</f>
        <v>46125</v>
      </c>
      <c r="AJ226" s="89"/>
      <c r="AK226" s="91" t="str">
        <f ca="1">IF(Contrato[[#This Row],[FECHA TERMINACIÓN ]]&lt;TODAY(), "Terminado",IF(ISNUMBER(Contrato[[#This Row],[Fecha Real de liquiidación ]]),"Liquidado",IF(Contrato[[#This Row],[FECHA TERMINACIÓN ]]&gt;=TODAY(),"En ejecución","")))</f>
        <v>En ejecución</v>
      </c>
      <c r="AL226" s="107">
        <f ca="1">SUMIF(COMPROMISOS_2025[[#All],[consecutivo]],Contrato[[#This Row],[RCP]],COMPROMISOS_2025[[#All],[Total pagado]])</f>
        <v>0</v>
      </c>
      <c r="AM226" s="122">
        <f ca="1">IFERROR(Contrato[[#This Row],[Pagos]]/Contrato[[#This Row],[VALOR CONTRATO]],0)</f>
        <v>0</v>
      </c>
      <c r="AN226" s="160">
        <f ca="1">+Contrato[[#This Row],[VALOR CONTRATO]]-Contrato[[#This Row],[Pagos]]</f>
        <v>26545593</v>
      </c>
      <c r="AO226" s="111" t="e" cm="1">
        <f t="array" aca="1" ref="AO226" ca="1">_xlfn.XLOOKUP(Contrato[[#This Row],[DOCUMENTO ]],PERSONAL_ACTIVO_2025[[#All],[DOCUMENTO]],PERSONAL_ACTIVO_2025[[#All],[email]],0,0)</f>
        <v>#NAME?</v>
      </c>
      <c r="AP226" s="111" t="e" cm="1">
        <f t="array" aca="1" ref="AP226" ca="1">_xlfn.XLOOKUP(Contrato[[#This Row],[DOCUMENTO]],PERSONAL_ACTIVO_2025[[#All],[DOCUMENTO]],PERSONAL_ACTIVO_2025[[#All],[email]],0,0)</f>
        <v>#NAME?</v>
      </c>
      <c r="AQ226" s="111" cm="1">
        <f t="array" aca="1" ref="AQ226" ca="1">IF(ISBLANK(Contrato[[#This Row],[DEPENDENCIA ]]),0,IFERROR(_xlfn.XLOOKUP(Contrato[[#This Row],[DEPENDENCIA ]],#REF!,#REF!,0,0),0))</f>
        <v>0</v>
      </c>
      <c r="AR226" s="553">
        <f ca="1">+_xlfn.DAYS(Contrato[[#This Row],[FECHA TERMINACIÓN ]],TODAY())</f>
        <v>222</v>
      </c>
    </row>
    <row r="227" spans="1:44" s="111" customFormat="1" ht="36" customHeight="1" x14ac:dyDescent="0.25">
      <c r="A227" s="38">
        <v>438</v>
      </c>
      <c r="B227" s="226">
        <v>220</v>
      </c>
      <c r="C227" s="88" t="s">
        <v>637</v>
      </c>
      <c r="D227" s="192" t="s">
        <v>911</v>
      </c>
      <c r="E227" s="193" t="s">
        <v>112</v>
      </c>
      <c r="F227" s="194" t="s">
        <v>113</v>
      </c>
      <c r="G227" s="195" t="s">
        <v>1286</v>
      </c>
      <c r="H227" s="167">
        <v>1128401285</v>
      </c>
      <c r="I227" s="292">
        <v>4157906</v>
      </c>
      <c r="J227" s="290">
        <v>40747479</v>
      </c>
      <c r="K227" s="158" t="s">
        <v>41</v>
      </c>
      <c r="L227" s="196" t="s">
        <v>1087</v>
      </c>
      <c r="M227" s="114" t="s">
        <v>943</v>
      </c>
      <c r="N227" s="113" t="e" cm="1">
        <f t="array" aca="1" ref="N227" ca="1">_xlfn.XLOOKUP(Contrato[[#This Row],[SUPERVISOR TITULAR]],PERSONAL_ACTIVO_2025[[#All],[NOMBRES Y APELLIDOS]],PERSONAL_ACTIVO_2025[[#All],[DOCUMENTO]],"",0)</f>
        <v>#NAME?</v>
      </c>
      <c r="O227" s="114" t="s">
        <v>939</v>
      </c>
      <c r="P227" s="115" t="e" cm="1">
        <f t="array" aca="1" ref="P227" ca="1">_xlfn.XLOOKUP(Contrato[[#This Row],[SUPERVISOR SUPLENTE ]],PERSONAL_ACTIVO_2025[[#All],[NOMBRES Y APELLIDOS]],PERSONAL_ACTIVO_2025[[#All],[DOCUMENTO]],"",0)</f>
        <v>#NAME?</v>
      </c>
      <c r="Q227" s="116">
        <v>271</v>
      </c>
      <c r="R227" s="137" t="e" cm="1">
        <f t="array" aca="1" ref="R227" ca="1">_xlfn.XLOOKUP(Contrato[[#This Row],[CDP]],DISPONIBILIDADES_2025[[#All],[consecutivo]],DISPONIBILIDADES_2025[[#All],[fecha_aprobacion]],"",0)</f>
        <v>#NAME?</v>
      </c>
      <c r="S227" s="92">
        <f>SUMIF(DISPONIBILIDADES_2025[[#All],[consecutivo]],Contrato[[#This Row],[CDP]],DISPONIBILIDADES_2025[[#All],[valor_total_rubro]])</f>
        <v>40747479</v>
      </c>
      <c r="T227" s="118" t="e" cm="1">
        <f t="array" aca="1" ref="T227" ca="1">_xlfn.XLOOKUP(Contrato[[#This Row],[CONTRATO]]&amp;Contrato[[#This Row],[CDP]],Corr_Contr_CDP[[#All],[CONTRATO-CDP]],Corr_Contr_CDP[[#All],[CRP]],_xlfn.XLOOKUP(Contrato[[#This Row],[CDP]],COMPROMISOS_2025[[#All],[disponibilidad]],COMPROMISOS_2025[[#All],[consecutivo]],"",0),0)</f>
        <v>#NAME?</v>
      </c>
      <c r="U227" s="117" t="e" cm="1">
        <f t="array" aca="1" ref="U227" ca="1">+_xlfn.XLOOKUP(Contrato[[#This Row],[RCP]],COMPROMISOS_2025[[#All],[consecutivo]],COMPROMISOS_2025[[#All],[fecha_aprobacion]],"",0)</f>
        <v>#NAME?</v>
      </c>
      <c r="V227" s="93">
        <f ca="1">SUMIF(COMPROMISOS_2025[[#All],[consecutivo]],Contrato[[#This Row],[RCP]],COMPROMISOS_2025[[#All],[valor_total]])</f>
        <v>0</v>
      </c>
      <c r="W227" s="169">
        <v>45708</v>
      </c>
      <c r="X227" s="243" t="s">
        <v>901</v>
      </c>
      <c r="Y227" s="397">
        <v>45709</v>
      </c>
      <c r="Z227" s="161">
        <v>46005</v>
      </c>
      <c r="AA227" s="198" t="s">
        <v>1143</v>
      </c>
      <c r="AB227" s="119" t="s">
        <v>1127</v>
      </c>
      <c r="AC227" s="305"/>
      <c r="AD227" s="279">
        <v>202000006351</v>
      </c>
      <c r="AE227" s="38" t="s">
        <v>904</v>
      </c>
      <c r="AF227" s="120" t="str">
        <f>TEXT(LEFT(Contrato[[#This Row],[CONTRATO]],3),"0")</f>
        <v>220</v>
      </c>
      <c r="AG227" s="120" t="str">
        <f>IF(LEN(Contrato[[#This Row],[Contrato2]])=3,Contrato[[#This Row],[Contrato2]],TEXT(Contrato[[#This Row],[Contrato2]],"000"))</f>
        <v>220</v>
      </c>
      <c r="AH227" s="90">
        <f ca="1">IFERROR(_xlfn.DAYS(Contrato[[#This Row],[Fecha Proyectada liquidación]],TODAY())/30,"")</f>
        <v>11.4</v>
      </c>
      <c r="AI227" s="121">
        <f>+Contrato[[#This Row],[FECHA TERMINACIÓN ]]+120</f>
        <v>46125</v>
      </c>
      <c r="AJ227" s="89"/>
      <c r="AK227" s="91" t="str">
        <f ca="1">IF(Contrato[[#This Row],[FECHA TERMINACIÓN ]]&lt;TODAY(), "Terminado",IF(ISNUMBER(Contrato[[#This Row],[Fecha Real de liquiidación ]]),"Liquidado",IF(Contrato[[#This Row],[FECHA TERMINACIÓN ]]&gt;=TODAY(),"En ejecución","")))</f>
        <v>En ejecución</v>
      </c>
      <c r="AL227" s="107">
        <f ca="1">SUMIF(COMPROMISOS_2025[[#All],[consecutivo]],Contrato[[#This Row],[RCP]],COMPROMISOS_2025[[#All],[Total pagado]])</f>
        <v>0</v>
      </c>
      <c r="AM227" s="122">
        <f ca="1">IFERROR(Contrato[[#This Row],[Pagos]]/Contrato[[#This Row],[VALOR CONTRATO]],0)</f>
        <v>0</v>
      </c>
      <c r="AN227" s="160">
        <f ca="1">+Contrato[[#This Row],[VALOR CONTRATO]]-Contrato[[#This Row],[Pagos]]</f>
        <v>40747479</v>
      </c>
      <c r="AO227" s="111" t="e" cm="1">
        <f t="array" aca="1" ref="AO227" ca="1">_xlfn.XLOOKUP(Contrato[[#This Row],[DOCUMENTO ]],PERSONAL_ACTIVO_2025[[#All],[DOCUMENTO]],PERSONAL_ACTIVO_2025[[#All],[email]],0,0)</f>
        <v>#NAME?</v>
      </c>
      <c r="AP227" s="111" t="e" cm="1">
        <f t="array" aca="1" ref="AP227" ca="1">_xlfn.XLOOKUP(Contrato[[#This Row],[DOCUMENTO]],PERSONAL_ACTIVO_2025[[#All],[DOCUMENTO]],PERSONAL_ACTIVO_2025[[#All],[email]],0,0)</f>
        <v>#NAME?</v>
      </c>
      <c r="AQ227" s="111" cm="1">
        <f t="array" aca="1" ref="AQ227" ca="1">IF(ISBLANK(Contrato[[#This Row],[DEPENDENCIA ]]),0,IFERROR(_xlfn.XLOOKUP(Contrato[[#This Row],[DEPENDENCIA ]],#REF!,#REF!,0,0),0))</f>
        <v>0</v>
      </c>
      <c r="AR227" s="553">
        <f ca="1">+_xlfn.DAYS(Contrato[[#This Row],[FECHA TERMINACIÓN ]],TODAY())</f>
        <v>222</v>
      </c>
    </row>
    <row r="228" spans="1:44" s="111" customFormat="1" ht="36" customHeight="1" x14ac:dyDescent="0.25">
      <c r="A228" s="38">
        <v>439</v>
      </c>
      <c r="B228" s="226">
        <v>221</v>
      </c>
      <c r="C228" s="88" t="s">
        <v>638</v>
      </c>
      <c r="D228" s="192" t="s">
        <v>911</v>
      </c>
      <c r="E228" s="193" t="s">
        <v>112</v>
      </c>
      <c r="F228" s="194" t="s">
        <v>113</v>
      </c>
      <c r="G228" s="195" t="s">
        <v>1287</v>
      </c>
      <c r="H228" s="167">
        <v>1017133137</v>
      </c>
      <c r="I228" s="292">
        <v>6239569</v>
      </c>
      <c r="J228" s="290">
        <v>61147776</v>
      </c>
      <c r="K228" s="158" t="s">
        <v>41</v>
      </c>
      <c r="L228" s="196" t="s">
        <v>1087</v>
      </c>
      <c r="M228" s="114" t="s">
        <v>943</v>
      </c>
      <c r="N228" s="113" t="e" cm="1">
        <f t="array" aca="1" ref="N228" ca="1">_xlfn.XLOOKUP(Contrato[[#This Row],[SUPERVISOR TITULAR]],PERSONAL_ACTIVO_2025[[#All],[NOMBRES Y APELLIDOS]],PERSONAL_ACTIVO_2025[[#All],[DOCUMENTO]],"",0)</f>
        <v>#NAME?</v>
      </c>
      <c r="O228" s="114" t="s">
        <v>939</v>
      </c>
      <c r="P228" s="115" t="e" cm="1">
        <f t="array" aca="1" ref="P228" ca="1">_xlfn.XLOOKUP(Contrato[[#This Row],[SUPERVISOR SUPLENTE ]],PERSONAL_ACTIVO_2025[[#All],[NOMBRES Y APELLIDOS]],PERSONAL_ACTIVO_2025[[#All],[DOCUMENTO]],"",0)</f>
        <v>#NAME?</v>
      </c>
      <c r="Q228" s="116">
        <v>272</v>
      </c>
      <c r="R228" s="137" t="e" cm="1">
        <f t="array" aca="1" ref="R228" ca="1">_xlfn.XLOOKUP(Contrato[[#This Row],[CDP]],DISPONIBILIDADES_2025[[#All],[consecutivo]],DISPONIBILIDADES_2025[[#All],[fecha_aprobacion]],"",0)</f>
        <v>#NAME?</v>
      </c>
      <c r="S228" s="92">
        <f>SUMIF(DISPONIBILIDADES_2025[[#All],[consecutivo]],Contrato[[#This Row],[CDP]],DISPONIBILIDADES_2025[[#All],[valor_total_rubro]])</f>
        <v>61147776</v>
      </c>
      <c r="T228" s="118" t="e" cm="1">
        <f t="array" aca="1" ref="T228" ca="1">_xlfn.XLOOKUP(Contrato[[#This Row],[CONTRATO]]&amp;Contrato[[#This Row],[CDP]],Corr_Contr_CDP[[#All],[CONTRATO-CDP]],Corr_Contr_CDP[[#All],[CRP]],_xlfn.XLOOKUP(Contrato[[#This Row],[CDP]],COMPROMISOS_2025[[#All],[disponibilidad]],COMPROMISOS_2025[[#All],[consecutivo]],"",0),0)</f>
        <v>#NAME?</v>
      </c>
      <c r="U228" s="117" t="e" cm="1">
        <f t="array" aca="1" ref="U228" ca="1">+_xlfn.XLOOKUP(Contrato[[#This Row],[RCP]],COMPROMISOS_2025[[#All],[consecutivo]],COMPROMISOS_2025[[#All],[fecha_aprobacion]],"",0)</f>
        <v>#NAME?</v>
      </c>
      <c r="V228" s="93">
        <f ca="1">SUMIF(COMPROMISOS_2025[[#All],[consecutivo]],Contrato[[#This Row],[RCP]],COMPROMISOS_2025[[#All],[valor_total]])</f>
        <v>0</v>
      </c>
      <c r="W228" s="169">
        <v>45708</v>
      </c>
      <c r="X228" s="243" t="s">
        <v>901</v>
      </c>
      <c r="Y228" s="397">
        <v>45709</v>
      </c>
      <c r="Z228" s="161">
        <v>46005</v>
      </c>
      <c r="AA228" s="198" t="s">
        <v>1272</v>
      </c>
      <c r="AB228" s="119" t="s">
        <v>1127</v>
      </c>
      <c r="AC228" s="305"/>
      <c r="AD228" s="279">
        <v>202000006352</v>
      </c>
      <c r="AE228" s="38" t="s">
        <v>904</v>
      </c>
      <c r="AF228" s="120" t="str">
        <f>TEXT(LEFT(Contrato[[#This Row],[CONTRATO]],3),"0")</f>
        <v>221</v>
      </c>
      <c r="AG228" s="120" t="str">
        <f>IF(LEN(Contrato[[#This Row],[Contrato2]])=3,Contrato[[#This Row],[Contrato2]],TEXT(Contrato[[#This Row],[Contrato2]],"000"))</f>
        <v>221</v>
      </c>
      <c r="AH228" s="90">
        <f ca="1">IFERROR(_xlfn.DAYS(Contrato[[#This Row],[Fecha Proyectada liquidación]],TODAY())/30,"")</f>
        <v>11.4</v>
      </c>
      <c r="AI228" s="121">
        <f>+Contrato[[#This Row],[FECHA TERMINACIÓN ]]+120</f>
        <v>46125</v>
      </c>
      <c r="AJ228" s="89"/>
      <c r="AK228" s="91" t="str">
        <f ca="1">IF(Contrato[[#This Row],[FECHA TERMINACIÓN ]]&lt;TODAY(), "Terminado",IF(ISNUMBER(Contrato[[#This Row],[Fecha Real de liquiidación ]]),"Liquidado",IF(Contrato[[#This Row],[FECHA TERMINACIÓN ]]&gt;=TODAY(),"En ejecución","")))</f>
        <v>En ejecución</v>
      </c>
      <c r="AL228" s="107">
        <f ca="1">SUMIF(COMPROMISOS_2025[[#All],[consecutivo]],Contrato[[#This Row],[RCP]],COMPROMISOS_2025[[#All],[Total pagado]])</f>
        <v>0</v>
      </c>
      <c r="AM228" s="122">
        <f ca="1">IFERROR(Contrato[[#This Row],[Pagos]]/Contrato[[#This Row],[VALOR CONTRATO]],0)</f>
        <v>0</v>
      </c>
      <c r="AN228" s="160">
        <f ca="1">+Contrato[[#This Row],[VALOR CONTRATO]]-Contrato[[#This Row],[Pagos]]</f>
        <v>61147776</v>
      </c>
      <c r="AO228" s="111" t="e" cm="1">
        <f t="array" aca="1" ref="AO228" ca="1">_xlfn.XLOOKUP(Contrato[[#This Row],[DOCUMENTO ]],PERSONAL_ACTIVO_2025[[#All],[DOCUMENTO]],PERSONAL_ACTIVO_2025[[#All],[email]],0,0)</f>
        <v>#NAME?</v>
      </c>
      <c r="AP228" s="111" t="e" cm="1">
        <f t="array" aca="1" ref="AP228" ca="1">_xlfn.XLOOKUP(Contrato[[#This Row],[DOCUMENTO]],PERSONAL_ACTIVO_2025[[#All],[DOCUMENTO]],PERSONAL_ACTIVO_2025[[#All],[email]],0,0)</f>
        <v>#NAME?</v>
      </c>
      <c r="AQ228" s="111" cm="1">
        <f t="array" aca="1" ref="AQ228" ca="1">IF(ISBLANK(Contrato[[#This Row],[DEPENDENCIA ]]),0,IFERROR(_xlfn.XLOOKUP(Contrato[[#This Row],[DEPENDENCIA ]],#REF!,#REF!,0,0),0))</f>
        <v>0</v>
      </c>
      <c r="AR228" s="553">
        <f ca="1">+_xlfn.DAYS(Contrato[[#This Row],[FECHA TERMINACIÓN ]],TODAY())</f>
        <v>222</v>
      </c>
    </row>
    <row r="229" spans="1:44" s="111" customFormat="1" ht="36" customHeight="1" x14ac:dyDescent="0.25">
      <c r="A229" s="38">
        <v>440</v>
      </c>
      <c r="B229" s="226">
        <v>222</v>
      </c>
      <c r="C229" s="88" t="s">
        <v>639</v>
      </c>
      <c r="D229" s="192" t="s">
        <v>911</v>
      </c>
      <c r="E229" s="193" t="s">
        <v>112</v>
      </c>
      <c r="F229" s="194" t="s">
        <v>113</v>
      </c>
      <c r="G229" s="195" t="s">
        <v>1288</v>
      </c>
      <c r="H229" s="167">
        <v>71378071</v>
      </c>
      <c r="I229" s="292">
        <v>6239569</v>
      </c>
      <c r="J229" s="290">
        <v>61147776</v>
      </c>
      <c r="K229" s="158" t="s">
        <v>41</v>
      </c>
      <c r="L229" s="196" t="s">
        <v>1087</v>
      </c>
      <c r="M229" s="114" t="s">
        <v>943</v>
      </c>
      <c r="N229" s="113" t="e" cm="1">
        <f t="array" aca="1" ref="N229" ca="1">_xlfn.XLOOKUP(Contrato[[#This Row],[SUPERVISOR TITULAR]],PERSONAL_ACTIVO_2025[[#All],[NOMBRES Y APELLIDOS]],PERSONAL_ACTIVO_2025[[#All],[DOCUMENTO]],"",0)</f>
        <v>#NAME?</v>
      </c>
      <c r="O229" s="114" t="s">
        <v>939</v>
      </c>
      <c r="P229" s="115" t="e" cm="1">
        <f t="array" aca="1" ref="P229" ca="1">_xlfn.XLOOKUP(Contrato[[#This Row],[SUPERVISOR SUPLENTE ]],PERSONAL_ACTIVO_2025[[#All],[NOMBRES Y APELLIDOS]],PERSONAL_ACTIVO_2025[[#All],[DOCUMENTO]],"",0)</f>
        <v>#NAME?</v>
      </c>
      <c r="Q229" s="116">
        <v>273</v>
      </c>
      <c r="R229" s="137" t="e" cm="1">
        <f t="array" aca="1" ref="R229" ca="1">_xlfn.XLOOKUP(Contrato[[#This Row],[CDP]],DISPONIBILIDADES_2025[[#All],[consecutivo]],DISPONIBILIDADES_2025[[#All],[fecha_aprobacion]],"",0)</f>
        <v>#NAME?</v>
      </c>
      <c r="S229" s="92">
        <f>SUMIF(DISPONIBILIDADES_2025[[#All],[consecutivo]],Contrato[[#This Row],[CDP]],DISPONIBILIDADES_2025[[#All],[valor_total_rubro]])</f>
        <v>61147776</v>
      </c>
      <c r="T229" s="118" t="e" cm="1">
        <f t="array" aca="1" ref="T229" ca="1">_xlfn.XLOOKUP(Contrato[[#This Row],[CONTRATO]]&amp;Contrato[[#This Row],[CDP]],Corr_Contr_CDP[[#All],[CONTRATO-CDP]],Corr_Contr_CDP[[#All],[CRP]],_xlfn.XLOOKUP(Contrato[[#This Row],[CDP]],COMPROMISOS_2025[[#All],[disponibilidad]],COMPROMISOS_2025[[#All],[consecutivo]],"",0),0)</f>
        <v>#NAME?</v>
      </c>
      <c r="U229" s="117" t="e" cm="1">
        <f t="array" aca="1" ref="U229" ca="1">+_xlfn.XLOOKUP(Contrato[[#This Row],[RCP]],COMPROMISOS_2025[[#All],[consecutivo]],COMPROMISOS_2025[[#All],[fecha_aprobacion]],"",0)</f>
        <v>#NAME?</v>
      </c>
      <c r="V229" s="93">
        <f ca="1">SUMIF(COMPROMISOS_2025[[#All],[consecutivo]],Contrato[[#This Row],[RCP]],COMPROMISOS_2025[[#All],[valor_total]])</f>
        <v>0</v>
      </c>
      <c r="W229" s="169">
        <v>45708</v>
      </c>
      <c r="X229" s="243" t="s">
        <v>901</v>
      </c>
      <c r="Y229" s="397">
        <v>45709</v>
      </c>
      <c r="Z229" s="161">
        <v>46005</v>
      </c>
      <c r="AA229" s="198" t="s">
        <v>1143</v>
      </c>
      <c r="AB229" s="119" t="s">
        <v>1127</v>
      </c>
      <c r="AC229" s="305"/>
      <c r="AD229" s="279">
        <v>202000006353</v>
      </c>
      <c r="AE229" s="38" t="s">
        <v>904</v>
      </c>
      <c r="AF229" s="120" t="str">
        <f>TEXT(LEFT(Contrato[[#This Row],[CONTRATO]],3),"0")</f>
        <v>222</v>
      </c>
      <c r="AG229" s="120" t="str">
        <f>IF(LEN(Contrato[[#This Row],[Contrato2]])=3,Contrato[[#This Row],[Contrato2]],TEXT(Contrato[[#This Row],[Contrato2]],"000"))</f>
        <v>222</v>
      </c>
      <c r="AH229" s="90">
        <f ca="1">IFERROR(_xlfn.DAYS(Contrato[[#This Row],[Fecha Proyectada liquidación]],TODAY())/30,"")</f>
        <v>11.4</v>
      </c>
      <c r="AI229" s="121">
        <f>+Contrato[[#This Row],[FECHA TERMINACIÓN ]]+120</f>
        <v>46125</v>
      </c>
      <c r="AJ229" s="89"/>
      <c r="AK229" s="91" t="str">
        <f ca="1">IF(Contrato[[#This Row],[FECHA TERMINACIÓN ]]&lt;TODAY(), "Terminado",IF(ISNUMBER(Contrato[[#This Row],[Fecha Real de liquiidación ]]),"Liquidado",IF(Contrato[[#This Row],[FECHA TERMINACIÓN ]]&gt;=TODAY(),"En ejecución","")))</f>
        <v>En ejecución</v>
      </c>
      <c r="AL229" s="107">
        <f ca="1">SUMIF(COMPROMISOS_2025[[#All],[consecutivo]],Contrato[[#This Row],[RCP]],COMPROMISOS_2025[[#All],[Total pagado]])</f>
        <v>0</v>
      </c>
      <c r="AM229" s="122">
        <f ca="1">IFERROR(Contrato[[#This Row],[Pagos]]/Contrato[[#This Row],[VALOR CONTRATO]],0)</f>
        <v>0</v>
      </c>
      <c r="AN229" s="160">
        <f ca="1">+Contrato[[#This Row],[VALOR CONTRATO]]-Contrato[[#This Row],[Pagos]]</f>
        <v>61147776</v>
      </c>
      <c r="AO229" s="111" t="e" cm="1">
        <f t="array" aca="1" ref="AO229" ca="1">_xlfn.XLOOKUP(Contrato[[#This Row],[DOCUMENTO ]],PERSONAL_ACTIVO_2025[[#All],[DOCUMENTO]],PERSONAL_ACTIVO_2025[[#All],[email]],0,0)</f>
        <v>#NAME?</v>
      </c>
      <c r="AP229" s="111" t="e" cm="1">
        <f t="array" aca="1" ref="AP229" ca="1">_xlfn.XLOOKUP(Contrato[[#This Row],[DOCUMENTO]],PERSONAL_ACTIVO_2025[[#All],[DOCUMENTO]],PERSONAL_ACTIVO_2025[[#All],[email]],0,0)</f>
        <v>#NAME?</v>
      </c>
      <c r="AQ229" s="111" cm="1">
        <f t="array" aca="1" ref="AQ229" ca="1">IF(ISBLANK(Contrato[[#This Row],[DEPENDENCIA ]]),0,IFERROR(_xlfn.XLOOKUP(Contrato[[#This Row],[DEPENDENCIA ]],#REF!,#REF!,0,0),0))</f>
        <v>0</v>
      </c>
      <c r="AR229" s="553">
        <f ca="1">+_xlfn.DAYS(Contrato[[#This Row],[FECHA TERMINACIÓN ]],TODAY())</f>
        <v>222</v>
      </c>
    </row>
    <row r="230" spans="1:44" s="111" customFormat="1" ht="36" customHeight="1" x14ac:dyDescent="0.25">
      <c r="A230" s="38" t="s">
        <v>1289</v>
      </c>
      <c r="B230" s="226">
        <v>223</v>
      </c>
      <c r="C230" s="88" t="s">
        <v>1289</v>
      </c>
      <c r="D230" s="192" t="s">
        <v>911</v>
      </c>
      <c r="E230" s="193" t="s">
        <v>41</v>
      </c>
      <c r="F230" s="194" t="s">
        <v>41</v>
      </c>
      <c r="G230" s="295" t="s">
        <v>1289</v>
      </c>
      <c r="H230" s="167">
        <v>0</v>
      </c>
      <c r="I230" s="292">
        <v>0</v>
      </c>
      <c r="J230" s="290">
        <v>0</v>
      </c>
      <c r="K230" s="246"/>
      <c r="L230" s="247" t="s">
        <v>1290</v>
      </c>
      <c r="M230" s="114"/>
      <c r="N230" s="113" t="e" cm="1">
        <f t="array" aca="1" ref="N230" ca="1">_xlfn.XLOOKUP(Contrato[[#This Row],[SUPERVISOR TITULAR]],PERSONAL_ACTIVO_2025[[#All],[NOMBRES Y APELLIDOS]],PERSONAL_ACTIVO_2025[[#All],[DOCUMENTO]],"",0)</f>
        <v>#NAME?</v>
      </c>
      <c r="O230" s="114"/>
      <c r="P230" s="115" t="e" cm="1">
        <f t="array" aca="1" ref="P230" ca="1">_xlfn.XLOOKUP(Contrato[[#This Row],[SUPERVISOR SUPLENTE ]],PERSONAL_ACTIVO_2025[[#All],[NOMBRES Y APELLIDOS]],PERSONAL_ACTIVO_2025[[#All],[DOCUMENTO]],"",0)</f>
        <v>#NAME?</v>
      </c>
      <c r="Q230" s="296" t="s">
        <v>1290</v>
      </c>
      <c r="R230" s="137" t="e" cm="1">
        <f t="array" aca="1" ref="R230" ca="1">_xlfn.XLOOKUP(Contrato[[#This Row],[CDP]],DISPONIBILIDADES_2025[[#All],[consecutivo]],DISPONIBILIDADES_2025[[#All],[fecha_aprobacion]],"",0)</f>
        <v>#NAME?</v>
      </c>
      <c r="S230" s="92">
        <f>SUMIF(DISPONIBILIDADES_2025[[#All],[consecutivo]],Contrato[[#This Row],[CDP]],DISPONIBILIDADES_2025[[#All],[valor_total_rubro]])</f>
        <v>0</v>
      </c>
      <c r="T230" s="118" t="e" cm="1">
        <f t="array" aca="1" ref="T230" ca="1">_xlfn.XLOOKUP(Contrato[[#This Row],[CONTRATO]]&amp;Contrato[[#This Row],[CDP]],Corr_Contr_CDP[[#All],[CONTRATO-CDP]],Corr_Contr_CDP[[#All],[CRP]],_xlfn.XLOOKUP(Contrato[[#This Row],[CDP]],COMPROMISOS_2025[[#All],[disponibilidad]],COMPROMISOS_2025[[#All],[consecutivo]],"",0),0)</f>
        <v>#NAME?</v>
      </c>
      <c r="U230" s="117" t="e" cm="1">
        <f t="array" aca="1" ref="U230" ca="1">+_xlfn.XLOOKUP(Contrato[[#This Row],[RCP]],COMPROMISOS_2025[[#All],[consecutivo]],COMPROMISOS_2025[[#All],[fecha_aprobacion]],"",0)</f>
        <v>#NAME?</v>
      </c>
      <c r="V230" s="93">
        <f ca="1">SUMIF(COMPROMISOS_2025[[#All],[consecutivo]],Contrato[[#This Row],[RCP]],COMPROMISOS_2025[[#All],[valor_total]])</f>
        <v>0</v>
      </c>
      <c r="W230" s="169"/>
      <c r="X230" s="243"/>
      <c r="Y230" s="96" t="e">
        <f ca="1">+LEFT(_xlfn.XLOOKUP(Contrato[[#This Row],[CONTRATO3DIG]],SECOP_II!AE:AE,SECOP_II!F:F,"",0),10)</f>
        <v>#NAME?</v>
      </c>
      <c r="Z230" s="161" t="e">
        <f ca="1">+LEFT(_xlfn.XLOOKUP(Contrato[[#This Row],[CONTRATO3DIG]],SECOP_II!AE:AE,SECOP_II!G:G,"",0),10)</f>
        <v>#NAME?</v>
      </c>
      <c r="AA230" s="198"/>
      <c r="AB230" s="119" t="s">
        <v>41</v>
      </c>
      <c r="AC230" s="305"/>
      <c r="AD230" s="543"/>
      <c r="AE230" s="38"/>
      <c r="AF230" s="120" t="str">
        <f>TEXT(LEFT(Contrato[[#This Row],[CONTRATO]],3),"0")</f>
        <v>223</v>
      </c>
      <c r="AG230" s="120" t="str">
        <f>IF(LEN(Contrato[[#This Row],[Contrato2]])=3,Contrato[[#This Row],[Contrato2]],TEXT(Contrato[[#This Row],[Contrato2]],"000"))</f>
        <v>223</v>
      </c>
      <c r="AH230" s="90" t="str">
        <f ca="1">IFERROR(_xlfn.DAYS(Contrato[[#This Row],[Fecha Proyectada liquidación]],TODAY())/30,"")</f>
        <v/>
      </c>
      <c r="AI230" s="121" t="e">
        <f ca="1">+Contrato[[#This Row],[FECHA TERMINACIÓN ]]+120</f>
        <v>#NAME?</v>
      </c>
      <c r="AJ230" s="89"/>
      <c r="AK230" s="91" t="e">
        <f ca="1">IF(Contrato[[#This Row],[FECHA TERMINACIÓN ]]&lt;TODAY(), "Terminado",IF(ISNUMBER(Contrato[[#This Row],[Fecha Real de liquiidación ]]),"Liquidado",IF(Contrato[[#This Row],[FECHA TERMINACIÓN ]]&gt;=TODAY(),"En ejecución","")))</f>
        <v>#NAME?</v>
      </c>
      <c r="AL230" s="107">
        <f ca="1">SUMIF(COMPROMISOS_2025[[#All],[consecutivo]],Contrato[[#This Row],[RCP]],COMPROMISOS_2025[[#All],[Total pagado]])</f>
        <v>0</v>
      </c>
      <c r="AM230" s="122">
        <f ca="1">IFERROR(Contrato[[#This Row],[Pagos]]/Contrato[[#This Row],[VALOR CONTRATO]],0)</f>
        <v>0</v>
      </c>
      <c r="AN230" s="160">
        <f ca="1">+Contrato[[#This Row],[VALOR CONTRATO]]-Contrato[[#This Row],[Pagos]]</f>
        <v>0</v>
      </c>
      <c r="AO230" s="111" t="e" cm="1">
        <f t="array" aca="1" ref="AO230" ca="1">_xlfn.XLOOKUP(Contrato[[#This Row],[DOCUMENTO ]],PERSONAL_ACTIVO_2025[[#All],[DOCUMENTO]],PERSONAL_ACTIVO_2025[[#All],[email]],0,0)</f>
        <v>#NAME?</v>
      </c>
      <c r="AP230" s="111" t="e" cm="1">
        <f t="array" aca="1" ref="AP230" ca="1">_xlfn.XLOOKUP(Contrato[[#This Row],[DOCUMENTO]],PERSONAL_ACTIVO_2025[[#All],[DOCUMENTO]],PERSONAL_ACTIVO_2025[[#All],[email]],0,0)</f>
        <v>#NAME?</v>
      </c>
      <c r="AQ230" s="111" cm="1">
        <f t="array" aca="1" ref="AQ230" ca="1">IF(ISBLANK(Contrato[[#This Row],[DEPENDENCIA ]]),0,IFERROR(_xlfn.XLOOKUP(Contrato[[#This Row],[DEPENDENCIA ]],#REF!,#REF!,0,0),0))</f>
        <v>0</v>
      </c>
      <c r="AR230" s="553" t="e">
        <f ca="1">+_xlfn.DAYS(Contrato[[#This Row],[FECHA TERMINACIÓN ]],TODAY())</f>
        <v>#NAME?</v>
      </c>
    </row>
    <row r="231" spans="1:44" s="111" customFormat="1" ht="36" customHeight="1" x14ac:dyDescent="0.25">
      <c r="A231" s="38">
        <v>443</v>
      </c>
      <c r="B231" s="226">
        <v>224</v>
      </c>
      <c r="C231" s="88" t="s">
        <v>642</v>
      </c>
      <c r="D231" s="192" t="s">
        <v>911</v>
      </c>
      <c r="E231" s="193" t="s">
        <v>112</v>
      </c>
      <c r="F231" s="194" t="s">
        <v>113</v>
      </c>
      <c r="G231" s="195" t="s">
        <v>1291</v>
      </c>
      <c r="H231" s="167">
        <v>98558024</v>
      </c>
      <c r="I231" s="292">
        <v>9900825</v>
      </c>
      <c r="J231" s="290">
        <v>81516792</v>
      </c>
      <c r="K231" s="158" t="s">
        <v>41</v>
      </c>
      <c r="L231" s="196" t="s">
        <v>1087</v>
      </c>
      <c r="M231" s="114" t="s">
        <v>943</v>
      </c>
      <c r="N231" s="113" t="e" cm="1">
        <f t="array" aca="1" ref="N231" ca="1">_xlfn.XLOOKUP(Contrato[[#This Row],[SUPERVISOR TITULAR]],PERSONAL_ACTIVO_2025[[#All],[NOMBRES Y APELLIDOS]],PERSONAL_ACTIVO_2025[[#All],[DOCUMENTO]],"",0)</f>
        <v>#NAME?</v>
      </c>
      <c r="O231" s="114" t="s">
        <v>939</v>
      </c>
      <c r="P231" s="115" t="e" cm="1">
        <f t="array" aca="1" ref="P231" ca="1">_xlfn.XLOOKUP(Contrato[[#This Row],[SUPERVISOR SUPLENTE ]],PERSONAL_ACTIVO_2025[[#All],[NOMBRES Y APELLIDOS]],PERSONAL_ACTIVO_2025[[#All],[DOCUMENTO]],"",0)</f>
        <v>#NAME?</v>
      </c>
      <c r="Q231" s="116">
        <v>276</v>
      </c>
      <c r="R231" s="137" t="e" cm="1">
        <f t="array" aca="1" ref="R231" ca="1">_xlfn.XLOOKUP(Contrato[[#This Row],[CDP]],DISPONIBILIDADES_2025[[#All],[consecutivo]],DISPONIBILIDADES_2025[[#All],[fecha_aprobacion]],"",0)</f>
        <v>#NAME?</v>
      </c>
      <c r="S231" s="92">
        <f>SUMIF(DISPONIBILIDADES_2025[[#All],[consecutivo]],Contrato[[#This Row],[CDP]],DISPONIBILIDADES_2025[[#All],[valor_total_rubro]])</f>
        <v>81536206</v>
      </c>
      <c r="T231" s="118" t="e" cm="1">
        <f t="array" aca="1" ref="T231" ca="1">_xlfn.XLOOKUP(Contrato[[#This Row],[CONTRATO]]&amp;Contrato[[#This Row],[CDP]],Corr_Contr_CDP[[#All],[CONTRATO-CDP]],Corr_Contr_CDP[[#All],[CRP]],_xlfn.XLOOKUP(Contrato[[#This Row],[CDP]],COMPROMISOS_2025[[#All],[disponibilidad]],COMPROMISOS_2025[[#All],[consecutivo]],"",0),0)</f>
        <v>#NAME?</v>
      </c>
      <c r="U231" s="117" t="e" cm="1">
        <f t="array" aca="1" ref="U231" ca="1">+_xlfn.XLOOKUP(Contrato[[#This Row],[RCP]],COMPROMISOS_2025[[#All],[consecutivo]],COMPROMISOS_2025[[#All],[fecha_aprobacion]],"",0)</f>
        <v>#NAME?</v>
      </c>
      <c r="V231" s="93">
        <f ca="1">SUMIF(COMPROMISOS_2025[[#All],[consecutivo]],Contrato[[#This Row],[RCP]],COMPROMISOS_2025[[#All],[valor_total]])</f>
        <v>0</v>
      </c>
      <c r="W231" s="169">
        <v>45708</v>
      </c>
      <c r="X231" s="243" t="s">
        <v>901</v>
      </c>
      <c r="Y231" s="397">
        <v>45709</v>
      </c>
      <c r="Z231" s="161">
        <v>45957</v>
      </c>
      <c r="AA231" s="198" t="s">
        <v>1134</v>
      </c>
      <c r="AB231" s="119" t="s">
        <v>1292</v>
      </c>
      <c r="AC231" s="305"/>
      <c r="AD231" s="279">
        <v>202000006355</v>
      </c>
      <c r="AE231" s="38" t="s">
        <v>904</v>
      </c>
      <c r="AF231" s="120" t="str">
        <f>TEXT(LEFT(Contrato[[#This Row],[CONTRATO]],3),"0")</f>
        <v>224</v>
      </c>
      <c r="AG231" s="120" t="str">
        <f>IF(LEN(Contrato[[#This Row],[Contrato2]])=3,Contrato[[#This Row],[Contrato2]],TEXT(Contrato[[#This Row],[Contrato2]],"000"))</f>
        <v>224</v>
      </c>
      <c r="AH231" s="90">
        <f ca="1">IFERROR(_xlfn.DAYS(Contrato[[#This Row],[Fecha Proyectada liquidación]],TODAY())/30,"")</f>
        <v>9.8000000000000007</v>
      </c>
      <c r="AI231" s="121">
        <f>+Contrato[[#This Row],[FECHA TERMINACIÓN ]]+120</f>
        <v>46077</v>
      </c>
      <c r="AJ231" s="89"/>
      <c r="AK231" s="91" t="str">
        <f ca="1">IF(Contrato[[#This Row],[FECHA TERMINACIÓN ]]&lt;TODAY(), "Terminado",IF(ISNUMBER(Contrato[[#This Row],[Fecha Real de liquiidación ]]),"Liquidado",IF(Contrato[[#This Row],[FECHA TERMINACIÓN ]]&gt;=TODAY(),"En ejecución","")))</f>
        <v>En ejecución</v>
      </c>
      <c r="AL231" s="107">
        <f ca="1">SUMIF(COMPROMISOS_2025[[#All],[consecutivo]],Contrato[[#This Row],[RCP]],COMPROMISOS_2025[[#All],[Total pagado]])</f>
        <v>0</v>
      </c>
      <c r="AM231" s="122">
        <f ca="1">IFERROR(Contrato[[#This Row],[Pagos]]/Contrato[[#This Row],[VALOR CONTRATO]],0)</f>
        <v>0</v>
      </c>
      <c r="AN231" s="160">
        <f ca="1">+Contrato[[#This Row],[VALOR CONTRATO]]-Contrato[[#This Row],[Pagos]]</f>
        <v>81516792</v>
      </c>
      <c r="AO231" s="111" t="e" cm="1">
        <f t="array" aca="1" ref="AO231" ca="1">_xlfn.XLOOKUP(Contrato[[#This Row],[DOCUMENTO ]],PERSONAL_ACTIVO_2025[[#All],[DOCUMENTO]],PERSONAL_ACTIVO_2025[[#All],[email]],0,0)</f>
        <v>#NAME?</v>
      </c>
      <c r="AP231" s="111" t="e" cm="1">
        <f t="array" aca="1" ref="AP231" ca="1">_xlfn.XLOOKUP(Contrato[[#This Row],[DOCUMENTO]],PERSONAL_ACTIVO_2025[[#All],[DOCUMENTO]],PERSONAL_ACTIVO_2025[[#All],[email]],0,0)</f>
        <v>#NAME?</v>
      </c>
      <c r="AQ231" s="111" cm="1">
        <f t="array" aca="1" ref="AQ231" ca="1">IF(ISBLANK(Contrato[[#This Row],[DEPENDENCIA ]]),0,IFERROR(_xlfn.XLOOKUP(Contrato[[#This Row],[DEPENDENCIA ]],#REF!,#REF!,0,0),0))</f>
        <v>0</v>
      </c>
      <c r="AR231" s="553">
        <f ca="1">+_xlfn.DAYS(Contrato[[#This Row],[FECHA TERMINACIÓN ]],TODAY())</f>
        <v>174</v>
      </c>
    </row>
    <row r="232" spans="1:44" s="111" customFormat="1" ht="36" customHeight="1" x14ac:dyDescent="0.25">
      <c r="A232" s="38">
        <v>444</v>
      </c>
      <c r="B232" s="226">
        <v>225</v>
      </c>
      <c r="C232" s="88" t="s">
        <v>643</v>
      </c>
      <c r="D232" s="192" t="s">
        <v>911</v>
      </c>
      <c r="E232" s="193" t="s">
        <v>112</v>
      </c>
      <c r="F232" s="194" t="s">
        <v>113</v>
      </c>
      <c r="G232" s="195" t="s">
        <v>1293</v>
      </c>
      <c r="H232" s="167">
        <v>71363078</v>
      </c>
      <c r="I232" s="292">
        <v>2708734</v>
      </c>
      <c r="J232" s="290">
        <v>26545593</v>
      </c>
      <c r="K232" s="158" t="s">
        <v>41</v>
      </c>
      <c r="L232" s="196" t="s">
        <v>1087</v>
      </c>
      <c r="M232" s="114" t="s">
        <v>943</v>
      </c>
      <c r="N232" s="113" t="e" cm="1">
        <f t="array" aca="1" ref="N232" ca="1">_xlfn.XLOOKUP(Contrato[[#This Row],[SUPERVISOR TITULAR]],PERSONAL_ACTIVO_2025[[#All],[NOMBRES Y APELLIDOS]],PERSONAL_ACTIVO_2025[[#All],[DOCUMENTO]],"",0)</f>
        <v>#NAME?</v>
      </c>
      <c r="O232" s="114" t="s">
        <v>939</v>
      </c>
      <c r="P232" s="115" t="e" cm="1">
        <f t="array" aca="1" ref="P232" ca="1">_xlfn.XLOOKUP(Contrato[[#This Row],[SUPERVISOR SUPLENTE ]],PERSONAL_ACTIVO_2025[[#All],[NOMBRES Y APELLIDOS]],PERSONAL_ACTIVO_2025[[#All],[DOCUMENTO]],"",0)</f>
        <v>#NAME?</v>
      </c>
      <c r="Q232" s="116">
        <v>277</v>
      </c>
      <c r="R232" s="137" t="e" cm="1">
        <f t="array" aca="1" ref="R232" ca="1">_xlfn.XLOOKUP(Contrato[[#This Row],[CDP]],DISPONIBILIDADES_2025[[#All],[consecutivo]],DISPONIBILIDADES_2025[[#All],[fecha_aprobacion]],"",0)</f>
        <v>#NAME?</v>
      </c>
      <c r="S232" s="92">
        <f>SUMIF(DISPONIBILIDADES_2025[[#All],[consecutivo]],Contrato[[#This Row],[CDP]],DISPONIBILIDADES_2025[[#All],[valor_total_rubro]])</f>
        <v>26545593</v>
      </c>
      <c r="T232" s="118" t="e" cm="1">
        <f t="array" aca="1" ref="T232" ca="1">_xlfn.XLOOKUP(Contrato[[#This Row],[CONTRATO]]&amp;Contrato[[#This Row],[CDP]],Corr_Contr_CDP[[#All],[CONTRATO-CDP]],Corr_Contr_CDP[[#All],[CRP]],_xlfn.XLOOKUP(Contrato[[#This Row],[CDP]],COMPROMISOS_2025[[#All],[disponibilidad]],COMPROMISOS_2025[[#All],[consecutivo]],"",0),0)</f>
        <v>#NAME?</v>
      </c>
      <c r="U232" s="117" t="e" cm="1">
        <f t="array" aca="1" ref="U232" ca="1">+_xlfn.XLOOKUP(Contrato[[#This Row],[RCP]],COMPROMISOS_2025[[#All],[consecutivo]],COMPROMISOS_2025[[#All],[fecha_aprobacion]],"",0)</f>
        <v>#NAME?</v>
      </c>
      <c r="V232" s="93">
        <f ca="1">SUMIF(COMPROMISOS_2025[[#All],[consecutivo]],Contrato[[#This Row],[RCP]],COMPROMISOS_2025[[#All],[valor_total]])</f>
        <v>0</v>
      </c>
      <c r="W232" s="169">
        <v>45708</v>
      </c>
      <c r="X232" s="243" t="s">
        <v>901</v>
      </c>
      <c r="Y232" s="397">
        <v>45709</v>
      </c>
      <c r="Z232" s="161">
        <v>46005</v>
      </c>
      <c r="AA232" s="198" t="s">
        <v>1143</v>
      </c>
      <c r="AB232" s="119" t="s">
        <v>1127</v>
      </c>
      <c r="AC232" s="305"/>
      <c r="AD232" s="279">
        <v>202000006356</v>
      </c>
      <c r="AE232" s="38" t="s">
        <v>904</v>
      </c>
      <c r="AF232" s="120" t="str">
        <f>TEXT(LEFT(Contrato[[#This Row],[CONTRATO]],3),"0")</f>
        <v>225</v>
      </c>
      <c r="AG232" s="120" t="str">
        <f>IF(LEN(Contrato[[#This Row],[Contrato2]])=3,Contrato[[#This Row],[Contrato2]],TEXT(Contrato[[#This Row],[Contrato2]],"000"))</f>
        <v>225</v>
      </c>
      <c r="AH232" s="90">
        <f ca="1">IFERROR(_xlfn.DAYS(Contrato[[#This Row],[Fecha Proyectada liquidación]],TODAY())/30,"")</f>
        <v>11.4</v>
      </c>
      <c r="AI232" s="121">
        <f>+Contrato[[#This Row],[FECHA TERMINACIÓN ]]+120</f>
        <v>46125</v>
      </c>
      <c r="AJ232" s="89"/>
      <c r="AK232" s="91" t="str">
        <f ca="1">IF(Contrato[[#This Row],[FECHA TERMINACIÓN ]]&lt;TODAY(), "Terminado",IF(ISNUMBER(Contrato[[#This Row],[Fecha Real de liquiidación ]]),"Liquidado",IF(Contrato[[#This Row],[FECHA TERMINACIÓN ]]&gt;=TODAY(),"En ejecución","")))</f>
        <v>En ejecución</v>
      </c>
      <c r="AL232" s="107">
        <f ca="1">SUMIF(COMPROMISOS_2025[[#All],[consecutivo]],Contrato[[#This Row],[RCP]],COMPROMISOS_2025[[#All],[Total pagado]])</f>
        <v>0</v>
      </c>
      <c r="AM232" s="122">
        <f ca="1">IFERROR(Contrato[[#This Row],[Pagos]]/Contrato[[#This Row],[VALOR CONTRATO]],0)</f>
        <v>0</v>
      </c>
      <c r="AN232" s="160">
        <f ca="1">+Contrato[[#This Row],[VALOR CONTRATO]]-Contrato[[#This Row],[Pagos]]</f>
        <v>26545593</v>
      </c>
      <c r="AO232" s="111" t="e" cm="1">
        <f t="array" aca="1" ref="AO232" ca="1">_xlfn.XLOOKUP(Contrato[[#This Row],[DOCUMENTO ]],PERSONAL_ACTIVO_2025[[#All],[DOCUMENTO]],PERSONAL_ACTIVO_2025[[#All],[email]],0,0)</f>
        <v>#NAME?</v>
      </c>
      <c r="AP232" s="111" t="e" cm="1">
        <f t="array" aca="1" ref="AP232" ca="1">_xlfn.XLOOKUP(Contrato[[#This Row],[DOCUMENTO]],PERSONAL_ACTIVO_2025[[#All],[DOCUMENTO]],PERSONAL_ACTIVO_2025[[#All],[email]],0,0)</f>
        <v>#NAME?</v>
      </c>
      <c r="AQ232" s="111" cm="1">
        <f t="array" aca="1" ref="AQ232" ca="1">IF(ISBLANK(Contrato[[#This Row],[DEPENDENCIA ]]),0,IFERROR(_xlfn.XLOOKUP(Contrato[[#This Row],[DEPENDENCIA ]],#REF!,#REF!,0,0),0))</f>
        <v>0</v>
      </c>
      <c r="AR232" s="553">
        <f ca="1">+_xlfn.DAYS(Contrato[[#This Row],[FECHA TERMINACIÓN ]],TODAY())</f>
        <v>222</v>
      </c>
    </row>
    <row r="233" spans="1:44" s="111" customFormat="1" ht="36" customHeight="1" x14ac:dyDescent="0.25">
      <c r="A233" s="38">
        <v>445</v>
      </c>
      <c r="B233" s="226">
        <v>226</v>
      </c>
      <c r="C233" s="88" t="s">
        <v>644</v>
      </c>
      <c r="D233" s="192" t="s">
        <v>911</v>
      </c>
      <c r="E233" s="193" t="s">
        <v>112</v>
      </c>
      <c r="F233" s="194" t="s">
        <v>113</v>
      </c>
      <c r="G233" s="195" t="s">
        <v>1294</v>
      </c>
      <c r="H233" s="167">
        <v>1037580044</v>
      </c>
      <c r="I233" s="292">
        <v>4157906</v>
      </c>
      <c r="J233" s="290">
        <v>40747479</v>
      </c>
      <c r="K233" s="158" t="s">
        <v>41</v>
      </c>
      <c r="L233" s="196" t="s">
        <v>1087</v>
      </c>
      <c r="M233" s="114" t="s">
        <v>943</v>
      </c>
      <c r="N233" s="113" t="e" cm="1">
        <f t="array" aca="1" ref="N233" ca="1">_xlfn.XLOOKUP(Contrato[[#This Row],[SUPERVISOR TITULAR]],PERSONAL_ACTIVO_2025[[#All],[NOMBRES Y APELLIDOS]],PERSONAL_ACTIVO_2025[[#All],[DOCUMENTO]],"",0)</f>
        <v>#NAME?</v>
      </c>
      <c r="O233" s="114" t="s">
        <v>939</v>
      </c>
      <c r="P233" s="115" t="e" cm="1">
        <f t="array" aca="1" ref="P233" ca="1">_xlfn.XLOOKUP(Contrato[[#This Row],[SUPERVISOR SUPLENTE ]],PERSONAL_ACTIVO_2025[[#All],[NOMBRES Y APELLIDOS]],PERSONAL_ACTIVO_2025[[#All],[DOCUMENTO]],"",0)</f>
        <v>#NAME?</v>
      </c>
      <c r="Q233" s="116">
        <v>278</v>
      </c>
      <c r="R233" s="137" t="e" cm="1">
        <f t="array" aca="1" ref="R233" ca="1">_xlfn.XLOOKUP(Contrato[[#This Row],[CDP]],DISPONIBILIDADES_2025[[#All],[consecutivo]],DISPONIBILIDADES_2025[[#All],[fecha_aprobacion]],"",0)</f>
        <v>#NAME?</v>
      </c>
      <c r="S233" s="92">
        <f>SUMIF(DISPONIBILIDADES_2025[[#All],[consecutivo]],Contrato[[#This Row],[CDP]],DISPONIBILIDADES_2025[[#All],[valor_total_rubro]])</f>
        <v>40747479</v>
      </c>
      <c r="T233" s="118" t="e" cm="1">
        <f t="array" aca="1" ref="T233" ca="1">_xlfn.XLOOKUP(Contrato[[#This Row],[CONTRATO]]&amp;Contrato[[#This Row],[CDP]],Corr_Contr_CDP[[#All],[CONTRATO-CDP]],Corr_Contr_CDP[[#All],[CRP]],_xlfn.XLOOKUP(Contrato[[#This Row],[CDP]],COMPROMISOS_2025[[#All],[disponibilidad]],COMPROMISOS_2025[[#All],[consecutivo]],"",0),0)</f>
        <v>#NAME?</v>
      </c>
      <c r="U233" s="117" t="e" cm="1">
        <f t="array" aca="1" ref="U233" ca="1">+_xlfn.XLOOKUP(Contrato[[#This Row],[RCP]],COMPROMISOS_2025[[#All],[consecutivo]],COMPROMISOS_2025[[#All],[fecha_aprobacion]],"",0)</f>
        <v>#NAME?</v>
      </c>
      <c r="V233" s="93">
        <f ca="1">SUMIF(COMPROMISOS_2025[[#All],[consecutivo]],Contrato[[#This Row],[RCP]],COMPROMISOS_2025[[#All],[valor_total]])</f>
        <v>0</v>
      </c>
      <c r="W233" s="169">
        <v>45708</v>
      </c>
      <c r="X233" s="243" t="s">
        <v>901</v>
      </c>
      <c r="Y233" s="397">
        <v>45709</v>
      </c>
      <c r="Z233" s="161">
        <v>46005</v>
      </c>
      <c r="AA233" s="198" t="s">
        <v>1143</v>
      </c>
      <c r="AB233" s="119" t="s">
        <v>1127</v>
      </c>
      <c r="AC233" s="305"/>
      <c r="AD233" s="279">
        <v>202000006357</v>
      </c>
      <c r="AE233" s="38" t="s">
        <v>904</v>
      </c>
      <c r="AF233" s="120" t="str">
        <f>TEXT(LEFT(Contrato[[#This Row],[CONTRATO]],3),"0")</f>
        <v>226</v>
      </c>
      <c r="AG233" s="120" t="str">
        <f>IF(LEN(Contrato[[#This Row],[Contrato2]])=3,Contrato[[#This Row],[Contrato2]],TEXT(Contrato[[#This Row],[Contrato2]],"000"))</f>
        <v>226</v>
      </c>
      <c r="AH233" s="90">
        <f ca="1">IFERROR(_xlfn.DAYS(Contrato[[#This Row],[Fecha Proyectada liquidación]],TODAY())/30,"")</f>
        <v>11.4</v>
      </c>
      <c r="AI233" s="121">
        <f>+Contrato[[#This Row],[FECHA TERMINACIÓN ]]+120</f>
        <v>46125</v>
      </c>
      <c r="AJ233" s="89"/>
      <c r="AK233" s="91" t="str">
        <f ca="1">IF(Contrato[[#This Row],[FECHA TERMINACIÓN ]]&lt;TODAY(), "Terminado",IF(ISNUMBER(Contrato[[#This Row],[Fecha Real de liquiidación ]]),"Liquidado",IF(Contrato[[#This Row],[FECHA TERMINACIÓN ]]&gt;=TODAY(),"En ejecución","")))</f>
        <v>En ejecución</v>
      </c>
      <c r="AL233" s="107">
        <f ca="1">SUMIF(COMPROMISOS_2025[[#All],[consecutivo]],Contrato[[#This Row],[RCP]],COMPROMISOS_2025[[#All],[Total pagado]])</f>
        <v>0</v>
      </c>
      <c r="AM233" s="122">
        <f ca="1">IFERROR(Contrato[[#This Row],[Pagos]]/Contrato[[#This Row],[VALOR CONTRATO]],0)</f>
        <v>0</v>
      </c>
      <c r="AN233" s="160">
        <f ca="1">+Contrato[[#This Row],[VALOR CONTRATO]]-Contrato[[#This Row],[Pagos]]</f>
        <v>40747479</v>
      </c>
      <c r="AO233" s="111" t="e" cm="1">
        <f t="array" aca="1" ref="AO233" ca="1">_xlfn.XLOOKUP(Contrato[[#This Row],[DOCUMENTO ]],PERSONAL_ACTIVO_2025[[#All],[DOCUMENTO]],PERSONAL_ACTIVO_2025[[#All],[email]],0,0)</f>
        <v>#NAME?</v>
      </c>
      <c r="AP233" s="111" t="e" cm="1">
        <f t="array" aca="1" ref="AP233" ca="1">_xlfn.XLOOKUP(Contrato[[#This Row],[DOCUMENTO]],PERSONAL_ACTIVO_2025[[#All],[DOCUMENTO]],PERSONAL_ACTIVO_2025[[#All],[email]],0,0)</f>
        <v>#NAME?</v>
      </c>
      <c r="AQ233" s="111" cm="1">
        <f t="array" aca="1" ref="AQ233" ca="1">IF(ISBLANK(Contrato[[#This Row],[DEPENDENCIA ]]),0,IFERROR(_xlfn.XLOOKUP(Contrato[[#This Row],[DEPENDENCIA ]],#REF!,#REF!,0,0),0))</f>
        <v>0</v>
      </c>
      <c r="AR233" s="553">
        <f ca="1">+_xlfn.DAYS(Contrato[[#This Row],[FECHA TERMINACIÓN ]],TODAY())</f>
        <v>222</v>
      </c>
    </row>
    <row r="234" spans="1:44" s="111" customFormat="1" ht="36" customHeight="1" x14ac:dyDescent="0.25">
      <c r="A234" s="38">
        <v>446</v>
      </c>
      <c r="B234" s="226">
        <v>227</v>
      </c>
      <c r="C234" s="88" t="s">
        <v>645</v>
      </c>
      <c r="D234" s="192" t="s">
        <v>911</v>
      </c>
      <c r="E234" s="193" t="s">
        <v>112</v>
      </c>
      <c r="F234" s="194" t="s">
        <v>113</v>
      </c>
      <c r="G234" s="195" t="s">
        <v>1295</v>
      </c>
      <c r="H234" s="167">
        <v>71216094</v>
      </c>
      <c r="I234" s="292">
        <v>7280018</v>
      </c>
      <c r="J234" s="290">
        <v>71344176</v>
      </c>
      <c r="K234" s="158" t="s">
        <v>41</v>
      </c>
      <c r="L234" s="196" t="s">
        <v>1087</v>
      </c>
      <c r="M234" s="114" t="s">
        <v>943</v>
      </c>
      <c r="N234" s="113" t="e" cm="1">
        <f t="array" aca="1" ref="N234" ca="1">_xlfn.XLOOKUP(Contrato[[#This Row],[SUPERVISOR TITULAR]],PERSONAL_ACTIVO_2025[[#All],[NOMBRES Y APELLIDOS]],PERSONAL_ACTIVO_2025[[#All],[DOCUMENTO]],"",0)</f>
        <v>#NAME?</v>
      </c>
      <c r="O234" s="114" t="s">
        <v>939</v>
      </c>
      <c r="P234" s="115" t="e" cm="1">
        <f t="array" aca="1" ref="P234" ca="1">_xlfn.XLOOKUP(Contrato[[#This Row],[SUPERVISOR SUPLENTE ]],PERSONAL_ACTIVO_2025[[#All],[NOMBRES Y APELLIDOS]],PERSONAL_ACTIVO_2025[[#All],[DOCUMENTO]],"",0)</f>
        <v>#NAME?</v>
      </c>
      <c r="Q234" s="116">
        <v>279</v>
      </c>
      <c r="R234" s="137" t="e" cm="1">
        <f t="array" aca="1" ref="R234" ca="1">_xlfn.XLOOKUP(Contrato[[#This Row],[CDP]],DISPONIBILIDADES_2025[[#All],[consecutivo]],DISPONIBILIDADES_2025[[#All],[fecha_aprobacion]],"",0)</f>
        <v>#NAME?</v>
      </c>
      <c r="S234" s="92">
        <f>SUMIF(DISPONIBILIDADES_2025[[#All],[consecutivo]],Contrato[[#This Row],[CDP]],DISPONIBILIDADES_2025[[#All],[valor_total_rubro]])</f>
        <v>71344176</v>
      </c>
      <c r="T234" s="118" t="e" cm="1">
        <f t="array" aca="1" ref="T234" ca="1">_xlfn.XLOOKUP(Contrato[[#This Row],[CONTRATO]]&amp;Contrato[[#This Row],[CDP]],Corr_Contr_CDP[[#All],[CONTRATO-CDP]],Corr_Contr_CDP[[#All],[CRP]],_xlfn.XLOOKUP(Contrato[[#This Row],[CDP]],COMPROMISOS_2025[[#All],[disponibilidad]],COMPROMISOS_2025[[#All],[consecutivo]],"",0),0)</f>
        <v>#NAME?</v>
      </c>
      <c r="U234" s="117" t="e" cm="1">
        <f t="array" aca="1" ref="U234" ca="1">+_xlfn.XLOOKUP(Contrato[[#This Row],[RCP]],COMPROMISOS_2025[[#All],[consecutivo]],COMPROMISOS_2025[[#All],[fecha_aprobacion]],"",0)</f>
        <v>#NAME?</v>
      </c>
      <c r="V234" s="93">
        <f ca="1">SUMIF(COMPROMISOS_2025[[#All],[consecutivo]],Contrato[[#This Row],[RCP]],COMPROMISOS_2025[[#All],[valor_total]])</f>
        <v>0</v>
      </c>
      <c r="W234" s="169">
        <v>45708</v>
      </c>
      <c r="X234" s="243" t="s">
        <v>901</v>
      </c>
      <c r="Y234" s="397">
        <v>45712</v>
      </c>
      <c r="Z234" s="161">
        <v>46008</v>
      </c>
      <c r="AA234" s="198" t="s">
        <v>1143</v>
      </c>
      <c r="AB234" s="119" t="s">
        <v>1127</v>
      </c>
      <c r="AC234" s="305"/>
      <c r="AD234" s="279">
        <v>202000006358</v>
      </c>
      <c r="AE234" s="38" t="s">
        <v>904</v>
      </c>
      <c r="AF234" s="120" t="str">
        <f>TEXT(LEFT(Contrato[[#This Row],[CONTRATO]],3),"0")</f>
        <v>227</v>
      </c>
      <c r="AG234" s="120" t="str">
        <f>IF(LEN(Contrato[[#This Row],[Contrato2]])=3,Contrato[[#This Row],[Contrato2]],TEXT(Contrato[[#This Row],[Contrato2]],"000"))</f>
        <v>227</v>
      </c>
      <c r="AH234" s="90">
        <f ca="1">IFERROR(_xlfn.DAYS(Contrato[[#This Row],[Fecha Proyectada liquidación]],TODAY())/30,"")</f>
        <v>11.5</v>
      </c>
      <c r="AI234" s="121">
        <f>+Contrato[[#This Row],[FECHA TERMINACIÓN ]]+120</f>
        <v>46128</v>
      </c>
      <c r="AJ234" s="89"/>
      <c r="AK234" s="91" t="str">
        <f ca="1">IF(Contrato[[#This Row],[FECHA TERMINACIÓN ]]&lt;TODAY(), "Terminado",IF(ISNUMBER(Contrato[[#This Row],[Fecha Real de liquiidación ]]),"Liquidado",IF(Contrato[[#This Row],[FECHA TERMINACIÓN ]]&gt;=TODAY(),"En ejecución","")))</f>
        <v>En ejecución</v>
      </c>
      <c r="AL234" s="107">
        <f ca="1">SUMIF(COMPROMISOS_2025[[#All],[consecutivo]],Contrato[[#This Row],[RCP]],COMPROMISOS_2025[[#All],[Total pagado]])</f>
        <v>0</v>
      </c>
      <c r="AM234" s="122">
        <f ca="1">IFERROR(Contrato[[#This Row],[Pagos]]/Contrato[[#This Row],[VALOR CONTRATO]],0)</f>
        <v>0</v>
      </c>
      <c r="AN234" s="160">
        <f ca="1">+Contrato[[#This Row],[VALOR CONTRATO]]-Contrato[[#This Row],[Pagos]]</f>
        <v>71344176</v>
      </c>
      <c r="AO234" s="111" t="e" cm="1">
        <f t="array" aca="1" ref="AO234" ca="1">_xlfn.XLOOKUP(Contrato[[#This Row],[DOCUMENTO ]],PERSONAL_ACTIVO_2025[[#All],[DOCUMENTO]],PERSONAL_ACTIVO_2025[[#All],[email]],0,0)</f>
        <v>#NAME?</v>
      </c>
      <c r="AP234" s="111" t="e" cm="1">
        <f t="array" aca="1" ref="AP234" ca="1">_xlfn.XLOOKUP(Contrato[[#This Row],[DOCUMENTO]],PERSONAL_ACTIVO_2025[[#All],[DOCUMENTO]],PERSONAL_ACTIVO_2025[[#All],[email]],0,0)</f>
        <v>#NAME?</v>
      </c>
      <c r="AQ234" s="111" cm="1">
        <f t="array" aca="1" ref="AQ234" ca="1">IF(ISBLANK(Contrato[[#This Row],[DEPENDENCIA ]]),0,IFERROR(_xlfn.XLOOKUP(Contrato[[#This Row],[DEPENDENCIA ]],#REF!,#REF!,0,0),0))</f>
        <v>0</v>
      </c>
      <c r="AR234" s="553">
        <f ca="1">+_xlfn.DAYS(Contrato[[#This Row],[FECHA TERMINACIÓN ]],TODAY())</f>
        <v>225</v>
      </c>
    </row>
    <row r="235" spans="1:44" s="111" customFormat="1" ht="36" customHeight="1" x14ac:dyDescent="0.25">
      <c r="A235" s="38">
        <v>447</v>
      </c>
      <c r="B235" s="226">
        <v>228</v>
      </c>
      <c r="C235" s="88" t="s">
        <v>646</v>
      </c>
      <c r="D235" s="192" t="s">
        <v>911</v>
      </c>
      <c r="E235" s="193" t="s">
        <v>112</v>
      </c>
      <c r="F235" s="194" t="s">
        <v>113</v>
      </c>
      <c r="G235" s="195" t="s">
        <v>1296</v>
      </c>
      <c r="H235" s="167">
        <v>43628018</v>
      </c>
      <c r="I235" s="292">
        <v>4157906</v>
      </c>
      <c r="J235" s="290">
        <v>40747479</v>
      </c>
      <c r="K235" s="158" t="s">
        <v>41</v>
      </c>
      <c r="L235" s="196" t="s">
        <v>1087</v>
      </c>
      <c r="M235" s="114" t="s">
        <v>943</v>
      </c>
      <c r="N235" s="113" t="e" cm="1">
        <f t="array" aca="1" ref="N235" ca="1">_xlfn.XLOOKUP(Contrato[[#This Row],[SUPERVISOR TITULAR]],PERSONAL_ACTIVO_2025[[#All],[NOMBRES Y APELLIDOS]],PERSONAL_ACTIVO_2025[[#All],[DOCUMENTO]],"",0)</f>
        <v>#NAME?</v>
      </c>
      <c r="O235" s="114" t="s">
        <v>939</v>
      </c>
      <c r="P235" s="115" t="e" cm="1">
        <f t="array" aca="1" ref="P235" ca="1">_xlfn.XLOOKUP(Contrato[[#This Row],[SUPERVISOR SUPLENTE ]],PERSONAL_ACTIVO_2025[[#All],[NOMBRES Y APELLIDOS]],PERSONAL_ACTIVO_2025[[#All],[DOCUMENTO]],"",0)</f>
        <v>#NAME?</v>
      </c>
      <c r="Q235" s="116">
        <v>280</v>
      </c>
      <c r="R235" s="137" t="e" cm="1">
        <f t="array" aca="1" ref="R235" ca="1">_xlfn.XLOOKUP(Contrato[[#This Row],[CDP]],DISPONIBILIDADES_2025[[#All],[consecutivo]],DISPONIBILIDADES_2025[[#All],[fecha_aprobacion]],"",0)</f>
        <v>#NAME?</v>
      </c>
      <c r="S235" s="92">
        <f>SUMIF(DISPONIBILIDADES_2025[[#All],[consecutivo]],Contrato[[#This Row],[CDP]],DISPONIBILIDADES_2025[[#All],[valor_total_rubro]])</f>
        <v>40747479</v>
      </c>
      <c r="T235" s="118" t="e" cm="1">
        <f t="array" aca="1" ref="T235" ca="1">_xlfn.XLOOKUP(Contrato[[#This Row],[CONTRATO]]&amp;Contrato[[#This Row],[CDP]],Corr_Contr_CDP[[#All],[CONTRATO-CDP]],Corr_Contr_CDP[[#All],[CRP]],_xlfn.XLOOKUP(Contrato[[#This Row],[CDP]],COMPROMISOS_2025[[#All],[disponibilidad]],COMPROMISOS_2025[[#All],[consecutivo]],"",0),0)</f>
        <v>#NAME?</v>
      </c>
      <c r="U235" s="117" t="e" cm="1">
        <f t="array" aca="1" ref="U235" ca="1">+_xlfn.XLOOKUP(Contrato[[#This Row],[RCP]],COMPROMISOS_2025[[#All],[consecutivo]],COMPROMISOS_2025[[#All],[fecha_aprobacion]],"",0)</f>
        <v>#NAME?</v>
      </c>
      <c r="V235" s="93">
        <f ca="1">SUMIF(COMPROMISOS_2025[[#All],[consecutivo]],Contrato[[#This Row],[RCP]],COMPROMISOS_2025[[#All],[valor_total]])</f>
        <v>0</v>
      </c>
      <c r="W235" s="169">
        <v>45708</v>
      </c>
      <c r="X235" s="243" t="s">
        <v>901</v>
      </c>
      <c r="Y235" s="397">
        <v>45712</v>
      </c>
      <c r="Z235" s="161">
        <v>46008</v>
      </c>
      <c r="AA235" s="198" t="s">
        <v>1143</v>
      </c>
      <c r="AB235" s="119" t="s">
        <v>1127</v>
      </c>
      <c r="AC235" s="305"/>
      <c r="AD235" s="279">
        <v>202000006359</v>
      </c>
      <c r="AE235" s="38" t="s">
        <v>904</v>
      </c>
      <c r="AF235" s="120" t="str">
        <f>TEXT(LEFT(Contrato[[#This Row],[CONTRATO]],3),"0")</f>
        <v>228</v>
      </c>
      <c r="AG235" s="120" t="str">
        <f>IF(LEN(Contrato[[#This Row],[Contrato2]])=3,Contrato[[#This Row],[Contrato2]],TEXT(Contrato[[#This Row],[Contrato2]],"000"))</f>
        <v>228</v>
      </c>
      <c r="AH235" s="90">
        <f ca="1">IFERROR(_xlfn.DAYS(Contrato[[#This Row],[Fecha Proyectada liquidación]],TODAY())/30,"")</f>
        <v>11.5</v>
      </c>
      <c r="AI235" s="121">
        <f>+Contrato[[#This Row],[FECHA TERMINACIÓN ]]+120</f>
        <v>46128</v>
      </c>
      <c r="AJ235" s="89"/>
      <c r="AK235" s="91" t="str">
        <f ca="1">IF(Contrato[[#This Row],[FECHA TERMINACIÓN ]]&lt;TODAY(), "Terminado",IF(ISNUMBER(Contrato[[#This Row],[Fecha Real de liquiidación ]]),"Liquidado",IF(Contrato[[#This Row],[FECHA TERMINACIÓN ]]&gt;=TODAY(),"En ejecución","")))</f>
        <v>En ejecución</v>
      </c>
      <c r="AL235" s="107">
        <f ca="1">SUMIF(COMPROMISOS_2025[[#All],[consecutivo]],Contrato[[#This Row],[RCP]],COMPROMISOS_2025[[#All],[Total pagado]])</f>
        <v>0</v>
      </c>
      <c r="AM235" s="122">
        <f ca="1">IFERROR(Contrato[[#This Row],[Pagos]]/Contrato[[#This Row],[VALOR CONTRATO]],0)</f>
        <v>0</v>
      </c>
      <c r="AN235" s="160">
        <f ca="1">+Contrato[[#This Row],[VALOR CONTRATO]]-Contrato[[#This Row],[Pagos]]</f>
        <v>40747479</v>
      </c>
      <c r="AO235" s="111" t="e" cm="1">
        <f t="array" aca="1" ref="AO235" ca="1">_xlfn.XLOOKUP(Contrato[[#This Row],[DOCUMENTO ]],PERSONAL_ACTIVO_2025[[#All],[DOCUMENTO]],PERSONAL_ACTIVO_2025[[#All],[email]],0,0)</f>
        <v>#NAME?</v>
      </c>
      <c r="AP235" s="111" t="e" cm="1">
        <f t="array" aca="1" ref="AP235" ca="1">_xlfn.XLOOKUP(Contrato[[#This Row],[DOCUMENTO]],PERSONAL_ACTIVO_2025[[#All],[DOCUMENTO]],PERSONAL_ACTIVO_2025[[#All],[email]],0,0)</f>
        <v>#NAME?</v>
      </c>
      <c r="AQ235" s="111" cm="1">
        <f t="array" aca="1" ref="AQ235" ca="1">IF(ISBLANK(Contrato[[#This Row],[DEPENDENCIA ]]),0,IFERROR(_xlfn.XLOOKUP(Contrato[[#This Row],[DEPENDENCIA ]],#REF!,#REF!,0,0),0))</f>
        <v>0</v>
      </c>
      <c r="AR235" s="553">
        <f ca="1">+_xlfn.DAYS(Contrato[[#This Row],[FECHA TERMINACIÓN ]],TODAY())</f>
        <v>225</v>
      </c>
    </row>
    <row r="236" spans="1:44" s="111" customFormat="1" ht="36" customHeight="1" x14ac:dyDescent="0.25">
      <c r="A236" s="38">
        <v>448</v>
      </c>
      <c r="B236" s="226">
        <v>229</v>
      </c>
      <c r="C236" s="88" t="s">
        <v>647</v>
      </c>
      <c r="D236" s="192" t="s">
        <v>911</v>
      </c>
      <c r="E236" s="193" t="s">
        <v>112</v>
      </c>
      <c r="F236" s="194" t="s">
        <v>113</v>
      </c>
      <c r="G236" s="195" t="s">
        <v>1297</v>
      </c>
      <c r="H236" s="167">
        <v>1036948477</v>
      </c>
      <c r="I236" s="292">
        <v>5164201</v>
      </c>
      <c r="J236" s="290">
        <v>50609170</v>
      </c>
      <c r="K236" s="158" t="s">
        <v>41</v>
      </c>
      <c r="L236" s="196" t="s">
        <v>1087</v>
      </c>
      <c r="M236" s="114" t="s">
        <v>943</v>
      </c>
      <c r="N236" s="113" t="e" cm="1">
        <f t="array" aca="1" ref="N236" ca="1">_xlfn.XLOOKUP(Contrato[[#This Row],[SUPERVISOR TITULAR]],PERSONAL_ACTIVO_2025[[#All],[NOMBRES Y APELLIDOS]],PERSONAL_ACTIVO_2025[[#All],[DOCUMENTO]],"",0)</f>
        <v>#NAME?</v>
      </c>
      <c r="O236" s="114" t="s">
        <v>939</v>
      </c>
      <c r="P236" s="115" t="e" cm="1">
        <f t="array" aca="1" ref="P236" ca="1">_xlfn.XLOOKUP(Contrato[[#This Row],[SUPERVISOR SUPLENTE ]],PERSONAL_ACTIVO_2025[[#All],[NOMBRES Y APELLIDOS]],PERSONAL_ACTIVO_2025[[#All],[DOCUMENTO]],"",0)</f>
        <v>#NAME?</v>
      </c>
      <c r="Q236" s="116">
        <v>281</v>
      </c>
      <c r="R236" s="137" t="e" cm="1">
        <f t="array" aca="1" ref="R236" ca="1">_xlfn.XLOOKUP(Contrato[[#This Row],[CDP]],DISPONIBILIDADES_2025[[#All],[consecutivo]],DISPONIBILIDADES_2025[[#All],[fecha_aprobacion]],"",0)</f>
        <v>#NAME?</v>
      </c>
      <c r="S236" s="92">
        <f>SUMIF(DISPONIBILIDADES_2025[[#All],[consecutivo]],Contrato[[#This Row],[CDP]],DISPONIBILIDADES_2025[[#All],[valor_total_rubro]])</f>
        <v>50609170</v>
      </c>
      <c r="T236" s="118" t="e" cm="1">
        <f t="array" aca="1" ref="T236" ca="1">_xlfn.XLOOKUP(Contrato[[#This Row],[CONTRATO]]&amp;Contrato[[#This Row],[CDP]],Corr_Contr_CDP[[#All],[CONTRATO-CDP]],Corr_Contr_CDP[[#All],[CRP]],_xlfn.XLOOKUP(Contrato[[#This Row],[CDP]],COMPROMISOS_2025[[#All],[disponibilidad]],COMPROMISOS_2025[[#All],[consecutivo]],"",0),0)</f>
        <v>#NAME?</v>
      </c>
      <c r="U236" s="117" t="e" cm="1">
        <f t="array" aca="1" ref="U236" ca="1">+_xlfn.XLOOKUP(Contrato[[#This Row],[RCP]],COMPROMISOS_2025[[#All],[consecutivo]],COMPROMISOS_2025[[#All],[fecha_aprobacion]],"",0)</f>
        <v>#NAME?</v>
      </c>
      <c r="V236" s="93">
        <f ca="1">SUMIF(COMPROMISOS_2025[[#All],[consecutivo]],Contrato[[#This Row],[RCP]],COMPROMISOS_2025[[#All],[valor_total]])</f>
        <v>0</v>
      </c>
      <c r="W236" s="169">
        <v>45708</v>
      </c>
      <c r="X236" s="243" t="s">
        <v>901</v>
      </c>
      <c r="Y236" s="397">
        <v>45712</v>
      </c>
      <c r="Z236" s="161">
        <v>46008</v>
      </c>
      <c r="AA236" s="198" t="s">
        <v>1143</v>
      </c>
      <c r="AB236" s="119" t="s">
        <v>1127</v>
      </c>
      <c r="AC236" s="304"/>
      <c r="AD236" s="279">
        <v>202000006360</v>
      </c>
      <c r="AE236" s="38" t="s">
        <v>904</v>
      </c>
      <c r="AF236" s="120" t="str">
        <f>TEXT(LEFT(Contrato[[#This Row],[CONTRATO]],3),"0")</f>
        <v>229</v>
      </c>
      <c r="AG236" s="120" t="str">
        <f>IF(LEN(Contrato[[#This Row],[Contrato2]])=3,Contrato[[#This Row],[Contrato2]],TEXT(Contrato[[#This Row],[Contrato2]],"000"))</f>
        <v>229</v>
      </c>
      <c r="AH236" s="90">
        <f ca="1">IFERROR(_xlfn.DAYS(Contrato[[#This Row],[Fecha Proyectada liquidación]],TODAY())/30,"")</f>
        <v>11.5</v>
      </c>
      <c r="AI236" s="121">
        <f>+Contrato[[#This Row],[FECHA TERMINACIÓN ]]+120</f>
        <v>46128</v>
      </c>
      <c r="AJ236" s="89"/>
      <c r="AK236" s="91" t="str">
        <f ca="1">IF(Contrato[[#This Row],[FECHA TERMINACIÓN ]]&lt;TODAY(), "Terminado",IF(ISNUMBER(Contrato[[#This Row],[Fecha Real de liquiidación ]]),"Liquidado",IF(Contrato[[#This Row],[FECHA TERMINACIÓN ]]&gt;=TODAY(),"En ejecución","")))</f>
        <v>En ejecución</v>
      </c>
      <c r="AL236" s="107">
        <f ca="1">SUMIF(COMPROMISOS_2025[[#All],[consecutivo]],Contrato[[#This Row],[RCP]],COMPROMISOS_2025[[#All],[Total pagado]])</f>
        <v>0</v>
      </c>
      <c r="AM236" s="122">
        <f ca="1">IFERROR(Contrato[[#This Row],[Pagos]]/Contrato[[#This Row],[VALOR CONTRATO]],0)</f>
        <v>0</v>
      </c>
      <c r="AN236" s="160">
        <f ca="1">+Contrato[[#This Row],[VALOR CONTRATO]]-Contrato[[#This Row],[Pagos]]</f>
        <v>50609170</v>
      </c>
      <c r="AO236" s="111" t="e" cm="1">
        <f t="array" aca="1" ref="AO236" ca="1">_xlfn.XLOOKUP(Contrato[[#This Row],[DOCUMENTO ]],PERSONAL_ACTIVO_2025[[#All],[DOCUMENTO]],PERSONAL_ACTIVO_2025[[#All],[email]],0,0)</f>
        <v>#NAME?</v>
      </c>
      <c r="AP236" s="111" t="e" cm="1">
        <f t="array" aca="1" ref="AP236" ca="1">_xlfn.XLOOKUP(Contrato[[#This Row],[DOCUMENTO]],PERSONAL_ACTIVO_2025[[#All],[DOCUMENTO]],PERSONAL_ACTIVO_2025[[#All],[email]],0,0)</f>
        <v>#NAME?</v>
      </c>
      <c r="AQ236" s="111" cm="1">
        <f t="array" aca="1" ref="AQ236" ca="1">IF(ISBLANK(Contrato[[#This Row],[DEPENDENCIA ]]),0,IFERROR(_xlfn.XLOOKUP(Contrato[[#This Row],[DEPENDENCIA ]],#REF!,#REF!,0,0),0))</f>
        <v>0</v>
      </c>
      <c r="AR236" s="553">
        <f ca="1">+_xlfn.DAYS(Contrato[[#This Row],[FECHA TERMINACIÓN ]],TODAY())</f>
        <v>225</v>
      </c>
    </row>
    <row r="237" spans="1:44" ht="39.75" customHeight="1" x14ac:dyDescent="0.25">
      <c r="A237" s="38">
        <v>59</v>
      </c>
      <c r="B237" s="226">
        <v>230</v>
      </c>
      <c r="C237" s="88" t="s">
        <v>179</v>
      </c>
      <c r="D237" s="192" t="s">
        <v>883</v>
      </c>
      <c r="E237" s="193" t="s">
        <v>112</v>
      </c>
      <c r="F237" s="194" t="s">
        <v>125</v>
      </c>
      <c r="G237" s="195" t="s">
        <v>1298</v>
      </c>
      <c r="H237" s="167">
        <v>901465133</v>
      </c>
      <c r="I237" s="292">
        <v>0</v>
      </c>
      <c r="J237" s="290">
        <v>199215295</v>
      </c>
      <c r="K237" s="158" t="s">
        <v>41</v>
      </c>
      <c r="L237" s="196" t="s">
        <v>1087</v>
      </c>
      <c r="M237" s="114" t="s">
        <v>991</v>
      </c>
      <c r="N237" s="113" t="e" cm="1">
        <f t="array" aca="1" ref="N237" ca="1">_xlfn.XLOOKUP(Contrato[[#This Row],[SUPERVISOR TITULAR]],PERSONAL_ACTIVO_2025[[#All],[NOMBRES Y APELLIDOS]],PERSONAL_ACTIVO_2025[[#All],[DOCUMENTO]],"",0)</f>
        <v>#NAME?</v>
      </c>
      <c r="O237" s="114" t="s">
        <v>887</v>
      </c>
      <c r="P237" s="115" t="e" cm="1">
        <f t="array" aca="1" ref="P237" ca="1">_xlfn.XLOOKUP(Contrato[[#This Row],[SUPERVISOR SUPLENTE ]],PERSONAL_ACTIVO_2025[[#All],[NOMBRES Y APELLIDOS]],PERSONAL_ACTIVO_2025[[#All],[DOCUMENTO]],"",0)</f>
        <v>#NAME?</v>
      </c>
      <c r="Q237" s="116">
        <v>317</v>
      </c>
      <c r="R237" s="137" t="e" cm="1">
        <f t="array" aca="1" ref="R237" ca="1">_xlfn.XLOOKUP(Contrato[[#This Row],[CDP]],DISPONIBILIDADES_2025[[#All],[consecutivo]],DISPONIBILIDADES_2025[[#All],[fecha_aprobacion]],"",0)</f>
        <v>#NAME?</v>
      </c>
      <c r="S237" s="92">
        <f>SUMIF(DISPONIBILIDADES_2025[[#All],[consecutivo]],Contrato[[#This Row],[CDP]],DISPONIBILIDADES_2025[[#All],[valor_total_rubro]])</f>
        <v>199215295</v>
      </c>
      <c r="T237" s="118" t="e" cm="1">
        <f t="array" aca="1" ref="T237" ca="1">_xlfn.XLOOKUP(Contrato[[#This Row],[CONTRATO]]&amp;Contrato[[#This Row],[CDP]],Corr_Contr_CDP[[#All],[CONTRATO-CDP]],Corr_Contr_CDP[[#All],[CRP]],_xlfn.XLOOKUP(Contrato[[#This Row],[CDP]],COMPROMISOS_2025[[#All],[disponibilidad]],COMPROMISOS_2025[[#All],[consecutivo]],"",0),0)</f>
        <v>#NAME?</v>
      </c>
      <c r="U237" s="117" t="e" cm="1">
        <f t="array" aca="1" ref="U237" ca="1">+_xlfn.XLOOKUP(Contrato[[#This Row],[RCP]],COMPROMISOS_2025[[#All],[consecutivo]],COMPROMISOS_2025[[#All],[fecha_aprobacion]],"",0)</f>
        <v>#NAME?</v>
      </c>
      <c r="V237" s="93">
        <f ca="1">SUMIF(COMPROMISOS_2025[[#All],[consecutivo]],Contrato[[#This Row],[RCP]],COMPROMISOS_2025[[#All],[valor_total]])</f>
        <v>0</v>
      </c>
      <c r="W237" s="169">
        <v>45712</v>
      </c>
      <c r="X237" s="243" t="s">
        <v>901</v>
      </c>
      <c r="Y237" s="397">
        <v>45714</v>
      </c>
      <c r="Z237" s="161">
        <v>46017</v>
      </c>
      <c r="AA237" s="198" t="s">
        <v>1299</v>
      </c>
      <c r="AB237" s="119" t="s">
        <v>1004</v>
      </c>
      <c r="AC237" s="112"/>
      <c r="AD237" s="279">
        <v>202000006364</v>
      </c>
      <c r="AE237" s="38" t="s">
        <v>904</v>
      </c>
      <c r="AF237" s="120" t="str">
        <f>TEXT(LEFT(Contrato[[#This Row],[CONTRATO]],3),"0")</f>
        <v>230</v>
      </c>
      <c r="AG237" s="120" t="str">
        <f>IF(LEN(Contrato[[#This Row],[Contrato2]])=3,Contrato[[#This Row],[Contrato2]],TEXT(Contrato[[#This Row],[Contrato2]],"000"))</f>
        <v>230</v>
      </c>
      <c r="AH237" s="90">
        <f ca="1">IFERROR(_xlfn.DAYS(Contrato[[#This Row],[Fecha Proyectada liquidación]],TODAY())/30,"")</f>
        <v>11.8</v>
      </c>
      <c r="AI237" s="121">
        <f>+Contrato[[#This Row],[FECHA TERMINACIÓN ]]+120</f>
        <v>46137</v>
      </c>
      <c r="AK237" s="91" t="str">
        <f ca="1">IF(Contrato[[#This Row],[FECHA TERMINACIÓN ]]&lt;TODAY(), "Terminado",IF(ISNUMBER(Contrato[[#This Row],[Fecha Real de liquiidación ]]),"Liquidado",IF(Contrato[[#This Row],[FECHA TERMINACIÓN ]]&gt;=TODAY(),"En ejecución","")))</f>
        <v>En ejecución</v>
      </c>
      <c r="AL237" s="107">
        <f ca="1">SUMIF(COMPROMISOS_2025[[#All],[consecutivo]],Contrato[[#This Row],[RCP]],COMPROMISOS_2025[[#All],[Total pagado]])</f>
        <v>0</v>
      </c>
      <c r="AM237" s="122">
        <f ca="1">IFERROR(Contrato[[#This Row],[Pagos]]/Contrato[[#This Row],[VALOR CONTRATO]],0)</f>
        <v>0</v>
      </c>
      <c r="AN237" s="160">
        <f ca="1">+Contrato[[#This Row],[VALOR CONTRATO]]-Contrato[[#This Row],[Pagos]]</f>
        <v>199215295</v>
      </c>
      <c r="AO237" s="111" t="e" cm="1">
        <f t="array" aca="1" ref="AO237" ca="1">_xlfn.XLOOKUP(Contrato[[#This Row],[DOCUMENTO ]],PERSONAL_ACTIVO_2025[[#All],[DOCUMENTO]],PERSONAL_ACTIVO_2025[[#All],[email]],0,0)</f>
        <v>#NAME?</v>
      </c>
      <c r="AP237" s="111" t="e" cm="1">
        <f t="array" aca="1" ref="AP237" ca="1">_xlfn.XLOOKUP(Contrato[[#This Row],[DOCUMENTO]],PERSONAL_ACTIVO_2025[[#All],[DOCUMENTO]],PERSONAL_ACTIVO_2025[[#All],[email]],0,0)</f>
        <v>#NAME?</v>
      </c>
      <c r="AQ237" s="111" cm="1">
        <f t="array" aca="1" ref="AQ237" ca="1">IF(ISBLANK(Contrato[[#This Row],[DEPENDENCIA ]]),0,IFERROR(_xlfn.XLOOKUP(Contrato[[#This Row],[DEPENDENCIA ]],#REF!,#REF!,0,0),0))</f>
        <v>0</v>
      </c>
      <c r="AR237" s="555">
        <f ca="1">+_xlfn.DAYS(Contrato[[#This Row],[FECHA TERMINACIÓN ]],TODAY())</f>
        <v>234</v>
      </c>
    </row>
    <row r="238" spans="1:44" ht="39.75" customHeight="1" x14ac:dyDescent="0.25">
      <c r="A238" s="38">
        <v>541</v>
      </c>
      <c r="B238" s="226">
        <v>231</v>
      </c>
      <c r="C238" s="88" t="s">
        <v>742</v>
      </c>
      <c r="D238" s="192" t="s">
        <v>930</v>
      </c>
      <c r="E238" s="193" t="s">
        <v>112</v>
      </c>
      <c r="F238" s="194" t="s">
        <v>113</v>
      </c>
      <c r="G238" s="195" t="s">
        <v>1300</v>
      </c>
      <c r="H238" s="167">
        <v>1039024659</v>
      </c>
      <c r="I238" s="292">
        <v>7521800</v>
      </c>
      <c r="J238" s="290">
        <v>87718000</v>
      </c>
      <c r="K238" s="246" t="s">
        <v>1301</v>
      </c>
      <c r="L238" s="196" t="s">
        <v>1278</v>
      </c>
      <c r="M238" s="114" t="s">
        <v>1116</v>
      </c>
      <c r="N238" s="113" t="e" cm="1">
        <f t="array" aca="1" ref="N238" ca="1">_xlfn.XLOOKUP(Contrato[[#This Row],[SUPERVISOR TITULAR]],PERSONAL_ACTIVO_2025[[#All],[NOMBRES Y APELLIDOS]],PERSONAL_ACTIVO_2025[[#All],[DOCUMENTO]],"",0)</f>
        <v>#NAME?</v>
      </c>
      <c r="O238" s="114" t="s">
        <v>1117</v>
      </c>
      <c r="P238" s="115" t="e" cm="1">
        <f t="array" aca="1" ref="P238" ca="1">_xlfn.XLOOKUP(Contrato[[#This Row],[SUPERVISOR SUPLENTE ]],PERSONAL_ACTIVO_2025[[#All],[NOMBRES Y APELLIDOS]],PERSONAL_ACTIVO_2025[[#All],[DOCUMENTO]],"",0)</f>
        <v>#NAME?</v>
      </c>
      <c r="Q238" s="116">
        <v>288</v>
      </c>
      <c r="R238" s="137" t="e" cm="1">
        <f t="array" aca="1" ref="R238" ca="1">_xlfn.XLOOKUP(Contrato[[#This Row],[CDP]],DISPONIBILIDADES_2025[[#All],[consecutivo]],DISPONIBILIDADES_2025[[#All],[fecha_aprobacion]],"",0)</f>
        <v>#NAME?</v>
      </c>
      <c r="S238" s="92">
        <f>SUMIF(DISPONIBILIDADES_2025[[#All],[consecutivo]],Contrato[[#This Row],[CDP]],DISPONIBILIDADES_2025[[#All],[valor_total_rubro]])</f>
        <v>87718000</v>
      </c>
      <c r="T238" s="118" t="e" cm="1">
        <f t="array" aca="1" ref="T238" ca="1">_xlfn.XLOOKUP(Contrato[[#This Row],[CONTRATO]]&amp;Contrato[[#This Row],[CDP]],Corr_Contr_CDP[[#All],[CONTRATO-CDP]],Corr_Contr_CDP[[#All],[CRP]],_xlfn.XLOOKUP(Contrato[[#This Row],[CDP]],COMPROMISOS_2025[[#All],[disponibilidad]],COMPROMISOS_2025[[#All],[consecutivo]],"",0),0)</f>
        <v>#NAME?</v>
      </c>
      <c r="U238" s="117" t="e" cm="1">
        <f t="array" aca="1" ref="U238" ca="1">+_xlfn.XLOOKUP(Contrato[[#This Row],[RCP]],COMPROMISOS_2025[[#All],[consecutivo]],COMPROMISOS_2025[[#All],[fecha_aprobacion]],"",0)</f>
        <v>#NAME?</v>
      </c>
      <c r="V238" s="93">
        <f ca="1">SUMIF(COMPROMISOS_2025[[#All],[consecutivo]],Contrato[[#This Row],[RCP]],COMPROMISOS_2025[[#All],[valor_total]])</f>
        <v>0</v>
      </c>
      <c r="W238" s="169">
        <v>45709</v>
      </c>
      <c r="X238" s="243" t="s">
        <v>901</v>
      </c>
      <c r="Y238" s="397">
        <v>45713</v>
      </c>
      <c r="Z238" s="161">
        <v>46015</v>
      </c>
      <c r="AA238" s="198" t="s">
        <v>1302</v>
      </c>
      <c r="AB238" s="119" t="s">
        <v>1004</v>
      </c>
      <c r="AC238" s="112"/>
      <c r="AD238" s="279">
        <v>202000006366</v>
      </c>
      <c r="AE238" s="38" t="s">
        <v>904</v>
      </c>
      <c r="AF238" s="120" t="str">
        <f>TEXT(LEFT(Contrato[[#This Row],[CONTRATO]],3),"0")</f>
        <v>231</v>
      </c>
      <c r="AG238" s="120" t="str">
        <f>IF(LEN(Contrato[[#This Row],[Contrato2]])=3,Contrato[[#This Row],[Contrato2]],TEXT(Contrato[[#This Row],[Contrato2]],"000"))</f>
        <v>231</v>
      </c>
      <c r="AH238" s="90">
        <f ca="1">IFERROR(_xlfn.DAYS(Contrato[[#This Row],[Fecha Proyectada liquidación]],TODAY())/30,"")</f>
        <v>11.733333333333333</v>
      </c>
      <c r="AI238" s="121">
        <f>+Contrato[[#This Row],[FECHA TERMINACIÓN ]]+120</f>
        <v>46135</v>
      </c>
      <c r="AK238" s="91" t="str">
        <f ca="1">IF(Contrato[[#This Row],[FECHA TERMINACIÓN ]]&lt;TODAY(), "Terminado",IF(ISNUMBER(Contrato[[#This Row],[Fecha Real de liquiidación ]]),"Liquidado",IF(Contrato[[#This Row],[FECHA TERMINACIÓN ]]&gt;=TODAY(),"En ejecución","")))</f>
        <v>En ejecución</v>
      </c>
      <c r="AL238" s="107">
        <f ca="1">SUMIF(COMPROMISOS_2025[[#All],[consecutivo]],Contrato[[#This Row],[RCP]],COMPROMISOS_2025[[#All],[Total pagado]])</f>
        <v>0</v>
      </c>
      <c r="AM238" s="122">
        <f ca="1">IFERROR(Contrato[[#This Row],[Pagos]]/Contrato[[#This Row],[VALOR CONTRATO]],0)</f>
        <v>0</v>
      </c>
      <c r="AN238" s="160">
        <f ca="1">+Contrato[[#This Row],[VALOR CONTRATO]]-Contrato[[#This Row],[Pagos]]</f>
        <v>87718000</v>
      </c>
      <c r="AO238" s="111" t="e" cm="1">
        <f t="array" aca="1" ref="AO238" ca="1">_xlfn.XLOOKUP(Contrato[[#This Row],[DOCUMENTO ]],PERSONAL_ACTIVO_2025[[#All],[DOCUMENTO]],PERSONAL_ACTIVO_2025[[#All],[email]],0,0)</f>
        <v>#NAME?</v>
      </c>
      <c r="AP238" s="111" t="e" cm="1">
        <f t="array" aca="1" ref="AP238" ca="1">_xlfn.XLOOKUP(Contrato[[#This Row],[DOCUMENTO]],PERSONAL_ACTIVO_2025[[#All],[DOCUMENTO]],PERSONAL_ACTIVO_2025[[#All],[email]],0,0)</f>
        <v>#NAME?</v>
      </c>
      <c r="AQ238" s="111" cm="1">
        <f t="array" aca="1" ref="AQ238" ca="1">IF(ISBLANK(Contrato[[#This Row],[DEPENDENCIA ]]),0,IFERROR(_xlfn.XLOOKUP(Contrato[[#This Row],[DEPENDENCIA ]],#REF!,#REF!,0,0),0))</f>
        <v>0</v>
      </c>
      <c r="AR238" s="555">
        <f ca="1">+_xlfn.DAYS(Contrato[[#This Row],[FECHA TERMINACIÓN ]],TODAY())</f>
        <v>232</v>
      </c>
    </row>
    <row r="239" spans="1:44" ht="39.75" customHeight="1" x14ac:dyDescent="0.25">
      <c r="A239" s="38">
        <v>516</v>
      </c>
      <c r="B239" s="226">
        <v>232</v>
      </c>
      <c r="C239" s="88" t="s">
        <v>721</v>
      </c>
      <c r="D239" s="192" t="s">
        <v>945</v>
      </c>
      <c r="E239" s="193" t="s">
        <v>112</v>
      </c>
      <c r="F239" s="194" t="s">
        <v>113</v>
      </c>
      <c r="G239" s="195" t="s">
        <v>1303</v>
      </c>
      <c r="H239" s="167">
        <v>1028033916</v>
      </c>
      <c r="I239" s="292">
        <v>4102800</v>
      </c>
      <c r="J239" s="290">
        <v>20514000</v>
      </c>
      <c r="K239" s="158" t="s">
        <v>41</v>
      </c>
      <c r="L239" s="196" t="s">
        <v>1278</v>
      </c>
      <c r="M239" s="114" t="s">
        <v>1304</v>
      </c>
      <c r="N239" s="113" t="e" cm="1">
        <f t="array" aca="1" ref="N239" ca="1">_xlfn.XLOOKUP(Contrato[[#This Row],[SUPERVISOR TITULAR]],PERSONAL_ACTIVO_2025[[#All],[NOMBRES Y APELLIDOS]],PERSONAL_ACTIVO_2025[[#All],[DOCUMENTO]],"",0)</f>
        <v>#NAME?</v>
      </c>
      <c r="O239" s="114" t="s">
        <v>1305</v>
      </c>
      <c r="P239" s="115" t="e" cm="1">
        <f t="array" aca="1" ref="P239" ca="1">_xlfn.XLOOKUP(Contrato[[#This Row],[SUPERVISOR SUPLENTE ]],PERSONAL_ACTIVO_2025[[#All],[NOMBRES Y APELLIDOS]],PERSONAL_ACTIVO_2025[[#All],[DOCUMENTO]],"",0)</f>
        <v>#NAME?</v>
      </c>
      <c r="Q239" s="116">
        <v>37</v>
      </c>
      <c r="R239" s="137" t="e" cm="1">
        <f t="array" aca="1" ref="R239" ca="1">_xlfn.XLOOKUP(Contrato[[#This Row],[CDP]],DISPONIBILIDADES_2025[[#All],[consecutivo]],DISPONIBILIDADES_2025[[#All],[fecha_aprobacion]],"",0)</f>
        <v>#NAME?</v>
      </c>
      <c r="S239" s="92">
        <f>SUMIF(DISPONIBILIDADES_2025[[#All],[consecutivo]],Contrato[[#This Row],[CDP]],DISPONIBILIDADES_2025[[#All],[valor_total_rubro]])</f>
        <v>20514000</v>
      </c>
      <c r="T239" s="118" t="e" cm="1">
        <f t="array" aca="1" ref="T239" ca="1">_xlfn.XLOOKUP(Contrato[[#This Row],[CONTRATO]]&amp;Contrato[[#This Row],[CDP]],Corr_Contr_CDP[[#All],[CONTRATO-CDP]],Corr_Contr_CDP[[#All],[CRP]],_xlfn.XLOOKUP(Contrato[[#This Row],[CDP]],COMPROMISOS_2025[[#All],[disponibilidad]],COMPROMISOS_2025[[#All],[consecutivo]],"",0),0)</f>
        <v>#NAME?</v>
      </c>
      <c r="U239" s="117" t="e" cm="1">
        <f t="array" aca="1" ref="U239" ca="1">+_xlfn.XLOOKUP(Contrato[[#This Row],[RCP]],COMPROMISOS_2025[[#All],[consecutivo]],COMPROMISOS_2025[[#All],[fecha_aprobacion]],"",0)</f>
        <v>#NAME?</v>
      </c>
      <c r="V239" s="93">
        <f ca="1">SUMIF(COMPROMISOS_2025[[#All],[consecutivo]],Contrato[[#This Row],[RCP]],COMPROMISOS_2025[[#All],[valor_total]])</f>
        <v>0</v>
      </c>
      <c r="W239" s="169">
        <v>45713</v>
      </c>
      <c r="X239" s="243" t="s">
        <v>901</v>
      </c>
      <c r="Y239" s="397">
        <v>45715</v>
      </c>
      <c r="Z239" s="161">
        <v>45864</v>
      </c>
      <c r="AA239" s="198" t="s">
        <v>1306</v>
      </c>
      <c r="AB239" s="119" t="s">
        <v>920</v>
      </c>
      <c r="AC239" s="112"/>
      <c r="AD239" s="279">
        <v>202000006367</v>
      </c>
      <c r="AE239" s="38" t="s">
        <v>904</v>
      </c>
      <c r="AF239" s="120" t="str">
        <f>TEXT(LEFT(Contrato[[#This Row],[CONTRATO]],3),"0")</f>
        <v>232</v>
      </c>
      <c r="AG239" s="120" t="str">
        <f>IF(LEN(Contrato[[#This Row],[Contrato2]])=3,Contrato[[#This Row],[Contrato2]],TEXT(Contrato[[#This Row],[Contrato2]],"000"))</f>
        <v>232</v>
      </c>
      <c r="AH239" s="90">
        <f ca="1">IFERROR(_xlfn.DAYS(Contrato[[#This Row],[Fecha Proyectada liquidación]],TODAY())/30,"")</f>
        <v>6.7</v>
      </c>
      <c r="AI239" s="121">
        <f>+Contrato[[#This Row],[FECHA TERMINACIÓN ]]+120</f>
        <v>45984</v>
      </c>
      <c r="AK239" s="91" t="str">
        <f ca="1">IF(Contrato[[#This Row],[FECHA TERMINACIÓN ]]&lt;TODAY(), "Terminado",IF(ISNUMBER(Contrato[[#This Row],[Fecha Real de liquiidación ]]),"Liquidado",IF(Contrato[[#This Row],[FECHA TERMINACIÓN ]]&gt;=TODAY(),"En ejecución","")))</f>
        <v>En ejecución</v>
      </c>
      <c r="AL239" s="107">
        <f ca="1">SUMIF(COMPROMISOS_2025[[#All],[consecutivo]],Contrato[[#This Row],[RCP]],COMPROMISOS_2025[[#All],[Total pagado]])</f>
        <v>0</v>
      </c>
      <c r="AM239" s="122">
        <f ca="1">IFERROR(Contrato[[#This Row],[Pagos]]/Contrato[[#This Row],[VALOR CONTRATO]],0)</f>
        <v>0</v>
      </c>
      <c r="AN239" s="160">
        <f ca="1">+Contrato[[#This Row],[VALOR CONTRATO]]-Contrato[[#This Row],[Pagos]]</f>
        <v>20514000</v>
      </c>
      <c r="AO239" s="111" t="e" cm="1">
        <f t="array" aca="1" ref="AO239" ca="1">_xlfn.XLOOKUP(Contrato[[#This Row],[DOCUMENTO ]],PERSONAL_ACTIVO_2025[[#All],[DOCUMENTO]],PERSONAL_ACTIVO_2025[[#All],[email]],0,0)</f>
        <v>#NAME?</v>
      </c>
      <c r="AP239" s="111" t="e" cm="1">
        <f t="array" aca="1" ref="AP239" ca="1">_xlfn.XLOOKUP(Contrato[[#This Row],[DOCUMENTO]],PERSONAL_ACTIVO_2025[[#All],[DOCUMENTO]],PERSONAL_ACTIVO_2025[[#All],[email]],0,0)</f>
        <v>#NAME?</v>
      </c>
      <c r="AQ239" s="111" cm="1">
        <f t="array" aca="1" ref="AQ239" ca="1">IF(ISBLANK(Contrato[[#This Row],[DEPENDENCIA ]]),0,IFERROR(_xlfn.XLOOKUP(Contrato[[#This Row],[DEPENDENCIA ]],#REF!,#REF!,0,0),0))</f>
        <v>0</v>
      </c>
      <c r="AR239" s="555">
        <f ca="1">+_xlfn.DAYS(Contrato[[#This Row],[FECHA TERMINACIÓN ]],TODAY())</f>
        <v>81</v>
      </c>
    </row>
    <row r="240" spans="1:44" ht="39.75" customHeight="1" x14ac:dyDescent="0.25">
      <c r="A240" s="38">
        <v>546</v>
      </c>
      <c r="B240" s="226">
        <v>233</v>
      </c>
      <c r="C240" s="88" t="s">
        <v>746</v>
      </c>
      <c r="D240" s="192" t="s">
        <v>883</v>
      </c>
      <c r="E240" s="193" t="s">
        <v>112</v>
      </c>
      <c r="F240" s="194" t="s">
        <v>113</v>
      </c>
      <c r="G240" s="195" t="s">
        <v>1307</v>
      </c>
      <c r="H240" s="167">
        <v>15439600</v>
      </c>
      <c r="I240" s="292">
        <v>3419000</v>
      </c>
      <c r="J240" s="290">
        <v>17095000</v>
      </c>
      <c r="K240" s="158" t="s">
        <v>41</v>
      </c>
      <c r="L240" s="196" t="s">
        <v>1278</v>
      </c>
      <c r="M240" s="114" t="s">
        <v>886</v>
      </c>
      <c r="N240" s="113" t="e" cm="1">
        <f t="array" aca="1" ref="N240" ca="1">_xlfn.XLOOKUP(Contrato[[#This Row],[SUPERVISOR TITULAR]],PERSONAL_ACTIVO_2025[[#All],[NOMBRES Y APELLIDOS]],PERSONAL_ACTIVO_2025[[#All],[DOCUMENTO]],"",0)</f>
        <v>#NAME?</v>
      </c>
      <c r="O240" s="114" t="s">
        <v>1308</v>
      </c>
      <c r="P240" s="115" t="e" cm="1">
        <f t="array" aca="1" ref="P240" ca="1">_xlfn.XLOOKUP(Contrato[[#This Row],[SUPERVISOR SUPLENTE ]],PERSONAL_ACTIVO_2025[[#All],[NOMBRES Y APELLIDOS]],PERSONAL_ACTIVO_2025[[#All],[DOCUMENTO]],"",0)</f>
        <v>#NAME?</v>
      </c>
      <c r="Q240" s="116">
        <v>301</v>
      </c>
      <c r="R240" s="137" t="e" cm="1">
        <f t="array" aca="1" ref="R240" ca="1">_xlfn.XLOOKUP(Contrato[[#This Row],[CDP]],DISPONIBILIDADES_2025[[#All],[consecutivo]],DISPONIBILIDADES_2025[[#All],[fecha_aprobacion]],"",0)</f>
        <v>#NAME?</v>
      </c>
      <c r="S240" s="92">
        <f>SUMIF(DISPONIBILIDADES_2025[[#All],[consecutivo]],Contrato[[#This Row],[CDP]],DISPONIBILIDADES_2025[[#All],[valor_total_rubro]])</f>
        <v>17095000</v>
      </c>
      <c r="T240" s="118" t="e" cm="1">
        <f t="array" aca="1" ref="T240" ca="1">_xlfn.XLOOKUP(Contrato[[#This Row],[CONTRATO]]&amp;Contrato[[#This Row],[CDP]],Corr_Contr_CDP[[#All],[CONTRATO-CDP]],Corr_Contr_CDP[[#All],[CRP]],_xlfn.XLOOKUP(Contrato[[#This Row],[CDP]],COMPROMISOS_2025[[#All],[disponibilidad]],COMPROMISOS_2025[[#All],[consecutivo]],"",0),0)</f>
        <v>#NAME?</v>
      </c>
      <c r="U240" s="117" t="e" cm="1">
        <f t="array" aca="1" ref="U240" ca="1">+_xlfn.XLOOKUP(Contrato[[#This Row],[RCP]],COMPROMISOS_2025[[#All],[consecutivo]],COMPROMISOS_2025[[#All],[fecha_aprobacion]],"",0)</f>
        <v>#NAME?</v>
      </c>
      <c r="V240" s="93">
        <f ca="1">SUMIF(COMPROMISOS_2025[[#All],[consecutivo]],Contrato[[#This Row],[RCP]],COMPROMISOS_2025[[#All],[valor_total]])</f>
        <v>0</v>
      </c>
      <c r="W240" s="169">
        <v>45709</v>
      </c>
      <c r="X240" s="243" t="s">
        <v>901</v>
      </c>
      <c r="Y240" s="397">
        <v>45713</v>
      </c>
      <c r="Z240" s="161">
        <v>45862</v>
      </c>
      <c r="AA240" s="198" t="s">
        <v>1309</v>
      </c>
      <c r="AB240" s="119" t="s">
        <v>920</v>
      </c>
      <c r="AC240" s="112"/>
      <c r="AD240" s="279">
        <v>202000006368</v>
      </c>
      <c r="AE240" s="38" t="s">
        <v>904</v>
      </c>
      <c r="AF240" s="120" t="str">
        <f>TEXT(LEFT(Contrato[[#This Row],[CONTRATO]],3),"0")</f>
        <v>233</v>
      </c>
      <c r="AG240" s="120" t="str">
        <f>IF(LEN(Contrato[[#This Row],[Contrato2]])=3,Contrato[[#This Row],[Contrato2]],TEXT(Contrato[[#This Row],[Contrato2]],"000"))</f>
        <v>233</v>
      </c>
      <c r="AH240" s="90">
        <f ca="1">IFERROR(_xlfn.DAYS(Contrato[[#This Row],[Fecha Proyectada liquidación]],TODAY())/30,"")</f>
        <v>6.6333333333333337</v>
      </c>
      <c r="AI240" s="121">
        <f>+Contrato[[#This Row],[FECHA TERMINACIÓN ]]+120</f>
        <v>45982</v>
      </c>
      <c r="AK240" s="91" t="str">
        <f ca="1">IF(Contrato[[#This Row],[FECHA TERMINACIÓN ]]&lt;TODAY(), "Terminado",IF(ISNUMBER(Contrato[[#This Row],[Fecha Real de liquiidación ]]),"Liquidado",IF(Contrato[[#This Row],[FECHA TERMINACIÓN ]]&gt;=TODAY(),"En ejecución","")))</f>
        <v>En ejecución</v>
      </c>
      <c r="AL240" s="107">
        <f ca="1">SUMIF(COMPROMISOS_2025[[#All],[consecutivo]],Contrato[[#This Row],[RCP]],COMPROMISOS_2025[[#All],[Total pagado]])</f>
        <v>0</v>
      </c>
      <c r="AM240" s="122">
        <f ca="1">IFERROR(Contrato[[#This Row],[Pagos]]/Contrato[[#This Row],[VALOR CONTRATO]],0)</f>
        <v>0</v>
      </c>
      <c r="AN240" s="160">
        <f ca="1">+Contrato[[#This Row],[VALOR CONTRATO]]-Contrato[[#This Row],[Pagos]]</f>
        <v>17095000</v>
      </c>
      <c r="AO240" s="111" t="e" cm="1">
        <f t="array" aca="1" ref="AO240" ca="1">_xlfn.XLOOKUP(Contrato[[#This Row],[DOCUMENTO ]],PERSONAL_ACTIVO_2025[[#All],[DOCUMENTO]],PERSONAL_ACTIVO_2025[[#All],[email]],0,0)</f>
        <v>#NAME?</v>
      </c>
      <c r="AP240" s="111" t="e" cm="1">
        <f t="array" aca="1" ref="AP240" ca="1">_xlfn.XLOOKUP(Contrato[[#This Row],[DOCUMENTO]],PERSONAL_ACTIVO_2025[[#All],[DOCUMENTO]],PERSONAL_ACTIVO_2025[[#All],[email]],0,0)</f>
        <v>#NAME?</v>
      </c>
      <c r="AQ240" s="111" cm="1">
        <f t="array" aca="1" ref="AQ240" ca="1">IF(ISBLANK(Contrato[[#This Row],[DEPENDENCIA ]]),0,IFERROR(_xlfn.XLOOKUP(Contrato[[#This Row],[DEPENDENCIA ]],#REF!,#REF!,0,0),0))</f>
        <v>0</v>
      </c>
      <c r="AR240" s="555">
        <f ca="1">+_xlfn.DAYS(Contrato[[#This Row],[FECHA TERMINACIÓN ]],TODAY())</f>
        <v>79</v>
      </c>
    </row>
    <row r="241" spans="1:44" ht="39.75" customHeight="1" x14ac:dyDescent="0.25">
      <c r="A241" s="38">
        <v>534</v>
      </c>
      <c r="B241" s="226">
        <v>234</v>
      </c>
      <c r="C241" s="88" t="s">
        <v>341</v>
      </c>
      <c r="D241" s="192" t="s">
        <v>930</v>
      </c>
      <c r="E241" s="193" t="s">
        <v>112</v>
      </c>
      <c r="F241" s="194" t="s">
        <v>113</v>
      </c>
      <c r="G241" s="195" t="s">
        <v>1310</v>
      </c>
      <c r="H241" s="167">
        <v>1038408339</v>
      </c>
      <c r="I241" s="292">
        <v>3419000</v>
      </c>
      <c r="J241" s="290">
        <v>44190000</v>
      </c>
      <c r="K241" s="246" t="s">
        <v>1109</v>
      </c>
      <c r="L241" s="196" t="s">
        <v>1278</v>
      </c>
      <c r="M241" s="114" t="s">
        <v>1116</v>
      </c>
      <c r="N241" s="113" t="e" cm="1">
        <f t="array" aca="1" ref="N241" ca="1">_xlfn.XLOOKUP(Contrato[[#This Row],[SUPERVISOR TITULAR]],PERSONAL_ACTIVO_2025[[#All],[NOMBRES Y APELLIDOS]],PERSONAL_ACTIVO_2025[[#All],[DOCUMENTO]],"",0)</f>
        <v>#NAME?</v>
      </c>
      <c r="O241" s="114" t="s">
        <v>1120</v>
      </c>
      <c r="P241" s="115" t="e" cm="1">
        <f t="array" aca="1" ref="P241" ca="1">_xlfn.XLOOKUP(Contrato[[#This Row],[SUPERVISOR SUPLENTE ]],PERSONAL_ACTIVO_2025[[#All],[NOMBRES Y APELLIDOS]],PERSONAL_ACTIVO_2025[[#All],[DOCUMENTO]],"",0)</f>
        <v>#NAME?</v>
      </c>
      <c r="Q241" s="116">
        <v>87</v>
      </c>
      <c r="R241" s="137" t="e" cm="1">
        <f t="array" aca="1" ref="R241" ca="1">_xlfn.XLOOKUP(Contrato[[#This Row],[CDP]],DISPONIBILIDADES_2025[[#All],[consecutivo]],DISPONIBILIDADES_2025[[#All],[fecha_aprobacion]],"",0)</f>
        <v>#NAME?</v>
      </c>
      <c r="S241" s="92">
        <f>SUMIF(DISPONIBILIDADES_2025[[#All],[consecutivo]],Contrato[[#This Row],[CDP]],DISPONIBILIDADES_2025[[#All],[valor_total_rubro]])</f>
        <v>44190000</v>
      </c>
      <c r="T241" s="118" t="e" cm="1">
        <f t="array" aca="1" ref="T241" ca="1">_xlfn.XLOOKUP(Contrato[[#This Row],[CONTRATO]]&amp;Contrato[[#This Row],[CDP]],Corr_Contr_CDP[[#All],[CONTRATO-CDP]],Corr_Contr_CDP[[#All],[CRP]],_xlfn.XLOOKUP(Contrato[[#This Row],[CDP]],COMPROMISOS_2025[[#All],[disponibilidad]],COMPROMISOS_2025[[#All],[consecutivo]],"",0),0)</f>
        <v>#NAME?</v>
      </c>
      <c r="U241" s="117" t="e" cm="1">
        <f t="array" aca="1" ref="U241" ca="1">+_xlfn.XLOOKUP(Contrato[[#This Row],[RCP]],COMPROMISOS_2025[[#All],[consecutivo]],COMPROMISOS_2025[[#All],[fecha_aprobacion]],"",0)</f>
        <v>#NAME?</v>
      </c>
      <c r="V241" s="93">
        <f ca="1">SUMIF(COMPROMISOS_2025[[#All],[consecutivo]],Contrato[[#This Row],[RCP]],COMPROMISOS_2025[[#All],[valor_total]])</f>
        <v>0</v>
      </c>
      <c r="W241" s="169">
        <v>45709</v>
      </c>
      <c r="X241" s="243" t="s">
        <v>901</v>
      </c>
      <c r="Y241" s="397">
        <v>45713</v>
      </c>
      <c r="Z241" s="161">
        <v>46015</v>
      </c>
      <c r="AA241" s="198" t="s">
        <v>1311</v>
      </c>
      <c r="AB241" s="119" t="s">
        <v>1004</v>
      </c>
      <c r="AC241" s="112"/>
      <c r="AD241" s="279">
        <v>202000006369</v>
      </c>
      <c r="AE241" s="38" t="s">
        <v>904</v>
      </c>
      <c r="AF241" s="120" t="str">
        <f>TEXT(LEFT(Contrato[[#This Row],[CONTRATO]],3),"0")</f>
        <v>234</v>
      </c>
      <c r="AG241" s="120" t="str">
        <f>IF(LEN(Contrato[[#This Row],[Contrato2]])=3,Contrato[[#This Row],[Contrato2]],TEXT(Contrato[[#This Row],[Contrato2]],"000"))</f>
        <v>234</v>
      </c>
      <c r="AH241" s="90">
        <f ca="1">IFERROR(_xlfn.DAYS(Contrato[[#This Row],[Fecha Proyectada liquidación]],TODAY())/30,"")</f>
        <v>11.733333333333333</v>
      </c>
      <c r="AI241" s="121">
        <f>+Contrato[[#This Row],[FECHA TERMINACIÓN ]]+120</f>
        <v>46135</v>
      </c>
      <c r="AK241" s="91" t="str">
        <f ca="1">IF(Contrato[[#This Row],[FECHA TERMINACIÓN ]]&lt;TODAY(), "Terminado",IF(ISNUMBER(Contrato[[#This Row],[Fecha Real de liquiidación ]]),"Liquidado",IF(Contrato[[#This Row],[FECHA TERMINACIÓN ]]&gt;=TODAY(),"En ejecución","")))</f>
        <v>En ejecución</v>
      </c>
      <c r="AL241" s="107">
        <f ca="1">SUMIF(COMPROMISOS_2025[[#All],[consecutivo]],Contrato[[#This Row],[RCP]],COMPROMISOS_2025[[#All],[Total pagado]])</f>
        <v>0</v>
      </c>
      <c r="AM241" s="122">
        <f ca="1">IFERROR(Contrato[[#This Row],[Pagos]]/Contrato[[#This Row],[VALOR CONTRATO]],0)</f>
        <v>0</v>
      </c>
      <c r="AN241" s="160">
        <f ca="1">+Contrato[[#This Row],[VALOR CONTRATO]]-Contrato[[#This Row],[Pagos]]</f>
        <v>44190000</v>
      </c>
      <c r="AO241" s="111" t="e" cm="1">
        <f t="array" aca="1" ref="AO241" ca="1">_xlfn.XLOOKUP(Contrato[[#This Row],[DOCUMENTO ]],PERSONAL_ACTIVO_2025[[#All],[DOCUMENTO]],PERSONAL_ACTIVO_2025[[#All],[email]],0,0)</f>
        <v>#NAME?</v>
      </c>
      <c r="AP241" s="111" t="e" cm="1">
        <f t="array" aca="1" ref="AP241" ca="1">_xlfn.XLOOKUP(Contrato[[#This Row],[DOCUMENTO]],PERSONAL_ACTIVO_2025[[#All],[DOCUMENTO]],PERSONAL_ACTIVO_2025[[#All],[email]],0,0)</f>
        <v>#NAME?</v>
      </c>
      <c r="AQ241" s="111" cm="1">
        <f t="array" aca="1" ref="AQ241" ca="1">IF(ISBLANK(Contrato[[#This Row],[DEPENDENCIA ]]),0,IFERROR(_xlfn.XLOOKUP(Contrato[[#This Row],[DEPENDENCIA ]],#REF!,#REF!,0,0),0))</f>
        <v>0</v>
      </c>
      <c r="AR241" s="555">
        <f ca="1">+_xlfn.DAYS(Contrato[[#This Row],[FECHA TERMINACIÓN ]],TODAY())</f>
        <v>232</v>
      </c>
    </row>
    <row r="242" spans="1:44" ht="39.75" customHeight="1" x14ac:dyDescent="0.25">
      <c r="A242" s="38">
        <v>532</v>
      </c>
      <c r="B242" s="226">
        <v>235</v>
      </c>
      <c r="C242" s="88" t="s">
        <v>340</v>
      </c>
      <c r="D242" s="192" t="s">
        <v>930</v>
      </c>
      <c r="E242" s="193" t="s">
        <v>112</v>
      </c>
      <c r="F242" s="194" t="s">
        <v>113</v>
      </c>
      <c r="G242" s="195" t="s">
        <v>1312</v>
      </c>
      <c r="H242" s="167">
        <v>15444940</v>
      </c>
      <c r="I242" s="292">
        <v>3419000</v>
      </c>
      <c r="J242" s="290">
        <v>44190000</v>
      </c>
      <c r="K242" s="246" t="s">
        <v>1109</v>
      </c>
      <c r="L242" s="196" t="s">
        <v>1278</v>
      </c>
      <c r="M242" s="114" t="s">
        <v>1117</v>
      </c>
      <c r="N242" s="113" t="e" cm="1">
        <f t="array" aca="1" ref="N242" ca="1">_xlfn.XLOOKUP(Contrato[[#This Row],[SUPERVISOR TITULAR]],PERSONAL_ACTIVO_2025[[#All],[NOMBRES Y APELLIDOS]],PERSONAL_ACTIVO_2025[[#All],[DOCUMENTO]],"",0)</f>
        <v>#NAME?</v>
      </c>
      <c r="O242" s="114" t="s">
        <v>1120</v>
      </c>
      <c r="P242" s="115" t="e" cm="1">
        <f t="array" aca="1" ref="P242" ca="1">_xlfn.XLOOKUP(Contrato[[#This Row],[SUPERVISOR SUPLENTE ]],PERSONAL_ACTIVO_2025[[#All],[NOMBRES Y APELLIDOS]],PERSONAL_ACTIVO_2025[[#All],[DOCUMENTO]],"",0)</f>
        <v>#NAME?</v>
      </c>
      <c r="Q242" s="116">
        <v>73</v>
      </c>
      <c r="R242" s="137" t="e" cm="1">
        <f t="array" aca="1" ref="R242" ca="1">_xlfn.XLOOKUP(Contrato[[#This Row],[CDP]],DISPONIBILIDADES_2025[[#All],[consecutivo]],DISPONIBILIDADES_2025[[#All],[fecha_aprobacion]],"",0)</f>
        <v>#NAME?</v>
      </c>
      <c r="S242" s="92">
        <f>SUMIF(DISPONIBILIDADES_2025[[#All],[consecutivo]],Contrato[[#This Row],[CDP]],DISPONIBILIDADES_2025[[#All],[valor_total_rubro]])</f>
        <v>44190000</v>
      </c>
      <c r="T242" s="118" t="e" cm="1">
        <f t="array" aca="1" ref="T242" ca="1">_xlfn.XLOOKUP(Contrato[[#This Row],[CONTRATO]]&amp;Contrato[[#This Row],[CDP]],Corr_Contr_CDP[[#All],[CONTRATO-CDP]],Corr_Contr_CDP[[#All],[CRP]],_xlfn.XLOOKUP(Contrato[[#This Row],[CDP]],COMPROMISOS_2025[[#All],[disponibilidad]],COMPROMISOS_2025[[#All],[consecutivo]],"",0),0)</f>
        <v>#NAME?</v>
      </c>
      <c r="U242" s="117" t="e" cm="1">
        <f t="array" aca="1" ref="U242" ca="1">+_xlfn.XLOOKUP(Contrato[[#This Row],[RCP]],COMPROMISOS_2025[[#All],[consecutivo]],COMPROMISOS_2025[[#All],[fecha_aprobacion]],"",0)</f>
        <v>#NAME?</v>
      </c>
      <c r="V242" s="93">
        <f ca="1">SUMIF(COMPROMISOS_2025[[#All],[consecutivo]],Contrato[[#This Row],[RCP]],COMPROMISOS_2025[[#All],[valor_total]])</f>
        <v>0</v>
      </c>
      <c r="W242" s="169">
        <v>45709</v>
      </c>
      <c r="X242" s="243" t="s">
        <v>901</v>
      </c>
      <c r="Y242" s="397">
        <v>45713</v>
      </c>
      <c r="Z242" s="161">
        <v>46015</v>
      </c>
      <c r="AA242" s="198" t="s">
        <v>1313</v>
      </c>
      <c r="AB242" s="119" t="s">
        <v>1004</v>
      </c>
      <c r="AC242" s="112"/>
      <c r="AD242" s="279">
        <v>202000006370</v>
      </c>
      <c r="AE242" s="38" t="s">
        <v>904</v>
      </c>
      <c r="AF242" s="120" t="str">
        <f>TEXT(LEFT(Contrato[[#This Row],[CONTRATO]],3),"0")</f>
        <v>235</v>
      </c>
      <c r="AG242" s="120" t="str">
        <f>IF(LEN(Contrato[[#This Row],[Contrato2]])=3,Contrato[[#This Row],[Contrato2]],TEXT(Contrato[[#This Row],[Contrato2]],"000"))</f>
        <v>235</v>
      </c>
      <c r="AH242" s="90">
        <f ca="1">IFERROR(_xlfn.DAYS(Contrato[[#This Row],[Fecha Proyectada liquidación]],TODAY())/30,"")</f>
        <v>11.733333333333333</v>
      </c>
      <c r="AI242" s="121">
        <f>+Contrato[[#This Row],[FECHA TERMINACIÓN ]]+120</f>
        <v>46135</v>
      </c>
      <c r="AK242" s="91" t="str">
        <f ca="1">IF(Contrato[[#This Row],[FECHA TERMINACIÓN ]]&lt;TODAY(), "Terminado",IF(ISNUMBER(Contrato[[#This Row],[Fecha Real de liquiidación ]]),"Liquidado",IF(Contrato[[#This Row],[FECHA TERMINACIÓN ]]&gt;=TODAY(),"En ejecución","")))</f>
        <v>En ejecución</v>
      </c>
      <c r="AL242" s="107">
        <f ca="1">SUMIF(COMPROMISOS_2025[[#All],[consecutivo]],Contrato[[#This Row],[RCP]],COMPROMISOS_2025[[#All],[Total pagado]])</f>
        <v>0</v>
      </c>
      <c r="AM242" s="122">
        <f ca="1">IFERROR(Contrato[[#This Row],[Pagos]]/Contrato[[#This Row],[VALOR CONTRATO]],0)</f>
        <v>0</v>
      </c>
      <c r="AN242" s="160">
        <f ca="1">+Contrato[[#This Row],[VALOR CONTRATO]]-Contrato[[#This Row],[Pagos]]</f>
        <v>44190000</v>
      </c>
      <c r="AO242" s="111" t="e" cm="1">
        <f t="array" aca="1" ref="AO242" ca="1">_xlfn.XLOOKUP(Contrato[[#This Row],[DOCUMENTO ]],PERSONAL_ACTIVO_2025[[#All],[DOCUMENTO]],PERSONAL_ACTIVO_2025[[#All],[email]],0,0)</f>
        <v>#NAME?</v>
      </c>
      <c r="AP242" s="111" t="e" cm="1">
        <f t="array" aca="1" ref="AP242" ca="1">_xlfn.XLOOKUP(Contrato[[#This Row],[DOCUMENTO]],PERSONAL_ACTIVO_2025[[#All],[DOCUMENTO]],PERSONAL_ACTIVO_2025[[#All],[email]],0,0)</f>
        <v>#NAME?</v>
      </c>
      <c r="AQ242" s="111" cm="1">
        <f t="array" aca="1" ref="AQ242" ca="1">IF(ISBLANK(Contrato[[#This Row],[DEPENDENCIA ]]),0,IFERROR(_xlfn.XLOOKUP(Contrato[[#This Row],[DEPENDENCIA ]],#REF!,#REF!,0,0),0))</f>
        <v>0</v>
      </c>
      <c r="AR242" s="555">
        <f ca="1">+_xlfn.DAYS(Contrato[[#This Row],[FECHA TERMINACIÓN ]],TODAY())</f>
        <v>232</v>
      </c>
    </row>
    <row r="243" spans="1:44" ht="39.75" customHeight="1" x14ac:dyDescent="0.25">
      <c r="A243" s="38">
        <v>544</v>
      </c>
      <c r="B243" s="226">
        <v>236</v>
      </c>
      <c r="C243" s="88" t="s">
        <v>744</v>
      </c>
      <c r="D243" s="192" t="s">
        <v>930</v>
      </c>
      <c r="E243" s="193" t="s">
        <v>112</v>
      </c>
      <c r="F243" s="194" t="s">
        <v>113</v>
      </c>
      <c r="G243" s="195" t="s">
        <v>1314</v>
      </c>
      <c r="H243" s="167">
        <v>1036682893</v>
      </c>
      <c r="I243" s="292">
        <v>7521800</v>
      </c>
      <c r="J243" s="290">
        <v>91468000</v>
      </c>
      <c r="K243" s="246" t="s">
        <v>1315</v>
      </c>
      <c r="L243" s="196" t="s">
        <v>1278</v>
      </c>
      <c r="M243" s="114" t="s">
        <v>971</v>
      </c>
      <c r="N243" s="113" t="e" cm="1">
        <f t="array" aca="1" ref="N243" ca="1">_xlfn.XLOOKUP(Contrato[[#This Row],[SUPERVISOR TITULAR]],PERSONAL_ACTIVO_2025[[#All],[NOMBRES Y APELLIDOS]],PERSONAL_ACTIVO_2025[[#All],[DOCUMENTO]],"",0)</f>
        <v>#NAME?</v>
      </c>
      <c r="O243" s="114" t="s">
        <v>972</v>
      </c>
      <c r="P243" s="115" t="e" cm="1">
        <f t="array" aca="1" ref="P243" ca="1">_xlfn.XLOOKUP(Contrato[[#This Row],[SUPERVISOR SUPLENTE ]],PERSONAL_ACTIVO_2025[[#All],[NOMBRES Y APELLIDOS]],PERSONAL_ACTIVO_2025[[#All],[DOCUMENTO]],"",0)</f>
        <v>#NAME?</v>
      </c>
      <c r="Q243" s="116">
        <v>295</v>
      </c>
      <c r="R243" s="137" t="e" cm="1">
        <f t="array" aca="1" ref="R243" ca="1">_xlfn.XLOOKUP(Contrato[[#This Row],[CDP]],DISPONIBILIDADES_2025[[#All],[consecutivo]],DISPONIBILIDADES_2025[[#All],[fecha_aprobacion]],"",0)</f>
        <v>#NAME?</v>
      </c>
      <c r="S243" s="92">
        <f>SUMIF(DISPONIBILIDADES_2025[[#All],[consecutivo]],Contrato[[#This Row],[CDP]],DISPONIBILIDADES_2025[[#All],[valor_total_rubro]])</f>
        <v>91468000</v>
      </c>
      <c r="T243" s="118" t="e" cm="1">
        <f t="array" aca="1" ref="T243" ca="1">_xlfn.XLOOKUP(Contrato[[#This Row],[CONTRATO]]&amp;Contrato[[#This Row],[CDP]],Corr_Contr_CDP[[#All],[CONTRATO-CDP]],Corr_Contr_CDP[[#All],[CRP]],_xlfn.XLOOKUP(Contrato[[#This Row],[CDP]],COMPROMISOS_2025[[#All],[disponibilidad]],COMPROMISOS_2025[[#All],[consecutivo]],"",0),0)</f>
        <v>#NAME?</v>
      </c>
      <c r="U243" s="117" t="e" cm="1">
        <f t="array" aca="1" ref="U243" ca="1">+_xlfn.XLOOKUP(Contrato[[#This Row],[RCP]],COMPROMISOS_2025[[#All],[consecutivo]],COMPROMISOS_2025[[#All],[fecha_aprobacion]],"",0)</f>
        <v>#NAME?</v>
      </c>
      <c r="V243" s="93">
        <f ca="1">SUMIF(COMPROMISOS_2025[[#All],[consecutivo]],Contrato[[#This Row],[RCP]],COMPROMISOS_2025[[#All],[valor_total]])</f>
        <v>0</v>
      </c>
      <c r="W243" s="169">
        <v>45713</v>
      </c>
      <c r="X243" s="243" t="s">
        <v>901</v>
      </c>
      <c r="Y243" s="397">
        <v>45714</v>
      </c>
      <c r="Z243" s="161">
        <v>46016</v>
      </c>
      <c r="AA243" s="198" t="s">
        <v>1316</v>
      </c>
      <c r="AB243" s="119" t="s">
        <v>1004</v>
      </c>
      <c r="AC243" s="112"/>
      <c r="AD243" s="279">
        <v>202000006376</v>
      </c>
      <c r="AE243" s="38" t="s">
        <v>904</v>
      </c>
      <c r="AF243" s="120" t="str">
        <f>TEXT(LEFT(Contrato[[#This Row],[CONTRATO]],3),"0")</f>
        <v>236</v>
      </c>
      <c r="AG243" s="120" t="str">
        <f>IF(LEN(Contrato[[#This Row],[Contrato2]])=3,Contrato[[#This Row],[Contrato2]],TEXT(Contrato[[#This Row],[Contrato2]],"000"))</f>
        <v>236</v>
      </c>
      <c r="AH243" s="90">
        <f ca="1">IFERROR(_xlfn.DAYS(Contrato[[#This Row],[Fecha Proyectada liquidación]],TODAY())/30,"")</f>
        <v>11.766666666666667</v>
      </c>
      <c r="AI243" s="121">
        <f>+Contrato[[#This Row],[FECHA TERMINACIÓN ]]+120</f>
        <v>46136</v>
      </c>
      <c r="AK243" s="91" t="str">
        <f ca="1">IF(Contrato[[#This Row],[FECHA TERMINACIÓN ]]&lt;TODAY(), "Terminado",IF(ISNUMBER(Contrato[[#This Row],[Fecha Real de liquiidación ]]),"Liquidado",IF(Contrato[[#This Row],[FECHA TERMINACIÓN ]]&gt;=TODAY(),"En ejecución","")))</f>
        <v>En ejecución</v>
      </c>
      <c r="AL243" s="107">
        <f ca="1">SUMIF(COMPROMISOS_2025[[#All],[consecutivo]],Contrato[[#This Row],[RCP]],COMPROMISOS_2025[[#All],[Total pagado]])</f>
        <v>0</v>
      </c>
      <c r="AM243" s="122">
        <f ca="1">IFERROR(Contrato[[#This Row],[Pagos]]/Contrato[[#This Row],[VALOR CONTRATO]],0)</f>
        <v>0</v>
      </c>
      <c r="AN243" s="160">
        <f ca="1">+Contrato[[#This Row],[VALOR CONTRATO]]-Contrato[[#This Row],[Pagos]]</f>
        <v>91468000</v>
      </c>
      <c r="AO243" s="111" t="e" cm="1">
        <f t="array" aca="1" ref="AO243" ca="1">_xlfn.XLOOKUP(Contrato[[#This Row],[DOCUMENTO ]],PERSONAL_ACTIVO_2025[[#All],[DOCUMENTO]],PERSONAL_ACTIVO_2025[[#All],[email]],0,0)</f>
        <v>#NAME?</v>
      </c>
      <c r="AP243" s="111" t="e" cm="1">
        <f t="array" aca="1" ref="AP243" ca="1">_xlfn.XLOOKUP(Contrato[[#This Row],[DOCUMENTO]],PERSONAL_ACTIVO_2025[[#All],[DOCUMENTO]],PERSONAL_ACTIVO_2025[[#All],[email]],0,0)</f>
        <v>#NAME?</v>
      </c>
      <c r="AQ243" s="111" cm="1">
        <f t="array" aca="1" ref="AQ243" ca="1">IF(ISBLANK(Contrato[[#This Row],[DEPENDENCIA ]]),0,IFERROR(_xlfn.XLOOKUP(Contrato[[#This Row],[DEPENDENCIA ]],#REF!,#REF!,0,0),0))</f>
        <v>0</v>
      </c>
      <c r="AR243" s="555">
        <f ca="1">+_xlfn.DAYS(Contrato[[#This Row],[FECHA TERMINACIÓN ]],TODAY())</f>
        <v>233</v>
      </c>
    </row>
    <row r="244" spans="1:44" ht="39.75" customHeight="1" x14ac:dyDescent="0.25">
      <c r="A244" s="38">
        <v>547</v>
      </c>
      <c r="B244" s="226">
        <v>237</v>
      </c>
      <c r="C244" s="88" t="s">
        <v>747</v>
      </c>
      <c r="D244" s="192" t="s">
        <v>1043</v>
      </c>
      <c r="E244" s="193" t="s">
        <v>112</v>
      </c>
      <c r="F244" s="194" t="s">
        <v>113</v>
      </c>
      <c r="G244" s="195" t="s">
        <v>1317</v>
      </c>
      <c r="H244" s="167">
        <v>6446148</v>
      </c>
      <c r="I244" s="292">
        <v>7521800</v>
      </c>
      <c r="J244" s="290">
        <v>37609000</v>
      </c>
      <c r="K244" s="158" t="s">
        <v>41</v>
      </c>
      <c r="L244" s="196" t="s">
        <v>1278</v>
      </c>
      <c r="M244" s="114" t="s">
        <v>1046</v>
      </c>
      <c r="N244" s="113" t="e" cm="1">
        <f t="array" aca="1" ref="N244" ca="1">_xlfn.XLOOKUP(Contrato[[#This Row],[SUPERVISOR TITULAR]],PERSONAL_ACTIVO_2025[[#All],[NOMBRES Y APELLIDOS]],PERSONAL_ACTIVO_2025[[#All],[DOCUMENTO]],"",0)</f>
        <v>#NAME?</v>
      </c>
      <c r="O244" s="114" t="s">
        <v>1045</v>
      </c>
      <c r="P244" s="115" t="e" cm="1">
        <f t="array" aca="1" ref="P244" ca="1">_xlfn.XLOOKUP(Contrato[[#This Row],[SUPERVISOR SUPLENTE ]],PERSONAL_ACTIVO_2025[[#All],[NOMBRES Y APELLIDOS]],PERSONAL_ACTIVO_2025[[#All],[DOCUMENTO]],"",0)</f>
        <v>#NAME?</v>
      </c>
      <c r="Q244" s="116">
        <v>315</v>
      </c>
      <c r="R244" s="137" t="e" cm="1">
        <f t="array" aca="1" ref="R244" ca="1">_xlfn.XLOOKUP(Contrato[[#This Row],[CDP]],DISPONIBILIDADES_2025[[#All],[consecutivo]],DISPONIBILIDADES_2025[[#All],[fecha_aprobacion]],"",0)</f>
        <v>#NAME?</v>
      </c>
      <c r="S244" s="92">
        <f>SUMIF(DISPONIBILIDADES_2025[[#All],[consecutivo]],Contrato[[#This Row],[CDP]],DISPONIBILIDADES_2025[[#All],[valor_total_rubro]])</f>
        <v>37609000</v>
      </c>
      <c r="T244" s="118" t="e" cm="1">
        <f t="array" aca="1" ref="T244" ca="1">_xlfn.XLOOKUP(Contrato[[#This Row],[CONTRATO]]&amp;Contrato[[#This Row],[CDP]],Corr_Contr_CDP[[#All],[CONTRATO-CDP]],Corr_Contr_CDP[[#All],[CRP]],_xlfn.XLOOKUP(Contrato[[#This Row],[CDP]],COMPROMISOS_2025[[#All],[disponibilidad]],COMPROMISOS_2025[[#All],[consecutivo]],"",0),0)</f>
        <v>#NAME?</v>
      </c>
      <c r="U244" s="117" t="e" cm="1">
        <f t="array" aca="1" ref="U244" ca="1">+_xlfn.XLOOKUP(Contrato[[#This Row],[RCP]],COMPROMISOS_2025[[#All],[consecutivo]],COMPROMISOS_2025[[#All],[fecha_aprobacion]],"",0)</f>
        <v>#NAME?</v>
      </c>
      <c r="V244" s="93">
        <f ca="1">SUMIF(COMPROMISOS_2025[[#All],[consecutivo]],Contrato[[#This Row],[RCP]],COMPROMISOS_2025[[#All],[valor_total]])</f>
        <v>0</v>
      </c>
      <c r="W244" s="169">
        <v>45713</v>
      </c>
      <c r="X244" s="243" t="s">
        <v>901</v>
      </c>
      <c r="Y244" s="397">
        <v>45714</v>
      </c>
      <c r="Z244" s="161">
        <v>45864</v>
      </c>
      <c r="AA244" s="198" t="s">
        <v>1318</v>
      </c>
      <c r="AB244" s="119" t="s">
        <v>920</v>
      </c>
      <c r="AC244" s="112"/>
      <c r="AD244" s="279">
        <v>202000006377</v>
      </c>
      <c r="AE244" s="38" t="s">
        <v>904</v>
      </c>
      <c r="AF244" s="120" t="str">
        <f>TEXT(LEFT(Contrato[[#This Row],[CONTRATO]],3),"0")</f>
        <v>237</v>
      </c>
      <c r="AG244" s="120" t="str">
        <f>IF(LEN(Contrato[[#This Row],[Contrato2]])=3,Contrato[[#This Row],[Contrato2]],TEXT(Contrato[[#This Row],[Contrato2]],"000"))</f>
        <v>237</v>
      </c>
      <c r="AH244" s="90">
        <f ca="1">IFERROR(_xlfn.DAYS(Contrato[[#This Row],[Fecha Proyectada liquidación]],TODAY())/30,"")</f>
        <v>6.7</v>
      </c>
      <c r="AI244" s="121">
        <f>+Contrato[[#This Row],[FECHA TERMINACIÓN ]]+120</f>
        <v>45984</v>
      </c>
      <c r="AK244" s="91" t="str">
        <f ca="1">IF(Contrato[[#This Row],[FECHA TERMINACIÓN ]]&lt;TODAY(), "Terminado",IF(ISNUMBER(Contrato[[#This Row],[Fecha Real de liquiidación ]]),"Liquidado",IF(Contrato[[#This Row],[FECHA TERMINACIÓN ]]&gt;=TODAY(),"En ejecución","")))</f>
        <v>En ejecución</v>
      </c>
      <c r="AL244" s="107">
        <f ca="1">SUMIF(COMPROMISOS_2025[[#All],[consecutivo]],Contrato[[#This Row],[RCP]],COMPROMISOS_2025[[#All],[Total pagado]])</f>
        <v>0</v>
      </c>
      <c r="AM244" s="122">
        <f ca="1">IFERROR(Contrato[[#This Row],[Pagos]]/Contrato[[#This Row],[VALOR CONTRATO]],0)</f>
        <v>0</v>
      </c>
      <c r="AN244" s="160">
        <f ca="1">+Contrato[[#This Row],[VALOR CONTRATO]]-Contrato[[#This Row],[Pagos]]</f>
        <v>37609000</v>
      </c>
      <c r="AO244" s="111" t="e" cm="1">
        <f t="array" aca="1" ref="AO244" ca="1">_xlfn.XLOOKUP(Contrato[[#This Row],[DOCUMENTO ]],PERSONAL_ACTIVO_2025[[#All],[DOCUMENTO]],PERSONAL_ACTIVO_2025[[#All],[email]],0,0)</f>
        <v>#NAME?</v>
      </c>
      <c r="AP244" s="111" t="e" cm="1">
        <f t="array" aca="1" ref="AP244" ca="1">_xlfn.XLOOKUP(Contrato[[#This Row],[DOCUMENTO]],PERSONAL_ACTIVO_2025[[#All],[DOCUMENTO]],PERSONAL_ACTIVO_2025[[#All],[email]],0,0)</f>
        <v>#NAME?</v>
      </c>
      <c r="AQ244" s="111" cm="1">
        <f t="array" aca="1" ref="AQ244" ca="1">IF(ISBLANK(Contrato[[#This Row],[DEPENDENCIA ]]),0,IFERROR(_xlfn.XLOOKUP(Contrato[[#This Row],[DEPENDENCIA ]],#REF!,#REF!,0,0),0))</f>
        <v>0</v>
      </c>
      <c r="AR244" s="555">
        <f ca="1">+_xlfn.DAYS(Contrato[[#This Row],[FECHA TERMINACIÓN ]],TODAY())</f>
        <v>81</v>
      </c>
    </row>
    <row r="245" spans="1:44" ht="39.75" customHeight="1" x14ac:dyDescent="0.25">
      <c r="A245" s="38">
        <v>483</v>
      </c>
      <c r="B245" s="226">
        <v>238</v>
      </c>
      <c r="C245" s="88" t="s">
        <v>692</v>
      </c>
      <c r="D245" s="192" t="s">
        <v>890</v>
      </c>
      <c r="E245" s="193" t="s">
        <v>112</v>
      </c>
      <c r="F245" s="194" t="s">
        <v>113</v>
      </c>
      <c r="G245" s="195" t="s">
        <v>1319</v>
      </c>
      <c r="H245" s="167">
        <v>1152195916</v>
      </c>
      <c r="I245" s="292">
        <v>7521800</v>
      </c>
      <c r="J245" s="290">
        <v>34600280</v>
      </c>
      <c r="K245" s="158" t="s">
        <v>41</v>
      </c>
      <c r="L245" s="196" t="s">
        <v>1278</v>
      </c>
      <c r="M245" s="114" t="s">
        <v>893</v>
      </c>
      <c r="N245" s="113" t="e" cm="1">
        <f t="array" aca="1" ref="N245" ca="1">_xlfn.XLOOKUP(Contrato[[#This Row],[SUPERVISOR TITULAR]],PERSONAL_ACTIVO_2025[[#All],[NOMBRES Y APELLIDOS]],PERSONAL_ACTIVO_2025[[#All],[DOCUMENTO]],"",0)</f>
        <v>#NAME?</v>
      </c>
      <c r="O245" s="114" t="s">
        <v>1069</v>
      </c>
      <c r="P245" s="115" t="e" cm="1">
        <f t="array" aca="1" ref="P245" ca="1">_xlfn.XLOOKUP(Contrato[[#This Row],[SUPERVISOR SUPLENTE ]],PERSONAL_ACTIVO_2025[[#All],[NOMBRES Y APELLIDOS]],PERSONAL_ACTIVO_2025[[#All],[DOCUMENTO]],"",0)</f>
        <v>#NAME?</v>
      </c>
      <c r="Q245" s="116">
        <v>316</v>
      </c>
      <c r="R245" s="137" t="e" cm="1">
        <f t="array" aca="1" ref="R245" ca="1">_xlfn.XLOOKUP(Contrato[[#This Row],[CDP]],DISPONIBILIDADES_2025[[#All],[consecutivo]],DISPONIBILIDADES_2025[[#All],[fecha_aprobacion]],"",0)</f>
        <v>#NAME?</v>
      </c>
      <c r="S245" s="92">
        <f>SUMIF(DISPONIBILIDADES_2025[[#All],[consecutivo]],Contrato[[#This Row],[CDP]],DISPONIBILIDADES_2025[[#All],[valor_total_rubro]])</f>
        <v>34600280</v>
      </c>
      <c r="T245" s="118" t="e" cm="1">
        <f t="array" aca="1" ref="T245" ca="1">_xlfn.XLOOKUP(Contrato[[#This Row],[CONTRATO]]&amp;Contrato[[#This Row],[CDP]],Corr_Contr_CDP[[#All],[CONTRATO-CDP]],Corr_Contr_CDP[[#All],[CRP]],_xlfn.XLOOKUP(Contrato[[#This Row],[CDP]],COMPROMISOS_2025[[#All],[disponibilidad]],COMPROMISOS_2025[[#All],[consecutivo]],"",0),0)</f>
        <v>#NAME?</v>
      </c>
      <c r="U245" s="117" t="e" cm="1">
        <f t="array" aca="1" ref="U245" ca="1">+_xlfn.XLOOKUP(Contrato[[#This Row],[RCP]],COMPROMISOS_2025[[#All],[consecutivo]],COMPROMISOS_2025[[#All],[fecha_aprobacion]],"",0)</f>
        <v>#NAME?</v>
      </c>
      <c r="V245" s="93">
        <f ca="1">SUMIF(COMPROMISOS_2025[[#All],[consecutivo]],Contrato[[#This Row],[RCP]],COMPROMISOS_2025[[#All],[valor_total]])</f>
        <v>0</v>
      </c>
      <c r="W245" s="169">
        <v>45708</v>
      </c>
      <c r="X245" s="243" t="s">
        <v>901</v>
      </c>
      <c r="Y245" s="96">
        <v>45712</v>
      </c>
      <c r="Z245" s="161">
        <v>45862</v>
      </c>
      <c r="AA245" s="198" t="s">
        <v>1320</v>
      </c>
      <c r="AB245" s="119" t="s">
        <v>1321</v>
      </c>
      <c r="AC245" s="112"/>
      <c r="AD245" s="279">
        <v>202000006378</v>
      </c>
      <c r="AE245" s="38" t="s">
        <v>904</v>
      </c>
      <c r="AF245" s="120" t="str">
        <f>TEXT(LEFT(Contrato[[#This Row],[CONTRATO]],3),"0")</f>
        <v>238</v>
      </c>
      <c r="AG245" s="120" t="str">
        <f>IF(LEN(Contrato[[#This Row],[Contrato2]])=3,Contrato[[#This Row],[Contrato2]],TEXT(Contrato[[#This Row],[Contrato2]],"000"))</f>
        <v>238</v>
      </c>
      <c r="AH245" s="90">
        <f ca="1">IFERROR(_xlfn.DAYS(Contrato[[#This Row],[Fecha Proyectada liquidación]],TODAY())/30,"")</f>
        <v>6.6333333333333337</v>
      </c>
      <c r="AI245" s="121">
        <f>+Contrato[[#This Row],[FECHA TERMINACIÓN ]]+120</f>
        <v>45982</v>
      </c>
      <c r="AK245" s="91" t="str">
        <f ca="1">IF(Contrato[[#This Row],[FECHA TERMINACIÓN ]]&lt;TODAY(), "Terminado",IF(ISNUMBER(Contrato[[#This Row],[Fecha Real de liquiidación ]]),"Liquidado",IF(Contrato[[#This Row],[FECHA TERMINACIÓN ]]&gt;=TODAY(),"En ejecución","")))</f>
        <v>En ejecución</v>
      </c>
      <c r="AL245" s="107">
        <f ca="1">SUMIF(COMPROMISOS_2025[[#All],[consecutivo]],Contrato[[#This Row],[RCP]],COMPROMISOS_2025[[#All],[Total pagado]])</f>
        <v>0</v>
      </c>
      <c r="AM245" s="122">
        <f ca="1">IFERROR(Contrato[[#This Row],[Pagos]]/Contrato[[#This Row],[VALOR CONTRATO]],0)</f>
        <v>0</v>
      </c>
      <c r="AN245" s="160">
        <f ca="1">+Contrato[[#This Row],[VALOR CONTRATO]]-Contrato[[#This Row],[Pagos]]</f>
        <v>34600280</v>
      </c>
      <c r="AO245" s="111" t="e" cm="1">
        <f t="array" aca="1" ref="AO245" ca="1">_xlfn.XLOOKUP(Contrato[[#This Row],[DOCUMENTO ]],PERSONAL_ACTIVO_2025[[#All],[DOCUMENTO]],PERSONAL_ACTIVO_2025[[#All],[email]],0,0)</f>
        <v>#NAME?</v>
      </c>
      <c r="AP245" s="111" t="e" cm="1">
        <f t="array" aca="1" ref="AP245" ca="1">_xlfn.XLOOKUP(Contrato[[#This Row],[DOCUMENTO]],PERSONAL_ACTIVO_2025[[#All],[DOCUMENTO]],PERSONAL_ACTIVO_2025[[#All],[email]],0,0)</f>
        <v>#NAME?</v>
      </c>
      <c r="AQ245" s="111" cm="1">
        <f t="array" aca="1" ref="AQ245" ca="1">IF(ISBLANK(Contrato[[#This Row],[DEPENDENCIA ]]),0,IFERROR(_xlfn.XLOOKUP(Contrato[[#This Row],[DEPENDENCIA ]],#REF!,#REF!,0,0),0))</f>
        <v>0</v>
      </c>
      <c r="AR245" s="555">
        <f ca="1">+_xlfn.DAYS(Contrato[[#This Row],[FECHA TERMINACIÓN ]],TODAY())</f>
        <v>79</v>
      </c>
    </row>
    <row r="246" spans="1:44" ht="39.75" customHeight="1" x14ac:dyDescent="0.25">
      <c r="A246" s="38">
        <v>145</v>
      </c>
      <c r="B246" s="226">
        <v>239</v>
      </c>
      <c r="C246" s="88" t="s">
        <v>337</v>
      </c>
      <c r="D246" s="192" t="s">
        <v>930</v>
      </c>
      <c r="E246" s="193" t="s">
        <v>112</v>
      </c>
      <c r="F246" s="194" t="s">
        <v>113</v>
      </c>
      <c r="G246" s="195" t="s">
        <v>1322</v>
      </c>
      <c r="H246" s="167">
        <v>70904140</v>
      </c>
      <c r="I246" s="292">
        <v>9573200</v>
      </c>
      <c r="J246" s="290">
        <v>105732000</v>
      </c>
      <c r="K246" s="246" t="s">
        <v>1109</v>
      </c>
      <c r="L246" s="196" t="s">
        <v>1278</v>
      </c>
      <c r="M246" s="114" t="s">
        <v>1116</v>
      </c>
      <c r="N246" s="113" t="e" cm="1">
        <f t="array" aca="1" ref="N246" ca="1">_xlfn.XLOOKUP(Contrato[[#This Row],[SUPERVISOR TITULAR]],PERSONAL_ACTIVO_2025[[#All],[NOMBRES Y APELLIDOS]],PERSONAL_ACTIVO_2025[[#All],[DOCUMENTO]],"",0)</f>
        <v>#NAME?</v>
      </c>
      <c r="O246" s="114" t="s">
        <v>1323</v>
      </c>
      <c r="P246" s="115" t="e" cm="1">
        <f t="array" aca="1" ref="P246" ca="1">_xlfn.XLOOKUP(Contrato[[#This Row],[SUPERVISOR SUPLENTE ]],PERSONAL_ACTIVO_2025[[#All],[NOMBRES Y APELLIDOS]],PERSONAL_ACTIVO_2025[[#All],[DOCUMENTO]],"",0)</f>
        <v>#NAME?</v>
      </c>
      <c r="Q246" s="116">
        <v>307</v>
      </c>
      <c r="R246" s="137" t="e" cm="1">
        <f t="array" aca="1" ref="R246" ca="1">_xlfn.XLOOKUP(Contrato[[#This Row],[CDP]],DISPONIBILIDADES_2025[[#All],[consecutivo]],DISPONIBILIDADES_2025[[#All],[fecha_aprobacion]],"",0)</f>
        <v>#NAME?</v>
      </c>
      <c r="S246" s="92">
        <f>SUMIF(DISPONIBILIDADES_2025[[#All],[consecutivo]],Contrato[[#This Row],[CDP]],DISPONIBILIDADES_2025[[#All],[valor_total_rubro]])</f>
        <v>105732000</v>
      </c>
      <c r="T246" s="118" t="e" cm="1">
        <f t="array" aca="1" ref="T246" ca="1">_xlfn.XLOOKUP(Contrato[[#This Row],[CONTRATO]]&amp;Contrato[[#This Row],[CDP]],Corr_Contr_CDP[[#All],[CONTRATO-CDP]],Corr_Contr_CDP[[#All],[CRP]],_xlfn.XLOOKUP(Contrato[[#This Row],[CDP]],COMPROMISOS_2025[[#All],[disponibilidad]],COMPROMISOS_2025[[#All],[consecutivo]],"",0),0)</f>
        <v>#NAME?</v>
      </c>
      <c r="U246" s="117" t="e" cm="1">
        <f t="array" aca="1" ref="U246" ca="1">+_xlfn.XLOOKUP(Contrato[[#This Row],[RCP]],COMPROMISOS_2025[[#All],[consecutivo]],COMPROMISOS_2025[[#All],[fecha_aprobacion]],"",0)</f>
        <v>#NAME?</v>
      </c>
      <c r="V246" s="93">
        <f ca="1">SUMIF(COMPROMISOS_2025[[#All],[consecutivo]],Contrato[[#This Row],[RCP]],COMPROMISOS_2025[[#All],[valor_total]])</f>
        <v>0</v>
      </c>
      <c r="W246" s="169">
        <v>45709</v>
      </c>
      <c r="X246" s="243" t="s">
        <v>901</v>
      </c>
      <c r="Y246" s="397">
        <v>45713</v>
      </c>
      <c r="Z246" s="161">
        <v>46015</v>
      </c>
      <c r="AA246" s="198" t="s">
        <v>1324</v>
      </c>
      <c r="AB246" s="119" t="s">
        <v>1004</v>
      </c>
      <c r="AC246" s="112"/>
      <c r="AD246" s="279">
        <v>202000006379</v>
      </c>
      <c r="AE246" s="38" t="s">
        <v>904</v>
      </c>
      <c r="AF246" s="120" t="str">
        <f>TEXT(LEFT(Contrato[[#This Row],[CONTRATO]],3),"0")</f>
        <v>239</v>
      </c>
      <c r="AG246" s="120" t="str">
        <f>IF(LEN(Contrato[[#This Row],[Contrato2]])=3,Contrato[[#This Row],[Contrato2]],TEXT(Contrato[[#This Row],[Contrato2]],"000"))</f>
        <v>239</v>
      </c>
      <c r="AH246" s="90">
        <f ca="1">IFERROR(_xlfn.DAYS(Contrato[[#This Row],[Fecha Proyectada liquidación]],TODAY())/30,"")</f>
        <v>11.733333333333333</v>
      </c>
      <c r="AI246" s="121">
        <f>+Contrato[[#This Row],[FECHA TERMINACIÓN ]]+120</f>
        <v>46135</v>
      </c>
      <c r="AK246" s="91" t="str">
        <f ca="1">IF(Contrato[[#This Row],[FECHA TERMINACIÓN ]]&lt;TODAY(), "Terminado",IF(ISNUMBER(Contrato[[#This Row],[Fecha Real de liquiidación ]]),"Liquidado",IF(Contrato[[#This Row],[FECHA TERMINACIÓN ]]&gt;=TODAY(),"En ejecución","")))</f>
        <v>En ejecución</v>
      </c>
      <c r="AL246" s="107">
        <f ca="1">SUMIF(COMPROMISOS_2025[[#All],[consecutivo]],Contrato[[#This Row],[RCP]],COMPROMISOS_2025[[#All],[Total pagado]])</f>
        <v>0</v>
      </c>
      <c r="AM246" s="122">
        <f ca="1">IFERROR(Contrato[[#This Row],[Pagos]]/Contrato[[#This Row],[VALOR CONTRATO]],0)</f>
        <v>0</v>
      </c>
      <c r="AN246" s="160">
        <f ca="1">+Contrato[[#This Row],[VALOR CONTRATO]]-Contrato[[#This Row],[Pagos]]</f>
        <v>105732000</v>
      </c>
      <c r="AO246" s="111" t="e" cm="1">
        <f t="array" aca="1" ref="AO246" ca="1">_xlfn.XLOOKUP(Contrato[[#This Row],[DOCUMENTO ]],PERSONAL_ACTIVO_2025[[#All],[DOCUMENTO]],PERSONAL_ACTIVO_2025[[#All],[email]],0,0)</f>
        <v>#NAME?</v>
      </c>
      <c r="AP246" s="111" t="e" cm="1">
        <f t="array" aca="1" ref="AP246" ca="1">_xlfn.XLOOKUP(Contrato[[#This Row],[DOCUMENTO]],PERSONAL_ACTIVO_2025[[#All],[DOCUMENTO]],PERSONAL_ACTIVO_2025[[#All],[email]],0,0)</f>
        <v>#NAME?</v>
      </c>
      <c r="AQ246" s="111" cm="1">
        <f t="array" aca="1" ref="AQ246" ca="1">IF(ISBLANK(Contrato[[#This Row],[DEPENDENCIA ]]),0,IFERROR(_xlfn.XLOOKUP(Contrato[[#This Row],[DEPENDENCIA ]],#REF!,#REF!,0,0),0))</f>
        <v>0</v>
      </c>
      <c r="AR246" s="555">
        <f ca="1">+_xlfn.DAYS(Contrato[[#This Row],[FECHA TERMINACIÓN ]],TODAY())</f>
        <v>232</v>
      </c>
    </row>
    <row r="247" spans="1:44" ht="39.75" customHeight="1" x14ac:dyDescent="0.25">
      <c r="A247" s="38">
        <v>238</v>
      </c>
      <c r="B247" s="226">
        <v>240</v>
      </c>
      <c r="C247" s="88" t="s">
        <v>434</v>
      </c>
      <c r="D247" s="192" t="s">
        <v>1066</v>
      </c>
      <c r="E247" s="193" t="s">
        <v>112</v>
      </c>
      <c r="F247" s="194" t="s">
        <v>113</v>
      </c>
      <c r="G247" s="195" t="s">
        <v>1325</v>
      </c>
      <c r="H247" s="167">
        <v>15534920</v>
      </c>
      <c r="I247" s="292">
        <v>7521800</v>
      </c>
      <c r="J247" s="290">
        <v>60174400</v>
      </c>
      <c r="K247" s="158" t="s">
        <v>41</v>
      </c>
      <c r="L247" s="196" t="s">
        <v>1278</v>
      </c>
      <c r="M247" s="114" t="s">
        <v>1326</v>
      </c>
      <c r="N247" s="113" t="e" cm="1">
        <f t="array" aca="1" ref="N247" ca="1">_xlfn.XLOOKUP(Contrato[[#This Row],[SUPERVISOR TITULAR]],PERSONAL_ACTIVO_2025[[#All],[NOMBRES Y APELLIDOS]],PERSONAL_ACTIVO_2025[[#All],[DOCUMENTO]],"",0)</f>
        <v>#NAME?</v>
      </c>
      <c r="O247" s="114" t="s">
        <v>1069</v>
      </c>
      <c r="P247" s="115" t="e" cm="1">
        <f t="array" aca="1" ref="P247" ca="1">_xlfn.XLOOKUP(Contrato[[#This Row],[SUPERVISOR SUPLENTE ]],PERSONAL_ACTIVO_2025[[#All],[NOMBRES Y APELLIDOS]],PERSONAL_ACTIVO_2025[[#All],[DOCUMENTO]],"",0)</f>
        <v>#NAME?</v>
      </c>
      <c r="Q247" s="116">
        <v>323</v>
      </c>
      <c r="R247" s="137" t="e" cm="1">
        <f t="array" aca="1" ref="R247" ca="1">_xlfn.XLOOKUP(Contrato[[#This Row],[CDP]],DISPONIBILIDADES_2025[[#All],[consecutivo]],DISPONIBILIDADES_2025[[#All],[fecha_aprobacion]],"",0)</f>
        <v>#NAME?</v>
      </c>
      <c r="S247" s="92">
        <f>SUMIF(DISPONIBILIDADES_2025[[#All],[consecutivo]],Contrato[[#This Row],[CDP]],DISPONIBILIDADES_2025[[#All],[valor_total_rubro]])</f>
        <v>60174400</v>
      </c>
      <c r="T247" s="118" t="e" cm="1">
        <f t="array" aca="1" ref="T247" ca="1">_xlfn.XLOOKUP(Contrato[[#This Row],[CONTRATO]]&amp;Contrato[[#This Row],[CDP]],Corr_Contr_CDP[[#All],[CONTRATO-CDP]],Corr_Contr_CDP[[#All],[CRP]],_xlfn.XLOOKUP(Contrato[[#This Row],[CDP]],COMPROMISOS_2025[[#All],[disponibilidad]],COMPROMISOS_2025[[#All],[consecutivo]],"",0),0)</f>
        <v>#NAME?</v>
      </c>
      <c r="U247" s="117" t="e" cm="1">
        <f t="array" aca="1" ref="U247" ca="1">+_xlfn.XLOOKUP(Contrato[[#This Row],[RCP]],COMPROMISOS_2025[[#All],[consecutivo]],COMPROMISOS_2025[[#All],[fecha_aprobacion]],"",0)</f>
        <v>#NAME?</v>
      </c>
      <c r="V247" s="93">
        <f ca="1">SUMIF(COMPROMISOS_2025[[#All],[consecutivo]],Contrato[[#This Row],[RCP]],COMPROMISOS_2025[[#All],[valor_total]])</f>
        <v>0</v>
      </c>
      <c r="W247" s="169">
        <v>45708</v>
      </c>
      <c r="X247" s="243" t="s">
        <v>901</v>
      </c>
      <c r="Y247" s="96">
        <v>45708</v>
      </c>
      <c r="Z247" s="161">
        <v>46022</v>
      </c>
      <c r="AA247" s="198" t="s">
        <v>1327</v>
      </c>
      <c r="AB247" s="119" t="s">
        <v>1328</v>
      </c>
      <c r="AC247" s="112"/>
      <c r="AD247" s="279">
        <v>202000006380</v>
      </c>
      <c r="AE247" s="38" t="s">
        <v>904</v>
      </c>
      <c r="AF247" s="120" t="str">
        <f>TEXT(LEFT(Contrato[[#This Row],[CONTRATO]],3),"0")</f>
        <v>240</v>
      </c>
      <c r="AG247" s="120" t="str">
        <f>IF(LEN(Contrato[[#This Row],[Contrato2]])=3,Contrato[[#This Row],[Contrato2]],TEXT(Contrato[[#This Row],[Contrato2]],"000"))</f>
        <v>240</v>
      </c>
      <c r="AH247" s="90">
        <f ca="1">IFERROR(_xlfn.DAYS(Contrato[[#This Row],[Fecha Proyectada liquidación]],TODAY())/30,"")</f>
        <v>11.966666666666667</v>
      </c>
      <c r="AI247" s="121">
        <f>+Contrato[[#This Row],[FECHA TERMINACIÓN ]]+120</f>
        <v>46142</v>
      </c>
      <c r="AK247" s="91" t="str">
        <f ca="1">IF(Contrato[[#This Row],[FECHA TERMINACIÓN ]]&lt;TODAY(), "Terminado",IF(ISNUMBER(Contrato[[#This Row],[Fecha Real de liquiidación ]]),"Liquidado",IF(Contrato[[#This Row],[FECHA TERMINACIÓN ]]&gt;=TODAY(),"En ejecución","")))</f>
        <v>En ejecución</v>
      </c>
      <c r="AL247" s="107">
        <f ca="1">SUMIF(COMPROMISOS_2025[[#All],[consecutivo]],Contrato[[#This Row],[RCP]],COMPROMISOS_2025[[#All],[Total pagado]])</f>
        <v>0</v>
      </c>
      <c r="AM247" s="122">
        <f ca="1">IFERROR(Contrato[[#This Row],[Pagos]]/Contrato[[#This Row],[VALOR CONTRATO]],0)</f>
        <v>0</v>
      </c>
      <c r="AN247" s="160">
        <f ca="1">+Contrato[[#This Row],[VALOR CONTRATO]]-Contrato[[#This Row],[Pagos]]</f>
        <v>60174400</v>
      </c>
      <c r="AO247" s="111" t="e" cm="1">
        <f t="array" aca="1" ref="AO247" ca="1">_xlfn.XLOOKUP(Contrato[[#This Row],[DOCUMENTO ]],PERSONAL_ACTIVO_2025[[#All],[DOCUMENTO]],PERSONAL_ACTIVO_2025[[#All],[email]],0,0)</f>
        <v>#NAME?</v>
      </c>
      <c r="AP247" s="111" t="e" cm="1">
        <f t="array" aca="1" ref="AP247" ca="1">_xlfn.XLOOKUP(Contrato[[#This Row],[DOCUMENTO]],PERSONAL_ACTIVO_2025[[#All],[DOCUMENTO]],PERSONAL_ACTIVO_2025[[#All],[email]],0,0)</f>
        <v>#NAME?</v>
      </c>
      <c r="AQ247" s="111" cm="1">
        <f t="array" aca="1" ref="AQ247" ca="1">IF(ISBLANK(Contrato[[#This Row],[DEPENDENCIA ]]),0,IFERROR(_xlfn.XLOOKUP(Contrato[[#This Row],[DEPENDENCIA ]],#REF!,#REF!,0,0),0))</f>
        <v>0</v>
      </c>
      <c r="AR247" s="555">
        <f ca="1">+_xlfn.DAYS(Contrato[[#This Row],[FECHA TERMINACIÓN ]],TODAY())</f>
        <v>239</v>
      </c>
    </row>
    <row r="248" spans="1:44" ht="39.75" customHeight="1" x14ac:dyDescent="0.25">
      <c r="A248" s="38">
        <v>460</v>
      </c>
      <c r="B248" s="226">
        <v>241</v>
      </c>
      <c r="C248" s="88" t="s">
        <v>658</v>
      </c>
      <c r="D248" s="192" t="s">
        <v>911</v>
      </c>
      <c r="E248" s="193" t="s">
        <v>112</v>
      </c>
      <c r="F248" s="194" t="s">
        <v>113</v>
      </c>
      <c r="G248" s="195" t="s">
        <v>1329</v>
      </c>
      <c r="H248" s="167">
        <v>8104231</v>
      </c>
      <c r="I248" s="292">
        <v>9573200</v>
      </c>
      <c r="J248" s="290">
        <v>95732000</v>
      </c>
      <c r="K248" s="158" t="s">
        <v>41</v>
      </c>
      <c r="L248" s="196" t="s">
        <v>1278</v>
      </c>
      <c r="M248" s="114" t="s">
        <v>938</v>
      </c>
      <c r="N248" s="113" t="e" cm="1">
        <f t="array" aca="1" ref="N248" ca="1">_xlfn.XLOOKUP(Contrato[[#This Row],[SUPERVISOR TITULAR]],PERSONAL_ACTIVO_2025[[#All],[NOMBRES Y APELLIDOS]],PERSONAL_ACTIVO_2025[[#All],[DOCUMENTO]],"",0)</f>
        <v>#NAME?</v>
      </c>
      <c r="O248" s="114" t="s">
        <v>1091</v>
      </c>
      <c r="P248" s="115" t="e" cm="1">
        <f t="array" aca="1" ref="P248" ca="1">_xlfn.XLOOKUP(Contrato[[#This Row],[SUPERVISOR SUPLENTE ]],PERSONAL_ACTIVO_2025[[#All],[NOMBRES Y APELLIDOS]],PERSONAL_ACTIVO_2025[[#All],[DOCUMENTO]],"",0)</f>
        <v>#NAME?</v>
      </c>
      <c r="Q248" s="116">
        <v>321</v>
      </c>
      <c r="R248" s="137" t="e" cm="1">
        <f t="array" aca="1" ref="R248" ca="1">_xlfn.XLOOKUP(Contrato[[#This Row],[CDP]],DISPONIBILIDADES_2025[[#All],[consecutivo]],DISPONIBILIDADES_2025[[#All],[fecha_aprobacion]],"",0)</f>
        <v>#NAME?</v>
      </c>
      <c r="S248" s="92">
        <f>SUMIF(DISPONIBILIDADES_2025[[#All],[consecutivo]],Contrato[[#This Row],[CDP]],DISPONIBILIDADES_2025[[#All],[valor_total_rubro]])</f>
        <v>95732000</v>
      </c>
      <c r="T248" s="118" t="e" cm="1">
        <f t="array" aca="1" ref="T248" ca="1">_xlfn.XLOOKUP(Contrato[[#This Row],[CONTRATO]]&amp;Contrato[[#This Row],[CDP]],Corr_Contr_CDP[[#All],[CONTRATO-CDP]],Corr_Contr_CDP[[#All],[CRP]],_xlfn.XLOOKUP(Contrato[[#This Row],[CDP]],COMPROMISOS_2025[[#All],[disponibilidad]],COMPROMISOS_2025[[#All],[consecutivo]],"",0),0)</f>
        <v>#NAME?</v>
      </c>
      <c r="U248" s="117" t="e" cm="1">
        <f t="array" aca="1" ref="U248" ca="1">+_xlfn.XLOOKUP(Contrato[[#This Row],[RCP]],COMPROMISOS_2025[[#All],[consecutivo]],COMPROMISOS_2025[[#All],[fecha_aprobacion]],"",0)</f>
        <v>#NAME?</v>
      </c>
      <c r="V248" s="93">
        <f ca="1">SUMIF(COMPROMISOS_2025[[#All],[consecutivo]],Contrato[[#This Row],[RCP]],COMPROMISOS_2025[[#All],[valor_total]])</f>
        <v>0</v>
      </c>
      <c r="W248" s="169">
        <v>45708</v>
      </c>
      <c r="X248" s="243" t="s">
        <v>901</v>
      </c>
      <c r="Y248" s="96">
        <v>45708</v>
      </c>
      <c r="Z248" s="161">
        <v>46022</v>
      </c>
      <c r="AA248" s="198" t="s">
        <v>1330</v>
      </c>
      <c r="AB248" s="119" t="s">
        <v>1331</v>
      </c>
      <c r="AC248" s="112"/>
      <c r="AD248" s="279">
        <v>202000006381</v>
      </c>
      <c r="AE248" s="38" t="s">
        <v>904</v>
      </c>
      <c r="AF248" s="120" t="str">
        <f>TEXT(LEFT(Contrato[[#This Row],[CONTRATO]],3),"0")</f>
        <v>241</v>
      </c>
      <c r="AG248" s="120" t="str">
        <f>IF(LEN(Contrato[[#This Row],[Contrato2]])=3,Contrato[[#This Row],[Contrato2]],TEXT(Contrato[[#This Row],[Contrato2]],"000"))</f>
        <v>241</v>
      </c>
      <c r="AH248" s="90">
        <f ca="1">IFERROR(_xlfn.DAYS(Contrato[[#This Row],[Fecha Proyectada liquidación]],TODAY())/30,"")</f>
        <v>11.966666666666667</v>
      </c>
      <c r="AI248" s="121">
        <f>+Contrato[[#This Row],[FECHA TERMINACIÓN ]]+120</f>
        <v>46142</v>
      </c>
      <c r="AK248" s="91" t="str">
        <f ca="1">IF(Contrato[[#This Row],[FECHA TERMINACIÓN ]]&lt;TODAY(), "Terminado",IF(ISNUMBER(Contrato[[#This Row],[Fecha Real de liquiidación ]]),"Liquidado",IF(Contrato[[#This Row],[FECHA TERMINACIÓN ]]&gt;=TODAY(),"En ejecución","")))</f>
        <v>En ejecución</v>
      </c>
      <c r="AL248" s="107">
        <f ca="1">SUMIF(COMPROMISOS_2025[[#All],[consecutivo]],Contrato[[#This Row],[RCP]],COMPROMISOS_2025[[#All],[Total pagado]])</f>
        <v>0</v>
      </c>
      <c r="AM248" s="122">
        <f ca="1">IFERROR(Contrato[[#This Row],[Pagos]]/Contrato[[#This Row],[VALOR CONTRATO]],0)</f>
        <v>0</v>
      </c>
      <c r="AN248" s="160">
        <f ca="1">+Contrato[[#This Row],[VALOR CONTRATO]]-Contrato[[#This Row],[Pagos]]</f>
        <v>95732000</v>
      </c>
      <c r="AO248" s="111" t="e" cm="1">
        <f t="array" aca="1" ref="AO248" ca="1">_xlfn.XLOOKUP(Contrato[[#This Row],[DOCUMENTO ]],PERSONAL_ACTIVO_2025[[#All],[DOCUMENTO]],PERSONAL_ACTIVO_2025[[#All],[email]],0,0)</f>
        <v>#NAME?</v>
      </c>
      <c r="AP248" s="111" t="e" cm="1">
        <f t="array" aca="1" ref="AP248" ca="1">_xlfn.XLOOKUP(Contrato[[#This Row],[DOCUMENTO]],PERSONAL_ACTIVO_2025[[#All],[DOCUMENTO]],PERSONAL_ACTIVO_2025[[#All],[email]],0,0)</f>
        <v>#NAME?</v>
      </c>
      <c r="AQ248" s="111" cm="1">
        <f t="array" aca="1" ref="AQ248" ca="1">IF(ISBLANK(Contrato[[#This Row],[DEPENDENCIA ]]),0,IFERROR(_xlfn.XLOOKUP(Contrato[[#This Row],[DEPENDENCIA ]],#REF!,#REF!,0,0),0))</f>
        <v>0</v>
      </c>
      <c r="AR248" s="555">
        <f ca="1">+_xlfn.DAYS(Contrato[[#This Row],[FECHA TERMINACIÓN ]],TODAY())</f>
        <v>239</v>
      </c>
    </row>
    <row r="249" spans="1:44" ht="39.75" customHeight="1" x14ac:dyDescent="0.25">
      <c r="A249" s="38">
        <v>147</v>
      </c>
      <c r="B249" s="226">
        <v>242</v>
      </c>
      <c r="C249" s="88" t="s">
        <v>339</v>
      </c>
      <c r="D249" s="192" t="s">
        <v>930</v>
      </c>
      <c r="E249" s="193" t="s">
        <v>112</v>
      </c>
      <c r="F249" s="194" t="s">
        <v>113</v>
      </c>
      <c r="G249" s="195" t="s">
        <v>1332</v>
      </c>
      <c r="H249" s="167">
        <v>1128454001</v>
      </c>
      <c r="I249" s="292">
        <v>7521800</v>
      </c>
      <c r="J249" s="290">
        <v>87218000</v>
      </c>
      <c r="K249" s="246" t="s">
        <v>1333</v>
      </c>
      <c r="L249" s="196" t="s">
        <v>1278</v>
      </c>
      <c r="M249" s="114" t="s">
        <v>1116</v>
      </c>
      <c r="N249" s="113" t="e" cm="1">
        <f t="array" aca="1" ref="N249" ca="1">_xlfn.XLOOKUP(Contrato[[#This Row],[SUPERVISOR TITULAR]],PERSONAL_ACTIVO_2025[[#All],[NOMBRES Y APELLIDOS]],PERSONAL_ACTIVO_2025[[#All],[DOCUMENTO]],"",0)</f>
        <v>#NAME?</v>
      </c>
      <c r="O249" s="114" t="s">
        <v>1120</v>
      </c>
      <c r="P249" s="115" t="e" cm="1">
        <f t="array" aca="1" ref="P249" ca="1">_xlfn.XLOOKUP(Contrato[[#This Row],[SUPERVISOR SUPLENTE ]],PERSONAL_ACTIVO_2025[[#All],[NOMBRES Y APELLIDOS]],PERSONAL_ACTIVO_2025[[#All],[DOCUMENTO]],"",0)</f>
        <v>#NAME?</v>
      </c>
      <c r="Q249" s="116">
        <v>308</v>
      </c>
      <c r="R249" s="137" t="e" cm="1">
        <f t="array" aca="1" ref="R249" ca="1">_xlfn.XLOOKUP(Contrato[[#This Row],[CDP]],DISPONIBILIDADES_2025[[#All],[consecutivo]],DISPONIBILIDADES_2025[[#All],[fecha_aprobacion]],"",0)</f>
        <v>#NAME?</v>
      </c>
      <c r="S249" s="92">
        <f>SUMIF(DISPONIBILIDADES_2025[[#All],[consecutivo]],Contrato[[#This Row],[CDP]],DISPONIBILIDADES_2025[[#All],[valor_total_rubro]])</f>
        <v>87218000</v>
      </c>
      <c r="T249" s="118" t="e" cm="1">
        <f t="array" aca="1" ref="T249" ca="1">_xlfn.XLOOKUP(Contrato[[#This Row],[CONTRATO]]&amp;Contrato[[#This Row],[CDP]],Corr_Contr_CDP[[#All],[CONTRATO-CDP]],Corr_Contr_CDP[[#All],[CRP]],_xlfn.XLOOKUP(Contrato[[#This Row],[CDP]],COMPROMISOS_2025[[#All],[disponibilidad]],COMPROMISOS_2025[[#All],[consecutivo]],"",0),0)</f>
        <v>#NAME?</v>
      </c>
      <c r="U249" s="117" t="e" cm="1">
        <f t="array" aca="1" ref="U249" ca="1">+_xlfn.XLOOKUP(Contrato[[#This Row],[RCP]],COMPROMISOS_2025[[#All],[consecutivo]],COMPROMISOS_2025[[#All],[fecha_aprobacion]],"",0)</f>
        <v>#NAME?</v>
      </c>
      <c r="V249" s="93">
        <f ca="1">SUMIF(COMPROMISOS_2025[[#All],[consecutivo]],Contrato[[#This Row],[RCP]],COMPROMISOS_2025[[#All],[valor_total]])</f>
        <v>0</v>
      </c>
      <c r="W249" s="169">
        <v>45709</v>
      </c>
      <c r="X249" s="243" t="s">
        <v>901</v>
      </c>
      <c r="Y249" s="96">
        <v>45708</v>
      </c>
      <c r="Z249" s="161">
        <v>46015</v>
      </c>
      <c r="AA249" s="198" t="s">
        <v>1334</v>
      </c>
      <c r="AB249" s="119" t="s">
        <v>1004</v>
      </c>
      <c r="AC249" s="112"/>
      <c r="AD249" s="279">
        <v>202000006382</v>
      </c>
      <c r="AE249" s="38" t="s">
        <v>904</v>
      </c>
      <c r="AF249" s="120" t="str">
        <f>TEXT(LEFT(Contrato[[#This Row],[CONTRATO]],3),"0")</f>
        <v>242</v>
      </c>
      <c r="AG249" s="120" t="str">
        <f>IF(LEN(Contrato[[#This Row],[Contrato2]])=3,Contrato[[#This Row],[Contrato2]],TEXT(Contrato[[#This Row],[Contrato2]],"000"))</f>
        <v>242</v>
      </c>
      <c r="AH249" s="90">
        <f ca="1">IFERROR(_xlfn.DAYS(Contrato[[#This Row],[Fecha Proyectada liquidación]],TODAY())/30,"")</f>
        <v>11.733333333333333</v>
      </c>
      <c r="AI249" s="121">
        <f>+Contrato[[#This Row],[FECHA TERMINACIÓN ]]+120</f>
        <v>46135</v>
      </c>
      <c r="AK249" s="91" t="str">
        <f ca="1">IF(Contrato[[#This Row],[FECHA TERMINACIÓN ]]&lt;TODAY(), "Terminado",IF(ISNUMBER(Contrato[[#This Row],[Fecha Real de liquiidación ]]),"Liquidado",IF(Contrato[[#This Row],[FECHA TERMINACIÓN ]]&gt;=TODAY(),"En ejecución","")))</f>
        <v>En ejecución</v>
      </c>
      <c r="AL249" s="107">
        <f ca="1">SUMIF(COMPROMISOS_2025[[#All],[consecutivo]],Contrato[[#This Row],[RCP]],COMPROMISOS_2025[[#All],[Total pagado]])</f>
        <v>0</v>
      </c>
      <c r="AM249" s="122">
        <f ca="1">IFERROR(Contrato[[#This Row],[Pagos]]/Contrato[[#This Row],[VALOR CONTRATO]],0)</f>
        <v>0</v>
      </c>
      <c r="AN249" s="160">
        <f ca="1">+Contrato[[#This Row],[VALOR CONTRATO]]-Contrato[[#This Row],[Pagos]]</f>
        <v>87218000</v>
      </c>
      <c r="AO249" s="111" t="e" cm="1">
        <f t="array" aca="1" ref="AO249" ca="1">_xlfn.XLOOKUP(Contrato[[#This Row],[DOCUMENTO ]],PERSONAL_ACTIVO_2025[[#All],[DOCUMENTO]],PERSONAL_ACTIVO_2025[[#All],[email]],0,0)</f>
        <v>#NAME?</v>
      </c>
      <c r="AP249" s="111" t="e" cm="1">
        <f t="array" aca="1" ref="AP249" ca="1">_xlfn.XLOOKUP(Contrato[[#This Row],[DOCUMENTO]],PERSONAL_ACTIVO_2025[[#All],[DOCUMENTO]],PERSONAL_ACTIVO_2025[[#All],[email]],0,0)</f>
        <v>#NAME?</v>
      </c>
      <c r="AQ249" s="111" cm="1">
        <f t="array" aca="1" ref="AQ249" ca="1">IF(ISBLANK(Contrato[[#This Row],[DEPENDENCIA ]]),0,IFERROR(_xlfn.XLOOKUP(Contrato[[#This Row],[DEPENDENCIA ]],#REF!,#REF!,0,0),0))</f>
        <v>0</v>
      </c>
      <c r="AR249" s="555">
        <f ca="1">+_xlfn.DAYS(Contrato[[#This Row],[FECHA TERMINACIÓN ]],TODAY())</f>
        <v>232</v>
      </c>
    </row>
    <row r="250" spans="1:44" ht="39.75" customHeight="1" x14ac:dyDescent="0.25">
      <c r="A250" s="38">
        <v>56</v>
      </c>
      <c r="B250" s="226">
        <v>243</v>
      </c>
      <c r="C250" s="88" t="s">
        <v>169</v>
      </c>
      <c r="D250" s="192" t="s">
        <v>945</v>
      </c>
      <c r="E250" s="193" t="s">
        <v>112</v>
      </c>
      <c r="F250" s="194" t="s">
        <v>125</v>
      </c>
      <c r="G250" s="195" t="s">
        <v>1335</v>
      </c>
      <c r="H250" s="167">
        <v>901437957</v>
      </c>
      <c r="I250" s="292">
        <v>0</v>
      </c>
      <c r="J250" s="290">
        <v>1000000000</v>
      </c>
      <c r="K250" s="312" t="s">
        <v>1336</v>
      </c>
      <c r="L250" s="196" t="s">
        <v>1337</v>
      </c>
      <c r="M250" s="114" t="s">
        <v>948</v>
      </c>
      <c r="N250" s="113" t="e" cm="1">
        <f t="array" aca="1" ref="N250" ca="1">_xlfn.XLOOKUP(Contrato[[#This Row],[SUPERVISOR TITULAR]],PERSONAL_ACTIVO_2025[[#All],[NOMBRES Y APELLIDOS]],PERSONAL_ACTIVO_2025[[#All],[DOCUMENTO]],"",0)</f>
        <v>#NAME?</v>
      </c>
      <c r="O250" s="114" t="s">
        <v>1305</v>
      </c>
      <c r="P250" s="115" t="e" cm="1">
        <f t="array" aca="1" ref="P250" ca="1">_xlfn.XLOOKUP(Contrato[[#This Row],[SUPERVISOR SUPLENTE ]],PERSONAL_ACTIVO_2025[[#All],[NOMBRES Y APELLIDOS]],PERSONAL_ACTIVO_2025[[#All],[DOCUMENTO]],"",0)</f>
        <v>#NAME?</v>
      </c>
      <c r="Q250" s="116">
        <v>331</v>
      </c>
      <c r="R250" s="137" t="e" cm="1">
        <f t="array" aca="1" ref="R250" ca="1">_xlfn.XLOOKUP(Contrato[[#This Row],[CDP]],DISPONIBILIDADES_2025[[#All],[consecutivo]],DISPONIBILIDADES_2025[[#All],[fecha_aprobacion]],"",0)</f>
        <v>#NAME?</v>
      </c>
      <c r="S250" s="92">
        <f>SUMIF(DISPONIBILIDADES_2025[[#All],[consecutivo]],Contrato[[#This Row],[CDP]],DISPONIBILIDADES_2025[[#All],[valor_total_rubro]])</f>
        <v>1000000000</v>
      </c>
      <c r="T250" s="118" t="e" cm="1">
        <f t="array" aca="1" ref="T250" ca="1">_xlfn.XLOOKUP(Contrato[[#This Row],[CONTRATO]]&amp;Contrato[[#This Row],[CDP]],Corr_Contr_CDP[[#All],[CONTRATO-CDP]],Corr_Contr_CDP[[#All],[CRP]],_xlfn.XLOOKUP(Contrato[[#This Row],[CDP]],COMPROMISOS_2025[[#All],[disponibilidad]],COMPROMISOS_2025[[#All],[consecutivo]],"",0),0)</f>
        <v>#NAME?</v>
      </c>
      <c r="U250" s="117" t="e" cm="1">
        <f t="array" aca="1" ref="U250" ca="1">+_xlfn.XLOOKUP(Contrato[[#This Row],[RCP]],COMPROMISOS_2025[[#All],[consecutivo]],COMPROMISOS_2025[[#All],[fecha_aprobacion]],"",0)</f>
        <v>#NAME?</v>
      </c>
      <c r="V250" s="93">
        <f ca="1">SUMIF(COMPROMISOS_2025[[#All],[consecutivo]],Contrato[[#This Row],[RCP]],COMPROMISOS_2025[[#All],[valor_total]])</f>
        <v>0</v>
      </c>
      <c r="W250" s="169">
        <v>45709</v>
      </c>
      <c r="X250" s="243">
        <v>45709</v>
      </c>
      <c r="Y250" s="96">
        <v>45709</v>
      </c>
      <c r="Z250" s="161">
        <v>46022</v>
      </c>
      <c r="AA250" s="198" t="s">
        <v>1338</v>
      </c>
      <c r="AB250" s="119" t="s">
        <v>1339</v>
      </c>
      <c r="AC250" s="112"/>
      <c r="AD250" s="279">
        <v>202000006383</v>
      </c>
      <c r="AE250" s="38" t="s">
        <v>904</v>
      </c>
      <c r="AF250" s="120" t="str">
        <f>TEXT(LEFT(Contrato[[#This Row],[CONTRATO]],3),"0")</f>
        <v>243</v>
      </c>
      <c r="AG250" s="120" t="str">
        <f>IF(LEN(Contrato[[#This Row],[Contrato2]])=3,Contrato[[#This Row],[Contrato2]],TEXT(Contrato[[#This Row],[Contrato2]],"000"))</f>
        <v>243</v>
      </c>
      <c r="AH250" s="90">
        <f ca="1">IFERROR(_xlfn.DAYS(Contrato[[#This Row],[Fecha Proyectada liquidación]],TODAY())/30,"")</f>
        <v>11.966666666666667</v>
      </c>
      <c r="AI250" s="121">
        <f>+Contrato[[#This Row],[FECHA TERMINACIÓN ]]+120</f>
        <v>46142</v>
      </c>
      <c r="AK250" s="91" t="str">
        <f ca="1">IF(Contrato[[#This Row],[FECHA TERMINACIÓN ]]&lt;TODAY(), "Terminado",IF(ISNUMBER(Contrato[[#This Row],[Fecha Real de liquiidación ]]),"Liquidado",IF(Contrato[[#This Row],[FECHA TERMINACIÓN ]]&gt;=TODAY(),"En ejecución","")))</f>
        <v>En ejecución</v>
      </c>
      <c r="AL250" s="107">
        <f ca="1">SUMIF(COMPROMISOS_2025[[#All],[consecutivo]],Contrato[[#This Row],[RCP]],COMPROMISOS_2025[[#All],[Total pagado]])</f>
        <v>0</v>
      </c>
      <c r="AM250" s="122">
        <f ca="1">IFERROR(Contrato[[#This Row],[Pagos]]/Contrato[[#This Row],[VALOR CONTRATO]],0)</f>
        <v>0</v>
      </c>
      <c r="AN250" s="160">
        <f ca="1">+Contrato[[#This Row],[VALOR CONTRATO]]-Contrato[[#This Row],[Pagos]]</f>
        <v>1000000000</v>
      </c>
      <c r="AO250" s="111" t="e" cm="1">
        <f t="array" aca="1" ref="AO250" ca="1">_xlfn.XLOOKUP(Contrato[[#This Row],[DOCUMENTO ]],PERSONAL_ACTIVO_2025[[#All],[DOCUMENTO]],PERSONAL_ACTIVO_2025[[#All],[email]],0,0)</f>
        <v>#NAME?</v>
      </c>
      <c r="AP250" s="111" t="e" cm="1">
        <f t="array" aca="1" ref="AP250" ca="1">_xlfn.XLOOKUP(Contrato[[#This Row],[DOCUMENTO]],PERSONAL_ACTIVO_2025[[#All],[DOCUMENTO]],PERSONAL_ACTIVO_2025[[#All],[email]],0,0)</f>
        <v>#NAME?</v>
      </c>
      <c r="AQ250" s="111" cm="1">
        <f t="array" aca="1" ref="AQ250" ca="1">IF(ISBLANK(Contrato[[#This Row],[DEPENDENCIA ]]),0,IFERROR(_xlfn.XLOOKUP(Contrato[[#This Row],[DEPENDENCIA ]],#REF!,#REF!,0,0),0))</f>
        <v>0</v>
      </c>
      <c r="AR250" s="555">
        <f ca="1">+_xlfn.DAYS(Contrato[[#This Row],[FECHA TERMINACIÓN ]],TODAY())</f>
        <v>239</v>
      </c>
    </row>
    <row r="251" spans="1:44" ht="39.75" customHeight="1" x14ac:dyDescent="0.25">
      <c r="A251" s="38">
        <v>529</v>
      </c>
      <c r="B251" s="226">
        <v>244</v>
      </c>
      <c r="C251" s="88" t="s">
        <v>733</v>
      </c>
      <c r="D251" s="192" t="s">
        <v>930</v>
      </c>
      <c r="E251" s="193" t="s">
        <v>112</v>
      </c>
      <c r="F251" s="194" t="s">
        <v>113</v>
      </c>
      <c r="G251" s="195" t="s">
        <v>1340</v>
      </c>
      <c r="H251" s="167">
        <v>15442707</v>
      </c>
      <c r="I251" s="292">
        <v>7521800</v>
      </c>
      <c r="J251" s="290">
        <v>93968000</v>
      </c>
      <c r="K251" s="246" t="s">
        <v>1115</v>
      </c>
      <c r="L251" s="196" t="s">
        <v>1337</v>
      </c>
      <c r="M251" s="114" t="s">
        <v>1341</v>
      </c>
      <c r="N251" s="113" t="e" cm="1">
        <f t="array" aca="1" ref="N251" ca="1">_xlfn.XLOOKUP(Contrato[[#This Row],[SUPERVISOR TITULAR]],PERSONAL_ACTIVO_2025[[#All],[NOMBRES Y APELLIDOS]],PERSONAL_ACTIVO_2025[[#All],[DOCUMENTO]],"",0)</f>
        <v>#NAME?</v>
      </c>
      <c r="O251" s="114" t="s">
        <v>1323</v>
      </c>
      <c r="P251" s="115" t="e" cm="1">
        <f t="array" aca="1" ref="P251" ca="1">_xlfn.XLOOKUP(Contrato[[#This Row],[SUPERVISOR SUPLENTE ]],PERSONAL_ACTIVO_2025[[#All],[NOMBRES Y APELLIDOS]],PERSONAL_ACTIVO_2025[[#All],[DOCUMENTO]],"",0)</f>
        <v>#NAME?</v>
      </c>
      <c r="Q251" s="116">
        <v>83</v>
      </c>
      <c r="R251" s="137" t="e" cm="1">
        <f t="array" aca="1" ref="R251" ca="1">_xlfn.XLOOKUP(Contrato[[#This Row],[CDP]],DISPONIBILIDADES_2025[[#All],[consecutivo]],DISPONIBILIDADES_2025[[#All],[fecha_aprobacion]],"",0)</f>
        <v>#NAME?</v>
      </c>
      <c r="S251" s="92">
        <f>SUMIF(DISPONIBILIDADES_2025[[#All],[consecutivo]],Contrato[[#This Row],[CDP]],DISPONIBILIDADES_2025[[#All],[valor_total_rubro]])</f>
        <v>93968000</v>
      </c>
      <c r="T251" s="118" t="e" cm="1">
        <f t="array" aca="1" ref="T251" ca="1">_xlfn.XLOOKUP(Contrato[[#This Row],[CONTRATO]]&amp;Contrato[[#This Row],[CDP]],Corr_Contr_CDP[[#All],[CONTRATO-CDP]],Corr_Contr_CDP[[#All],[CRP]],_xlfn.XLOOKUP(Contrato[[#This Row],[CDP]],COMPROMISOS_2025[[#All],[disponibilidad]],COMPROMISOS_2025[[#All],[consecutivo]],"",0),0)</f>
        <v>#NAME?</v>
      </c>
      <c r="U251" s="117" t="e" cm="1">
        <f t="array" aca="1" ref="U251" ca="1">+_xlfn.XLOOKUP(Contrato[[#This Row],[RCP]],COMPROMISOS_2025[[#All],[consecutivo]],COMPROMISOS_2025[[#All],[fecha_aprobacion]],"",0)</f>
        <v>#NAME?</v>
      </c>
      <c r="V251" s="93">
        <f ca="1">SUMIF(COMPROMISOS_2025[[#All],[consecutivo]],Contrato[[#This Row],[RCP]],COMPROMISOS_2025[[#All],[valor_total]])</f>
        <v>0</v>
      </c>
      <c r="W251" s="169">
        <v>45713</v>
      </c>
      <c r="X251" s="243" t="s">
        <v>901</v>
      </c>
      <c r="Y251" s="397">
        <v>45714</v>
      </c>
      <c r="Z251" s="161">
        <v>46016</v>
      </c>
      <c r="AA251" s="198" t="s">
        <v>1342</v>
      </c>
      <c r="AB251" s="119" t="s">
        <v>1004</v>
      </c>
      <c r="AC251" s="112"/>
      <c r="AD251" s="279">
        <v>202000006384</v>
      </c>
      <c r="AE251" s="38" t="s">
        <v>904</v>
      </c>
      <c r="AF251" s="120" t="str">
        <f>TEXT(LEFT(Contrato[[#This Row],[CONTRATO]],3),"0")</f>
        <v>244</v>
      </c>
      <c r="AG251" s="120" t="str">
        <f>IF(LEN(Contrato[[#This Row],[Contrato2]])=3,Contrato[[#This Row],[Contrato2]],TEXT(Contrato[[#This Row],[Contrato2]],"000"))</f>
        <v>244</v>
      </c>
      <c r="AH251" s="90">
        <f ca="1">IFERROR(_xlfn.DAYS(Contrato[[#This Row],[Fecha Proyectada liquidación]],TODAY())/30,"")</f>
        <v>11.766666666666667</v>
      </c>
      <c r="AI251" s="121">
        <f>+Contrato[[#This Row],[FECHA TERMINACIÓN ]]+120</f>
        <v>46136</v>
      </c>
      <c r="AK251" s="91" t="str">
        <f ca="1">IF(Contrato[[#This Row],[FECHA TERMINACIÓN ]]&lt;TODAY(), "Terminado",IF(ISNUMBER(Contrato[[#This Row],[Fecha Real de liquiidación ]]),"Liquidado",IF(Contrato[[#This Row],[FECHA TERMINACIÓN ]]&gt;=TODAY(),"En ejecución","")))</f>
        <v>En ejecución</v>
      </c>
      <c r="AL251" s="107">
        <f ca="1">SUMIF(COMPROMISOS_2025[[#All],[consecutivo]],Contrato[[#This Row],[RCP]],COMPROMISOS_2025[[#All],[Total pagado]])</f>
        <v>0</v>
      </c>
      <c r="AM251" s="122">
        <f ca="1">IFERROR(Contrato[[#This Row],[Pagos]]/Contrato[[#This Row],[VALOR CONTRATO]],0)</f>
        <v>0</v>
      </c>
      <c r="AN251" s="160">
        <f ca="1">+Contrato[[#This Row],[VALOR CONTRATO]]-Contrato[[#This Row],[Pagos]]</f>
        <v>93968000</v>
      </c>
      <c r="AO251" s="111" t="e" cm="1">
        <f t="array" aca="1" ref="AO251" ca="1">_xlfn.XLOOKUP(Contrato[[#This Row],[DOCUMENTO ]],PERSONAL_ACTIVO_2025[[#All],[DOCUMENTO]],PERSONAL_ACTIVO_2025[[#All],[email]],0,0)</f>
        <v>#NAME?</v>
      </c>
      <c r="AP251" s="111" t="e" cm="1">
        <f t="array" aca="1" ref="AP251" ca="1">_xlfn.XLOOKUP(Contrato[[#This Row],[DOCUMENTO]],PERSONAL_ACTIVO_2025[[#All],[DOCUMENTO]],PERSONAL_ACTIVO_2025[[#All],[email]],0,0)</f>
        <v>#NAME?</v>
      </c>
      <c r="AQ251" s="111" cm="1">
        <f t="array" aca="1" ref="AQ251" ca="1">IF(ISBLANK(Contrato[[#This Row],[DEPENDENCIA ]]),0,IFERROR(_xlfn.XLOOKUP(Contrato[[#This Row],[DEPENDENCIA ]],#REF!,#REF!,0,0),0))</f>
        <v>0</v>
      </c>
      <c r="AR251" s="555">
        <f ca="1">+_xlfn.DAYS(Contrato[[#This Row],[FECHA TERMINACIÓN ]],TODAY())</f>
        <v>233</v>
      </c>
    </row>
    <row r="252" spans="1:44" ht="39.75" customHeight="1" x14ac:dyDescent="0.25">
      <c r="A252" s="38">
        <v>530</v>
      </c>
      <c r="B252" s="226">
        <v>245</v>
      </c>
      <c r="C252" s="88" t="s">
        <v>734</v>
      </c>
      <c r="D252" s="192" t="s">
        <v>930</v>
      </c>
      <c r="E252" s="193" t="s">
        <v>112</v>
      </c>
      <c r="F252" s="194" t="s">
        <v>113</v>
      </c>
      <c r="G252" s="195" t="s">
        <v>1343</v>
      </c>
      <c r="H252" s="167">
        <v>8155451</v>
      </c>
      <c r="I252" s="292">
        <v>7521800</v>
      </c>
      <c r="J252" s="290">
        <v>93968000</v>
      </c>
      <c r="K252" s="246" t="s">
        <v>1115</v>
      </c>
      <c r="L252" s="196" t="s">
        <v>1337</v>
      </c>
      <c r="M252" s="114" t="s">
        <v>1120</v>
      </c>
      <c r="N252" s="113" t="e" cm="1">
        <f t="array" aca="1" ref="N252" ca="1">_xlfn.XLOOKUP(Contrato[[#This Row],[SUPERVISOR TITULAR]],PERSONAL_ACTIVO_2025[[#All],[NOMBRES Y APELLIDOS]],PERSONAL_ACTIVO_2025[[#All],[DOCUMENTO]],"",0)</f>
        <v>#NAME?</v>
      </c>
      <c r="O252" s="114" t="s">
        <v>1341</v>
      </c>
      <c r="P252" s="115" t="e" cm="1">
        <f t="array" aca="1" ref="P252" ca="1">_xlfn.XLOOKUP(Contrato[[#This Row],[SUPERVISOR SUPLENTE ]],PERSONAL_ACTIVO_2025[[#All],[NOMBRES Y APELLIDOS]],PERSONAL_ACTIVO_2025[[#All],[DOCUMENTO]],"",0)</f>
        <v>#NAME?</v>
      </c>
      <c r="Q252" s="116">
        <v>84</v>
      </c>
      <c r="R252" s="137" t="e" cm="1">
        <f t="array" aca="1" ref="R252" ca="1">_xlfn.XLOOKUP(Contrato[[#This Row],[CDP]],DISPONIBILIDADES_2025[[#All],[consecutivo]],DISPONIBILIDADES_2025[[#All],[fecha_aprobacion]],"",0)</f>
        <v>#NAME?</v>
      </c>
      <c r="S252" s="92">
        <f>SUMIF(DISPONIBILIDADES_2025[[#All],[consecutivo]],Contrato[[#This Row],[CDP]],DISPONIBILIDADES_2025[[#All],[valor_total_rubro]])</f>
        <v>93968000</v>
      </c>
      <c r="T252" s="118" t="e" cm="1">
        <f t="array" aca="1" ref="T252" ca="1">_xlfn.XLOOKUP(Contrato[[#This Row],[CONTRATO]]&amp;Contrato[[#This Row],[CDP]],Corr_Contr_CDP[[#All],[CONTRATO-CDP]],Corr_Contr_CDP[[#All],[CRP]],_xlfn.XLOOKUP(Contrato[[#This Row],[CDP]],COMPROMISOS_2025[[#All],[disponibilidad]],COMPROMISOS_2025[[#All],[consecutivo]],"",0),0)</f>
        <v>#NAME?</v>
      </c>
      <c r="U252" s="117" t="e" cm="1">
        <f t="array" aca="1" ref="U252" ca="1">+_xlfn.XLOOKUP(Contrato[[#This Row],[RCP]],COMPROMISOS_2025[[#All],[consecutivo]],COMPROMISOS_2025[[#All],[fecha_aprobacion]],"",0)</f>
        <v>#NAME?</v>
      </c>
      <c r="V252" s="93">
        <f ca="1">SUMIF(COMPROMISOS_2025[[#All],[consecutivo]],Contrato[[#This Row],[RCP]],COMPROMISOS_2025[[#All],[valor_total]])</f>
        <v>0</v>
      </c>
      <c r="W252" s="169">
        <v>45720</v>
      </c>
      <c r="X252" s="243" t="s">
        <v>901</v>
      </c>
      <c r="Y252" s="96">
        <v>45721</v>
      </c>
      <c r="Z252" s="161">
        <v>46018</v>
      </c>
      <c r="AA252" s="198" t="s">
        <v>1344</v>
      </c>
      <c r="AB252" s="119" t="s">
        <v>1004</v>
      </c>
      <c r="AC252" s="112"/>
      <c r="AD252" s="279">
        <v>202000006434</v>
      </c>
      <c r="AE252" s="38" t="s">
        <v>904</v>
      </c>
      <c r="AF252" s="120" t="str">
        <f>TEXT(LEFT(Contrato[[#This Row],[CONTRATO]],3),"0")</f>
        <v>245</v>
      </c>
      <c r="AG252" s="120" t="str">
        <f>IF(LEN(Contrato[[#This Row],[Contrato2]])=3,Contrato[[#This Row],[Contrato2]],TEXT(Contrato[[#This Row],[Contrato2]],"000"))</f>
        <v>245</v>
      </c>
      <c r="AH252" s="90">
        <f ca="1">IFERROR(_xlfn.DAYS(Contrato[[#This Row],[Fecha Proyectada liquidación]],TODAY())/30,"")</f>
        <v>11.833333333333334</v>
      </c>
      <c r="AI252" s="121">
        <f>+Contrato[[#This Row],[FECHA TERMINACIÓN ]]+120</f>
        <v>46138</v>
      </c>
      <c r="AK252" s="91" t="str">
        <f ca="1">IF(Contrato[[#This Row],[FECHA TERMINACIÓN ]]&lt;TODAY(), "Terminado",IF(ISNUMBER(Contrato[[#This Row],[Fecha Real de liquiidación ]]),"Liquidado",IF(Contrato[[#This Row],[FECHA TERMINACIÓN ]]&gt;=TODAY(),"En ejecución","")))</f>
        <v>En ejecución</v>
      </c>
      <c r="AL252" s="107">
        <f ca="1">SUMIF(COMPROMISOS_2025[[#All],[consecutivo]],Contrato[[#This Row],[RCP]],COMPROMISOS_2025[[#All],[Total pagado]])</f>
        <v>0</v>
      </c>
      <c r="AM252" s="122">
        <f ca="1">IFERROR(Contrato[[#This Row],[Pagos]]/Contrato[[#This Row],[VALOR CONTRATO]],0)</f>
        <v>0</v>
      </c>
      <c r="AN252" s="160">
        <f ca="1">+Contrato[[#This Row],[VALOR CONTRATO]]-Contrato[[#This Row],[Pagos]]</f>
        <v>93968000</v>
      </c>
      <c r="AO252" s="111" t="e" cm="1">
        <f t="array" aca="1" ref="AO252" ca="1">_xlfn.XLOOKUP(Contrato[[#This Row],[DOCUMENTO ]],PERSONAL_ACTIVO_2025[[#All],[DOCUMENTO]],PERSONAL_ACTIVO_2025[[#All],[email]],0,0)</f>
        <v>#NAME?</v>
      </c>
      <c r="AP252" s="111" t="e" cm="1">
        <f t="array" aca="1" ref="AP252" ca="1">_xlfn.XLOOKUP(Contrato[[#This Row],[DOCUMENTO]],PERSONAL_ACTIVO_2025[[#All],[DOCUMENTO]],PERSONAL_ACTIVO_2025[[#All],[email]],0,0)</f>
        <v>#NAME?</v>
      </c>
      <c r="AQ252" s="111" cm="1">
        <f t="array" aca="1" ref="AQ252" ca="1">IF(ISBLANK(Contrato[[#This Row],[DEPENDENCIA ]]),0,IFERROR(_xlfn.XLOOKUP(Contrato[[#This Row],[DEPENDENCIA ]],#REF!,#REF!,0,0),0))</f>
        <v>0</v>
      </c>
      <c r="AR252" s="555">
        <f ca="1">+_xlfn.DAYS(Contrato[[#This Row],[FECHA TERMINACIÓN ]],TODAY())</f>
        <v>235</v>
      </c>
    </row>
    <row r="253" spans="1:44" ht="39.75" customHeight="1" x14ac:dyDescent="0.25">
      <c r="A253" s="38">
        <v>116</v>
      </c>
      <c r="B253" s="226">
        <v>246</v>
      </c>
      <c r="C253" s="88" t="s">
        <v>280</v>
      </c>
      <c r="D253" s="192" t="s">
        <v>930</v>
      </c>
      <c r="E253" s="193" t="s">
        <v>112</v>
      </c>
      <c r="F253" s="194" t="s">
        <v>113</v>
      </c>
      <c r="G253" s="195" t="s">
        <v>1345</v>
      </c>
      <c r="H253" s="167">
        <v>39455359</v>
      </c>
      <c r="I253" s="292">
        <v>9573200</v>
      </c>
      <c r="J253" s="290">
        <v>76585600</v>
      </c>
      <c r="K253" s="158" t="s">
        <v>41</v>
      </c>
      <c r="L253" s="196" t="s">
        <v>1337</v>
      </c>
      <c r="M253" s="114" t="s">
        <v>914</v>
      </c>
      <c r="N253" s="113" t="e" cm="1">
        <f t="array" aca="1" ref="N253" ca="1">_xlfn.XLOOKUP(Contrato[[#This Row],[SUPERVISOR TITULAR]],PERSONAL_ACTIVO_2025[[#All],[NOMBRES Y APELLIDOS]],PERSONAL_ACTIVO_2025[[#All],[DOCUMENTO]],"",0)</f>
        <v>#NAME?</v>
      </c>
      <c r="O253" s="114" t="s">
        <v>933</v>
      </c>
      <c r="P253" s="115" t="e" cm="1">
        <f t="array" aca="1" ref="P253" ca="1">_xlfn.XLOOKUP(Contrato[[#This Row],[SUPERVISOR SUPLENTE ]],PERSONAL_ACTIVO_2025[[#All],[NOMBRES Y APELLIDOS]],PERSONAL_ACTIVO_2025[[#All],[DOCUMENTO]],"",0)</f>
        <v>#NAME?</v>
      </c>
      <c r="Q253" s="116">
        <v>299</v>
      </c>
      <c r="R253" s="137" t="e" cm="1">
        <f t="array" aca="1" ref="R253" ca="1">_xlfn.XLOOKUP(Contrato[[#This Row],[CDP]],DISPONIBILIDADES_2025[[#All],[consecutivo]],DISPONIBILIDADES_2025[[#All],[fecha_aprobacion]],"",0)</f>
        <v>#NAME?</v>
      </c>
      <c r="S253" s="92">
        <f>SUMIF(DISPONIBILIDADES_2025[[#All],[consecutivo]],Contrato[[#This Row],[CDP]],DISPONIBILIDADES_2025[[#All],[valor_total_rubro]])</f>
        <v>76585600</v>
      </c>
      <c r="T253" s="118" t="e" cm="1">
        <f t="array" aca="1" ref="T253" ca="1">_xlfn.XLOOKUP(Contrato[[#This Row],[CONTRATO]]&amp;Contrato[[#This Row],[CDP]],Corr_Contr_CDP[[#All],[CONTRATO-CDP]],Corr_Contr_CDP[[#All],[CRP]],_xlfn.XLOOKUP(Contrato[[#This Row],[CDP]],COMPROMISOS_2025[[#All],[disponibilidad]],COMPROMISOS_2025[[#All],[consecutivo]],"",0),0)</f>
        <v>#NAME?</v>
      </c>
      <c r="U253" s="117" t="e" cm="1">
        <f t="array" aca="1" ref="U253" ca="1">+_xlfn.XLOOKUP(Contrato[[#This Row],[RCP]],COMPROMISOS_2025[[#All],[consecutivo]],COMPROMISOS_2025[[#All],[fecha_aprobacion]],"",0)</f>
        <v>#NAME?</v>
      </c>
      <c r="V253" s="93">
        <f ca="1">SUMIF(COMPROMISOS_2025[[#All],[consecutivo]],Contrato[[#This Row],[RCP]],COMPROMISOS_2025[[#All],[valor_total]])</f>
        <v>0</v>
      </c>
      <c r="W253" s="169">
        <v>45715</v>
      </c>
      <c r="X253" s="243" t="s">
        <v>901</v>
      </c>
      <c r="Y253" s="96">
        <v>45719</v>
      </c>
      <c r="Z253" s="161">
        <v>45964</v>
      </c>
      <c r="AA253" s="198" t="s">
        <v>1346</v>
      </c>
      <c r="AB253" s="119" t="s">
        <v>936</v>
      </c>
      <c r="AC253" s="112"/>
      <c r="AD253" s="279">
        <v>202000006435</v>
      </c>
      <c r="AE253" s="38" t="s">
        <v>904</v>
      </c>
      <c r="AF253" s="120" t="str">
        <f>TEXT(LEFT(Contrato[[#This Row],[CONTRATO]],3),"0")</f>
        <v>246</v>
      </c>
      <c r="AG253" s="120" t="str">
        <f>IF(LEN(Contrato[[#This Row],[Contrato2]])=3,Contrato[[#This Row],[Contrato2]],TEXT(Contrato[[#This Row],[Contrato2]],"000"))</f>
        <v>246</v>
      </c>
      <c r="AH253" s="90">
        <f ca="1">IFERROR(_xlfn.DAYS(Contrato[[#This Row],[Fecha Proyectada liquidación]],TODAY())/30,"")</f>
        <v>10.033333333333333</v>
      </c>
      <c r="AI253" s="121">
        <f>+Contrato[[#This Row],[FECHA TERMINACIÓN ]]+120</f>
        <v>46084</v>
      </c>
      <c r="AK253" s="91" t="str">
        <f ca="1">IF(Contrato[[#This Row],[FECHA TERMINACIÓN ]]&lt;TODAY(), "Terminado",IF(ISNUMBER(Contrato[[#This Row],[Fecha Real de liquiidación ]]),"Liquidado",IF(Contrato[[#This Row],[FECHA TERMINACIÓN ]]&gt;=TODAY(),"En ejecución","")))</f>
        <v>En ejecución</v>
      </c>
      <c r="AL253" s="107">
        <f ca="1">SUMIF(COMPROMISOS_2025[[#All],[consecutivo]],Contrato[[#This Row],[RCP]],COMPROMISOS_2025[[#All],[Total pagado]])</f>
        <v>0</v>
      </c>
      <c r="AM253" s="122">
        <f ca="1">IFERROR(Contrato[[#This Row],[Pagos]]/Contrato[[#This Row],[VALOR CONTRATO]],0)</f>
        <v>0</v>
      </c>
      <c r="AN253" s="160">
        <f ca="1">+Contrato[[#This Row],[VALOR CONTRATO]]-Contrato[[#This Row],[Pagos]]</f>
        <v>76585600</v>
      </c>
      <c r="AO253" s="111" t="e" cm="1">
        <f t="array" aca="1" ref="AO253" ca="1">_xlfn.XLOOKUP(Contrato[[#This Row],[DOCUMENTO ]],PERSONAL_ACTIVO_2025[[#All],[DOCUMENTO]],PERSONAL_ACTIVO_2025[[#All],[email]],0,0)</f>
        <v>#NAME?</v>
      </c>
      <c r="AP253" s="111" t="e" cm="1">
        <f t="array" aca="1" ref="AP253" ca="1">_xlfn.XLOOKUP(Contrato[[#This Row],[DOCUMENTO]],PERSONAL_ACTIVO_2025[[#All],[DOCUMENTO]],PERSONAL_ACTIVO_2025[[#All],[email]],0,0)</f>
        <v>#NAME?</v>
      </c>
      <c r="AQ253" s="111" cm="1">
        <f t="array" aca="1" ref="AQ253" ca="1">IF(ISBLANK(Contrato[[#This Row],[DEPENDENCIA ]]),0,IFERROR(_xlfn.XLOOKUP(Contrato[[#This Row],[DEPENDENCIA ]],#REF!,#REF!,0,0),0))</f>
        <v>0</v>
      </c>
      <c r="AR253" s="555">
        <f ca="1">+_xlfn.DAYS(Contrato[[#This Row],[FECHA TERMINACIÓN ]],TODAY())</f>
        <v>181</v>
      </c>
    </row>
    <row r="254" spans="1:44" ht="39.75" customHeight="1" x14ac:dyDescent="0.25">
      <c r="A254" s="38">
        <v>121</v>
      </c>
      <c r="B254" s="226">
        <v>247</v>
      </c>
      <c r="C254" s="88" t="s">
        <v>294</v>
      </c>
      <c r="D254" s="192" t="s">
        <v>930</v>
      </c>
      <c r="E254" s="193" t="s">
        <v>112</v>
      </c>
      <c r="F254" s="194" t="s">
        <v>113</v>
      </c>
      <c r="G254" s="195" t="s">
        <v>1347</v>
      </c>
      <c r="H254" s="167">
        <v>8434876</v>
      </c>
      <c r="I254" s="292">
        <v>7521800</v>
      </c>
      <c r="J254" s="290">
        <v>83968000</v>
      </c>
      <c r="K254" s="246" t="s">
        <v>1054</v>
      </c>
      <c r="L254" s="196" t="s">
        <v>1337</v>
      </c>
      <c r="M254" s="114" t="s">
        <v>994</v>
      </c>
      <c r="N254" s="113" t="e" cm="1">
        <f t="array" aca="1" ref="N254" ca="1">_xlfn.XLOOKUP(Contrato[[#This Row],[SUPERVISOR TITULAR]],PERSONAL_ACTIVO_2025[[#All],[NOMBRES Y APELLIDOS]],PERSONAL_ACTIVO_2025[[#All],[DOCUMENTO]],"",0)</f>
        <v>#NAME?</v>
      </c>
      <c r="O254" s="114" t="s">
        <v>1072</v>
      </c>
      <c r="P254" s="115" t="e" cm="1">
        <f t="array" aca="1" ref="P254" ca="1">_xlfn.XLOOKUP(Contrato[[#This Row],[SUPERVISOR SUPLENTE ]],PERSONAL_ACTIVO_2025[[#All],[NOMBRES Y APELLIDOS]],PERSONAL_ACTIVO_2025[[#All],[DOCUMENTO]],"",0)</f>
        <v>#NAME?</v>
      </c>
      <c r="Q254" s="116">
        <v>312</v>
      </c>
      <c r="R254" s="137" t="e" cm="1">
        <f t="array" aca="1" ref="R254" ca="1">_xlfn.XLOOKUP(Contrato[[#This Row],[CDP]],DISPONIBILIDADES_2025[[#All],[consecutivo]],DISPONIBILIDADES_2025[[#All],[fecha_aprobacion]],"",0)</f>
        <v>#NAME?</v>
      </c>
      <c r="S254" s="92">
        <f>SUMIF(DISPONIBILIDADES_2025[[#All],[consecutivo]],Contrato[[#This Row],[CDP]],DISPONIBILIDADES_2025[[#All],[valor_total_rubro]])</f>
        <v>83968000</v>
      </c>
      <c r="T254" s="118" t="e" cm="1">
        <f t="array" aca="1" ref="T254" ca="1">_xlfn.XLOOKUP(Contrato[[#This Row],[CONTRATO]]&amp;Contrato[[#This Row],[CDP]],Corr_Contr_CDP[[#All],[CONTRATO-CDP]],Corr_Contr_CDP[[#All],[CRP]],_xlfn.XLOOKUP(Contrato[[#This Row],[CDP]],COMPROMISOS_2025[[#All],[disponibilidad]],COMPROMISOS_2025[[#All],[consecutivo]],"",0),0)</f>
        <v>#NAME?</v>
      </c>
      <c r="U254" s="117" t="e" cm="1">
        <f t="array" aca="1" ref="U254" ca="1">+_xlfn.XLOOKUP(Contrato[[#This Row],[RCP]],COMPROMISOS_2025[[#All],[consecutivo]],COMPROMISOS_2025[[#All],[fecha_aprobacion]],"",0)</f>
        <v>#NAME?</v>
      </c>
      <c r="V254" s="93">
        <f ca="1">SUMIF(COMPROMISOS_2025[[#All],[consecutivo]],Contrato[[#This Row],[RCP]],COMPROMISOS_2025[[#All],[valor_total]])</f>
        <v>0</v>
      </c>
      <c r="W254" s="169">
        <v>45714</v>
      </c>
      <c r="X254" s="243" t="s">
        <v>901</v>
      </c>
      <c r="Y254" s="397">
        <v>45715</v>
      </c>
      <c r="Z254" s="161">
        <v>46017</v>
      </c>
      <c r="AA254" s="198" t="s">
        <v>1348</v>
      </c>
      <c r="AB254" s="119" t="s">
        <v>1004</v>
      </c>
      <c r="AC254" s="112"/>
      <c r="AD254" s="279">
        <v>202000006385</v>
      </c>
      <c r="AE254" s="38" t="s">
        <v>904</v>
      </c>
      <c r="AF254" s="120" t="str">
        <f>TEXT(LEFT(Contrato[[#This Row],[CONTRATO]],3),"0")</f>
        <v>247</v>
      </c>
      <c r="AG254" s="120" t="str">
        <f>IF(LEN(Contrato[[#This Row],[Contrato2]])=3,Contrato[[#This Row],[Contrato2]],TEXT(Contrato[[#This Row],[Contrato2]],"000"))</f>
        <v>247</v>
      </c>
      <c r="AH254" s="90">
        <f ca="1">IFERROR(_xlfn.DAYS(Contrato[[#This Row],[Fecha Proyectada liquidación]],TODAY())/30,"")</f>
        <v>11.8</v>
      </c>
      <c r="AI254" s="121">
        <f>+Contrato[[#This Row],[FECHA TERMINACIÓN ]]+120</f>
        <v>46137</v>
      </c>
      <c r="AK254" s="91" t="str">
        <f ca="1">IF(Contrato[[#This Row],[FECHA TERMINACIÓN ]]&lt;TODAY(), "Terminado",IF(ISNUMBER(Contrato[[#This Row],[Fecha Real de liquiidación ]]),"Liquidado",IF(Contrato[[#This Row],[FECHA TERMINACIÓN ]]&gt;=TODAY(),"En ejecución","")))</f>
        <v>En ejecución</v>
      </c>
      <c r="AL254" s="107">
        <f ca="1">SUMIF(COMPROMISOS_2025[[#All],[consecutivo]],Contrato[[#This Row],[RCP]],COMPROMISOS_2025[[#All],[Total pagado]])</f>
        <v>0</v>
      </c>
      <c r="AM254" s="122">
        <f ca="1">IFERROR(Contrato[[#This Row],[Pagos]]/Contrato[[#This Row],[VALOR CONTRATO]],0)</f>
        <v>0</v>
      </c>
      <c r="AN254" s="160">
        <f ca="1">+Contrato[[#This Row],[VALOR CONTRATO]]-Contrato[[#This Row],[Pagos]]</f>
        <v>83968000</v>
      </c>
      <c r="AO254" s="111" t="e" cm="1">
        <f t="array" aca="1" ref="AO254" ca="1">_xlfn.XLOOKUP(Contrato[[#This Row],[DOCUMENTO ]],PERSONAL_ACTIVO_2025[[#All],[DOCUMENTO]],PERSONAL_ACTIVO_2025[[#All],[email]],0,0)</f>
        <v>#NAME?</v>
      </c>
      <c r="AP254" s="111" t="e" cm="1">
        <f t="array" aca="1" ref="AP254" ca="1">_xlfn.XLOOKUP(Contrato[[#This Row],[DOCUMENTO]],PERSONAL_ACTIVO_2025[[#All],[DOCUMENTO]],PERSONAL_ACTIVO_2025[[#All],[email]],0,0)</f>
        <v>#NAME?</v>
      </c>
      <c r="AQ254" s="111" cm="1">
        <f t="array" aca="1" ref="AQ254" ca="1">IF(ISBLANK(Contrato[[#This Row],[DEPENDENCIA ]]),0,IFERROR(_xlfn.XLOOKUP(Contrato[[#This Row],[DEPENDENCIA ]],#REF!,#REF!,0,0),0))</f>
        <v>0</v>
      </c>
      <c r="AR254" s="555">
        <f ca="1">+_xlfn.DAYS(Contrato[[#This Row],[FECHA TERMINACIÓN ]],TODAY())</f>
        <v>234</v>
      </c>
    </row>
    <row r="255" spans="1:44" ht="39.75" customHeight="1" x14ac:dyDescent="0.25">
      <c r="A255" s="38">
        <v>476</v>
      </c>
      <c r="B255" s="226">
        <v>248</v>
      </c>
      <c r="C255" s="88" t="s">
        <v>682</v>
      </c>
      <c r="D255" s="192" t="s">
        <v>890</v>
      </c>
      <c r="E255" s="193" t="s">
        <v>112</v>
      </c>
      <c r="F255" s="194" t="s">
        <v>142</v>
      </c>
      <c r="G255" s="195" t="s">
        <v>896</v>
      </c>
      <c r="H255" s="167">
        <v>800167494</v>
      </c>
      <c r="I255" s="292">
        <v>0</v>
      </c>
      <c r="J255" s="290">
        <v>233927178</v>
      </c>
      <c r="K255" s="158" t="s">
        <v>41</v>
      </c>
      <c r="L255" s="196" t="s">
        <v>1337</v>
      </c>
      <c r="M255" s="114" t="s">
        <v>893</v>
      </c>
      <c r="N255" s="113" t="e" cm="1">
        <f t="array" aca="1" ref="N255" ca="1">_xlfn.XLOOKUP(Contrato[[#This Row],[SUPERVISOR TITULAR]],PERSONAL_ACTIVO_2025[[#All],[NOMBRES Y APELLIDOS]],PERSONAL_ACTIVO_2025[[#All],[DOCUMENTO]],"",0)</f>
        <v>#NAME?</v>
      </c>
      <c r="O255" s="114" t="s">
        <v>894</v>
      </c>
      <c r="P255" s="115" t="e" cm="1">
        <f t="array" aca="1" ref="P255" ca="1">_xlfn.XLOOKUP(Contrato[[#This Row],[SUPERVISOR SUPLENTE ]],PERSONAL_ACTIVO_2025[[#All],[NOMBRES Y APELLIDOS]],PERSONAL_ACTIVO_2025[[#All],[DOCUMENTO]],"",0)</f>
        <v>#NAME?</v>
      </c>
      <c r="Q255" s="116">
        <v>305</v>
      </c>
      <c r="R255" s="137" t="e" cm="1">
        <f t="array" aca="1" ref="R255" ca="1">_xlfn.XLOOKUP(Contrato[[#This Row],[CDP]],DISPONIBILIDADES_2025[[#All],[consecutivo]],DISPONIBILIDADES_2025[[#All],[fecha_aprobacion]],"",0)</f>
        <v>#NAME?</v>
      </c>
      <c r="S255" s="92">
        <f>SUMIF(DISPONIBILIDADES_2025[[#All],[consecutivo]],Contrato[[#This Row],[CDP]],DISPONIBILIDADES_2025[[#All],[valor_total_rubro]])</f>
        <v>233927178</v>
      </c>
      <c r="T255" s="118" t="e" cm="1">
        <f t="array" aca="1" ref="T255" ca="1">_xlfn.XLOOKUP(Contrato[[#This Row],[CONTRATO]]&amp;Contrato[[#This Row],[CDP]],Corr_Contr_CDP[[#All],[CONTRATO-CDP]],Corr_Contr_CDP[[#All],[CRP]],_xlfn.XLOOKUP(Contrato[[#This Row],[CDP]],COMPROMISOS_2025[[#All],[disponibilidad]],COMPROMISOS_2025[[#All],[consecutivo]],"",0),0)</f>
        <v>#NAME?</v>
      </c>
      <c r="U255" s="117" t="e" cm="1">
        <f t="array" aca="1" ref="U255" ca="1">+_xlfn.XLOOKUP(Contrato[[#This Row],[RCP]],COMPROMISOS_2025[[#All],[consecutivo]],COMPROMISOS_2025[[#All],[fecha_aprobacion]],"",0)</f>
        <v>#NAME?</v>
      </c>
      <c r="V255" s="93">
        <f ca="1">SUMIF(COMPROMISOS_2025[[#All],[consecutivo]],Contrato[[#This Row],[RCP]],COMPROMISOS_2025[[#All],[valor_total]])</f>
        <v>0</v>
      </c>
      <c r="W255" s="169">
        <v>45715</v>
      </c>
      <c r="X255" s="243">
        <v>45719</v>
      </c>
      <c r="Y255" s="96">
        <v>45719</v>
      </c>
      <c r="Z255" s="161">
        <v>46022</v>
      </c>
      <c r="AA255" s="198" t="s">
        <v>1349</v>
      </c>
      <c r="AB255" s="119" t="s">
        <v>1004</v>
      </c>
      <c r="AC255" s="112"/>
      <c r="AD255" s="279">
        <v>202000006436</v>
      </c>
      <c r="AE255" s="38" t="s">
        <v>904</v>
      </c>
      <c r="AF255" s="120" t="str">
        <f>TEXT(LEFT(Contrato[[#This Row],[CONTRATO]],3),"0")</f>
        <v>248</v>
      </c>
      <c r="AG255" s="120" t="str">
        <f>IF(LEN(Contrato[[#This Row],[Contrato2]])=3,Contrato[[#This Row],[Contrato2]],TEXT(Contrato[[#This Row],[Contrato2]],"000"))</f>
        <v>248</v>
      </c>
      <c r="AH255" s="90">
        <f ca="1">IFERROR(_xlfn.DAYS(Contrato[[#This Row],[Fecha Proyectada liquidación]],TODAY())/30,"")</f>
        <v>11.966666666666667</v>
      </c>
      <c r="AI255" s="121">
        <f>+Contrato[[#This Row],[FECHA TERMINACIÓN ]]+120</f>
        <v>46142</v>
      </c>
      <c r="AK255" s="91" t="str">
        <f ca="1">IF(Contrato[[#This Row],[FECHA TERMINACIÓN ]]&lt;TODAY(), "Terminado",IF(ISNUMBER(Contrato[[#This Row],[Fecha Real de liquiidación ]]),"Liquidado",IF(Contrato[[#This Row],[FECHA TERMINACIÓN ]]&gt;=TODAY(),"En ejecución","")))</f>
        <v>En ejecución</v>
      </c>
      <c r="AL255" s="107">
        <f ca="1">SUMIF(COMPROMISOS_2025[[#All],[consecutivo]],Contrato[[#This Row],[RCP]],COMPROMISOS_2025[[#All],[Total pagado]])</f>
        <v>0</v>
      </c>
      <c r="AM255" s="122">
        <f ca="1">IFERROR(Contrato[[#This Row],[Pagos]]/Contrato[[#This Row],[VALOR CONTRATO]],0)</f>
        <v>0</v>
      </c>
      <c r="AN255" s="160">
        <f ca="1">+Contrato[[#This Row],[VALOR CONTRATO]]-Contrato[[#This Row],[Pagos]]</f>
        <v>233927178</v>
      </c>
      <c r="AO255" s="111" t="e" cm="1">
        <f t="array" aca="1" ref="AO255" ca="1">_xlfn.XLOOKUP(Contrato[[#This Row],[DOCUMENTO ]],PERSONAL_ACTIVO_2025[[#All],[DOCUMENTO]],PERSONAL_ACTIVO_2025[[#All],[email]],0,0)</f>
        <v>#NAME?</v>
      </c>
      <c r="AP255" s="111" t="e" cm="1">
        <f t="array" aca="1" ref="AP255" ca="1">_xlfn.XLOOKUP(Contrato[[#This Row],[DOCUMENTO]],PERSONAL_ACTIVO_2025[[#All],[DOCUMENTO]],PERSONAL_ACTIVO_2025[[#All],[email]],0,0)</f>
        <v>#NAME?</v>
      </c>
      <c r="AQ255" s="111" cm="1">
        <f t="array" aca="1" ref="AQ255" ca="1">IF(ISBLANK(Contrato[[#This Row],[DEPENDENCIA ]]),0,IFERROR(_xlfn.XLOOKUP(Contrato[[#This Row],[DEPENDENCIA ]],#REF!,#REF!,0,0),0))</f>
        <v>0</v>
      </c>
      <c r="AR255" s="555">
        <f ca="1">+_xlfn.DAYS(Contrato[[#This Row],[FECHA TERMINACIÓN ]],TODAY())</f>
        <v>239</v>
      </c>
    </row>
    <row r="256" spans="1:44" ht="39.75" customHeight="1" x14ac:dyDescent="0.25">
      <c r="A256" s="38">
        <v>552</v>
      </c>
      <c r="B256" s="226">
        <v>249</v>
      </c>
      <c r="C256" s="88" t="s">
        <v>753</v>
      </c>
      <c r="D256" s="192" t="s">
        <v>930</v>
      </c>
      <c r="E256" s="193" t="s">
        <v>112</v>
      </c>
      <c r="F256" s="194" t="s">
        <v>142</v>
      </c>
      <c r="G256" s="195" t="s">
        <v>1350</v>
      </c>
      <c r="H256" s="167">
        <v>890905456</v>
      </c>
      <c r="I256" s="292">
        <v>0</v>
      </c>
      <c r="J256" s="290">
        <v>129600000</v>
      </c>
      <c r="K256" s="158" t="s">
        <v>41</v>
      </c>
      <c r="L256" s="196" t="s">
        <v>1337</v>
      </c>
      <c r="M256" s="114" t="s">
        <v>972</v>
      </c>
      <c r="N256" s="113" t="e" cm="1">
        <f t="array" aca="1" ref="N256" ca="1">_xlfn.XLOOKUP(Contrato[[#This Row],[SUPERVISOR TITULAR]],PERSONAL_ACTIVO_2025[[#All],[NOMBRES Y APELLIDOS]],PERSONAL_ACTIVO_2025[[#All],[DOCUMENTO]],"",0)</f>
        <v>#NAME?</v>
      </c>
      <c r="O256" s="114" t="s">
        <v>1059</v>
      </c>
      <c r="P256" s="115" t="e" cm="1">
        <f t="array" aca="1" ref="P256" ca="1">_xlfn.XLOOKUP(Contrato[[#This Row],[SUPERVISOR SUPLENTE ]],PERSONAL_ACTIVO_2025[[#All],[NOMBRES Y APELLIDOS]],PERSONAL_ACTIVO_2025[[#All],[DOCUMENTO]],"",0)</f>
        <v>#NAME?</v>
      </c>
      <c r="Q256" s="116">
        <v>332</v>
      </c>
      <c r="R256" s="137" t="e" cm="1">
        <f t="array" aca="1" ref="R256" ca="1">_xlfn.XLOOKUP(Contrato[[#This Row],[CDP]],DISPONIBILIDADES_2025[[#All],[consecutivo]],DISPONIBILIDADES_2025[[#All],[fecha_aprobacion]],"",0)</f>
        <v>#NAME?</v>
      </c>
      <c r="S256" s="92">
        <f>SUMIF(DISPONIBILIDADES_2025[[#All],[consecutivo]],Contrato[[#This Row],[CDP]],DISPONIBILIDADES_2025[[#All],[valor_total_rubro]])</f>
        <v>129600000</v>
      </c>
      <c r="T256" s="118" t="e" cm="1">
        <f t="array" aca="1" ref="T256" ca="1">_xlfn.XLOOKUP(Contrato[[#This Row],[CONTRATO]]&amp;Contrato[[#This Row],[CDP]],Corr_Contr_CDP[[#All],[CONTRATO-CDP]],Corr_Contr_CDP[[#All],[CRP]],_xlfn.XLOOKUP(Contrato[[#This Row],[CDP]],COMPROMISOS_2025[[#All],[disponibilidad]],COMPROMISOS_2025[[#All],[consecutivo]],"",0),0)</f>
        <v>#NAME?</v>
      </c>
      <c r="U256" s="117" t="e" cm="1">
        <f t="array" aca="1" ref="U256" ca="1">+_xlfn.XLOOKUP(Contrato[[#This Row],[RCP]],COMPROMISOS_2025[[#All],[consecutivo]],COMPROMISOS_2025[[#All],[fecha_aprobacion]],"",0)</f>
        <v>#NAME?</v>
      </c>
      <c r="V256" s="93">
        <f ca="1">SUMIF(COMPROMISOS_2025[[#All],[consecutivo]],Contrato[[#This Row],[RCP]],COMPROMISOS_2025[[#All],[valor_total]])</f>
        <v>0</v>
      </c>
      <c r="W256" s="169">
        <v>45714</v>
      </c>
      <c r="X256" s="243">
        <v>45716</v>
      </c>
      <c r="Y256" s="397">
        <v>45716</v>
      </c>
      <c r="Z256" s="161">
        <v>46019</v>
      </c>
      <c r="AA256" s="198" t="s">
        <v>1351</v>
      </c>
      <c r="AB256" s="119" t="s">
        <v>1004</v>
      </c>
      <c r="AC256" s="112"/>
      <c r="AD256" s="279">
        <v>202000006386</v>
      </c>
      <c r="AE256" s="38" t="s">
        <v>904</v>
      </c>
      <c r="AF256" s="120" t="str">
        <f>TEXT(LEFT(Contrato[[#This Row],[CONTRATO]],3),"0")</f>
        <v>249</v>
      </c>
      <c r="AG256" s="120" t="str">
        <f>IF(LEN(Contrato[[#This Row],[Contrato2]])=3,Contrato[[#This Row],[Contrato2]],TEXT(Contrato[[#This Row],[Contrato2]],"000"))</f>
        <v>249</v>
      </c>
      <c r="AH256" s="90">
        <f ca="1">IFERROR(_xlfn.DAYS(Contrato[[#This Row],[Fecha Proyectada liquidación]],TODAY())/30,"")</f>
        <v>11.866666666666667</v>
      </c>
      <c r="AI256" s="121">
        <f>+Contrato[[#This Row],[FECHA TERMINACIÓN ]]+120</f>
        <v>46139</v>
      </c>
      <c r="AK256" s="91" t="str">
        <f ca="1">IF(Contrato[[#This Row],[FECHA TERMINACIÓN ]]&lt;TODAY(), "Terminado",IF(ISNUMBER(Contrato[[#This Row],[Fecha Real de liquiidación ]]),"Liquidado",IF(Contrato[[#This Row],[FECHA TERMINACIÓN ]]&gt;=TODAY(),"En ejecución","")))</f>
        <v>En ejecución</v>
      </c>
      <c r="AL256" s="107">
        <f ca="1">SUMIF(COMPROMISOS_2025[[#All],[consecutivo]],Contrato[[#This Row],[RCP]],COMPROMISOS_2025[[#All],[Total pagado]])</f>
        <v>0</v>
      </c>
      <c r="AM256" s="122">
        <f ca="1">IFERROR(Contrato[[#This Row],[Pagos]]/Contrato[[#This Row],[VALOR CONTRATO]],0)</f>
        <v>0</v>
      </c>
      <c r="AN256" s="160">
        <f ca="1">+Contrato[[#This Row],[VALOR CONTRATO]]-Contrato[[#This Row],[Pagos]]</f>
        <v>129600000</v>
      </c>
      <c r="AO256" s="111" t="e" cm="1">
        <f t="array" aca="1" ref="AO256" ca="1">_xlfn.XLOOKUP(Contrato[[#This Row],[DOCUMENTO ]],PERSONAL_ACTIVO_2025[[#All],[DOCUMENTO]],PERSONAL_ACTIVO_2025[[#All],[email]],0,0)</f>
        <v>#NAME?</v>
      </c>
      <c r="AP256" s="111" t="e" cm="1">
        <f t="array" aca="1" ref="AP256" ca="1">_xlfn.XLOOKUP(Contrato[[#This Row],[DOCUMENTO]],PERSONAL_ACTIVO_2025[[#All],[DOCUMENTO]],PERSONAL_ACTIVO_2025[[#All],[email]],0,0)</f>
        <v>#NAME?</v>
      </c>
      <c r="AQ256" s="111" cm="1">
        <f t="array" aca="1" ref="AQ256" ca="1">IF(ISBLANK(Contrato[[#This Row],[DEPENDENCIA ]]),0,IFERROR(_xlfn.XLOOKUP(Contrato[[#This Row],[DEPENDENCIA ]],#REF!,#REF!,0,0),0))</f>
        <v>0</v>
      </c>
      <c r="AR256" s="555">
        <f ca="1">+_xlfn.DAYS(Contrato[[#This Row],[FECHA TERMINACIÓN ]],TODAY())</f>
        <v>236</v>
      </c>
    </row>
    <row r="257" spans="1:44" ht="39.75" customHeight="1" x14ac:dyDescent="0.25">
      <c r="A257" s="38">
        <v>138</v>
      </c>
      <c r="B257" s="226">
        <v>250</v>
      </c>
      <c r="C257" s="88" t="s">
        <v>309</v>
      </c>
      <c r="D257" s="192" t="s">
        <v>930</v>
      </c>
      <c r="E257" s="193" t="s">
        <v>112</v>
      </c>
      <c r="F257" s="194" t="s">
        <v>113</v>
      </c>
      <c r="G257" s="195" t="s">
        <v>1352</v>
      </c>
      <c r="H257" s="167">
        <v>71669221</v>
      </c>
      <c r="I257" s="292">
        <v>7521800</v>
      </c>
      <c r="J257" s="290">
        <v>85843000</v>
      </c>
      <c r="K257" s="246" t="s">
        <v>1064</v>
      </c>
      <c r="L257" s="196" t="s">
        <v>1337</v>
      </c>
      <c r="M257" s="114" t="s">
        <v>1059</v>
      </c>
      <c r="N257" s="113" t="e" cm="1">
        <f t="array" aca="1" ref="N257" ca="1">_xlfn.XLOOKUP(Contrato[[#This Row],[SUPERVISOR TITULAR]],PERSONAL_ACTIVO_2025[[#All],[NOMBRES Y APELLIDOS]],PERSONAL_ACTIVO_2025[[#All],[DOCUMENTO]],"",0)</f>
        <v>#NAME?</v>
      </c>
      <c r="O257" s="114" t="s">
        <v>972</v>
      </c>
      <c r="P257" s="115" t="e" cm="1">
        <f t="array" aca="1" ref="P257" ca="1">_xlfn.XLOOKUP(Contrato[[#This Row],[SUPERVISOR SUPLENTE ]],PERSONAL_ACTIVO_2025[[#All],[NOMBRES Y APELLIDOS]],PERSONAL_ACTIVO_2025[[#All],[DOCUMENTO]],"",0)</f>
        <v>#NAME?</v>
      </c>
      <c r="Q257" s="116">
        <v>310</v>
      </c>
      <c r="R257" s="137" t="e" cm="1">
        <f t="array" aca="1" ref="R257" ca="1">_xlfn.XLOOKUP(Contrato[[#This Row],[CDP]],DISPONIBILIDADES_2025[[#All],[consecutivo]],DISPONIBILIDADES_2025[[#All],[fecha_aprobacion]],"",0)</f>
        <v>#NAME?</v>
      </c>
      <c r="S257" s="92">
        <f>SUMIF(DISPONIBILIDADES_2025[[#All],[consecutivo]],Contrato[[#This Row],[CDP]],DISPONIBILIDADES_2025[[#All],[valor_total_rubro]])</f>
        <v>85843000</v>
      </c>
      <c r="T257" s="118" t="e" cm="1">
        <f t="array" aca="1" ref="T257" ca="1">_xlfn.XLOOKUP(Contrato[[#This Row],[CONTRATO]]&amp;Contrato[[#This Row],[CDP]],Corr_Contr_CDP[[#All],[CONTRATO-CDP]],Corr_Contr_CDP[[#All],[CRP]],_xlfn.XLOOKUP(Contrato[[#This Row],[CDP]],COMPROMISOS_2025[[#All],[disponibilidad]],COMPROMISOS_2025[[#All],[consecutivo]],"",0),0)</f>
        <v>#NAME?</v>
      </c>
      <c r="U257" s="117" t="e" cm="1">
        <f t="array" aca="1" ref="U257" ca="1">+_xlfn.XLOOKUP(Contrato[[#This Row],[RCP]],COMPROMISOS_2025[[#All],[consecutivo]],COMPROMISOS_2025[[#All],[fecha_aprobacion]],"",0)</f>
        <v>#NAME?</v>
      </c>
      <c r="V257" s="93">
        <f ca="1">SUMIF(COMPROMISOS_2025[[#All],[consecutivo]],Contrato[[#This Row],[RCP]],COMPROMISOS_2025[[#All],[valor_total]])</f>
        <v>0</v>
      </c>
      <c r="W257" s="169">
        <v>45715</v>
      </c>
      <c r="X257" s="243" t="s">
        <v>901</v>
      </c>
      <c r="Y257" s="96">
        <v>45719</v>
      </c>
      <c r="Z257" s="161">
        <v>46018</v>
      </c>
      <c r="AA257" s="198" t="s">
        <v>1353</v>
      </c>
      <c r="AB257" s="119" t="s">
        <v>1004</v>
      </c>
      <c r="AC257" s="112"/>
      <c r="AD257" s="279">
        <v>202000006437</v>
      </c>
      <c r="AE257" s="38" t="s">
        <v>904</v>
      </c>
      <c r="AF257" s="120" t="str">
        <f>TEXT(LEFT(Contrato[[#This Row],[CONTRATO]],3),"0")</f>
        <v>250</v>
      </c>
      <c r="AG257" s="120" t="str">
        <f>IF(LEN(Contrato[[#This Row],[Contrato2]])=3,Contrato[[#This Row],[Contrato2]],TEXT(Contrato[[#This Row],[Contrato2]],"000"))</f>
        <v>250</v>
      </c>
      <c r="AH257" s="90">
        <f ca="1">IFERROR(_xlfn.DAYS(Contrato[[#This Row],[Fecha Proyectada liquidación]],TODAY())/30,"")</f>
        <v>11.833333333333334</v>
      </c>
      <c r="AI257" s="121">
        <f>+Contrato[[#This Row],[FECHA TERMINACIÓN ]]+120</f>
        <v>46138</v>
      </c>
      <c r="AK257" s="91" t="str">
        <f ca="1">IF(Contrato[[#This Row],[FECHA TERMINACIÓN ]]&lt;TODAY(), "Terminado",IF(ISNUMBER(Contrato[[#This Row],[Fecha Real de liquiidación ]]),"Liquidado",IF(Contrato[[#This Row],[FECHA TERMINACIÓN ]]&gt;=TODAY(),"En ejecución","")))</f>
        <v>En ejecución</v>
      </c>
      <c r="AL257" s="107">
        <f ca="1">SUMIF(COMPROMISOS_2025[[#All],[consecutivo]],Contrato[[#This Row],[RCP]],COMPROMISOS_2025[[#All],[Total pagado]])</f>
        <v>0</v>
      </c>
      <c r="AM257" s="122">
        <f ca="1">IFERROR(Contrato[[#This Row],[Pagos]]/Contrato[[#This Row],[VALOR CONTRATO]],0)</f>
        <v>0</v>
      </c>
      <c r="AN257" s="160">
        <f ca="1">+Contrato[[#This Row],[VALOR CONTRATO]]-Contrato[[#This Row],[Pagos]]</f>
        <v>85843000</v>
      </c>
      <c r="AO257" s="111" t="e" cm="1">
        <f t="array" aca="1" ref="AO257" ca="1">_xlfn.XLOOKUP(Contrato[[#This Row],[DOCUMENTO ]],PERSONAL_ACTIVO_2025[[#All],[DOCUMENTO]],PERSONAL_ACTIVO_2025[[#All],[email]],0,0)</f>
        <v>#NAME?</v>
      </c>
      <c r="AP257" s="111" t="e" cm="1">
        <f t="array" aca="1" ref="AP257" ca="1">_xlfn.XLOOKUP(Contrato[[#This Row],[DOCUMENTO]],PERSONAL_ACTIVO_2025[[#All],[DOCUMENTO]],PERSONAL_ACTIVO_2025[[#All],[email]],0,0)</f>
        <v>#NAME?</v>
      </c>
      <c r="AQ257" s="111" cm="1">
        <f t="array" aca="1" ref="AQ257" ca="1">IF(ISBLANK(Contrato[[#This Row],[DEPENDENCIA ]]),0,IFERROR(_xlfn.XLOOKUP(Contrato[[#This Row],[DEPENDENCIA ]],#REF!,#REF!,0,0),0))</f>
        <v>0</v>
      </c>
      <c r="AR257" s="555">
        <f ca="1">+_xlfn.DAYS(Contrato[[#This Row],[FECHA TERMINACIÓN ]],TODAY())</f>
        <v>235</v>
      </c>
    </row>
    <row r="258" spans="1:44" ht="39.75" customHeight="1" x14ac:dyDescent="0.25">
      <c r="A258" s="38">
        <v>517</v>
      </c>
      <c r="B258" s="226">
        <v>251</v>
      </c>
      <c r="C258" s="88" t="s">
        <v>722</v>
      </c>
      <c r="D258" s="192" t="s">
        <v>905</v>
      </c>
      <c r="E258" s="193" t="s">
        <v>112</v>
      </c>
      <c r="F258" s="194" t="s">
        <v>113</v>
      </c>
      <c r="G258" s="195" t="s">
        <v>1354</v>
      </c>
      <c r="H258" s="167">
        <v>1020399010</v>
      </c>
      <c r="I258" s="292">
        <v>9573200</v>
      </c>
      <c r="J258" s="290">
        <v>76585600</v>
      </c>
      <c r="K258" s="158" t="s">
        <v>41</v>
      </c>
      <c r="L258" s="196" t="s">
        <v>1087</v>
      </c>
      <c r="M258" s="114" t="s">
        <v>1355</v>
      </c>
      <c r="N258" s="113" t="e" cm="1">
        <f t="array" aca="1" ref="N258" ca="1">_xlfn.XLOOKUP(Contrato[[#This Row],[SUPERVISOR TITULAR]],PERSONAL_ACTIVO_2025[[#All],[NOMBRES Y APELLIDOS]],PERSONAL_ACTIVO_2025[[#All],[DOCUMENTO]],"",0)</f>
        <v>#NAME?</v>
      </c>
      <c r="O258" s="114" t="s">
        <v>907</v>
      </c>
      <c r="P258" s="115" t="e" cm="1">
        <f t="array" aca="1" ref="P258" ca="1">_xlfn.XLOOKUP(Contrato[[#This Row],[SUPERVISOR SUPLENTE ]],PERSONAL_ACTIVO_2025[[#All],[NOMBRES Y APELLIDOS]],PERSONAL_ACTIVO_2025[[#All],[DOCUMENTO]],"",0)</f>
        <v>#NAME?</v>
      </c>
      <c r="Q258" s="116">
        <v>71</v>
      </c>
      <c r="R258" s="137" t="e" cm="1">
        <f t="array" aca="1" ref="R258" ca="1">_xlfn.XLOOKUP(Contrato[[#This Row],[CDP]],DISPONIBILIDADES_2025[[#All],[consecutivo]],DISPONIBILIDADES_2025[[#All],[fecha_aprobacion]],"",0)</f>
        <v>#NAME?</v>
      </c>
      <c r="S258" s="92">
        <f>SUMIF(DISPONIBILIDADES_2025[[#All],[consecutivo]],Contrato[[#This Row],[CDP]],DISPONIBILIDADES_2025[[#All],[valor_total_rubro]])</f>
        <v>76585600</v>
      </c>
      <c r="T258" s="118" t="e" cm="1">
        <f t="array" aca="1" ref="T258" ca="1">_xlfn.XLOOKUP(Contrato[[#This Row],[CONTRATO]]&amp;Contrato[[#This Row],[CDP]],Corr_Contr_CDP[[#All],[CONTRATO-CDP]],Corr_Contr_CDP[[#All],[CRP]],_xlfn.XLOOKUP(Contrato[[#This Row],[CDP]],COMPROMISOS_2025[[#All],[disponibilidad]],COMPROMISOS_2025[[#All],[consecutivo]],"",0),0)</f>
        <v>#NAME?</v>
      </c>
      <c r="U258" s="117" t="e" cm="1">
        <f t="array" aca="1" ref="U258" ca="1">+_xlfn.XLOOKUP(Contrato[[#This Row],[RCP]],COMPROMISOS_2025[[#All],[consecutivo]],COMPROMISOS_2025[[#All],[fecha_aprobacion]],"",0)</f>
        <v>#NAME?</v>
      </c>
      <c r="V258" s="93">
        <f ca="1">SUMIF(COMPROMISOS_2025[[#All],[consecutivo]],Contrato[[#This Row],[RCP]],COMPROMISOS_2025[[#All],[valor_total]])</f>
        <v>0</v>
      </c>
      <c r="W258" s="169">
        <v>45714</v>
      </c>
      <c r="X258" s="243" t="s">
        <v>901</v>
      </c>
      <c r="Y258" s="397">
        <v>45715</v>
      </c>
      <c r="Z258" s="161">
        <v>45957</v>
      </c>
      <c r="AA258" s="198" t="s">
        <v>1356</v>
      </c>
      <c r="AB258" s="119" t="s">
        <v>936</v>
      </c>
      <c r="AC258" s="112"/>
      <c r="AD258" s="543"/>
      <c r="AE258" s="38" t="s">
        <v>904</v>
      </c>
      <c r="AF258" s="120" t="str">
        <f>TEXT(LEFT(Contrato[[#This Row],[CONTRATO]],3),"0")</f>
        <v>251</v>
      </c>
      <c r="AG258" s="120" t="str">
        <f>IF(LEN(Contrato[[#This Row],[Contrato2]])=3,Contrato[[#This Row],[Contrato2]],TEXT(Contrato[[#This Row],[Contrato2]],"000"))</f>
        <v>251</v>
      </c>
      <c r="AH258" s="90">
        <f ca="1">IFERROR(_xlfn.DAYS(Contrato[[#This Row],[Fecha Proyectada liquidación]],TODAY())/30,"")</f>
        <v>9.8000000000000007</v>
      </c>
      <c r="AI258" s="121">
        <f>+Contrato[[#This Row],[FECHA TERMINACIÓN ]]+120</f>
        <v>46077</v>
      </c>
      <c r="AK258" s="91" t="str">
        <f ca="1">IF(Contrato[[#This Row],[FECHA TERMINACIÓN ]]&lt;TODAY(), "Terminado",IF(ISNUMBER(Contrato[[#This Row],[Fecha Real de liquiidación ]]),"Liquidado",IF(Contrato[[#This Row],[FECHA TERMINACIÓN ]]&gt;=TODAY(),"En ejecución","")))</f>
        <v>En ejecución</v>
      </c>
      <c r="AL258" s="107">
        <f ca="1">SUMIF(COMPROMISOS_2025[[#All],[consecutivo]],Contrato[[#This Row],[RCP]],COMPROMISOS_2025[[#All],[Total pagado]])</f>
        <v>0</v>
      </c>
      <c r="AM258" s="122">
        <f ca="1">IFERROR(Contrato[[#This Row],[Pagos]]/Contrato[[#This Row],[VALOR CONTRATO]],0)</f>
        <v>0</v>
      </c>
      <c r="AN258" s="160">
        <f ca="1">+Contrato[[#This Row],[VALOR CONTRATO]]-Contrato[[#This Row],[Pagos]]</f>
        <v>76585600</v>
      </c>
      <c r="AO258" s="111" t="e" cm="1">
        <f t="array" aca="1" ref="AO258" ca="1">_xlfn.XLOOKUP(Contrato[[#This Row],[DOCUMENTO ]],PERSONAL_ACTIVO_2025[[#All],[DOCUMENTO]],PERSONAL_ACTIVO_2025[[#All],[email]],0,0)</f>
        <v>#NAME?</v>
      </c>
      <c r="AP258" s="111" t="e" cm="1">
        <f t="array" aca="1" ref="AP258" ca="1">_xlfn.XLOOKUP(Contrato[[#This Row],[DOCUMENTO]],PERSONAL_ACTIVO_2025[[#All],[DOCUMENTO]],PERSONAL_ACTIVO_2025[[#All],[email]],0,0)</f>
        <v>#NAME?</v>
      </c>
      <c r="AQ258" s="111" cm="1">
        <f t="array" aca="1" ref="AQ258" ca="1">IF(ISBLANK(Contrato[[#This Row],[DEPENDENCIA ]]),0,IFERROR(_xlfn.XLOOKUP(Contrato[[#This Row],[DEPENDENCIA ]],#REF!,#REF!,0,0),0))</f>
        <v>0</v>
      </c>
      <c r="AR258" s="555">
        <f ca="1">+_xlfn.DAYS(Contrato[[#This Row],[FECHA TERMINACIÓN ]],TODAY())</f>
        <v>174</v>
      </c>
    </row>
    <row r="259" spans="1:44" ht="39.75" customHeight="1" x14ac:dyDescent="0.25">
      <c r="A259" s="38">
        <v>241</v>
      </c>
      <c r="B259" s="226">
        <v>252</v>
      </c>
      <c r="C259" s="88" t="s">
        <v>437</v>
      </c>
      <c r="D259" s="192" t="s">
        <v>1066</v>
      </c>
      <c r="E259" s="193" t="s">
        <v>112</v>
      </c>
      <c r="F259" s="194" t="s">
        <v>113</v>
      </c>
      <c r="G259" s="195" t="s">
        <v>1357</v>
      </c>
      <c r="H259" s="167">
        <v>39424784</v>
      </c>
      <c r="I259" s="292">
        <v>4102800</v>
      </c>
      <c r="J259" s="290">
        <v>32822400</v>
      </c>
      <c r="K259" s="158" t="s">
        <v>41</v>
      </c>
      <c r="L259" s="196" t="s">
        <v>1337</v>
      </c>
      <c r="M259" s="114" t="s">
        <v>1326</v>
      </c>
      <c r="N259" s="113" t="e" cm="1">
        <f t="array" aca="1" ref="N259" ca="1">_xlfn.XLOOKUP(Contrato[[#This Row],[SUPERVISOR TITULAR]],PERSONAL_ACTIVO_2025[[#All],[NOMBRES Y APELLIDOS]],PERSONAL_ACTIVO_2025[[#All],[DOCUMENTO]],"",0)</f>
        <v>#NAME?</v>
      </c>
      <c r="O259" s="114" t="s">
        <v>1069</v>
      </c>
      <c r="P259" s="115" t="e" cm="1">
        <f t="array" aca="1" ref="P259" ca="1">_xlfn.XLOOKUP(Contrato[[#This Row],[SUPERVISOR SUPLENTE ]],PERSONAL_ACTIVO_2025[[#All],[NOMBRES Y APELLIDOS]],PERSONAL_ACTIVO_2025[[#All],[DOCUMENTO]],"",0)</f>
        <v>#NAME?</v>
      </c>
      <c r="Q259" s="116">
        <v>327</v>
      </c>
      <c r="R259" s="137" t="e" cm="1">
        <f t="array" aca="1" ref="R259" ca="1">_xlfn.XLOOKUP(Contrato[[#This Row],[CDP]],DISPONIBILIDADES_2025[[#All],[consecutivo]],DISPONIBILIDADES_2025[[#All],[fecha_aprobacion]],"",0)</f>
        <v>#NAME?</v>
      </c>
      <c r="S259" s="92">
        <f>SUMIF(DISPONIBILIDADES_2025[[#All],[consecutivo]],Contrato[[#This Row],[CDP]],DISPONIBILIDADES_2025[[#All],[valor_total_rubro]])</f>
        <v>32822400</v>
      </c>
      <c r="T259" s="118" t="e" cm="1">
        <f t="array" aca="1" ref="T259" ca="1">_xlfn.XLOOKUP(Contrato[[#This Row],[CONTRATO]]&amp;Contrato[[#This Row],[CDP]],Corr_Contr_CDP[[#All],[CONTRATO-CDP]],Corr_Contr_CDP[[#All],[CRP]],_xlfn.XLOOKUP(Contrato[[#This Row],[CDP]],COMPROMISOS_2025[[#All],[disponibilidad]],COMPROMISOS_2025[[#All],[consecutivo]],"",0),0)</f>
        <v>#NAME?</v>
      </c>
      <c r="U259" s="117" t="e" cm="1">
        <f t="array" aca="1" ref="U259" ca="1">+_xlfn.XLOOKUP(Contrato[[#This Row],[RCP]],COMPROMISOS_2025[[#All],[consecutivo]],COMPROMISOS_2025[[#All],[fecha_aprobacion]],"",0)</f>
        <v>#NAME?</v>
      </c>
      <c r="V259" s="93">
        <f ca="1">SUMIF(COMPROMISOS_2025[[#All],[consecutivo]],Contrato[[#This Row],[RCP]],COMPROMISOS_2025[[#All],[valor_total]])</f>
        <v>0</v>
      </c>
      <c r="W259" s="169">
        <v>45713</v>
      </c>
      <c r="X259" s="243" t="s">
        <v>901</v>
      </c>
      <c r="Y259" s="397">
        <v>45714</v>
      </c>
      <c r="Z259" s="161">
        <v>45955</v>
      </c>
      <c r="AA259" s="198" t="s">
        <v>1358</v>
      </c>
      <c r="AB259" s="119" t="s">
        <v>1328</v>
      </c>
      <c r="AC259" s="112"/>
      <c r="AD259" s="279">
        <v>202000006387</v>
      </c>
      <c r="AE259" s="38" t="s">
        <v>904</v>
      </c>
      <c r="AF259" s="120" t="str">
        <f>TEXT(LEFT(Contrato[[#This Row],[CONTRATO]],3),"0")</f>
        <v>252</v>
      </c>
      <c r="AG259" s="120" t="str">
        <f>IF(LEN(Contrato[[#This Row],[Contrato2]])=3,Contrato[[#This Row],[Contrato2]],TEXT(Contrato[[#This Row],[Contrato2]],"000"))</f>
        <v>252</v>
      </c>
      <c r="AH259" s="90">
        <f ca="1">IFERROR(_xlfn.DAYS(Contrato[[#This Row],[Fecha Proyectada liquidación]],TODAY())/30,"")</f>
        <v>9.7333333333333325</v>
      </c>
      <c r="AI259" s="121">
        <f>+Contrato[[#This Row],[FECHA TERMINACIÓN ]]+120</f>
        <v>46075</v>
      </c>
      <c r="AK259" s="91" t="str">
        <f ca="1">IF(Contrato[[#This Row],[FECHA TERMINACIÓN ]]&lt;TODAY(), "Terminado",IF(ISNUMBER(Contrato[[#This Row],[Fecha Real de liquiidación ]]),"Liquidado",IF(Contrato[[#This Row],[FECHA TERMINACIÓN ]]&gt;=TODAY(),"En ejecución","")))</f>
        <v>En ejecución</v>
      </c>
      <c r="AL259" s="107">
        <f ca="1">SUMIF(COMPROMISOS_2025[[#All],[consecutivo]],Contrato[[#This Row],[RCP]],COMPROMISOS_2025[[#All],[Total pagado]])</f>
        <v>0</v>
      </c>
      <c r="AM259" s="122">
        <f ca="1">IFERROR(Contrato[[#This Row],[Pagos]]/Contrato[[#This Row],[VALOR CONTRATO]],0)</f>
        <v>0</v>
      </c>
      <c r="AN259" s="160">
        <f ca="1">+Contrato[[#This Row],[VALOR CONTRATO]]-Contrato[[#This Row],[Pagos]]</f>
        <v>32822400</v>
      </c>
      <c r="AO259" s="111" t="e" cm="1">
        <f t="array" aca="1" ref="AO259" ca="1">_xlfn.XLOOKUP(Contrato[[#This Row],[DOCUMENTO ]],PERSONAL_ACTIVO_2025[[#All],[DOCUMENTO]],PERSONAL_ACTIVO_2025[[#All],[email]],0,0)</f>
        <v>#NAME?</v>
      </c>
      <c r="AP259" s="111" t="e" cm="1">
        <f t="array" aca="1" ref="AP259" ca="1">_xlfn.XLOOKUP(Contrato[[#This Row],[DOCUMENTO]],PERSONAL_ACTIVO_2025[[#All],[DOCUMENTO]],PERSONAL_ACTIVO_2025[[#All],[email]],0,0)</f>
        <v>#NAME?</v>
      </c>
      <c r="AQ259" s="111" cm="1">
        <f t="array" aca="1" ref="AQ259" ca="1">IF(ISBLANK(Contrato[[#This Row],[DEPENDENCIA ]]),0,IFERROR(_xlfn.XLOOKUP(Contrato[[#This Row],[DEPENDENCIA ]],#REF!,#REF!,0,0),0))</f>
        <v>0</v>
      </c>
      <c r="AR259" s="555">
        <f ca="1">+_xlfn.DAYS(Contrato[[#This Row],[FECHA TERMINACIÓN ]],TODAY())</f>
        <v>172</v>
      </c>
    </row>
    <row r="260" spans="1:44" ht="39.75" customHeight="1" x14ac:dyDescent="0.25">
      <c r="A260" s="38">
        <v>244</v>
      </c>
      <c r="B260" s="226">
        <v>253</v>
      </c>
      <c r="C260" s="88" t="s">
        <v>440</v>
      </c>
      <c r="D260" s="192" t="s">
        <v>1066</v>
      </c>
      <c r="E260" s="193" t="s">
        <v>112</v>
      </c>
      <c r="F260" s="194" t="s">
        <v>113</v>
      </c>
      <c r="G260" s="195" t="s">
        <v>1359</v>
      </c>
      <c r="H260" s="167">
        <v>1040751203</v>
      </c>
      <c r="I260" s="292">
        <v>7521800</v>
      </c>
      <c r="J260" s="290">
        <v>60174400</v>
      </c>
      <c r="K260" s="158" t="s">
        <v>41</v>
      </c>
      <c r="L260" s="196" t="s">
        <v>1337</v>
      </c>
      <c r="M260" s="114" t="s">
        <v>1326</v>
      </c>
      <c r="N260" s="113" t="e" cm="1">
        <f t="array" aca="1" ref="N260" ca="1">_xlfn.XLOOKUP(Contrato[[#This Row],[SUPERVISOR TITULAR]],PERSONAL_ACTIVO_2025[[#All],[NOMBRES Y APELLIDOS]],PERSONAL_ACTIVO_2025[[#All],[DOCUMENTO]],"",0)</f>
        <v>#NAME?</v>
      </c>
      <c r="O260" s="114" t="s">
        <v>1069</v>
      </c>
      <c r="P260" s="115" t="e" cm="1">
        <f t="array" aca="1" ref="P260" ca="1">_xlfn.XLOOKUP(Contrato[[#This Row],[SUPERVISOR SUPLENTE ]],PERSONAL_ACTIVO_2025[[#All],[NOMBRES Y APELLIDOS]],PERSONAL_ACTIVO_2025[[#All],[DOCUMENTO]],"",0)</f>
        <v>#NAME?</v>
      </c>
      <c r="Q260" s="116">
        <v>328</v>
      </c>
      <c r="R260" s="137" t="e" cm="1">
        <f t="array" aca="1" ref="R260" ca="1">_xlfn.XLOOKUP(Contrato[[#This Row],[CDP]],DISPONIBILIDADES_2025[[#All],[consecutivo]],DISPONIBILIDADES_2025[[#All],[fecha_aprobacion]],"",0)</f>
        <v>#NAME?</v>
      </c>
      <c r="S260" s="92">
        <f>SUMIF(DISPONIBILIDADES_2025[[#All],[consecutivo]],Contrato[[#This Row],[CDP]],DISPONIBILIDADES_2025[[#All],[valor_total_rubro]])</f>
        <v>60174400</v>
      </c>
      <c r="T260" s="118" t="e" cm="1">
        <f t="array" aca="1" ref="T260" ca="1">_xlfn.XLOOKUP(Contrato[[#This Row],[CONTRATO]]&amp;Contrato[[#This Row],[CDP]],Corr_Contr_CDP[[#All],[CONTRATO-CDP]],Corr_Contr_CDP[[#All],[CRP]],_xlfn.XLOOKUP(Contrato[[#This Row],[CDP]],COMPROMISOS_2025[[#All],[disponibilidad]],COMPROMISOS_2025[[#All],[consecutivo]],"",0),0)</f>
        <v>#NAME?</v>
      </c>
      <c r="U260" s="117" t="e" cm="1">
        <f t="array" aca="1" ref="U260" ca="1">+_xlfn.XLOOKUP(Contrato[[#This Row],[RCP]],COMPROMISOS_2025[[#All],[consecutivo]],COMPROMISOS_2025[[#All],[fecha_aprobacion]],"",0)</f>
        <v>#NAME?</v>
      </c>
      <c r="V260" s="93">
        <f ca="1">SUMIF(COMPROMISOS_2025[[#All],[consecutivo]],Contrato[[#This Row],[RCP]],COMPROMISOS_2025[[#All],[valor_total]])</f>
        <v>0</v>
      </c>
      <c r="W260" s="169">
        <v>45713</v>
      </c>
      <c r="X260" s="243" t="s">
        <v>901</v>
      </c>
      <c r="Y260" s="397">
        <v>45714</v>
      </c>
      <c r="Z260" s="161">
        <v>45955</v>
      </c>
      <c r="AA260" s="198" t="s">
        <v>1360</v>
      </c>
      <c r="AB260" s="119" t="s">
        <v>1361</v>
      </c>
      <c r="AC260" s="112"/>
      <c r="AD260" s="279">
        <v>202000006388</v>
      </c>
      <c r="AE260" s="38" t="s">
        <v>904</v>
      </c>
      <c r="AF260" s="120" t="str">
        <f>TEXT(LEFT(Contrato[[#This Row],[CONTRATO]],3),"0")</f>
        <v>253</v>
      </c>
      <c r="AG260" s="120" t="str">
        <f>IF(LEN(Contrato[[#This Row],[Contrato2]])=3,Contrato[[#This Row],[Contrato2]],TEXT(Contrato[[#This Row],[Contrato2]],"000"))</f>
        <v>253</v>
      </c>
      <c r="AH260" s="90">
        <f ca="1">IFERROR(_xlfn.DAYS(Contrato[[#This Row],[Fecha Proyectada liquidación]],TODAY())/30,"")</f>
        <v>9.7333333333333325</v>
      </c>
      <c r="AI260" s="121">
        <f>+Contrato[[#This Row],[FECHA TERMINACIÓN ]]+120</f>
        <v>46075</v>
      </c>
      <c r="AK260" s="91" t="str">
        <f ca="1">IF(Contrato[[#This Row],[FECHA TERMINACIÓN ]]&lt;TODAY(), "Terminado",IF(ISNUMBER(Contrato[[#This Row],[Fecha Real de liquiidación ]]),"Liquidado",IF(Contrato[[#This Row],[FECHA TERMINACIÓN ]]&gt;=TODAY(),"En ejecución","")))</f>
        <v>En ejecución</v>
      </c>
      <c r="AL260" s="107">
        <f ca="1">SUMIF(COMPROMISOS_2025[[#All],[consecutivo]],Contrato[[#This Row],[RCP]],COMPROMISOS_2025[[#All],[Total pagado]])</f>
        <v>0</v>
      </c>
      <c r="AM260" s="122">
        <f ca="1">IFERROR(Contrato[[#This Row],[Pagos]]/Contrato[[#This Row],[VALOR CONTRATO]],0)</f>
        <v>0</v>
      </c>
      <c r="AN260" s="160">
        <f ca="1">+Contrato[[#This Row],[VALOR CONTRATO]]-Contrato[[#This Row],[Pagos]]</f>
        <v>60174400</v>
      </c>
      <c r="AO260" s="111" t="e" cm="1">
        <f t="array" aca="1" ref="AO260" ca="1">_xlfn.XLOOKUP(Contrato[[#This Row],[DOCUMENTO ]],PERSONAL_ACTIVO_2025[[#All],[DOCUMENTO]],PERSONAL_ACTIVO_2025[[#All],[email]],0,0)</f>
        <v>#NAME?</v>
      </c>
      <c r="AP260" s="111" t="e" cm="1">
        <f t="array" aca="1" ref="AP260" ca="1">_xlfn.XLOOKUP(Contrato[[#This Row],[DOCUMENTO]],PERSONAL_ACTIVO_2025[[#All],[DOCUMENTO]],PERSONAL_ACTIVO_2025[[#All],[email]],0,0)</f>
        <v>#NAME?</v>
      </c>
      <c r="AQ260" s="111" cm="1">
        <f t="array" aca="1" ref="AQ260" ca="1">IF(ISBLANK(Contrato[[#This Row],[DEPENDENCIA ]]),0,IFERROR(_xlfn.XLOOKUP(Contrato[[#This Row],[DEPENDENCIA ]],#REF!,#REF!,0,0),0))</f>
        <v>0</v>
      </c>
      <c r="AR260" s="555">
        <f ca="1">+_xlfn.DAYS(Contrato[[#This Row],[FECHA TERMINACIÓN ]],TODAY())</f>
        <v>172</v>
      </c>
    </row>
    <row r="261" spans="1:44" ht="39.75" customHeight="1" x14ac:dyDescent="0.25">
      <c r="A261" s="38">
        <v>556</v>
      </c>
      <c r="B261" s="226">
        <v>254</v>
      </c>
      <c r="C261" s="88" t="s">
        <v>758</v>
      </c>
      <c r="D261" s="192" t="s">
        <v>905</v>
      </c>
      <c r="E261" s="193" t="s">
        <v>112</v>
      </c>
      <c r="F261" s="194" t="s">
        <v>113</v>
      </c>
      <c r="G261" s="195" t="s">
        <v>1362</v>
      </c>
      <c r="H261" s="167">
        <v>43612960</v>
      </c>
      <c r="I261" s="292">
        <v>7521800</v>
      </c>
      <c r="J261" s="290">
        <v>37609000</v>
      </c>
      <c r="K261" s="158" t="s">
        <v>41</v>
      </c>
      <c r="L261" s="196" t="s">
        <v>1337</v>
      </c>
      <c r="M261" s="114" t="s">
        <v>928</v>
      </c>
      <c r="N261" s="113" t="e" cm="1">
        <f t="array" aca="1" ref="N261" ca="1">_xlfn.XLOOKUP(Contrato[[#This Row],[SUPERVISOR TITULAR]],PERSONAL_ACTIVO_2025[[#All],[NOMBRES Y APELLIDOS]],PERSONAL_ACTIVO_2025[[#All],[DOCUMENTO]],"",0)</f>
        <v>#NAME?</v>
      </c>
      <c r="O261" s="114" t="s">
        <v>934</v>
      </c>
      <c r="P261" s="115" t="e" cm="1">
        <f t="array" aca="1" ref="P261" ca="1">_xlfn.XLOOKUP(Contrato[[#This Row],[SUPERVISOR SUPLENTE ]],PERSONAL_ACTIVO_2025[[#All],[NOMBRES Y APELLIDOS]],PERSONAL_ACTIVO_2025[[#All],[DOCUMENTO]],"",0)</f>
        <v>#NAME?</v>
      </c>
      <c r="Q261" s="116">
        <v>338</v>
      </c>
      <c r="R261" s="137" t="e" cm="1">
        <f t="array" aca="1" ref="R261" ca="1">_xlfn.XLOOKUP(Contrato[[#This Row],[CDP]],DISPONIBILIDADES_2025[[#All],[consecutivo]],DISPONIBILIDADES_2025[[#All],[fecha_aprobacion]],"",0)</f>
        <v>#NAME?</v>
      </c>
      <c r="S261" s="92">
        <f>SUMIF(DISPONIBILIDADES_2025[[#All],[consecutivo]],Contrato[[#This Row],[CDP]],DISPONIBILIDADES_2025[[#All],[valor_total_rubro]])</f>
        <v>37609000</v>
      </c>
      <c r="T261" s="118" t="e" cm="1">
        <f t="array" aca="1" ref="T261" ca="1">_xlfn.XLOOKUP(Contrato[[#This Row],[CONTRATO]]&amp;Contrato[[#This Row],[CDP]],Corr_Contr_CDP[[#All],[CONTRATO-CDP]],Corr_Contr_CDP[[#All],[CRP]],_xlfn.XLOOKUP(Contrato[[#This Row],[CDP]],COMPROMISOS_2025[[#All],[disponibilidad]],COMPROMISOS_2025[[#All],[consecutivo]],"",0),0)</f>
        <v>#NAME?</v>
      </c>
      <c r="U261" s="117" t="e" cm="1">
        <f t="array" aca="1" ref="U261" ca="1">+_xlfn.XLOOKUP(Contrato[[#This Row],[RCP]],COMPROMISOS_2025[[#All],[consecutivo]],COMPROMISOS_2025[[#All],[fecha_aprobacion]],"",0)</f>
        <v>#NAME?</v>
      </c>
      <c r="V261" s="93">
        <f ca="1">SUMIF(COMPROMISOS_2025[[#All],[consecutivo]],Contrato[[#This Row],[RCP]],COMPROMISOS_2025[[#All],[valor_total]])</f>
        <v>0</v>
      </c>
      <c r="W261" s="169">
        <v>45716</v>
      </c>
      <c r="X261" s="243" t="s">
        <v>901</v>
      </c>
      <c r="Y261" s="96">
        <v>45721</v>
      </c>
      <c r="Z261" s="161">
        <v>45873</v>
      </c>
      <c r="AA261" s="198" t="s">
        <v>1363</v>
      </c>
      <c r="AB261" s="119" t="s">
        <v>920</v>
      </c>
      <c r="AC261" s="112"/>
      <c r="AD261" s="279">
        <v>202000006438</v>
      </c>
      <c r="AE261" s="38" t="s">
        <v>904</v>
      </c>
      <c r="AF261" s="120" t="str">
        <f>TEXT(LEFT(Contrato[[#This Row],[CONTRATO]],3),"0")</f>
        <v>254</v>
      </c>
      <c r="AG261" s="120" t="str">
        <f>IF(LEN(Contrato[[#This Row],[Contrato2]])=3,Contrato[[#This Row],[Contrato2]],TEXT(Contrato[[#This Row],[Contrato2]],"000"))</f>
        <v>254</v>
      </c>
      <c r="AH261" s="90">
        <f ca="1">IFERROR(_xlfn.DAYS(Contrato[[#This Row],[Fecha Proyectada liquidación]],TODAY())/30,"")</f>
        <v>7</v>
      </c>
      <c r="AI261" s="121">
        <f>+Contrato[[#This Row],[FECHA TERMINACIÓN ]]+120</f>
        <v>45993</v>
      </c>
      <c r="AK261" s="91" t="str">
        <f ca="1">IF(Contrato[[#This Row],[FECHA TERMINACIÓN ]]&lt;TODAY(), "Terminado",IF(ISNUMBER(Contrato[[#This Row],[Fecha Real de liquiidación ]]),"Liquidado",IF(Contrato[[#This Row],[FECHA TERMINACIÓN ]]&gt;=TODAY(),"En ejecución","")))</f>
        <v>En ejecución</v>
      </c>
      <c r="AL261" s="107">
        <f ca="1">SUMIF(COMPROMISOS_2025[[#All],[consecutivo]],Contrato[[#This Row],[RCP]],COMPROMISOS_2025[[#All],[Total pagado]])</f>
        <v>0</v>
      </c>
      <c r="AM261" s="122">
        <f ca="1">IFERROR(Contrato[[#This Row],[Pagos]]/Contrato[[#This Row],[VALOR CONTRATO]],0)</f>
        <v>0</v>
      </c>
      <c r="AN261" s="160">
        <f ca="1">+Contrato[[#This Row],[VALOR CONTRATO]]-Contrato[[#This Row],[Pagos]]</f>
        <v>37609000</v>
      </c>
      <c r="AO261" s="111" t="e" cm="1">
        <f t="array" aca="1" ref="AO261" ca="1">_xlfn.XLOOKUP(Contrato[[#This Row],[DOCUMENTO ]],PERSONAL_ACTIVO_2025[[#All],[DOCUMENTO]],PERSONAL_ACTIVO_2025[[#All],[email]],0,0)</f>
        <v>#NAME?</v>
      </c>
      <c r="AP261" s="111" t="e" cm="1">
        <f t="array" aca="1" ref="AP261" ca="1">_xlfn.XLOOKUP(Contrato[[#This Row],[DOCUMENTO]],PERSONAL_ACTIVO_2025[[#All],[DOCUMENTO]],PERSONAL_ACTIVO_2025[[#All],[email]],0,0)</f>
        <v>#NAME?</v>
      </c>
      <c r="AQ261" s="111" cm="1">
        <f t="array" aca="1" ref="AQ261" ca="1">IF(ISBLANK(Contrato[[#This Row],[DEPENDENCIA ]]),0,IFERROR(_xlfn.XLOOKUP(Contrato[[#This Row],[DEPENDENCIA ]],#REF!,#REF!,0,0),0))</f>
        <v>0</v>
      </c>
      <c r="AR261" s="555">
        <f ca="1">+_xlfn.DAYS(Contrato[[#This Row],[FECHA TERMINACIÓN ]],TODAY())</f>
        <v>90</v>
      </c>
    </row>
    <row r="262" spans="1:44" ht="39.75" customHeight="1" x14ac:dyDescent="0.25">
      <c r="A262" s="38">
        <v>533</v>
      </c>
      <c r="B262" s="226">
        <v>255</v>
      </c>
      <c r="C262" s="88" t="s">
        <v>736</v>
      </c>
      <c r="D262" s="192" t="s">
        <v>930</v>
      </c>
      <c r="E262" s="193" t="s">
        <v>112</v>
      </c>
      <c r="F262" s="194" t="s">
        <v>113</v>
      </c>
      <c r="G262" s="195" t="s">
        <v>1364</v>
      </c>
      <c r="H262" s="167">
        <v>1036938032</v>
      </c>
      <c r="I262" s="292">
        <v>3419000</v>
      </c>
      <c r="J262" s="290">
        <v>44190000</v>
      </c>
      <c r="K262" s="297" t="s">
        <v>1109</v>
      </c>
      <c r="L262" s="196" t="s">
        <v>1337</v>
      </c>
      <c r="M262" s="114" t="s">
        <v>1117</v>
      </c>
      <c r="N262" s="113" t="e" cm="1">
        <f t="array" aca="1" ref="N262" ca="1">_xlfn.XLOOKUP(Contrato[[#This Row],[SUPERVISOR TITULAR]],PERSONAL_ACTIVO_2025[[#All],[NOMBRES Y APELLIDOS]],PERSONAL_ACTIVO_2025[[#All],[DOCUMENTO]],"",0)</f>
        <v>#NAME?</v>
      </c>
      <c r="O262" s="114" t="s">
        <v>1323</v>
      </c>
      <c r="P262" s="115" t="e" cm="1">
        <f t="array" aca="1" ref="P262" ca="1">_xlfn.XLOOKUP(Contrato[[#This Row],[SUPERVISOR SUPLENTE ]],PERSONAL_ACTIVO_2025[[#All],[NOMBRES Y APELLIDOS]],PERSONAL_ACTIVO_2025[[#All],[DOCUMENTO]],"",0)</f>
        <v>#NAME?</v>
      </c>
      <c r="Q262" s="116">
        <v>86</v>
      </c>
      <c r="R262" s="137" t="e" cm="1">
        <f t="array" aca="1" ref="R262" ca="1">_xlfn.XLOOKUP(Contrato[[#This Row],[CDP]],DISPONIBILIDADES_2025[[#All],[consecutivo]],DISPONIBILIDADES_2025[[#All],[fecha_aprobacion]],"",0)</f>
        <v>#NAME?</v>
      </c>
      <c r="S262" s="92">
        <f>SUMIF(DISPONIBILIDADES_2025[[#All],[consecutivo]],Contrato[[#This Row],[CDP]],DISPONIBILIDADES_2025[[#All],[valor_total_rubro]])</f>
        <v>44190000</v>
      </c>
      <c r="T262" s="118" t="e" cm="1">
        <f t="array" aca="1" ref="T262" ca="1">_xlfn.XLOOKUP(Contrato[[#This Row],[CONTRATO]]&amp;Contrato[[#This Row],[CDP]],Corr_Contr_CDP[[#All],[CONTRATO-CDP]],Corr_Contr_CDP[[#All],[CRP]],_xlfn.XLOOKUP(Contrato[[#This Row],[CDP]],COMPROMISOS_2025[[#All],[disponibilidad]],COMPROMISOS_2025[[#All],[consecutivo]],"",0),0)</f>
        <v>#NAME?</v>
      </c>
      <c r="U262" s="117" t="e" cm="1">
        <f t="array" aca="1" ref="U262" ca="1">+_xlfn.XLOOKUP(Contrato[[#This Row],[RCP]],COMPROMISOS_2025[[#All],[consecutivo]],COMPROMISOS_2025[[#All],[fecha_aprobacion]],"",0)</f>
        <v>#NAME?</v>
      </c>
      <c r="V262" s="93">
        <f ca="1">SUMIF(COMPROMISOS_2025[[#All],[consecutivo]],Contrato[[#This Row],[RCP]],COMPROMISOS_2025[[#All],[valor_total]])</f>
        <v>0</v>
      </c>
      <c r="W262" s="169">
        <v>45708</v>
      </c>
      <c r="X262" s="243" t="s">
        <v>901</v>
      </c>
      <c r="Y262" s="397">
        <v>45714</v>
      </c>
      <c r="Z262" s="161">
        <v>46016</v>
      </c>
      <c r="AA262" s="198" t="s">
        <v>1365</v>
      </c>
      <c r="AB262" s="119" t="s">
        <v>1127</v>
      </c>
      <c r="AC262" s="112"/>
      <c r="AD262" s="279">
        <v>202000006389</v>
      </c>
      <c r="AE262" s="38" t="s">
        <v>904</v>
      </c>
      <c r="AF262" s="120" t="str">
        <f>TEXT(LEFT(Contrato[[#This Row],[CONTRATO]],3),"0")</f>
        <v>255</v>
      </c>
      <c r="AG262" s="120" t="str">
        <f>IF(LEN(Contrato[[#This Row],[Contrato2]])=3,Contrato[[#This Row],[Contrato2]],TEXT(Contrato[[#This Row],[Contrato2]],"000"))</f>
        <v>255</v>
      </c>
      <c r="AH262" s="90">
        <f ca="1">IFERROR(_xlfn.DAYS(Contrato[[#This Row],[Fecha Proyectada liquidación]],TODAY())/30,"")</f>
        <v>11.766666666666667</v>
      </c>
      <c r="AI262" s="121">
        <f>+Contrato[[#This Row],[FECHA TERMINACIÓN ]]+120</f>
        <v>46136</v>
      </c>
      <c r="AK262" s="91" t="str">
        <f ca="1">IF(Contrato[[#This Row],[FECHA TERMINACIÓN ]]&lt;TODAY(), "Terminado",IF(ISNUMBER(Contrato[[#This Row],[Fecha Real de liquiidación ]]),"Liquidado",IF(Contrato[[#This Row],[FECHA TERMINACIÓN ]]&gt;=TODAY(),"En ejecución","")))</f>
        <v>En ejecución</v>
      </c>
      <c r="AL262" s="107">
        <f ca="1">SUMIF(COMPROMISOS_2025[[#All],[consecutivo]],Contrato[[#This Row],[RCP]],COMPROMISOS_2025[[#All],[Total pagado]])</f>
        <v>0</v>
      </c>
      <c r="AM262" s="122">
        <f ca="1">IFERROR(Contrato[[#This Row],[Pagos]]/Contrato[[#This Row],[VALOR CONTRATO]],0)</f>
        <v>0</v>
      </c>
      <c r="AN262" s="160">
        <f ca="1">+Contrato[[#This Row],[VALOR CONTRATO]]-Contrato[[#This Row],[Pagos]]</f>
        <v>44190000</v>
      </c>
      <c r="AO262" s="111" t="e" cm="1">
        <f t="array" aca="1" ref="AO262" ca="1">_xlfn.XLOOKUP(Contrato[[#This Row],[DOCUMENTO ]],PERSONAL_ACTIVO_2025[[#All],[DOCUMENTO]],PERSONAL_ACTIVO_2025[[#All],[email]],0,0)</f>
        <v>#NAME?</v>
      </c>
      <c r="AP262" s="111" t="e" cm="1">
        <f t="array" aca="1" ref="AP262" ca="1">_xlfn.XLOOKUP(Contrato[[#This Row],[DOCUMENTO]],PERSONAL_ACTIVO_2025[[#All],[DOCUMENTO]],PERSONAL_ACTIVO_2025[[#All],[email]],0,0)</f>
        <v>#NAME?</v>
      </c>
      <c r="AQ262" s="111" cm="1">
        <f t="array" aca="1" ref="AQ262" ca="1">IF(ISBLANK(Contrato[[#This Row],[DEPENDENCIA ]]),0,IFERROR(_xlfn.XLOOKUP(Contrato[[#This Row],[DEPENDENCIA ]],#REF!,#REF!,0,0),0))</f>
        <v>0</v>
      </c>
      <c r="AR262" s="555">
        <f ca="1">+_xlfn.DAYS(Contrato[[#This Row],[FECHA TERMINACIÓN ]],TODAY())</f>
        <v>233</v>
      </c>
    </row>
    <row r="263" spans="1:44" ht="39.75" customHeight="1" x14ac:dyDescent="0.25">
      <c r="A263" s="38">
        <v>475</v>
      </c>
      <c r="B263" s="226">
        <v>256</v>
      </c>
      <c r="C263" s="88" t="s">
        <v>679</v>
      </c>
      <c r="D263" s="192" t="s">
        <v>890</v>
      </c>
      <c r="E263" s="193" t="s">
        <v>112</v>
      </c>
      <c r="F263" s="194" t="s">
        <v>142</v>
      </c>
      <c r="G263" s="195" t="s">
        <v>891</v>
      </c>
      <c r="H263" s="167">
        <v>900092385</v>
      </c>
      <c r="I263" s="292">
        <v>0</v>
      </c>
      <c r="J263" s="290">
        <v>176682395</v>
      </c>
      <c r="K263" s="158" t="s">
        <v>41</v>
      </c>
      <c r="L263" s="196" t="s">
        <v>1337</v>
      </c>
      <c r="M263" s="114" t="s">
        <v>893</v>
      </c>
      <c r="N263" s="113" t="e" cm="1">
        <f t="array" aca="1" ref="N263" ca="1">_xlfn.XLOOKUP(Contrato[[#This Row],[SUPERVISOR TITULAR]],PERSONAL_ACTIVO_2025[[#All],[NOMBRES Y APELLIDOS]],PERSONAL_ACTIVO_2025[[#All],[DOCUMENTO]],"",0)</f>
        <v>#NAME?</v>
      </c>
      <c r="O263" s="114" t="s">
        <v>894</v>
      </c>
      <c r="P263" s="115" t="e" cm="1">
        <f t="array" aca="1" ref="P263" ca="1">_xlfn.XLOOKUP(Contrato[[#This Row],[SUPERVISOR SUPLENTE ]],PERSONAL_ACTIVO_2025[[#All],[NOMBRES Y APELLIDOS]],PERSONAL_ACTIVO_2025[[#All],[DOCUMENTO]],"",0)</f>
        <v>#NAME?</v>
      </c>
      <c r="Q263" s="116">
        <v>64</v>
      </c>
      <c r="R263" s="137" t="e" cm="1">
        <f t="array" aca="1" ref="R263" ca="1">_xlfn.XLOOKUP(Contrato[[#This Row],[CDP]],DISPONIBILIDADES_2025[[#All],[consecutivo]],DISPONIBILIDADES_2025[[#All],[fecha_aprobacion]],"",0)</f>
        <v>#NAME?</v>
      </c>
      <c r="S263" s="92">
        <f>SUMIF(DISPONIBILIDADES_2025[[#All],[consecutivo]],Contrato[[#This Row],[CDP]],DISPONIBILIDADES_2025[[#All],[valor_total_rubro]])</f>
        <v>177246765</v>
      </c>
      <c r="T263" s="118" t="e" cm="1">
        <f t="array" aca="1" ref="T263" ca="1">_xlfn.XLOOKUP(Contrato[[#This Row],[CONTRATO]]&amp;Contrato[[#This Row],[CDP]],Corr_Contr_CDP[[#All],[CONTRATO-CDP]],Corr_Contr_CDP[[#All],[CRP]],_xlfn.XLOOKUP(Contrato[[#This Row],[CDP]],COMPROMISOS_2025[[#All],[disponibilidad]],COMPROMISOS_2025[[#All],[consecutivo]],"",0),0)</f>
        <v>#NAME?</v>
      </c>
      <c r="U263" s="117" t="e" cm="1">
        <f t="array" aca="1" ref="U263" ca="1">+_xlfn.XLOOKUP(Contrato[[#This Row],[RCP]],COMPROMISOS_2025[[#All],[consecutivo]],COMPROMISOS_2025[[#All],[fecha_aprobacion]],"",0)</f>
        <v>#NAME?</v>
      </c>
      <c r="V263" s="93">
        <f ca="1">SUMIF(COMPROMISOS_2025[[#All],[consecutivo]],Contrato[[#This Row],[RCP]],COMPROMISOS_2025[[#All],[valor_total]])</f>
        <v>0</v>
      </c>
      <c r="W263" s="169">
        <v>45716</v>
      </c>
      <c r="X263" s="243">
        <v>45719</v>
      </c>
      <c r="Y263" s="96">
        <v>45719</v>
      </c>
      <c r="Z263" s="161">
        <v>45850</v>
      </c>
      <c r="AA263" s="198" t="s">
        <v>1366</v>
      </c>
      <c r="AB263" s="119" t="s">
        <v>1367</v>
      </c>
      <c r="AC263" s="112"/>
      <c r="AD263" s="279">
        <v>202000006439</v>
      </c>
      <c r="AE263" s="38" t="s">
        <v>904</v>
      </c>
      <c r="AF263" s="120" t="e">
        <v>#VALUE!</v>
      </c>
      <c r="AG263" s="120" t="e">
        <v>#VALUE!</v>
      </c>
      <c r="AH263" s="90" t="s">
        <v>1368</v>
      </c>
      <c r="AI263" s="121" t="e">
        <v>#VALUE!</v>
      </c>
      <c r="AK263" s="91" t="e">
        <v>#VALUE!</v>
      </c>
      <c r="AL263" s="107">
        <v>0</v>
      </c>
      <c r="AM263" s="122">
        <v>0</v>
      </c>
      <c r="AN263" s="160" t="e">
        <v>#VALUE!</v>
      </c>
      <c r="AO263" s="111" t="e" cm="1">
        <f t="array" aca="1" ref="AO263" ca="1">_xlfn.XLOOKUP(Contrato[[#This Row],[DOCUMENTO ]],PERSONAL_ACTIVO_2025[[#All],[DOCUMENTO]],PERSONAL_ACTIVO_2025[[#All],[email]],0,0)</f>
        <v>#NAME?</v>
      </c>
      <c r="AP263" s="111" t="e" cm="1">
        <f t="array" aca="1" ref="AP263" ca="1">_xlfn.XLOOKUP(Contrato[[#This Row],[DOCUMENTO]],PERSONAL_ACTIVO_2025[[#All],[DOCUMENTO]],PERSONAL_ACTIVO_2025[[#All],[email]],0,0)</f>
        <v>#NAME?</v>
      </c>
      <c r="AQ263" s="111">
        <v>0</v>
      </c>
      <c r="AR263" s="555">
        <f ca="1">+_xlfn.DAYS(Contrato[[#This Row],[FECHA TERMINACIÓN ]],TODAY())</f>
        <v>67</v>
      </c>
    </row>
    <row r="264" spans="1:44" ht="39.75" customHeight="1" x14ac:dyDescent="0.25">
      <c r="A264" s="38">
        <v>213</v>
      </c>
      <c r="B264" s="226">
        <v>257</v>
      </c>
      <c r="C264" s="88" t="s">
        <v>402</v>
      </c>
      <c r="D264" s="192" t="s">
        <v>911</v>
      </c>
      <c r="E264" s="193" t="s">
        <v>112</v>
      </c>
      <c r="F264" s="194" t="s">
        <v>113</v>
      </c>
      <c r="G264" s="195" t="s">
        <v>1369</v>
      </c>
      <c r="H264" s="167">
        <v>1027884330</v>
      </c>
      <c r="I264" s="292">
        <v>7521800</v>
      </c>
      <c r="J264" s="290">
        <v>30087200</v>
      </c>
      <c r="K264" s="158" t="s">
        <v>41</v>
      </c>
      <c r="L264" s="196" t="s">
        <v>1370</v>
      </c>
      <c r="M264" s="114" t="s">
        <v>1091</v>
      </c>
      <c r="N264" s="113" t="e" cm="1">
        <f t="array" aca="1" ref="N264" ca="1">_xlfn.XLOOKUP(Contrato[[#This Row],[SUPERVISOR TITULAR]],PERSONAL_ACTIVO_2025[[#All],[NOMBRES Y APELLIDOS]],PERSONAL_ACTIVO_2025[[#All],[DOCUMENTO]],"",0)</f>
        <v>#NAME?</v>
      </c>
      <c r="O264" s="114" t="s">
        <v>938</v>
      </c>
      <c r="P264" s="115" t="e" cm="1">
        <f t="array" aca="1" ref="P264" ca="1">_xlfn.XLOOKUP(Contrato[[#This Row],[SUPERVISOR SUPLENTE ]],PERSONAL_ACTIVO_2025[[#All],[NOMBRES Y APELLIDOS]],PERSONAL_ACTIVO_2025[[#All],[DOCUMENTO]],"",0)</f>
        <v>#NAME?</v>
      </c>
      <c r="Q264" s="116">
        <v>352</v>
      </c>
      <c r="R264" s="137" t="e" cm="1">
        <f t="array" aca="1" ref="R264" ca="1">_xlfn.XLOOKUP(Contrato[[#This Row],[CDP]],DISPONIBILIDADES_2025[[#All],[consecutivo]],DISPONIBILIDADES_2025[[#All],[fecha_aprobacion]],"",0)</f>
        <v>#NAME?</v>
      </c>
      <c r="S264" s="92">
        <f>SUMIF(DISPONIBILIDADES_2025[[#All],[consecutivo]],Contrato[[#This Row],[CDP]],DISPONIBILIDADES_2025[[#All],[valor_total_rubro]])</f>
        <v>30087200</v>
      </c>
      <c r="T264" s="118" t="e" cm="1">
        <f t="array" aca="1" ref="T264" ca="1">_xlfn.XLOOKUP(Contrato[[#This Row],[CONTRATO]]&amp;Contrato[[#This Row],[CDP]],Corr_Contr_CDP[[#All],[CONTRATO-CDP]],Corr_Contr_CDP[[#All],[CRP]],_xlfn.XLOOKUP(Contrato[[#This Row],[CDP]],COMPROMISOS_2025[[#All],[disponibilidad]],COMPROMISOS_2025[[#All],[consecutivo]],"",0),0)</f>
        <v>#NAME?</v>
      </c>
      <c r="U264" s="117" t="e" cm="1">
        <f t="array" aca="1" ref="U264" ca="1">+_xlfn.XLOOKUP(Contrato[[#This Row],[RCP]],COMPROMISOS_2025[[#All],[consecutivo]],COMPROMISOS_2025[[#All],[fecha_aprobacion]],"",0)</f>
        <v>#NAME?</v>
      </c>
      <c r="V264" s="93">
        <f ca="1">SUMIF(COMPROMISOS_2025[[#All],[consecutivo]],Contrato[[#This Row],[RCP]],COMPROMISOS_2025[[#All],[valor_total]])</f>
        <v>0</v>
      </c>
      <c r="W264" s="169">
        <v>45716</v>
      </c>
      <c r="X264" s="243" t="s">
        <v>901</v>
      </c>
      <c r="Y264" s="96">
        <v>45719</v>
      </c>
      <c r="Z264" s="161">
        <v>45840</v>
      </c>
      <c r="AA264" s="198" t="s">
        <v>1371</v>
      </c>
      <c r="AB264" s="119" t="s">
        <v>1372</v>
      </c>
      <c r="AC264" s="112"/>
      <c r="AD264" s="279">
        <v>202000006440</v>
      </c>
      <c r="AE264" s="38" t="s">
        <v>904</v>
      </c>
      <c r="AF264" s="120" t="str">
        <f>TEXT(LEFT(Contrato[[#This Row],[CONTRATO]],3),"0")</f>
        <v>257</v>
      </c>
      <c r="AG264" s="120" t="str">
        <f>IF(LEN(Contrato[[#This Row],[Contrato2]])=3,Contrato[[#This Row],[Contrato2]],TEXT(Contrato[[#This Row],[Contrato2]],"000"))</f>
        <v>257</v>
      </c>
      <c r="AH264" s="90">
        <f ca="1">IFERROR(_xlfn.DAYS(Contrato[[#This Row],[Fecha Proyectada liquidación]],TODAY())/30,"")</f>
        <v>5.9</v>
      </c>
      <c r="AI264" s="121">
        <f>+Contrato[[#This Row],[FECHA TERMINACIÓN ]]+120</f>
        <v>45960</v>
      </c>
      <c r="AK264" s="91" t="str">
        <f ca="1">IF(Contrato[[#This Row],[FECHA TERMINACIÓN ]]&lt;TODAY(), "Terminado",IF(ISNUMBER(Contrato[[#This Row],[Fecha Real de liquiidación ]]),"Liquidado",IF(Contrato[[#This Row],[FECHA TERMINACIÓN ]]&gt;=TODAY(),"En ejecución","")))</f>
        <v>En ejecución</v>
      </c>
      <c r="AL264" s="107">
        <f ca="1">SUMIF(COMPROMISOS_2025[[#All],[consecutivo]],Contrato[[#This Row],[RCP]],COMPROMISOS_2025[[#All],[Total pagado]])</f>
        <v>0</v>
      </c>
      <c r="AM264" s="122">
        <f ca="1">IFERROR(Contrato[[#This Row],[Pagos]]/Contrato[[#This Row],[VALOR CONTRATO]],0)</f>
        <v>0</v>
      </c>
      <c r="AN264" s="160">
        <f ca="1">+Contrato[[#This Row],[VALOR CONTRATO]]-Contrato[[#This Row],[Pagos]]</f>
        <v>30087200</v>
      </c>
      <c r="AO264" s="111" t="e" cm="1">
        <f t="array" aca="1" ref="AO264" ca="1">_xlfn.XLOOKUP(Contrato[[#This Row],[DOCUMENTO ]],PERSONAL_ACTIVO_2025[[#All],[DOCUMENTO]],PERSONAL_ACTIVO_2025[[#All],[email]],0,0)</f>
        <v>#NAME?</v>
      </c>
      <c r="AP264" s="111" t="e" cm="1">
        <f t="array" aca="1" ref="AP264" ca="1">_xlfn.XLOOKUP(Contrato[[#This Row],[DOCUMENTO]],PERSONAL_ACTIVO_2025[[#All],[DOCUMENTO]],PERSONAL_ACTIVO_2025[[#All],[email]],0,0)</f>
        <v>#NAME?</v>
      </c>
      <c r="AQ264" s="111" cm="1">
        <f t="array" aca="1" ref="AQ264" ca="1">IF(ISBLANK(Contrato[[#This Row],[DEPENDENCIA ]]),0,IFERROR(_xlfn.XLOOKUP(Contrato[[#This Row],[DEPENDENCIA ]],#REF!,#REF!,0,0),0))</f>
        <v>0</v>
      </c>
      <c r="AR264" s="555">
        <f ca="1">+_xlfn.DAYS(Contrato[[#This Row],[FECHA TERMINACIÓN ]],TODAY())</f>
        <v>57</v>
      </c>
    </row>
    <row r="265" spans="1:44" ht="39.75" customHeight="1" x14ac:dyDescent="0.25">
      <c r="A265" s="38">
        <v>220</v>
      </c>
      <c r="B265" s="226">
        <v>258</v>
      </c>
      <c r="C265" s="88" t="s">
        <v>410</v>
      </c>
      <c r="D265" s="192" t="s">
        <v>911</v>
      </c>
      <c r="E265" s="193" t="s">
        <v>112</v>
      </c>
      <c r="F265" s="194" t="s">
        <v>113</v>
      </c>
      <c r="G265" s="195" t="s">
        <v>1373</v>
      </c>
      <c r="H265" s="167">
        <v>1214732919</v>
      </c>
      <c r="I265" s="292">
        <v>7521800</v>
      </c>
      <c r="J265" s="292">
        <v>75218000</v>
      </c>
      <c r="K265" s="158" t="s">
        <v>41</v>
      </c>
      <c r="L265" s="196" t="s">
        <v>1370</v>
      </c>
      <c r="M265" s="114" t="s">
        <v>938</v>
      </c>
      <c r="N265" s="113" t="e" cm="1">
        <f t="array" aca="1" ref="N265" ca="1">_xlfn.XLOOKUP(Contrato[[#This Row],[SUPERVISOR TITULAR]],PERSONAL_ACTIVO_2025[[#All],[NOMBRES Y APELLIDOS]],PERSONAL_ACTIVO_2025[[#All],[DOCUMENTO]],"",0)</f>
        <v>#NAME?</v>
      </c>
      <c r="O265" s="114" t="s">
        <v>1091</v>
      </c>
      <c r="P265" s="115" t="e" cm="1">
        <f t="array" aca="1" ref="P265" ca="1">_xlfn.XLOOKUP(Contrato[[#This Row],[SUPERVISOR SUPLENTE ]],PERSONAL_ACTIVO_2025[[#All],[NOMBRES Y APELLIDOS]],PERSONAL_ACTIVO_2025[[#All],[DOCUMENTO]],"",0)</f>
        <v>#NAME?</v>
      </c>
      <c r="Q265" s="116">
        <v>350</v>
      </c>
      <c r="R265" s="137" t="e" cm="1">
        <f t="array" aca="1" ref="R265" ca="1">_xlfn.XLOOKUP(Contrato[[#This Row],[CDP]],DISPONIBILIDADES_2025[[#All],[consecutivo]],DISPONIBILIDADES_2025[[#All],[fecha_aprobacion]],"",0)</f>
        <v>#NAME?</v>
      </c>
      <c r="S265" s="92">
        <f>SUMIF(DISPONIBILIDADES_2025[[#All],[consecutivo]],Contrato[[#This Row],[CDP]],DISPONIBILIDADES_2025[[#All],[valor_total_rubro]])</f>
        <v>75218000</v>
      </c>
      <c r="T265" s="118" t="e" cm="1">
        <f t="array" aca="1" ref="T265" ca="1">_xlfn.XLOOKUP(Contrato[[#This Row],[CONTRATO]]&amp;Contrato[[#This Row],[CDP]],Corr_Contr_CDP[[#All],[CONTRATO-CDP]],Corr_Contr_CDP[[#All],[CRP]],_xlfn.XLOOKUP(Contrato[[#This Row],[CDP]],COMPROMISOS_2025[[#All],[disponibilidad]],COMPROMISOS_2025[[#All],[consecutivo]],"",0),0)</f>
        <v>#NAME?</v>
      </c>
      <c r="U265" s="117" t="e" cm="1">
        <f t="array" aca="1" ref="U265" ca="1">+_xlfn.XLOOKUP(Contrato[[#This Row],[RCP]],COMPROMISOS_2025[[#All],[consecutivo]],COMPROMISOS_2025[[#All],[fecha_aprobacion]],"",0)</f>
        <v>#NAME?</v>
      </c>
      <c r="V265" s="93">
        <f ca="1">SUMIF(COMPROMISOS_2025[[#All],[consecutivo]],Contrato[[#This Row],[RCP]],COMPROMISOS_2025[[#All],[valor_total]])</f>
        <v>0</v>
      </c>
      <c r="W265" s="169">
        <v>45715</v>
      </c>
      <c r="X265" s="243" t="s">
        <v>901</v>
      </c>
      <c r="Y265" s="96">
        <v>45719</v>
      </c>
      <c r="Z265" s="161">
        <v>46017</v>
      </c>
      <c r="AA265" s="198" t="s">
        <v>1374</v>
      </c>
      <c r="AB265" s="119" t="s">
        <v>1004</v>
      </c>
      <c r="AC265" s="112"/>
      <c r="AD265" s="279">
        <v>202000006441</v>
      </c>
      <c r="AE265" s="38" t="s">
        <v>904</v>
      </c>
      <c r="AF265" s="120" t="str">
        <f>TEXT(LEFT(Contrato[[#This Row],[CONTRATO]],3),"0")</f>
        <v>258</v>
      </c>
      <c r="AG265" s="120" t="str">
        <f>IF(LEN(Contrato[[#This Row],[Contrato2]])=3,Contrato[[#This Row],[Contrato2]],TEXT(Contrato[[#This Row],[Contrato2]],"000"))</f>
        <v>258</v>
      </c>
      <c r="AH265" s="90">
        <f ca="1">IFERROR(_xlfn.DAYS(Contrato[[#This Row],[Fecha Proyectada liquidación]],TODAY())/30,"")</f>
        <v>11.8</v>
      </c>
      <c r="AI265" s="121">
        <f>+Contrato[[#This Row],[FECHA TERMINACIÓN ]]+120</f>
        <v>46137</v>
      </c>
      <c r="AK265" s="91" t="str">
        <f ca="1">IF(Contrato[[#This Row],[FECHA TERMINACIÓN ]]&lt;TODAY(), "Terminado",IF(ISNUMBER(Contrato[[#This Row],[Fecha Real de liquiidación ]]),"Liquidado",IF(Contrato[[#This Row],[FECHA TERMINACIÓN ]]&gt;=TODAY(),"En ejecución","")))</f>
        <v>En ejecución</v>
      </c>
      <c r="AL265" s="107">
        <f ca="1">SUMIF(COMPROMISOS_2025[[#All],[consecutivo]],Contrato[[#This Row],[RCP]],COMPROMISOS_2025[[#All],[Total pagado]])</f>
        <v>0</v>
      </c>
      <c r="AM265" s="122">
        <f ca="1">IFERROR(Contrato[[#This Row],[Pagos]]/Contrato[[#This Row],[VALOR CONTRATO]],0)</f>
        <v>0</v>
      </c>
      <c r="AN265" s="160">
        <f ca="1">+Contrato[[#This Row],[VALOR CONTRATO]]-Contrato[[#This Row],[Pagos]]</f>
        <v>75218000</v>
      </c>
      <c r="AO265" s="111" t="e" cm="1">
        <f t="array" aca="1" ref="AO265" ca="1">_xlfn.XLOOKUP(Contrato[[#This Row],[DOCUMENTO ]],PERSONAL_ACTIVO_2025[[#All],[DOCUMENTO]],PERSONAL_ACTIVO_2025[[#All],[email]],0,0)</f>
        <v>#NAME?</v>
      </c>
      <c r="AP265" s="111" t="e" cm="1">
        <f t="array" aca="1" ref="AP265" ca="1">_xlfn.XLOOKUP(Contrato[[#This Row],[DOCUMENTO]],PERSONAL_ACTIVO_2025[[#All],[DOCUMENTO]],PERSONAL_ACTIVO_2025[[#All],[email]],0,0)</f>
        <v>#NAME?</v>
      </c>
      <c r="AQ265" s="111" cm="1">
        <f t="array" aca="1" ref="AQ265" ca="1">IF(ISBLANK(Contrato[[#This Row],[DEPENDENCIA ]]),0,IFERROR(_xlfn.XLOOKUP(Contrato[[#This Row],[DEPENDENCIA ]],#REF!,#REF!,0,0),0))</f>
        <v>0</v>
      </c>
      <c r="AR265" s="555">
        <f ca="1">+_xlfn.DAYS(Contrato[[#This Row],[FECHA TERMINACIÓN ]],TODAY())</f>
        <v>234</v>
      </c>
    </row>
    <row r="266" spans="1:44" ht="39.75" customHeight="1" x14ac:dyDescent="0.25">
      <c r="A266" s="38">
        <v>553</v>
      </c>
      <c r="B266" s="226">
        <v>259</v>
      </c>
      <c r="C266" s="88" t="s">
        <v>754</v>
      </c>
      <c r="D266" s="192" t="s">
        <v>930</v>
      </c>
      <c r="E266" s="193" t="s">
        <v>112</v>
      </c>
      <c r="F266" s="194" t="s">
        <v>113</v>
      </c>
      <c r="G266" s="195" t="s">
        <v>1375</v>
      </c>
      <c r="H266" s="167">
        <v>890980040</v>
      </c>
      <c r="I266" s="292">
        <v>0</v>
      </c>
      <c r="J266" s="292">
        <v>88935122</v>
      </c>
      <c r="K266" s="158" t="s">
        <v>41</v>
      </c>
      <c r="L266" s="196" t="s">
        <v>1370</v>
      </c>
      <c r="M266" s="114" t="s">
        <v>1059</v>
      </c>
      <c r="N266" s="113" t="e" cm="1">
        <f t="array" aca="1" ref="N266" ca="1">_xlfn.XLOOKUP(Contrato[[#This Row],[SUPERVISOR TITULAR]],PERSONAL_ACTIVO_2025[[#All],[NOMBRES Y APELLIDOS]],PERSONAL_ACTIVO_2025[[#All],[DOCUMENTO]],"",0)</f>
        <v>#NAME?</v>
      </c>
      <c r="O266" s="114" t="s">
        <v>972</v>
      </c>
      <c r="P266" s="115" t="e" cm="1">
        <f t="array" aca="1" ref="P266" ca="1">_xlfn.XLOOKUP(Contrato[[#This Row],[SUPERVISOR SUPLENTE ]],PERSONAL_ACTIVO_2025[[#All],[NOMBRES Y APELLIDOS]],PERSONAL_ACTIVO_2025[[#All],[DOCUMENTO]],"",0)</f>
        <v>#NAME?</v>
      </c>
      <c r="Q266" s="116">
        <v>333</v>
      </c>
      <c r="R266" s="137" t="e" cm="1">
        <f t="array" aca="1" ref="R266" ca="1">_xlfn.XLOOKUP(Contrato[[#This Row],[CDP]],DISPONIBILIDADES_2025[[#All],[consecutivo]],DISPONIBILIDADES_2025[[#All],[fecha_aprobacion]],"",0)</f>
        <v>#NAME?</v>
      </c>
      <c r="S266" s="92">
        <f>SUMIF(DISPONIBILIDADES_2025[[#All],[consecutivo]],Contrato[[#This Row],[CDP]],DISPONIBILIDADES_2025[[#All],[valor_total_rubro]])</f>
        <v>88935122</v>
      </c>
      <c r="T266" s="118" t="e" cm="1">
        <f t="array" aca="1" ref="T266" ca="1">_xlfn.XLOOKUP(Contrato[[#This Row],[CONTRATO]]&amp;Contrato[[#This Row],[CDP]],Corr_Contr_CDP[[#All],[CONTRATO-CDP]],Corr_Contr_CDP[[#All],[CRP]],_xlfn.XLOOKUP(Contrato[[#This Row],[CDP]],COMPROMISOS_2025[[#All],[disponibilidad]],COMPROMISOS_2025[[#All],[consecutivo]],"",0),0)</f>
        <v>#NAME?</v>
      </c>
      <c r="U266" s="117" t="e" cm="1">
        <f t="array" aca="1" ref="U266" ca="1">+_xlfn.XLOOKUP(Contrato[[#This Row],[RCP]],COMPROMISOS_2025[[#All],[consecutivo]],COMPROMISOS_2025[[#All],[fecha_aprobacion]],"",0)</f>
        <v>#NAME?</v>
      </c>
      <c r="V266" s="93">
        <f ca="1">SUMIF(COMPROMISOS_2025[[#All],[consecutivo]],Contrato[[#This Row],[RCP]],COMPROMISOS_2025[[#All],[valor_total]])</f>
        <v>0</v>
      </c>
      <c r="W266" s="169">
        <v>45727</v>
      </c>
      <c r="X266" s="243">
        <v>45747</v>
      </c>
      <c r="Y266" s="96">
        <v>45747</v>
      </c>
      <c r="Z266" s="161">
        <v>46021</v>
      </c>
      <c r="AA266" s="311" t="s">
        <v>1376</v>
      </c>
      <c r="AB266" s="119" t="s">
        <v>1004</v>
      </c>
      <c r="AC266" s="112"/>
      <c r="AD266" s="279">
        <v>202000006442</v>
      </c>
      <c r="AE266" s="38" t="s">
        <v>904</v>
      </c>
      <c r="AF266" s="120" t="str">
        <f>TEXT(LEFT(Contrato[[#This Row],[CONTRATO]],3),"0")</f>
        <v>259</v>
      </c>
      <c r="AG266" s="120" t="str">
        <f>IF(LEN(Contrato[[#This Row],[Contrato2]])=3,Contrato[[#This Row],[Contrato2]],TEXT(Contrato[[#This Row],[Contrato2]],"000"))</f>
        <v>259</v>
      </c>
      <c r="AH266" s="90">
        <f ca="1">IFERROR(_xlfn.DAYS(Contrato[[#This Row],[Fecha Proyectada liquidación]],TODAY())/30,"")</f>
        <v>11.933333333333334</v>
      </c>
      <c r="AI266" s="121">
        <f>+Contrato[[#This Row],[FECHA TERMINACIÓN ]]+120</f>
        <v>46141</v>
      </c>
      <c r="AK266" s="91" t="str">
        <f ca="1">IF(Contrato[[#This Row],[FECHA TERMINACIÓN ]]&lt;TODAY(), "Terminado",IF(ISNUMBER(Contrato[[#This Row],[Fecha Real de liquiidación ]]),"Liquidado",IF(Contrato[[#This Row],[FECHA TERMINACIÓN ]]&gt;=TODAY(),"En ejecución","")))</f>
        <v>En ejecución</v>
      </c>
      <c r="AL266" s="107">
        <f ca="1">SUMIF(COMPROMISOS_2025[[#All],[consecutivo]],Contrato[[#This Row],[RCP]],COMPROMISOS_2025[[#All],[Total pagado]])</f>
        <v>0</v>
      </c>
      <c r="AM266" s="122">
        <f ca="1">IFERROR(Contrato[[#This Row],[Pagos]]/Contrato[[#This Row],[VALOR CONTRATO]],0)</f>
        <v>0</v>
      </c>
      <c r="AN266" s="160">
        <f ca="1">+Contrato[[#This Row],[VALOR CONTRATO]]-Contrato[[#This Row],[Pagos]]</f>
        <v>88935122</v>
      </c>
      <c r="AO266" s="111" t="e" cm="1">
        <f t="array" aca="1" ref="AO266" ca="1">_xlfn.XLOOKUP(Contrato[[#This Row],[DOCUMENTO ]],PERSONAL_ACTIVO_2025[[#All],[DOCUMENTO]],PERSONAL_ACTIVO_2025[[#All],[email]],0,0)</f>
        <v>#NAME?</v>
      </c>
      <c r="AP266" s="111" t="e" cm="1">
        <f t="array" aca="1" ref="AP266" ca="1">_xlfn.XLOOKUP(Contrato[[#This Row],[DOCUMENTO]],PERSONAL_ACTIVO_2025[[#All],[DOCUMENTO]],PERSONAL_ACTIVO_2025[[#All],[email]],0,0)</f>
        <v>#NAME?</v>
      </c>
      <c r="AQ266" s="111" cm="1">
        <f t="array" aca="1" ref="AQ266" ca="1">IF(ISBLANK(Contrato[[#This Row],[DEPENDENCIA ]]),0,IFERROR(_xlfn.XLOOKUP(Contrato[[#This Row],[DEPENDENCIA ]],#REF!,#REF!,0,0),0))</f>
        <v>0</v>
      </c>
      <c r="AR266" s="555">
        <f ca="1">+_xlfn.DAYS(Contrato[[#This Row],[FECHA TERMINACIÓN ]],TODAY())</f>
        <v>238</v>
      </c>
    </row>
    <row r="267" spans="1:44" ht="39.75" customHeight="1" x14ac:dyDescent="0.25">
      <c r="A267" s="38">
        <v>144</v>
      </c>
      <c r="B267" s="226">
        <v>260</v>
      </c>
      <c r="C267" s="88" t="s">
        <v>336</v>
      </c>
      <c r="D267" s="192" t="s">
        <v>930</v>
      </c>
      <c r="E267" s="193" t="s">
        <v>112</v>
      </c>
      <c r="F267" s="194" t="s">
        <v>113</v>
      </c>
      <c r="G267" s="195" t="s">
        <v>1377</v>
      </c>
      <c r="H267" s="167">
        <v>15427462</v>
      </c>
      <c r="I267" s="292">
        <v>7521800</v>
      </c>
      <c r="J267" s="292">
        <v>85218000</v>
      </c>
      <c r="K267" s="297" t="s">
        <v>1109</v>
      </c>
      <c r="L267" s="196" t="s">
        <v>1370</v>
      </c>
      <c r="M267" s="114" t="s">
        <v>1117</v>
      </c>
      <c r="N267" s="113" t="e" cm="1">
        <f t="array" aca="1" ref="N267" ca="1">_xlfn.XLOOKUP(Contrato[[#This Row],[SUPERVISOR TITULAR]],PERSONAL_ACTIVO_2025[[#All],[NOMBRES Y APELLIDOS]],PERSONAL_ACTIVO_2025[[#All],[DOCUMENTO]],"",0)</f>
        <v>#NAME?</v>
      </c>
      <c r="O267" s="114" t="s">
        <v>1323</v>
      </c>
      <c r="P267" s="115" t="e" cm="1">
        <f t="array" aca="1" ref="P267" ca="1">_xlfn.XLOOKUP(Contrato[[#This Row],[SUPERVISOR SUPLENTE ]],PERSONAL_ACTIVO_2025[[#All],[NOMBRES Y APELLIDOS]],PERSONAL_ACTIVO_2025[[#All],[DOCUMENTO]],"",0)</f>
        <v>#NAME?</v>
      </c>
      <c r="Q267" s="116">
        <v>311</v>
      </c>
      <c r="R267" s="137" t="e" cm="1">
        <f t="array" aca="1" ref="R267" ca="1">_xlfn.XLOOKUP(Contrato[[#This Row],[CDP]],DISPONIBILIDADES_2025[[#All],[consecutivo]],DISPONIBILIDADES_2025[[#All],[fecha_aprobacion]],"",0)</f>
        <v>#NAME?</v>
      </c>
      <c r="S267" s="92">
        <f>SUMIF(DISPONIBILIDADES_2025[[#All],[consecutivo]],Contrato[[#This Row],[CDP]],DISPONIBILIDADES_2025[[#All],[valor_total_rubro]])</f>
        <v>85218000</v>
      </c>
      <c r="T267" s="118" t="e" cm="1">
        <f t="array" aca="1" ref="T267" ca="1">_xlfn.XLOOKUP(Contrato[[#This Row],[CONTRATO]]&amp;Contrato[[#This Row],[CDP]],Corr_Contr_CDP[[#All],[CONTRATO-CDP]],Corr_Contr_CDP[[#All],[CRP]],_xlfn.XLOOKUP(Contrato[[#This Row],[CDP]],COMPROMISOS_2025[[#All],[disponibilidad]],COMPROMISOS_2025[[#All],[consecutivo]],"",0),0)</f>
        <v>#NAME?</v>
      </c>
      <c r="U267" s="117" t="e" cm="1">
        <f t="array" aca="1" ref="U267" ca="1">+_xlfn.XLOOKUP(Contrato[[#This Row],[RCP]],COMPROMISOS_2025[[#All],[consecutivo]],COMPROMISOS_2025[[#All],[fecha_aprobacion]],"",0)</f>
        <v>#NAME?</v>
      </c>
      <c r="V267" s="93">
        <f ca="1">SUMIF(COMPROMISOS_2025[[#All],[consecutivo]],Contrato[[#This Row],[RCP]],COMPROMISOS_2025[[#All],[valor_total]])</f>
        <v>0</v>
      </c>
      <c r="W267" s="169">
        <v>45719</v>
      </c>
      <c r="X267" s="243" t="s">
        <v>901</v>
      </c>
      <c r="Y267" s="96">
        <v>45720</v>
      </c>
      <c r="Z267" s="161">
        <v>46021</v>
      </c>
      <c r="AA267" s="198" t="s">
        <v>1378</v>
      </c>
      <c r="AB267" s="119" t="s">
        <v>1004</v>
      </c>
      <c r="AC267" s="112"/>
      <c r="AD267" s="279">
        <v>202000006443</v>
      </c>
      <c r="AE267" s="38" t="s">
        <v>904</v>
      </c>
      <c r="AF267" s="120" t="str">
        <f>TEXT(LEFT(Contrato[[#This Row],[CONTRATO]],3),"0")</f>
        <v>260</v>
      </c>
      <c r="AG267" s="120" t="str">
        <f>IF(LEN(Contrato[[#This Row],[Contrato2]])=3,Contrato[[#This Row],[Contrato2]],TEXT(Contrato[[#This Row],[Contrato2]],"000"))</f>
        <v>260</v>
      </c>
      <c r="AH267" s="90">
        <f ca="1">IFERROR(_xlfn.DAYS(Contrato[[#This Row],[Fecha Proyectada liquidación]],TODAY())/30,"")</f>
        <v>11.933333333333334</v>
      </c>
      <c r="AI267" s="121">
        <f>+Contrato[[#This Row],[FECHA TERMINACIÓN ]]+120</f>
        <v>46141</v>
      </c>
      <c r="AK267" s="91" t="str">
        <f ca="1">IF(Contrato[[#This Row],[FECHA TERMINACIÓN ]]&lt;TODAY(), "Terminado",IF(ISNUMBER(Contrato[[#This Row],[Fecha Real de liquiidación ]]),"Liquidado",IF(Contrato[[#This Row],[FECHA TERMINACIÓN ]]&gt;=TODAY(),"En ejecución","")))</f>
        <v>En ejecución</v>
      </c>
      <c r="AL267" s="107">
        <f ca="1">SUMIF(COMPROMISOS_2025[[#All],[consecutivo]],Contrato[[#This Row],[RCP]],COMPROMISOS_2025[[#All],[Total pagado]])</f>
        <v>0</v>
      </c>
      <c r="AM267" s="122">
        <f ca="1">IFERROR(Contrato[[#This Row],[Pagos]]/Contrato[[#This Row],[VALOR CONTRATO]],0)</f>
        <v>0</v>
      </c>
      <c r="AN267" s="160">
        <f ca="1">+Contrato[[#This Row],[VALOR CONTRATO]]-Contrato[[#This Row],[Pagos]]</f>
        <v>85218000</v>
      </c>
      <c r="AO267" s="111" t="e" cm="1">
        <f t="array" aca="1" ref="AO267" ca="1">_xlfn.XLOOKUP(Contrato[[#This Row],[DOCUMENTO ]],PERSONAL_ACTIVO_2025[[#All],[DOCUMENTO]],PERSONAL_ACTIVO_2025[[#All],[email]],0,0)</f>
        <v>#NAME?</v>
      </c>
      <c r="AP267" s="111" t="e" cm="1">
        <f t="array" aca="1" ref="AP267" ca="1">_xlfn.XLOOKUP(Contrato[[#This Row],[DOCUMENTO]],PERSONAL_ACTIVO_2025[[#All],[DOCUMENTO]],PERSONAL_ACTIVO_2025[[#All],[email]],0,0)</f>
        <v>#NAME?</v>
      </c>
      <c r="AQ267" s="111" cm="1">
        <f t="array" aca="1" ref="AQ267" ca="1">IF(ISBLANK(Contrato[[#This Row],[DEPENDENCIA ]]),0,IFERROR(_xlfn.XLOOKUP(Contrato[[#This Row],[DEPENDENCIA ]],#REF!,#REF!,0,0),0))</f>
        <v>0</v>
      </c>
      <c r="AR267" s="555">
        <f ca="1">+_xlfn.DAYS(Contrato[[#This Row],[FECHA TERMINACIÓN ]],TODAY())</f>
        <v>238</v>
      </c>
    </row>
    <row r="268" spans="1:44" ht="39.75" customHeight="1" x14ac:dyDescent="0.25">
      <c r="A268" s="38">
        <v>550</v>
      </c>
      <c r="B268" s="226">
        <v>261</v>
      </c>
      <c r="C268" s="88" t="s">
        <v>750</v>
      </c>
      <c r="D268" s="192" t="s">
        <v>883</v>
      </c>
      <c r="E268" s="193" t="s">
        <v>112</v>
      </c>
      <c r="F268" s="194" t="s">
        <v>751</v>
      </c>
      <c r="G268" s="195" t="s">
        <v>1379</v>
      </c>
      <c r="H268" s="167">
        <v>901223398</v>
      </c>
      <c r="I268" s="292">
        <v>18445000</v>
      </c>
      <c r="J268" s="292">
        <v>73780000</v>
      </c>
      <c r="K268" s="158" t="s">
        <v>41</v>
      </c>
      <c r="L268" s="196" t="s">
        <v>1370</v>
      </c>
      <c r="M268" s="114" t="s">
        <v>1380</v>
      </c>
      <c r="N268" s="113" t="e" cm="1">
        <f t="array" aca="1" ref="N268" ca="1">_xlfn.XLOOKUP(Contrato[[#This Row],[SUPERVISOR TITULAR]],PERSONAL_ACTIVO_2025[[#All],[NOMBRES Y APELLIDOS]],PERSONAL_ACTIVO_2025[[#All],[DOCUMENTO]],"",0)</f>
        <v>#NAME?</v>
      </c>
      <c r="O268" s="114" t="s">
        <v>915</v>
      </c>
      <c r="P268" s="115" t="e" cm="1">
        <f t="array" aca="1" ref="P268" ca="1">_xlfn.XLOOKUP(Contrato[[#This Row],[SUPERVISOR SUPLENTE ]],PERSONAL_ACTIVO_2025[[#All],[NOMBRES Y APELLIDOS]],PERSONAL_ACTIVO_2025[[#All],[DOCUMENTO]],"",0)</f>
        <v>#NAME?</v>
      </c>
      <c r="Q268" s="116">
        <v>340</v>
      </c>
      <c r="R268" s="137" t="e" cm="1">
        <f t="array" aca="1" ref="R268" ca="1">_xlfn.XLOOKUP(Contrato[[#This Row],[CDP]],DISPONIBILIDADES_2025[[#All],[consecutivo]],DISPONIBILIDADES_2025[[#All],[fecha_aprobacion]],"",0)</f>
        <v>#NAME?</v>
      </c>
      <c r="S268" s="92">
        <f>SUMIF(DISPONIBILIDADES_2025[[#All],[consecutivo]],Contrato[[#This Row],[CDP]],DISPONIBILIDADES_2025[[#All],[valor_total_rubro]])</f>
        <v>73780000</v>
      </c>
      <c r="T268" s="118" t="e" cm="1">
        <f t="array" aca="1" ref="T268" ca="1">_xlfn.XLOOKUP(Contrato[[#This Row],[CONTRATO]]&amp;Contrato[[#This Row],[CDP]],Corr_Contr_CDP[[#All],[CONTRATO-CDP]],Corr_Contr_CDP[[#All],[CRP]],_xlfn.XLOOKUP(Contrato[[#This Row],[CDP]],COMPROMISOS_2025[[#All],[disponibilidad]],COMPROMISOS_2025[[#All],[consecutivo]],"",0),0)</f>
        <v>#NAME?</v>
      </c>
      <c r="U268" s="117" t="e" cm="1">
        <f t="array" aca="1" ref="U268" ca="1">+_xlfn.XLOOKUP(Contrato[[#This Row],[RCP]],COMPROMISOS_2025[[#All],[consecutivo]],COMPROMISOS_2025[[#All],[fecha_aprobacion]],"",0)</f>
        <v>#NAME?</v>
      </c>
      <c r="V268" s="93">
        <f ca="1">SUMIF(COMPROMISOS_2025[[#All],[consecutivo]],Contrato[[#This Row],[RCP]],COMPROMISOS_2025[[#All],[valor_total]])</f>
        <v>0</v>
      </c>
      <c r="W268" s="169">
        <v>45720</v>
      </c>
      <c r="X268" s="243" t="s">
        <v>901</v>
      </c>
      <c r="Y268" s="96">
        <v>45721</v>
      </c>
      <c r="Z268" s="161">
        <v>45843</v>
      </c>
      <c r="AA268" s="198" t="s">
        <v>1381</v>
      </c>
      <c r="AB268" s="119" t="s">
        <v>1372</v>
      </c>
      <c r="AC268" s="112"/>
      <c r="AD268" s="279">
        <v>202000006444</v>
      </c>
      <c r="AE268" s="38" t="s">
        <v>904</v>
      </c>
      <c r="AF268" s="120" t="str">
        <f>TEXT(LEFT(Contrato[[#This Row],[CONTRATO]],3),"0")</f>
        <v>261</v>
      </c>
      <c r="AG268" s="120" t="str">
        <f>IF(LEN(Contrato[[#This Row],[Contrato2]])=3,Contrato[[#This Row],[Contrato2]],TEXT(Contrato[[#This Row],[Contrato2]],"000"))</f>
        <v>261</v>
      </c>
      <c r="AH268" s="90">
        <f ca="1">IFERROR(_xlfn.DAYS(Contrato[[#This Row],[Fecha Proyectada liquidación]],TODAY())/30,"")</f>
        <v>6</v>
      </c>
      <c r="AI268" s="121">
        <f>+Contrato[[#This Row],[FECHA TERMINACIÓN ]]+120</f>
        <v>45963</v>
      </c>
      <c r="AK268" s="91" t="str">
        <f ca="1">IF(Contrato[[#This Row],[FECHA TERMINACIÓN ]]&lt;TODAY(), "Terminado",IF(ISNUMBER(Contrato[[#This Row],[Fecha Real de liquiidación ]]),"Liquidado",IF(Contrato[[#This Row],[FECHA TERMINACIÓN ]]&gt;=TODAY(),"En ejecución","")))</f>
        <v>En ejecución</v>
      </c>
      <c r="AL268" s="107">
        <f ca="1">SUMIF(COMPROMISOS_2025[[#All],[consecutivo]],Contrato[[#This Row],[RCP]],COMPROMISOS_2025[[#All],[Total pagado]])</f>
        <v>0</v>
      </c>
      <c r="AM268" s="122">
        <f ca="1">IFERROR(Contrato[[#This Row],[Pagos]]/Contrato[[#This Row],[VALOR CONTRATO]],0)</f>
        <v>0</v>
      </c>
      <c r="AN268" s="160">
        <f ca="1">+Contrato[[#This Row],[VALOR CONTRATO]]-Contrato[[#This Row],[Pagos]]</f>
        <v>73780000</v>
      </c>
      <c r="AO268" s="111" t="e" cm="1">
        <f t="array" aca="1" ref="AO268" ca="1">_xlfn.XLOOKUP(Contrato[[#This Row],[DOCUMENTO ]],PERSONAL_ACTIVO_2025[[#All],[DOCUMENTO]],PERSONAL_ACTIVO_2025[[#All],[email]],0,0)</f>
        <v>#NAME?</v>
      </c>
      <c r="AP268" s="111" t="e" cm="1">
        <f t="array" aca="1" ref="AP268" ca="1">_xlfn.XLOOKUP(Contrato[[#This Row],[DOCUMENTO]],PERSONAL_ACTIVO_2025[[#All],[DOCUMENTO]],PERSONAL_ACTIVO_2025[[#All],[email]],0,0)</f>
        <v>#NAME?</v>
      </c>
      <c r="AQ268" s="111" cm="1">
        <f t="array" aca="1" ref="AQ268" ca="1">IF(ISBLANK(Contrato[[#This Row],[DEPENDENCIA ]]),0,IFERROR(_xlfn.XLOOKUP(Contrato[[#This Row],[DEPENDENCIA ]],#REF!,#REF!,0,0),0))</f>
        <v>0</v>
      </c>
      <c r="AR268" s="555">
        <f ca="1">+_xlfn.DAYS(Contrato[[#This Row],[FECHA TERMINACIÓN ]],TODAY())</f>
        <v>60</v>
      </c>
    </row>
    <row r="269" spans="1:44" ht="39.75" customHeight="1" x14ac:dyDescent="0.25">
      <c r="A269" s="38">
        <v>146</v>
      </c>
      <c r="B269" s="226">
        <v>262</v>
      </c>
      <c r="C269" s="88" t="s">
        <v>338</v>
      </c>
      <c r="D269" s="192" t="s">
        <v>930</v>
      </c>
      <c r="E269" s="193" t="s">
        <v>112</v>
      </c>
      <c r="F269" s="194" t="s">
        <v>113</v>
      </c>
      <c r="G269" s="195" t="s">
        <v>1382</v>
      </c>
      <c r="H269" s="167">
        <v>1017123832</v>
      </c>
      <c r="I269" s="292">
        <v>9573200</v>
      </c>
      <c r="J269" s="292">
        <v>114482000</v>
      </c>
      <c r="K269" s="297" t="s">
        <v>1115</v>
      </c>
      <c r="L269" s="196" t="s">
        <v>1383</v>
      </c>
      <c r="M269" s="114" t="s">
        <v>1116</v>
      </c>
      <c r="N269" s="113" t="e" cm="1">
        <f t="array" aca="1" ref="N269" ca="1">_xlfn.XLOOKUP(Contrato[[#This Row],[SUPERVISOR TITULAR]],PERSONAL_ACTIVO_2025[[#All],[NOMBRES Y APELLIDOS]],PERSONAL_ACTIVO_2025[[#All],[DOCUMENTO]],"",0)</f>
        <v>#NAME?</v>
      </c>
      <c r="O269" s="114" t="s">
        <v>1384</v>
      </c>
      <c r="P269" s="115" t="e" cm="1">
        <f t="array" aca="1" ref="P269" ca="1">_xlfn.XLOOKUP(Contrato[[#This Row],[SUPERVISOR SUPLENTE ]],PERSONAL_ACTIVO_2025[[#All],[NOMBRES Y APELLIDOS]],PERSONAL_ACTIVO_2025[[#All],[DOCUMENTO]],"",0)</f>
        <v>#NAME?</v>
      </c>
      <c r="Q269" s="116">
        <v>309</v>
      </c>
      <c r="R269" s="137" t="e" cm="1">
        <f t="array" aca="1" ref="R269" ca="1">_xlfn.XLOOKUP(Contrato[[#This Row],[CDP]],DISPONIBILIDADES_2025[[#All],[consecutivo]],DISPONIBILIDADES_2025[[#All],[fecha_aprobacion]],"",0)</f>
        <v>#NAME?</v>
      </c>
      <c r="S269" s="92">
        <f>SUMIF(DISPONIBILIDADES_2025[[#All],[consecutivo]],Contrato[[#This Row],[CDP]],DISPONIBILIDADES_2025[[#All],[valor_total_rubro]])</f>
        <v>114482000</v>
      </c>
      <c r="T269" s="118" t="e" cm="1">
        <f t="array" aca="1" ref="T269" ca="1">_xlfn.XLOOKUP(Contrato[[#This Row],[CONTRATO]]&amp;Contrato[[#This Row],[CDP]],Corr_Contr_CDP[[#All],[CONTRATO-CDP]],Corr_Contr_CDP[[#All],[CRP]],_xlfn.XLOOKUP(Contrato[[#This Row],[CDP]],COMPROMISOS_2025[[#All],[disponibilidad]],COMPROMISOS_2025[[#All],[consecutivo]],"",0),0)</f>
        <v>#NAME?</v>
      </c>
      <c r="U269" s="117" t="e" cm="1">
        <f t="array" aca="1" ref="U269" ca="1">+_xlfn.XLOOKUP(Contrato[[#This Row],[RCP]],COMPROMISOS_2025[[#All],[consecutivo]],COMPROMISOS_2025[[#All],[fecha_aprobacion]],"",0)</f>
        <v>#NAME?</v>
      </c>
      <c r="V269" s="93">
        <f ca="1">SUMIF(COMPROMISOS_2025[[#All],[consecutivo]],Contrato[[#This Row],[RCP]],COMPROMISOS_2025[[#All],[valor_total]])</f>
        <v>0</v>
      </c>
      <c r="W269" s="169">
        <v>45722</v>
      </c>
      <c r="X269" s="243" t="s">
        <v>901</v>
      </c>
      <c r="Y269" s="96">
        <v>45726</v>
      </c>
      <c r="Z269" s="161">
        <v>46021</v>
      </c>
      <c r="AA269" s="198" t="s">
        <v>1385</v>
      </c>
      <c r="AB269" s="119" t="s">
        <v>1004</v>
      </c>
      <c r="AC269" s="112"/>
      <c r="AD269" s="279">
        <v>202000006445</v>
      </c>
      <c r="AE269" s="38" t="s">
        <v>904</v>
      </c>
      <c r="AF269" s="120" t="str">
        <f>TEXT(LEFT(Contrato[[#This Row],[CONTRATO]],3),"0")</f>
        <v>262</v>
      </c>
      <c r="AG269" s="120" t="str">
        <f>IF(LEN(Contrato[[#This Row],[Contrato2]])=3,Contrato[[#This Row],[Contrato2]],TEXT(Contrato[[#This Row],[Contrato2]],"000"))</f>
        <v>262</v>
      </c>
      <c r="AH269" s="90">
        <f ca="1">IFERROR(_xlfn.DAYS(Contrato[[#This Row],[Fecha Proyectada liquidación]],TODAY())/30,"")</f>
        <v>11.933333333333334</v>
      </c>
      <c r="AI269" s="121">
        <f>+Contrato[[#This Row],[FECHA TERMINACIÓN ]]+120</f>
        <v>46141</v>
      </c>
      <c r="AK269" s="91" t="str">
        <f ca="1">IF(Contrato[[#This Row],[FECHA TERMINACIÓN ]]&lt;TODAY(), "Terminado",IF(ISNUMBER(Contrato[[#This Row],[Fecha Real de liquiidación ]]),"Liquidado",IF(Contrato[[#This Row],[FECHA TERMINACIÓN ]]&gt;=TODAY(),"En ejecución","")))</f>
        <v>En ejecución</v>
      </c>
      <c r="AL269" s="107">
        <f ca="1">SUMIF(COMPROMISOS_2025[[#All],[consecutivo]],Contrato[[#This Row],[RCP]],COMPROMISOS_2025[[#All],[Total pagado]])</f>
        <v>0</v>
      </c>
      <c r="AM269" s="122">
        <f ca="1">IFERROR(Contrato[[#This Row],[Pagos]]/Contrato[[#This Row],[VALOR CONTRATO]],0)</f>
        <v>0</v>
      </c>
      <c r="AN269" s="160">
        <f ca="1">+Contrato[[#This Row],[VALOR CONTRATO]]-Contrato[[#This Row],[Pagos]]</f>
        <v>114482000</v>
      </c>
      <c r="AO269" s="111" t="e" cm="1">
        <f t="array" aca="1" ref="AO269" ca="1">_xlfn.XLOOKUP(Contrato[[#This Row],[DOCUMENTO ]],PERSONAL_ACTIVO_2025[[#All],[DOCUMENTO]],PERSONAL_ACTIVO_2025[[#All],[email]],0,0)</f>
        <v>#NAME?</v>
      </c>
      <c r="AP269" s="111" t="e" cm="1">
        <f t="array" aca="1" ref="AP269" ca="1">_xlfn.XLOOKUP(Contrato[[#This Row],[DOCUMENTO]],PERSONAL_ACTIVO_2025[[#All],[DOCUMENTO]],PERSONAL_ACTIVO_2025[[#All],[email]],0,0)</f>
        <v>#NAME?</v>
      </c>
      <c r="AQ269" s="111" cm="1">
        <f t="array" aca="1" ref="AQ269" ca="1">IF(ISBLANK(Contrato[[#This Row],[DEPENDENCIA ]]),0,IFERROR(_xlfn.XLOOKUP(Contrato[[#This Row],[DEPENDENCIA ]],#REF!,#REF!,0,0),0))</f>
        <v>0</v>
      </c>
      <c r="AR269" s="555">
        <f ca="1">+_xlfn.DAYS(Contrato[[#This Row],[FECHA TERMINACIÓN ]],TODAY())</f>
        <v>238</v>
      </c>
    </row>
    <row r="270" spans="1:44" ht="39.75" customHeight="1" x14ac:dyDescent="0.25">
      <c r="A270" s="38">
        <v>62</v>
      </c>
      <c r="B270" s="226">
        <v>263</v>
      </c>
      <c r="C270" s="88" t="s">
        <v>188</v>
      </c>
      <c r="D270" s="192" t="s">
        <v>883</v>
      </c>
      <c r="E270" s="193" t="s">
        <v>112</v>
      </c>
      <c r="F270" s="194" t="s">
        <v>142</v>
      </c>
      <c r="G270" s="195" t="s">
        <v>1386</v>
      </c>
      <c r="H270" s="167">
        <v>860005289</v>
      </c>
      <c r="I270" s="292">
        <v>0</v>
      </c>
      <c r="J270" s="292">
        <v>90000000</v>
      </c>
      <c r="K270" s="158" t="s">
        <v>41</v>
      </c>
      <c r="L270" s="196" t="s">
        <v>1383</v>
      </c>
      <c r="M270" s="114" t="s">
        <v>991</v>
      </c>
      <c r="N270" s="113" t="e" cm="1">
        <f t="array" aca="1" ref="N270" ca="1">_xlfn.XLOOKUP(Contrato[[#This Row],[SUPERVISOR TITULAR]],PERSONAL_ACTIVO_2025[[#All],[NOMBRES Y APELLIDOS]],PERSONAL_ACTIVO_2025[[#All],[DOCUMENTO]],"",0)</f>
        <v>#NAME?</v>
      </c>
      <c r="O270" s="114" t="s">
        <v>887</v>
      </c>
      <c r="P270" s="115" t="e" cm="1">
        <f t="array" aca="1" ref="P270" ca="1">_xlfn.XLOOKUP(Contrato[[#This Row],[SUPERVISOR SUPLENTE ]],PERSONAL_ACTIVO_2025[[#All],[NOMBRES Y APELLIDOS]],PERSONAL_ACTIVO_2025[[#All],[DOCUMENTO]],"",0)</f>
        <v>#NAME?</v>
      </c>
      <c r="Q270" s="116">
        <v>314</v>
      </c>
      <c r="R270" s="137" t="e" cm="1">
        <f t="array" aca="1" ref="R270" ca="1">_xlfn.XLOOKUP(Contrato[[#This Row],[CDP]],DISPONIBILIDADES_2025[[#All],[consecutivo]],DISPONIBILIDADES_2025[[#All],[fecha_aprobacion]],"",0)</f>
        <v>#NAME?</v>
      </c>
      <c r="S270" s="92">
        <f>SUMIF(DISPONIBILIDADES_2025[[#All],[consecutivo]],Contrato[[#This Row],[CDP]],DISPONIBILIDADES_2025[[#All],[valor_total_rubro]])</f>
        <v>90000000</v>
      </c>
      <c r="T270" s="118" t="e" cm="1">
        <f t="array" aca="1" ref="T270" ca="1">_xlfn.XLOOKUP(Contrato[[#This Row],[CONTRATO]]&amp;Contrato[[#This Row],[CDP]],Corr_Contr_CDP[[#All],[CONTRATO-CDP]],Corr_Contr_CDP[[#All],[CRP]],_xlfn.XLOOKUP(Contrato[[#This Row],[CDP]],COMPROMISOS_2025[[#All],[disponibilidad]],COMPROMISOS_2025[[#All],[consecutivo]],"",0),0)</f>
        <v>#NAME?</v>
      </c>
      <c r="U270" s="117" t="e" cm="1">
        <f t="array" aca="1" ref="U270" ca="1">+_xlfn.XLOOKUP(Contrato[[#This Row],[RCP]],COMPROMISOS_2025[[#All],[consecutivo]],COMPROMISOS_2025[[#All],[fecha_aprobacion]],"",0)</f>
        <v>#NAME?</v>
      </c>
      <c r="V270" s="93">
        <f ca="1">SUMIF(COMPROMISOS_2025[[#All],[consecutivo]],Contrato[[#This Row],[RCP]],COMPROMISOS_2025[[#All],[valor_total]])</f>
        <v>0</v>
      </c>
      <c r="W270" s="169">
        <v>45726</v>
      </c>
      <c r="X270" s="243">
        <v>45734</v>
      </c>
      <c r="Y270" s="96">
        <v>45737</v>
      </c>
      <c r="Z270" s="161">
        <v>46022</v>
      </c>
      <c r="AA270" s="198" t="s">
        <v>1387</v>
      </c>
      <c r="AB270" s="119" t="s">
        <v>1004</v>
      </c>
      <c r="AC270" s="112"/>
      <c r="AD270" s="279">
        <v>202000006446</v>
      </c>
      <c r="AE270" s="38" t="s">
        <v>904</v>
      </c>
      <c r="AF270" s="120" t="str">
        <f>TEXT(LEFT(Contrato[[#This Row],[CONTRATO]],3),"0")</f>
        <v>263</v>
      </c>
      <c r="AG270" s="120" t="str">
        <f>IF(LEN(Contrato[[#This Row],[Contrato2]])=3,Contrato[[#This Row],[Contrato2]],TEXT(Contrato[[#This Row],[Contrato2]],"000"))</f>
        <v>263</v>
      </c>
      <c r="AH270" s="90">
        <f ca="1">IFERROR(_xlfn.DAYS(Contrato[[#This Row],[Fecha Proyectada liquidación]],TODAY())/30,"")</f>
        <v>11.966666666666667</v>
      </c>
      <c r="AI270" s="121">
        <f>+Contrato[[#This Row],[FECHA TERMINACIÓN ]]+120</f>
        <v>46142</v>
      </c>
      <c r="AK270" s="91" t="str">
        <f ca="1">IF(Contrato[[#This Row],[FECHA TERMINACIÓN ]]&lt;TODAY(), "Terminado",IF(ISNUMBER(Contrato[[#This Row],[Fecha Real de liquiidación ]]),"Liquidado",IF(Contrato[[#This Row],[FECHA TERMINACIÓN ]]&gt;=TODAY(),"En ejecución","")))</f>
        <v>En ejecución</v>
      </c>
      <c r="AL270" s="107">
        <f ca="1">SUMIF(COMPROMISOS_2025[[#All],[consecutivo]],Contrato[[#This Row],[RCP]],COMPROMISOS_2025[[#All],[Total pagado]])</f>
        <v>0</v>
      </c>
      <c r="AM270" s="122">
        <f ca="1">IFERROR(Contrato[[#This Row],[Pagos]]/Contrato[[#This Row],[VALOR CONTRATO]],0)</f>
        <v>0</v>
      </c>
      <c r="AN270" s="160">
        <f ca="1">+Contrato[[#This Row],[VALOR CONTRATO]]-Contrato[[#This Row],[Pagos]]</f>
        <v>90000000</v>
      </c>
      <c r="AO270" s="111" t="e" cm="1">
        <f t="array" aca="1" ref="AO270" ca="1">_xlfn.XLOOKUP(Contrato[[#This Row],[DOCUMENTO ]],PERSONAL_ACTIVO_2025[[#All],[DOCUMENTO]],PERSONAL_ACTIVO_2025[[#All],[email]],0,0)</f>
        <v>#NAME?</v>
      </c>
      <c r="AP270" s="111" t="e" cm="1">
        <f t="array" aca="1" ref="AP270" ca="1">_xlfn.XLOOKUP(Contrato[[#This Row],[DOCUMENTO]],PERSONAL_ACTIVO_2025[[#All],[DOCUMENTO]],PERSONAL_ACTIVO_2025[[#All],[email]],0,0)</f>
        <v>#NAME?</v>
      </c>
      <c r="AQ270" s="111" cm="1">
        <f t="array" aca="1" ref="AQ270" ca="1">IF(ISBLANK(Contrato[[#This Row],[DEPENDENCIA ]]),0,IFERROR(_xlfn.XLOOKUP(Contrato[[#This Row],[DEPENDENCIA ]],#REF!,#REF!,0,0),0))</f>
        <v>0</v>
      </c>
      <c r="AR270" s="555">
        <f ca="1">+_xlfn.DAYS(Contrato[[#This Row],[FECHA TERMINACIÓN ]],TODAY())</f>
        <v>239</v>
      </c>
    </row>
    <row r="271" spans="1:44" ht="39.75" customHeight="1" x14ac:dyDescent="0.25">
      <c r="A271" s="38">
        <v>477</v>
      </c>
      <c r="B271" s="226">
        <v>264</v>
      </c>
      <c r="C271" s="88" t="s">
        <v>684</v>
      </c>
      <c r="D271" s="192" t="s">
        <v>890</v>
      </c>
      <c r="E271" s="193" t="s">
        <v>112</v>
      </c>
      <c r="F271" s="194" t="s">
        <v>142</v>
      </c>
      <c r="G271" s="195" t="s">
        <v>1388</v>
      </c>
      <c r="H271" s="167">
        <v>800240660</v>
      </c>
      <c r="I271" s="292">
        <v>0</v>
      </c>
      <c r="J271" s="292">
        <v>43109912</v>
      </c>
      <c r="K271" s="158" t="s">
        <v>41</v>
      </c>
      <c r="L271" s="196" t="s">
        <v>1383</v>
      </c>
      <c r="M271" s="114" t="s">
        <v>893</v>
      </c>
      <c r="N271" s="113" t="e" cm="1">
        <f t="array" aca="1" ref="N271" ca="1">_xlfn.XLOOKUP(Contrato[[#This Row],[SUPERVISOR TITULAR]],PERSONAL_ACTIVO_2025[[#All],[NOMBRES Y APELLIDOS]],PERSONAL_ACTIVO_2025[[#All],[DOCUMENTO]],"",0)</f>
        <v>#NAME?</v>
      </c>
      <c r="O271" s="114" t="s">
        <v>894</v>
      </c>
      <c r="P271" s="115" t="e" cm="1">
        <f t="array" aca="1" ref="P271" ca="1">_xlfn.XLOOKUP(Contrato[[#This Row],[SUPERVISOR SUPLENTE ]],PERSONAL_ACTIVO_2025[[#All],[NOMBRES Y APELLIDOS]],PERSONAL_ACTIVO_2025[[#All],[DOCUMENTO]],"",0)</f>
        <v>#NAME?</v>
      </c>
      <c r="Q271" s="116">
        <v>65</v>
      </c>
      <c r="R271" s="137" t="e" cm="1">
        <f t="array" aca="1" ref="R271" ca="1">_xlfn.XLOOKUP(Contrato[[#This Row],[CDP]],DISPONIBILIDADES_2025[[#All],[consecutivo]],DISPONIBILIDADES_2025[[#All],[fecha_aprobacion]],"",0)</f>
        <v>#NAME?</v>
      </c>
      <c r="S271" s="92">
        <f>SUMIF(DISPONIBILIDADES_2025[[#All],[consecutivo]],Contrato[[#This Row],[CDP]],DISPONIBILIDADES_2025[[#All],[valor_total_rubro]])</f>
        <v>43109912</v>
      </c>
      <c r="T271" s="118" t="e" cm="1">
        <f t="array" aca="1" ref="T271" ca="1">_xlfn.XLOOKUP(Contrato[[#This Row],[CONTRATO]]&amp;Contrato[[#This Row],[CDP]],Corr_Contr_CDP[[#All],[CONTRATO-CDP]],Corr_Contr_CDP[[#All],[CRP]],_xlfn.XLOOKUP(Contrato[[#This Row],[CDP]],COMPROMISOS_2025[[#All],[disponibilidad]],COMPROMISOS_2025[[#All],[consecutivo]],"",0),0)</f>
        <v>#NAME?</v>
      </c>
      <c r="U271" s="117" t="e" cm="1">
        <f t="array" aca="1" ref="U271" ca="1">+_xlfn.XLOOKUP(Contrato[[#This Row],[RCP]],COMPROMISOS_2025[[#All],[consecutivo]],COMPROMISOS_2025[[#All],[fecha_aprobacion]],"",0)</f>
        <v>#NAME?</v>
      </c>
      <c r="V271" s="93">
        <f ca="1">SUMIF(COMPROMISOS_2025[[#All],[consecutivo]],Contrato[[#This Row],[RCP]],COMPROMISOS_2025[[#All],[valor_total]])</f>
        <v>0</v>
      </c>
      <c r="W271" s="169">
        <v>45723</v>
      </c>
      <c r="X271" s="243">
        <v>45728</v>
      </c>
      <c r="Y271" s="96">
        <v>45728</v>
      </c>
      <c r="Z271" s="161">
        <v>46022</v>
      </c>
      <c r="AA271" s="198" t="s">
        <v>1389</v>
      </c>
      <c r="AB271" s="119" t="s">
        <v>1004</v>
      </c>
      <c r="AC271" s="112"/>
      <c r="AD271" s="279">
        <v>202000006447</v>
      </c>
      <c r="AE271" s="38" t="s">
        <v>904</v>
      </c>
      <c r="AF271" s="120" t="str">
        <f>TEXT(LEFT(Contrato[[#This Row],[CONTRATO]],3),"0")</f>
        <v>264</v>
      </c>
      <c r="AG271" s="120" t="str">
        <f>IF(LEN(Contrato[[#This Row],[Contrato2]])=3,Contrato[[#This Row],[Contrato2]],TEXT(Contrato[[#This Row],[Contrato2]],"000"))</f>
        <v>264</v>
      </c>
      <c r="AH271" s="90">
        <f ca="1">IFERROR(_xlfn.DAYS(Contrato[[#This Row],[Fecha Proyectada liquidación]],TODAY())/30,"")</f>
        <v>11.966666666666667</v>
      </c>
      <c r="AI271" s="121">
        <f>+Contrato[[#This Row],[FECHA TERMINACIÓN ]]+120</f>
        <v>46142</v>
      </c>
      <c r="AK271" s="91" t="str">
        <f ca="1">IF(Contrato[[#This Row],[FECHA TERMINACIÓN ]]&lt;TODAY(), "Terminado",IF(ISNUMBER(Contrato[[#This Row],[Fecha Real de liquiidación ]]),"Liquidado",IF(Contrato[[#This Row],[FECHA TERMINACIÓN ]]&gt;=TODAY(),"En ejecución","")))</f>
        <v>En ejecución</v>
      </c>
      <c r="AL271" s="107">
        <f ca="1">SUMIF(COMPROMISOS_2025[[#All],[consecutivo]],Contrato[[#This Row],[RCP]],COMPROMISOS_2025[[#All],[Total pagado]])</f>
        <v>0</v>
      </c>
      <c r="AM271" s="122">
        <f ca="1">IFERROR(Contrato[[#This Row],[Pagos]]/Contrato[[#This Row],[VALOR CONTRATO]],0)</f>
        <v>0</v>
      </c>
      <c r="AN271" s="160">
        <f ca="1">+Contrato[[#This Row],[VALOR CONTRATO]]-Contrato[[#This Row],[Pagos]]</f>
        <v>43109912</v>
      </c>
      <c r="AO271" s="111" t="e" cm="1">
        <f t="array" aca="1" ref="AO271" ca="1">_xlfn.XLOOKUP(Contrato[[#This Row],[DOCUMENTO ]],PERSONAL_ACTIVO_2025[[#All],[DOCUMENTO]],PERSONAL_ACTIVO_2025[[#All],[email]],0,0)</f>
        <v>#NAME?</v>
      </c>
      <c r="AP271" s="111" t="e" cm="1">
        <f t="array" aca="1" ref="AP271" ca="1">_xlfn.XLOOKUP(Contrato[[#This Row],[DOCUMENTO]],PERSONAL_ACTIVO_2025[[#All],[DOCUMENTO]],PERSONAL_ACTIVO_2025[[#All],[email]],0,0)</f>
        <v>#NAME?</v>
      </c>
      <c r="AQ271" s="111" cm="1">
        <f t="array" aca="1" ref="AQ271" ca="1">IF(ISBLANK(Contrato[[#This Row],[DEPENDENCIA ]]),0,IFERROR(_xlfn.XLOOKUP(Contrato[[#This Row],[DEPENDENCIA ]],#REF!,#REF!,0,0),0))</f>
        <v>0</v>
      </c>
      <c r="AR271" s="555">
        <f ca="1">+_xlfn.DAYS(Contrato[[#This Row],[FECHA TERMINACIÓN ]],TODAY())</f>
        <v>239</v>
      </c>
    </row>
    <row r="272" spans="1:44" ht="39.75" customHeight="1" x14ac:dyDescent="0.25">
      <c r="A272" s="38">
        <v>558</v>
      </c>
      <c r="B272" s="226">
        <v>265</v>
      </c>
      <c r="C272" s="88" t="s">
        <v>761</v>
      </c>
      <c r="D272" s="192" t="s">
        <v>930</v>
      </c>
      <c r="E272" s="193" t="s">
        <v>112</v>
      </c>
      <c r="F272" s="194" t="s">
        <v>113</v>
      </c>
      <c r="G272" s="195" t="s">
        <v>1390</v>
      </c>
      <c r="H272" s="167">
        <v>32228863</v>
      </c>
      <c r="I272" s="292">
        <v>7521800</v>
      </c>
      <c r="J272" s="292">
        <v>83968000</v>
      </c>
      <c r="K272" s="297" t="s">
        <v>1054</v>
      </c>
      <c r="L272" s="196" t="s">
        <v>1383</v>
      </c>
      <c r="M272" s="114" t="s">
        <v>979</v>
      </c>
      <c r="N272" s="113" t="e" cm="1">
        <f t="array" aca="1" ref="N272" ca="1">_xlfn.XLOOKUP(Contrato[[#This Row],[SUPERVISOR TITULAR]],PERSONAL_ACTIVO_2025[[#All],[NOMBRES Y APELLIDOS]],PERSONAL_ACTIVO_2025[[#All],[DOCUMENTO]],"",0)</f>
        <v>#NAME?</v>
      </c>
      <c r="O272" s="114" t="s">
        <v>1123</v>
      </c>
      <c r="P272" s="115" t="e" cm="1">
        <f t="array" aca="1" ref="P272" ca="1">_xlfn.XLOOKUP(Contrato[[#This Row],[SUPERVISOR SUPLENTE ]],PERSONAL_ACTIVO_2025[[#All],[NOMBRES Y APELLIDOS]],PERSONAL_ACTIVO_2025[[#All],[DOCUMENTO]],"",0)</f>
        <v>#NAME?</v>
      </c>
      <c r="Q272" s="116">
        <v>347</v>
      </c>
      <c r="R272" s="137" t="e" cm="1">
        <f t="array" aca="1" ref="R272" ca="1">_xlfn.XLOOKUP(Contrato[[#This Row],[CDP]],DISPONIBILIDADES_2025[[#All],[consecutivo]],DISPONIBILIDADES_2025[[#All],[fecha_aprobacion]],"",0)</f>
        <v>#NAME?</v>
      </c>
      <c r="S272" s="92">
        <f>SUMIF(DISPONIBILIDADES_2025[[#All],[consecutivo]],Contrato[[#This Row],[CDP]],DISPONIBILIDADES_2025[[#All],[valor_total_rubro]])</f>
        <v>83968000</v>
      </c>
      <c r="T272" s="118" t="e" cm="1">
        <f t="array" aca="1" ref="T272" ca="1">_xlfn.XLOOKUP(Contrato[[#This Row],[CONTRATO]]&amp;Contrato[[#This Row],[CDP]],Corr_Contr_CDP[[#All],[CONTRATO-CDP]],Corr_Contr_CDP[[#All],[CRP]],_xlfn.XLOOKUP(Contrato[[#This Row],[CDP]],COMPROMISOS_2025[[#All],[disponibilidad]],COMPROMISOS_2025[[#All],[consecutivo]],"",0),0)</f>
        <v>#NAME?</v>
      </c>
      <c r="U272" s="117" t="e" cm="1">
        <f t="array" aca="1" ref="U272" ca="1">+_xlfn.XLOOKUP(Contrato[[#This Row],[RCP]],COMPROMISOS_2025[[#All],[consecutivo]],COMPROMISOS_2025[[#All],[fecha_aprobacion]],"",0)</f>
        <v>#NAME?</v>
      </c>
      <c r="V272" s="93">
        <f ca="1">SUMIF(COMPROMISOS_2025[[#All],[consecutivo]],Contrato[[#This Row],[RCP]],COMPROMISOS_2025[[#All],[valor_total]])</f>
        <v>0</v>
      </c>
      <c r="W272" s="169">
        <v>45726</v>
      </c>
      <c r="X272" s="243" t="s">
        <v>901</v>
      </c>
      <c r="Y272" s="96">
        <v>45727</v>
      </c>
      <c r="Z272" s="161">
        <v>46021</v>
      </c>
      <c r="AA272" s="198" t="s">
        <v>1391</v>
      </c>
      <c r="AB272" s="119" t="s">
        <v>1004</v>
      </c>
      <c r="AC272" s="112"/>
      <c r="AD272" s="279">
        <v>202000006448</v>
      </c>
      <c r="AE272" s="38" t="s">
        <v>904</v>
      </c>
      <c r="AF272" s="120" t="str">
        <f>TEXT(LEFT(Contrato[[#This Row],[CONTRATO]],3),"0")</f>
        <v>265</v>
      </c>
      <c r="AG272" s="120" t="str">
        <f>IF(LEN(Contrato[[#This Row],[Contrato2]])=3,Contrato[[#This Row],[Contrato2]],TEXT(Contrato[[#This Row],[Contrato2]],"000"))</f>
        <v>265</v>
      </c>
      <c r="AH272" s="90">
        <f ca="1">IFERROR(_xlfn.DAYS(Contrato[[#This Row],[Fecha Proyectada liquidación]],TODAY())/30,"")</f>
        <v>11.933333333333334</v>
      </c>
      <c r="AI272" s="121">
        <f>+Contrato[[#This Row],[FECHA TERMINACIÓN ]]+120</f>
        <v>46141</v>
      </c>
      <c r="AK272" s="91" t="str">
        <f ca="1">IF(Contrato[[#This Row],[FECHA TERMINACIÓN ]]&lt;TODAY(), "Terminado",IF(ISNUMBER(Contrato[[#This Row],[Fecha Real de liquiidación ]]),"Liquidado",IF(Contrato[[#This Row],[FECHA TERMINACIÓN ]]&gt;=TODAY(),"En ejecución","")))</f>
        <v>En ejecución</v>
      </c>
      <c r="AL272" s="107">
        <f ca="1">SUMIF(COMPROMISOS_2025[[#All],[consecutivo]],Contrato[[#This Row],[RCP]],COMPROMISOS_2025[[#All],[Total pagado]])</f>
        <v>0</v>
      </c>
      <c r="AM272" s="122">
        <f ca="1">IFERROR(Contrato[[#This Row],[Pagos]]/Contrato[[#This Row],[VALOR CONTRATO]],0)</f>
        <v>0</v>
      </c>
      <c r="AN272" s="160">
        <f ca="1">+Contrato[[#This Row],[VALOR CONTRATO]]-Contrato[[#This Row],[Pagos]]</f>
        <v>83968000</v>
      </c>
      <c r="AO272" s="111" t="e" cm="1">
        <f t="array" aca="1" ref="AO272" ca="1">_xlfn.XLOOKUP(Contrato[[#This Row],[DOCUMENTO ]],PERSONAL_ACTIVO_2025[[#All],[DOCUMENTO]],PERSONAL_ACTIVO_2025[[#All],[email]],0,0)</f>
        <v>#NAME?</v>
      </c>
      <c r="AP272" s="111" t="e" cm="1">
        <f t="array" aca="1" ref="AP272" ca="1">_xlfn.XLOOKUP(Contrato[[#This Row],[DOCUMENTO]],PERSONAL_ACTIVO_2025[[#All],[DOCUMENTO]],PERSONAL_ACTIVO_2025[[#All],[email]],0,0)</f>
        <v>#NAME?</v>
      </c>
      <c r="AQ272" s="111" cm="1">
        <f t="array" aca="1" ref="AQ272" ca="1">IF(ISBLANK(Contrato[[#This Row],[DEPENDENCIA ]]),0,IFERROR(_xlfn.XLOOKUP(Contrato[[#This Row],[DEPENDENCIA ]],#REF!,#REF!,0,0),0))</f>
        <v>0</v>
      </c>
      <c r="AR272" s="555">
        <f ca="1">+_xlfn.DAYS(Contrato[[#This Row],[FECHA TERMINACIÓN ]],TODAY())</f>
        <v>238</v>
      </c>
    </row>
    <row r="273" spans="1:44" ht="39.75" customHeight="1" x14ac:dyDescent="0.25">
      <c r="A273" s="38">
        <v>559</v>
      </c>
      <c r="B273" s="226">
        <v>266</v>
      </c>
      <c r="C273" s="88" t="s">
        <v>762</v>
      </c>
      <c r="D273" s="192" t="s">
        <v>930</v>
      </c>
      <c r="E273" s="193" t="s">
        <v>112</v>
      </c>
      <c r="F273" s="194" t="s">
        <v>113</v>
      </c>
      <c r="G273" s="195" t="s">
        <v>1392</v>
      </c>
      <c r="H273" s="167">
        <v>1020413659</v>
      </c>
      <c r="I273" s="292">
        <v>3419000</v>
      </c>
      <c r="J273" s="292">
        <v>44190000</v>
      </c>
      <c r="K273" s="297" t="s">
        <v>1109</v>
      </c>
      <c r="L273" s="196" t="s">
        <v>1383</v>
      </c>
      <c r="M273" s="114" t="s">
        <v>979</v>
      </c>
      <c r="N273" s="113" t="e" cm="1">
        <f t="array" aca="1" ref="N273" ca="1">_xlfn.XLOOKUP(Contrato[[#This Row],[SUPERVISOR TITULAR]],PERSONAL_ACTIVO_2025[[#All],[NOMBRES Y APELLIDOS]],PERSONAL_ACTIVO_2025[[#All],[DOCUMENTO]],"",0)</f>
        <v>#NAME?</v>
      </c>
      <c r="O273" s="114" t="s">
        <v>1088</v>
      </c>
      <c r="P273" s="115" t="e" cm="1">
        <f t="array" aca="1" ref="P273" ca="1">_xlfn.XLOOKUP(Contrato[[#This Row],[SUPERVISOR SUPLENTE ]],PERSONAL_ACTIVO_2025[[#All],[NOMBRES Y APELLIDOS]],PERSONAL_ACTIVO_2025[[#All],[DOCUMENTO]],"",0)</f>
        <v>#NAME?</v>
      </c>
      <c r="Q273" s="116">
        <v>348</v>
      </c>
      <c r="R273" s="137" t="e" cm="1">
        <f t="array" aca="1" ref="R273" ca="1">_xlfn.XLOOKUP(Contrato[[#This Row],[CDP]],DISPONIBILIDADES_2025[[#All],[consecutivo]],DISPONIBILIDADES_2025[[#All],[fecha_aprobacion]],"",0)</f>
        <v>#NAME?</v>
      </c>
      <c r="S273" s="92">
        <f>SUMIF(DISPONIBILIDADES_2025[[#All],[consecutivo]],Contrato[[#This Row],[CDP]],DISPONIBILIDADES_2025[[#All],[valor_total_rubro]])</f>
        <v>44190000</v>
      </c>
      <c r="T273" s="118" t="e" cm="1">
        <f t="array" aca="1" ref="T273" ca="1">_xlfn.XLOOKUP(Contrato[[#This Row],[CONTRATO]]&amp;Contrato[[#This Row],[CDP]],Corr_Contr_CDP[[#All],[CONTRATO-CDP]],Corr_Contr_CDP[[#All],[CRP]],_xlfn.XLOOKUP(Contrato[[#This Row],[CDP]],COMPROMISOS_2025[[#All],[disponibilidad]],COMPROMISOS_2025[[#All],[consecutivo]],"",0),0)</f>
        <v>#NAME?</v>
      </c>
      <c r="U273" s="117" t="e" cm="1">
        <f t="array" aca="1" ref="U273" ca="1">+_xlfn.XLOOKUP(Contrato[[#This Row],[RCP]],COMPROMISOS_2025[[#All],[consecutivo]],COMPROMISOS_2025[[#All],[fecha_aprobacion]],"",0)</f>
        <v>#NAME?</v>
      </c>
      <c r="V273" s="93">
        <f ca="1">SUMIF(COMPROMISOS_2025[[#All],[consecutivo]],Contrato[[#This Row],[RCP]],COMPROMISOS_2025[[#All],[valor_total]])</f>
        <v>0</v>
      </c>
      <c r="W273" s="169">
        <v>45721</v>
      </c>
      <c r="X273" s="243" t="s">
        <v>901</v>
      </c>
      <c r="Y273" s="96">
        <v>45721</v>
      </c>
      <c r="Z273" s="161">
        <v>46021</v>
      </c>
      <c r="AA273" s="198" t="s">
        <v>1393</v>
      </c>
      <c r="AB273" s="119" t="s">
        <v>1004</v>
      </c>
      <c r="AC273" s="112"/>
      <c r="AD273" s="279">
        <v>202000006449</v>
      </c>
      <c r="AE273" s="38" t="s">
        <v>904</v>
      </c>
      <c r="AF273" s="120" t="str">
        <f>TEXT(LEFT(Contrato[[#This Row],[CONTRATO]],3),"0")</f>
        <v>266</v>
      </c>
      <c r="AG273" s="120" t="str">
        <f>IF(LEN(Contrato[[#This Row],[Contrato2]])=3,Contrato[[#This Row],[Contrato2]],TEXT(Contrato[[#This Row],[Contrato2]],"000"))</f>
        <v>266</v>
      </c>
      <c r="AH273" s="90">
        <f ca="1">IFERROR(_xlfn.DAYS(Contrato[[#This Row],[Fecha Proyectada liquidación]],TODAY())/30,"")</f>
        <v>11.933333333333334</v>
      </c>
      <c r="AI273" s="121">
        <f>+Contrato[[#This Row],[FECHA TERMINACIÓN ]]+120</f>
        <v>46141</v>
      </c>
      <c r="AK273" s="91" t="str">
        <f ca="1">IF(Contrato[[#This Row],[FECHA TERMINACIÓN ]]&lt;TODAY(), "Terminado",IF(ISNUMBER(Contrato[[#This Row],[Fecha Real de liquiidación ]]),"Liquidado",IF(Contrato[[#This Row],[FECHA TERMINACIÓN ]]&gt;=TODAY(),"En ejecución","")))</f>
        <v>En ejecución</v>
      </c>
      <c r="AL273" s="107">
        <f ca="1">SUMIF(COMPROMISOS_2025[[#All],[consecutivo]],Contrato[[#This Row],[RCP]],COMPROMISOS_2025[[#All],[Total pagado]])</f>
        <v>0</v>
      </c>
      <c r="AM273" s="122">
        <f ca="1">IFERROR(Contrato[[#This Row],[Pagos]]/Contrato[[#This Row],[VALOR CONTRATO]],0)</f>
        <v>0</v>
      </c>
      <c r="AN273" s="160">
        <f ca="1">+Contrato[[#This Row],[VALOR CONTRATO]]-Contrato[[#This Row],[Pagos]]</f>
        <v>44190000</v>
      </c>
      <c r="AO273" s="111" t="e" cm="1">
        <f t="array" aca="1" ref="AO273" ca="1">_xlfn.XLOOKUP(Contrato[[#This Row],[DOCUMENTO ]],PERSONAL_ACTIVO_2025[[#All],[DOCUMENTO]],PERSONAL_ACTIVO_2025[[#All],[email]],0,0)</f>
        <v>#NAME?</v>
      </c>
      <c r="AP273" s="111" t="e" cm="1">
        <f t="array" aca="1" ref="AP273" ca="1">_xlfn.XLOOKUP(Contrato[[#This Row],[DOCUMENTO]],PERSONAL_ACTIVO_2025[[#All],[DOCUMENTO]],PERSONAL_ACTIVO_2025[[#All],[email]],0,0)</f>
        <v>#NAME?</v>
      </c>
      <c r="AQ273" s="111" cm="1">
        <f t="array" aca="1" ref="AQ273" ca="1">IF(ISBLANK(Contrato[[#This Row],[DEPENDENCIA ]]),0,IFERROR(_xlfn.XLOOKUP(Contrato[[#This Row],[DEPENDENCIA ]],#REF!,#REF!,0,0),0))</f>
        <v>0</v>
      </c>
      <c r="AR273" s="555">
        <f ca="1">+_xlfn.DAYS(Contrato[[#This Row],[FECHA TERMINACIÓN ]],TODAY())</f>
        <v>238</v>
      </c>
    </row>
    <row r="274" spans="1:44" ht="39.75" customHeight="1" x14ac:dyDescent="0.25">
      <c r="A274" s="38">
        <v>548</v>
      </c>
      <c r="B274" s="226">
        <v>267</v>
      </c>
      <c r="C274" s="88" t="s">
        <v>748</v>
      </c>
      <c r="D274" s="192" t="s">
        <v>1043</v>
      </c>
      <c r="E274" s="193" t="s">
        <v>112</v>
      </c>
      <c r="F274" s="194" t="s">
        <v>113</v>
      </c>
      <c r="G274" s="195" t="s">
        <v>1394</v>
      </c>
      <c r="H274" s="167">
        <v>43818841</v>
      </c>
      <c r="I274" s="292">
        <v>7521800</v>
      </c>
      <c r="J274" s="292">
        <v>37609000</v>
      </c>
      <c r="K274" s="158" t="s">
        <v>41</v>
      </c>
      <c r="L274" s="196" t="s">
        <v>1383</v>
      </c>
      <c r="M274" s="114" t="s">
        <v>1046</v>
      </c>
      <c r="N274" s="113" t="e" cm="1">
        <f t="array" aca="1" ref="N274" ca="1">_xlfn.XLOOKUP(Contrato[[#This Row],[SUPERVISOR TITULAR]],PERSONAL_ACTIVO_2025[[#All],[NOMBRES Y APELLIDOS]],PERSONAL_ACTIVO_2025[[#All],[DOCUMENTO]],"",0)</f>
        <v>#NAME?</v>
      </c>
      <c r="O274" s="114" t="s">
        <v>1279</v>
      </c>
      <c r="P274" s="115" t="e" cm="1">
        <f t="array" aca="1" ref="P274" ca="1">_xlfn.XLOOKUP(Contrato[[#This Row],[SUPERVISOR SUPLENTE ]],PERSONAL_ACTIVO_2025[[#All],[NOMBRES Y APELLIDOS]],PERSONAL_ACTIVO_2025[[#All],[DOCUMENTO]],"",0)</f>
        <v>#NAME?</v>
      </c>
      <c r="Q274" s="116">
        <v>344</v>
      </c>
      <c r="R274" s="137" t="e" cm="1">
        <f t="array" aca="1" ref="R274" ca="1">_xlfn.XLOOKUP(Contrato[[#This Row],[CDP]],DISPONIBILIDADES_2025[[#All],[consecutivo]],DISPONIBILIDADES_2025[[#All],[fecha_aprobacion]],"",0)</f>
        <v>#NAME?</v>
      </c>
      <c r="S274" s="92">
        <f>SUMIF(DISPONIBILIDADES_2025[[#All],[consecutivo]],Contrato[[#This Row],[CDP]],DISPONIBILIDADES_2025[[#All],[valor_total_rubro]])</f>
        <v>37609000</v>
      </c>
      <c r="T274" s="118" t="e" cm="1">
        <f t="array" aca="1" ref="T274" ca="1">_xlfn.XLOOKUP(Contrato[[#This Row],[CONTRATO]]&amp;Contrato[[#This Row],[CDP]],Corr_Contr_CDP[[#All],[CONTRATO-CDP]],Corr_Contr_CDP[[#All],[CRP]],_xlfn.XLOOKUP(Contrato[[#This Row],[CDP]],COMPROMISOS_2025[[#All],[disponibilidad]],COMPROMISOS_2025[[#All],[consecutivo]],"",0),0)</f>
        <v>#NAME?</v>
      </c>
      <c r="U274" s="117" t="e" cm="1">
        <f t="array" aca="1" ref="U274" ca="1">+_xlfn.XLOOKUP(Contrato[[#This Row],[RCP]],COMPROMISOS_2025[[#All],[consecutivo]],COMPROMISOS_2025[[#All],[fecha_aprobacion]],"",0)</f>
        <v>#NAME?</v>
      </c>
      <c r="V274" s="93">
        <f ca="1">SUMIF(COMPROMISOS_2025[[#All],[consecutivo]],Contrato[[#This Row],[RCP]],COMPROMISOS_2025[[#All],[valor_total]])</f>
        <v>0</v>
      </c>
      <c r="W274" s="169">
        <v>45720</v>
      </c>
      <c r="X274" s="243" t="s">
        <v>901</v>
      </c>
      <c r="Y274" s="96">
        <v>45722</v>
      </c>
      <c r="Z274" s="161">
        <v>45874</v>
      </c>
      <c r="AA274" s="198" t="s">
        <v>1395</v>
      </c>
      <c r="AB274" s="119" t="s">
        <v>920</v>
      </c>
      <c r="AC274" s="112"/>
      <c r="AD274" s="279">
        <v>202000006450</v>
      </c>
      <c r="AE274" s="38" t="s">
        <v>904</v>
      </c>
      <c r="AF274" s="120" t="str">
        <f>TEXT(LEFT(Contrato[[#This Row],[CONTRATO]],3),"0")</f>
        <v>267</v>
      </c>
      <c r="AG274" s="120" t="str">
        <f>IF(LEN(Contrato[[#This Row],[Contrato2]])=3,Contrato[[#This Row],[Contrato2]],TEXT(Contrato[[#This Row],[Contrato2]],"000"))</f>
        <v>267</v>
      </c>
      <c r="AH274" s="90">
        <f ca="1">IFERROR(_xlfn.DAYS(Contrato[[#This Row],[Fecha Proyectada liquidación]],TODAY())/30,"")</f>
        <v>7.0333333333333332</v>
      </c>
      <c r="AI274" s="121">
        <f>+Contrato[[#This Row],[FECHA TERMINACIÓN ]]+120</f>
        <v>45994</v>
      </c>
      <c r="AK274" s="91" t="str">
        <f ca="1">IF(Contrato[[#This Row],[FECHA TERMINACIÓN ]]&lt;TODAY(), "Terminado",IF(ISNUMBER(Contrato[[#This Row],[Fecha Real de liquiidación ]]),"Liquidado",IF(Contrato[[#This Row],[FECHA TERMINACIÓN ]]&gt;=TODAY(),"En ejecución","")))</f>
        <v>En ejecución</v>
      </c>
      <c r="AL274" s="107">
        <f ca="1">SUMIF(COMPROMISOS_2025[[#All],[consecutivo]],Contrato[[#This Row],[RCP]],COMPROMISOS_2025[[#All],[Total pagado]])</f>
        <v>0</v>
      </c>
      <c r="AM274" s="122">
        <f ca="1">IFERROR(Contrato[[#This Row],[Pagos]]/Contrato[[#This Row],[VALOR CONTRATO]],0)</f>
        <v>0</v>
      </c>
      <c r="AN274" s="160">
        <f ca="1">+Contrato[[#This Row],[VALOR CONTRATO]]-Contrato[[#This Row],[Pagos]]</f>
        <v>37609000</v>
      </c>
      <c r="AO274" s="111" t="e" cm="1">
        <f t="array" aca="1" ref="AO274" ca="1">_xlfn.XLOOKUP(Contrato[[#This Row],[DOCUMENTO ]],PERSONAL_ACTIVO_2025[[#All],[DOCUMENTO]],PERSONAL_ACTIVO_2025[[#All],[email]],0,0)</f>
        <v>#NAME?</v>
      </c>
      <c r="AP274" s="111" t="e" cm="1">
        <f t="array" aca="1" ref="AP274" ca="1">_xlfn.XLOOKUP(Contrato[[#This Row],[DOCUMENTO]],PERSONAL_ACTIVO_2025[[#All],[DOCUMENTO]],PERSONAL_ACTIVO_2025[[#All],[email]],0,0)</f>
        <v>#NAME?</v>
      </c>
      <c r="AQ274" s="111" cm="1">
        <f t="array" aca="1" ref="AQ274" ca="1">IF(ISBLANK(Contrato[[#This Row],[DEPENDENCIA ]]),0,IFERROR(_xlfn.XLOOKUP(Contrato[[#This Row],[DEPENDENCIA ]],#REF!,#REF!,0,0),0))</f>
        <v>0</v>
      </c>
      <c r="AR274" s="555">
        <f ca="1">+_xlfn.DAYS(Contrato[[#This Row],[FECHA TERMINACIÓN ]],TODAY())</f>
        <v>91</v>
      </c>
    </row>
    <row r="275" spans="1:44" ht="39.75" customHeight="1" x14ac:dyDescent="0.25">
      <c r="A275" s="38">
        <v>128</v>
      </c>
      <c r="B275" s="226">
        <v>268</v>
      </c>
      <c r="C275" s="88" t="s">
        <v>298</v>
      </c>
      <c r="D275" s="192" t="s">
        <v>930</v>
      </c>
      <c r="E275" s="193" t="s">
        <v>112</v>
      </c>
      <c r="F275" s="194" t="s">
        <v>113</v>
      </c>
      <c r="G275" s="195" t="s">
        <v>1396</v>
      </c>
      <c r="H275" s="167">
        <v>98647292</v>
      </c>
      <c r="I275" s="292">
        <v>3419000</v>
      </c>
      <c r="J275" s="292">
        <v>44190000</v>
      </c>
      <c r="K275" s="297" t="s">
        <v>1109</v>
      </c>
      <c r="L275" s="196" t="s">
        <v>1383</v>
      </c>
      <c r="M275" s="114" t="s">
        <v>979</v>
      </c>
      <c r="N275" s="113" t="e" cm="1">
        <f t="array" aca="1" ref="N275" ca="1">_xlfn.XLOOKUP(Contrato[[#This Row],[SUPERVISOR TITULAR]],PERSONAL_ACTIVO_2025[[#All],[NOMBRES Y APELLIDOS]],PERSONAL_ACTIVO_2025[[#All],[DOCUMENTO]],"",0)</f>
        <v>#NAME?</v>
      </c>
      <c r="O275" s="114" t="s">
        <v>1123</v>
      </c>
      <c r="P275" s="115" t="e" cm="1">
        <f t="array" aca="1" ref="P275" ca="1">_xlfn.XLOOKUP(Contrato[[#This Row],[SUPERVISOR SUPLENTE ]],PERSONAL_ACTIVO_2025[[#All],[NOMBRES Y APELLIDOS]],PERSONAL_ACTIVO_2025[[#All],[DOCUMENTO]],"",0)</f>
        <v>#NAME?</v>
      </c>
      <c r="Q275" s="116">
        <v>354</v>
      </c>
      <c r="R275" s="137" t="e" cm="1">
        <f t="array" aca="1" ref="R275" ca="1">_xlfn.XLOOKUP(Contrato[[#This Row],[CDP]],DISPONIBILIDADES_2025[[#All],[consecutivo]],DISPONIBILIDADES_2025[[#All],[fecha_aprobacion]],"",0)</f>
        <v>#NAME?</v>
      </c>
      <c r="S275" s="92">
        <f>SUMIF(DISPONIBILIDADES_2025[[#All],[consecutivo]],Contrato[[#This Row],[CDP]],DISPONIBILIDADES_2025[[#All],[valor_total_rubro]])</f>
        <v>44190000</v>
      </c>
      <c r="T275" s="118" t="e" cm="1">
        <f t="array" aca="1" ref="T275" ca="1">_xlfn.XLOOKUP(Contrato[[#This Row],[CONTRATO]]&amp;Contrato[[#This Row],[CDP]],Corr_Contr_CDP[[#All],[CONTRATO-CDP]],Corr_Contr_CDP[[#All],[CRP]],_xlfn.XLOOKUP(Contrato[[#This Row],[CDP]],COMPROMISOS_2025[[#All],[disponibilidad]],COMPROMISOS_2025[[#All],[consecutivo]],"",0),0)</f>
        <v>#NAME?</v>
      </c>
      <c r="U275" s="117" t="e" cm="1">
        <f t="array" aca="1" ref="U275" ca="1">+_xlfn.XLOOKUP(Contrato[[#This Row],[RCP]],COMPROMISOS_2025[[#All],[consecutivo]],COMPROMISOS_2025[[#All],[fecha_aprobacion]],"",0)</f>
        <v>#NAME?</v>
      </c>
      <c r="V275" s="93">
        <f ca="1">SUMIF(COMPROMISOS_2025[[#All],[consecutivo]],Contrato[[#This Row],[RCP]],COMPROMISOS_2025[[#All],[valor_total]])</f>
        <v>0</v>
      </c>
      <c r="W275" s="169">
        <v>45720</v>
      </c>
      <c r="X275" s="243" t="s">
        <v>901</v>
      </c>
      <c r="Y275" s="96">
        <v>45721</v>
      </c>
      <c r="Z275" s="161">
        <v>46021</v>
      </c>
      <c r="AA275" s="198" t="s">
        <v>1397</v>
      </c>
      <c r="AB275" s="119" t="s">
        <v>1004</v>
      </c>
      <c r="AC275" s="112"/>
      <c r="AD275" s="279">
        <v>202000006451</v>
      </c>
      <c r="AE275" s="38" t="s">
        <v>904</v>
      </c>
      <c r="AF275" s="120" t="str">
        <f>TEXT(LEFT(Contrato[[#This Row],[CONTRATO]],3),"0")</f>
        <v>268</v>
      </c>
      <c r="AG275" s="120" t="str">
        <f>IF(LEN(Contrato[[#This Row],[Contrato2]])=3,Contrato[[#This Row],[Contrato2]],TEXT(Contrato[[#This Row],[Contrato2]],"000"))</f>
        <v>268</v>
      </c>
      <c r="AH275" s="90">
        <f ca="1">IFERROR(_xlfn.DAYS(Contrato[[#This Row],[Fecha Proyectada liquidación]],TODAY())/30,"")</f>
        <v>11.933333333333334</v>
      </c>
      <c r="AI275" s="121">
        <f>+Contrato[[#This Row],[FECHA TERMINACIÓN ]]+120</f>
        <v>46141</v>
      </c>
      <c r="AK275" s="91" t="str">
        <f ca="1">IF(Contrato[[#This Row],[FECHA TERMINACIÓN ]]&lt;TODAY(), "Terminado",IF(ISNUMBER(Contrato[[#This Row],[Fecha Real de liquiidación ]]),"Liquidado",IF(Contrato[[#This Row],[FECHA TERMINACIÓN ]]&gt;=TODAY(),"En ejecución","")))</f>
        <v>En ejecución</v>
      </c>
      <c r="AL275" s="107">
        <f ca="1">SUMIF(COMPROMISOS_2025[[#All],[consecutivo]],Contrato[[#This Row],[RCP]],COMPROMISOS_2025[[#All],[Total pagado]])</f>
        <v>0</v>
      </c>
      <c r="AM275" s="122">
        <f ca="1">IFERROR(Contrato[[#This Row],[Pagos]]/Contrato[[#This Row],[VALOR CONTRATO]],0)</f>
        <v>0</v>
      </c>
      <c r="AN275" s="160">
        <f ca="1">+Contrato[[#This Row],[VALOR CONTRATO]]-Contrato[[#This Row],[Pagos]]</f>
        <v>44190000</v>
      </c>
      <c r="AO275" s="111" t="e" cm="1">
        <f t="array" aca="1" ref="AO275" ca="1">_xlfn.XLOOKUP(Contrato[[#This Row],[DOCUMENTO ]],PERSONAL_ACTIVO_2025[[#All],[DOCUMENTO]],PERSONAL_ACTIVO_2025[[#All],[email]],0,0)</f>
        <v>#NAME?</v>
      </c>
      <c r="AP275" s="111" t="e" cm="1">
        <f t="array" aca="1" ref="AP275" ca="1">_xlfn.XLOOKUP(Contrato[[#This Row],[DOCUMENTO]],PERSONAL_ACTIVO_2025[[#All],[DOCUMENTO]],PERSONAL_ACTIVO_2025[[#All],[email]],0,0)</f>
        <v>#NAME?</v>
      </c>
      <c r="AQ275" s="111" cm="1">
        <f t="array" aca="1" ref="AQ275" ca="1">IF(ISBLANK(Contrato[[#This Row],[DEPENDENCIA ]]),0,IFERROR(_xlfn.XLOOKUP(Contrato[[#This Row],[DEPENDENCIA ]],#REF!,#REF!,0,0),0))</f>
        <v>0</v>
      </c>
      <c r="AR275" s="555">
        <f ca="1">+_xlfn.DAYS(Contrato[[#This Row],[FECHA TERMINACIÓN ]],TODAY())</f>
        <v>238</v>
      </c>
    </row>
    <row r="276" spans="1:44" ht="39.75" customHeight="1" x14ac:dyDescent="0.25">
      <c r="A276" s="38">
        <v>245</v>
      </c>
      <c r="B276" s="226">
        <v>269</v>
      </c>
      <c r="C276" s="88" t="s">
        <v>441</v>
      </c>
      <c r="D276" s="192" t="s">
        <v>1066</v>
      </c>
      <c r="E276" s="193" t="s">
        <v>112</v>
      </c>
      <c r="F276" s="194" t="s">
        <v>113</v>
      </c>
      <c r="G276" s="195" t="s">
        <v>1398</v>
      </c>
      <c r="H276" s="167">
        <v>1039472270</v>
      </c>
      <c r="I276" s="292">
        <v>4102800</v>
      </c>
      <c r="J276" s="292">
        <v>32822400</v>
      </c>
      <c r="K276" s="158" t="s">
        <v>41</v>
      </c>
      <c r="L276" s="196" t="s">
        <v>1383</v>
      </c>
      <c r="M276" s="114" t="s">
        <v>1326</v>
      </c>
      <c r="N276" s="113" t="e" cm="1">
        <f t="array" aca="1" ref="N276" ca="1">_xlfn.XLOOKUP(Contrato[[#This Row],[SUPERVISOR TITULAR]],PERSONAL_ACTIVO_2025[[#All],[NOMBRES Y APELLIDOS]],PERSONAL_ACTIVO_2025[[#All],[DOCUMENTO]],"",0)</f>
        <v>#NAME?</v>
      </c>
      <c r="O276" s="114" t="s">
        <v>1106</v>
      </c>
      <c r="P276" s="115" t="e" cm="1">
        <f t="array" aca="1" ref="P276" ca="1">_xlfn.XLOOKUP(Contrato[[#This Row],[SUPERVISOR SUPLENTE ]],PERSONAL_ACTIVO_2025[[#All],[NOMBRES Y APELLIDOS]],PERSONAL_ACTIVO_2025[[#All],[DOCUMENTO]],"",0)</f>
        <v>#NAME?</v>
      </c>
      <c r="Q276" s="116">
        <v>329</v>
      </c>
      <c r="R276" s="137" t="e" cm="1">
        <f t="array" aca="1" ref="R276" ca="1">_xlfn.XLOOKUP(Contrato[[#This Row],[CDP]],DISPONIBILIDADES_2025[[#All],[consecutivo]],DISPONIBILIDADES_2025[[#All],[fecha_aprobacion]],"",0)</f>
        <v>#NAME?</v>
      </c>
      <c r="S276" s="92">
        <f>SUMIF(DISPONIBILIDADES_2025[[#All],[consecutivo]],Contrato[[#This Row],[CDP]],DISPONIBILIDADES_2025[[#All],[valor_total_rubro]])</f>
        <v>32822400</v>
      </c>
      <c r="T276" s="118" t="e" cm="1">
        <f t="array" aca="1" ref="T276" ca="1">_xlfn.XLOOKUP(Contrato[[#This Row],[CONTRATO]]&amp;Contrato[[#This Row],[CDP]],Corr_Contr_CDP[[#All],[CONTRATO-CDP]],Corr_Contr_CDP[[#All],[CRP]],_xlfn.XLOOKUP(Contrato[[#This Row],[CDP]],COMPROMISOS_2025[[#All],[disponibilidad]],COMPROMISOS_2025[[#All],[consecutivo]],"",0),0)</f>
        <v>#NAME?</v>
      </c>
      <c r="U276" s="117" t="e" cm="1">
        <f t="array" aca="1" ref="U276" ca="1">+_xlfn.XLOOKUP(Contrato[[#This Row],[RCP]],COMPROMISOS_2025[[#All],[consecutivo]],COMPROMISOS_2025[[#All],[fecha_aprobacion]],"",0)</f>
        <v>#NAME?</v>
      </c>
      <c r="V276" s="93">
        <f ca="1">SUMIF(COMPROMISOS_2025[[#All],[consecutivo]],Contrato[[#This Row],[RCP]],COMPROMISOS_2025[[#All],[valor_total]])</f>
        <v>0</v>
      </c>
      <c r="W276" s="169">
        <v>45722</v>
      </c>
      <c r="X276" s="243" t="s">
        <v>901</v>
      </c>
      <c r="Y276" s="96">
        <v>45722</v>
      </c>
      <c r="Z276" s="161">
        <v>45966</v>
      </c>
      <c r="AA276" s="198" t="s">
        <v>1399</v>
      </c>
      <c r="AB276" s="119" t="s">
        <v>936</v>
      </c>
      <c r="AC276" s="112"/>
      <c r="AD276" s="279">
        <v>202000006452</v>
      </c>
      <c r="AE276" s="38" t="s">
        <v>904</v>
      </c>
      <c r="AF276" s="120" t="str">
        <f>TEXT(LEFT(Contrato[[#This Row],[CONTRATO]],3),"0")</f>
        <v>269</v>
      </c>
      <c r="AG276" s="120" t="str">
        <f>IF(LEN(Contrato[[#This Row],[Contrato2]])=3,Contrato[[#This Row],[Contrato2]],TEXT(Contrato[[#This Row],[Contrato2]],"000"))</f>
        <v>269</v>
      </c>
      <c r="AH276" s="90">
        <f ca="1">IFERROR(_xlfn.DAYS(Contrato[[#This Row],[Fecha Proyectada liquidación]],TODAY())/30,"")</f>
        <v>10.1</v>
      </c>
      <c r="AI276" s="121">
        <f>+Contrato[[#This Row],[FECHA TERMINACIÓN ]]+120</f>
        <v>46086</v>
      </c>
      <c r="AK276" s="91" t="str">
        <f ca="1">IF(Contrato[[#This Row],[FECHA TERMINACIÓN ]]&lt;TODAY(), "Terminado",IF(ISNUMBER(Contrato[[#This Row],[Fecha Real de liquiidación ]]),"Liquidado",IF(Contrato[[#This Row],[FECHA TERMINACIÓN ]]&gt;=TODAY(),"En ejecución","")))</f>
        <v>En ejecución</v>
      </c>
      <c r="AL276" s="107">
        <f ca="1">SUMIF(COMPROMISOS_2025[[#All],[consecutivo]],Contrato[[#This Row],[RCP]],COMPROMISOS_2025[[#All],[Total pagado]])</f>
        <v>0</v>
      </c>
      <c r="AM276" s="122">
        <f ca="1">IFERROR(Contrato[[#This Row],[Pagos]]/Contrato[[#This Row],[VALOR CONTRATO]],0)</f>
        <v>0</v>
      </c>
      <c r="AN276" s="160">
        <f ca="1">+Contrato[[#This Row],[VALOR CONTRATO]]-Contrato[[#This Row],[Pagos]]</f>
        <v>32822400</v>
      </c>
      <c r="AO276" s="111" t="e" cm="1">
        <f t="array" aca="1" ref="AO276" ca="1">_xlfn.XLOOKUP(Contrato[[#This Row],[DOCUMENTO ]],PERSONAL_ACTIVO_2025[[#All],[DOCUMENTO]],PERSONAL_ACTIVO_2025[[#All],[email]],0,0)</f>
        <v>#NAME?</v>
      </c>
      <c r="AP276" s="111" t="e" cm="1">
        <f t="array" aca="1" ref="AP276" ca="1">_xlfn.XLOOKUP(Contrato[[#This Row],[DOCUMENTO]],PERSONAL_ACTIVO_2025[[#All],[DOCUMENTO]],PERSONAL_ACTIVO_2025[[#All],[email]],0,0)</f>
        <v>#NAME?</v>
      </c>
      <c r="AQ276" s="111" cm="1">
        <f t="array" aca="1" ref="AQ276" ca="1">IF(ISBLANK(Contrato[[#This Row],[DEPENDENCIA ]]),0,IFERROR(_xlfn.XLOOKUP(Contrato[[#This Row],[DEPENDENCIA ]],#REF!,#REF!,0,0),0))</f>
        <v>0</v>
      </c>
      <c r="AR276" s="555">
        <f ca="1">+_xlfn.DAYS(Contrato[[#This Row],[FECHA TERMINACIÓN ]],TODAY())</f>
        <v>183</v>
      </c>
    </row>
    <row r="277" spans="1:44" ht="39.75" customHeight="1" x14ac:dyDescent="0.25">
      <c r="A277" s="38">
        <v>549</v>
      </c>
      <c r="B277" s="226">
        <v>270</v>
      </c>
      <c r="C277" s="88" t="s">
        <v>749</v>
      </c>
      <c r="D277" s="192" t="s">
        <v>1043</v>
      </c>
      <c r="E277" s="193" t="s">
        <v>112</v>
      </c>
      <c r="F277" s="194" t="s">
        <v>113</v>
      </c>
      <c r="G277" s="195" t="s">
        <v>1400</v>
      </c>
      <c r="H277" s="167">
        <v>43463569</v>
      </c>
      <c r="I277" s="292">
        <v>3419000</v>
      </c>
      <c r="J277" s="292">
        <v>17095000</v>
      </c>
      <c r="K277" s="158" t="s">
        <v>41</v>
      </c>
      <c r="L277" s="196" t="s">
        <v>1401</v>
      </c>
      <c r="M277" s="114" t="s">
        <v>1402</v>
      </c>
      <c r="N277" s="113" t="e" cm="1">
        <f t="array" aca="1" ref="N277" ca="1">_xlfn.XLOOKUP(Contrato[[#This Row],[SUPERVISOR TITULAR]],PERSONAL_ACTIVO_2025[[#All],[NOMBRES Y APELLIDOS]],PERSONAL_ACTIVO_2025[[#All],[DOCUMENTO]],"",0)</f>
        <v>#NAME?</v>
      </c>
      <c r="O277" s="114" t="s">
        <v>1046</v>
      </c>
      <c r="P277" s="115" t="e" cm="1">
        <f t="array" aca="1" ref="P277" ca="1">_xlfn.XLOOKUP(Contrato[[#This Row],[SUPERVISOR SUPLENTE ]],PERSONAL_ACTIVO_2025[[#All],[NOMBRES Y APELLIDOS]],PERSONAL_ACTIVO_2025[[#All],[DOCUMENTO]],"",0)</f>
        <v>#NAME?</v>
      </c>
      <c r="Q277" s="116">
        <v>343</v>
      </c>
      <c r="R277" s="137" t="e" cm="1">
        <f t="array" aca="1" ref="R277" ca="1">_xlfn.XLOOKUP(Contrato[[#This Row],[CDP]],DISPONIBILIDADES_2025[[#All],[consecutivo]],DISPONIBILIDADES_2025[[#All],[fecha_aprobacion]],"",0)</f>
        <v>#NAME?</v>
      </c>
      <c r="S277" s="92">
        <f>SUMIF(DISPONIBILIDADES_2025[[#All],[consecutivo]],Contrato[[#This Row],[CDP]],DISPONIBILIDADES_2025[[#All],[valor_total_rubro]])</f>
        <v>17095000</v>
      </c>
      <c r="T277" s="118" t="e" cm="1">
        <f t="array" aca="1" ref="T277" ca="1">_xlfn.XLOOKUP(Contrato[[#This Row],[CONTRATO]]&amp;Contrato[[#This Row],[CDP]],Corr_Contr_CDP[[#All],[CONTRATO-CDP]],Corr_Contr_CDP[[#All],[CRP]],_xlfn.XLOOKUP(Contrato[[#This Row],[CDP]],COMPROMISOS_2025[[#All],[disponibilidad]],COMPROMISOS_2025[[#All],[consecutivo]],"",0),0)</f>
        <v>#NAME?</v>
      </c>
      <c r="U277" s="117" t="e" cm="1">
        <f t="array" aca="1" ref="U277" ca="1">+_xlfn.XLOOKUP(Contrato[[#This Row],[RCP]],COMPROMISOS_2025[[#All],[consecutivo]],COMPROMISOS_2025[[#All],[fecha_aprobacion]],"",0)</f>
        <v>#NAME?</v>
      </c>
      <c r="V277" s="93">
        <f ca="1">SUMIF(COMPROMISOS_2025[[#All],[consecutivo]],Contrato[[#This Row],[RCP]],COMPROMISOS_2025[[#All],[valor_total]])</f>
        <v>0</v>
      </c>
      <c r="W277" s="169">
        <v>45726</v>
      </c>
      <c r="X277" s="243" t="s">
        <v>901</v>
      </c>
      <c r="Y277" s="96">
        <v>45727</v>
      </c>
      <c r="Z277" s="161">
        <v>45876</v>
      </c>
      <c r="AA277" s="198" t="s">
        <v>1403</v>
      </c>
      <c r="AB277" s="119" t="s">
        <v>920</v>
      </c>
      <c r="AC277" s="112"/>
      <c r="AD277" s="279">
        <v>202000006453</v>
      </c>
      <c r="AE277" s="38" t="s">
        <v>904</v>
      </c>
      <c r="AF277" s="120" t="str">
        <f>TEXT(LEFT(Contrato[[#This Row],[CONTRATO]],3),"0")</f>
        <v>270</v>
      </c>
      <c r="AG277" s="120" t="str">
        <f>IF(LEN(Contrato[[#This Row],[Contrato2]])=3,Contrato[[#This Row],[Contrato2]],TEXT(Contrato[[#This Row],[Contrato2]],"000"))</f>
        <v>270</v>
      </c>
      <c r="AH277" s="90">
        <f ca="1">IFERROR(_xlfn.DAYS(Contrato[[#This Row],[Fecha Proyectada liquidación]],TODAY())/30,"")</f>
        <v>7.1</v>
      </c>
      <c r="AI277" s="121">
        <f>+Contrato[[#This Row],[FECHA TERMINACIÓN ]]+120</f>
        <v>45996</v>
      </c>
      <c r="AK277" s="91" t="str">
        <f ca="1">IF(Contrato[[#This Row],[FECHA TERMINACIÓN ]]&lt;TODAY(), "Terminado",IF(ISNUMBER(Contrato[[#This Row],[Fecha Real de liquiidación ]]),"Liquidado",IF(Contrato[[#This Row],[FECHA TERMINACIÓN ]]&gt;=TODAY(),"En ejecución","")))</f>
        <v>En ejecución</v>
      </c>
      <c r="AL277" s="107">
        <f ca="1">SUMIF(COMPROMISOS_2025[[#All],[consecutivo]],Contrato[[#This Row],[RCP]],COMPROMISOS_2025[[#All],[Total pagado]])</f>
        <v>0</v>
      </c>
      <c r="AM277" s="122">
        <f ca="1">IFERROR(Contrato[[#This Row],[Pagos]]/Contrato[[#This Row],[VALOR CONTRATO]],0)</f>
        <v>0</v>
      </c>
      <c r="AN277" s="160">
        <f ca="1">+Contrato[[#This Row],[VALOR CONTRATO]]-Contrato[[#This Row],[Pagos]]</f>
        <v>17095000</v>
      </c>
      <c r="AO277" s="111" t="e" cm="1">
        <f t="array" aca="1" ref="AO277" ca="1">_xlfn.XLOOKUP(Contrato[[#This Row],[DOCUMENTO ]],PERSONAL_ACTIVO_2025[[#All],[DOCUMENTO]],PERSONAL_ACTIVO_2025[[#All],[email]],0,0)</f>
        <v>#NAME?</v>
      </c>
      <c r="AP277" s="111" t="e" cm="1">
        <f t="array" aca="1" ref="AP277" ca="1">_xlfn.XLOOKUP(Contrato[[#This Row],[DOCUMENTO]],PERSONAL_ACTIVO_2025[[#All],[DOCUMENTO]],PERSONAL_ACTIVO_2025[[#All],[email]],0,0)</f>
        <v>#NAME?</v>
      </c>
      <c r="AQ277" s="111" cm="1">
        <f t="array" aca="1" ref="AQ277" ca="1">IF(ISBLANK(Contrato[[#This Row],[DEPENDENCIA ]]),0,IFERROR(_xlfn.XLOOKUP(Contrato[[#This Row],[DEPENDENCIA ]],#REF!,#REF!,0,0),0))</f>
        <v>0</v>
      </c>
      <c r="AR277" s="555">
        <f ca="1">+_xlfn.DAYS(Contrato[[#This Row],[FECHA TERMINACIÓN ]],TODAY())</f>
        <v>93</v>
      </c>
    </row>
    <row r="278" spans="1:44" ht="39.75" customHeight="1" x14ac:dyDescent="0.25">
      <c r="A278" s="38">
        <v>240</v>
      </c>
      <c r="B278" s="226">
        <v>271</v>
      </c>
      <c r="C278" s="88" t="s">
        <v>436</v>
      </c>
      <c r="D278" s="192" t="s">
        <v>1066</v>
      </c>
      <c r="E278" s="193" t="s">
        <v>112</v>
      </c>
      <c r="F278" s="194" t="s">
        <v>113</v>
      </c>
      <c r="G278" s="195" t="s">
        <v>1404</v>
      </c>
      <c r="H278" s="167">
        <v>1020432342</v>
      </c>
      <c r="I278" s="292">
        <v>7521800</v>
      </c>
      <c r="J278" s="292">
        <v>60174400</v>
      </c>
      <c r="K278" s="158" t="s">
        <v>41</v>
      </c>
      <c r="L278" s="196" t="s">
        <v>1401</v>
      </c>
      <c r="M278" s="114" t="s">
        <v>1326</v>
      </c>
      <c r="N278" s="113" t="e" cm="1">
        <f t="array" aca="1" ref="N278" ca="1">_xlfn.XLOOKUP(Contrato[[#This Row],[SUPERVISOR TITULAR]],PERSONAL_ACTIVO_2025[[#All],[NOMBRES Y APELLIDOS]],PERSONAL_ACTIVO_2025[[#All],[DOCUMENTO]],"",0)</f>
        <v>#NAME?</v>
      </c>
      <c r="O278" s="114" t="s">
        <v>1405</v>
      </c>
      <c r="P278" s="115" t="e" cm="1">
        <f t="array" aca="1" ref="P278" ca="1">_xlfn.XLOOKUP(Contrato[[#This Row],[SUPERVISOR SUPLENTE ]],PERSONAL_ACTIVO_2025[[#All],[NOMBRES Y APELLIDOS]],PERSONAL_ACTIVO_2025[[#All],[DOCUMENTO]],"",0)</f>
        <v>#NAME?</v>
      </c>
      <c r="Q278" s="116">
        <v>324</v>
      </c>
      <c r="R278" s="137" t="e" cm="1">
        <f t="array" aca="1" ref="R278" ca="1">_xlfn.XLOOKUP(Contrato[[#This Row],[CDP]],DISPONIBILIDADES_2025[[#All],[consecutivo]],DISPONIBILIDADES_2025[[#All],[fecha_aprobacion]],"",0)</f>
        <v>#NAME?</v>
      </c>
      <c r="S278" s="92">
        <f>SUMIF(DISPONIBILIDADES_2025[[#All],[consecutivo]],Contrato[[#This Row],[CDP]],DISPONIBILIDADES_2025[[#All],[valor_total_rubro]])</f>
        <v>60174400</v>
      </c>
      <c r="T278" s="118" t="e" cm="1">
        <f t="array" aca="1" ref="T278" ca="1">_xlfn.XLOOKUP(Contrato[[#This Row],[CONTRATO]]&amp;Contrato[[#This Row],[CDP]],Corr_Contr_CDP[[#All],[CONTRATO-CDP]],Corr_Contr_CDP[[#All],[CRP]],_xlfn.XLOOKUP(Contrato[[#This Row],[CDP]],COMPROMISOS_2025[[#All],[disponibilidad]],COMPROMISOS_2025[[#All],[consecutivo]],"",0),0)</f>
        <v>#NAME?</v>
      </c>
      <c r="U278" s="117" t="e" cm="1">
        <f t="array" aca="1" ref="U278" ca="1">+_xlfn.XLOOKUP(Contrato[[#This Row],[RCP]],COMPROMISOS_2025[[#All],[consecutivo]],COMPROMISOS_2025[[#All],[fecha_aprobacion]],"",0)</f>
        <v>#NAME?</v>
      </c>
      <c r="V278" s="93">
        <f ca="1">SUMIF(COMPROMISOS_2025[[#All],[consecutivo]],Contrato[[#This Row],[RCP]],COMPROMISOS_2025[[#All],[valor_total]])</f>
        <v>0</v>
      </c>
      <c r="W278" s="169">
        <v>45723</v>
      </c>
      <c r="X278" s="243" t="s">
        <v>901</v>
      </c>
      <c r="Y278" s="96">
        <v>45735</v>
      </c>
      <c r="Z278" s="161">
        <v>45979</v>
      </c>
      <c r="AA278" s="198" t="s">
        <v>1406</v>
      </c>
      <c r="AB278" s="119" t="s">
        <v>1328</v>
      </c>
      <c r="AC278" s="112"/>
      <c r="AD278" s="279">
        <v>202000006454</v>
      </c>
      <c r="AE278" s="38" t="s">
        <v>904</v>
      </c>
      <c r="AF278" s="120" t="str">
        <f>TEXT(LEFT(Contrato[[#This Row],[CONTRATO]],3),"0")</f>
        <v>271</v>
      </c>
      <c r="AG278" s="120" t="str">
        <f>IF(LEN(Contrato[[#This Row],[Contrato2]])=3,Contrato[[#This Row],[Contrato2]],TEXT(Contrato[[#This Row],[Contrato2]],"000"))</f>
        <v>271</v>
      </c>
      <c r="AH278" s="90">
        <f ca="1">IFERROR(_xlfn.DAYS(Contrato[[#This Row],[Fecha Proyectada liquidación]],TODAY())/30,"")</f>
        <v>10.533333333333333</v>
      </c>
      <c r="AI278" s="121">
        <f>+Contrato[[#This Row],[FECHA TERMINACIÓN ]]+120</f>
        <v>46099</v>
      </c>
      <c r="AK278" s="91" t="str">
        <f ca="1">IF(Contrato[[#This Row],[FECHA TERMINACIÓN ]]&lt;TODAY(), "Terminado",IF(ISNUMBER(Contrato[[#This Row],[Fecha Real de liquiidación ]]),"Liquidado",IF(Contrato[[#This Row],[FECHA TERMINACIÓN ]]&gt;=TODAY(),"En ejecución","")))</f>
        <v>En ejecución</v>
      </c>
      <c r="AL278" s="107">
        <f ca="1">SUMIF(COMPROMISOS_2025[[#All],[consecutivo]],Contrato[[#This Row],[RCP]],COMPROMISOS_2025[[#All],[Total pagado]])</f>
        <v>0</v>
      </c>
      <c r="AM278" s="122">
        <f ca="1">IFERROR(Contrato[[#This Row],[Pagos]]/Contrato[[#This Row],[VALOR CONTRATO]],0)</f>
        <v>0</v>
      </c>
      <c r="AN278" s="160">
        <f ca="1">+Contrato[[#This Row],[VALOR CONTRATO]]-Contrato[[#This Row],[Pagos]]</f>
        <v>60174400</v>
      </c>
      <c r="AO278" s="111" t="e" cm="1">
        <f t="array" aca="1" ref="AO278" ca="1">_xlfn.XLOOKUP(Contrato[[#This Row],[DOCUMENTO ]],PERSONAL_ACTIVO_2025[[#All],[DOCUMENTO]],PERSONAL_ACTIVO_2025[[#All],[email]],0,0)</f>
        <v>#NAME?</v>
      </c>
      <c r="AP278" s="111" t="e" cm="1">
        <f t="array" aca="1" ref="AP278" ca="1">_xlfn.XLOOKUP(Contrato[[#This Row],[DOCUMENTO]],PERSONAL_ACTIVO_2025[[#All],[DOCUMENTO]],PERSONAL_ACTIVO_2025[[#All],[email]],0,0)</f>
        <v>#NAME?</v>
      </c>
      <c r="AQ278" s="111" cm="1">
        <f t="array" aca="1" ref="AQ278" ca="1">IF(ISBLANK(Contrato[[#This Row],[DEPENDENCIA ]]),0,IFERROR(_xlfn.XLOOKUP(Contrato[[#This Row],[DEPENDENCIA ]],#REF!,#REF!,0,0),0))</f>
        <v>0</v>
      </c>
      <c r="AR278" s="555">
        <f ca="1">+_xlfn.DAYS(Contrato[[#This Row],[FECHA TERMINACIÓN ]],TODAY())</f>
        <v>196</v>
      </c>
    </row>
    <row r="279" spans="1:44" ht="39.75" customHeight="1" x14ac:dyDescent="0.25">
      <c r="A279" s="38">
        <v>560</v>
      </c>
      <c r="B279" s="226">
        <v>272</v>
      </c>
      <c r="C279" s="88" t="s">
        <v>764</v>
      </c>
      <c r="D279" s="192" t="s">
        <v>945</v>
      </c>
      <c r="E279" s="193" t="s">
        <v>112</v>
      </c>
      <c r="F279" s="194" t="s">
        <v>113</v>
      </c>
      <c r="G279" s="195" t="s">
        <v>1407</v>
      </c>
      <c r="H279" s="167">
        <v>1035224051</v>
      </c>
      <c r="I279" s="292">
        <v>7521800</v>
      </c>
      <c r="J279" s="292">
        <v>75218000</v>
      </c>
      <c r="K279" s="158" t="s">
        <v>41</v>
      </c>
      <c r="L279" s="196" t="s">
        <v>1401</v>
      </c>
      <c r="M279" s="114" t="s">
        <v>947</v>
      </c>
      <c r="N279" s="113" t="e" cm="1">
        <f t="array" aca="1" ref="N279" ca="1">_xlfn.XLOOKUP(Contrato[[#This Row],[SUPERVISOR TITULAR]],PERSONAL_ACTIVO_2025[[#All],[NOMBRES Y APELLIDOS]],PERSONAL_ACTIVO_2025[[#All],[DOCUMENTO]],"",0)</f>
        <v>#NAME?</v>
      </c>
      <c r="O279" s="114" t="s">
        <v>1305</v>
      </c>
      <c r="P279" s="115" t="e" cm="1">
        <f t="array" aca="1" ref="P279" ca="1">_xlfn.XLOOKUP(Contrato[[#This Row],[SUPERVISOR SUPLENTE ]],PERSONAL_ACTIVO_2025[[#All],[NOMBRES Y APELLIDOS]],PERSONAL_ACTIVO_2025[[#All],[DOCUMENTO]],"",0)</f>
        <v>#NAME?</v>
      </c>
      <c r="Q279" s="116">
        <v>349</v>
      </c>
      <c r="R279" s="137" t="e" cm="1">
        <f t="array" aca="1" ref="R279" ca="1">_xlfn.XLOOKUP(Contrato[[#This Row],[CDP]],DISPONIBILIDADES_2025[[#All],[consecutivo]],DISPONIBILIDADES_2025[[#All],[fecha_aprobacion]],"",0)</f>
        <v>#NAME?</v>
      </c>
      <c r="S279" s="92">
        <f>SUMIF(DISPONIBILIDADES_2025[[#All],[consecutivo]],Contrato[[#This Row],[CDP]],DISPONIBILIDADES_2025[[#All],[valor_total_rubro]])</f>
        <v>75218000</v>
      </c>
      <c r="T279" s="118" t="e" cm="1">
        <f t="array" aca="1" ref="T279" ca="1">_xlfn.XLOOKUP(Contrato[[#This Row],[CONTRATO]]&amp;Contrato[[#This Row],[CDP]],Corr_Contr_CDP[[#All],[CONTRATO-CDP]],Corr_Contr_CDP[[#All],[CRP]],_xlfn.XLOOKUP(Contrato[[#This Row],[CDP]],COMPROMISOS_2025[[#All],[disponibilidad]],COMPROMISOS_2025[[#All],[consecutivo]],"",0),0)</f>
        <v>#NAME?</v>
      </c>
      <c r="U279" s="117" t="e" cm="1">
        <f t="array" aca="1" ref="U279" ca="1">+_xlfn.XLOOKUP(Contrato[[#This Row],[RCP]],COMPROMISOS_2025[[#All],[consecutivo]],COMPROMISOS_2025[[#All],[fecha_aprobacion]],"",0)</f>
        <v>#NAME?</v>
      </c>
      <c r="V279" s="93">
        <f ca="1">SUMIF(COMPROMISOS_2025[[#All],[consecutivo]],Contrato[[#This Row],[RCP]],COMPROMISOS_2025[[#All],[valor_total]])</f>
        <v>0</v>
      </c>
      <c r="W279" s="169">
        <v>45727</v>
      </c>
      <c r="X279" s="243" t="s">
        <v>901</v>
      </c>
      <c r="Y279" s="96">
        <v>45729</v>
      </c>
      <c r="Z279" s="161">
        <v>46022</v>
      </c>
      <c r="AA279" s="198" t="s">
        <v>1408</v>
      </c>
      <c r="AB279" s="119" t="s">
        <v>1004</v>
      </c>
      <c r="AC279" s="112"/>
      <c r="AD279" s="279">
        <v>202000006455</v>
      </c>
      <c r="AE279" s="38" t="s">
        <v>904</v>
      </c>
      <c r="AF279" s="120" t="str">
        <f>TEXT(LEFT(Contrato[[#This Row],[CONTRATO]],3),"0")</f>
        <v>272</v>
      </c>
      <c r="AG279" s="120" t="str">
        <f>IF(LEN(Contrato[[#This Row],[Contrato2]])=3,Contrato[[#This Row],[Contrato2]],TEXT(Contrato[[#This Row],[Contrato2]],"000"))</f>
        <v>272</v>
      </c>
      <c r="AH279" s="90">
        <f ca="1">IFERROR(_xlfn.DAYS(Contrato[[#This Row],[Fecha Proyectada liquidación]],TODAY())/30,"")</f>
        <v>11.966666666666667</v>
      </c>
      <c r="AI279" s="121">
        <f>+Contrato[[#This Row],[FECHA TERMINACIÓN ]]+120</f>
        <v>46142</v>
      </c>
      <c r="AK279" s="91" t="str">
        <f ca="1">IF(Contrato[[#This Row],[FECHA TERMINACIÓN ]]&lt;TODAY(), "Terminado",IF(ISNUMBER(Contrato[[#This Row],[Fecha Real de liquiidación ]]),"Liquidado",IF(Contrato[[#This Row],[FECHA TERMINACIÓN ]]&gt;=TODAY(),"En ejecución","")))</f>
        <v>En ejecución</v>
      </c>
      <c r="AL279" s="107">
        <f ca="1">SUMIF(COMPROMISOS_2025[[#All],[consecutivo]],Contrato[[#This Row],[RCP]],COMPROMISOS_2025[[#All],[Total pagado]])</f>
        <v>0</v>
      </c>
      <c r="AM279" s="122">
        <f ca="1">IFERROR(Contrato[[#This Row],[Pagos]]/Contrato[[#This Row],[VALOR CONTRATO]],0)</f>
        <v>0</v>
      </c>
      <c r="AN279" s="160">
        <f ca="1">+Contrato[[#This Row],[VALOR CONTRATO]]-Contrato[[#This Row],[Pagos]]</f>
        <v>75218000</v>
      </c>
      <c r="AO279" s="111" t="e" cm="1">
        <f t="array" aca="1" ref="AO279" ca="1">_xlfn.XLOOKUP(Contrato[[#This Row],[DOCUMENTO ]],PERSONAL_ACTIVO_2025[[#All],[DOCUMENTO]],PERSONAL_ACTIVO_2025[[#All],[email]],0,0)</f>
        <v>#NAME?</v>
      </c>
      <c r="AP279" s="111" t="e" cm="1">
        <f t="array" aca="1" ref="AP279" ca="1">_xlfn.XLOOKUP(Contrato[[#This Row],[DOCUMENTO]],PERSONAL_ACTIVO_2025[[#All],[DOCUMENTO]],PERSONAL_ACTIVO_2025[[#All],[email]],0,0)</f>
        <v>#NAME?</v>
      </c>
      <c r="AQ279" s="111" cm="1">
        <f t="array" aca="1" ref="AQ279" ca="1">IF(ISBLANK(Contrato[[#This Row],[DEPENDENCIA ]]),0,IFERROR(_xlfn.XLOOKUP(Contrato[[#This Row],[DEPENDENCIA ]],#REF!,#REF!,0,0),0))</f>
        <v>0</v>
      </c>
      <c r="AR279" s="555">
        <f ca="1">+_xlfn.DAYS(Contrato[[#This Row],[FECHA TERMINACIÓN ]],TODAY())</f>
        <v>239</v>
      </c>
    </row>
    <row r="280" spans="1:44" ht="39.75" customHeight="1" x14ac:dyDescent="0.25">
      <c r="A280" s="38">
        <v>473</v>
      </c>
      <c r="B280" s="226">
        <v>273</v>
      </c>
      <c r="C280" s="88" t="s">
        <v>676</v>
      </c>
      <c r="D280" s="192" t="s">
        <v>911</v>
      </c>
      <c r="E280" s="193" t="s">
        <v>112</v>
      </c>
      <c r="F280" s="194" t="s">
        <v>113</v>
      </c>
      <c r="G280" s="195" t="s">
        <v>1409</v>
      </c>
      <c r="H280" s="167">
        <v>1028029120</v>
      </c>
      <c r="I280" s="292">
        <v>3419000</v>
      </c>
      <c r="J280" s="292">
        <v>34190000</v>
      </c>
      <c r="K280" s="158" t="s">
        <v>41</v>
      </c>
      <c r="L280" s="196" t="s">
        <v>1401</v>
      </c>
      <c r="M280" s="114" t="s">
        <v>1410</v>
      </c>
      <c r="N280" s="113" t="e" cm="1">
        <f t="array" aca="1" ref="N280" ca="1">_xlfn.XLOOKUP(Contrato[[#This Row],[SUPERVISOR TITULAR]],PERSONAL_ACTIVO_2025[[#All],[NOMBRES Y APELLIDOS]],PERSONAL_ACTIVO_2025[[#All],[DOCUMENTO]],"",0)</f>
        <v>#NAME?</v>
      </c>
      <c r="O280" s="114" t="s">
        <v>886</v>
      </c>
      <c r="P280" s="115" t="e" cm="1">
        <f t="array" aca="1" ref="P280" ca="1">_xlfn.XLOOKUP(Contrato[[#This Row],[SUPERVISOR SUPLENTE ]],PERSONAL_ACTIVO_2025[[#All],[NOMBRES Y APELLIDOS]],PERSONAL_ACTIVO_2025[[#All],[DOCUMENTO]],"",0)</f>
        <v>#NAME?</v>
      </c>
      <c r="Q280" s="116">
        <v>357</v>
      </c>
      <c r="R280" s="137" t="e" cm="1">
        <f t="array" aca="1" ref="R280" ca="1">_xlfn.XLOOKUP(Contrato[[#This Row],[CDP]],DISPONIBILIDADES_2025[[#All],[consecutivo]],DISPONIBILIDADES_2025[[#All],[fecha_aprobacion]],"",0)</f>
        <v>#NAME?</v>
      </c>
      <c r="S280" s="92">
        <f>SUMIF(DISPONIBILIDADES_2025[[#All],[consecutivo]],Contrato[[#This Row],[CDP]],DISPONIBILIDADES_2025[[#All],[valor_total_rubro]])</f>
        <v>34190000</v>
      </c>
      <c r="T280" s="118" t="e" cm="1">
        <f t="array" aca="1" ref="T280" ca="1">_xlfn.XLOOKUP(Contrato[[#This Row],[CONTRATO]]&amp;Contrato[[#This Row],[CDP]],Corr_Contr_CDP[[#All],[CONTRATO-CDP]],Corr_Contr_CDP[[#All],[CRP]],_xlfn.XLOOKUP(Contrato[[#This Row],[CDP]],COMPROMISOS_2025[[#All],[disponibilidad]],COMPROMISOS_2025[[#All],[consecutivo]],"",0),0)</f>
        <v>#NAME?</v>
      </c>
      <c r="U280" s="117" t="e" cm="1">
        <f t="array" aca="1" ref="U280" ca="1">+_xlfn.XLOOKUP(Contrato[[#This Row],[RCP]],COMPROMISOS_2025[[#All],[consecutivo]],COMPROMISOS_2025[[#All],[fecha_aprobacion]],"",0)</f>
        <v>#NAME?</v>
      </c>
      <c r="V280" s="93">
        <f ca="1">SUMIF(COMPROMISOS_2025[[#All],[consecutivo]],Contrato[[#This Row],[RCP]],COMPROMISOS_2025[[#All],[valor_total]])</f>
        <v>0</v>
      </c>
      <c r="W280" s="169">
        <v>45726</v>
      </c>
      <c r="X280" s="243" t="s">
        <v>901</v>
      </c>
      <c r="Y280" s="96">
        <v>45728</v>
      </c>
      <c r="Z280" s="161">
        <v>46022</v>
      </c>
      <c r="AA280" s="198" t="s">
        <v>1411</v>
      </c>
      <c r="AB280" s="119" t="s">
        <v>1004</v>
      </c>
      <c r="AC280" s="112"/>
      <c r="AD280" s="279">
        <v>202000006456</v>
      </c>
      <c r="AE280" s="38" t="s">
        <v>904</v>
      </c>
      <c r="AF280" s="120" t="str">
        <f>TEXT(LEFT(Contrato[[#This Row],[CONTRATO]],3),"0")</f>
        <v>273</v>
      </c>
      <c r="AG280" s="120" t="str">
        <f>IF(LEN(Contrato[[#This Row],[Contrato2]])=3,Contrato[[#This Row],[Contrato2]],TEXT(Contrato[[#This Row],[Contrato2]],"000"))</f>
        <v>273</v>
      </c>
      <c r="AH280" s="90">
        <f ca="1">IFERROR(_xlfn.DAYS(Contrato[[#This Row],[Fecha Proyectada liquidación]],TODAY())/30,"")</f>
        <v>11.966666666666667</v>
      </c>
      <c r="AI280" s="121">
        <f>+Contrato[[#This Row],[FECHA TERMINACIÓN ]]+120</f>
        <v>46142</v>
      </c>
      <c r="AK280" s="91" t="str">
        <f ca="1">IF(Contrato[[#This Row],[FECHA TERMINACIÓN ]]&lt;TODAY(), "Terminado",IF(ISNUMBER(Contrato[[#This Row],[Fecha Real de liquiidación ]]),"Liquidado",IF(Contrato[[#This Row],[FECHA TERMINACIÓN ]]&gt;=TODAY(),"En ejecución","")))</f>
        <v>En ejecución</v>
      </c>
      <c r="AL280" s="107">
        <f ca="1">SUMIF(COMPROMISOS_2025[[#All],[consecutivo]],Contrato[[#This Row],[RCP]],COMPROMISOS_2025[[#All],[Total pagado]])</f>
        <v>0</v>
      </c>
      <c r="AM280" s="122">
        <f ca="1">IFERROR(Contrato[[#This Row],[Pagos]]/Contrato[[#This Row],[VALOR CONTRATO]],0)</f>
        <v>0</v>
      </c>
      <c r="AN280" s="160">
        <f ca="1">+Contrato[[#This Row],[VALOR CONTRATO]]-Contrato[[#This Row],[Pagos]]</f>
        <v>34190000</v>
      </c>
      <c r="AO280" s="111" t="e" cm="1">
        <f t="array" aca="1" ref="AO280" ca="1">_xlfn.XLOOKUP(Contrato[[#This Row],[DOCUMENTO ]],PERSONAL_ACTIVO_2025[[#All],[DOCUMENTO]],PERSONAL_ACTIVO_2025[[#All],[email]],0,0)</f>
        <v>#NAME?</v>
      </c>
      <c r="AP280" s="111" t="e" cm="1">
        <f t="array" aca="1" ref="AP280" ca="1">_xlfn.XLOOKUP(Contrato[[#This Row],[DOCUMENTO]],PERSONAL_ACTIVO_2025[[#All],[DOCUMENTO]],PERSONAL_ACTIVO_2025[[#All],[email]],0,0)</f>
        <v>#NAME?</v>
      </c>
      <c r="AQ280" s="111" cm="1">
        <f t="array" aca="1" ref="AQ280" ca="1">IF(ISBLANK(Contrato[[#This Row],[DEPENDENCIA ]]),0,IFERROR(_xlfn.XLOOKUP(Contrato[[#This Row],[DEPENDENCIA ]],#REF!,#REF!,0,0),0))</f>
        <v>0</v>
      </c>
      <c r="AR280" s="555">
        <f ca="1">+_xlfn.DAYS(Contrato[[#This Row],[FECHA TERMINACIÓN ]],TODAY())</f>
        <v>239</v>
      </c>
    </row>
    <row r="281" spans="1:44" ht="39.75" customHeight="1" x14ac:dyDescent="0.25">
      <c r="A281" s="38">
        <v>248</v>
      </c>
      <c r="B281" s="226">
        <v>274</v>
      </c>
      <c r="C281" s="88" t="s">
        <v>444</v>
      </c>
      <c r="D281" s="192" t="s">
        <v>1066</v>
      </c>
      <c r="E281" s="193" t="s">
        <v>112</v>
      </c>
      <c r="F281" s="194" t="s">
        <v>113</v>
      </c>
      <c r="G281" s="195" t="s">
        <v>1412</v>
      </c>
      <c r="H281" s="167">
        <v>43584634</v>
      </c>
      <c r="I281" s="292">
        <v>7521800</v>
      </c>
      <c r="J281" s="292">
        <v>60174400</v>
      </c>
      <c r="K281" s="158" t="s">
        <v>41</v>
      </c>
      <c r="L281" s="196" t="s">
        <v>1401</v>
      </c>
      <c r="M281" s="114" t="s">
        <v>1413</v>
      </c>
      <c r="N281" s="113" t="e" cm="1">
        <f t="array" aca="1" ref="N281" ca="1">_xlfn.XLOOKUP(Contrato[[#This Row],[SUPERVISOR TITULAR]],PERSONAL_ACTIVO_2025[[#All],[NOMBRES Y APELLIDOS]],PERSONAL_ACTIVO_2025[[#All],[DOCUMENTO]],"",0)</f>
        <v>#NAME?</v>
      </c>
      <c r="O281" s="114" t="s">
        <v>1414</v>
      </c>
      <c r="P281" s="115" t="e" cm="1">
        <f t="array" aca="1" ref="P281" ca="1">_xlfn.XLOOKUP(Contrato[[#This Row],[SUPERVISOR SUPLENTE ]],PERSONAL_ACTIVO_2025[[#All],[NOMBRES Y APELLIDOS]],PERSONAL_ACTIVO_2025[[#All],[DOCUMENTO]],"",0)</f>
        <v>#NAME?</v>
      </c>
      <c r="Q281" s="116">
        <v>379</v>
      </c>
      <c r="R281" s="137" t="e" cm="1">
        <f t="array" aca="1" ref="R281" ca="1">_xlfn.XLOOKUP(Contrato[[#This Row],[CDP]],DISPONIBILIDADES_2025[[#All],[consecutivo]],DISPONIBILIDADES_2025[[#All],[fecha_aprobacion]],"",0)</f>
        <v>#NAME?</v>
      </c>
      <c r="S281" s="92">
        <f>SUMIF(DISPONIBILIDADES_2025[[#All],[consecutivo]],Contrato[[#This Row],[CDP]],DISPONIBILIDADES_2025[[#All],[valor_total_rubro]])</f>
        <v>60174400</v>
      </c>
      <c r="T281" s="118" t="e" cm="1">
        <f t="array" aca="1" ref="T281" ca="1">_xlfn.XLOOKUP(Contrato[[#This Row],[CONTRATO]]&amp;Contrato[[#This Row],[CDP]],Corr_Contr_CDP[[#All],[CONTRATO-CDP]],Corr_Contr_CDP[[#All],[CRP]],_xlfn.XLOOKUP(Contrato[[#This Row],[CDP]],COMPROMISOS_2025[[#All],[disponibilidad]],COMPROMISOS_2025[[#All],[consecutivo]],"",0),0)</f>
        <v>#NAME?</v>
      </c>
      <c r="U281" s="117" t="e" cm="1">
        <f t="array" aca="1" ref="U281" ca="1">+_xlfn.XLOOKUP(Contrato[[#This Row],[RCP]],COMPROMISOS_2025[[#All],[consecutivo]],COMPROMISOS_2025[[#All],[fecha_aprobacion]],"",0)</f>
        <v>#NAME?</v>
      </c>
      <c r="V281" s="93">
        <f ca="1">SUMIF(COMPROMISOS_2025[[#All],[consecutivo]],Contrato[[#This Row],[RCP]],COMPROMISOS_2025[[#All],[valor_total]])</f>
        <v>0</v>
      </c>
      <c r="W281" s="169">
        <v>45722</v>
      </c>
      <c r="X281" s="243" t="s">
        <v>901</v>
      </c>
      <c r="Y281" s="96">
        <v>45723</v>
      </c>
      <c r="Z281" s="161">
        <v>45962</v>
      </c>
      <c r="AA281" s="198" t="s">
        <v>1415</v>
      </c>
      <c r="AB281" s="119" t="s">
        <v>1328</v>
      </c>
      <c r="AC281" s="112"/>
      <c r="AD281" s="279">
        <v>202000006457</v>
      </c>
      <c r="AE281" s="38" t="s">
        <v>904</v>
      </c>
      <c r="AF281" s="120" t="str">
        <f>TEXT(LEFT(Contrato[[#This Row],[CONTRATO]],3),"0")</f>
        <v>274</v>
      </c>
      <c r="AG281" s="120" t="str">
        <f>IF(LEN(Contrato[[#This Row],[Contrato2]])=3,Contrato[[#This Row],[Contrato2]],TEXT(Contrato[[#This Row],[Contrato2]],"000"))</f>
        <v>274</v>
      </c>
      <c r="AH281" s="90">
        <f ca="1">IFERROR(_xlfn.DAYS(Contrato[[#This Row],[Fecha Proyectada liquidación]],TODAY())/30,"")</f>
        <v>9.9666666666666668</v>
      </c>
      <c r="AI281" s="121">
        <f>+Contrato[[#This Row],[FECHA TERMINACIÓN ]]+120</f>
        <v>46082</v>
      </c>
      <c r="AK281" s="91" t="str">
        <f ca="1">IF(Contrato[[#This Row],[FECHA TERMINACIÓN ]]&lt;TODAY(), "Terminado",IF(ISNUMBER(Contrato[[#This Row],[Fecha Real de liquiidación ]]),"Liquidado",IF(Contrato[[#This Row],[FECHA TERMINACIÓN ]]&gt;=TODAY(),"En ejecución","")))</f>
        <v>En ejecución</v>
      </c>
      <c r="AL281" s="107">
        <f ca="1">SUMIF(COMPROMISOS_2025[[#All],[consecutivo]],Contrato[[#This Row],[RCP]],COMPROMISOS_2025[[#All],[Total pagado]])</f>
        <v>0</v>
      </c>
      <c r="AM281" s="122">
        <f ca="1">IFERROR(Contrato[[#This Row],[Pagos]]/Contrato[[#This Row],[VALOR CONTRATO]],0)</f>
        <v>0</v>
      </c>
      <c r="AN281" s="160">
        <f ca="1">+Contrato[[#This Row],[VALOR CONTRATO]]-Contrato[[#This Row],[Pagos]]</f>
        <v>60174400</v>
      </c>
      <c r="AO281" s="111" t="e" cm="1">
        <f t="array" aca="1" ref="AO281" ca="1">_xlfn.XLOOKUP(Contrato[[#This Row],[DOCUMENTO ]],PERSONAL_ACTIVO_2025[[#All],[DOCUMENTO]],PERSONAL_ACTIVO_2025[[#All],[email]],0,0)</f>
        <v>#NAME?</v>
      </c>
      <c r="AP281" s="111" t="e" cm="1">
        <f t="array" aca="1" ref="AP281" ca="1">_xlfn.XLOOKUP(Contrato[[#This Row],[DOCUMENTO]],PERSONAL_ACTIVO_2025[[#All],[DOCUMENTO]],PERSONAL_ACTIVO_2025[[#All],[email]],0,0)</f>
        <v>#NAME?</v>
      </c>
      <c r="AQ281" s="111" cm="1">
        <f t="array" aca="1" ref="AQ281" ca="1">IF(ISBLANK(Contrato[[#This Row],[DEPENDENCIA ]]),0,IFERROR(_xlfn.XLOOKUP(Contrato[[#This Row],[DEPENDENCIA ]],#REF!,#REF!,0,0),0))</f>
        <v>0</v>
      </c>
      <c r="AR281" s="555">
        <f ca="1">+_xlfn.DAYS(Contrato[[#This Row],[FECHA TERMINACIÓN ]],TODAY())</f>
        <v>179</v>
      </c>
    </row>
    <row r="282" spans="1:44" ht="39.75" customHeight="1" x14ac:dyDescent="0.25">
      <c r="A282" s="38">
        <v>242</v>
      </c>
      <c r="B282" s="226">
        <v>275</v>
      </c>
      <c r="C282" s="88" t="s">
        <v>438</v>
      </c>
      <c r="D282" s="192" t="s">
        <v>1066</v>
      </c>
      <c r="E282" s="193" t="s">
        <v>112</v>
      </c>
      <c r="F282" s="194" t="s">
        <v>113</v>
      </c>
      <c r="G282" s="195" t="s">
        <v>1416</v>
      </c>
      <c r="H282" s="167">
        <v>1128417583</v>
      </c>
      <c r="I282" s="292">
        <v>7521800</v>
      </c>
      <c r="J282" s="292">
        <v>60174400</v>
      </c>
      <c r="K282" s="158" t="s">
        <v>41</v>
      </c>
      <c r="L282" s="196" t="s">
        <v>1401</v>
      </c>
      <c r="M282" s="114" t="s">
        <v>1068</v>
      </c>
      <c r="N282" s="113" t="e" cm="1">
        <f t="array" aca="1" ref="N282" ca="1">_xlfn.XLOOKUP(Contrato[[#This Row],[SUPERVISOR TITULAR]],PERSONAL_ACTIVO_2025[[#All],[NOMBRES Y APELLIDOS]],PERSONAL_ACTIVO_2025[[#All],[DOCUMENTO]],"",0)</f>
        <v>#NAME?</v>
      </c>
      <c r="O282" s="114" t="s">
        <v>1069</v>
      </c>
      <c r="P282" s="115" t="e" cm="1">
        <f t="array" aca="1" ref="P282" ca="1">_xlfn.XLOOKUP(Contrato[[#This Row],[SUPERVISOR SUPLENTE ]],PERSONAL_ACTIVO_2025[[#All],[NOMBRES Y APELLIDOS]],PERSONAL_ACTIVO_2025[[#All],[DOCUMENTO]],"",0)</f>
        <v>#NAME?</v>
      </c>
      <c r="Q282" s="116">
        <v>375</v>
      </c>
      <c r="R282" s="137" t="e" cm="1">
        <f t="array" aca="1" ref="R282" ca="1">_xlfn.XLOOKUP(Contrato[[#This Row],[CDP]],DISPONIBILIDADES_2025[[#All],[consecutivo]],DISPONIBILIDADES_2025[[#All],[fecha_aprobacion]],"",0)</f>
        <v>#NAME?</v>
      </c>
      <c r="S282" s="92">
        <f>SUMIF(DISPONIBILIDADES_2025[[#All],[consecutivo]],Contrato[[#This Row],[CDP]],DISPONIBILIDADES_2025[[#All],[valor_total_rubro]])</f>
        <v>60174400</v>
      </c>
      <c r="T282" s="118" t="e" cm="1">
        <f t="array" aca="1" ref="T282" ca="1">_xlfn.XLOOKUP(Contrato[[#This Row],[CONTRATO]]&amp;Contrato[[#This Row],[CDP]],Corr_Contr_CDP[[#All],[CONTRATO-CDP]],Corr_Contr_CDP[[#All],[CRP]],_xlfn.XLOOKUP(Contrato[[#This Row],[CDP]],COMPROMISOS_2025[[#All],[disponibilidad]],COMPROMISOS_2025[[#All],[consecutivo]],"",0),0)</f>
        <v>#NAME?</v>
      </c>
      <c r="U282" s="117" t="e" cm="1">
        <f t="array" aca="1" ref="U282" ca="1">+_xlfn.XLOOKUP(Contrato[[#This Row],[RCP]],COMPROMISOS_2025[[#All],[consecutivo]],COMPROMISOS_2025[[#All],[fecha_aprobacion]],"",0)</f>
        <v>#NAME?</v>
      </c>
      <c r="V282" s="93">
        <f ca="1">SUMIF(COMPROMISOS_2025[[#All],[consecutivo]],Contrato[[#This Row],[RCP]],COMPROMISOS_2025[[#All],[valor_total]])</f>
        <v>0</v>
      </c>
      <c r="W282" s="169">
        <v>45723</v>
      </c>
      <c r="X282" s="243" t="s">
        <v>901</v>
      </c>
      <c r="Y282" s="96">
        <v>45723</v>
      </c>
      <c r="Z282" s="161">
        <v>45962</v>
      </c>
      <c r="AA282" s="198" t="s">
        <v>1417</v>
      </c>
      <c r="AB282" s="119" t="s">
        <v>1328</v>
      </c>
      <c r="AC282" s="112"/>
      <c r="AD282" s="279">
        <v>202000006458</v>
      </c>
      <c r="AE282" s="38" t="s">
        <v>904</v>
      </c>
      <c r="AF282" s="120" t="str">
        <f>TEXT(LEFT(Contrato[[#This Row],[CONTRATO]],3),"0")</f>
        <v>275</v>
      </c>
      <c r="AG282" s="120" t="str">
        <f>IF(LEN(Contrato[[#This Row],[Contrato2]])=3,Contrato[[#This Row],[Contrato2]],TEXT(Contrato[[#This Row],[Contrato2]],"000"))</f>
        <v>275</v>
      </c>
      <c r="AH282" s="90">
        <f ca="1">IFERROR(_xlfn.DAYS(Contrato[[#This Row],[Fecha Proyectada liquidación]],TODAY())/30,"")</f>
        <v>9.9666666666666668</v>
      </c>
      <c r="AI282" s="121">
        <f>+Contrato[[#This Row],[FECHA TERMINACIÓN ]]+120</f>
        <v>46082</v>
      </c>
      <c r="AK282" s="91" t="str">
        <f ca="1">IF(Contrato[[#This Row],[FECHA TERMINACIÓN ]]&lt;TODAY(), "Terminado",IF(ISNUMBER(Contrato[[#This Row],[Fecha Real de liquiidación ]]),"Liquidado",IF(Contrato[[#This Row],[FECHA TERMINACIÓN ]]&gt;=TODAY(),"En ejecución","")))</f>
        <v>En ejecución</v>
      </c>
      <c r="AL282" s="107">
        <f ca="1">SUMIF(COMPROMISOS_2025[[#All],[consecutivo]],Contrato[[#This Row],[RCP]],COMPROMISOS_2025[[#All],[Total pagado]])</f>
        <v>0</v>
      </c>
      <c r="AM282" s="122">
        <f ca="1">IFERROR(Contrato[[#This Row],[Pagos]]/Contrato[[#This Row],[VALOR CONTRATO]],0)</f>
        <v>0</v>
      </c>
      <c r="AN282" s="160">
        <f ca="1">+Contrato[[#This Row],[VALOR CONTRATO]]-Contrato[[#This Row],[Pagos]]</f>
        <v>60174400</v>
      </c>
      <c r="AO282" s="111" t="e" cm="1">
        <f t="array" aca="1" ref="AO282" ca="1">_xlfn.XLOOKUP(Contrato[[#This Row],[DOCUMENTO ]],PERSONAL_ACTIVO_2025[[#All],[DOCUMENTO]],PERSONAL_ACTIVO_2025[[#All],[email]],0,0)</f>
        <v>#NAME?</v>
      </c>
      <c r="AP282" s="111" t="e" cm="1">
        <f t="array" aca="1" ref="AP282" ca="1">_xlfn.XLOOKUP(Contrato[[#This Row],[DOCUMENTO]],PERSONAL_ACTIVO_2025[[#All],[DOCUMENTO]],PERSONAL_ACTIVO_2025[[#All],[email]],0,0)</f>
        <v>#NAME?</v>
      </c>
      <c r="AQ282" s="111" cm="1">
        <f t="array" aca="1" ref="AQ282" ca="1">IF(ISBLANK(Contrato[[#This Row],[DEPENDENCIA ]]),0,IFERROR(_xlfn.XLOOKUP(Contrato[[#This Row],[DEPENDENCIA ]],#REF!,#REF!,0,0),0))</f>
        <v>0</v>
      </c>
      <c r="AR282" s="555">
        <f ca="1">+_xlfn.DAYS(Contrato[[#This Row],[FECHA TERMINACIÓN ]],TODAY())</f>
        <v>179</v>
      </c>
    </row>
    <row r="283" spans="1:44" ht="39.75" customHeight="1" x14ac:dyDescent="0.25">
      <c r="A283" s="38">
        <v>243</v>
      </c>
      <c r="B283" s="226">
        <v>276</v>
      </c>
      <c r="C283" s="88" t="s">
        <v>439</v>
      </c>
      <c r="D283" s="192" t="s">
        <v>1066</v>
      </c>
      <c r="E283" s="193" t="s">
        <v>112</v>
      </c>
      <c r="F283" s="194" t="s">
        <v>113</v>
      </c>
      <c r="G283" s="195" t="s">
        <v>1418</v>
      </c>
      <c r="H283" s="167">
        <v>1036949550</v>
      </c>
      <c r="I283" s="292">
        <v>7521800</v>
      </c>
      <c r="J283" s="292">
        <v>60174400</v>
      </c>
      <c r="K283" s="158" t="s">
        <v>41</v>
      </c>
      <c r="L283" s="196" t="s">
        <v>1401</v>
      </c>
      <c r="M283" s="114" t="s">
        <v>1326</v>
      </c>
      <c r="N283" s="113" t="e" cm="1">
        <f t="array" aca="1" ref="N283" ca="1">_xlfn.XLOOKUP(Contrato[[#This Row],[SUPERVISOR TITULAR]],PERSONAL_ACTIVO_2025[[#All],[NOMBRES Y APELLIDOS]],PERSONAL_ACTIVO_2025[[#All],[DOCUMENTO]],"",0)</f>
        <v>#NAME?</v>
      </c>
      <c r="O283" s="114" t="s">
        <v>1419</v>
      </c>
      <c r="P283" s="115" t="e" cm="1">
        <f t="array" aca="1" ref="P283" ca="1">_xlfn.XLOOKUP(Contrato[[#This Row],[SUPERVISOR SUPLENTE ]],PERSONAL_ACTIVO_2025[[#All],[NOMBRES Y APELLIDOS]],PERSONAL_ACTIVO_2025[[#All],[DOCUMENTO]],"",0)</f>
        <v>#NAME?</v>
      </c>
      <c r="Q283" s="116">
        <v>377</v>
      </c>
      <c r="R283" s="137" t="e" cm="1">
        <f t="array" aca="1" ref="R283" ca="1">_xlfn.XLOOKUP(Contrato[[#This Row],[CDP]],DISPONIBILIDADES_2025[[#All],[consecutivo]],DISPONIBILIDADES_2025[[#All],[fecha_aprobacion]],"",0)</f>
        <v>#NAME?</v>
      </c>
      <c r="S283" s="92">
        <f>SUMIF(DISPONIBILIDADES_2025[[#All],[consecutivo]],Contrato[[#This Row],[CDP]],DISPONIBILIDADES_2025[[#All],[valor_total_rubro]])</f>
        <v>60174400</v>
      </c>
      <c r="T283" s="118" t="e" cm="1">
        <f t="array" aca="1" ref="T283" ca="1">_xlfn.XLOOKUP(Contrato[[#This Row],[CONTRATO]]&amp;Contrato[[#This Row],[CDP]],Corr_Contr_CDP[[#All],[CONTRATO-CDP]],Corr_Contr_CDP[[#All],[CRP]],_xlfn.XLOOKUP(Contrato[[#This Row],[CDP]],COMPROMISOS_2025[[#All],[disponibilidad]],COMPROMISOS_2025[[#All],[consecutivo]],"",0),0)</f>
        <v>#NAME?</v>
      </c>
      <c r="U283" s="117" t="e" cm="1">
        <f t="array" aca="1" ref="U283" ca="1">+_xlfn.XLOOKUP(Contrato[[#This Row],[RCP]],COMPROMISOS_2025[[#All],[consecutivo]],COMPROMISOS_2025[[#All],[fecha_aprobacion]],"",0)</f>
        <v>#NAME?</v>
      </c>
      <c r="V283" s="93">
        <f ca="1">SUMIF(COMPROMISOS_2025[[#All],[consecutivo]],Contrato[[#This Row],[RCP]],COMPROMISOS_2025[[#All],[valor_total]])</f>
        <v>0</v>
      </c>
      <c r="W283" s="169">
        <v>45723</v>
      </c>
      <c r="X283" s="243" t="s">
        <v>901</v>
      </c>
      <c r="Y283" s="96">
        <v>45723</v>
      </c>
      <c r="Z283" s="161">
        <v>45967</v>
      </c>
      <c r="AA283" s="198" t="s">
        <v>1420</v>
      </c>
      <c r="AB283" s="119" t="s">
        <v>936</v>
      </c>
      <c r="AC283" s="112"/>
      <c r="AD283" s="279">
        <v>202000006459</v>
      </c>
      <c r="AE283" s="38" t="s">
        <v>904</v>
      </c>
      <c r="AF283" s="120" t="str">
        <f>TEXT(LEFT(Contrato[[#This Row],[CONTRATO]],3),"0")</f>
        <v>276</v>
      </c>
      <c r="AG283" s="120" t="str">
        <f>IF(LEN(Contrato[[#This Row],[Contrato2]])=3,Contrato[[#This Row],[Contrato2]],TEXT(Contrato[[#This Row],[Contrato2]],"000"))</f>
        <v>276</v>
      </c>
      <c r="AH283" s="90">
        <f ca="1">IFERROR(_xlfn.DAYS(Contrato[[#This Row],[Fecha Proyectada liquidación]],TODAY())/30,"")</f>
        <v>10.133333333333333</v>
      </c>
      <c r="AI283" s="121">
        <f>+Contrato[[#This Row],[FECHA TERMINACIÓN ]]+120</f>
        <v>46087</v>
      </c>
      <c r="AK283" s="91" t="str">
        <f ca="1">IF(Contrato[[#This Row],[FECHA TERMINACIÓN ]]&lt;TODAY(), "Terminado",IF(ISNUMBER(Contrato[[#This Row],[Fecha Real de liquiidación ]]),"Liquidado",IF(Contrato[[#This Row],[FECHA TERMINACIÓN ]]&gt;=TODAY(),"En ejecución","")))</f>
        <v>En ejecución</v>
      </c>
      <c r="AL283" s="107">
        <f ca="1">SUMIF(COMPROMISOS_2025[[#All],[consecutivo]],Contrato[[#This Row],[RCP]],COMPROMISOS_2025[[#All],[Total pagado]])</f>
        <v>0</v>
      </c>
      <c r="AM283" s="122">
        <f ca="1">IFERROR(Contrato[[#This Row],[Pagos]]/Contrato[[#This Row],[VALOR CONTRATO]],0)</f>
        <v>0</v>
      </c>
      <c r="AN283" s="160">
        <f ca="1">+Contrato[[#This Row],[VALOR CONTRATO]]-Contrato[[#This Row],[Pagos]]</f>
        <v>60174400</v>
      </c>
      <c r="AO283" s="111" t="e" cm="1">
        <f t="array" aca="1" ref="AO283" ca="1">_xlfn.XLOOKUP(Contrato[[#This Row],[DOCUMENTO ]],PERSONAL_ACTIVO_2025[[#All],[DOCUMENTO]],PERSONAL_ACTIVO_2025[[#All],[email]],0,0)</f>
        <v>#NAME?</v>
      </c>
      <c r="AP283" s="111" t="e" cm="1">
        <f t="array" aca="1" ref="AP283" ca="1">_xlfn.XLOOKUP(Contrato[[#This Row],[DOCUMENTO]],PERSONAL_ACTIVO_2025[[#All],[DOCUMENTO]],PERSONAL_ACTIVO_2025[[#All],[email]],0,0)</f>
        <v>#NAME?</v>
      </c>
      <c r="AQ283" s="111" cm="1">
        <f t="array" aca="1" ref="AQ283" ca="1">IF(ISBLANK(Contrato[[#This Row],[DEPENDENCIA ]]),0,IFERROR(_xlfn.XLOOKUP(Contrato[[#This Row],[DEPENDENCIA ]],#REF!,#REF!,0,0),0))</f>
        <v>0</v>
      </c>
      <c r="AR283" s="555">
        <f ca="1">+_xlfn.DAYS(Contrato[[#This Row],[FECHA TERMINACIÓN ]],TODAY())</f>
        <v>184</v>
      </c>
    </row>
    <row r="284" spans="1:44" ht="39.75" customHeight="1" x14ac:dyDescent="0.25">
      <c r="A284" s="38">
        <v>246</v>
      </c>
      <c r="B284" s="226">
        <v>277</v>
      </c>
      <c r="C284" s="88" t="s">
        <v>442</v>
      </c>
      <c r="D284" s="192" t="s">
        <v>1066</v>
      </c>
      <c r="E284" s="193" t="s">
        <v>112</v>
      </c>
      <c r="F284" s="194" t="s">
        <v>113</v>
      </c>
      <c r="G284" s="195" t="s">
        <v>1421</v>
      </c>
      <c r="H284" s="167">
        <v>1010054558</v>
      </c>
      <c r="I284" s="292">
        <v>7521800</v>
      </c>
      <c r="J284" s="292">
        <v>60174400</v>
      </c>
      <c r="K284" s="158" t="s">
        <v>41</v>
      </c>
      <c r="L284" s="196" t="s">
        <v>1401</v>
      </c>
      <c r="M284" s="114" t="s">
        <v>1326</v>
      </c>
      <c r="N284" s="113" t="e" cm="1">
        <f t="array" aca="1" ref="N284" ca="1">_xlfn.XLOOKUP(Contrato[[#This Row],[SUPERVISOR TITULAR]],PERSONAL_ACTIVO_2025[[#All],[NOMBRES Y APELLIDOS]],PERSONAL_ACTIVO_2025[[#All],[DOCUMENTO]],"",0)</f>
        <v>#NAME?</v>
      </c>
      <c r="O284" s="114" t="s">
        <v>1419</v>
      </c>
      <c r="P284" s="115" t="e" cm="1">
        <f t="array" aca="1" ref="P284" ca="1">_xlfn.XLOOKUP(Contrato[[#This Row],[SUPERVISOR SUPLENTE ]],PERSONAL_ACTIVO_2025[[#All],[NOMBRES Y APELLIDOS]],PERSONAL_ACTIVO_2025[[#All],[DOCUMENTO]],"",0)</f>
        <v>#NAME?</v>
      </c>
      <c r="Q284" s="116">
        <v>373</v>
      </c>
      <c r="R284" s="137" t="e" cm="1">
        <f t="array" aca="1" ref="R284" ca="1">_xlfn.XLOOKUP(Contrato[[#This Row],[CDP]],DISPONIBILIDADES_2025[[#All],[consecutivo]],DISPONIBILIDADES_2025[[#All],[fecha_aprobacion]],"",0)</f>
        <v>#NAME?</v>
      </c>
      <c r="S284" s="92">
        <f>SUMIF(DISPONIBILIDADES_2025[[#All],[consecutivo]],Contrato[[#This Row],[CDP]],DISPONIBILIDADES_2025[[#All],[valor_total_rubro]])</f>
        <v>60174400</v>
      </c>
      <c r="T284" s="118" t="e" cm="1">
        <f t="array" aca="1" ref="T284" ca="1">_xlfn.XLOOKUP(Contrato[[#This Row],[CONTRATO]]&amp;Contrato[[#This Row],[CDP]],Corr_Contr_CDP[[#All],[CONTRATO-CDP]],Corr_Contr_CDP[[#All],[CRP]],_xlfn.XLOOKUP(Contrato[[#This Row],[CDP]],COMPROMISOS_2025[[#All],[disponibilidad]],COMPROMISOS_2025[[#All],[consecutivo]],"",0),0)</f>
        <v>#NAME?</v>
      </c>
      <c r="U284" s="117" t="e" cm="1">
        <f t="array" aca="1" ref="U284" ca="1">+_xlfn.XLOOKUP(Contrato[[#This Row],[RCP]],COMPROMISOS_2025[[#All],[consecutivo]],COMPROMISOS_2025[[#All],[fecha_aprobacion]],"",0)</f>
        <v>#NAME?</v>
      </c>
      <c r="V284" s="93">
        <f ca="1">SUMIF(COMPROMISOS_2025[[#All],[consecutivo]],Contrato[[#This Row],[RCP]],COMPROMISOS_2025[[#All],[valor_total]])</f>
        <v>0</v>
      </c>
      <c r="W284" s="169">
        <v>45723</v>
      </c>
      <c r="X284" s="243" t="s">
        <v>901</v>
      </c>
      <c r="Y284" s="96">
        <v>45726</v>
      </c>
      <c r="Z284" s="161">
        <v>45970</v>
      </c>
      <c r="AA284" s="198" t="s">
        <v>1422</v>
      </c>
      <c r="AB284" s="119" t="s">
        <v>1423</v>
      </c>
      <c r="AC284" s="112"/>
      <c r="AD284" s="279">
        <v>202000006460</v>
      </c>
      <c r="AE284" s="38" t="s">
        <v>904</v>
      </c>
      <c r="AF284" s="120" t="str">
        <f>TEXT(LEFT(Contrato[[#This Row],[CONTRATO]],3),"0")</f>
        <v>277</v>
      </c>
      <c r="AG284" s="120" t="str">
        <f>IF(LEN(Contrato[[#This Row],[Contrato2]])=3,Contrato[[#This Row],[Contrato2]],TEXT(Contrato[[#This Row],[Contrato2]],"000"))</f>
        <v>277</v>
      </c>
      <c r="AH284" s="90">
        <f ca="1">IFERROR(_xlfn.DAYS(Contrato[[#This Row],[Fecha Proyectada liquidación]],TODAY())/30,"")</f>
        <v>10.233333333333333</v>
      </c>
      <c r="AI284" s="121">
        <f>+Contrato[[#This Row],[FECHA TERMINACIÓN ]]+120</f>
        <v>46090</v>
      </c>
      <c r="AK284" s="91" t="str">
        <f ca="1">IF(Contrato[[#This Row],[FECHA TERMINACIÓN ]]&lt;TODAY(), "Terminado",IF(ISNUMBER(Contrato[[#This Row],[Fecha Real de liquiidación ]]),"Liquidado",IF(Contrato[[#This Row],[FECHA TERMINACIÓN ]]&gt;=TODAY(),"En ejecución","")))</f>
        <v>En ejecución</v>
      </c>
      <c r="AL284" s="107">
        <f ca="1">SUMIF(COMPROMISOS_2025[[#All],[consecutivo]],Contrato[[#This Row],[RCP]],COMPROMISOS_2025[[#All],[Total pagado]])</f>
        <v>0</v>
      </c>
      <c r="AM284" s="122">
        <f ca="1">IFERROR(Contrato[[#This Row],[Pagos]]/Contrato[[#This Row],[VALOR CONTRATO]],0)</f>
        <v>0</v>
      </c>
      <c r="AN284" s="160">
        <f ca="1">+Contrato[[#This Row],[VALOR CONTRATO]]-Contrato[[#This Row],[Pagos]]</f>
        <v>60174400</v>
      </c>
      <c r="AO284" s="111" t="e" cm="1">
        <f t="array" aca="1" ref="AO284" ca="1">_xlfn.XLOOKUP(Contrato[[#This Row],[DOCUMENTO ]],PERSONAL_ACTIVO_2025[[#All],[DOCUMENTO]],PERSONAL_ACTIVO_2025[[#All],[email]],0,0)</f>
        <v>#NAME?</v>
      </c>
      <c r="AP284" s="111" t="e" cm="1">
        <f t="array" aca="1" ref="AP284" ca="1">_xlfn.XLOOKUP(Contrato[[#This Row],[DOCUMENTO]],PERSONAL_ACTIVO_2025[[#All],[DOCUMENTO]],PERSONAL_ACTIVO_2025[[#All],[email]],0,0)</f>
        <v>#NAME?</v>
      </c>
      <c r="AQ284" s="111" cm="1">
        <f t="array" aca="1" ref="AQ284" ca="1">IF(ISBLANK(Contrato[[#This Row],[DEPENDENCIA ]]),0,IFERROR(_xlfn.XLOOKUP(Contrato[[#This Row],[DEPENDENCIA ]],#REF!,#REF!,0,0),0))</f>
        <v>0</v>
      </c>
      <c r="AR284" s="555">
        <f ca="1">+_xlfn.DAYS(Contrato[[#This Row],[FECHA TERMINACIÓN ]],TODAY())</f>
        <v>187</v>
      </c>
    </row>
    <row r="285" spans="1:44" ht="39.75" customHeight="1" x14ac:dyDescent="0.25">
      <c r="A285" s="38">
        <v>258</v>
      </c>
      <c r="B285" s="226">
        <v>278</v>
      </c>
      <c r="C285" s="88" t="s">
        <v>456</v>
      </c>
      <c r="D285" s="192" t="s">
        <v>911</v>
      </c>
      <c r="E285" s="193" t="s">
        <v>112</v>
      </c>
      <c r="F285" s="194" t="s">
        <v>113</v>
      </c>
      <c r="G285" s="195" t="s">
        <v>1424</v>
      </c>
      <c r="H285" s="346">
        <v>1056302283</v>
      </c>
      <c r="I285" s="290">
        <v>4157906</v>
      </c>
      <c r="J285" s="290">
        <v>38529929</v>
      </c>
      <c r="K285" s="158" t="s">
        <v>41</v>
      </c>
      <c r="L285" s="196" t="s">
        <v>1401</v>
      </c>
      <c r="M285" s="114" t="s">
        <v>1091</v>
      </c>
      <c r="N285" s="113" t="e" cm="1">
        <f t="array" aca="1" ref="N285" ca="1">_xlfn.XLOOKUP(Contrato[[#This Row],[SUPERVISOR TITULAR]],PERSONAL_ACTIVO_2025[[#All],[NOMBRES Y APELLIDOS]],PERSONAL_ACTIVO_2025[[#All],[DOCUMENTO]],"",0)</f>
        <v>#NAME?</v>
      </c>
      <c r="O285" s="114" t="s">
        <v>938</v>
      </c>
      <c r="P285" s="115" t="e" cm="1">
        <f t="array" aca="1" ref="P285" ca="1">_xlfn.XLOOKUP(Contrato[[#This Row],[SUPERVISOR SUPLENTE ]],PERSONAL_ACTIVO_2025[[#All],[NOMBRES Y APELLIDOS]],PERSONAL_ACTIVO_2025[[#All],[DOCUMENTO]],"",0)</f>
        <v>#NAME?</v>
      </c>
      <c r="Q285" s="116">
        <v>92</v>
      </c>
      <c r="R285" s="137" t="e" cm="1">
        <f t="array" aca="1" ref="R285" ca="1">_xlfn.XLOOKUP(Contrato[[#This Row],[CDP]],DISPONIBILIDADES_2025[[#All],[consecutivo]],DISPONIBILIDADES_2025[[#All],[fecha_aprobacion]],"",0)</f>
        <v>#NAME?</v>
      </c>
      <c r="S285" s="92">
        <f>SUMIF(DISPONIBILIDADES_2025[[#All],[consecutivo]],Contrato[[#This Row],[CDP]],DISPONIBILIDADES_2025[[#All],[valor_total_rubro]])</f>
        <v>40747479</v>
      </c>
      <c r="T285" s="118" t="e" cm="1">
        <f t="array" aca="1" ref="T285" ca="1">_xlfn.XLOOKUP(Contrato[[#This Row],[CONTRATO]]&amp;Contrato[[#This Row],[CDP]],Corr_Contr_CDP[[#All],[CONTRATO-CDP]],Corr_Contr_CDP[[#All],[CRP]],_xlfn.XLOOKUP(Contrato[[#This Row],[CDP]],COMPROMISOS_2025[[#All],[disponibilidad]],COMPROMISOS_2025[[#All],[consecutivo]],"",0),0)</f>
        <v>#NAME?</v>
      </c>
      <c r="U285" s="117" t="e" cm="1">
        <f t="array" aca="1" ref="U285" ca="1">+_xlfn.XLOOKUP(Contrato[[#This Row],[RCP]],COMPROMISOS_2025[[#All],[consecutivo]],COMPROMISOS_2025[[#All],[fecha_aprobacion]],"",0)</f>
        <v>#NAME?</v>
      </c>
      <c r="V285" s="93">
        <f ca="1">SUMIF(COMPROMISOS_2025[[#All],[consecutivo]],Contrato[[#This Row],[RCP]],COMPROMISOS_2025[[#All],[valor_total]])</f>
        <v>0</v>
      </c>
      <c r="W285" s="243">
        <v>45723</v>
      </c>
      <c r="X285" s="243" t="s">
        <v>901</v>
      </c>
      <c r="Y285" s="96">
        <v>45726</v>
      </c>
      <c r="Z285" s="161">
        <v>46008</v>
      </c>
      <c r="AA285" s="338" t="s">
        <v>1425</v>
      </c>
      <c r="AB285" s="119" t="s">
        <v>1426</v>
      </c>
      <c r="AC285" s="112"/>
      <c r="AD285" s="279">
        <v>202000006461</v>
      </c>
      <c r="AE285" s="38"/>
      <c r="AF285" s="120" t="str">
        <f>TEXT(LEFT(Contrato[[#This Row],[CONTRATO]],3),"0")</f>
        <v>278</v>
      </c>
      <c r="AG285" s="120" t="str">
        <f>IF(LEN(Contrato[[#This Row],[Contrato2]])=3,Contrato[[#This Row],[Contrato2]],TEXT(Contrato[[#This Row],[Contrato2]],"000"))</f>
        <v>278</v>
      </c>
      <c r="AH285" s="90">
        <f ca="1">IFERROR(_xlfn.DAYS(Contrato[[#This Row],[Fecha Proyectada liquidación]],TODAY())/30,"")</f>
        <v>11.5</v>
      </c>
      <c r="AI285" s="121">
        <f>+Contrato[[#This Row],[FECHA TERMINACIÓN ]]+120</f>
        <v>46128</v>
      </c>
      <c r="AK285" s="91" t="str">
        <f ca="1">IF(Contrato[[#This Row],[FECHA TERMINACIÓN ]]&lt;TODAY(), "Terminado",IF(ISNUMBER(Contrato[[#This Row],[Fecha Real de liquiidación ]]),"Liquidado",IF(Contrato[[#This Row],[FECHA TERMINACIÓN ]]&gt;=TODAY(),"En ejecución","")))</f>
        <v>En ejecución</v>
      </c>
      <c r="AL285" s="107">
        <f ca="1">SUMIF(COMPROMISOS_2025[[#All],[consecutivo]],Contrato[[#This Row],[RCP]],COMPROMISOS_2025[[#All],[Total pagado]])</f>
        <v>0</v>
      </c>
      <c r="AM285" s="122">
        <f ca="1">IFERROR(Contrato[[#This Row],[Pagos]]/Contrato[[#This Row],[VALOR CONTRATO]],0)</f>
        <v>0</v>
      </c>
      <c r="AN285" s="160">
        <f ca="1">+Contrato[[#This Row],[VALOR CONTRATO]]-Contrato[[#This Row],[Pagos]]</f>
        <v>38529929</v>
      </c>
      <c r="AO285" s="111" t="e" cm="1">
        <f t="array" aca="1" ref="AO285" ca="1">_xlfn.XLOOKUP(Contrato[[#This Row],[DOCUMENTO ]],PERSONAL_ACTIVO_2025[[#All],[DOCUMENTO]],PERSONAL_ACTIVO_2025[[#All],[email]],0,0)</f>
        <v>#NAME?</v>
      </c>
      <c r="AP285" s="111" t="e" cm="1">
        <f t="array" aca="1" ref="AP285" ca="1">_xlfn.XLOOKUP(Contrato[[#This Row],[DOCUMENTO]],PERSONAL_ACTIVO_2025[[#All],[DOCUMENTO]],PERSONAL_ACTIVO_2025[[#All],[email]],0,0)</f>
        <v>#NAME?</v>
      </c>
      <c r="AQ285" s="111" cm="1">
        <f t="array" aca="1" ref="AQ285" ca="1">IF(ISBLANK(Contrato[[#This Row],[DEPENDENCIA ]]),0,IFERROR(_xlfn.XLOOKUP(Contrato[[#This Row],[DEPENDENCIA ]],#REF!,#REF!,0,0),0))</f>
        <v>0</v>
      </c>
      <c r="AR285" s="555">
        <f ca="1">+_xlfn.DAYS(Contrato[[#This Row],[FECHA TERMINACIÓN ]],TODAY())</f>
        <v>225</v>
      </c>
    </row>
    <row r="286" spans="1:44" ht="39.75" customHeight="1" x14ac:dyDescent="0.25">
      <c r="A286" s="38">
        <v>260</v>
      </c>
      <c r="B286" s="226">
        <v>279</v>
      </c>
      <c r="C286" s="88" t="s">
        <v>458</v>
      </c>
      <c r="D286" s="192" t="s">
        <v>911</v>
      </c>
      <c r="E286" s="193" t="s">
        <v>112</v>
      </c>
      <c r="F286" s="194" t="s">
        <v>113</v>
      </c>
      <c r="G286" s="195" t="s">
        <v>1427</v>
      </c>
      <c r="H286" s="346">
        <v>71261792</v>
      </c>
      <c r="I286" s="290">
        <v>6239569</v>
      </c>
      <c r="J286" s="290">
        <v>40557199</v>
      </c>
      <c r="K286" s="158" t="s">
        <v>41</v>
      </c>
      <c r="L286" s="196" t="s">
        <v>1401</v>
      </c>
      <c r="M286" s="114" t="s">
        <v>1091</v>
      </c>
      <c r="N286" s="113" t="e" cm="1">
        <f t="array" aca="1" ref="N286" ca="1">_xlfn.XLOOKUP(Contrato[[#This Row],[SUPERVISOR TITULAR]],PERSONAL_ACTIVO_2025[[#All],[NOMBRES Y APELLIDOS]],PERSONAL_ACTIVO_2025[[#All],[DOCUMENTO]],"",0)</f>
        <v>#NAME?</v>
      </c>
      <c r="O286" s="114" t="s">
        <v>938</v>
      </c>
      <c r="P286" s="115" t="e" cm="1">
        <f t="array" aca="1" ref="P286" ca="1">_xlfn.XLOOKUP(Contrato[[#This Row],[SUPERVISOR SUPLENTE ]],PERSONAL_ACTIVO_2025[[#All],[NOMBRES Y APELLIDOS]],PERSONAL_ACTIVO_2025[[#All],[DOCUMENTO]],"",0)</f>
        <v>#NAME?</v>
      </c>
      <c r="Q286" s="116">
        <v>94</v>
      </c>
      <c r="R286" s="137" t="e" cm="1">
        <f t="array" aca="1" ref="R286" ca="1">_xlfn.XLOOKUP(Contrato[[#This Row],[CDP]],DISPONIBILIDADES_2025[[#All],[consecutivo]],DISPONIBILIDADES_2025[[#All],[fecha_aprobacion]],"",0)</f>
        <v>#NAME?</v>
      </c>
      <c r="S286" s="92">
        <f>SUMIF(DISPONIBILIDADES_2025[[#All],[consecutivo]],Contrato[[#This Row],[CDP]],DISPONIBILIDADES_2025[[#All],[valor_total_rubro]])</f>
        <v>40747479</v>
      </c>
      <c r="T286" s="118" t="e" cm="1">
        <f t="array" aca="1" ref="T286" ca="1">_xlfn.XLOOKUP(Contrato[[#This Row],[CONTRATO]]&amp;Contrato[[#This Row],[CDP]],Corr_Contr_CDP[[#All],[CONTRATO-CDP]],Corr_Contr_CDP[[#All],[CRP]],_xlfn.XLOOKUP(Contrato[[#This Row],[CDP]],COMPROMISOS_2025[[#All],[disponibilidad]],COMPROMISOS_2025[[#All],[consecutivo]],"",0),0)</f>
        <v>#NAME?</v>
      </c>
      <c r="U286" s="117" t="e" cm="1">
        <f t="array" aca="1" ref="U286" ca="1">+_xlfn.XLOOKUP(Contrato[[#This Row],[RCP]],COMPROMISOS_2025[[#All],[consecutivo]],COMPROMISOS_2025[[#All],[fecha_aprobacion]],"",0)</f>
        <v>#NAME?</v>
      </c>
      <c r="V286" s="93">
        <f ca="1">SUMIF(COMPROMISOS_2025[[#All],[consecutivo]],Contrato[[#This Row],[RCP]],COMPROMISOS_2025[[#All],[valor_total]])</f>
        <v>0</v>
      </c>
      <c r="W286" s="243">
        <v>45723</v>
      </c>
      <c r="X286" s="243" t="s">
        <v>901</v>
      </c>
      <c r="Y286" s="96">
        <v>45727</v>
      </c>
      <c r="Z286" s="161">
        <v>45924</v>
      </c>
      <c r="AA286" s="338" t="s">
        <v>1425</v>
      </c>
      <c r="AB286" s="119" t="s">
        <v>1428</v>
      </c>
      <c r="AC286" s="112"/>
      <c r="AD286" s="279">
        <v>202000006462</v>
      </c>
      <c r="AE286" s="38"/>
      <c r="AF286" s="120" t="str">
        <f>TEXT(LEFT(Contrato[[#This Row],[CONTRATO]],3),"0")</f>
        <v>279</v>
      </c>
      <c r="AG286" s="120" t="str">
        <f>IF(LEN(Contrato[[#This Row],[Contrato2]])=3,Contrato[[#This Row],[Contrato2]],TEXT(Contrato[[#This Row],[Contrato2]],"000"))</f>
        <v>279</v>
      </c>
      <c r="AH286" s="90">
        <f ca="1">IFERROR(_xlfn.DAYS(Contrato[[#This Row],[Fecha Proyectada liquidación]],TODAY())/30,"")</f>
        <v>8.6999999999999993</v>
      </c>
      <c r="AI286" s="121">
        <f>+Contrato[[#This Row],[FECHA TERMINACIÓN ]]+120</f>
        <v>46044</v>
      </c>
      <c r="AK286" s="91" t="str">
        <f ca="1">IF(Contrato[[#This Row],[FECHA TERMINACIÓN ]]&lt;TODAY(), "Terminado",IF(ISNUMBER(Contrato[[#This Row],[Fecha Real de liquiidación ]]),"Liquidado",IF(Contrato[[#This Row],[FECHA TERMINACIÓN ]]&gt;=TODAY(),"En ejecución","")))</f>
        <v>En ejecución</v>
      </c>
      <c r="AL286" s="107">
        <f ca="1">SUMIF(COMPROMISOS_2025[[#All],[consecutivo]],Contrato[[#This Row],[RCP]],COMPROMISOS_2025[[#All],[Total pagado]])</f>
        <v>0</v>
      </c>
      <c r="AM286" s="122">
        <f ca="1">IFERROR(Contrato[[#This Row],[Pagos]]/Contrato[[#This Row],[VALOR CONTRATO]],0)</f>
        <v>0</v>
      </c>
      <c r="AN286" s="160">
        <f ca="1">+Contrato[[#This Row],[VALOR CONTRATO]]-Contrato[[#This Row],[Pagos]]</f>
        <v>40557199</v>
      </c>
      <c r="AO286" s="111" t="e" cm="1">
        <f t="array" aca="1" ref="AO286" ca="1">_xlfn.XLOOKUP(Contrato[[#This Row],[DOCUMENTO ]],PERSONAL_ACTIVO_2025[[#All],[DOCUMENTO]],PERSONAL_ACTIVO_2025[[#All],[email]],0,0)</f>
        <v>#NAME?</v>
      </c>
      <c r="AP286" s="111" t="e" cm="1">
        <f t="array" aca="1" ref="AP286" ca="1">_xlfn.XLOOKUP(Contrato[[#This Row],[DOCUMENTO]],PERSONAL_ACTIVO_2025[[#All],[DOCUMENTO]],PERSONAL_ACTIVO_2025[[#All],[email]],0,0)</f>
        <v>#NAME?</v>
      </c>
      <c r="AQ286" s="111" cm="1">
        <f t="array" aca="1" ref="AQ286" ca="1">IF(ISBLANK(Contrato[[#This Row],[DEPENDENCIA ]]),0,IFERROR(_xlfn.XLOOKUP(Contrato[[#This Row],[DEPENDENCIA ]],#REF!,#REF!,0,0),0))</f>
        <v>0</v>
      </c>
      <c r="AR286" s="555">
        <f ca="1">+_xlfn.DAYS(Contrato[[#This Row],[FECHA TERMINACIÓN ]],TODAY())</f>
        <v>141</v>
      </c>
    </row>
    <row r="287" spans="1:44" ht="39.75" customHeight="1" x14ac:dyDescent="0.25">
      <c r="A287" s="38">
        <v>261</v>
      </c>
      <c r="B287" s="226">
        <v>280</v>
      </c>
      <c r="C287" s="88" t="s">
        <v>459</v>
      </c>
      <c r="D287" s="192" t="s">
        <v>911</v>
      </c>
      <c r="E287" s="193" t="s">
        <v>112</v>
      </c>
      <c r="F287" s="194" t="s">
        <v>113</v>
      </c>
      <c r="G287" s="195" t="s">
        <v>1429</v>
      </c>
      <c r="H287" s="346">
        <v>71313409</v>
      </c>
      <c r="I287" s="290">
        <v>6239569</v>
      </c>
      <c r="J287" s="290">
        <v>50540509</v>
      </c>
      <c r="K287" s="158" t="s">
        <v>41</v>
      </c>
      <c r="L287" s="196" t="s">
        <v>1401</v>
      </c>
      <c r="M287" s="114" t="s">
        <v>1091</v>
      </c>
      <c r="N287" s="113" t="e" cm="1">
        <f t="array" aca="1" ref="N287" ca="1">_xlfn.XLOOKUP(Contrato[[#This Row],[SUPERVISOR TITULAR]],PERSONAL_ACTIVO_2025[[#All],[NOMBRES Y APELLIDOS]],PERSONAL_ACTIVO_2025[[#All],[DOCUMENTO]],"",0)</f>
        <v>#NAME?</v>
      </c>
      <c r="O287" s="114" t="s">
        <v>938</v>
      </c>
      <c r="P287" s="115" t="e" cm="1">
        <f t="array" aca="1" ref="P287" ca="1">_xlfn.XLOOKUP(Contrato[[#This Row],[SUPERVISOR SUPLENTE ]],PERSONAL_ACTIVO_2025[[#All],[NOMBRES Y APELLIDOS]],PERSONAL_ACTIVO_2025[[#All],[DOCUMENTO]],"",0)</f>
        <v>#NAME?</v>
      </c>
      <c r="Q287" s="116">
        <v>95</v>
      </c>
      <c r="R287" s="137" t="e" cm="1">
        <f t="array" aca="1" ref="R287" ca="1">_xlfn.XLOOKUP(Contrato[[#This Row],[CDP]],DISPONIBILIDADES_2025[[#All],[consecutivo]],DISPONIBILIDADES_2025[[#All],[fecha_aprobacion]],"",0)</f>
        <v>#NAME?</v>
      </c>
      <c r="S287" s="92">
        <f>SUMIF(DISPONIBILIDADES_2025[[#All],[consecutivo]],Contrato[[#This Row],[CDP]],DISPONIBILIDADES_2025[[#All],[valor_total_rubro]])</f>
        <v>50609170</v>
      </c>
      <c r="T287" s="118" t="e" cm="1">
        <f t="array" aca="1" ref="T287" ca="1">_xlfn.XLOOKUP(Contrato[[#This Row],[CONTRATO]]&amp;Contrato[[#This Row],[CDP]],Corr_Contr_CDP[[#All],[CONTRATO-CDP]],Corr_Contr_CDP[[#All],[CRP]],_xlfn.XLOOKUP(Contrato[[#This Row],[CDP]],COMPROMISOS_2025[[#All],[disponibilidad]],COMPROMISOS_2025[[#All],[consecutivo]],"",0),0)</f>
        <v>#NAME?</v>
      </c>
      <c r="U287" s="117" t="e" cm="1">
        <f t="array" aca="1" ref="U287" ca="1">+_xlfn.XLOOKUP(Contrato[[#This Row],[RCP]],COMPROMISOS_2025[[#All],[consecutivo]],COMPROMISOS_2025[[#All],[fecha_aprobacion]],"",0)</f>
        <v>#NAME?</v>
      </c>
      <c r="V287" s="93">
        <f ca="1">SUMIF(COMPROMISOS_2025[[#All],[consecutivo]],Contrato[[#This Row],[RCP]],COMPROMISOS_2025[[#All],[valor_total]])</f>
        <v>0</v>
      </c>
      <c r="W287" s="243">
        <v>45723</v>
      </c>
      <c r="X287" s="243" t="s">
        <v>901</v>
      </c>
      <c r="Y287" s="96">
        <v>45726</v>
      </c>
      <c r="Z287" s="161">
        <v>45973</v>
      </c>
      <c r="AA287" s="338" t="s">
        <v>1425</v>
      </c>
      <c r="AB287" s="119" t="s">
        <v>1430</v>
      </c>
      <c r="AC287" s="112"/>
      <c r="AD287" s="279">
        <v>202000006463</v>
      </c>
      <c r="AE287" s="38"/>
      <c r="AF287" s="120" t="str">
        <f>TEXT(LEFT(Contrato[[#This Row],[CONTRATO]],3),"0")</f>
        <v>280</v>
      </c>
      <c r="AG287" s="120" t="str">
        <f>IF(LEN(Contrato[[#This Row],[Contrato2]])=3,Contrato[[#This Row],[Contrato2]],TEXT(Contrato[[#This Row],[Contrato2]],"000"))</f>
        <v>280</v>
      </c>
      <c r="AH287" s="90">
        <f ca="1">IFERROR(_xlfn.DAYS(Contrato[[#This Row],[Fecha Proyectada liquidación]],TODAY())/30,"")</f>
        <v>10.333333333333334</v>
      </c>
      <c r="AI287" s="121">
        <f>+Contrato[[#This Row],[FECHA TERMINACIÓN ]]+120</f>
        <v>46093</v>
      </c>
      <c r="AK287" s="91" t="str">
        <f ca="1">IF(Contrato[[#This Row],[FECHA TERMINACIÓN ]]&lt;TODAY(), "Terminado",IF(ISNUMBER(Contrato[[#This Row],[Fecha Real de liquiidación ]]),"Liquidado",IF(Contrato[[#This Row],[FECHA TERMINACIÓN ]]&gt;=TODAY(),"En ejecución","")))</f>
        <v>En ejecución</v>
      </c>
      <c r="AL287" s="107">
        <f ca="1">SUMIF(COMPROMISOS_2025[[#All],[consecutivo]],Contrato[[#This Row],[RCP]],COMPROMISOS_2025[[#All],[Total pagado]])</f>
        <v>0</v>
      </c>
      <c r="AM287" s="122">
        <f ca="1">IFERROR(Contrato[[#This Row],[Pagos]]/Contrato[[#This Row],[VALOR CONTRATO]],0)</f>
        <v>0</v>
      </c>
      <c r="AN287" s="160">
        <f ca="1">+Contrato[[#This Row],[VALOR CONTRATO]]-Contrato[[#This Row],[Pagos]]</f>
        <v>50540509</v>
      </c>
      <c r="AO287" s="111" t="e" cm="1">
        <f t="array" aca="1" ref="AO287" ca="1">_xlfn.XLOOKUP(Contrato[[#This Row],[DOCUMENTO ]],PERSONAL_ACTIVO_2025[[#All],[DOCUMENTO]],PERSONAL_ACTIVO_2025[[#All],[email]],0,0)</f>
        <v>#NAME?</v>
      </c>
      <c r="AP287" s="111" t="e" cm="1">
        <f t="array" aca="1" ref="AP287" ca="1">_xlfn.XLOOKUP(Contrato[[#This Row],[DOCUMENTO]],PERSONAL_ACTIVO_2025[[#All],[DOCUMENTO]],PERSONAL_ACTIVO_2025[[#All],[email]],0,0)</f>
        <v>#NAME?</v>
      </c>
      <c r="AQ287" s="111" cm="1">
        <f t="array" aca="1" ref="AQ287" ca="1">IF(ISBLANK(Contrato[[#This Row],[DEPENDENCIA ]]),0,IFERROR(_xlfn.XLOOKUP(Contrato[[#This Row],[DEPENDENCIA ]],#REF!,#REF!,0,0),0))</f>
        <v>0</v>
      </c>
      <c r="AR287" s="555">
        <f ca="1">+_xlfn.DAYS(Contrato[[#This Row],[FECHA TERMINACIÓN ]],TODAY())</f>
        <v>190</v>
      </c>
    </row>
    <row r="288" spans="1:44" ht="39.75" customHeight="1" x14ac:dyDescent="0.25">
      <c r="A288" s="38">
        <v>269</v>
      </c>
      <c r="B288" s="226">
        <v>281</v>
      </c>
      <c r="C288" s="88" t="s">
        <v>467</v>
      </c>
      <c r="D288" s="192" t="s">
        <v>911</v>
      </c>
      <c r="E288" s="193" t="s">
        <v>112</v>
      </c>
      <c r="F288" s="194" t="s">
        <v>113</v>
      </c>
      <c r="G288" s="195" t="s">
        <v>1431</v>
      </c>
      <c r="H288" s="346">
        <v>1020447664</v>
      </c>
      <c r="I288" s="290">
        <v>5164201</v>
      </c>
      <c r="J288" s="290">
        <v>47854929</v>
      </c>
      <c r="K288" s="158" t="s">
        <v>41</v>
      </c>
      <c r="L288" s="196" t="s">
        <v>1401</v>
      </c>
      <c r="M288" s="114" t="s">
        <v>1091</v>
      </c>
      <c r="N288" s="113" t="e" cm="1">
        <f t="array" aca="1" ref="N288" ca="1">_xlfn.XLOOKUP(Contrato[[#This Row],[SUPERVISOR TITULAR]],PERSONAL_ACTIVO_2025[[#All],[NOMBRES Y APELLIDOS]],PERSONAL_ACTIVO_2025[[#All],[DOCUMENTO]],"",0)</f>
        <v>#NAME?</v>
      </c>
      <c r="O288" s="114" t="s">
        <v>938</v>
      </c>
      <c r="P288" s="115" t="e" cm="1">
        <f t="array" aca="1" ref="P288" ca="1">_xlfn.XLOOKUP(Contrato[[#This Row],[SUPERVISOR SUPLENTE ]],PERSONAL_ACTIVO_2025[[#All],[NOMBRES Y APELLIDOS]],PERSONAL_ACTIVO_2025[[#All],[DOCUMENTO]],"",0)</f>
        <v>#NAME?</v>
      </c>
      <c r="Q288" s="116">
        <v>103</v>
      </c>
      <c r="R288" s="137" t="e" cm="1">
        <f t="array" aca="1" ref="R288" ca="1">_xlfn.XLOOKUP(Contrato[[#This Row],[CDP]],DISPONIBILIDADES_2025[[#All],[consecutivo]],DISPONIBILIDADES_2025[[#All],[fecha_aprobacion]],"",0)</f>
        <v>#NAME?</v>
      </c>
      <c r="S288" s="92">
        <f>SUMIF(DISPONIBILIDADES_2025[[#All],[consecutivo]],Contrato[[#This Row],[CDP]],DISPONIBILIDADES_2025[[#All],[valor_total_rubro]])</f>
        <v>50609170</v>
      </c>
      <c r="T288" s="118" t="e" cm="1">
        <f t="array" aca="1" ref="T288" ca="1">_xlfn.XLOOKUP(Contrato[[#This Row],[CONTRATO]]&amp;Contrato[[#This Row],[CDP]],Corr_Contr_CDP[[#All],[CONTRATO-CDP]],Corr_Contr_CDP[[#All],[CRP]],_xlfn.XLOOKUP(Contrato[[#This Row],[CDP]],COMPROMISOS_2025[[#All],[disponibilidad]],COMPROMISOS_2025[[#All],[consecutivo]],"",0),0)</f>
        <v>#NAME?</v>
      </c>
      <c r="U288" s="117" t="e" cm="1">
        <f t="array" aca="1" ref="U288" ca="1">+_xlfn.XLOOKUP(Contrato[[#This Row],[RCP]],COMPROMISOS_2025[[#All],[consecutivo]],COMPROMISOS_2025[[#All],[fecha_aprobacion]],"",0)</f>
        <v>#NAME?</v>
      </c>
      <c r="V288" s="93">
        <f ca="1">SUMIF(COMPROMISOS_2025[[#All],[consecutivo]],Contrato[[#This Row],[RCP]],COMPROMISOS_2025[[#All],[valor_total]])</f>
        <v>0</v>
      </c>
      <c r="W288" s="243">
        <v>45723</v>
      </c>
      <c r="X288" s="243" t="s">
        <v>901</v>
      </c>
      <c r="Y288" s="96">
        <v>45727</v>
      </c>
      <c r="Z288" s="161">
        <v>46008</v>
      </c>
      <c r="AA288" s="338" t="s">
        <v>1425</v>
      </c>
      <c r="AB288" s="119" t="s">
        <v>1432</v>
      </c>
      <c r="AC288" s="112"/>
      <c r="AD288" s="279">
        <v>202000006464</v>
      </c>
      <c r="AE288" s="38"/>
      <c r="AF288" s="120" t="str">
        <f>TEXT(LEFT(Contrato[[#This Row],[CONTRATO]],3),"0")</f>
        <v>281</v>
      </c>
      <c r="AG288" s="120" t="str">
        <f>IF(LEN(Contrato[[#This Row],[Contrato2]])=3,Contrato[[#This Row],[Contrato2]],TEXT(Contrato[[#This Row],[Contrato2]],"000"))</f>
        <v>281</v>
      </c>
      <c r="AH288" s="90">
        <f ca="1">IFERROR(_xlfn.DAYS(Contrato[[#This Row],[Fecha Proyectada liquidación]],TODAY())/30,"")</f>
        <v>11.5</v>
      </c>
      <c r="AI288" s="121">
        <f>+Contrato[[#This Row],[FECHA TERMINACIÓN ]]+120</f>
        <v>46128</v>
      </c>
      <c r="AK288" s="91" t="str">
        <f ca="1">IF(Contrato[[#This Row],[FECHA TERMINACIÓN ]]&lt;TODAY(), "Terminado",IF(ISNUMBER(Contrato[[#This Row],[Fecha Real de liquiidación ]]),"Liquidado",IF(Contrato[[#This Row],[FECHA TERMINACIÓN ]]&gt;=TODAY(),"En ejecución","")))</f>
        <v>En ejecución</v>
      </c>
      <c r="AL288" s="107">
        <f ca="1">SUMIF(COMPROMISOS_2025[[#All],[consecutivo]],Contrato[[#This Row],[RCP]],COMPROMISOS_2025[[#All],[Total pagado]])</f>
        <v>0</v>
      </c>
      <c r="AM288" s="122">
        <f ca="1">IFERROR(Contrato[[#This Row],[Pagos]]/Contrato[[#This Row],[VALOR CONTRATO]],0)</f>
        <v>0</v>
      </c>
      <c r="AN288" s="160">
        <f ca="1">+Contrato[[#This Row],[VALOR CONTRATO]]-Contrato[[#This Row],[Pagos]]</f>
        <v>47854929</v>
      </c>
      <c r="AO288" s="111" t="e" cm="1">
        <f t="array" aca="1" ref="AO288" ca="1">_xlfn.XLOOKUP(Contrato[[#This Row],[DOCUMENTO ]],PERSONAL_ACTIVO_2025[[#All],[DOCUMENTO]],PERSONAL_ACTIVO_2025[[#All],[email]],0,0)</f>
        <v>#NAME?</v>
      </c>
      <c r="AP288" s="111" t="e" cm="1">
        <f t="array" aca="1" ref="AP288" ca="1">_xlfn.XLOOKUP(Contrato[[#This Row],[DOCUMENTO]],PERSONAL_ACTIVO_2025[[#All],[DOCUMENTO]],PERSONAL_ACTIVO_2025[[#All],[email]],0,0)</f>
        <v>#NAME?</v>
      </c>
      <c r="AQ288" s="111" cm="1">
        <f t="array" aca="1" ref="AQ288" ca="1">IF(ISBLANK(Contrato[[#This Row],[DEPENDENCIA ]]),0,IFERROR(_xlfn.XLOOKUP(Contrato[[#This Row],[DEPENDENCIA ]],#REF!,#REF!,0,0),0))</f>
        <v>0</v>
      </c>
      <c r="AR288" s="555">
        <f ca="1">+_xlfn.DAYS(Contrato[[#This Row],[FECHA TERMINACIÓN ]],TODAY())</f>
        <v>225</v>
      </c>
    </row>
    <row r="289" spans="1:44" ht="39.75" customHeight="1" x14ac:dyDescent="0.25">
      <c r="A289" s="38">
        <v>450</v>
      </c>
      <c r="B289" s="226">
        <v>282</v>
      </c>
      <c r="C289" s="88" t="s">
        <v>648</v>
      </c>
      <c r="D289" s="192" t="s">
        <v>911</v>
      </c>
      <c r="E289" s="193" t="s">
        <v>112</v>
      </c>
      <c r="F289" s="194" t="s">
        <v>113</v>
      </c>
      <c r="G289" s="195" t="s">
        <v>1433</v>
      </c>
      <c r="H289" s="346">
        <v>70564744</v>
      </c>
      <c r="I289" s="290">
        <v>5164201</v>
      </c>
      <c r="J289" s="290">
        <v>47854929</v>
      </c>
      <c r="K289" s="158" t="s">
        <v>41</v>
      </c>
      <c r="L289" s="196" t="s">
        <v>1401</v>
      </c>
      <c r="M289" s="114" t="s">
        <v>1091</v>
      </c>
      <c r="N289" s="113" t="e" cm="1">
        <f t="array" aca="1" ref="N289" ca="1">_xlfn.XLOOKUP(Contrato[[#This Row],[SUPERVISOR TITULAR]],PERSONAL_ACTIVO_2025[[#All],[NOMBRES Y APELLIDOS]],PERSONAL_ACTIVO_2025[[#All],[DOCUMENTO]],"",0)</f>
        <v>#NAME?</v>
      </c>
      <c r="O289" s="114" t="s">
        <v>938</v>
      </c>
      <c r="P289" s="115" t="e" cm="1">
        <f t="array" aca="1" ref="P289" ca="1">_xlfn.XLOOKUP(Contrato[[#This Row],[SUPERVISOR SUPLENTE ]],PERSONAL_ACTIVO_2025[[#All],[NOMBRES Y APELLIDOS]],PERSONAL_ACTIVO_2025[[#All],[DOCUMENTO]],"",0)</f>
        <v>#NAME?</v>
      </c>
      <c r="Q289" s="116">
        <v>361</v>
      </c>
      <c r="R289" s="137" t="e" cm="1">
        <f t="array" aca="1" ref="R289" ca="1">_xlfn.XLOOKUP(Contrato[[#This Row],[CDP]],DISPONIBILIDADES_2025[[#All],[consecutivo]],DISPONIBILIDADES_2025[[#All],[fecha_aprobacion]],"",0)</f>
        <v>#NAME?</v>
      </c>
      <c r="S289" s="92">
        <f>SUMIF(DISPONIBILIDADES_2025[[#All],[consecutivo]],Contrato[[#This Row],[CDP]],DISPONIBILIDADES_2025[[#All],[valor_total_rubro]])</f>
        <v>47854929</v>
      </c>
      <c r="T289" s="118" t="e" cm="1">
        <f t="array" aca="1" ref="T289" ca="1">_xlfn.XLOOKUP(Contrato[[#This Row],[CONTRATO]]&amp;Contrato[[#This Row],[CDP]],Corr_Contr_CDP[[#All],[CONTRATO-CDP]],Corr_Contr_CDP[[#All],[CRP]],_xlfn.XLOOKUP(Contrato[[#This Row],[CDP]],COMPROMISOS_2025[[#All],[disponibilidad]],COMPROMISOS_2025[[#All],[consecutivo]],"",0),0)</f>
        <v>#NAME?</v>
      </c>
      <c r="U289" s="117" t="e" cm="1">
        <f t="array" aca="1" ref="U289" ca="1">+_xlfn.XLOOKUP(Contrato[[#This Row],[RCP]],COMPROMISOS_2025[[#All],[consecutivo]],COMPROMISOS_2025[[#All],[fecha_aprobacion]],"",0)</f>
        <v>#NAME?</v>
      </c>
      <c r="V289" s="93">
        <f ca="1">SUMIF(COMPROMISOS_2025[[#All],[consecutivo]],Contrato[[#This Row],[RCP]],COMPROMISOS_2025[[#All],[valor_total]])</f>
        <v>0</v>
      </c>
      <c r="W289" s="243">
        <v>45723</v>
      </c>
      <c r="X289" s="243" t="s">
        <v>901</v>
      </c>
      <c r="Y289" s="96">
        <v>45726</v>
      </c>
      <c r="Z289" s="161">
        <v>46008</v>
      </c>
      <c r="AA289" s="338" t="s">
        <v>1425</v>
      </c>
      <c r="AB289" s="119" t="s">
        <v>1426</v>
      </c>
      <c r="AC289" s="112"/>
      <c r="AD289" s="279">
        <v>202000006465</v>
      </c>
      <c r="AE289" s="38"/>
      <c r="AF289" s="120" t="str">
        <f>TEXT(LEFT(Contrato[[#This Row],[CONTRATO]],3),"0")</f>
        <v>282</v>
      </c>
      <c r="AG289" s="120" t="str">
        <f>IF(LEN(Contrato[[#This Row],[Contrato2]])=3,Contrato[[#This Row],[Contrato2]],TEXT(Contrato[[#This Row],[Contrato2]],"000"))</f>
        <v>282</v>
      </c>
      <c r="AH289" s="90">
        <f ca="1">IFERROR(_xlfn.DAYS(Contrato[[#This Row],[Fecha Proyectada liquidación]],TODAY())/30,"")</f>
        <v>11.5</v>
      </c>
      <c r="AI289" s="121">
        <f>+Contrato[[#This Row],[FECHA TERMINACIÓN ]]+120</f>
        <v>46128</v>
      </c>
      <c r="AK289" s="91" t="str">
        <f ca="1">IF(Contrato[[#This Row],[FECHA TERMINACIÓN ]]&lt;TODAY(), "Terminado",IF(ISNUMBER(Contrato[[#This Row],[Fecha Real de liquiidación ]]),"Liquidado",IF(Contrato[[#This Row],[FECHA TERMINACIÓN ]]&gt;=TODAY(),"En ejecución","")))</f>
        <v>En ejecución</v>
      </c>
      <c r="AL289" s="107">
        <f ca="1">SUMIF(COMPROMISOS_2025[[#All],[consecutivo]],Contrato[[#This Row],[RCP]],COMPROMISOS_2025[[#All],[Total pagado]])</f>
        <v>0</v>
      </c>
      <c r="AM289" s="122">
        <f ca="1">IFERROR(Contrato[[#This Row],[Pagos]]/Contrato[[#This Row],[VALOR CONTRATO]],0)</f>
        <v>0</v>
      </c>
      <c r="AN289" s="160">
        <f ca="1">+Contrato[[#This Row],[VALOR CONTRATO]]-Contrato[[#This Row],[Pagos]]</f>
        <v>47854929</v>
      </c>
      <c r="AO289" s="111" t="e" cm="1">
        <f t="array" aca="1" ref="AO289" ca="1">_xlfn.XLOOKUP(Contrato[[#This Row],[DOCUMENTO ]],PERSONAL_ACTIVO_2025[[#All],[DOCUMENTO]],PERSONAL_ACTIVO_2025[[#All],[email]],0,0)</f>
        <v>#NAME?</v>
      </c>
      <c r="AP289" s="111" t="e" cm="1">
        <f t="array" aca="1" ref="AP289" ca="1">_xlfn.XLOOKUP(Contrato[[#This Row],[DOCUMENTO]],PERSONAL_ACTIVO_2025[[#All],[DOCUMENTO]],PERSONAL_ACTIVO_2025[[#All],[email]],0,0)</f>
        <v>#NAME?</v>
      </c>
      <c r="AQ289" s="111" cm="1">
        <f t="array" aca="1" ref="AQ289" ca="1">IF(ISBLANK(Contrato[[#This Row],[DEPENDENCIA ]]),0,IFERROR(_xlfn.XLOOKUP(Contrato[[#This Row],[DEPENDENCIA ]],#REF!,#REF!,0,0),0))</f>
        <v>0</v>
      </c>
      <c r="AR289" s="555">
        <f ca="1">+_xlfn.DAYS(Contrato[[#This Row],[FECHA TERMINACIÓN ]],TODAY())</f>
        <v>225</v>
      </c>
    </row>
    <row r="290" spans="1:44" ht="39.75" customHeight="1" x14ac:dyDescent="0.25">
      <c r="A290" s="38">
        <v>451</v>
      </c>
      <c r="B290" s="226">
        <v>283</v>
      </c>
      <c r="C290" s="88" t="s">
        <v>649</v>
      </c>
      <c r="D290" s="192" t="s">
        <v>911</v>
      </c>
      <c r="E290" s="193" t="s">
        <v>112</v>
      </c>
      <c r="F290" s="194" t="s">
        <v>113</v>
      </c>
      <c r="G290" s="195" t="s">
        <v>1434</v>
      </c>
      <c r="H290" s="346">
        <v>70328845</v>
      </c>
      <c r="I290" s="290">
        <v>4157906</v>
      </c>
      <c r="J290" s="290">
        <v>38529929</v>
      </c>
      <c r="K290" s="158" t="s">
        <v>41</v>
      </c>
      <c r="L290" s="196" t="s">
        <v>1401</v>
      </c>
      <c r="M290" s="114" t="s">
        <v>1091</v>
      </c>
      <c r="N290" s="113" t="e" cm="1">
        <f t="array" aca="1" ref="N290" ca="1">_xlfn.XLOOKUP(Contrato[[#This Row],[SUPERVISOR TITULAR]],PERSONAL_ACTIVO_2025[[#All],[NOMBRES Y APELLIDOS]],PERSONAL_ACTIVO_2025[[#All],[DOCUMENTO]],"",0)</f>
        <v>#NAME?</v>
      </c>
      <c r="O290" s="114" t="s">
        <v>938</v>
      </c>
      <c r="P290" s="115" t="e" cm="1">
        <f t="array" aca="1" ref="P290" ca="1">_xlfn.XLOOKUP(Contrato[[#This Row],[SUPERVISOR SUPLENTE ]],PERSONAL_ACTIVO_2025[[#All],[NOMBRES Y APELLIDOS]],PERSONAL_ACTIVO_2025[[#All],[DOCUMENTO]],"",0)</f>
        <v>#NAME?</v>
      </c>
      <c r="Q290" s="116">
        <v>360</v>
      </c>
      <c r="R290" s="137" t="e" cm="1">
        <f t="array" aca="1" ref="R290" ca="1">_xlfn.XLOOKUP(Contrato[[#This Row],[CDP]],DISPONIBILIDADES_2025[[#All],[consecutivo]],DISPONIBILIDADES_2025[[#All],[fecha_aprobacion]],"",0)</f>
        <v>#NAME?</v>
      </c>
      <c r="S290" s="92">
        <f>SUMIF(DISPONIBILIDADES_2025[[#All],[consecutivo]],Contrato[[#This Row],[CDP]],DISPONIBILIDADES_2025[[#All],[valor_total_rubro]])</f>
        <v>38529929</v>
      </c>
      <c r="T290" s="118" t="e" cm="1">
        <f t="array" aca="1" ref="T290" ca="1">_xlfn.XLOOKUP(Contrato[[#This Row],[CONTRATO]]&amp;Contrato[[#This Row],[CDP]],Corr_Contr_CDP[[#All],[CONTRATO-CDP]],Corr_Contr_CDP[[#All],[CRP]],_xlfn.XLOOKUP(Contrato[[#This Row],[CDP]],COMPROMISOS_2025[[#All],[disponibilidad]],COMPROMISOS_2025[[#All],[consecutivo]],"",0),0)</f>
        <v>#NAME?</v>
      </c>
      <c r="U290" s="117" t="e" cm="1">
        <f t="array" aca="1" ref="U290" ca="1">+_xlfn.XLOOKUP(Contrato[[#This Row],[RCP]],COMPROMISOS_2025[[#All],[consecutivo]],COMPROMISOS_2025[[#All],[fecha_aprobacion]],"",0)</f>
        <v>#NAME?</v>
      </c>
      <c r="V290" s="93">
        <f ca="1">SUMIF(COMPROMISOS_2025[[#All],[consecutivo]],Contrato[[#This Row],[RCP]],COMPROMISOS_2025[[#All],[valor_total]])</f>
        <v>0</v>
      </c>
      <c r="W290" s="243">
        <v>45723</v>
      </c>
      <c r="X290" s="243" t="s">
        <v>901</v>
      </c>
      <c r="Y290" s="96">
        <v>45726</v>
      </c>
      <c r="Z290" s="161">
        <v>46008</v>
      </c>
      <c r="AA290" s="338" t="s">
        <v>1425</v>
      </c>
      <c r="AB290" s="119" t="s">
        <v>1426</v>
      </c>
      <c r="AC290" s="112"/>
      <c r="AD290" s="279">
        <v>202000006466</v>
      </c>
      <c r="AE290" s="38"/>
      <c r="AF290" s="120" t="str">
        <f>TEXT(LEFT(Contrato[[#This Row],[CONTRATO]],3),"0")</f>
        <v>283</v>
      </c>
      <c r="AG290" s="120" t="str">
        <f>IF(LEN(Contrato[[#This Row],[Contrato2]])=3,Contrato[[#This Row],[Contrato2]],TEXT(Contrato[[#This Row],[Contrato2]],"000"))</f>
        <v>283</v>
      </c>
      <c r="AH290" s="90">
        <f ca="1">IFERROR(_xlfn.DAYS(Contrato[[#This Row],[Fecha Proyectada liquidación]],TODAY())/30,"")</f>
        <v>11.5</v>
      </c>
      <c r="AI290" s="121">
        <f>+Contrato[[#This Row],[FECHA TERMINACIÓN ]]+120</f>
        <v>46128</v>
      </c>
      <c r="AK290" s="91" t="str">
        <f ca="1">IF(Contrato[[#This Row],[FECHA TERMINACIÓN ]]&lt;TODAY(), "Terminado",IF(ISNUMBER(Contrato[[#This Row],[Fecha Real de liquiidación ]]),"Liquidado",IF(Contrato[[#This Row],[FECHA TERMINACIÓN ]]&gt;=TODAY(),"En ejecución","")))</f>
        <v>En ejecución</v>
      </c>
      <c r="AL290" s="107">
        <f ca="1">SUMIF(COMPROMISOS_2025[[#All],[consecutivo]],Contrato[[#This Row],[RCP]],COMPROMISOS_2025[[#All],[Total pagado]])</f>
        <v>0</v>
      </c>
      <c r="AM290" s="122">
        <f ca="1">IFERROR(Contrato[[#This Row],[Pagos]]/Contrato[[#This Row],[VALOR CONTRATO]],0)</f>
        <v>0</v>
      </c>
      <c r="AN290" s="160">
        <f ca="1">+Contrato[[#This Row],[VALOR CONTRATO]]-Contrato[[#This Row],[Pagos]]</f>
        <v>38529929</v>
      </c>
      <c r="AO290" s="111" t="e" cm="1">
        <f t="array" aca="1" ref="AO290" ca="1">_xlfn.XLOOKUP(Contrato[[#This Row],[DOCUMENTO ]],PERSONAL_ACTIVO_2025[[#All],[DOCUMENTO]],PERSONAL_ACTIVO_2025[[#All],[email]],0,0)</f>
        <v>#NAME?</v>
      </c>
      <c r="AP290" s="111" t="e" cm="1">
        <f t="array" aca="1" ref="AP290" ca="1">_xlfn.XLOOKUP(Contrato[[#This Row],[DOCUMENTO]],PERSONAL_ACTIVO_2025[[#All],[DOCUMENTO]],PERSONAL_ACTIVO_2025[[#All],[email]],0,0)</f>
        <v>#NAME?</v>
      </c>
      <c r="AQ290" s="111" cm="1">
        <f t="array" aca="1" ref="AQ290" ca="1">IF(ISBLANK(Contrato[[#This Row],[DEPENDENCIA ]]),0,IFERROR(_xlfn.XLOOKUP(Contrato[[#This Row],[DEPENDENCIA ]],#REF!,#REF!,0,0),0))</f>
        <v>0</v>
      </c>
      <c r="AR290" s="555">
        <f ca="1">+_xlfn.DAYS(Contrato[[#This Row],[FECHA TERMINACIÓN ]],TODAY())</f>
        <v>225</v>
      </c>
    </row>
    <row r="291" spans="1:44" ht="39.75" customHeight="1" x14ac:dyDescent="0.25">
      <c r="A291" s="38">
        <v>452</v>
      </c>
      <c r="B291" s="226">
        <v>284</v>
      </c>
      <c r="C291" s="88" t="s">
        <v>650</v>
      </c>
      <c r="D291" s="192" t="s">
        <v>911</v>
      </c>
      <c r="E291" s="193" t="s">
        <v>112</v>
      </c>
      <c r="F291" s="194" t="s">
        <v>113</v>
      </c>
      <c r="G291" s="195" t="s">
        <v>1435</v>
      </c>
      <c r="H291" s="346">
        <v>39311632</v>
      </c>
      <c r="I291" s="290">
        <v>5164201</v>
      </c>
      <c r="J291" s="290">
        <v>47854929</v>
      </c>
      <c r="K291" s="158" t="s">
        <v>41</v>
      </c>
      <c r="L291" s="196" t="s">
        <v>1401</v>
      </c>
      <c r="M291" s="114" t="s">
        <v>1091</v>
      </c>
      <c r="N291" s="113" t="e" cm="1">
        <f t="array" aca="1" ref="N291" ca="1">_xlfn.XLOOKUP(Contrato[[#This Row],[SUPERVISOR TITULAR]],PERSONAL_ACTIVO_2025[[#All],[NOMBRES Y APELLIDOS]],PERSONAL_ACTIVO_2025[[#All],[DOCUMENTO]],"",0)</f>
        <v>#NAME?</v>
      </c>
      <c r="O291" s="114" t="s">
        <v>938</v>
      </c>
      <c r="P291" s="115" t="e" cm="1">
        <f t="array" aca="1" ref="P291" ca="1">_xlfn.XLOOKUP(Contrato[[#This Row],[SUPERVISOR SUPLENTE ]],PERSONAL_ACTIVO_2025[[#All],[NOMBRES Y APELLIDOS]],PERSONAL_ACTIVO_2025[[#All],[DOCUMENTO]],"",0)</f>
        <v>#NAME?</v>
      </c>
      <c r="Q291" s="116">
        <v>362</v>
      </c>
      <c r="R291" s="137" t="e" cm="1">
        <f t="array" aca="1" ref="R291" ca="1">_xlfn.XLOOKUP(Contrato[[#This Row],[CDP]],DISPONIBILIDADES_2025[[#All],[consecutivo]],DISPONIBILIDADES_2025[[#All],[fecha_aprobacion]],"",0)</f>
        <v>#NAME?</v>
      </c>
      <c r="S291" s="92">
        <f>SUMIF(DISPONIBILIDADES_2025[[#All],[consecutivo]],Contrato[[#This Row],[CDP]],DISPONIBILIDADES_2025[[#All],[valor_total_rubro]])</f>
        <v>47854929</v>
      </c>
      <c r="T291" s="118" t="e" cm="1">
        <f t="array" aca="1" ref="T291" ca="1">_xlfn.XLOOKUP(Contrato[[#This Row],[CONTRATO]]&amp;Contrato[[#This Row],[CDP]],Corr_Contr_CDP[[#All],[CONTRATO-CDP]],Corr_Contr_CDP[[#All],[CRP]],_xlfn.XLOOKUP(Contrato[[#This Row],[CDP]],COMPROMISOS_2025[[#All],[disponibilidad]],COMPROMISOS_2025[[#All],[consecutivo]],"",0),0)</f>
        <v>#NAME?</v>
      </c>
      <c r="U291" s="117" t="e" cm="1">
        <f t="array" aca="1" ref="U291" ca="1">+_xlfn.XLOOKUP(Contrato[[#This Row],[RCP]],COMPROMISOS_2025[[#All],[consecutivo]],COMPROMISOS_2025[[#All],[fecha_aprobacion]],"",0)</f>
        <v>#NAME?</v>
      </c>
      <c r="V291" s="93">
        <f ca="1">SUMIF(COMPROMISOS_2025[[#All],[consecutivo]],Contrato[[#This Row],[RCP]],COMPROMISOS_2025[[#All],[valor_total]])</f>
        <v>0</v>
      </c>
      <c r="W291" s="243">
        <v>45723</v>
      </c>
      <c r="X291" s="243" t="s">
        <v>901</v>
      </c>
      <c r="Y291" s="96">
        <v>45726</v>
      </c>
      <c r="Z291" s="161">
        <v>46008</v>
      </c>
      <c r="AA291" s="338" t="s">
        <v>1425</v>
      </c>
      <c r="AB291" s="119" t="s">
        <v>1426</v>
      </c>
      <c r="AC291" s="112"/>
      <c r="AD291" s="279">
        <v>202000006467</v>
      </c>
      <c r="AE291" s="38"/>
      <c r="AF291" s="120" t="str">
        <f>TEXT(LEFT(Contrato[[#This Row],[CONTRATO]],3),"0")</f>
        <v>284</v>
      </c>
      <c r="AG291" s="120" t="str">
        <f>IF(LEN(Contrato[[#This Row],[Contrato2]])=3,Contrato[[#This Row],[Contrato2]],TEXT(Contrato[[#This Row],[Contrato2]],"000"))</f>
        <v>284</v>
      </c>
      <c r="AH291" s="90">
        <f ca="1">IFERROR(_xlfn.DAYS(Contrato[[#This Row],[Fecha Proyectada liquidación]],TODAY())/30,"")</f>
        <v>11.5</v>
      </c>
      <c r="AI291" s="121">
        <f>+Contrato[[#This Row],[FECHA TERMINACIÓN ]]+120</f>
        <v>46128</v>
      </c>
      <c r="AK291" s="91" t="str">
        <f ca="1">IF(Contrato[[#This Row],[FECHA TERMINACIÓN ]]&lt;TODAY(), "Terminado",IF(ISNUMBER(Contrato[[#This Row],[Fecha Real de liquiidación ]]),"Liquidado",IF(Contrato[[#This Row],[FECHA TERMINACIÓN ]]&gt;=TODAY(),"En ejecución","")))</f>
        <v>En ejecución</v>
      </c>
      <c r="AL291" s="107">
        <f ca="1">SUMIF(COMPROMISOS_2025[[#All],[consecutivo]],Contrato[[#This Row],[RCP]],COMPROMISOS_2025[[#All],[Total pagado]])</f>
        <v>0</v>
      </c>
      <c r="AM291" s="122">
        <f ca="1">IFERROR(Contrato[[#This Row],[Pagos]]/Contrato[[#This Row],[VALOR CONTRATO]],0)</f>
        <v>0</v>
      </c>
      <c r="AN291" s="160">
        <f ca="1">+Contrato[[#This Row],[VALOR CONTRATO]]-Contrato[[#This Row],[Pagos]]</f>
        <v>47854929</v>
      </c>
      <c r="AO291" s="111" t="e" cm="1">
        <f t="array" aca="1" ref="AO291" ca="1">_xlfn.XLOOKUP(Contrato[[#This Row],[DOCUMENTO ]],PERSONAL_ACTIVO_2025[[#All],[DOCUMENTO]],PERSONAL_ACTIVO_2025[[#All],[email]],0,0)</f>
        <v>#NAME?</v>
      </c>
      <c r="AP291" s="111" t="e" cm="1">
        <f t="array" aca="1" ref="AP291" ca="1">_xlfn.XLOOKUP(Contrato[[#This Row],[DOCUMENTO]],PERSONAL_ACTIVO_2025[[#All],[DOCUMENTO]],PERSONAL_ACTIVO_2025[[#All],[email]],0,0)</f>
        <v>#NAME?</v>
      </c>
      <c r="AQ291" s="111" cm="1">
        <f t="array" aca="1" ref="AQ291" ca="1">IF(ISBLANK(Contrato[[#This Row],[DEPENDENCIA ]]),0,IFERROR(_xlfn.XLOOKUP(Contrato[[#This Row],[DEPENDENCIA ]],#REF!,#REF!,0,0),0))</f>
        <v>0</v>
      </c>
      <c r="AR291" s="555">
        <f ca="1">+_xlfn.DAYS(Contrato[[#This Row],[FECHA TERMINACIÓN ]],TODAY())</f>
        <v>225</v>
      </c>
    </row>
    <row r="292" spans="1:44" ht="39.75" customHeight="1" x14ac:dyDescent="0.25">
      <c r="A292" s="38">
        <v>281</v>
      </c>
      <c r="B292" s="226">
        <v>285</v>
      </c>
      <c r="C292" s="88" t="s">
        <v>479</v>
      </c>
      <c r="D292" s="192" t="s">
        <v>911</v>
      </c>
      <c r="E292" s="193" t="s">
        <v>112</v>
      </c>
      <c r="F292" s="194" t="s">
        <v>113</v>
      </c>
      <c r="G292" s="195" t="s">
        <v>1436</v>
      </c>
      <c r="H292" s="346">
        <v>2000023333</v>
      </c>
      <c r="I292" s="290">
        <v>6239569</v>
      </c>
      <c r="J292" s="290">
        <v>32653744</v>
      </c>
      <c r="K292" s="158" t="s">
        <v>41</v>
      </c>
      <c r="L292" s="196" t="s">
        <v>1401</v>
      </c>
      <c r="M292" s="114" t="s">
        <v>1091</v>
      </c>
      <c r="N292" s="113" t="e" cm="1">
        <f t="array" aca="1" ref="N292" ca="1">_xlfn.XLOOKUP(Contrato[[#This Row],[SUPERVISOR TITULAR]],PERSONAL_ACTIVO_2025[[#All],[NOMBRES Y APELLIDOS]],PERSONAL_ACTIVO_2025[[#All],[DOCUMENTO]],"",0)</f>
        <v>#NAME?</v>
      </c>
      <c r="O292" s="114" t="s">
        <v>938</v>
      </c>
      <c r="P292" s="115" t="e" cm="1">
        <f t="array" aca="1" ref="P292" ca="1">_xlfn.XLOOKUP(Contrato[[#This Row],[SUPERVISOR SUPLENTE ]],PERSONAL_ACTIVO_2025[[#All],[NOMBRES Y APELLIDOS]],PERSONAL_ACTIVO_2025[[#All],[DOCUMENTO]],"",0)</f>
        <v>#NAME?</v>
      </c>
      <c r="Q292" s="116">
        <v>115</v>
      </c>
      <c r="R292" s="137" t="e" cm="1">
        <f t="array" aca="1" ref="R292" ca="1">_xlfn.XLOOKUP(Contrato[[#This Row],[CDP]],DISPONIBILIDADES_2025[[#All],[consecutivo]],DISPONIBILIDADES_2025[[#All],[fecha_aprobacion]],"",0)</f>
        <v>#NAME?</v>
      </c>
      <c r="S292" s="92">
        <f>SUMIF(DISPONIBILIDADES_2025[[#All],[consecutivo]],Contrato[[#This Row],[CDP]],DISPONIBILIDADES_2025[[#All],[valor_total_rubro]])</f>
        <v>32653744</v>
      </c>
      <c r="T292" s="118" t="e" cm="1">
        <f t="array" aca="1" ref="T292" ca="1">_xlfn.XLOOKUP(Contrato[[#This Row],[CONTRATO]]&amp;Contrato[[#This Row],[CDP]],Corr_Contr_CDP[[#All],[CONTRATO-CDP]],Corr_Contr_CDP[[#All],[CRP]],_xlfn.XLOOKUP(Contrato[[#This Row],[CDP]],COMPROMISOS_2025[[#All],[disponibilidad]],COMPROMISOS_2025[[#All],[consecutivo]],"",0),0)</f>
        <v>#NAME?</v>
      </c>
      <c r="U292" s="117" t="e" cm="1">
        <f t="array" aca="1" ref="U292" ca="1">+_xlfn.XLOOKUP(Contrato[[#This Row],[RCP]],COMPROMISOS_2025[[#All],[consecutivo]],COMPROMISOS_2025[[#All],[fecha_aprobacion]],"",0)</f>
        <v>#NAME?</v>
      </c>
      <c r="V292" s="93">
        <f ca="1">SUMIF(COMPROMISOS_2025[[#All],[consecutivo]],Contrato[[#This Row],[RCP]],COMPROMISOS_2025[[#All],[valor_total]])</f>
        <v>0</v>
      </c>
      <c r="W292" s="243">
        <v>45726</v>
      </c>
      <c r="X292" s="243" t="s">
        <v>901</v>
      </c>
      <c r="Y292" s="96">
        <v>45727</v>
      </c>
      <c r="Z292" s="161">
        <v>45885</v>
      </c>
      <c r="AA292" s="338" t="s">
        <v>1425</v>
      </c>
      <c r="AB292" s="119" t="s">
        <v>1437</v>
      </c>
      <c r="AC292" s="112"/>
      <c r="AD292" s="279">
        <v>202000006468</v>
      </c>
      <c r="AE292" s="38"/>
      <c r="AF292" s="120" t="str">
        <f>TEXT(LEFT(Contrato[[#This Row],[CONTRATO]],3),"0")</f>
        <v>285</v>
      </c>
      <c r="AG292" s="120" t="str">
        <f>IF(LEN(Contrato[[#This Row],[Contrato2]])=3,Contrato[[#This Row],[Contrato2]],TEXT(Contrato[[#This Row],[Contrato2]],"000"))</f>
        <v>285</v>
      </c>
      <c r="AH292" s="90">
        <f ca="1">IFERROR(_xlfn.DAYS(Contrato[[#This Row],[Fecha Proyectada liquidación]],TODAY())/30,"")</f>
        <v>7.4</v>
      </c>
      <c r="AI292" s="121">
        <f>+Contrato[[#This Row],[FECHA TERMINACIÓN ]]+120</f>
        <v>46005</v>
      </c>
      <c r="AK292" s="91" t="str">
        <f ca="1">IF(Contrato[[#This Row],[FECHA TERMINACIÓN ]]&lt;TODAY(), "Terminado",IF(ISNUMBER(Contrato[[#This Row],[Fecha Real de liquiidación ]]),"Liquidado",IF(Contrato[[#This Row],[FECHA TERMINACIÓN ]]&gt;=TODAY(),"En ejecución","")))</f>
        <v>En ejecución</v>
      </c>
      <c r="AL292" s="107">
        <f ca="1">SUMIF(COMPROMISOS_2025[[#All],[consecutivo]],Contrato[[#This Row],[RCP]],COMPROMISOS_2025[[#All],[Total pagado]])</f>
        <v>0</v>
      </c>
      <c r="AM292" s="122">
        <f ca="1">IFERROR(Contrato[[#This Row],[Pagos]]/Contrato[[#This Row],[VALOR CONTRATO]],0)</f>
        <v>0</v>
      </c>
      <c r="AN292" s="160">
        <f ca="1">+Contrato[[#This Row],[VALOR CONTRATO]]-Contrato[[#This Row],[Pagos]]</f>
        <v>32653744</v>
      </c>
      <c r="AO292" s="111" t="e" cm="1">
        <f t="array" aca="1" ref="AO292" ca="1">_xlfn.XLOOKUP(Contrato[[#This Row],[DOCUMENTO ]],PERSONAL_ACTIVO_2025[[#All],[DOCUMENTO]],PERSONAL_ACTIVO_2025[[#All],[email]],0,0)</f>
        <v>#NAME?</v>
      </c>
      <c r="AP292" s="111" t="e" cm="1">
        <f t="array" aca="1" ref="AP292" ca="1">_xlfn.XLOOKUP(Contrato[[#This Row],[DOCUMENTO]],PERSONAL_ACTIVO_2025[[#All],[DOCUMENTO]],PERSONAL_ACTIVO_2025[[#All],[email]],0,0)</f>
        <v>#NAME?</v>
      </c>
      <c r="AQ292" s="111" cm="1">
        <f t="array" aca="1" ref="AQ292" ca="1">IF(ISBLANK(Contrato[[#This Row],[DEPENDENCIA ]]),0,IFERROR(_xlfn.XLOOKUP(Contrato[[#This Row],[DEPENDENCIA ]],#REF!,#REF!,0,0),0))</f>
        <v>0</v>
      </c>
      <c r="AR292" s="555">
        <f ca="1">+_xlfn.DAYS(Contrato[[#This Row],[FECHA TERMINACIÓN ]],TODAY())</f>
        <v>102</v>
      </c>
    </row>
    <row r="293" spans="1:44" ht="39.75" customHeight="1" x14ac:dyDescent="0.25">
      <c r="A293" s="38">
        <v>286</v>
      </c>
      <c r="B293" s="226">
        <v>286</v>
      </c>
      <c r="C293" s="88" t="s">
        <v>484</v>
      </c>
      <c r="D293" s="192" t="s">
        <v>911</v>
      </c>
      <c r="E293" s="193" t="s">
        <v>112</v>
      </c>
      <c r="F293" s="194" t="s">
        <v>113</v>
      </c>
      <c r="G293" s="195" t="s">
        <v>1438</v>
      </c>
      <c r="H293" s="346">
        <v>98761390</v>
      </c>
      <c r="I293" s="290">
        <v>5164201</v>
      </c>
      <c r="J293" s="290">
        <v>47854929</v>
      </c>
      <c r="K293" s="158" t="s">
        <v>41</v>
      </c>
      <c r="L293" s="196" t="s">
        <v>1401</v>
      </c>
      <c r="M293" s="114" t="s">
        <v>1091</v>
      </c>
      <c r="N293" s="113" t="e" cm="1">
        <f t="array" aca="1" ref="N293" ca="1">_xlfn.XLOOKUP(Contrato[[#This Row],[SUPERVISOR TITULAR]],PERSONAL_ACTIVO_2025[[#All],[NOMBRES Y APELLIDOS]],PERSONAL_ACTIVO_2025[[#All],[DOCUMENTO]],"",0)</f>
        <v>#NAME?</v>
      </c>
      <c r="O293" s="114" t="s">
        <v>938</v>
      </c>
      <c r="P293" s="115" t="e" cm="1">
        <f t="array" aca="1" ref="P293" ca="1">_xlfn.XLOOKUP(Contrato[[#This Row],[SUPERVISOR SUPLENTE ]],PERSONAL_ACTIVO_2025[[#All],[NOMBRES Y APELLIDOS]],PERSONAL_ACTIVO_2025[[#All],[DOCUMENTO]],"",0)</f>
        <v>#NAME?</v>
      </c>
      <c r="Q293" s="116">
        <v>120</v>
      </c>
      <c r="R293" s="137" t="e" cm="1">
        <f t="array" aca="1" ref="R293" ca="1">_xlfn.XLOOKUP(Contrato[[#This Row],[CDP]],DISPONIBILIDADES_2025[[#All],[consecutivo]],DISPONIBILIDADES_2025[[#All],[fecha_aprobacion]],"",0)</f>
        <v>#NAME?</v>
      </c>
      <c r="S293" s="92">
        <f>SUMIF(DISPONIBILIDADES_2025[[#All],[consecutivo]],Contrato[[#This Row],[CDP]],DISPONIBILIDADES_2025[[#All],[valor_total_rubro]])</f>
        <v>50609170</v>
      </c>
      <c r="T293" s="118" t="e" cm="1">
        <f t="array" aca="1" ref="T293" ca="1">_xlfn.XLOOKUP(Contrato[[#This Row],[CONTRATO]]&amp;Contrato[[#This Row],[CDP]],Corr_Contr_CDP[[#All],[CONTRATO-CDP]],Corr_Contr_CDP[[#All],[CRP]],_xlfn.XLOOKUP(Contrato[[#This Row],[CDP]],COMPROMISOS_2025[[#All],[disponibilidad]],COMPROMISOS_2025[[#All],[consecutivo]],"",0),0)</f>
        <v>#NAME?</v>
      </c>
      <c r="U293" s="117" t="e" cm="1">
        <f t="array" aca="1" ref="U293" ca="1">+_xlfn.XLOOKUP(Contrato[[#This Row],[RCP]],COMPROMISOS_2025[[#All],[consecutivo]],COMPROMISOS_2025[[#All],[fecha_aprobacion]],"",0)</f>
        <v>#NAME?</v>
      </c>
      <c r="V293" s="93">
        <f ca="1">SUMIF(COMPROMISOS_2025[[#All],[consecutivo]],Contrato[[#This Row],[RCP]],COMPROMISOS_2025[[#All],[valor_total]])</f>
        <v>0</v>
      </c>
      <c r="W293" s="243">
        <v>45723</v>
      </c>
      <c r="X293" s="243" t="s">
        <v>901</v>
      </c>
      <c r="Y293" s="96">
        <v>45726</v>
      </c>
      <c r="Z293" s="161">
        <v>46008</v>
      </c>
      <c r="AA293" s="338" t="s">
        <v>1425</v>
      </c>
      <c r="AB293" s="119" t="s">
        <v>1426</v>
      </c>
      <c r="AC293" s="112"/>
      <c r="AD293" s="279">
        <v>202000006469</v>
      </c>
      <c r="AE293" s="38"/>
      <c r="AF293" s="120" t="str">
        <f>TEXT(LEFT(Contrato[[#This Row],[CONTRATO]],3),"0")</f>
        <v>286</v>
      </c>
      <c r="AG293" s="120" t="str">
        <f>IF(LEN(Contrato[[#This Row],[Contrato2]])=3,Contrato[[#This Row],[Contrato2]],TEXT(Contrato[[#This Row],[Contrato2]],"000"))</f>
        <v>286</v>
      </c>
      <c r="AH293" s="90">
        <f ca="1">IFERROR(_xlfn.DAYS(Contrato[[#This Row],[Fecha Proyectada liquidación]],TODAY())/30,"")</f>
        <v>11.5</v>
      </c>
      <c r="AI293" s="121">
        <f>+Contrato[[#This Row],[FECHA TERMINACIÓN ]]+120</f>
        <v>46128</v>
      </c>
      <c r="AK293" s="91" t="str">
        <f ca="1">IF(Contrato[[#This Row],[FECHA TERMINACIÓN ]]&lt;TODAY(), "Terminado",IF(ISNUMBER(Contrato[[#This Row],[Fecha Real de liquiidación ]]),"Liquidado",IF(Contrato[[#This Row],[FECHA TERMINACIÓN ]]&gt;=TODAY(),"En ejecución","")))</f>
        <v>En ejecución</v>
      </c>
      <c r="AL293" s="107">
        <f ca="1">SUMIF(COMPROMISOS_2025[[#All],[consecutivo]],Contrato[[#This Row],[RCP]],COMPROMISOS_2025[[#All],[Total pagado]])</f>
        <v>0</v>
      </c>
      <c r="AM293" s="122">
        <f ca="1">IFERROR(Contrato[[#This Row],[Pagos]]/Contrato[[#This Row],[VALOR CONTRATO]],0)</f>
        <v>0</v>
      </c>
      <c r="AN293" s="160">
        <f ca="1">+Contrato[[#This Row],[VALOR CONTRATO]]-Contrato[[#This Row],[Pagos]]</f>
        <v>47854929</v>
      </c>
      <c r="AO293" s="111" t="e" cm="1">
        <f t="array" aca="1" ref="AO293" ca="1">_xlfn.XLOOKUP(Contrato[[#This Row],[DOCUMENTO ]],PERSONAL_ACTIVO_2025[[#All],[DOCUMENTO]],PERSONAL_ACTIVO_2025[[#All],[email]],0,0)</f>
        <v>#NAME?</v>
      </c>
      <c r="AP293" s="111" t="e" cm="1">
        <f t="array" aca="1" ref="AP293" ca="1">_xlfn.XLOOKUP(Contrato[[#This Row],[DOCUMENTO]],PERSONAL_ACTIVO_2025[[#All],[DOCUMENTO]],PERSONAL_ACTIVO_2025[[#All],[email]],0,0)</f>
        <v>#NAME?</v>
      </c>
      <c r="AQ293" s="111" cm="1">
        <f t="array" aca="1" ref="AQ293" ca="1">IF(ISBLANK(Contrato[[#This Row],[DEPENDENCIA ]]),0,IFERROR(_xlfn.XLOOKUP(Contrato[[#This Row],[DEPENDENCIA ]],#REF!,#REF!,0,0),0))</f>
        <v>0</v>
      </c>
      <c r="AR293" s="555">
        <f ca="1">+_xlfn.DAYS(Contrato[[#This Row],[FECHA TERMINACIÓN ]],TODAY())</f>
        <v>225</v>
      </c>
    </row>
    <row r="294" spans="1:44" ht="39.75" customHeight="1" x14ac:dyDescent="0.25">
      <c r="A294" s="38">
        <v>288</v>
      </c>
      <c r="B294" s="226">
        <v>287</v>
      </c>
      <c r="C294" s="88" t="s">
        <v>486</v>
      </c>
      <c r="D294" s="192" t="s">
        <v>911</v>
      </c>
      <c r="E294" s="193" t="s">
        <v>112</v>
      </c>
      <c r="F294" s="194" t="s">
        <v>113</v>
      </c>
      <c r="G294" s="195" t="s">
        <v>1439</v>
      </c>
      <c r="H294" s="346">
        <v>71989906</v>
      </c>
      <c r="I294" s="290">
        <v>5164201</v>
      </c>
      <c r="J294" s="290">
        <v>47854929</v>
      </c>
      <c r="K294" s="158" t="s">
        <v>41</v>
      </c>
      <c r="L294" s="196" t="s">
        <v>1401</v>
      </c>
      <c r="M294" s="114" t="s">
        <v>1091</v>
      </c>
      <c r="N294" s="113" t="e" cm="1">
        <f t="array" aca="1" ref="N294" ca="1">_xlfn.XLOOKUP(Contrato[[#This Row],[SUPERVISOR TITULAR]],PERSONAL_ACTIVO_2025[[#All],[NOMBRES Y APELLIDOS]],PERSONAL_ACTIVO_2025[[#All],[DOCUMENTO]],"",0)</f>
        <v>#NAME?</v>
      </c>
      <c r="O294" s="114" t="s">
        <v>938</v>
      </c>
      <c r="P294" s="115" t="e" cm="1">
        <f t="array" aca="1" ref="P294" ca="1">_xlfn.XLOOKUP(Contrato[[#This Row],[SUPERVISOR SUPLENTE ]],PERSONAL_ACTIVO_2025[[#All],[NOMBRES Y APELLIDOS]],PERSONAL_ACTIVO_2025[[#All],[DOCUMENTO]],"",0)</f>
        <v>#NAME?</v>
      </c>
      <c r="Q294" s="116">
        <v>122</v>
      </c>
      <c r="R294" s="137" t="e" cm="1">
        <f t="array" aca="1" ref="R294" ca="1">_xlfn.XLOOKUP(Contrato[[#This Row],[CDP]],DISPONIBILIDADES_2025[[#All],[consecutivo]],DISPONIBILIDADES_2025[[#All],[fecha_aprobacion]],"",0)</f>
        <v>#NAME?</v>
      </c>
      <c r="S294" s="92">
        <f>SUMIF(DISPONIBILIDADES_2025[[#All],[consecutivo]],Contrato[[#This Row],[CDP]],DISPONIBILIDADES_2025[[#All],[valor_total_rubro]])</f>
        <v>50609170</v>
      </c>
      <c r="T294" s="118" t="e" cm="1">
        <f t="array" aca="1" ref="T294" ca="1">_xlfn.XLOOKUP(Contrato[[#This Row],[CONTRATO]]&amp;Contrato[[#This Row],[CDP]],Corr_Contr_CDP[[#All],[CONTRATO-CDP]],Corr_Contr_CDP[[#All],[CRP]],_xlfn.XLOOKUP(Contrato[[#This Row],[CDP]],COMPROMISOS_2025[[#All],[disponibilidad]],COMPROMISOS_2025[[#All],[consecutivo]],"",0),0)</f>
        <v>#NAME?</v>
      </c>
      <c r="U294" s="117" t="e" cm="1">
        <f t="array" aca="1" ref="U294" ca="1">+_xlfn.XLOOKUP(Contrato[[#This Row],[RCP]],COMPROMISOS_2025[[#All],[consecutivo]],COMPROMISOS_2025[[#All],[fecha_aprobacion]],"",0)</f>
        <v>#NAME?</v>
      </c>
      <c r="V294" s="93">
        <f ca="1">SUMIF(COMPROMISOS_2025[[#All],[consecutivo]],Contrato[[#This Row],[RCP]],COMPROMISOS_2025[[#All],[valor_total]])</f>
        <v>0</v>
      </c>
      <c r="W294" s="243">
        <v>45723</v>
      </c>
      <c r="X294" s="243" t="s">
        <v>901</v>
      </c>
      <c r="Y294" s="96">
        <v>45726</v>
      </c>
      <c r="Z294" s="161">
        <v>46008</v>
      </c>
      <c r="AA294" s="338" t="s">
        <v>1425</v>
      </c>
      <c r="AB294" s="119" t="s">
        <v>1426</v>
      </c>
      <c r="AC294" s="112"/>
      <c r="AD294" s="279">
        <v>202000006470</v>
      </c>
      <c r="AE294" s="38"/>
      <c r="AF294" s="120" t="str">
        <f>TEXT(LEFT(Contrato[[#This Row],[CONTRATO]],3),"0")</f>
        <v>287</v>
      </c>
      <c r="AG294" s="120" t="str">
        <f>IF(LEN(Contrato[[#This Row],[Contrato2]])=3,Contrato[[#This Row],[Contrato2]],TEXT(Contrato[[#This Row],[Contrato2]],"000"))</f>
        <v>287</v>
      </c>
      <c r="AH294" s="90">
        <f ca="1">IFERROR(_xlfn.DAYS(Contrato[[#This Row],[Fecha Proyectada liquidación]],TODAY())/30,"")</f>
        <v>11.5</v>
      </c>
      <c r="AI294" s="121">
        <f>+Contrato[[#This Row],[FECHA TERMINACIÓN ]]+120</f>
        <v>46128</v>
      </c>
      <c r="AK294" s="91" t="str">
        <f ca="1">IF(Contrato[[#This Row],[FECHA TERMINACIÓN ]]&lt;TODAY(), "Terminado",IF(ISNUMBER(Contrato[[#This Row],[Fecha Real de liquiidación ]]),"Liquidado",IF(Contrato[[#This Row],[FECHA TERMINACIÓN ]]&gt;=TODAY(),"En ejecución","")))</f>
        <v>En ejecución</v>
      </c>
      <c r="AL294" s="107">
        <f ca="1">SUMIF(COMPROMISOS_2025[[#All],[consecutivo]],Contrato[[#This Row],[RCP]],COMPROMISOS_2025[[#All],[Total pagado]])</f>
        <v>0</v>
      </c>
      <c r="AM294" s="122">
        <f ca="1">IFERROR(Contrato[[#This Row],[Pagos]]/Contrato[[#This Row],[VALOR CONTRATO]],0)</f>
        <v>0</v>
      </c>
      <c r="AN294" s="160">
        <f ca="1">+Contrato[[#This Row],[VALOR CONTRATO]]-Contrato[[#This Row],[Pagos]]</f>
        <v>47854929</v>
      </c>
      <c r="AO294" s="111" t="e" cm="1">
        <f t="array" aca="1" ref="AO294" ca="1">_xlfn.XLOOKUP(Contrato[[#This Row],[DOCUMENTO ]],PERSONAL_ACTIVO_2025[[#All],[DOCUMENTO]],PERSONAL_ACTIVO_2025[[#All],[email]],0,0)</f>
        <v>#NAME?</v>
      </c>
      <c r="AP294" s="111" t="e" cm="1">
        <f t="array" aca="1" ref="AP294" ca="1">_xlfn.XLOOKUP(Contrato[[#This Row],[DOCUMENTO]],PERSONAL_ACTIVO_2025[[#All],[DOCUMENTO]],PERSONAL_ACTIVO_2025[[#All],[email]],0,0)</f>
        <v>#NAME?</v>
      </c>
      <c r="AQ294" s="111" cm="1">
        <f t="array" aca="1" ref="AQ294" ca="1">IF(ISBLANK(Contrato[[#This Row],[DEPENDENCIA ]]),0,IFERROR(_xlfn.XLOOKUP(Contrato[[#This Row],[DEPENDENCIA ]],#REF!,#REF!,0,0),0))</f>
        <v>0</v>
      </c>
      <c r="AR294" s="555">
        <f ca="1">+_xlfn.DAYS(Contrato[[#This Row],[FECHA TERMINACIÓN ]],TODAY())</f>
        <v>225</v>
      </c>
    </row>
    <row r="295" spans="1:44" ht="39.75" customHeight="1" x14ac:dyDescent="0.25">
      <c r="A295" s="38">
        <v>453</v>
      </c>
      <c r="B295" s="226">
        <v>288</v>
      </c>
      <c r="C295" s="88" t="s">
        <v>651</v>
      </c>
      <c r="D295" s="192" t="s">
        <v>911</v>
      </c>
      <c r="E295" s="193" t="s">
        <v>112</v>
      </c>
      <c r="F295" s="194" t="s">
        <v>113</v>
      </c>
      <c r="G295" s="195" t="s">
        <v>1440</v>
      </c>
      <c r="H295" s="346">
        <v>15448726</v>
      </c>
      <c r="I295" s="290">
        <v>2708734</v>
      </c>
      <c r="J295" s="290">
        <v>25100935</v>
      </c>
      <c r="K295" s="158" t="s">
        <v>41</v>
      </c>
      <c r="L295" s="196" t="s">
        <v>1401</v>
      </c>
      <c r="M295" s="114" t="s">
        <v>1091</v>
      </c>
      <c r="N295" s="113" t="e" cm="1">
        <f t="array" aca="1" ref="N295" ca="1">_xlfn.XLOOKUP(Contrato[[#This Row],[SUPERVISOR TITULAR]],PERSONAL_ACTIVO_2025[[#All],[NOMBRES Y APELLIDOS]],PERSONAL_ACTIVO_2025[[#All],[DOCUMENTO]],"",0)</f>
        <v>#NAME?</v>
      </c>
      <c r="O295" s="114" t="s">
        <v>938</v>
      </c>
      <c r="P295" s="115" t="e" cm="1">
        <f t="array" aca="1" ref="P295" ca="1">_xlfn.XLOOKUP(Contrato[[#This Row],[SUPERVISOR SUPLENTE ]],PERSONAL_ACTIVO_2025[[#All],[NOMBRES Y APELLIDOS]],PERSONAL_ACTIVO_2025[[#All],[DOCUMENTO]],"",0)</f>
        <v>#NAME?</v>
      </c>
      <c r="Q295" s="116">
        <v>363</v>
      </c>
      <c r="R295" s="137" t="e" cm="1">
        <f t="array" aca="1" ref="R295" ca="1">_xlfn.XLOOKUP(Contrato[[#This Row],[CDP]],DISPONIBILIDADES_2025[[#All],[consecutivo]],DISPONIBILIDADES_2025[[#All],[fecha_aprobacion]],"",0)</f>
        <v>#NAME?</v>
      </c>
      <c r="S295" s="92">
        <f>SUMIF(DISPONIBILIDADES_2025[[#All],[consecutivo]],Contrato[[#This Row],[CDP]],DISPONIBILIDADES_2025[[#All],[valor_total_rubro]])</f>
        <v>25100935</v>
      </c>
      <c r="T295" s="118" t="e" cm="1">
        <f t="array" aca="1" ref="T295" ca="1">_xlfn.XLOOKUP(Contrato[[#This Row],[CONTRATO]]&amp;Contrato[[#This Row],[CDP]],Corr_Contr_CDP[[#All],[CONTRATO-CDP]],Corr_Contr_CDP[[#All],[CRP]],_xlfn.XLOOKUP(Contrato[[#This Row],[CDP]],COMPROMISOS_2025[[#All],[disponibilidad]],COMPROMISOS_2025[[#All],[consecutivo]],"",0),0)</f>
        <v>#NAME?</v>
      </c>
      <c r="U295" s="117" t="e" cm="1">
        <f t="array" aca="1" ref="U295" ca="1">+_xlfn.XLOOKUP(Contrato[[#This Row],[RCP]],COMPROMISOS_2025[[#All],[consecutivo]],COMPROMISOS_2025[[#All],[fecha_aprobacion]],"",0)</f>
        <v>#NAME?</v>
      </c>
      <c r="V295" s="93">
        <f ca="1">SUMIF(COMPROMISOS_2025[[#All],[consecutivo]],Contrato[[#This Row],[RCP]],COMPROMISOS_2025[[#All],[valor_total]])</f>
        <v>0</v>
      </c>
      <c r="W295" s="243">
        <v>45723</v>
      </c>
      <c r="X295" s="243" t="s">
        <v>901</v>
      </c>
      <c r="Y295" s="96">
        <v>45727</v>
      </c>
      <c r="Z295" s="161">
        <v>46008</v>
      </c>
      <c r="AA295" s="338" t="s">
        <v>1425</v>
      </c>
      <c r="AB295" s="119" t="s">
        <v>1432</v>
      </c>
      <c r="AC295" s="112"/>
      <c r="AD295" s="279">
        <v>202000006472</v>
      </c>
      <c r="AE295" s="38"/>
      <c r="AF295" s="120" t="str">
        <f>TEXT(LEFT(Contrato[[#This Row],[CONTRATO]],3),"0")</f>
        <v>288</v>
      </c>
      <c r="AG295" s="120" t="str">
        <f>IF(LEN(Contrato[[#This Row],[Contrato2]])=3,Contrato[[#This Row],[Contrato2]],TEXT(Contrato[[#This Row],[Contrato2]],"000"))</f>
        <v>288</v>
      </c>
      <c r="AH295" s="90">
        <f ca="1">IFERROR(_xlfn.DAYS(Contrato[[#This Row],[Fecha Proyectada liquidación]],TODAY())/30,"")</f>
        <v>11.5</v>
      </c>
      <c r="AI295" s="121">
        <f>+Contrato[[#This Row],[FECHA TERMINACIÓN ]]+120</f>
        <v>46128</v>
      </c>
      <c r="AK295" s="91" t="str">
        <f ca="1">IF(Contrato[[#This Row],[FECHA TERMINACIÓN ]]&lt;TODAY(), "Terminado",IF(ISNUMBER(Contrato[[#This Row],[Fecha Real de liquiidación ]]),"Liquidado",IF(Contrato[[#This Row],[FECHA TERMINACIÓN ]]&gt;=TODAY(),"En ejecución","")))</f>
        <v>En ejecución</v>
      </c>
      <c r="AL295" s="107">
        <f ca="1">SUMIF(COMPROMISOS_2025[[#All],[consecutivo]],Contrato[[#This Row],[RCP]],COMPROMISOS_2025[[#All],[Total pagado]])</f>
        <v>0</v>
      </c>
      <c r="AM295" s="122">
        <f ca="1">IFERROR(Contrato[[#This Row],[Pagos]]/Contrato[[#This Row],[VALOR CONTRATO]],0)</f>
        <v>0</v>
      </c>
      <c r="AN295" s="160">
        <f ca="1">+Contrato[[#This Row],[VALOR CONTRATO]]-Contrato[[#This Row],[Pagos]]</f>
        <v>25100935</v>
      </c>
      <c r="AO295" s="111" t="e" cm="1">
        <f t="array" aca="1" ref="AO295" ca="1">_xlfn.XLOOKUP(Contrato[[#This Row],[DOCUMENTO ]],PERSONAL_ACTIVO_2025[[#All],[DOCUMENTO]],PERSONAL_ACTIVO_2025[[#All],[email]],0,0)</f>
        <v>#NAME?</v>
      </c>
      <c r="AP295" s="111" t="e" cm="1">
        <f t="array" aca="1" ref="AP295" ca="1">_xlfn.XLOOKUP(Contrato[[#This Row],[DOCUMENTO]],PERSONAL_ACTIVO_2025[[#All],[DOCUMENTO]],PERSONAL_ACTIVO_2025[[#All],[email]],0,0)</f>
        <v>#NAME?</v>
      </c>
      <c r="AQ295" s="111" cm="1">
        <f t="array" aca="1" ref="AQ295" ca="1">IF(ISBLANK(Contrato[[#This Row],[DEPENDENCIA ]]),0,IFERROR(_xlfn.XLOOKUP(Contrato[[#This Row],[DEPENDENCIA ]],#REF!,#REF!,0,0),0))</f>
        <v>0</v>
      </c>
      <c r="AR295" s="555">
        <f ca="1">+_xlfn.DAYS(Contrato[[#This Row],[FECHA TERMINACIÓN ]],TODAY())</f>
        <v>225</v>
      </c>
    </row>
    <row r="296" spans="1:44" ht="39.75" customHeight="1" x14ac:dyDescent="0.25">
      <c r="A296" s="38">
        <v>294</v>
      </c>
      <c r="B296" s="226">
        <v>289</v>
      </c>
      <c r="C296" s="88" t="s">
        <v>492</v>
      </c>
      <c r="D296" s="192" t="s">
        <v>911</v>
      </c>
      <c r="E296" s="193" t="s">
        <v>112</v>
      </c>
      <c r="F296" s="194" t="s">
        <v>113</v>
      </c>
      <c r="G296" s="195" t="s">
        <v>1441</v>
      </c>
      <c r="H296" s="346">
        <v>1017236440</v>
      </c>
      <c r="I296" s="290">
        <v>2708734</v>
      </c>
      <c r="J296" s="290">
        <v>25100935</v>
      </c>
      <c r="K296" s="158" t="s">
        <v>41</v>
      </c>
      <c r="L296" s="196" t="s">
        <v>1401</v>
      </c>
      <c r="M296" s="114" t="s">
        <v>1091</v>
      </c>
      <c r="N296" s="113" t="e" cm="1">
        <f t="array" aca="1" ref="N296" ca="1">_xlfn.XLOOKUP(Contrato[[#This Row],[SUPERVISOR TITULAR]],PERSONAL_ACTIVO_2025[[#All],[NOMBRES Y APELLIDOS]],PERSONAL_ACTIVO_2025[[#All],[DOCUMENTO]],"",0)</f>
        <v>#NAME?</v>
      </c>
      <c r="O296" s="114" t="s">
        <v>938</v>
      </c>
      <c r="P296" s="115" t="e" cm="1">
        <f t="array" aca="1" ref="P296" ca="1">_xlfn.XLOOKUP(Contrato[[#This Row],[SUPERVISOR SUPLENTE ]],PERSONAL_ACTIVO_2025[[#All],[NOMBRES Y APELLIDOS]],PERSONAL_ACTIVO_2025[[#All],[DOCUMENTO]],"",0)</f>
        <v>#NAME?</v>
      </c>
      <c r="Q296" s="116">
        <v>128</v>
      </c>
      <c r="R296" s="137" t="e" cm="1">
        <f t="array" aca="1" ref="R296" ca="1">_xlfn.XLOOKUP(Contrato[[#This Row],[CDP]],DISPONIBILIDADES_2025[[#All],[consecutivo]],DISPONIBILIDADES_2025[[#All],[fecha_aprobacion]],"",0)</f>
        <v>#NAME?</v>
      </c>
      <c r="S296" s="92">
        <f>SUMIF(DISPONIBILIDADES_2025[[#All],[consecutivo]],Contrato[[#This Row],[CDP]],DISPONIBILIDADES_2025[[#All],[valor_total_rubro]])</f>
        <v>26545593</v>
      </c>
      <c r="T296" s="118" t="e" cm="1">
        <f t="array" aca="1" ref="T296" ca="1">_xlfn.XLOOKUP(Contrato[[#This Row],[CONTRATO]]&amp;Contrato[[#This Row],[CDP]],Corr_Contr_CDP[[#All],[CONTRATO-CDP]],Corr_Contr_CDP[[#All],[CRP]],_xlfn.XLOOKUP(Contrato[[#This Row],[CDP]],COMPROMISOS_2025[[#All],[disponibilidad]],COMPROMISOS_2025[[#All],[consecutivo]],"",0),0)</f>
        <v>#NAME?</v>
      </c>
      <c r="U296" s="117" t="e" cm="1">
        <f t="array" aca="1" ref="U296" ca="1">+_xlfn.XLOOKUP(Contrato[[#This Row],[RCP]],COMPROMISOS_2025[[#All],[consecutivo]],COMPROMISOS_2025[[#All],[fecha_aprobacion]],"",0)</f>
        <v>#NAME?</v>
      </c>
      <c r="V296" s="93">
        <f ca="1">SUMIF(COMPROMISOS_2025[[#All],[consecutivo]],Contrato[[#This Row],[RCP]],COMPROMISOS_2025[[#All],[valor_total]])</f>
        <v>0</v>
      </c>
      <c r="W296" s="243">
        <v>45723</v>
      </c>
      <c r="X296" s="243" t="s">
        <v>901</v>
      </c>
      <c r="Y296" s="96">
        <v>45726</v>
      </c>
      <c r="Z296" s="161">
        <v>46008</v>
      </c>
      <c r="AA296" s="338" t="s">
        <v>1425</v>
      </c>
      <c r="AB296" s="119" t="s">
        <v>1426</v>
      </c>
      <c r="AC296" s="112"/>
      <c r="AD296" s="279">
        <v>202000006473</v>
      </c>
      <c r="AE296" s="38"/>
      <c r="AF296" s="120" t="str">
        <f>TEXT(LEFT(Contrato[[#This Row],[CONTRATO]],3),"0")</f>
        <v>289</v>
      </c>
      <c r="AG296" s="120" t="str">
        <f>IF(LEN(Contrato[[#This Row],[Contrato2]])=3,Contrato[[#This Row],[Contrato2]],TEXT(Contrato[[#This Row],[Contrato2]],"000"))</f>
        <v>289</v>
      </c>
      <c r="AH296" s="90">
        <f ca="1">IFERROR(_xlfn.DAYS(Contrato[[#This Row],[Fecha Proyectada liquidación]],TODAY())/30,"")</f>
        <v>11.5</v>
      </c>
      <c r="AI296" s="121">
        <f>+Contrato[[#This Row],[FECHA TERMINACIÓN ]]+120</f>
        <v>46128</v>
      </c>
      <c r="AK296" s="91" t="str">
        <f ca="1">IF(Contrato[[#This Row],[FECHA TERMINACIÓN ]]&lt;TODAY(), "Terminado",IF(ISNUMBER(Contrato[[#This Row],[Fecha Real de liquiidación ]]),"Liquidado",IF(Contrato[[#This Row],[FECHA TERMINACIÓN ]]&gt;=TODAY(),"En ejecución","")))</f>
        <v>En ejecución</v>
      </c>
      <c r="AL296" s="107">
        <f ca="1">SUMIF(COMPROMISOS_2025[[#All],[consecutivo]],Contrato[[#This Row],[RCP]],COMPROMISOS_2025[[#All],[Total pagado]])</f>
        <v>0</v>
      </c>
      <c r="AM296" s="122">
        <f ca="1">IFERROR(Contrato[[#This Row],[Pagos]]/Contrato[[#This Row],[VALOR CONTRATO]],0)</f>
        <v>0</v>
      </c>
      <c r="AN296" s="160">
        <f ca="1">+Contrato[[#This Row],[VALOR CONTRATO]]-Contrato[[#This Row],[Pagos]]</f>
        <v>25100935</v>
      </c>
      <c r="AO296" s="111" t="e" cm="1">
        <f t="array" aca="1" ref="AO296" ca="1">_xlfn.XLOOKUP(Contrato[[#This Row],[DOCUMENTO ]],PERSONAL_ACTIVO_2025[[#All],[DOCUMENTO]],PERSONAL_ACTIVO_2025[[#All],[email]],0,0)</f>
        <v>#NAME?</v>
      </c>
      <c r="AP296" s="111" t="e" cm="1">
        <f t="array" aca="1" ref="AP296" ca="1">_xlfn.XLOOKUP(Contrato[[#This Row],[DOCUMENTO]],PERSONAL_ACTIVO_2025[[#All],[DOCUMENTO]],PERSONAL_ACTIVO_2025[[#All],[email]],0,0)</f>
        <v>#NAME?</v>
      </c>
      <c r="AQ296" s="111" cm="1">
        <f t="array" aca="1" ref="AQ296" ca="1">IF(ISBLANK(Contrato[[#This Row],[DEPENDENCIA ]]),0,IFERROR(_xlfn.XLOOKUP(Contrato[[#This Row],[DEPENDENCIA ]],#REF!,#REF!,0,0),0))</f>
        <v>0</v>
      </c>
      <c r="AR296" s="555">
        <f ca="1">+_xlfn.DAYS(Contrato[[#This Row],[FECHA TERMINACIÓN ]],TODAY())</f>
        <v>225</v>
      </c>
    </row>
    <row r="297" spans="1:44" ht="39.75" customHeight="1" x14ac:dyDescent="0.25">
      <c r="A297" s="38">
        <v>297</v>
      </c>
      <c r="B297" s="226">
        <v>290</v>
      </c>
      <c r="C297" s="88" t="s">
        <v>495</v>
      </c>
      <c r="D297" s="192" t="s">
        <v>911</v>
      </c>
      <c r="E297" s="193" t="s">
        <v>112</v>
      </c>
      <c r="F297" s="194" t="s">
        <v>113</v>
      </c>
      <c r="G297" s="195" t="s">
        <v>1442</v>
      </c>
      <c r="H297" s="346">
        <v>1036955515</v>
      </c>
      <c r="I297" s="290">
        <v>5164201</v>
      </c>
      <c r="J297" s="290">
        <v>47854929</v>
      </c>
      <c r="K297" s="158" t="s">
        <v>41</v>
      </c>
      <c r="L297" s="196" t="s">
        <v>1401</v>
      </c>
      <c r="M297" s="114" t="s">
        <v>1091</v>
      </c>
      <c r="N297" s="113" t="e" cm="1">
        <f t="array" aca="1" ref="N297" ca="1">_xlfn.XLOOKUP(Contrato[[#This Row],[SUPERVISOR TITULAR]],PERSONAL_ACTIVO_2025[[#All],[NOMBRES Y APELLIDOS]],PERSONAL_ACTIVO_2025[[#All],[DOCUMENTO]],"",0)</f>
        <v>#NAME?</v>
      </c>
      <c r="O297" s="114" t="s">
        <v>938</v>
      </c>
      <c r="P297" s="115" t="e" cm="1">
        <f t="array" aca="1" ref="P297" ca="1">_xlfn.XLOOKUP(Contrato[[#This Row],[SUPERVISOR SUPLENTE ]],PERSONAL_ACTIVO_2025[[#All],[NOMBRES Y APELLIDOS]],PERSONAL_ACTIVO_2025[[#All],[DOCUMENTO]],"",0)</f>
        <v>#NAME?</v>
      </c>
      <c r="Q297" s="116">
        <v>131</v>
      </c>
      <c r="R297" s="137" t="e" cm="1">
        <f t="array" aca="1" ref="R297" ca="1">_xlfn.XLOOKUP(Contrato[[#This Row],[CDP]],DISPONIBILIDADES_2025[[#All],[consecutivo]],DISPONIBILIDADES_2025[[#All],[fecha_aprobacion]],"",0)</f>
        <v>#NAME?</v>
      </c>
      <c r="S297" s="92">
        <f>SUMIF(DISPONIBILIDADES_2025[[#All],[consecutivo]],Contrato[[#This Row],[CDP]],DISPONIBILIDADES_2025[[#All],[valor_total_rubro]])</f>
        <v>50609170</v>
      </c>
      <c r="T297" s="118" t="e" cm="1">
        <f t="array" aca="1" ref="T297" ca="1">_xlfn.XLOOKUP(Contrato[[#This Row],[CONTRATO]]&amp;Contrato[[#This Row],[CDP]],Corr_Contr_CDP[[#All],[CONTRATO-CDP]],Corr_Contr_CDP[[#All],[CRP]],_xlfn.XLOOKUP(Contrato[[#This Row],[CDP]],COMPROMISOS_2025[[#All],[disponibilidad]],COMPROMISOS_2025[[#All],[consecutivo]],"",0),0)</f>
        <v>#NAME?</v>
      </c>
      <c r="U297" s="117" t="e" cm="1">
        <f t="array" aca="1" ref="U297" ca="1">+_xlfn.XLOOKUP(Contrato[[#This Row],[RCP]],COMPROMISOS_2025[[#All],[consecutivo]],COMPROMISOS_2025[[#All],[fecha_aprobacion]],"",0)</f>
        <v>#NAME?</v>
      </c>
      <c r="V297" s="93">
        <f ca="1">SUMIF(COMPROMISOS_2025[[#All],[consecutivo]],Contrato[[#This Row],[RCP]],COMPROMISOS_2025[[#All],[valor_total]])</f>
        <v>0</v>
      </c>
      <c r="W297" s="243">
        <v>45723</v>
      </c>
      <c r="X297" s="243" t="s">
        <v>901</v>
      </c>
      <c r="Y297" s="96">
        <v>45727</v>
      </c>
      <c r="Z297" s="161">
        <v>46008</v>
      </c>
      <c r="AA297" s="338" t="s">
        <v>1425</v>
      </c>
      <c r="AB297" s="119" t="s">
        <v>1432</v>
      </c>
      <c r="AC297" s="112"/>
      <c r="AD297" s="279">
        <v>202000006474</v>
      </c>
      <c r="AE297" s="38"/>
      <c r="AF297" s="120" t="str">
        <f>TEXT(LEFT(Contrato[[#This Row],[CONTRATO]],3),"0")</f>
        <v>290</v>
      </c>
      <c r="AG297" s="120" t="str">
        <f>IF(LEN(Contrato[[#This Row],[Contrato2]])=3,Contrato[[#This Row],[Contrato2]],TEXT(Contrato[[#This Row],[Contrato2]],"000"))</f>
        <v>290</v>
      </c>
      <c r="AH297" s="90">
        <f ca="1">IFERROR(_xlfn.DAYS(Contrato[[#This Row],[Fecha Proyectada liquidación]],TODAY())/30,"")</f>
        <v>11.5</v>
      </c>
      <c r="AI297" s="121">
        <f>+Contrato[[#This Row],[FECHA TERMINACIÓN ]]+120</f>
        <v>46128</v>
      </c>
      <c r="AK297" s="91" t="str">
        <f ca="1">IF(Contrato[[#This Row],[FECHA TERMINACIÓN ]]&lt;TODAY(), "Terminado",IF(ISNUMBER(Contrato[[#This Row],[Fecha Real de liquiidación ]]),"Liquidado",IF(Contrato[[#This Row],[FECHA TERMINACIÓN ]]&gt;=TODAY(),"En ejecución","")))</f>
        <v>En ejecución</v>
      </c>
      <c r="AL297" s="107">
        <f ca="1">SUMIF(COMPROMISOS_2025[[#All],[consecutivo]],Contrato[[#This Row],[RCP]],COMPROMISOS_2025[[#All],[Total pagado]])</f>
        <v>0</v>
      </c>
      <c r="AM297" s="122">
        <f ca="1">IFERROR(Contrato[[#This Row],[Pagos]]/Contrato[[#This Row],[VALOR CONTRATO]],0)</f>
        <v>0</v>
      </c>
      <c r="AN297" s="160">
        <f ca="1">+Contrato[[#This Row],[VALOR CONTRATO]]-Contrato[[#This Row],[Pagos]]</f>
        <v>47854929</v>
      </c>
      <c r="AO297" s="111" t="e" cm="1">
        <f t="array" aca="1" ref="AO297" ca="1">_xlfn.XLOOKUP(Contrato[[#This Row],[DOCUMENTO ]],PERSONAL_ACTIVO_2025[[#All],[DOCUMENTO]],PERSONAL_ACTIVO_2025[[#All],[email]],0,0)</f>
        <v>#NAME?</v>
      </c>
      <c r="AP297" s="111" t="e" cm="1">
        <f t="array" aca="1" ref="AP297" ca="1">_xlfn.XLOOKUP(Contrato[[#This Row],[DOCUMENTO]],PERSONAL_ACTIVO_2025[[#All],[DOCUMENTO]],PERSONAL_ACTIVO_2025[[#All],[email]],0,0)</f>
        <v>#NAME?</v>
      </c>
      <c r="AQ297" s="111" cm="1">
        <f t="array" aca="1" ref="AQ297" ca="1">IF(ISBLANK(Contrato[[#This Row],[DEPENDENCIA ]]),0,IFERROR(_xlfn.XLOOKUP(Contrato[[#This Row],[DEPENDENCIA ]],#REF!,#REF!,0,0),0))</f>
        <v>0</v>
      </c>
      <c r="AR297" s="555">
        <f ca="1">+_xlfn.DAYS(Contrato[[#This Row],[FECHA TERMINACIÓN ]],TODAY())</f>
        <v>225</v>
      </c>
    </row>
    <row r="298" spans="1:44" ht="39.75" customHeight="1" x14ac:dyDescent="0.25">
      <c r="A298" s="38">
        <v>350</v>
      </c>
      <c r="B298" s="226">
        <v>291</v>
      </c>
      <c r="C298" s="88" t="s">
        <v>548</v>
      </c>
      <c r="D298" s="192" t="s">
        <v>911</v>
      </c>
      <c r="E298" s="193" t="s">
        <v>112</v>
      </c>
      <c r="F298" s="194" t="s">
        <v>113</v>
      </c>
      <c r="G298" s="195" t="s">
        <v>1443</v>
      </c>
      <c r="H298" s="346">
        <v>21533036</v>
      </c>
      <c r="I298" s="290">
        <v>5164201</v>
      </c>
      <c r="J298" s="290">
        <v>47854929</v>
      </c>
      <c r="K298" s="158" t="s">
        <v>41</v>
      </c>
      <c r="L298" s="196" t="s">
        <v>1401</v>
      </c>
      <c r="M298" s="114" t="s">
        <v>1091</v>
      </c>
      <c r="N298" s="113" t="e" cm="1">
        <f t="array" aca="1" ref="N298" ca="1">_xlfn.XLOOKUP(Contrato[[#This Row],[SUPERVISOR TITULAR]],PERSONAL_ACTIVO_2025[[#All],[NOMBRES Y APELLIDOS]],PERSONAL_ACTIVO_2025[[#All],[DOCUMENTO]],"",0)</f>
        <v>#NAME?</v>
      </c>
      <c r="O298" s="114" t="s">
        <v>938</v>
      </c>
      <c r="P298" s="115" t="e" cm="1">
        <f t="array" aca="1" ref="P298" ca="1">_xlfn.XLOOKUP(Contrato[[#This Row],[SUPERVISOR SUPLENTE ]],PERSONAL_ACTIVO_2025[[#All],[NOMBRES Y APELLIDOS]],PERSONAL_ACTIVO_2025[[#All],[DOCUMENTO]],"",0)</f>
        <v>#NAME?</v>
      </c>
      <c r="Q298" s="116">
        <v>184</v>
      </c>
      <c r="R298" s="137" t="e" cm="1">
        <f t="array" aca="1" ref="R298" ca="1">_xlfn.XLOOKUP(Contrato[[#This Row],[CDP]],DISPONIBILIDADES_2025[[#All],[consecutivo]],DISPONIBILIDADES_2025[[#All],[fecha_aprobacion]],"",0)</f>
        <v>#NAME?</v>
      </c>
      <c r="S298" s="92">
        <f>SUMIF(DISPONIBILIDADES_2025[[#All],[consecutivo]],Contrato[[#This Row],[CDP]],DISPONIBILIDADES_2025[[#All],[valor_total_rubro]])</f>
        <v>50609170</v>
      </c>
      <c r="T298" s="118" t="e" cm="1">
        <f t="array" aca="1" ref="T298" ca="1">_xlfn.XLOOKUP(Contrato[[#This Row],[CONTRATO]]&amp;Contrato[[#This Row],[CDP]],Corr_Contr_CDP[[#All],[CONTRATO-CDP]],Corr_Contr_CDP[[#All],[CRP]],_xlfn.XLOOKUP(Contrato[[#This Row],[CDP]],COMPROMISOS_2025[[#All],[disponibilidad]],COMPROMISOS_2025[[#All],[consecutivo]],"",0),0)</f>
        <v>#NAME?</v>
      </c>
      <c r="U298" s="117" t="e" cm="1">
        <f t="array" aca="1" ref="U298" ca="1">+_xlfn.XLOOKUP(Contrato[[#This Row],[RCP]],COMPROMISOS_2025[[#All],[consecutivo]],COMPROMISOS_2025[[#All],[fecha_aprobacion]],"",0)</f>
        <v>#NAME?</v>
      </c>
      <c r="V298" s="93">
        <f ca="1">SUMIF(COMPROMISOS_2025[[#All],[consecutivo]],Contrato[[#This Row],[RCP]],COMPROMISOS_2025[[#All],[valor_total]])</f>
        <v>0</v>
      </c>
      <c r="W298" s="243">
        <v>45723</v>
      </c>
      <c r="X298" s="243" t="s">
        <v>901</v>
      </c>
      <c r="Y298" s="96">
        <v>45726</v>
      </c>
      <c r="Z298" s="161">
        <v>46008</v>
      </c>
      <c r="AA298" s="338" t="s">
        <v>1425</v>
      </c>
      <c r="AB298" s="119" t="s">
        <v>1426</v>
      </c>
      <c r="AC298" s="112"/>
      <c r="AD298" s="279">
        <v>202000006476</v>
      </c>
      <c r="AE298" s="38"/>
      <c r="AF298" s="120" t="str">
        <f>TEXT(LEFT(Contrato[[#This Row],[CONTRATO]],3),"0")</f>
        <v>291</v>
      </c>
      <c r="AG298" s="120" t="str">
        <f>IF(LEN(Contrato[[#This Row],[Contrato2]])=3,Contrato[[#This Row],[Contrato2]],TEXT(Contrato[[#This Row],[Contrato2]],"000"))</f>
        <v>291</v>
      </c>
      <c r="AH298" s="90">
        <f ca="1">IFERROR(_xlfn.DAYS(Contrato[[#This Row],[Fecha Proyectada liquidación]],TODAY())/30,"")</f>
        <v>11.5</v>
      </c>
      <c r="AI298" s="121">
        <f>+Contrato[[#This Row],[FECHA TERMINACIÓN ]]+120</f>
        <v>46128</v>
      </c>
      <c r="AK298" s="91" t="str">
        <f ca="1">IF(Contrato[[#This Row],[FECHA TERMINACIÓN ]]&lt;TODAY(), "Terminado",IF(ISNUMBER(Contrato[[#This Row],[Fecha Real de liquiidación ]]),"Liquidado",IF(Contrato[[#This Row],[FECHA TERMINACIÓN ]]&gt;=TODAY(),"En ejecución","")))</f>
        <v>En ejecución</v>
      </c>
      <c r="AL298" s="107">
        <f ca="1">SUMIF(COMPROMISOS_2025[[#All],[consecutivo]],Contrato[[#This Row],[RCP]],COMPROMISOS_2025[[#All],[Total pagado]])</f>
        <v>0</v>
      </c>
      <c r="AM298" s="122">
        <f ca="1">IFERROR(Contrato[[#This Row],[Pagos]]/Contrato[[#This Row],[VALOR CONTRATO]],0)</f>
        <v>0</v>
      </c>
      <c r="AN298" s="160">
        <f ca="1">+Contrato[[#This Row],[VALOR CONTRATO]]-Contrato[[#This Row],[Pagos]]</f>
        <v>47854929</v>
      </c>
      <c r="AO298" s="111" t="e" cm="1">
        <f t="array" aca="1" ref="AO298" ca="1">_xlfn.XLOOKUP(Contrato[[#This Row],[DOCUMENTO ]],PERSONAL_ACTIVO_2025[[#All],[DOCUMENTO]],PERSONAL_ACTIVO_2025[[#All],[email]],0,0)</f>
        <v>#NAME?</v>
      </c>
      <c r="AP298" s="111" t="e" cm="1">
        <f t="array" aca="1" ref="AP298" ca="1">_xlfn.XLOOKUP(Contrato[[#This Row],[DOCUMENTO]],PERSONAL_ACTIVO_2025[[#All],[DOCUMENTO]],PERSONAL_ACTIVO_2025[[#All],[email]],0,0)</f>
        <v>#NAME?</v>
      </c>
      <c r="AQ298" s="111" cm="1">
        <f t="array" aca="1" ref="AQ298" ca="1">IF(ISBLANK(Contrato[[#This Row],[DEPENDENCIA ]]),0,IFERROR(_xlfn.XLOOKUP(Contrato[[#This Row],[DEPENDENCIA ]],#REF!,#REF!,0,0),0))</f>
        <v>0</v>
      </c>
      <c r="AR298" s="555">
        <f ca="1">+_xlfn.DAYS(Contrato[[#This Row],[FECHA TERMINACIÓN ]],TODAY())</f>
        <v>225</v>
      </c>
    </row>
    <row r="299" spans="1:44" ht="39.75" customHeight="1" x14ac:dyDescent="0.25">
      <c r="A299" s="38">
        <v>310</v>
      </c>
      <c r="B299" s="226">
        <v>292</v>
      </c>
      <c r="C299" s="88" t="s">
        <v>508</v>
      </c>
      <c r="D299" s="192" t="s">
        <v>911</v>
      </c>
      <c r="E299" s="193" t="s">
        <v>112</v>
      </c>
      <c r="F299" s="194" t="s">
        <v>113</v>
      </c>
      <c r="G299" s="195" t="s">
        <v>1444</v>
      </c>
      <c r="H299" s="346">
        <v>98530582</v>
      </c>
      <c r="I299" s="290">
        <v>4157906</v>
      </c>
      <c r="J299" s="290">
        <v>38529929</v>
      </c>
      <c r="K299" s="158" t="s">
        <v>41</v>
      </c>
      <c r="L299" s="196" t="s">
        <v>1401</v>
      </c>
      <c r="M299" s="114" t="s">
        <v>939</v>
      </c>
      <c r="N299" s="113" t="e" cm="1">
        <f t="array" aca="1" ref="N299" ca="1">_xlfn.XLOOKUP(Contrato[[#This Row],[SUPERVISOR TITULAR]],PERSONAL_ACTIVO_2025[[#All],[NOMBRES Y APELLIDOS]],PERSONAL_ACTIVO_2025[[#All],[DOCUMENTO]],"",0)</f>
        <v>#NAME?</v>
      </c>
      <c r="O299" s="114" t="s">
        <v>943</v>
      </c>
      <c r="P299" s="115" t="e" cm="1">
        <f t="array" aca="1" ref="P299" ca="1">_xlfn.XLOOKUP(Contrato[[#This Row],[SUPERVISOR SUPLENTE ]],PERSONAL_ACTIVO_2025[[#All],[NOMBRES Y APELLIDOS]],PERSONAL_ACTIVO_2025[[#All],[DOCUMENTO]],"",0)</f>
        <v>#NAME?</v>
      </c>
      <c r="Q299" s="116">
        <v>144</v>
      </c>
      <c r="R299" s="137" t="e" cm="1">
        <f t="array" aca="1" ref="R299" ca="1">_xlfn.XLOOKUP(Contrato[[#This Row],[CDP]],DISPONIBILIDADES_2025[[#All],[consecutivo]],DISPONIBILIDADES_2025[[#All],[fecha_aprobacion]],"",0)</f>
        <v>#NAME?</v>
      </c>
      <c r="S299" s="92">
        <f>SUMIF(DISPONIBILIDADES_2025[[#All],[consecutivo]],Contrato[[#This Row],[CDP]],DISPONIBILIDADES_2025[[#All],[valor_total_rubro]])</f>
        <v>40747479</v>
      </c>
      <c r="T299" s="118" t="e" cm="1">
        <f t="array" aca="1" ref="T299" ca="1">_xlfn.XLOOKUP(Contrato[[#This Row],[CONTRATO]]&amp;Contrato[[#This Row],[CDP]],Corr_Contr_CDP[[#All],[CONTRATO-CDP]],Corr_Contr_CDP[[#All],[CRP]],_xlfn.XLOOKUP(Contrato[[#This Row],[CDP]],COMPROMISOS_2025[[#All],[disponibilidad]],COMPROMISOS_2025[[#All],[consecutivo]],"",0),0)</f>
        <v>#NAME?</v>
      </c>
      <c r="U299" s="117" t="e" cm="1">
        <f t="array" aca="1" ref="U299" ca="1">+_xlfn.XLOOKUP(Contrato[[#This Row],[RCP]],COMPROMISOS_2025[[#All],[consecutivo]],COMPROMISOS_2025[[#All],[fecha_aprobacion]],"",0)</f>
        <v>#NAME?</v>
      </c>
      <c r="V299" s="93">
        <f ca="1">SUMIF(COMPROMISOS_2025[[#All],[consecutivo]],Contrato[[#This Row],[RCP]],COMPROMISOS_2025[[#All],[valor_total]])</f>
        <v>0</v>
      </c>
      <c r="W299" s="243">
        <v>45723</v>
      </c>
      <c r="X299" s="243" t="s">
        <v>901</v>
      </c>
      <c r="Y299" s="96">
        <v>45726</v>
      </c>
      <c r="Z299" s="161">
        <v>46008</v>
      </c>
      <c r="AA299" s="338" t="s">
        <v>1425</v>
      </c>
      <c r="AB299" s="119" t="s">
        <v>1426</v>
      </c>
      <c r="AC299" s="112"/>
      <c r="AD299" s="279">
        <v>202000006477</v>
      </c>
      <c r="AE299" s="38"/>
      <c r="AF299" s="120" t="str">
        <f>TEXT(LEFT(Contrato[[#This Row],[CONTRATO]],3),"0")</f>
        <v>292</v>
      </c>
      <c r="AG299" s="120" t="str">
        <f>IF(LEN(Contrato[[#This Row],[Contrato2]])=3,Contrato[[#This Row],[Contrato2]],TEXT(Contrato[[#This Row],[Contrato2]],"000"))</f>
        <v>292</v>
      </c>
      <c r="AH299" s="90">
        <f ca="1">IFERROR(_xlfn.DAYS(Contrato[[#This Row],[Fecha Proyectada liquidación]],TODAY())/30,"")</f>
        <v>11.5</v>
      </c>
      <c r="AI299" s="121">
        <f>+Contrato[[#This Row],[FECHA TERMINACIÓN ]]+120</f>
        <v>46128</v>
      </c>
      <c r="AK299" s="91" t="str">
        <f ca="1">IF(Contrato[[#This Row],[FECHA TERMINACIÓN ]]&lt;TODAY(), "Terminado",IF(ISNUMBER(Contrato[[#This Row],[Fecha Real de liquiidación ]]),"Liquidado",IF(Contrato[[#This Row],[FECHA TERMINACIÓN ]]&gt;=TODAY(),"En ejecución","")))</f>
        <v>En ejecución</v>
      </c>
      <c r="AL299" s="107">
        <f ca="1">SUMIF(COMPROMISOS_2025[[#All],[consecutivo]],Contrato[[#This Row],[RCP]],COMPROMISOS_2025[[#All],[Total pagado]])</f>
        <v>0</v>
      </c>
      <c r="AM299" s="122">
        <f ca="1">IFERROR(Contrato[[#This Row],[Pagos]]/Contrato[[#This Row],[VALOR CONTRATO]],0)</f>
        <v>0</v>
      </c>
      <c r="AN299" s="160">
        <f ca="1">+Contrato[[#This Row],[VALOR CONTRATO]]-Contrato[[#This Row],[Pagos]]</f>
        <v>38529929</v>
      </c>
      <c r="AO299" s="111" t="e" cm="1">
        <f t="array" aca="1" ref="AO299" ca="1">_xlfn.XLOOKUP(Contrato[[#This Row],[DOCUMENTO ]],PERSONAL_ACTIVO_2025[[#All],[DOCUMENTO]],PERSONAL_ACTIVO_2025[[#All],[email]],0,0)</f>
        <v>#NAME?</v>
      </c>
      <c r="AP299" s="111" t="e" cm="1">
        <f t="array" aca="1" ref="AP299" ca="1">_xlfn.XLOOKUP(Contrato[[#This Row],[DOCUMENTO]],PERSONAL_ACTIVO_2025[[#All],[DOCUMENTO]],PERSONAL_ACTIVO_2025[[#All],[email]],0,0)</f>
        <v>#NAME?</v>
      </c>
      <c r="AQ299" s="111" cm="1">
        <f t="array" aca="1" ref="AQ299" ca="1">IF(ISBLANK(Contrato[[#This Row],[DEPENDENCIA ]]),0,IFERROR(_xlfn.XLOOKUP(Contrato[[#This Row],[DEPENDENCIA ]],#REF!,#REF!,0,0),0))</f>
        <v>0</v>
      </c>
      <c r="AR299" s="555">
        <f ca="1">+_xlfn.DAYS(Contrato[[#This Row],[FECHA TERMINACIÓN ]],TODAY())</f>
        <v>225</v>
      </c>
    </row>
    <row r="300" spans="1:44" ht="39.75" customHeight="1" x14ac:dyDescent="0.25">
      <c r="A300" s="38">
        <v>311</v>
      </c>
      <c r="B300" s="226">
        <v>293</v>
      </c>
      <c r="C300" s="88" t="s">
        <v>509</v>
      </c>
      <c r="D300" s="192" t="s">
        <v>911</v>
      </c>
      <c r="E300" s="193" t="s">
        <v>112</v>
      </c>
      <c r="F300" s="194" t="s">
        <v>113</v>
      </c>
      <c r="G300" s="195" t="s">
        <v>1445</v>
      </c>
      <c r="H300" s="346">
        <v>15446640</v>
      </c>
      <c r="I300" s="290">
        <v>4157906</v>
      </c>
      <c r="J300" s="290">
        <v>38529929</v>
      </c>
      <c r="K300" s="158" t="s">
        <v>41</v>
      </c>
      <c r="L300" s="196" t="s">
        <v>1401</v>
      </c>
      <c r="M300" s="114" t="s">
        <v>939</v>
      </c>
      <c r="N300" s="113" t="e" cm="1">
        <f t="array" aca="1" ref="N300" ca="1">_xlfn.XLOOKUP(Contrato[[#This Row],[SUPERVISOR TITULAR]],PERSONAL_ACTIVO_2025[[#All],[NOMBRES Y APELLIDOS]],PERSONAL_ACTIVO_2025[[#All],[DOCUMENTO]],"",0)</f>
        <v>#NAME?</v>
      </c>
      <c r="O300" s="114" t="s">
        <v>943</v>
      </c>
      <c r="P300" s="115" t="e" cm="1">
        <f t="array" aca="1" ref="P300" ca="1">_xlfn.XLOOKUP(Contrato[[#This Row],[SUPERVISOR SUPLENTE ]],PERSONAL_ACTIVO_2025[[#All],[NOMBRES Y APELLIDOS]],PERSONAL_ACTIVO_2025[[#All],[DOCUMENTO]],"",0)</f>
        <v>#NAME?</v>
      </c>
      <c r="Q300" s="116">
        <v>145</v>
      </c>
      <c r="R300" s="137" t="e" cm="1">
        <f t="array" aca="1" ref="R300" ca="1">_xlfn.XLOOKUP(Contrato[[#This Row],[CDP]],DISPONIBILIDADES_2025[[#All],[consecutivo]],DISPONIBILIDADES_2025[[#All],[fecha_aprobacion]],"",0)</f>
        <v>#NAME?</v>
      </c>
      <c r="S300" s="92">
        <f>SUMIF(DISPONIBILIDADES_2025[[#All],[consecutivo]],Contrato[[#This Row],[CDP]],DISPONIBILIDADES_2025[[#All],[valor_total_rubro]])</f>
        <v>40747479</v>
      </c>
      <c r="T300" s="118" t="e" cm="1">
        <f t="array" aca="1" ref="T300" ca="1">_xlfn.XLOOKUP(Contrato[[#This Row],[CONTRATO]]&amp;Contrato[[#This Row],[CDP]],Corr_Contr_CDP[[#All],[CONTRATO-CDP]],Corr_Contr_CDP[[#All],[CRP]],_xlfn.XLOOKUP(Contrato[[#This Row],[CDP]],COMPROMISOS_2025[[#All],[disponibilidad]],COMPROMISOS_2025[[#All],[consecutivo]],"",0),0)</f>
        <v>#NAME?</v>
      </c>
      <c r="U300" s="117" t="e" cm="1">
        <f t="array" aca="1" ref="U300" ca="1">+_xlfn.XLOOKUP(Contrato[[#This Row],[RCP]],COMPROMISOS_2025[[#All],[consecutivo]],COMPROMISOS_2025[[#All],[fecha_aprobacion]],"",0)</f>
        <v>#NAME?</v>
      </c>
      <c r="V300" s="93">
        <f ca="1">SUMIF(COMPROMISOS_2025[[#All],[consecutivo]],Contrato[[#This Row],[RCP]],COMPROMISOS_2025[[#All],[valor_total]])</f>
        <v>0</v>
      </c>
      <c r="W300" s="243">
        <v>45723</v>
      </c>
      <c r="X300" s="243" t="s">
        <v>901</v>
      </c>
      <c r="Y300" s="96">
        <v>45726</v>
      </c>
      <c r="Z300" s="161">
        <v>46008</v>
      </c>
      <c r="AA300" s="338" t="s">
        <v>1425</v>
      </c>
      <c r="AB300" s="119" t="s">
        <v>1426</v>
      </c>
      <c r="AC300" s="112"/>
      <c r="AD300" s="279">
        <v>202000006478</v>
      </c>
      <c r="AE300" s="38"/>
      <c r="AF300" s="120" t="str">
        <f>TEXT(LEFT(Contrato[[#This Row],[CONTRATO]],3),"0")</f>
        <v>293</v>
      </c>
      <c r="AG300" s="120" t="str">
        <f>IF(LEN(Contrato[[#This Row],[Contrato2]])=3,Contrato[[#This Row],[Contrato2]],TEXT(Contrato[[#This Row],[Contrato2]],"000"))</f>
        <v>293</v>
      </c>
      <c r="AH300" s="90">
        <f ca="1">IFERROR(_xlfn.DAYS(Contrato[[#This Row],[Fecha Proyectada liquidación]],TODAY())/30,"")</f>
        <v>11.5</v>
      </c>
      <c r="AI300" s="121">
        <f>+Contrato[[#This Row],[FECHA TERMINACIÓN ]]+120</f>
        <v>46128</v>
      </c>
      <c r="AK300" s="91" t="str">
        <f ca="1">IF(Contrato[[#This Row],[FECHA TERMINACIÓN ]]&lt;TODAY(), "Terminado",IF(ISNUMBER(Contrato[[#This Row],[Fecha Real de liquiidación ]]),"Liquidado",IF(Contrato[[#This Row],[FECHA TERMINACIÓN ]]&gt;=TODAY(),"En ejecución","")))</f>
        <v>En ejecución</v>
      </c>
      <c r="AL300" s="107">
        <f ca="1">SUMIF(COMPROMISOS_2025[[#All],[consecutivo]],Contrato[[#This Row],[RCP]],COMPROMISOS_2025[[#All],[Total pagado]])</f>
        <v>0</v>
      </c>
      <c r="AM300" s="122">
        <f ca="1">IFERROR(Contrato[[#This Row],[Pagos]]/Contrato[[#This Row],[VALOR CONTRATO]],0)</f>
        <v>0</v>
      </c>
      <c r="AN300" s="160">
        <f ca="1">+Contrato[[#This Row],[VALOR CONTRATO]]-Contrato[[#This Row],[Pagos]]</f>
        <v>38529929</v>
      </c>
      <c r="AO300" s="111" t="e" cm="1">
        <f t="array" aca="1" ref="AO300" ca="1">_xlfn.XLOOKUP(Contrato[[#This Row],[DOCUMENTO ]],PERSONAL_ACTIVO_2025[[#All],[DOCUMENTO]],PERSONAL_ACTIVO_2025[[#All],[email]],0,0)</f>
        <v>#NAME?</v>
      </c>
      <c r="AP300" s="111" t="e" cm="1">
        <f t="array" aca="1" ref="AP300" ca="1">_xlfn.XLOOKUP(Contrato[[#This Row],[DOCUMENTO]],PERSONAL_ACTIVO_2025[[#All],[DOCUMENTO]],PERSONAL_ACTIVO_2025[[#All],[email]],0,0)</f>
        <v>#NAME?</v>
      </c>
      <c r="AQ300" s="111" cm="1">
        <f t="array" aca="1" ref="AQ300" ca="1">IF(ISBLANK(Contrato[[#This Row],[DEPENDENCIA ]]),0,IFERROR(_xlfn.XLOOKUP(Contrato[[#This Row],[DEPENDENCIA ]],#REF!,#REF!,0,0),0))</f>
        <v>0</v>
      </c>
      <c r="AR300" s="555">
        <f ca="1">+_xlfn.DAYS(Contrato[[#This Row],[FECHA TERMINACIÓN ]],TODAY())</f>
        <v>225</v>
      </c>
    </row>
    <row r="301" spans="1:44" ht="39.75" customHeight="1" x14ac:dyDescent="0.25">
      <c r="A301" s="38">
        <v>324</v>
      </c>
      <c r="B301" s="226">
        <v>294</v>
      </c>
      <c r="C301" s="88" t="s">
        <v>522</v>
      </c>
      <c r="D301" s="192" t="s">
        <v>911</v>
      </c>
      <c r="E301" s="193" t="s">
        <v>112</v>
      </c>
      <c r="F301" s="194" t="s">
        <v>113</v>
      </c>
      <c r="G301" s="195" t="s">
        <v>1446</v>
      </c>
      <c r="H301" s="346">
        <v>7319786</v>
      </c>
      <c r="I301" s="290">
        <v>2708734</v>
      </c>
      <c r="J301" s="290">
        <v>10925227</v>
      </c>
      <c r="K301" s="158" t="s">
        <v>41</v>
      </c>
      <c r="L301" s="196" t="s">
        <v>1401</v>
      </c>
      <c r="M301" s="114" t="s">
        <v>939</v>
      </c>
      <c r="N301" s="113" t="e" cm="1">
        <f t="array" aca="1" ref="N301" ca="1">_xlfn.XLOOKUP(Contrato[[#This Row],[SUPERVISOR TITULAR]],PERSONAL_ACTIVO_2025[[#All],[NOMBRES Y APELLIDOS]],PERSONAL_ACTIVO_2025[[#All],[DOCUMENTO]],"",0)</f>
        <v>#NAME?</v>
      </c>
      <c r="O301" s="114" t="s">
        <v>943</v>
      </c>
      <c r="P301" s="115" t="e" cm="1">
        <f t="array" aca="1" ref="P301" ca="1">_xlfn.XLOOKUP(Contrato[[#This Row],[SUPERVISOR SUPLENTE ]],PERSONAL_ACTIVO_2025[[#All],[NOMBRES Y APELLIDOS]],PERSONAL_ACTIVO_2025[[#All],[DOCUMENTO]],"",0)</f>
        <v>#NAME?</v>
      </c>
      <c r="Q301" s="116">
        <v>158</v>
      </c>
      <c r="R301" s="137" t="e" cm="1">
        <f t="array" aca="1" ref="R301" ca="1">_xlfn.XLOOKUP(Contrato[[#This Row],[CDP]],DISPONIBILIDADES_2025[[#All],[consecutivo]],DISPONIBILIDADES_2025[[#All],[fecha_aprobacion]],"",0)</f>
        <v>#NAME?</v>
      </c>
      <c r="S301" s="92">
        <f>SUMIF(DISPONIBILIDADES_2025[[#All],[consecutivo]],Contrato[[#This Row],[CDP]],DISPONIBILIDADES_2025[[#All],[valor_total_rubro]])</f>
        <v>26545593</v>
      </c>
      <c r="T301" s="118" t="e" cm="1">
        <f t="array" aca="1" ref="T301" ca="1">_xlfn.XLOOKUP(Contrato[[#This Row],[CONTRATO]]&amp;Contrato[[#This Row],[CDP]],Corr_Contr_CDP[[#All],[CONTRATO-CDP]],Corr_Contr_CDP[[#All],[CRP]],_xlfn.XLOOKUP(Contrato[[#This Row],[CDP]],COMPROMISOS_2025[[#All],[disponibilidad]],COMPROMISOS_2025[[#All],[consecutivo]],"",0),0)</f>
        <v>#NAME?</v>
      </c>
      <c r="U301" s="117" t="e" cm="1">
        <f t="array" aca="1" ref="U301" ca="1">+_xlfn.XLOOKUP(Contrato[[#This Row],[RCP]],COMPROMISOS_2025[[#All],[consecutivo]],COMPROMISOS_2025[[#All],[fecha_aprobacion]],"",0)</f>
        <v>#NAME?</v>
      </c>
      <c r="V301" s="93">
        <f ca="1">SUMIF(COMPROMISOS_2025[[#All],[consecutivo]],Contrato[[#This Row],[RCP]],COMPROMISOS_2025[[#All],[valor_total]])</f>
        <v>0</v>
      </c>
      <c r="W301" s="243">
        <v>45723</v>
      </c>
      <c r="X301" s="243" t="s">
        <v>901</v>
      </c>
      <c r="Y301" s="96">
        <v>45726</v>
      </c>
      <c r="Z301" s="161">
        <v>45848</v>
      </c>
      <c r="AA301" s="338" t="s">
        <v>1425</v>
      </c>
      <c r="AB301" s="119" t="s">
        <v>1447</v>
      </c>
      <c r="AC301" s="112"/>
      <c r="AD301" s="279">
        <v>202000006480</v>
      </c>
      <c r="AE301" s="38"/>
      <c r="AF301" s="120" t="str">
        <f>TEXT(LEFT(Contrato[[#This Row],[CONTRATO]],3),"0")</f>
        <v>294</v>
      </c>
      <c r="AG301" s="120" t="str">
        <f>IF(LEN(Contrato[[#This Row],[Contrato2]])=3,Contrato[[#This Row],[Contrato2]],TEXT(Contrato[[#This Row],[Contrato2]],"000"))</f>
        <v>294</v>
      </c>
      <c r="AH301" s="90">
        <f ca="1">IFERROR(_xlfn.DAYS(Contrato[[#This Row],[Fecha Proyectada liquidación]],TODAY())/30,"")</f>
        <v>6.166666666666667</v>
      </c>
      <c r="AI301" s="121">
        <f>+Contrato[[#This Row],[FECHA TERMINACIÓN ]]+120</f>
        <v>45968</v>
      </c>
      <c r="AK301" s="91" t="str">
        <f ca="1">IF(Contrato[[#This Row],[FECHA TERMINACIÓN ]]&lt;TODAY(), "Terminado",IF(ISNUMBER(Contrato[[#This Row],[Fecha Real de liquiidación ]]),"Liquidado",IF(Contrato[[#This Row],[FECHA TERMINACIÓN ]]&gt;=TODAY(),"En ejecución","")))</f>
        <v>En ejecución</v>
      </c>
      <c r="AL301" s="107">
        <f ca="1">SUMIF(COMPROMISOS_2025[[#All],[consecutivo]],Contrato[[#This Row],[RCP]],COMPROMISOS_2025[[#All],[Total pagado]])</f>
        <v>0</v>
      </c>
      <c r="AM301" s="122">
        <f ca="1">IFERROR(Contrato[[#This Row],[Pagos]]/Contrato[[#This Row],[VALOR CONTRATO]],0)</f>
        <v>0</v>
      </c>
      <c r="AN301" s="160">
        <f ca="1">+Contrato[[#This Row],[VALOR CONTRATO]]-Contrato[[#This Row],[Pagos]]</f>
        <v>10925227</v>
      </c>
      <c r="AO301" s="111" t="e" cm="1">
        <f t="array" aca="1" ref="AO301" ca="1">_xlfn.XLOOKUP(Contrato[[#This Row],[DOCUMENTO ]],PERSONAL_ACTIVO_2025[[#All],[DOCUMENTO]],PERSONAL_ACTIVO_2025[[#All],[email]],0,0)</f>
        <v>#NAME?</v>
      </c>
      <c r="AP301" s="111" t="e" cm="1">
        <f t="array" aca="1" ref="AP301" ca="1">_xlfn.XLOOKUP(Contrato[[#This Row],[DOCUMENTO]],PERSONAL_ACTIVO_2025[[#All],[DOCUMENTO]],PERSONAL_ACTIVO_2025[[#All],[email]],0,0)</f>
        <v>#NAME?</v>
      </c>
      <c r="AQ301" s="111" cm="1">
        <f t="array" aca="1" ref="AQ301" ca="1">IF(ISBLANK(Contrato[[#This Row],[DEPENDENCIA ]]),0,IFERROR(_xlfn.XLOOKUP(Contrato[[#This Row],[DEPENDENCIA ]],#REF!,#REF!,0,0),0))</f>
        <v>0</v>
      </c>
      <c r="AR301" s="555">
        <f ca="1">+_xlfn.DAYS(Contrato[[#This Row],[FECHA TERMINACIÓN ]],TODAY())</f>
        <v>65</v>
      </c>
    </row>
    <row r="302" spans="1:44" ht="39.75" customHeight="1" x14ac:dyDescent="0.25">
      <c r="A302" s="38">
        <v>327</v>
      </c>
      <c r="B302" s="226">
        <v>295</v>
      </c>
      <c r="C302" s="88" t="s">
        <v>525</v>
      </c>
      <c r="D302" s="192" t="s">
        <v>911</v>
      </c>
      <c r="E302" s="193" t="s">
        <v>112</v>
      </c>
      <c r="F302" s="194" t="s">
        <v>113</v>
      </c>
      <c r="G302" s="195" t="s">
        <v>1448</v>
      </c>
      <c r="H302" s="346">
        <v>1035873035</v>
      </c>
      <c r="I302" s="290">
        <v>2708734</v>
      </c>
      <c r="J302" s="290">
        <v>25100935</v>
      </c>
      <c r="K302" s="158" t="s">
        <v>41</v>
      </c>
      <c r="L302" s="196" t="s">
        <v>1401</v>
      </c>
      <c r="M302" s="114" t="s">
        <v>939</v>
      </c>
      <c r="N302" s="113" t="e" cm="1">
        <f t="array" aca="1" ref="N302" ca="1">_xlfn.XLOOKUP(Contrato[[#This Row],[SUPERVISOR TITULAR]],PERSONAL_ACTIVO_2025[[#All],[NOMBRES Y APELLIDOS]],PERSONAL_ACTIVO_2025[[#All],[DOCUMENTO]],"",0)</f>
        <v>#NAME?</v>
      </c>
      <c r="O302" s="114" t="s">
        <v>943</v>
      </c>
      <c r="P302" s="115" t="e" cm="1">
        <f t="array" aca="1" ref="P302" ca="1">_xlfn.XLOOKUP(Contrato[[#This Row],[SUPERVISOR SUPLENTE ]],PERSONAL_ACTIVO_2025[[#All],[NOMBRES Y APELLIDOS]],PERSONAL_ACTIVO_2025[[#All],[DOCUMENTO]],"",0)</f>
        <v>#NAME?</v>
      </c>
      <c r="Q302" s="116">
        <v>161</v>
      </c>
      <c r="R302" s="137" t="e" cm="1">
        <f t="array" aca="1" ref="R302" ca="1">_xlfn.XLOOKUP(Contrato[[#This Row],[CDP]],DISPONIBILIDADES_2025[[#All],[consecutivo]],DISPONIBILIDADES_2025[[#All],[fecha_aprobacion]],"",0)</f>
        <v>#NAME?</v>
      </c>
      <c r="S302" s="92">
        <f>SUMIF(DISPONIBILIDADES_2025[[#All],[consecutivo]],Contrato[[#This Row],[CDP]],DISPONIBILIDADES_2025[[#All],[valor_total_rubro]])</f>
        <v>26545593</v>
      </c>
      <c r="T302" s="118" t="e" cm="1">
        <f t="array" aca="1" ref="T302" ca="1">_xlfn.XLOOKUP(Contrato[[#This Row],[CONTRATO]]&amp;Contrato[[#This Row],[CDP]],Corr_Contr_CDP[[#All],[CONTRATO-CDP]],Corr_Contr_CDP[[#All],[CRP]],_xlfn.XLOOKUP(Contrato[[#This Row],[CDP]],COMPROMISOS_2025[[#All],[disponibilidad]],COMPROMISOS_2025[[#All],[consecutivo]],"",0),0)</f>
        <v>#NAME?</v>
      </c>
      <c r="U302" s="117" t="e" cm="1">
        <f t="array" aca="1" ref="U302" ca="1">+_xlfn.XLOOKUP(Contrato[[#This Row],[RCP]],COMPROMISOS_2025[[#All],[consecutivo]],COMPROMISOS_2025[[#All],[fecha_aprobacion]],"",0)</f>
        <v>#NAME?</v>
      </c>
      <c r="V302" s="93">
        <f ca="1">SUMIF(COMPROMISOS_2025[[#All],[consecutivo]],Contrato[[#This Row],[RCP]],COMPROMISOS_2025[[#All],[valor_total]])</f>
        <v>0</v>
      </c>
      <c r="W302" s="243">
        <v>45723</v>
      </c>
      <c r="X302" s="243" t="s">
        <v>901</v>
      </c>
      <c r="Y302" s="96">
        <v>45726</v>
      </c>
      <c r="Z302" s="161">
        <v>46008</v>
      </c>
      <c r="AA302" s="338" t="s">
        <v>1425</v>
      </c>
      <c r="AB302" s="119" t="s">
        <v>1426</v>
      </c>
      <c r="AC302" s="112"/>
      <c r="AD302" s="279">
        <v>202000006481</v>
      </c>
      <c r="AE302" s="38"/>
      <c r="AF302" s="120" t="str">
        <f>TEXT(LEFT(Contrato[[#This Row],[CONTRATO]],3),"0")</f>
        <v>295</v>
      </c>
      <c r="AG302" s="120" t="str">
        <f>IF(LEN(Contrato[[#This Row],[Contrato2]])=3,Contrato[[#This Row],[Contrato2]],TEXT(Contrato[[#This Row],[Contrato2]],"000"))</f>
        <v>295</v>
      </c>
      <c r="AH302" s="90">
        <f ca="1">IFERROR(_xlfn.DAYS(Contrato[[#This Row],[Fecha Proyectada liquidación]],TODAY())/30,"")</f>
        <v>11.5</v>
      </c>
      <c r="AI302" s="121">
        <f>+Contrato[[#This Row],[FECHA TERMINACIÓN ]]+120</f>
        <v>46128</v>
      </c>
      <c r="AK302" s="91" t="str">
        <f ca="1">IF(Contrato[[#This Row],[FECHA TERMINACIÓN ]]&lt;TODAY(), "Terminado",IF(ISNUMBER(Contrato[[#This Row],[Fecha Real de liquiidación ]]),"Liquidado",IF(Contrato[[#This Row],[FECHA TERMINACIÓN ]]&gt;=TODAY(),"En ejecución","")))</f>
        <v>En ejecución</v>
      </c>
      <c r="AL302" s="107">
        <f ca="1">SUMIF(COMPROMISOS_2025[[#All],[consecutivo]],Contrato[[#This Row],[RCP]],COMPROMISOS_2025[[#All],[Total pagado]])</f>
        <v>0</v>
      </c>
      <c r="AM302" s="122">
        <f ca="1">IFERROR(Contrato[[#This Row],[Pagos]]/Contrato[[#This Row],[VALOR CONTRATO]],0)</f>
        <v>0</v>
      </c>
      <c r="AN302" s="160">
        <f ca="1">+Contrato[[#This Row],[VALOR CONTRATO]]-Contrato[[#This Row],[Pagos]]</f>
        <v>25100935</v>
      </c>
      <c r="AO302" s="111" t="e" cm="1">
        <f t="array" aca="1" ref="AO302" ca="1">_xlfn.XLOOKUP(Contrato[[#This Row],[DOCUMENTO ]],PERSONAL_ACTIVO_2025[[#All],[DOCUMENTO]],PERSONAL_ACTIVO_2025[[#All],[email]],0,0)</f>
        <v>#NAME?</v>
      </c>
      <c r="AP302" s="111" t="e" cm="1">
        <f t="array" aca="1" ref="AP302" ca="1">_xlfn.XLOOKUP(Contrato[[#This Row],[DOCUMENTO]],PERSONAL_ACTIVO_2025[[#All],[DOCUMENTO]],PERSONAL_ACTIVO_2025[[#All],[email]],0,0)</f>
        <v>#NAME?</v>
      </c>
      <c r="AQ302" s="111" cm="1">
        <f t="array" aca="1" ref="AQ302" ca="1">IF(ISBLANK(Contrato[[#This Row],[DEPENDENCIA ]]),0,IFERROR(_xlfn.XLOOKUP(Contrato[[#This Row],[DEPENDENCIA ]],#REF!,#REF!,0,0),0))</f>
        <v>0</v>
      </c>
      <c r="AR302" s="555">
        <f ca="1">+_xlfn.DAYS(Contrato[[#This Row],[FECHA TERMINACIÓN ]],TODAY())</f>
        <v>225</v>
      </c>
    </row>
    <row r="303" spans="1:44" ht="39.75" customHeight="1" x14ac:dyDescent="0.25">
      <c r="A303" s="38">
        <v>454</v>
      </c>
      <c r="B303" s="226">
        <v>296</v>
      </c>
      <c r="C303" s="88" t="s">
        <v>652</v>
      </c>
      <c r="D303" s="192" t="s">
        <v>911</v>
      </c>
      <c r="E303" s="193" t="s">
        <v>112</v>
      </c>
      <c r="F303" s="194" t="s">
        <v>113</v>
      </c>
      <c r="G303" s="195" t="s">
        <v>1449</v>
      </c>
      <c r="H303" s="346">
        <v>1048019747</v>
      </c>
      <c r="I303" s="290">
        <v>6239569</v>
      </c>
      <c r="J303" s="290">
        <v>57820006</v>
      </c>
      <c r="K303" s="158" t="s">
        <v>41</v>
      </c>
      <c r="L303" s="196" t="s">
        <v>1401</v>
      </c>
      <c r="M303" s="114" t="s">
        <v>939</v>
      </c>
      <c r="N303" s="113" t="e" cm="1">
        <f t="array" aca="1" ref="N303" ca="1">_xlfn.XLOOKUP(Contrato[[#This Row],[SUPERVISOR TITULAR]],PERSONAL_ACTIVO_2025[[#All],[NOMBRES Y APELLIDOS]],PERSONAL_ACTIVO_2025[[#All],[DOCUMENTO]],"",0)</f>
        <v>#NAME?</v>
      </c>
      <c r="O303" s="114" t="s">
        <v>943</v>
      </c>
      <c r="P303" s="115" t="e" cm="1">
        <f t="array" aca="1" ref="P303" ca="1">_xlfn.XLOOKUP(Contrato[[#This Row],[SUPERVISOR SUPLENTE ]],PERSONAL_ACTIVO_2025[[#All],[NOMBRES Y APELLIDOS]],PERSONAL_ACTIVO_2025[[#All],[DOCUMENTO]],"",0)</f>
        <v>#NAME?</v>
      </c>
      <c r="Q303" s="116">
        <v>364</v>
      </c>
      <c r="R303" s="137" t="e" cm="1">
        <f t="array" aca="1" ref="R303" ca="1">_xlfn.XLOOKUP(Contrato[[#This Row],[CDP]],DISPONIBILIDADES_2025[[#All],[consecutivo]],DISPONIBILIDADES_2025[[#All],[fecha_aprobacion]],"",0)</f>
        <v>#NAME?</v>
      </c>
      <c r="S303" s="92">
        <f>SUMIF(DISPONIBILIDADES_2025[[#All],[consecutivo]],Contrato[[#This Row],[CDP]],DISPONIBILIDADES_2025[[#All],[valor_total_rubro]])</f>
        <v>57820006</v>
      </c>
      <c r="T303" s="118" t="e" cm="1">
        <f t="array" aca="1" ref="T303" ca="1">_xlfn.XLOOKUP(Contrato[[#This Row],[CONTRATO]]&amp;Contrato[[#This Row],[CDP]],Corr_Contr_CDP[[#All],[CONTRATO-CDP]],Corr_Contr_CDP[[#All],[CRP]],_xlfn.XLOOKUP(Contrato[[#This Row],[CDP]],COMPROMISOS_2025[[#All],[disponibilidad]],COMPROMISOS_2025[[#All],[consecutivo]],"",0),0)</f>
        <v>#NAME?</v>
      </c>
      <c r="U303" s="117" t="e" cm="1">
        <f t="array" aca="1" ref="U303" ca="1">+_xlfn.XLOOKUP(Contrato[[#This Row],[RCP]],COMPROMISOS_2025[[#All],[consecutivo]],COMPROMISOS_2025[[#All],[fecha_aprobacion]],"",0)</f>
        <v>#NAME?</v>
      </c>
      <c r="V303" s="93">
        <f ca="1">SUMIF(COMPROMISOS_2025[[#All],[consecutivo]],Contrato[[#This Row],[RCP]],COMPROMISOS_2025[[#All],[valor_total]])</f>
        <v>0</v>
      </c>
      <c r="W303" s="243">
        <v>45723</v>
      </c>
      <c r="X303" s="243" t="s">
        <v>901</v>
      </c>
      <c r="Y303" s="96">
        <v>45726</v>
      </c>
      <c r="Z303" s="161">
        <v>46008</v>
      </c>
      <c r="AA303" s="338" t="s">
        <v>1425</v>
      </c>
      <c r="AB303" s="119" t="s">
        <v>1426</v>
      </c>
      <c r="AC303" s="112"/>
      <c r="AD303" s="279">
        <v>202000006482</v>
      </c>
      <c r="AE303" s="38"/>
      <c r="AF303" s="120" t="str">
        <f>TEXT(LEFT(Contrato[[#This Row],[CONTRATO]],3),"0")</f>
        <v>296</v>
      </c>
      <c r="AG303" s="120" t="str">
        <f>IF(LEN(Contrato[[#This Row],[Contrato2]])=3,Contrato[[#This Row],[Contrato2]],TEXT(Contrato[[#This Row],[Contrato2]],"000"))</f>
        <v>296</v>
      </c>
      <c r="AH303" s="90">
        <f ca="1">IFERROR(_xlfn.DAYS(Contrato[[#This Row],[Fecha Proyectada liquidación]],TODAY())/30,"")</f>
        <v>11.5</v>
      </c>
      <c r="AI303" s="121">
        <f>+Contrato[[#This Row],[FECHA TERMINACIÓN ]]+120</f>
        <v>46128</v>
      </c>
      <c r="AK303" s="91" t="str">
        <f ca="1">IF(Contrato[[#This Row],[FECHA TERMINACIÓN ]]&lt;TODAY(), "Terminado",IF(ISNUMBER(Contrato[[#This Row],[Fecha Real de liquiidación ]]),"Liquidado",IF(Contrato[[#This Row],[FECHA TERMINACIÓN ]]&gt;=TODAY(),"En ejecución","")))</f>
        <v>En ejecución</v>
      </c>
      <c r="AL303" s="107">
        <f ca="1">SUMIF(COMPROMISOS_2025[[#All],[consecutivo]],Contrato[[#This Row],[RCP]],COMPROMISOS_2025[[#All],[Total pagado]])</f>
        <v>0</v>
      </c>
      <c r="AM303" s="122">
        <f ca="1">IFERROR(Contrato[[#This Row],[Pagos]]/Contrato[[#This Row],[VALOR CONTRATO]],0)</f>
        <v>0</v>
      </c>
      <c r="AN303" s="160">
        <f ca="1">+Contrato[[#This Row],[VALOR CONTRATO]]-Contrato[[#This Row],[Pagos]]</f>
        <v>57820006</v>
      </c>
      <c r="AO303" s="111" t="e" cm="1">
        <f t="array" aca="1" ref="AO303" ca="1">_xlfn.XLOOKUP(Contrato[[#This Row],[DOCUMENTO ]],PERSONAL_ACTIVO_2025[[#All],[DOCUMENTO]],PERSONAL_ACTIVO_2025[[#All],[email]],0,0)</f>
        <v>#NAME?</v>
      </c>
      <c r="AP303" s="111" t="e" cm="1">
        <f t="array" aca="1" ref="AP303" ca="1">_xlfn.XLOOKUP(Contrato[[#This Row],[DOCUMENTO]],PERSONAL_ACTIVO_2025[[#All],[DOCUMENTO]],PERSONAL_ACTIVO_2025[[#All],[email]],0,0)</f>
        <v>#NAME?</v>
      </c>
      <c r="AQ303" s="111" cm="1">
        <f t="array" aca="1" ref="AQ303" ca="1">IF(ISBLANK(Contrato[[#This Row],[DEPENDENCIA ]]),0,IFERROR(_xlfn.XLOOKUP(Contrato[[#This Row],[DEPENDENCIA ]],#REF!,#REF!,0,0),0))</f>
        <v>0</v>
      </c>
      <c r="AR303" s="555">
        <f ca="1">+_xlfn.DAYS(Contrato[[#This Row],[FECHA TERMINACIÓN ]],TODAY())</f>
        <v>225</v>
      </c>
    </row>
    <row r="304" spans="1:44" ht="39.75" customHeight="1" x14ac:dyDescent="0.25">
      <c r="A304" s="38">
        <v>455</v>
      </c>
      <c r="B304" s="226">
        <v>297</v>
      </c>
      <c r="C304" s="88" t="s">
        <v>653</v>
      </c>
      <c r="D304" s="192" t="s">
        <v>911</v>
      </c>
      <c r="E304" s="193" t="s">
        <v>112</v>
      </c>
      <c r="F304" s="194" t="s">
        <v>113</v>
      </c>
      <c r="G304" s="195" t="s">
        <v>1450</v>
      </c>
      <c r="H304" s="346">
        <v>1026138513</v>
      </c>
      <c r="I304" s="290">
        <v>5164201</v>
      </c>
      <c r="J304" s="290">
        <v>47854929</v>
      </c>
      <c r="K304" s="158" t="s">
        <v>41</v>
      </c>
      <c r="L304" s="196" t="s">
        <v>1401</v>
      </c>
      <c r="M304" s="114" t="s">
        <v>939</v>
      </c>
      <c r="N304" s="113" t="e" cm="1">
        <f t="array" aca="1" ref="N304" ca="1">_xlfn.XLOOKUP(Contrato[[#This Row],[SUPERVISOR TITULAR]],PERSONAL_ACTIVO_2025[[#All],[NOMBRES Y APELLIDOS]],PERSONAL_ACTIVO_2025[[#All],[DOCUMENTO]],"",0)</f>
        <v>#NAME?</v>
      </c>
      <c r="O304" s="114" t="s">
        <v>943</v>
      </c>
      <c r="P304" s="115" t="e" cm="1">
        <f t="array" aca="1" ref="P304" ca="1">_xlfn.XLOOKUP(Contrato[[#This Row],[SUPERVISOR SUPLENTE ]],PERSONAL_ACTIVO_2025[[#All],[NOMBRES Y APELLIDOS]],PERSONAL_ACTIVO_2025[[#All],[DOCUMENTO]],"",0)</f>
        <v>#NAME?</v>
      </c>
      <c r="Q304" s="116">
        <v>366</v>
      </c>
      <c r="R304" s="137" t="e" cm="1">
        <f t="array" aca="1" ref="R304" ca="1">_xlfn.XLOOKUP(Contrato[[#This Row],[CDP]],DISPONIBILIDADES_2025[[#All],[consecutivo]],DISPONIBILIDADES_2025[[#All],[fecha_aprobacion]],"",0)</f>
        <v>#NAME?</v>
      </c>
      <c r="S304" s="92">
        <f>SUMIF(DISPONIBILIDADES_2025[[#All],[consecutivo]],Contrato[[#This Row],[CDP]],DISPONIBILIDADES_2025[[#All],[valor_total_rubro]])</f>
        <v>47854929</v>
      </c>
      <c r="T304" s="118" t="e" cm="1">
        <f t="array" aca="1" ref="T304" ca="1">_xlfn.XLOOKUP(Contrato[[#This Row],[CONTRATO]]&amp;Contrato[[#This Row],[CDP]],Corr_Contr_CDP[[#All],[CONTRATO-CDP]],Corr_Contr_CDP[[#All],[CRP]],_xlfn.XLOOKUP(Contrato[[#This Row],[CDP]],COMPROMISOS_2025[[#All],[disponibilidad]],COMPROMISOS_2025[[#All],[consecutivo]],"",0),0)</f>
        <v>#NAME?</v>
      </c>
      <c r="U304" s="117" t="e" cm="1">
        <f t="array" aca="1" ref="U304" ca="1">+_xlfn.XLOOKUP(Contrato[[#This Row],[RCP]],COMPROMISOS_2025[[#All],[consecutivo]],COMPROMISOS_2025[[#All],[fecha_aprobacion]],"",0)</f>
        <v>#NAME?</v>
      </c>
      <c r="V304" s="93">
        <f ca="1">SUMIF(COMPROMISOS_2025[[#All],[consecutivo]],Contrato[[#This Row],[RCP]],COMPROMISOS_2025[[#All],[valor_total]])</f>
        <v>0</v>
      </c>
      <c r="W304" s="243">
        <v>45723</v>
      </c>
      <c r="X304" s="243" t="s">
        <v>901</v>
      </c>
      <c r="Y304" s="96">
        <v>45726</v>
      </c>
      <c r="Z304" s="161">
        <v>46008</v>
      </c>
      <c r="AA304" s="338" t="s">
        <v>1425</v>
      </c>
      <c r="AB304" s="119" t="s">
        <v>1426</v>
      </c>
      <c r="AC304" s="112"/>
      <c r="AD304" s="279">
        <v>202000006483</v>
      </c>
      <c r="AE304" s="38"/>
      <c r="AF304" s="120" t="str">
        <f>TEXT(LEFT(Contrato[[#This Row],[CONTRATO]],3),"0")</f>
        <v>297</v>
      </c>
      <c r="AG304" s="120" t="str">
        <f>IF(LEN(Contrato[[#This Row],[Contrato2]])=3,Contrato[[#This Row],[Contrato2]],TEXT(Contrato[[#This Row],[Contrato2]],"000"))</f>
        <v>297</v>
      </c>
      <c r="AH304" s="90">
        <f ca="1">IFERROR(_xlfn.DAYS(Contrato[[#This Row],[Fecha Proyectada liquidación]],TODAY())/30,"")</f>
        <v>11.5</v>
      </c>
      <c r="AI304" s="121">
        <f>+Contrato[[#This Row],[FECHA TERMINACIÓN ]]+120</f>
        <v>46128</v>
      </c>
      <c r="AK304" s="91" t="str">
        <f ca="1">IF(Contrato[[#This Row],[FECHA TERMINACIÓN ]]&lt;TODAY(), "Terminado",IF(ISNUMBER(Contrato[[#This Row],[Fecha Real de liquiidación ]]),"Liquidado",IF(Contrato[[#This Row],[FECHA TERMINACIÓN ]]&gt;=TODAY(),"En ejecución","")))</f>
        <v>En ejecución</v>
      </c>
      <c r="AL304" s="107">
        <f ca="1">SUMIF(COMPROMISOS_2025[[#All],[consecutivo]],Contrato[[#This Row],[RCP]],COMPROMISOS_2025[[#All],[Total pagado]])</f>
        <v>0</v>
      </c>
      <c r="AM304" s="122">
        <f ca="1">IFERROR(Contrato[[#This Row],[Pagos]]/Contrato[[#This Row],[VALOR CONTRATO]],0)</f>
        <v>0</v>
      </c>
      <c r="AN304" s="160">
        <f ca="1">+Contrato[[#This Row],[VALOR CONTRATO]]-Contrato[[#This Row],[Pagos]]</f>
        <v>47854929</v>
      </c>
      <c r="AO304" s="111" t="e" cm="1">
        <f t="array" aca="1" ref="AO304" ca="1">_xlfn.XLOOKUP(Contrato[[#This Row],[DOCUMENTO ]],PERSONAL_ACTIVO_2025[[#All],[DOCUMENTO]],PERSONAL_ACTIVO_2025[[#All],[email]],0,0)</f>
        <v>#NAME?</v>
      </c>
      <c r="AP304" s="111" t="e" cm="1">
        <f t="array" aca="1" ref="AP304" ca="1">_xlfn.XLOOKUP(Contrato[[#This Row],[DOCUMENTO]],PERSONAL_ACTIVO_2025[[#All],[DOCUMENTO]],PERSONAL_ACTIVO_2025[[#All],[email]],0,0)</f>
        <v>#NAME?</v>
      </c>
      <c r="AQ304" s="111" cm="1">
        <f t="array" aca="1" ref="AQ304" ca="1">IF(ISBLANK(Contrato[[#This Row],[DEPENDENCIA ]]),0,IFERROR(_xlfn.XLOOKUP(Contrato[[#This Row],[DEPENDENCIA ]],#REF!,#REF!,0,0),0))</f>
        <v>0</v>
      </c>
      <c r="AR304" s="555">
        <f ca="1">+_xlfn.DAYS(Contrato[[#This Row],[FECHA TERMINACIÓN ]],TODAY())</f>
        <v>225</v>
      </c>
    </row>
    <row r="305" spans="1:44" ht="39.75" customHeight="1" x14ac:dyDescent="0.25">
      <c r="A305" s="38">
        <v>335</v>
      </c>
      <c r="B305" s="226">
        <v>298</v>
      </c>
      <c r="C305" s="88" t="s">
        <v>533</v>
      </c>
      <c r="D305" s="192" t="s">
        <v>911</v>
      </c>
      <c r="E305" s="193" t="s">
        <v>112</v>
      </c>
      <c r="F305" s="194" t="s">
        <v>113</v>
      </c>
      <c r="G305" s="195" t="s">
        <v>1451</v>
      </c>
      <c r="H305" s="346">
        <v>9081673</v>
      </c>
      <c r="I305" s="290">
        <v>2708734</v>
      </c>
      <c r="J305" s="290">
        <v>25100935</v>
      </c>
      <c r="K305" s="158" t="s">
        <v>41</v>
      </c>
      <c r="L305" s="196" t="s">
        <v>1401</v>
      </c>
      <c r="M305" s="114" t="s">
        <v>939</v>
      </c>
      <c r="N305" s="113" t="e" cm="1">
        <f t="array" aca="1" ref="N305" ca="1">_xlfn.XLOOKUP(Contrato[[#This Row],[SUPERVISOR TITULAR]],PERSONAL_ACTIVO_2025[[#All],[NOMBRES Y APELLIDOS]],PERSONAL_ACTIVO_2025[[#All],[DOCUMENTO]],"",0)</f>
        <v>#NAME?</v>
      </c>
      <c r="O305" s="114" t="s">
        <v>943</v>
      </c>
      <c r="P305" s="115" t="e" cm="1">
        <f t="array" aca="1" ref="P305" ca="1">_xlfn.XLOOKUP(Contrato[[#This Row],[SUPERVISOR SUPLENTE ]],PERSONAL_ACTIVO_2025[[#All],[NOMBRES Y APELLIDOS]],PERSONAL_ACTIVO_2025[[#All],[DOCUMENTO]],"",0)</f>
        <v>#NAME?</v>
      </c>
      <c r="Q305" s="116">
        <v>169</v>
      </c>
      <c r="R305" s="137" t="e" cm="1">
        <f t="array" aca="1" ref="R305" ca="1">_xlfn.XLOOKUP(Contrato[[#This Row],[CDP]],DISPONIBILIDADES_2025[[#All],[consecutivo]],DISPONIBILIDADES_2025[[#All],[fecha_aprobacion]],"",0)</f>
        <v>#NAME?</v>
      </c>
      <c r="S305" s="92">
        <f>SUMIF(DISPONIBILIDADES_2025[[#All],[consecutivo]],Contrato[[#This Row],[CDP]],DISPONIBILIDADES_2025[[#All],[valor_total_rubro]])</f>
        <v>26545593</v>
      </c>
      <c r="T305" s="118" t="e" cm="1">
        <f t="array" aca="1" ref="T305" ca="1">_xlfn.XLOOKUP(Contrato[[#This Row],[CONTRATO]]&amp;Contrato[[#This Row],[CDP]],Corr_Contr_CDP[[#All],[CONTRATO-CDP]],Corr_Contr_CDP[[#All],[CRP]],_xlfn.XLOOKUP(Contrato[[#This Row],[CDP]],COMPROMISOS_2025[[#All],[disponibilidad]],COMPROMISOS_2025[[#All],[consecutivo]],"",0),0)</f>
        <v>#NAME?</v>
      </c>
      <c r="U305" s="117" t="e" cm="1">
        <f t="array" aca="1" ref="U305" ca="1">+_xlfn.XLOOKUP(Contrato[[#This Row],[RCP]],COMPROMISOS_2025[[#All],[consecutivo]],COMPROMISOS_2025[[#All],[fecha_aprobacion]],"",0)</f>
        <v>#NAME?</v>
      </c>
      <c r="V305" s="93">
        <f ca="1">SUMIF(COMPROMISOS_2025[[#All],[consecutivo]],Contrato[[#This Row],[RCP]],COMPROMISOS_2025[[#All],[valor_total]])</f>
        <v>0</v>
      </c>
      <c r="W305" s="243">
        <v>45723</v>
      </c>
      <c r="X305" s="243" t="s">
        <v>901</v>
      </c>
      <c r="Y305" s="96">
        <v>45726</v>
      </c>
      <c r="Z305" s="161">
        <v>46008</v>
      </c>
      <c r="AA305" s="338" t="s">
        <v>1425</v>
      </c>
      <c r="AB305" s="119" t="s">
        <v>1426</v>
      </c>
      <c r="AC305" s="112"/>
      <c r="AD305" s="279">
        <v>202000006484</v>
      </c>
      <c r="AE305" s="38"/>
      <c r="AF305" s="120" t="str">
        <f>TEXT(LEFT(Contrato[[#This Row],[CONTRATO]],3),"0")</f>
        <v>298</v>
      </c>
      <c r="AG305" s="120" t="str">
        <f>IF(LEN(Contrato[[#This Row],[Contrato2]])=3,Contrato[[#This Row],[Contrato2]],TEXT(Contrato[[#This Row],[Contrato2]],"000"))</f>
        <v>298</v>
      </c>
      <c r="AH305" s="90">
        <f ca="1">IFERROR(_xlfn.DAYS(Contrato[[#This Row],[Fecha Proyectada liquidación]],TODAY())/30,"")</f>
        <v>11.5</v>
      </c>
      <c r="AI305" s="121">
        <f>+Contrato[[#This Row],[FECHA TERMINACIÓN ]]+120</f>
        <v>46128</v>
      </c>
      <c r="AK305" s="91" t="str">
        <f ca="1">IF(Contrato[[#This Row],[FECHA TERMINACIÓN ]]&lt;TODAY(), "Terminado",IF(ISNUMBER(Contrato[[#This Row],[Fecha Real de liquiidación ]]),"Liquidado",IF(Contrato[[#This Row],[FECHA TERMINACIÓN ]]&gt;=TODAY(),"En ejecución","")))</f>
        <v>En ejecución</v>
      </c>
      <c r="AL305" s="107">
        <f ca="1">SUMIF(COMPROMISOS_2025[[#All],[consecutivo]],Contrato[[#This Row],[RCP]],COMPROMISOS_2025[[#All],[Total pagado]])</f>
        <v>0</v>
      </c>
      <c r="AM305" s="122">
        <f ca="1">IFERROR(Contrato[[#This Row],[Pagos]]/Contrato[[#This Row],[VALOR CONTRATO]],0)</f>
        <v>0</v>
      </c>
      <c r="AN305" s="160">
        <f ca="1">+Contrato[[#This Row],[VALOR CONTRATO]]-Contrato[[#This Row],[Pagos]]</f>
        <v>25100935</v>
      </c>
      <c r="AO305" s="111" t="e" cm="1">
        <f t="array" aca="1" ref="AO305" ca="1">_xlfn.XLOOKUP(Contrato[[#This Row],[DOCUMENTO ]],PERSONAL_ACTIVO_2025[[#All],[DOCUMENTO]],PERSONAL_ACTIVO_2025[[#All],[email]],0,0)</f>
        <v>#NAME?</v>
      </c>
      <c r="AP305" s="111" t="e" cm="1">
        <f t="array" aca="1" ref="AP305" ca="1">_xlfn.XLOOKUP(Contrato[[#This Row],[DOCUMENTO]],PERSONAL_ACTIVO_2025[[#All],[DOCUMENTO]],PERSONAL_ACTIVO_2025[[#All],[email]],0,0)</f>
        <v>#NAME?</v>
      </c>
      <c r="AQ305" s="111" cm="1">
        <f t="array" aca="1" ref="AQ305" ca="1">IF(ISBLANK(Contrato[[#This Row],[DEPENDENCIA ]]),0,IFERROR(_xlfn.XLOOKUP(Contrato[[#This Row],[DEPENDENCIA ]],#REF!,#REF!,0,0),0))</f>
        <v>0</v>
      </c>
      <c r="AR305" s="555">
        <f ca="1">+_xlfn.DAYS(Contrato[[#This Row],[FECHA TERMINACIÓN ]],TODAY())</f>
        <v>225</v>
      </c>
    </row>
    <row r="306" spans="1:44" ht="39.75" customHeight="1" x14ac:dyDescent="0.25">
      <c r="A306" s="38">
        <v>340</v>
      </c>
      <c r="B306" s="226">
        <v>299</v>
      </c>
      <c r="C306" s="88" t="s">
        <v>538</v>
      </c>
      <c r="D306" s="192" t="s">
        <v>911</v>
      </c>
      <c r="E306" s="193" t="s">
        <v>112</v>
      </c>
      <c r="F306" s="194" t="s">
        <v>113</v>
      </c>
      <c r="G306" s="195" t="s">
        <v>1452</v>
      </c>
      <c r="H306" s="346">
        <v>98778700</v>
      </c>
      <c r="I306" s="290">
        <v>4157906</v>
      </c>
      <c r="J306" s="290">
        <v>38529929</v>
      </c>
      <c r="K306" s="158" t="s">
        <v>41</v>
      </c>
      <c r="L306" s="196" t="s">
        <v>1401</v>
      </c>
      <c r="M306" s="114" t="s">
        <v>939</v>
      </c>
      <c r="N306" s="113" t="e" cm="1">
        <f t="array" aca="1" ref="N306" ca="1">_xlfn.XLOOKUP(Contrato[[#This Row],[SUPERVISOR TITULAR]],PERSONAL_ACTIVO_2025[[#All],[NOMBRES Y APELLIDOS]],PERSONAL_ACTIVO_2025[[#All],[DOCUMENTO]],"",0)</f>
        <v>#NAME?</v>
      </c>
      <c r="O306" s="114" t="s">
        <v>943</v>
      </c>
      <c r="P306" s="115" t="e" cm="1">
        <f t="array" aca="1" ref="P306" ca="1">_xlfn.XLOOKUP(Contrato[[#This Row],[SUPERVISOR SUPLENTE ]],PERSONAL_ACTIVO_2025[[#All],[NOMBRES Y APELLIDOS]],PERSONAL_ACTIVO_2025[[#All],[DOCUMENTO]],"",0)</f>
        <v>#NAME?</v>
      </c>
      <c r="Q306" s="116">
        <v>174</v>
      </c>
      <c r="R306" s="137" t="e" cm="1">
        <f t="array" aca="1" ref="R306" ca="1">_xlfn.XLOOKUP(Contrato[[#This Row],[CDP]],DISPONIBILIDADES_2025[[#All],[consecutivo]],DISPONIBILIDADES_2025[[#All],[fecha_aprobacion]],"",0)</f>
        <v>#NAME?</v>
      </c>
      <c r="S306" s="92">
        <f>SUMIF(DISPONIBILIDADES_2025[[#All],[consecutivo]],Contrato[[#This Row],[CDP]],DISPONIBILIDADES_2025[[#All],[valor_total_rubro]])</f>
        <v>40747479</v>
      </c>
      <c r="T306" s="118" t="e" cm="1">
        <f t="array" aca="1" ref="T306" ca="1">_xlfn.XLOOKUP(Contrato[[#This Row],[CONTRATO]]&amp;Contrato[[#This Row],[CDP]],Corr_Contr_CDP[[#All],[CONTRATO-CDP]],Corr_Contr_CDP[[#All],[CRP]],_xlfn.XLOOKUP(Contrato[[#This Row],[CDP]],COMPROMISOS_2025[[#All],[disponibilidad]],COMPROMISOS_2025[[#All],[consecutivo]],"",0),0)</f>
        <v>#NAME?</v>
      </c>
      <c r="U306" s="117" t="e" cm="1">
        <f t="array" aca="1" ref="U306" ca="1">+_xlfn.XLOOKUP(Contrato[[#This Row],[RCP]],COMPROMISOS_2025[[#All],[consecutivo]],COMPROMISOS_2025[[#All],[fecha_aprobacion]],"",0)</f>
        <v>#NAME?</v>
      </c>
      <c r="V306" s="93">
        <f ca="1">SUMIF(COMPROMISOS_2025[[#All],[consecutivo]],Contrato[[#This Row],[RCP]],COMPROMISOS_2025[[#All],[valor_total]])</f>
        <v>0</v>
      </c>
      <c r="W306" s="243">
        <v>45723</v>
      </c>
      <c r="X306" s="243" t="s">
        <v>901</v>
      </c>
      <c r="Y306" s="96">
        <v>45726</v>
      </c>
      <c r="Z306" s="161">
        <v>46008</v>
      </c>
      <c r="AA306" s="338" t="s">
        <v>1425</v>
      </c>
      <c r="AB306" s="119" t="s">
        <v>1426</v>
      </c>
      <c r="AC306" s="112"/>
      <c r="AD306" s="279">
        <v>202000006485</v>
      </c>
      <c r="AE306" s="38"/>
      <c r="AF306" s="120" t="str">
        <f>TEXT(LEFT(Contrato[[#This Row],[CONTRATO]],3),"0")</f>
        <v>299</v>
      </c>
      <c r="AG306" s="120" t="str">
        <f>IF(LEN(Contrato[[#This Row],[Contrato2]])=3,Contrato[[#This Row],[Contrato2]],TEXT(Contrato[[#This Row],[Contrato2]],"000"))</f>
        <v>299</v>
      </c>
      <c r="AH306" s="90">
        <f ca="1">IFERROR(_xlfn.DAYS(Contrato[[#This Row],[Fecha Proyectada liquidación]],TODAY())/30,"")</f>
        <v>11.5</v>
      </c>
      <c r="AI306" s="121">
        <f>+Contrato[[#This Row],[FECHA TERMINACIÓN ]]+120</f>
        <v>46128</v>
      </c>
      <c r="AK306" s="91" t="str">
        <f ca="1">IF(Contrato[[#This Row],[FECHA TERMINACIÓN ]]&lt;TODAY(), "Terminado",IF(ISNUMBER(Contrato[[#This Row],[Fecha Real de liquiidación ]]),"Liquidado",IF(Contrato[[#This Row],[FECHA TERMINACIÓN ]]&gt;=TODAY(),"En ejecución","")))</f>
        <v>En ejecución</v>
      </c>
      <c r="AL306" s="107">
        <f ca="1">SUMIF(COMPROMISOS_2025[[#All],[consecutivo]],Contrato[[#This Row],[RCP]],COMPROMISOS_2025[[#All],[Total pagado]])</f>
        <v>0</v>
      </c>
      <c r="AM306" s="122">
        <f ca="1">IFERROR(Contrato[[#This Row],[Pagos]]/Contrato[[#This Row],[VALOR CONTRATO]],0)</f>
        <v>0</v>
      </c>
      <c r="AN306" s="160">
        <f ca="1">+Contrato[[#This Row],[VALOR CONTRATO]]-Contrato[[#This Row],[Pagos]]</f>
        <v>38529929</v>
      </c>
      <c r="AO306" s="111" t="e" cm="1">
        <f t="array" aca="1" ref="AO306" ca="1">_xlfn.XLOOKUP(Contrato[[#This Row],[DOCUMENTO ]],PERSONAL_ACTIVO_2025[[#All],[DOCUMENTO]],PERSONAL_ACTIVO_2025[[#All],[email]],0,0)</f>
        <v>#NAME?</v>
      </c>
      <c r="AP306" s="111" t="e" cm="1">
        <f t="array" aca="1" ref="AP306" ca="1">_xlfn.XLOOKUP(Contrato[[#This Row],[DOCUMENTO]],PERSONAL_ACTIVO_2025[[#All],[DOCUMENTO]],PERSONAL_ACTIVO_2025[[#All],[email]],0,0)</f>
        <v>#NAME?</v>
      </c>
      <c r="AQ306" s="111" cm="1">
        <f t="array" aca="1" ref="AQ306" ca="1">IF(ISBLANK(Contrato[[#This Row],[DEPENDENCIA ]]),0,IFERROR(_xlfn.XLOOKUP(Contrato[[#This Row],[DEPENDENCIA ]],#REF!,#REF!,0,0),0))</f>
        <v>0</v>
      </c>
      <c r="AR306" s="555">
        <f ca="1">+_xlfn.DAYS(Contrato[[#This Row],[FECHA TERMINACIÓN ]],TODAY())</f>
        <v>225</v>
      </c>
    </row>
    <row r="307" spans="1:44" ht="39.75" customHeight="1" x14ac:dyDescent="0.25">
      <c r="A307" s="38">
        <v>346</v>
      </c>
      <c r="B307" s="226">
        <v>300</v>
      </c>
      <c r="C307" s="88" t="s">
        <v>544</v>
      </c>
      <c r="D307" s="192" t="s">
        <v>911</v>
      </c>
      <c r="E307" s="193" t="s">
        <v>112</v>
      </c>
      <c r="F307" s="194" t="s">
        <v>113</v>
      </c>
      <c r="G307" s="195" t="s">
        <v>1453</v>
      </c>
      <c r="H307" s="346">
        <v>1017207409</v>
      </c>
      <c r="I307" s="290">
        <v>2708734</v>
      </c>
      <c r="J307" s="290">
        <v>25100935</v>
      </c>
      <c r="K307" s="158" t="s">
        <v>41</v>
      </c>
      <c r="L307" s="196" t="s">
        <v>1401</v>
      </c>
      <c r="M307" s="114" t="s">
        <v>939</v>
      </c>
      <c r="N307" s="113" t="e" cm="1">
        <f t="array" aca="1" ref="N307" ca="1">_xlfn.XLOOKUP(Contrato[[#This Row],[SUPERVISOR TITULAR]],PERSONAL_ACTIVO_2025[[#All],[NOMBRES Y APELLIDOS]],PERSONAL_ACTIVO_2025[[#All],[DOCUMENTO]],"",0)</f>
        <v>#NAME?</v>
      </c>
      <c r="O307" s="114" t="s">
        <v>943</v>
      </c>
      <c r="P307" s="115" t="e" cm="1">
        <f t="array" aca="1" ref="P307" ca="1">_xlfn.XLOOKUP(Contrato[[#This Row],[SUPERVISOR SUPLENTE ]],PERSONAL_ACTIVO_2025[[#All],[NOMBRES Y APELLIDOS]],PERSONAL_ACTIVO_2025[[#All],[DOCUMENTO]],"",0)</f>
        <v>#NAME?</v>
      </c>
      <c r="Q307" s="116">
        <v>180</v>
      </c>
      <c r="R307" s="137" t="e" cm="1">
        <f t="array" aca="1" ref="R307" ca="1">_xlfn.XLOOKUP(Contrato[[#This Row],[CDP]],DISPONIBILIDADES_2025[[#All],[consecutivo]],DISPONIBILIDADES_2025[[#All],[fecha_aprobacion]],"",0)</f>
        <v>#NAME?</v>
      </c>
      <c r="S307" s="92">
        <f>SUMIF(DISPONIBILIDADES_2025[[#All],[consecutivo]],Contrato[[#This Row],[CDP]],DISPONIBILIDADES_2025[[#All],[valor_total_rubro]])</f>
        <v>26545593</v>
      </c>
      <c r="T307" s="118" t="e" cm="1">
        <f t="array" aca="1" ref="T307" ca="1">_xlfn.XLOOKUP(Contrato[[#This Row],[CONTRATO]]&amp;Contrato[[#This Row],[CDP]],Corr_Contr_CDP[[#All],[CONTRATO-CDP]],Corr_Contr_CDP[[#All],[CRP]],_xlfn.XLOOKUP(Contrato[[#This Row],[CDP]],COMPROMISOS_2025[[#All],[disponibilidad]],COMPROMISOS_2025[[#All],[consecutivo]],"",0),0)</f>
        <v>#NAME?</v>
      </c>
      <c r="U307" s="117" t="e" cm="1">
        <f t="array" aca="1" ref="U307" ca="1">+_xlfn.XLOOKUP(Contrato[[#This Row],[RCP]],COMPROMISOS_2025[[#All],[consecutivo]],COMPROMISOS_2025[[#All],[fecha_aprobacion]],"",0)</f>
        <v>#NAME?</v>
      </c>
      <c r="V307" s="93">
        <f ca="1">SUMIF(COMPROMISOS_2025[[#All],[consecutivo]],Contrato[[#This Row],[RCP]],COMPROMISOS_2025[[#All],[valor_total]])</f>
        <v>0</v>
      </c>
      <c r="W307" s="243">
        <v>45723</v>
      </c>
      <c r="X307" s="243" t="s">
        <v>901</v>
      </c>
      <c r="Y307" s="96">
        <v>45726</v>
      </c>
      <c r="Z307" s="161">
        <v>46008</v>
      </c>
      <c r="AA307" s="338" t="s">
        <v>1425</v>
      </c>
      <c r="AB307" s="119" t="s">
        <v>1426</v>
      </c>
      <c r="AC307" s="112"/>
      <c r="AD307" s="279">
        <v>202000006486</v>
      </c>
      <c r="AE307" s="38"/>
      <c r="AF307" s="120" t="str">
        <f>TEXT(LEFT(Contrato[[#This Row],[CONTRATO]],3),"0")</f>
        <v>300</v>
      </c>
      <c r="AG307" s="120" t="str">
        <f>IF(LEN(Contrato[[#This Row],[Contrato2]])=3,Contrato[[#This Row],[Contrato2]],TEXT(Contrato[[#This Row],[Contrato2]],"000"))</f>
        <v>300</v>
      </c>
      <c r="AH307" s="90">
        <f ca="1">IFERROR(_xlfn.DAYS(Contrato[[#This Row],[Fecha Proyectada liquidación]],TODAY())/30,"")</f>
        <v>11.5</v>
      </c>
      <c r="AI307" s="121">
        <f>+Contrato[[#This Row],[FECHA TERMINACIÓN ]]+120</f>
        <v>46128</v>
      </c>
      <c r="AK307" s="91" t="str">
        <f ca="1">IF(Contrato[[#This Row],[FECHA TERMINACIÓN ]]&lt;TODAY(), "Terminado",IF(ISNUMBER(Contrato[[#This Row],[Fecha Real de liquiidación ]]),"Liquidado",IF(Contrato[[#This Row],[FECHA TERMINACIÓN ]]&gt;=TODAY(),"En ejecución","")))</f>
        <v>En ejecución</v>
      </c>
      <c r="AL307" s="107">
        <f ca="1">SUMIF(COMPROMISOS_2025[[#All],[consecutivo]],Contrato[[#This Row],[RCP]],COMPROMISOS_2025[[#All],[Total pagado]])</f>
        <v>0</v>
      </c>
      <c r="AM307" s="122">
        <f ca="1">IFERROR(Contrato[[#This Row],[Pagos]]/Contrato[[#This Row],[VALOR CONTRATO]],0)</f>
        <v>0</v>
      </c>
      <c r="AN307" s="160">
        <f ca="1">+Contrato[[#This Row],[VALOR CONTRATO]]-Contrato[[#This Row],[Pagos]]</f>
        <v>25100935</v>
      </c>
      <c r="AO307" s="111" t="e" cm="1">
        <f t="array" aca="1" ref="AO307" ca="1">_xlfn.XLOOKUP(Contrato[[#This Row],[DOCUMENTO ]],PERSONAL_ACTIVO_2025[[#All],[DOCUMENTO]],PERSONAL_ACTIVO_2025[[#All],[email]],0,0)</f>
        <v>#NAME?</v>
      </c>
      <c r="AP307" s="111" t="e" cm="1">
        <f t="array" aca="1" ref="AP307" ca="1">_xlfn.XLOOKUP(Contrato[[#This Row],[DOCUMENTO]],PERSONAL_ACTIVO_2025[[#All],[DOCUMENTO]],PERSONAL_ACTIVO_2025[[#All],[email]],0,0)</f>
        <v>#NAME?</v>
      </c>
      <c r="AQ307" s="111" cm="1">
        <f t="array" aca="1" ref="AQ307" ca="1">IF(ISBLANK(Contrato[[#This Row],[DEPENDENCIA ]]),0,IFERROR(_xlfn.XLOOKUP(Contrato[[#This Row],[DEPENDENCIA ]],#REF!,#REF!,0,0),0))</f>
        <v>0</v>
      </c>
      <c r="AR307" s="555">
        <f ca="1">+_xlfn.DAYS(Contrato[[#This Row],[FECHA TERMINACIÓN ]],TODAY())</f>
        <v>225</v>
      </c>
    </row>
    <row r="308" spans="1:44" ht="39.75" customHeight="1" x14ac:dyDescent="0.25">
      <c r="A308" s="38">
        <v>347</v>
      </c>
      <c r="B308" s="226">
        <v>301</v>
      </c>
      <c r="C308" s="88" t="s">
        <v>545</v>
      </c>
      <c r="D308" s="192" t="s">
        <v>911</v>
      </c>
      <c r="E308" s="193" t="s">
        <v>112</v>
      </c>
      <c r="F308" s="194" t="s">
        <v>113</v>
      </c>
      <c r="G308" s="195" t="s">
        <v>1454</v>
      </c>
      <c r="H308" s="346">
        <v>71277601</v>
      </c>
      <c r="I308" s="290">
        <v>2708734</v>
      </c>
      <c r="J308" s="290">
        <v>25100935</v>
      </c>
      <c r="K308" s="158" t="s">
        <v>41</v>
      </c>
      <c r="L308" s="196" t="s">
        <v>1401</v>
      </c>
      <c r="M308" s="114" t="s">
        <v>939</v>
      </c>
      <c r="N308" s="113" t="e" cm="1">
        <f t="array" aca="1" ref="N308" ca="1">_xlfn.XLOOKUP(Contrato[[#This Row],[SUPERVISOR TITULAR]],PERSONAL_ACTIVO_2025[[#All],[NOMBRES Y APELLIDOS]],PERSONAL_ACTIVO_2025[[#All],[DOCUMENTO]],"",0)</f>
        <v>#NAME?</v>
      </c>
      <c r="O308" s="114" t="s">
        <v>943</v>
      </c>
      <c r="P308" s="115" t="e" cm="1">
        <f t="array" aca="1" ref="P308" ca="1">_xlfn.XLOOKUP(Contrato[[#This Row],[SUPERVISOR SUPLENTE ]],PERSONAL_ACTIVO_2025[[#All],[NOMBRES Y APELLIDOS]],PERSONAL_ACTIVO_2025[[#All],[DOCUMENTO]],"",0)</f>
        <v>#NAME?</v>
      </c>
      <c r="Q308" s="116">
        <v>181</v>
      </c>
      <c r="R308" s="137" t="e" cm="1">
        <f t="array" aca="1" ref="R308" ca="1">_xlfn.XLOOKUP(Contrato[[#This Row],[CDP]],DISPONIBILIDADES_2025[[#All],[consecutivo]],DISPONIBILIDADES_2025[[#All],[fecha_aprobacion]],"",0)</f>
        <v>#NAME?</v>
      </c>
      <c r="S308" s="92">
        <f>SUMIF(DISPONIBILIDADES_2025[[#All],[consecutivo]],Contrato[[#This Row],[CDP]],DISPONIBILIDADES_2025[[#All],[valor_total_rubro]])</f>
        <v>26545593</v>
      </c>
      <c r="T308" s="118" t="e" cm="1">
        <f t="array" aca="1" ref="T308" ca="1">_xlfn.XLOOKUP(Contrato[[#This Row],[CONTRATO]]&amp;Contrato[[#This Row],[CDP]],Corr_Contr_CDP[[#All],[CONTRATO-CDP]],Corr_Contr_CDP[[#All],[CRP]],_xlfn.XLOOKUP(Contrato[[#This Row],[CDP]],COMPROMISOS_2025[[#All],[disponibilidad]],COMPROMISOS_2025[[#All],[consecutivo]],"",0),0)</f>
        <v>#NAME?</v>
      </c>
      <c r="U308" s="117" t="e" cm="1">
        <f t="array" aca="1" ref="U308" ca="1">+_xlfn.XLOOKUP(Contrato[[#This Row],[RCP]],COMPROMISOS_2025[[#All],[consecutivo]],COMPROMISOS_2025[[#All],[fecha_aprobacion]],"",0)</f>
        <v>#NAME?</v>
      </c>
      <c r="V308" s="93">
        <f ca="1">SUMIF(COMPROMISOS_2025[[#All],[consecutivo]],Contrato[[#This Row],[RCP]],COMPROMISOS_2025[[#All],[valor_total]])</f>
        <v>0</v>
      </c>
      <c r="W308" s="243">
        <v>45723</v>
      </c>
      <c r="X308" s="243" t="s">
        <v>901</v>
      </c>
      <c r="Y308" s="96">
        <v>45726</v>
      </c>
      <c r="Z308" s="161">
        <v>46008</v>
      </c>
      <c r="AA308" s="338" t="s">
        <v>1425</v>
      </c>
      <c r="AB308" s="119" t="s">
        <v>1426</v>
      </c>
      <c r="AC308" s="112"/>
      <c r="AD308" s="279">
        <v>202000006487</v>
      </c>
      <c r="AE308" s="38"/>
      <c r="AF308" s="120" t="str">
        <f>TEXT(LEFT(Contrato[[#This Row],[CONTRATO]],3),"0")</f>
        <v>301</v>
      </c>
      <c r="AG308" s="120" t="str">
        <f>IF(LEN(Contrato[[#This Row],[Contrato2]])=3,Contrato[[#This Row],[Contrato2]],TEXT(Contrato[[#This Row],[Contrato2]],"000"))</f>
        <v>301</v>
      </c>
      <c r="AH308" s="90">
        <f ca="1">IFERROR(_xlfn.DAYS(Contrato[[#This Row],[Fecha Proyectada liquidación]],TODAY())/30,"")</f>
        <v>11.5</v>
      </c>
      <c r="AI308" s="121">
        <f>+Contrato[[#This Row],[FECHA TERMINACIÓN ]]+120</f>
        <v>46128</v>
      </c>
      <c r="AK308" s="91" t="str">
        <f ca="1">IF(Contrato[[#This Row],[FECHA TERMINACIÓN ]]&lt;TODAY(), "Terminado",IF(ISNUMBER(Contrato[[#This Row],[Fecha Real de liquiidación ]]),"Liquidado",IF(Contrato[[#This Row],[FECHA TERMINACIÓN ]]&gt;=TODAY(),"En ejecución","")))</f>
        <v>En ejecución</v>
      </c>
      <c r="AL308" s="107">
        <f ca="1">SUMIF(COMPROMISOS_2025[[#All],[consecutivo]],Contrato[[#This Row],[RCP]],COMPROMISOS_2025[[#All],[Total pagado]])</f>
        <v>0</v>
      </c>
      <c r="AM308" s="122">
        <f ca="1">IFERROR(Contrato[[#This Row],[Pagos]]/Contrato[[#This Row],[VALOR CONTRATO]],0)</f>
        <v>0</v>
      </c>
      <c r="AN308" s="160">
        <f ca="1">+Contrato[[#This Row],[VALOR CONTRATO]]-Contrato[[#This Row],[Pagos]]</f>
        <v>25100935</v>
      </c>
      <c r="AO308" s="111" t="e" cm="1">
        <f t="array" aca="1" ref="AO308" ca="1">_xlfn.XLOOKUP(Contrato[[#This Row],[DOCUMENTO ]],PERSONAL_ACTIVO_2025[[#All],[DOCUMENTO]],PERSONAL_ACTIVO_2025[[#All],[email]],0,0)</f>
        <v>#NAME?</v>
      </c>
      <c r="AP308" s="111" t="e" cm="1">
        <f t="array" aca="1" ref="AP308" ca="1">_xlfn.XLOOKUP(Contrato[[#This Row],[DOCUMENTO]],PERSONAL_ACTIVO_2025[[#All],[DOCUMENTO]],PERSONAL_ACTIVO_2025[[#All],[email]],0,0)</f>
        <v>#NAME?</v>
      </c>
      <c r="AQ308" s="111" cm="1">
        <f t="array" aca="1" ref="AQ308" ca="1">IF(ISBLANK(Contrato[[#This Row],[DEPENDENCIA ]]),0,IFERROR(_xlfn.XLOOKUP(Contrato[[#This Row],[DEPENDENCIA ]],#REF!,#REF!,0,0),0))</f>
        <v>0</v>
      </c>
      <c r="AR308" s="555">
        <f ca="1">+_xlfn.DAYS(Contrato[[#This Row],[FECHA TERMINACIÓN ]],TODAY())</f>
        <v>225</v>
      </c>
    </row>
    <row r="309" spans="1:44" ht="39.75" customHeight="1" x14ac:dyDescent="0.25">
      <c r="A309" s="38">
        <v>367</v>
      </c>
      <c r="B309" s="226">
        <v>302</v>
      </c>
      <c r="C309" s="88" t="s">
        <v>565</v>
      </c>
      <c r="D309" s="192" t="s">
        <v>911</v>
      </c>
      <c r="E309" s="193" t="s">
        <v>112</v>
      </c>
      <c r="F309" s="194" t="s">
        <v>113</v>
      </c>
      <c r="G309" s="195" t="s">
        <v>1455</v>
      </c>
      <c r="H309" s="346">
        <v>71703740</v>
      </c>
      <c r="I309" s="290">
        <v>4157906</v>
      </c>
      <c r="J309" s="290">
        <v>38529929</v>
      </c>
      <c r="K309" s="158" t="s">
        <v>41</v>
      </c>
      <c r="L309" s="196" t="s">
        <v>1401</v>
      </c>
      <c r="M309" s="114" t="s">
        <v>939</v>
      </c>
      <c r="N309" s="113" t="e" cm="1">
        <f t="array" aca="1" ref="N309" ca="1">_xlfn.XLOOKUP(Contrato[[#This Row],[SUPERVISOR TITULAR]],PERSONAL_ACTIVO_2025[[#All],[NOMBRES Y APELLIDOS]],PERSONAL_ACTIVO_2025[[#All],[DOCUMENTO]],"",0)</f>
        <v>#NAME?</v>
      </c>
      <c r="O309" s="114" t="s">
        <v>943</v>
      </c>
      <c r="P309" s="115" t="e" cm="1">
        <f t="array" aca="1" ref="P309" ca="1">_xlfn.XLOOKUP(Contrato[[#This Row],[SUPERVISOR SUPLENTE ]],PERSONAL_ACTIVO_2025[[#All],[NOMBRES Y APELLIDOS]],PERSONAL_ACTIVO_2025[[#All],[DOCUMENTO]],"",0)</f>
        <v>#NAME?</v>
      </c>
      <c r="Q309" s="116">
        <v>201</v>
      </c>
      <c r="R309" s="137" t="e" cm="1">
        <f t="array" aca="1" ref="R309" ca="1">_xlfn.XLOOKUP(Contrato[[#This Row],[CDP]],DISPONIBILIDADES_2025[[#All],[consecutivo]],DISPONIBILIDADES_2025[[#All],[fecha_aprobacion]],"",0)</f>
        <v>#NAME?</v>
      </c>
      <c r="S309" s="92">
        <f>SUMIF(DISPONIBILIDADES_2025[[#All],[consecutivo]],Contrato[[#This Row],[CDP]],DISPONIBILIDADES_2025[[#All],[valor_total_rubro]])</f>
        <v>40747479</v>
      </c>
      <c r="T309" s="118" t="e" cm="1">
        <f t="array" aca="1" ref="T309" ca="1">_xlfn.XLOOKUP(Contrato[[#This Row],[CONTRATO]]&amp;Contrato[[#This Row],[CDP]],Corr_Contr_CDP[[#All],[CONTRATO-CDP]],Corr_Contr_CDP[[#All],[CRP]],_xlfn.XLOOKUP(Contrato[[#This Row],[CDP]],COMPROMISOS_2025[[#All],[disponibilidad]],COMPROMISOS_2025[[#All],[consecutivo]],"",0),0)</f>
        <v>#NAME?</v>
      </c>
      <c r="U309" s="117" t="e" cm="1">
        <f t="array" aca="1" ref="U309" ca="1">+_xlfn.XLOOKUP(Contrato[[#This Row],[RCP]],COMPROMISOS_2025[[#All],[consecutivo]],COMPROMISOS_2025[[#All],[fecha_aprobacion]],"",0)</f>
        <v>#NAME?</v>
      </c>
      <c r="V309" s="93">
        <f ca="1">SUMIF(COMPROMISOS_2025[[#All],[consecutivo]],Contrato[[#This Row],[RCP]],COMPROMISOS_2025[[#All],[valor_total]])</f>
        <v>0</v>
      </c>
      <c r="W309" s="243">
        <v>45723</v>
      </c>
      <c r="X309" s="243" t="s">
        <v>901</v>
      </c>
      <c r="Y309" s="96">
        <v>45726</v>
      </c>
      <c r="Z309" s="161">
        <v>46008</v>
      </c>
      <c r="AA309" s="338" t="s">
        <v>1425</v>
      </c>
      <c r="AB309" s="119" t="s">
        <v>1426</v>
      </c>
      <c r="AC309" s="112"/>
      <c r="AD309" s="279">
        <v>202000006489</v>
      </c>
      <c r="AE309" s="38"/>
      <c r="AF309" s="120" t="str">
        <f>TEXT(LEFT(Contrato[[#This Row],[CONTRATO]],3),"0")</f>
        <v>302</v>
      </c>
      <c r="AG309" s="120" t="str">
        <f>IF(LEN(Contrato[[#This Row],[Contrato2]])=3,Contrato[[#This Row],[Contrato2]],TEXT(Contrato[[#This Row],[Contrato2]],"000"))</f>
        <v>302</v>
      </c>
      <c r="AH309" s="90">
        <f ca="1">IFERROR(_xlfn.DAYS(Contrato[[#This Row],[Fecha Proyectada liquidación]],TODAY())/30,"")</f>
        <v>11.5</v>
      </c>
      <c r="AI309" s="121">
        <f>+Contrato[[#This Row],[FECHA TERMINACIÓN ]]+120</f>
        <v>46128</v>
      </c>
      <c r="AK309" s="91" t="str">
        <f ca="1">IF(Contrato[[#This Row],[FECHA TERMINACIÓN ]]&lt;TODAY(), "Terminado",IF(ISNUMBER(Contrato[[#This Row],[Fecha Real de liquiidación ]]),"Liquidado",IF(Contrato[[#This Row],[FECHA TERMINACIÓN ]]&gt;=TODAY(),"En ejecución","")))</f>
        <v>En ejecución</v>
      </c>
      <c r="AL309" s="107">
        <f ca="1">SUMIF(COMPROMISOS_2025[[#All],[consecutivo]],Contrato[[#This Row],[RCP]],COMPROMISOS_2025[[#All],[Total pagado]])</f>
        <v>0</v>
      </c>
      <c r="AM309" s="122">
        <f ca="1">IFERROR(Contrato[[#This Row],[Pagos]]/Contrato[[#This Row],[VALOR CONTRATO]],0)</f>
        <v>0</v>
      </c>
      <c r="AN309" s="160">
        <f ca="1">+Contrato[[#This Row],[VALOR CONTRATO]]-Contrato[[#This Row],[Pagos]]</f>
        <v>38529929</v>
      </c>
      <c r="AO309" s="111" t="e" cm="1">
        <f t="array" aca="1" ref="AO309" ca="1">_xlfn.XLOOKUP(Contrato[[#This Row],[DOCUMENTO ]],PERSONAL_ACTIVO_2025[[#All],[DOCUMENTO]],PERSONAL_ACTIVO_2025[[#All],[email]],0,0)</f>
        <v>#NAME?</v>
      </c>
      <c r="AP309" s="111" t="e" cm="1">
        <f t="array" aca="1" ref="AP309" ca="1">_xlfn.XLOOKUP(Contrato[[#This Row],[DOCUMENTO]],PERSONAL_ACTIVO_2025[[#All],[DOCUMENTO]],PERSONAL_ACTIVO_2025[[#All],[email]],0,0)</f>
        <v>#NAME?</v>
      </c>
      <c r="AQ309" s="111" cm="1">
        <f t="array" aca="1" ref="AQ309" ca="1">IF(ISBLANK(Contrato[[#This Row],[DEPENDENCIA ]]),0,IFERROR(_xlfn.XLOOKUP(Contrato[[#This Row],[DEPENDENCIA ]],#REF!,#REF!,0,0),0))</f>
        <v>0</v>
      </c>
      <c r="AR309" s="555">
        <f ca="1">+_xlfn.DAYS(Contrato[[#This Row],[FECHA TERMINACIÓN ]],TODAY())</f>
        <v>225</v>
      </c>
    </row>
    <row r="310" spans="1:44" ht="39.75" customHeight="1" x14ac:dyDescent="0.25">
      <c r="A310" s="38">
        <v>371</v>
      </c>
      <c r="B310" s="226">
        <v>303</v>
      </c>
      <c r="C310" s="88" t="s">
        <v>569</v>
      </c>
      <c r="D310" s="192" t="s">
        <v>911</v>
      </c>
      <c r="E310" s="193" t="s">
        <v>112</v>
      </c>
      <c r="F310" s="194" t="s">
        <v>113</v>
      </c>
      <c r="G310" s="195" t="s">
        <v>1456</v>
      </c>
      <c r="H310" s="346">
        <v>1036423355</v>
      </c>
      <c r="I310" s="290">
        <v>4157906</v>
      </c>
      <c r="J310" s="290">
        <v>38529929</v>
      </c>
      <c r="K310" s="158" t="s">
        <v>41</v>
      </c>
      <c r="L310" s="196" t="s">
        <v>1401</v>
      </c>
      <c r="M310" s="114" t="s">
        <v>939</v>
      </c>
      <c r="N310" s="113" t="e" cm="1">
        <f t="array" aca="1" ref="N310" ca="1">_xlfn.XLOOKUP(Contrato[[#This Row],[SUPERVISOR TITULAR]],PERSONAL_ACTIVO_2025[[#All],[NOMBRES Y APELLIDOS]],PERSONAL_ACTIVO_2025[[#All],[DOCUMENTO]],"",0)</f>
        <v>#NAME?</v>
      </c>
      <c r="O310" s="114" t="s">
        <v>943</v>
      </c>
      <c r="P310" s="115" t="e" cm="1">
        <f t="array" aca="1" ref="P310" ca="1">_xlfn.XLOOKUP(Contrato[[#This Row],[SUPERVISOR SUPLENTE ]],PERSONAL_ACTIVO_2025[[#All],[NOMBRES Y APELLIDOS]],PERSONAL_ACTIVO_2025[[#All],[DOCUMENTO]],"",0)</f>
        <v>#NAME?</v>
      </c>
      <c r="Q310" s="116">
        <v>205</v>
      </c>
      <c r="R310" s="137" t="e" cm="1">
        <f t="array" aca="1" ref="R310" ca="1">_xlfn.XLOOKUP(Contrato[[#This Row],[CDP]],DISPONIBILIDADES_2025[[#All],[consecutivo]],DISPONIBILIDADES_2025[[#All],[fecha_aprobacion]],"",0)</f>
        <v>#NAME?</v>
      </c>
      <c r="S310" s="92">
        <f>SUMIF(DISPONIBILIDADES_2025[[#All],[consecutivo]],Contrato[[#This Row],[CDP]],DISPONIBILIDADES_2025[[#All],[valor_total_rubro]])</f>
        <v>40747479</v>
      </c>
      <c r="T310" s="118" t="e" cm="1">
        <f t="array" aca="1" ref="T310" ca="1">_xlfn.XLOOKUP(Contrato[[#This Row],[CONTRATO]]&amp;Contrato[[#This Row],[CDP]],Corr_Contr_CDP[[#All],[CONTRATO-CDP]],Corr_Contr_CDP[[#All],[CRP]],_xlfn.XLOOKUP(Contrato[[#This Row],[CDP]],COMPROMISOS_2025[[#All],[disponibilidad]],COMPROMISOS_2025[[#All],[consecutivo]],"",0),0)</f>
        <v>#NAME?</v>
      </c>
      <c r="U310" s="117" t="e" cm="1">
        <f t="array" aca="1" ref="U310" ca="1">+_xlfn.XLOOKUP(Contrato[[#This Row],[RCP]],COMPROMISOS_2025[[#All],[consecutivo]],COMPROMISOS_2025[[#All],[fecha_aprobacion]],"",0)</f>
        <v>#NAME?</v>
      </c>
      <c r="V310" s="93">
        <f ca="1">SUMIF(COMPROMISOS_2025[[#All],[consecutivo]],Contrato[[#This Row],[RCP]],COMPROMISOS_2025[[#All],[valor_total]])</f>
        <v>0</v>
      </c>
      <c r="W310" s="243">
        <v>45726</v>
      </c>
      <c r="X310" s="243" t="s">
        <v>901</v>
      </c>
      <c r="Y310" s="96">
        <v>45726</v>
      </c>
      <c r="Z310" s="161">
        <v>46008</v>
      </c>
      <c r="AA310" s="338" t="s">
        <v>1425</v>
      </c>
      <c r="AB310" s="119" t="s">
        <v>1426</v>
      </c>
      <c r="AC310" s="112"/>
      <c r="AD310" s="471">
        <v>202000006490</v>
      </c>
      <c r="AE310" s="38"/>
      <c r="AF310" s="120" t="str">
        <f>TEXT(LEFT(Contrato[[#This Row],[CONTRATO]],3),"0")</f>
        <v>303</v>
      </c>
      <c r="AG310" s="120" t="str">
        <f>IF(LEN(Contrato[[#This Row],[Contrato2]])=3,Contrato[[#This Row],[Contrato2]],TEXT(Contrato[[#This Row],[Contrato2]],"000"))</f>
        <v>303</v>
      </c>
      <c r="AH310" s="90">
        <f ca="1">IFERROR(_xlfn.DAYS(Contrato[[#This Row],[Fecha Proyectada liquidación]],TODAY())/30,"")</f>
        <v>11.5</v>
      </c>
      <c r="AI310" s="121">
        <f>+Contrato[[#This Row],[FECHA TERMINACIÓN ]]+120</f>
        <v>46128</v>
      </c>
      <c r="AK310" s="91" t="str">
        <f ca="1">IF(Contrato[[#This Row],[FECHA TERMINACIÓN ]]&lt;TODAY(), "Terminado",IF(ISNUMBER(Contrato[[#This Row],[Fecha Real de liquiidación ]]),"Liquidado",IF(Contrato[[#This Row],[FECHA TERMINACIÓN ]]&gt;=TODAY(),"En ejecución","")))</f>
        <v>En ejecución</v>
      </c>
      <c r="AL310" s="107">
        <f ca="1">SUMIF(COMPROMISOS_2025[[#All],[consecutivo]],Contrato[[#This Row],[RCP]],COMPROMISOS_2025[[#All],[Total pagado]])</f>
        <v>0</v>
      </c>
      <c r="AM310" s="122">
        <f ca="1">IFERROR(Contrato[[#This Row],[Pagos]]/Contrato[[#This Row],[VALOR CONTRATO]],0)</f>
        <v>0</v>
      </c>
      <c r="AN310" s="160">
        <f ca="1">+Contrato[[#This Row],[VALOR CONTRATO]]-Contrato[[#This Row],[Pagos]]</f>
        <v>38529929</v>
      </c>
      <c r="AO310" s="111" t="e" cm="1">
        <f t="array" aca="1" ref="AO310" ca="1">_xlfn.XLOOKUP(Contrato[[#This Row],[DOCUMENTO ]],PERSONAL_ACTIVO_2025[[#All],[DOCUMENTO]],PERSONAL_ACTIVO_2025[[#All],[email]],0,0)</f>
        <v>#NAME?</v>
      </c>
      <c r="AP310" s="111" t="e" cm="1">
        <f t="array" aca="1" ref="AP310" ca="1">_xlfn.XLOOKUP(Contrato[[#This Row],[DOCUMENTO]],PERSONAL_ACTIVO_2025[[#All],[DOCUMENTO]],PERSONAL_ACTIVO_2025[[#All],[email]],0,0)</f>
        <v>#NAME?</v>
      </c>
      <c r="AQ310" s="111" cm="1">
        <f t="array" aca="1" ref="AQ310" ca="1">IF(ISBLANK(Contrato[[#This Row],[DEPENDENCIA ]]),0,IFERROR(_xlfn.XLOOKUP(Contrato[[#This Row],[DEPENDENCIA ]],#REF!,#REF!,0,0),0))</f>
        <v>0</v>
      </c>
      <c r="AR310" s="555">
        <f ca="1">+_xlfn.DAYS(Contrato[[#This Row],[FECHA TERMINACIÓN ]],TODAY())</f>
        <v>225</v>
      </c>
    </row>
    <row r="311" spans="1:44" ht="39.75" customHeight="1" x14ac:dyDescent="0.25">
      <c r="A311" s="38">
        <v>372</v>
      </c>
      <c r="B311" s="226">
        <v>304</v>
      </c>
      <c r="C311" s="88" t="s">
        <v>570</v>
      </c>
      <c r="D311" s="192" t="s">
        <v>911</v>
      </c>
      <c r="E311" s="193" t="s">
        <v>112</v>
      </c>
      <c r="F311" s="194" t="s">
        <v>113</v>
      </c>
      <c r="G311" s="195" t="s">
        <v>1457</v>
      </c>
      <c r="H311" s="346">
        <v>1017246519</v>
      </c>
      <c r="I311" s="290">
        <v>2708734</v>
      </c>
      <c r="J311" s="290">
        <v>25100935</v>
      </c>
      <c r="K311" s="158" t="s">
        <v>41</v>
      </c>
      <c r="L311" s="196" t="s">
        <v>1401</v>
      </c>
      <c r="M311" s="114" t="s">
        <v>939</v>
      </c>
      <c r="N311" s="113" t="e" cm="1">
        <f t="array" aca="1" ref="N311" ca="1">_xlfn.XLOOKUP(Contrato[[#This Row],[SUPERVISOR TITULAR]],PERSONAL_ACTIVO_2025[[#All],[NOMBRES Y APELLIDOS]],PERSONAL_ACTIVO_2025[[#All],[DOCUMENTO]],"",0)</f>
        <v>#NAME?</v>
      </c>
      <c r="O311" s="114" t="s">
        <v>943</v>
      </c>
      <c r="P311" s="115" t="e" cm="1">
        <f t="array" aca="1" ref="P311" ca="1">_xlfn.XLOOKUP(Contrato[[#This Row],[SUPERVISOR SUPLENTE ]],PERSONAL_ACTIVO_2025[[#All],[NOMBRES Y APELLIDOS]],PERSONAL_ACTIVO_2025[[#All],[DOCUMENTO]],"",0)</f>
        <v>#NAME?</v>
      </c>
      <c r="Q311" s="116">
        <v>282</v>
      </c>
      <c r="R311" s="137" t="e" cm="1">
        <f t="array" aca="1" ref="R311" ca="1">_xlfn.XLOOKUP(Contrato[[#This Row],[CDP]],DISPONIBILIDADES_2025[[#All],[consecutivo]],DISPONIBILIDADES_2025[[#All],[fecha_aprobacion]],"",0)</f>
        <v>#NAME?</v>
      </c>
      <c r="S311" s="92">
        <f>SUMIF(DISPONIBILIDADES_2025[[#All],[consecutivo]],Contrato[[#This Row],[CDP]],DISPONIBILIDADES_2025[[#All],[valor_total_rubro]])</f>
        <v>26545593</v>
      </c>
      <c r="T311" s="118" t="e" cm="1">
        <f t="array" aca="1" ref="T311" ca="1">_xlfn.XLOOKUP(Contrato[[#This Row],[CONTRATO]]&amp;Contrato[[#This Row],[CDP]],Corr_Contr_CDP[[#All],[CONTRATO-CDP]],Corr_Contr_CDP[[#All],[CRP]],_xlfn.XLOOKUP(Contrato[[#This Row],[CDP]],COMPROMISOS_2025[[#All],[disponibilidad]],COMPROMISOS_2025[[#All],[consecutivo]],"",0),0)</f>
        <v>#NAME?</v>
      </c>
      <c r="U311" s="117" t="e" cm="1">
        <f t="array" aca="1" ref="U311" ca="1">+_xlfn.XLOOKUP(Contrato[[#This Row],[RCP]],COMPROMISOS_2025[[#All],[consecutivo]],COMPROMISOS_2025[[#All],[fecha_aprobacion]],"",0)</f>
        <v>#NAME?</v>
      </c>
      <c r="V311" s="93">
        <f ca="1">SUMIF(COMPROMISOS_2025[[#All],[consecutivo]],Contrato[[#This Row],[RCP]],COMPROMISOS_2025[[#All],[valor_total]])</f>
        <v>0</v>
      </c>
      <c r="W311" s="243">
        <v>45723</v>
      </c>
      <c r="X311" s="243" t="s">
        <v>901</v>
      </c>
      <c r="Y311" s="96">
        <v>45726</v>
      </c>
      <c r="Z311" s="161">
        <v>46008</v>
      </c>
      <c r="AA311" s="338" t="s">
        <v>1425</v>
      </c>
      <c r="AB311" s="119" t="s">
        <v>1426</v>
      </c>
      <c r="AC311" s="112"/>
      <c r="AD311" s="279">
        <v>202000006491</v>
      </c>
      <c r="AE311" s="38"/>
      <c r="AF311" s="120" t="str">
        <f>TEXT(LEFT(Contrato[[#This Row],[CONTRATO]],3),"0")</f>
        <v>304</v>
      </c>
      <c r="AG311" s="120" t="str">
        <f>IF(LEN(Contrato[[#This Row],[Contrato2]])=3,Contrato[[#This Row],[Contrato2]],TEXT(Contrato[[#This Row],[Contrato2]],"000"))</f>
        <v>304</v>
      </c>
      <c r="AH311" s="90">
        <f ca="1">IFERROR(_xlfn.DAYS(Contrato[[#This Row],[Fecha Proyectada liquidación]],TODAY())/30,"")</f>
        <v>11.5</v>
      </c>
      <c r="AI311" s="121">
        <f>+Contrato[[#This Row],[FECHA TERMINACIÓN ]]+120</f>
        <v>46128</v>
      </c>
      <c r="AK311" s="91" t="str">
        <f ca="1">IF(Contrato[[#This Row],[FECHA TERMINACIÓN ]]&lt;TODAY(), "Terminado",IF(ISNUMBER(Contrato[[#This Row],[Fecha Real de liquiidación ]]),"Liquidado",IF(Contrato[[#This Row],[FECHA TERMINACIÓN ]]&gt;=TODAY(),"En ejecución","")))</f>
        <v>En ejecución</v>
      </c>
      <c r="AL311" s="107">
        <f ca="1">SUMIF(COMPROMISOS_2025[[#All],[consecutivo]],Contrato[[#This Row],[RCP]],COMPROMISOS_2025[[#All],[Total pagado]])</f>
        <v>0</v>
      </c>
      <c r="AM311" s="122">
        <f ca="1">IFERROR(Contrato[[#This Row],[Pagos]]/Contrato[[#This Row],[VALOR CONTRATO]],0)</f>
        <v>0</v>
      </c>
      <c r="AN311" s="160">
        <f ca="1">+Contrato[[#This Row],[VALOR CONTRATO]]-Contrato[[#This Row],[Pagos]]</f>
        <v>25100935</v>
      </c>
      <c r="AO311" s="111" t="e" cm="1">
        <f t="array" aca="1" ref="AO311" ca="1">_xlfn.XLOOKUP(Contrato[[#This Row],[DOCUMENTO ]],PERSONAL_ACTIVO_2025[[#All],[DOCUMENTO]],PERSONAL_ACTIVO_2025[[#All],[email]],0,0)</f>
        <v>#NAME?</v>
      </c>
      <c r="AP311" s="111" t="e" cm="1">
        <f t="array" aca="1" ref="AP311" ca="1">_xlfn.XLOOKUP(Contrato[[#This Row],[DOCUMENTO]],PERSONAL_ACTIVO_2025[[#All],[DOCUMENTO]],PERSONAL_ACTIVO_2025[[#All],[email]],0,0)</f>
        <v>#NAME?</v>
      </c>
      <c r="AQ311" s="111" cm="1">
        <f t="array" aca="1" ref="AQ311" ca="1">IF(ISBLANK(Contrato[[#This Row],[DEPENDENCIA ]]),0,IFERROR(_xlfn.XLOOKUP(Contrato[[#This Row],[DEPENDENCIA ]],#REF!,#REF!,0,0),0))</f>
        <v>0</v>
      </c>
      <c r="AR311" s="555">
        <f ca="1">+_xlfn.DAYS(Contrato[[#This Row],[FECHA TERMINACIÓN ]],TODAY())</f>
        <v>225</v>
      </c>
    </row>
    <row r="312" spans="1:44" ht="39.75" customHeight="1" x14ac:dyDescent="0.25">
      <c r="A312" s="38">
        <v>456</v>
      </c>
      <c r="B312" s="226">
        <v>305</v>
      </c>
      <c r="C312" s="88" t="s">
        <v>654</v>
      </c>
      <c r="D312" s="192" t="s">
        <v>911</v>
      </c>
      <c r="E312" s="193" t="s">
        <v>112</v>
      </c>
      <c r="F312" s="194" t="s">
        <v>113</v>
      </c>
      <c r="G312" s="195" t="s">
        <v>1458</v>
      </c>
      <c r="H312" s="346">
        <v>2470571</v>
      </c>
      <c r="I312" s="290">
        <v>4157906</v>
      </c>
      <c r="J312" s="290">
        <v>38529929</v>
      </c>
      <c r="K312" s="158" t="s">
        <v>41</v>
      </c>
      <c r="L312" s="196" t="s">
        <v>1401</v>
      </c>
      <c r="M312" s="114" t="s">
        <v>939</v>
      </c>
      <c r="N312" s="113" t="e" cm="1">
        <f t="array" aca="1" ref="N312" ca="1">_xlfn.XLOOKUP(Contrato[[#This Row],[SUPERVISOR TITULAR]],PERSONAL_ACTIVO_2025[[#All],[NOMBRES Y APELLIDOS]],PERSONAL_ACTIVO_2025[[#All],[DOCUMENTO]],"",0)</f>
        <v>#NAME?</v>
      </c>
      <c r="O312" s="114" t="s">
        <v>943</v>
      </c>
      <c r="P312" s="115" t="e" cm="1">
        <f t="array" aca="1" ref="P312" ca="1">_xlfn.XLOOKUP(Contrato[[#This Row],[SUPERVISOR SUPLENTE ]],PERSONAL_ACTIVO_2025[[#All],[NOMBRES Y APELLIDOS]],PERSONAL_ACTIVO_2025[[#All],[DOCUMENTO]],"",0)</f>
        <v>#NAME?</v>
      </c>
      <c r="Q312" s="116">
        <v>369</v>
      </c>
      <c r="R312" s="137" t="e" cm="1">
        <f t="array" aca="1" ref="R312" ca="1">_xlfn.XLOOKUP(Contrato[[#This Row],[CDP]],DISPONIBILIDADES_2025[[#All],[consecutivo]],DISPONIBILIDADES_2025[[#All],[fecha_aprobacion]],"",0)</f>
        <v>#NAME?</v>
      </c>
      <c r="S312" s="92">
        <f>SUMIF(DISPONIBILIDADES_2025[[#All],[consecutivo]],Contrato[[#This Row],[CDP]],DISPONIBILIDADES_2025[[#All],[valor_total_rubro]])</f>
        <v>38529929</v>
      </c>
      <c r="T312" s="118" t="e" cm="1">
        <f t="array" aca="1" ref="T312" ca="1">_xlfn.XLOOKUP(Contrato[[#This Row],[CONTRATO]]&amp;Contrato[[#This Row],[CDP]],Corr_Contr_CDP[[#All],[CONTRATO-CDP]],Corr_Contr_CDP[[#All],[CRP]],_xlfn.XLOOKUP(Contrato[[#This Row],[CDP]],COMPROMISOS_2025[[#All],[disponibilidad]],COMPROMISOS_2025[[#All],[consecutivo]],"",0),0)</f>
        <v>#NAME?</v>
      </c>
      <c r="U312" s="117" t="e" cm="1">
        <f t="array" aca="1" ref="U312" ca="1">+_xlfn.XLOOKUP(Contrato[[#This Row],[RCP]],COMPROMISOS_2025[[#All],[consecutivo]],COMPROMISOS_2025[[#All],[fecha_aprobacion]],"",0)</f>
        <v>#NAME?</v>
      </c>
      <c r="V312" s="93">
        <f ca="1">SUMIF(COMPROMISOS_2025[[#All],[consecutivo]],Contrato[[#This Row],[RCP]],COMPROMISOS_2025[[#All],[valor_total]])</f>
        <v>0</v>
      </c>
      <c r="W312" s="243">
        <v>45723</v>
      </c>
      <c r="X312" s="243" t="s">
        <v>901</v>
      </c>
      <c r="Y312" s="96">
        <v>45726</v>
      </c>
      <c r="Z312" s="161">
        <v>46008</v>
      </c>
      <c r="AA312" s="338" t="s">
        <v>1425</v>
      </c>
      <c r="AB312" s="119" t="s">
        <v>1426</v>
      </c>
      <c r="AC312" s="112"/>
      <c r="AD312" s="279">
        <v>202000006492</v>
      </c>
      <c r="AE312" s="38"/>
      <c r="AF312" s="120" t="str">
        <f>TEXT(LEFT(Contrato[[#This Row],[CONTRATO]],3),"0")</f>
        <v>305</v>
      </c>
      <c r="AG312" s="120" t="str">
        <f>IF(LEN(Contrato[[#This Row],[Contrato2]])=3,Contrato[[#This Row],[Contrato2]],TEXT(Contrato[[#This Row],[Contrato2]],"000"))</f>
        <v>305</v>
      </c>
      <c r="AH312" s="90">
        <f ca="1">IFERROR(_xlfn.DAYS(Contrato[[#This Row],[Fecha Proyectada liquidación]],TODAY())/30,"")</f>
        <v>11.5</v>
      </c>
      <c r="AI312" s="121">
        <f>+Contrato[[#This Row],[FECHA TERMINACIÓN ]]+120</f>
        <v>46128</v>
      </c>
      <c r="AK312" s="91" t="str">
        <f ca="1">IF(Contrato[[#This Row],[FECHA TERMINACIÓN ]]&lt;TODAY(), "Terminado",IF(ISNUMBER(Contrato[[#This Row],[Fecha Real de liquiidación ]]),"Liquidado",IF(Contrato[[#This Row],[FECHA TERMINACIÓN ]]&gt;=TODAY(),"En ejecución","")))</f>
        <v>En ejecución</v>
      </c>
      <c r="AL312" s="107">
        <f ca="1">SUMIF(COMPROMISOS_2025[[#All],[consecutivo]],Contrato[[#This Row],[RCP]],COMPROMISOS_2025[[#All],[Total pagado]])</f>
        <v>0</v>
      </c>
      <c r="AM312" s="122">
        <f ca="1">IFERROR(Contrato[[#This Row],[Pagos]]/Contrato[[#This Row],[VALOR CONTRATO]],0)</f>
        <v>0</v>
      </c>
      <c r="AN312" s="160">
        <f ca="1">+Contrato[[#This Row],[VALOR CONTRATO]]-Contrato[[#This Row],[Pagos]]</f>
        <v>38529929</v>
      </c>
      <c r="AO312" s="111" t="e" cm="1">
        <f t="array" aca="1" ref="AO312" ca="1">_xlfn.XLOOKUP(Contrato[[#This Row],[DOCUMENTO ]],PERSONAL_ACTIVO_2025[[#All],[DOCUMENTO]],PERSONAL_ACTIVO_2025[[#All],[email]],0,0)</f>
        <v>#NAME?</v>
      </c>
      <c r="AP312" s="111" t="e" cm="1">
        <f t="array" aca="1" ref="AP312" ca="1">_xlfn.XLOOKUP(Contrato[[#This Row],[DOCUMENTO]],PERSONAL_ACTIVO_2025[[#All],[DOCUMENTO]],PERSONAL_ACTIVO_2025[[#All],[email]],0,0)</f>
        <v>#NAME?</v>
      </c>
      <c r="AQ312" s="111" cm="1">
        <f t="array" aca="1" ref="AQ312" ca="1">IF(ISBLANK(Contrato[[#This Row],[DEPENDENCIA ]]),0,IFERROR(_xlfn.XLOOKUP(Contrato[[#This Row],[DEPENDENCIA ]],#REF!,#REF!,0,0),0))</f>
        <v>0</v>
      </c>
      <c r="AR312" s="555">
        <f ca="1">+_xlfn.DAYS(Contrato[[#This Row],[FECHA TERMINACIÓN ]],TODAY())</f>
        <v>225</v>
      </c>
    </row>
    <row r="313" spans="1:44" ht="39.75" customHeight="1" x14ac:dyDescent="0.25">
      <c r="A313" s="38">
        <v>457</v>
      </c>
      <c r="B313" s="226">
        <v>306</v>
      </c>
      <c r="C313" s="88" t="s">
        <v>655</v>
      </c>
      <c r="D313" s="192" t="s">
        <v>911</v>
      </c>
      <c r="E313" s="193" t="s">
        <v>112</v>
      </c>
      <c r="F313" s="194" t="s">
        <v>113</v>
      </c>
      <c r="G313" s="195" t="s">
        <v>1459</v>
      </c>
      <c r="H313" s="346">
        <v>1054092294</v>
      </c>
      <c r="I313" s="290">
        <v>2708734</v>
      </c>
      <c r="J313" s="290">
        <v>25100935</v>
      </c>
      <c r="K313" s="158" t="s">
        <v>41</v>
      </c>
      <c r="L313" s="196" t="s">
        <v>1401</v>
      </c>
      <c r="M313" s="114" t="s">
        <v>939</v>
      </c>
      <c r="N313" s="113" t="e" cm="1">
        <f t="array" aca="1" ref="N313" ca="1">_xlfn.XLOOKUP(Contrato[[#This Row],[SUPERVISOR TITULAR]],PERSONAL_ACTIVO_2025[[#All],[NOMBRES Y APELLIDOS]],PERSONAL_ACTIVO_2025[[#All],[DOCUMENTO]],"",0)</f>
        <v>#NAME?</v>
      </c>
      <c r="O313" s="114" t="s">
        <v>943</v>
      </c>
      <c r="P313" s="115" t="e" cm="1">
        <f t="array" aca="1" ref="P313" ca="1">_xlfn.XLOOKUP(Contrato[[#This Row],[SUPERVISOR SUPLENTE ]],PERSONAL_ACTIVO_2025[[#All],[NOMBRES Y APELLIDOS]],PERSONAL_ACTIVO_2025[[#All],[DOCUMENTO]],"",0)</f>
        <v>#NAME?</v>
      </c>
      <c r="Q313" s="116">
        <v>371</v>
      </c>
      <c r="R313" s="137" t="e" cm="1">
        <f t="array" aca="1" ref="R313" ca="1">_xlfn.XLOOKUP(Contrato[[#This Row],[CDP]],DISPONIBILIDADES_2025[[#All],[consecutivo]],DISPONIBILIDADES_2025[[#All],[fecha_aprobacion]],"",0)</f>
        <v>#NAME?</v>
      </c>
      <c r="S313" s="92">
        <f>SUMIF(DISPONIBILIDADES_2025[[#All],[consecutivo]],Contrato[[#This Row],[CDP]],DISPONIBILIDADES_2025[[#All],[valor_total_rubro]])</f>
        <v>25100935</v>
      </c>
      <c r="T313" s="118" t="e" cm="1">
        <f t="array" aca="1" ref="T313" ca="1">_xlfn.XLOOKUP(Contrato[[#This Row],[CONTRATO]]&amp;Contrato[[#This Row],[CDP]],Corr_Contr_CDP[[#All],[CONTRATO-CDP]],Corr_Contr_CDP[[#All],[CRP]],_xlfn.XLOOKUP(Contrato[[#This Row],[CDP]],COMPROMISOS_2025[[#All],[disponibilidad]],COMPROMISOS_2025[[#All],[consecutivo]],"",0),0)</f>
        <v>#NAME?</v>
      </c>
      <c r="U313" s="117" t="e" cm="1">
        <f t="array" aca="1" ref="U313" ca="1">+_xlfn.XLOOKUP(Contrato[[#This Row],[RCP]],COMPROMISOS_2025[[#All],[consecutivo]],COMPROMISOS_2025[[#All],[fecha_aprobacion]],"",0)</f>
        <v>#NAME?</v>
      </c>
      <c r="V313" s="93">
        <f ca="1">SUMIF(COMPROMISOS_2025[[#All],[consecutivo]],Contrato[[#This Row],[RCP]],COMPROMISOS_2025[[#All],[valor_total]])</f>
        <v>0</v>
      </c>
      <c r="W313" s="243">
        <v>45723</v>
      </c>
      <c r="X313" s="243" t="s">
        <v>901</v>
      </c>
      <c r="Y313" s="96">
        <v>45726</v>
      </c>
      <c r="Z313" s="161">
        <v>46008</v>
      </c>
      <c r="AA313" s="338" t="s">
        <v>1425</v>
      </c>
      <c r="AB313" s="119" t="s">
        <v>1426</v>
      </c>
      <c r="AC313" s="112"/>
      <c r="AD313" s="279">
        <v>202000006493</v>
      </c>
      <c r="AE313" s="38"/>
      <c r="AF313" s="120" t="str">
        <f>TEXT(LEFT(Contrato[[#This Row],[CONTRATO]],3),"0")</f>
        <v>306</v>
      </c>
      <c r="AG313" s="120" t="str">
        <f>IF(LEN(Contrato[[#This Row],[Contrato2]])=3,Contrato[[#This Row],[Contrato2]],TEXT(Contrato[[#This Row],[Contrato2]],"000"))</f>
        <v>306</v>
      </c>
      <c r="AH313" s="90">
        <f ca="1">IFERROR(_xlfn.DAYS(Contrato[[#This Row],[Fecha Proyectada liquidación]],TODAY())/30,"")</f>
        <v>11.5</v>
      </c>
      <c r="AI313" s="121">
        <f>+Contrato[[#This Row],[FECHA TERMINACIÓN ]]+120</f>
        <v>46128</v>
      </c>
      <c r="AK313" s="91" t="str">
        <f ca="1">IF(Contrato[[#This Row],[FECHA TERMINACIÓN ]]&lt;TODAY(), "Terminado",IF(ISNUMBER(Contrato[[#This Row],[Fecha Real de liquiidación ]]),"Liquidado",IF(Contrato[[#This Row],[FECHA TERMINACIÓN ]]&gt;=TODAY(),"En ejecución","")))</f>
        <v>En ejecución</v>
      </c>
      <c r="AL313" s="107">
        <f ca="1">SUMIF(COMPROMISOS_2025[[#All],[consecutivo]],Contrato[[#This Row],[RCP]],COMPROMISOS_2025[[#All],[Total pagado]])</f>
        <v>0</v>
      </c>
      <c r="AM313" s="122">
        <f ca="1">IFERROR(Contrato[[#This Row],[Pagos]]/Contrato[[#This Row],[VALOR CONTRATO]],0)</f>
        <v>0</v>
      </c>
      <c r="AN313" s="160">
        <f ca="1">+Contrato[[#This Row],[VALOR CONTRATO]]-Contrato[[#This Row],[Pagos]]</f>
        <v>25100935</v>
      </c>
      <c r="AO313" s="111" t="e" cm="1">
        <f t="array" aca="1" ref="AO313" ca="1">_xlfn.XLOOKUP(Contrato[[#This Row],[DOCUMENTO ]],PERSONAL_ACTIVO_2025[[#All],[DOCUMENTO]],PERSONAL_ACTIVO_2025[[#All],[email]],0,0)</f>
        <v>#NAME?</v>
      </c>
      <c r="AP313" s="111" t="e" cm="1">
        <f t="array" aca="1" ref="AP313" ca="1">_xlfn.XLOOKUP(Contrato[[#This Row],[DOCUMENTO]],PERSONAL_ACTIVO_2025[[#All],[DOCUMENTO]],PERSONAL_ACTIVO_2025[[#All],[email]],0,0)</f>
        <v>#NAME?</v>
      </c>
      <c r="AQ313" s="111" cm="1">
        <f t="array" aca="1" ref="AQ313" ca="1">IF(ISBLANK(Contrato[[#This Row],[DEPENDENCIA ]]),0,IFERROR(_xlfn.XLOOKUP(Contrato[[#This Row],[DEPENDENCIA ]],#REF!,#REF!,0,0),0))</f>
        <v>0</v>
      </c>
      <c r="AR313" s="555">
        <f ca="1">+_xlfn.DAYS(Contrato[[#This Row],[FECHA TERMINACIÓN ]],TODAY())</f>
        <v>225</v>
      </c>
    </row>
    <row r="314" spans="1:44" ht="39.75" customHeight="1" x14ac:dyDescent="0.25">
      <c r="A314" s="38">
        <v>458</v>
      </c>
      <c r="B314" s="226">
        <v>307</v>
      </c>
      <c r="C314" s="88" t="s">
        <v>656</v>
      </c>
      <c r="D314" s="192" t="s">
        <v>911</v>
      </c>
      <c r="E314" s="193" t="s">
        <v>112</v>
      </c>
      <c r="F314" s="194" t="s">
        <v>113</v>
      </c>
      <c r="G314" s="195" t="s">
        <v>1460</v>
      </c>
      <c r="H314" s="346">
        <v>80795654</v>
      </c>
      <c r="I314" s="290">
        <v>4157906</v>
      </c>
      <c r="J314" s="290">
        <v>38529929</v>
      </c>
      <c r="K314" s="158" t="s">
        <v>41</v>
      </c>
      <c r="L314" s="196" t="s">
        <v>1401</v>
      </c>
      <c r="M314" s="114" t="s">
        <v>939</v>
      </c>
      <c r="N314" s="113" t="e" cm="1">
        <f t="array" aca="1" ref="N314" ca="1">_xlfn.XLOOKUP(Contrato[[#This Row],[SUPERVISOR TITULAR]],PERSONAL_ACTIVO_2025[[#All],[NOMBRES Y APELLIDOS]],PERSONAL_ACTIVO_2025[[#All],[DOCUMENTO]],"",0)</f>
        <v>#NAME?</v>
      </c>
      <c r="O314" s="114" t="s">
        <v>943</v>
      </c>
      <c r="P314" s="115" t="e" cm="1">
        <f t="array" aca="1" ref="P314" ca="1">_xlfn.XLOOKUP(Contrato[[#This Row],[SUPERVISOR SUPLENTE ]],PERSONAL_ACTIVO_2025[[#All],[NOMBRES Y APELLIDOS]],PERSONAL_ACTIVO_2025[[#All],[DOCUMENTO]],"",0)</f>
        <v>#NAME?</v>
      </c>
      <c r="Q314" s="116">
        <v>365</v>
      </c>
      <c r="R314" s="137" t="e" cm="1">
        <f t="array" aca="1" ref="R314" ca="1">_xlfn.XLOOKUP(Contrato[[#This Row],[CDP]],DISPONIBILIDADES_2025[[#All],[consecutivo]],DISPONIBILIDADES_2025[[#All],[fecha_aprobacion]],"",0)</f>
        <v>#NAME?</v>
      </c>
      <c r="S314" s="92">
        <f>SUMIF(DISPONIBILIDADES_2025[[#All],[consecutivo]],Contrato[[#This Row],[CDP]],DISPONIBILIDADES_2025[[#All],[valor_total_rubro]])</f>
        <v>38529929</v>
      </c>
      <c r="T314" s="118" t="e" cm="1">
        <f t="array" aca="1" ref="T314" ca="1">_xlfn.XLOOKUP(Contrato[[#This Row],[CONTRATO]]&amp;Contrato[[#This Row],[CDP]],Corr_Contr_CDP[[#All],[CONTRATO-CDP]],Corr_Contr_CDP[[#All],[CRP]],_xlfn.XLOOKUP(Contrato[[#This Row],[CDP]],COMPROMISOS_2025[[#All],[disponibilidad]],COMPROMISOS_2025[[#All],[consecutivo]],"",0),0)</f>
        <v>#NAME?</v>
      </c>
      <c r="U314" s="117" t="e" cm="1">
        <f t="array" aca="1" ref="U314" ca="1">+_xlfn.XLOOKUP(Contrato[[#This Row],[RCP]],COMPROMISOS_2025[[#All],[consecutivo]],COMPROMISOS_2025[[#All],[fecha_aprobacion]],"",0)</f>
        <v>#NAME?</v>
      </c>
      <c r="V314" s="93">
        <f ca="1">SUMIF(COMPROMISOS_2025[[#All],[consecutivo]],Contrato[[#This Row],[RCP]],COMPROMISOS_2025[[#All],[valor_total]])</f>
        <v>0</v>
      </c>
      <c r="W314" s="243">
        <v>45723</v>
      </c>
      <c r="X314" s="243" t="s">
        <v>901</v>
      </c>
      <c r="Y314" s="96">
        <v>45726</v>
      </c>
      <c r="Z314" s="161">
        <v>46008</v>
      </c>
      <c r="AA314" s="338" t="s">
        <v>1425</v>
      </c>
      <c r="AB314" s="119" t="s">
        <v>1426</v>
      </c>
      <c r="AC314" s="112"/>
      <c r="AD314" s="279">
        <v>202000006494</v>
      </c>
      <c r="AE314" s="38"/>
      <c r="AF314" s="120" t="str">
        <f>TEXT(LEFT(Contrato[[#This Row],[CONTRATO]],3),"0")</f>
        <v>307</v>
      </c>
      <c r="AG314" s="120" t="str">
        <f>IF(LEN(Contrato[[#This Row],[Contrato2]])=3,Contrato[[#This Row],[Contrato2]],TEXT(Contrato[[#This Row],[Contrato2]],"000"))</f>
        <v>307</v>
      </c>
      <c r="AH314" s="90">
        <f ca="1">IFERROR(_xlfn.DAYS(Contrato[[#This Row],[Fecha Proyectada liquidación]],TODAY())/30,"")</f>
        <v>11.5</v>
      </c>
      <c r="AI314" s="121">
        <f>+Contrato[[#This Row],[FECHA TERMINACIÓN ]]+120</f>
        <v>46128</v>
      </c>
      <c r="AK314" s="91" t="str">
        <f ca="1">IF(Contrato[[#This Row],[FECHA TERMINACIÓN ]]&lt;TODAY(), "Terminado",IF(ISNUMBER(Contrato[[#This Row],[Fecha Real de liquiidación ]]),"Liquidado",IF(Contrato[[#This Row],[FECHA TERMINACIÓN ]]&gt;=TODAY(),"En ejecución","")))</f>
        <v>En ejecución</v>
      </c>
      <c r="AL314" s="107">
        <f ca="1">SUMIF(COMPROMISOS_2025[[#All],[consecutivo]],Contrato[[#This Row],[RCP]],COMPROMISOS_2025[[#All],[Total pagado]])</f>
        <v>0</v>
      </c>
      <c r="AM314" s="122">
        <f ca="1">IFERROR(Contrato[[#This Row],[Pagos]]/Contrato[[#This Row],[VALOR CONTRATO]],0)</f>
        <v>0</v>
      </c>
      <c r="AN314" s="160">
        <f ca="1">+Contrato[[#This Row],[VALOR CONTRATO]]-Contrato[[#This Row],[Pagos]]</f>
        <v>38529929</v>
      </c>
      <c r="AO314" s="111" t="e" cm="1">
        <f t="array" aca="1" ref="AO314" ca="1">_xlfn.XLOOKUP(Contrato[[#This Row],[DOCUMENTO ]],PERSONAL_ACTIVO_2025[[#All],[DOCUMENTO]],PERSONAL_ACTIVO_2025[[#All],[email]],0,0)</f>
        <v>#NAME?</v>
      </c>
      <c r="AP314" s="111" t="e" cm="1">
        <f t="array" aca="1" ref="AP314" ca="1">_xlfn.XLOOKUP(Contrato[[#This Row],[DOCUMENTO]],PERSONAL_ACTIVO_2025[[#All],[DOCUMENTO]],PERSONAL_ACTIVO_2025[[#All],[email]],0,0)</f>
        <v>#NAME?</v>
      </c>
      <c r="AQ314" s="111" cm="1">
        <f t="array" aca="1" ref="AQ314" ca="1">IF(ISBLANK(Contrato[[#This Row],[DEPENDENCIA ]]),0,IFERROR(_xlfn.XLOOKUP(Contrato[[#This Row],[DEPENDENCIA ]],#REF!,#REF!,0,0),0))</f>
        <v>0</v>
      </c>
      <c r="AR314" s="555">
        <f ca="1">+_xlfn.DAYS(Contrato[[#This Row],[FECHA TERMINACIÓN ]],TODAY())</f>
        <v>225</v>
      </c>
    </row>
    <row r="315" spans="1:44" ht="39.75" customHeight="1" x14ac:dyDescent="0.25">
      <c r="A315" s="38">
        <v>382</v>
      </c>
      <c r="B315" s="226">
        <v>308</v>
      </c>
      <c r="C315" s="88" t="s">
        <v>580</v>
      </c>
      <c r="D315" s="192" t="s">
        <v>911</v>
      </c>
      <c r="E315" s="193" t="s">
        <v>112</v>
      </c>
      <c r="F315" s="194" t="s">
        <v>113</v>
      </c>
      <c r="G315" s="195" t="s">
        <v>1461</v>
      </c>
      <c r="H315" s="167">
        <v>1045505327</v>
      </c>
      <c r="I315" s="292">
        <v>2708734</v>
      </c>
      <c r="J315" s="292">
        <v>25100935</v>
      </c>
      <c r="K315" s="158" t="s">
        <v>41</v>
      </c>
      <c r="L315" s="196" t="s">
        <v>1401</v>
      </c>
      <c r="M315" s="114" t="s">
        <v>938</v>
      </c>
      <c r="N315" s="113" t="e" cm="1">
        <f t="array" aca="1" ref="N315" ca="1">_xlfn.XLOOKUP(Contrato[[#This Row],[SUPERVISOR TITULAR]],PERSONAL_ACTIVO_2025[[#All],[NOMBRES Y APELLIDOS]],PERSONAL_ACTIVO_2025[[#All],[DOCUMENTO]],"",0)</f>
        <v>#NAME?</v>
      </c>
      <c r="O315" s="114" t="s">
        <v>1091</v>
      </c>
      <c r="P315" s="115" t="e" cm="1">
        <f t="array" aca="1" ref="P315" ca="1">_xlfn.XLOOKUP(Contrato[[#This Row],[SUPERVISOR SUPLENTE ]],PERSONAL_ACTIVO_2025[[#All],[NOMBRES Y APELLIDOS]],PERSONAL_ACTIVO_2025[[#All],[DOCUMENTO]],"",0)</f>
        <v>#NAME?</v>
      </c>
      <c r="Q315" s="116">
        <v>215</v>
      </c>
      <c r="R315" s="137" t="e" cm="1">
        <f t="array" aca="1" ref="R315" ca="1">_xlfn.XLOOKUP(Contrato[[#This Row],[CDP]],DISPONIBILIDADES_2025[[#All],[consecutivo]],DISPONIBILIDADES_2025[[#All],[fecha_aprobacion]],"",0)</f>
        <v>#NAME?</v>
      </c>
      <c r="S315" s="92">
        <f>SUMIF(DISPONIBILIDADES_2025[[#All],[consecutivo]],Contrato[[#This Row],[CDP]],DISPONIBILIDADES_2025[[#All],[valor_total_rubro]])</f>
        <v>26545593</v>
      </c>
      <c r="T315" s="118" t="e" cm="1">
        <f t="array" aca="1" ref="T315" ca="1">_xlfn.XLOOKUP(Contrato[[#This Row],[CONTRATO]]&amp;Contrato[[#This Row],[CDP]],Corr_Contr_CDP[[#All],[CONTRATO-CDP]],Corr_Contr_CDP[[#All],[CRP]],_xlfn.XLOOKUP(Contrato[[#This Row],[CDP]],COMPROMISOS_2025[[#All],[disponibilidad]],COMPROMISOS_2025[[#All],[consecutivo]],"",0),0)</f>
        <v>#NAME?</v>
      </c>
      <c r="U315" s="117" t="e" cm="1">
        <f t="array" aca="1" ref="U315" ca="1">+_xlfn.XLOOKUP(Contrato[[#This Row],[RCP]],COMPROMISOS_2025[[#All],[consecutivo]],COMPROMISOS_2025[[#All],[fecha_aprobacion]],"",0)</f>
        <v>#NAME?</v>
      </c>
      <c r="V315" s="93">
        <f ca="1">SUMIF(COMPROMISOS_2025[[#All],[consecutivo]],Contrato[[#This Row],[RCP]],COMPROMISOS_2025[[#All],[valor_total]])</f>
        <v>0</v>
      </c>
      <c r="W315" s="169">
        <v>45723</v>
      </c>
      <c r="X315" s="243" t="s">
        <v>901</v>
      </c>
      <c r="Y315" s="96">
        <v>45726</v>
      </c>
      <c r="Z315" s="161">
        <v>46008</v>
      </c>
      <c r="AA315" s="338" t="s">
        <v>1425</v>
      </c>
      <c r="AB315" s="119" t="s">
        <v>1426</v>
      </c>
      <c r="AC315" s="112"/>
      <c r="AD315" s="279">
        <v>202000006495</v>
      </c>
      <c r="AE315" s="38"/>
      <c r="AF315" s="120" t="str">
        <f>TEXT(LEFT(Contrato[[#This Row],[CONTRATO]],3),"0")</f>
        <v>308</v>
      </c>
      <c r="AG315" s="120" t="str">
        <f>IF(LEN(Contrato[[#This Row],[Contrato2]])=3,Contrato[[#This Row],[Contrato2]],TEXT(Contrato[[#This Row],[Contrato2]],"000"))</f>
        <v>308</v>
      </c>
      <c r="AH315" s="90">
        <f ca="1">IFERROR(_xlfn.DAYS(Contrato[[#This Row],[Fecha Proyectada liquidación]],TODAY())/30,"")</f>
        <v>11.5</v>
      </c>
      <c r="AI315" s="121">
        <f>+Contrato[[#This Row],[FECHA TERMINACIÓN ]]+120</f>
        <v>46128</v>
      </c>
      <c r="AK315" s="91" t="str">
        <f ca="1">IF(Contrato[[#This Row],[FECHA TERMINACIÓN ]]&lt;TODAY(), "Terminado",IF(ISNUMBER(Contrato[[#This Row],[Fecha Real de liquiidación ]]),"Liquidado",IF(Contrato[[#This Row],[FECHA TERMINACIÓN ]]&gt;=TODAY(),"En ejecución","")))</f>
        <v>En ejecución</v>
      </c>
      <c r="AL315" s="107">
        <f ca="1">SUMIF(COMPROMISOS_2025[[#All],[consecutivo]],Contrato[[#This Row],[RCP]],COMPROMISOS_2025[[#All],[Total pagado]])</f>
        <v>0</v>
      </c>
      <c r="AM315" s="122">
        <f ca="1">IFERROR(Contrato[[#This Row],[Pagos]]/Contrato[[#This Row],[VALOR CONTRATO]],0)</f>
        <v>0</v>
      </c>
      <c r="AN315" s="160">
        <f ca="1">+Contrato[[#This Row],[VALOR CONTRATO]]-Contrato[[#This Row],[Pagos]]</f>
        <v>25100935</v>
      </c>
      <c r="AO315" s="111" t="e" cm="1">
        <f t="array" aca="1" ref="AO315" ca="1">_xlfn.XLOOKUP(Contrato[[#This Row],[DOCUMENTO ]],PERSONAL_ACTIVO_2025[[#All],[DOCUMENTO]],PERSONAL_ACTIVO_2025[[#All],[email]],0,0)</f>
        <v>#NAME?</v>
      </c>
      <c r="AP315" s="111" t="e" cm="1">
        <f t="array" aca="1" ref="AP315" ca="1">_xlfn.XLOOKUP(Contrato[[#This Row],[DOCUMENTO]],PERSONAL_ACTIVO_2025[[#All],[DOCUMENTO]],PERSONAL_ACTIVO_2025[[#All],[email]],0,0)</f>
        <v>#NAME?</v>
      </c>
      <c r="AQ315" s="111" cm="1">
        <f t="array" aca="1" ref="AQ315" ca="1">IF(ISBLANK(Contrato[[#This Row],[DEPENDENCIA ]]),0,IFERROR(_xlfn.XLOOKUP(Contrato[[#This Row],[DEPENDENCIA ]],#REF!,#REF!,0,0),0))</f>
        <v>0</v>
      </c>
      <c r="AR315" s="555">
        <f ca="1">+_xlfn.DAYS(Contrato[[#This Row],[FECHA TERMINACIÓN ]],TODAY())</f>
        <v>225</v>
      </c>
    </row>
    <row r="316" spans="1:44" ht="39.75" customHeight="1" x14ac:dyDescent="0.25">
      <c r="A316" s="38">
        <v>383</v>
      </c>
      <c r="B316" s="226">
        <v>309</v>
      </c>
      <c r="C316" s="88" t="s">
        <v>581</v>
      </c>
      <c r="D316" s="192" t="s">
        <v>911</v>
      </c>
      <c r="E316" s="193" t="s">
        <v>112</v>
      </c>
      <c r="F316" s="194" t="s">
        <v>113</v>
      </c>
      <c r="G316" s="195" t="s">
        <v>1462</v>
      </c>
      <c r="H316" s="167">
        <v>71716048</v>
      </c>
      <c r="I316" s="292">
        <v>6239569</v>
      </c>
      <c r="J316" s="292">
        <v>57820006</v>
      </c>
      <c r="K316" s="158" t="s">
        <v>41</v>
      </c>
      <c r="L316" s="196" t="s">
        <v>1401</v>
      </c>
      <c r="M316" s="114" t="s">
        <v>938</v>
      </c>
      <c r="N316" s="113" t="e" cm="1">
        <f t="array" aca="1" ref="N316" ca="1">_xlfn.XLOOKUP(Contrato[[#This Row],[SUPERVISOR TITULAR]],PERSONAL_ACTIVO_2025[[#All],[NOMBRES Y APELLIDOS]],PERSONAL_ACTIVO_2025[[#All],[DOCUMENTO]],"",0)</f>
        <v>#NAME?</v>
      </c>
      <c r="O316" s="114" t="s">
        <v>1091</v>
      </c>
      <c r="P316" s="115" t="e" cm="1">
        <f t="array" aca="1" ref="P316" ca="1">_xlfn.XLOOKUP(Contrato[[#This Row],[SUPERVISOR SUPLENTE ]],PERSONAL_ACTIVO_2025[[#All],[NOMBRES Y APELLIDOS]],PERSONAL_ACTIVO_2025[[#All],[DOCUMENTO]],"",0)</f>
        <v>#NAME?</v>
      </c>
      <c r="Q316" s="116">
        <v>216</v>
      </c>
      <c r="R316" s="137" t="e" cm="1">
        <f t="array" aca="1" ref="R316" ca="1">_xlfn.XLOOKUP(Contrato[[#This Row],[CDP]],DISPONIBILIDADES_2025[[#All],[consecutivo]],DISPONIBILIDADES_2025[[#All],[fecha_aprobacion]],"",0)</f>
        <v>#NAME?</v>
      </c>
      <c r="S316" s="92">
        <f>SUMIF(DISPONIBILIDADES_2025[[#All],[consecutivo]],Contrato[[#This Row],[CDP]],DISPONIBILIDADES_2025[[#All],[valor_total_rubro]])</f>
        <v>61147776</v>
      </c>
      <c r="T316" s="118" t="e" cm="1">
        <f t="array" aca="1" ref="T316" ca="1">_xlfn.XLOOKUP(Contrato[[#This Row],[CONTRATO]]&amp;Contrato[[#This Row],[CDP]],Corr_Contr_CDP[[#All],[CONTRATO-CDP]],Corr_Contr_CDP[[#All],[CRP]],_xlfn.XLOOKUP(Contrato[[#This Row],[CDP]],COMPROMISOS_2025[[#All],[disponibilidad]],COMPROMISOS_2025[[#All],[consecutivo]],"",0),0)</f>
        <v>#NAME?</v>
      </c>
      <c r="U316" s="117" t="e" cm="1">
        <f t="array" aca="1" ref="U316" ca="1">+_xlfn.XLOOKUP(Contrato[[#This Row],[RCP]],COMPROMISOS_2025[[#All],[consecutivo]],COMPROMISOS_2025[[#All],[fecha_aprobacion]],"",0)</f>
        <v>#NAME?</v>
      </c>
      <c r="V316" s="93">
        <f ca="1">SUMIF(COMPROMISOS_2025[[#All],[consecutivo]],Contrato[[#This Row],[RCP]],COMPROMISOS_2025[[#All],[valor_total]])</f>
        <v>0</v>
      </c>
      <c r="W316" s="169">
        <v>45723</v>
      </c>
      <c r="X316" s="243" t="s">
        <v>901</v>
      </c>
      <c r="Y316" s="96">
        <v>45726</v>
      </c>
      <c r="Z316" s="161">
        <v>46008</v>
      </c>
      <c r="AA316" s="338" t="s">
        <v>1425</v>
      </c>
      <c r="AB316" s="119" t="s">
        <v>1426</v>
      </c>
      <c r="AC316" s="112"/>
      <c r="AD316" s="279">
        <v>202000006496</v>
      </c>
      <c r="AE316" s="38"/>
      <c r="AF316" s="120" t="str">
        <f>TEXT(LEFT(Contrato[[#This Row],[CONTRATO]],3),"0")</f>
        <v>309</v>
      </c>
      <c r="AG316" s="120" t="str">
        <f>IF(LEN(Contrato[[#This Row],[Contrato2]])=3,Contrato[[#This Row],[Contrato2]],TEXT(Contrato[[#This Row],[Contrato2]],"000"))</f>
        <v>309</v>
      </c>
      <c r="AH316" s="90">
        <f ca="1">IFERROR(_xlfn.DAYS(Contrato[[#This Row],[Fecha Proyectada liquidación]],TODAY())/30,"")</f>
        <v>11.5</v>
      </c>
      <c r="AI316" s="121">
        <f>+Contrato[[#This Row],[FECHA TERMINACIÓN ]]+120</f>
        <v>46128</v>
      </c>
      <c r="AK316" s="91" t="str">
        <f ca="1">IF(Contrato[[#This Row],[FECHA TERMINACIÓN ]]&lt;TODAY(), "Terminado",IF(ISNUMBER(Contrato[[#This Row],[Fecha Real de liquiidación ]]),"Liquidado",IF(Contrato[[#This Row],[FECHA TERMINACIÓN ]]&gt;=TODAY(),"En ejecución","")))</f>
        <v>En ejecución</v>
      </c>
      <c r="AL316" s="107">
        <f ca="1">SUMIF(COMPROMISOS_2025[[#All],[consecutivo]],Contrato[[#This Row],[RCP]],COMPROMISOS_2025[[#All],[Total pagado]])</f>
        <v>0</v>
      </c>
      <c r="AM316" s="122">
        <f ca="1">IFERROR(Contrato[[#This Row],[Pagos]]/Contrato[[#This Row],[VALOR CONTRATO]],0)</f>
        <v>0</v>
      </c>
      <c r="AN316" s="160">
        <f ca="1">+Contrato[[#This Row],[VALOR CONTRATO]]-Contrato[[#This Row],[Pagos]]</f>
        <v>57820006</v>
      </c>
      <c r="AO316" s="111" t="e" cm="1">
        <f t="array" aca="1" ref="AO316" ca="1">_xlfn.XLOOKUP(Contrato[[#This Row],[DOCUMENTO ]],PERSONAL_ACTIVO_2025[[#All],[DOCUMENTO]],PERSONAL_ACTIVO_2025[[#All],[email]],0,0)</f>
        <v>#NAME?</v>
      </c>
      <c r="AP316" s="111" t="e" cm="1">
        <f t="array" aca="1" ref="AP316" ca="1">_xlfn.XLOOKUP(Contrato[[#This Row],[DOCUMENTO]],PERSONAL_ACTIVO_2025[[#All],[DOCUMENTO]],PERSONAL_ACTIVO_2025[[#All],[email]],0,0)</f>
        <v>#NAME?</v>
      </c>
      <c r="AQ316" s="111" cm="1">
        <f t="array" aca="1" ref="AQ316" ca="1">IF(ISBLANK(Contrato[[#This Row],[DEPENDENCIA ]]),0,IFERROR(_xlfn.XLOOKUP(Contrato[[#This Row],[DEPENDENCIA ]],#REF!,#REF!,0,0),0))</f>
        <v>0</v>
      </c>
      <c r="AR316" s="555">
        <f ca="1">+_xlfn.DAYS(Contrato[[#This Row],[FECHA TERMINACIÓN ]],TODAY())</f>
        <v>225</v>
      </c>
    </row>
    <row r="317" spans="1:44" ht="39.75" customHeight="1" x14ac:dyDescent="0.25">
      <c r="A317" s="38">
        <v>384</v>
      </c>
      <c r="B317" s="226">
        <v>310</v>
      </c>
      <c r="C317" s="88" t="s">
        <v>582</v>
      </c>
      <c r="D317" s="192" t="s">
        <v>911</v>
      </c>
      <c r="E317" s="193" t="s">
        <v>112</v>
      </c>
      <c r="F317" s="194" t="s">
        <v>113</v>
      </c>
      <c r="G317" s="195" t="s">
        <v>1463</v>
      </c>
      <c r="H317" s="167">
        <v>1027945251</v>
      </c>
      <c r="I317" s="292">
        <v>7280018</v>
      </c>
      <c r="J317" s="292">
        <v>67461500</v>
      </c>
      <c r="K317" s="158" t="s">
        <v>41</v>
      </c>
      <c r="L317" s="196" t="s">
        <v>1401</v>
      </c>
      <c r="M317" s="114" t="s">
        <v>938</v>
      </c>
      <c r="N317" s="113" t="e" cm="1">
        <f t="array" aca="1" ref="N317" ca="1">_xlfn.XLOOKUP(Contrato[[#This Row],[SUPERVISOR TITULAR]],PERSONAL_ACTIVO_2025[[#All],[NOMBRES Y APELLIDOS]],PERSONAL_ACTIVO_2025[[#All],[DOCUMENTO]],"",0)</f>
        <v>#NAME?</v>
      </c>
      <c r="O317" s="114" t="s">
        <v>1091</v>
      </c>
      <c r="P317" s="115" t="e" cm="1">
        <f t="array" aca="1" ref="P317" ca="1">_xlfn.XLOOKUP(Contrato[[#This Row],[SUPERVISOR SUPLENTE ]],PERSONAL_ACTIVO_2025[[#All],[NOMBRES Y APELLIDOS]],PERSONAL_ACTIVO_2025[[#All],[DOCUMENTO]],"",0)</f>
        <v>#NAME?</v>
      </c>
      <c r="Q317" s="116">
        <v>217</v>
      </c>
      <c r="R317" s="137" t="e" cm="1">
        <f t="array" aca="1" ref="R317" ca="1">_xlfn.XLOOKUP(Contrato[[#This Row],[CDP]],DISPONIBILIDADES_2025[[#All],[consecutivo]],DISPONIBILIDADES_2025[[#All],[fecha_aprobacion]],"",0)</f>
        <v>#NAME?</v>
      </c>
      <c r="S317" s="92">
        <f>SUMIF(DISPONIBILIDADES_2025[[#All],[consecutivo]],Contrato[[#This Row],[CDP]],DISPONIBILIDADES_2025[[#All],[valor_total_rubro]])</f>
        <v>71344176</v>
      </c>
      <c r="T317" s="118" t="e" cm="1">
        <f t="array" aca="1" ref="T317" ca="1">_xlfn.XLOOKUP(Contrato[[#This Row],[CONTRATO]]&amp;Contrato[[#This Row],[CDP]],Corr_Contr_CDP[[#All],[CONTRATO-CDP]],Corr_Contr_CDP[[#All],[CRP]],_xlfn.XLOOKUP(Contrato[[#This Row],[CDP]],COMPROMISOS_2025[[#All],[disponibilidad]],COMPROMISOS_2025[[#All],[consecutivo]],"",0),0)</f>
        <v>#NAME?</v>
      </c>
      <c r="U317" s="117" t="e" cm="1">
        <f t="array" aca="1" ref="U317" ca="1">+_xlfn.XLOOKUP(Contrato[[#This Row],[RCP]],COMPROMISOS_2025[[#All],[consecutivo]],COMPROMISOS_2025[[#All],[fecha_aprobacion]],"",0)</f>
        <v>#NAME?</v>
      </c>
      <c r="V317" s="93">
        <f ca="1">SUMIF(COMPROMISOS_2025[[#All],[consecutivo]],Contrato[[#This Row],[RCP]],COMPROMISOS_2025[[#All],[valor_total]])</f>
        <v>0</v>
      </c>
      <c r="W317" s="169">
        <v>45723</v>
      </c>
      <c r="X317" s="243" t="s">
        <v>901</v>
      </c>
      <c r="Y317" s="96">
        <v>45726</v>
      </c>
      <c r="Z317" s="161">
        <v>46008</v>
      </c>
      <c r="AA317" s="338" t="s">
        <v>1425</v>
      </c>
      <c r="AB317" s="119" t="s">
        <v>1426</v>
      </c>
      <c r="AC317" s="112"/>
      <c r="AD317" s="279">
        <v>202000006497</v>
      </c>
      <c r="AE317" s="38"/>
      <c r="AF317" s="120" t="str">
        <f>TEXT(LEFT(Contrato[[#This Row],[CONTRATO]],3),"0")</f>
        <v>310</v>
      </c>
      <c r="AG317" s="120" t="str">
        <f>IF(LEN(Contrato[[#This Row],[Contrato2]])=3,Contrato[[#This Row],[Contrato2]],TEXT(Contrato[[#This Row],[Contrato2]],"000"))</f>
        <v>310</v>
      </c>
      <c r="AH317" s="90">
        <f ca="1">IFERROR(_xlfn.DAYS(Contrato[[#This Row],[Fecha Proyectada liquidación]],TODAY())/30,"")</f>
        <v>11.5</v>
      </c>
      <c r="AI317" s="121">
        <f>+Contrato[[#This Row],[FECHA TERMINACIÓN ]]+120</f>
        <v>46128</v>
      </c>
      <c r="AK317" s="91" t="str">
        <f ca="1">IF(Contrato[[#This Row],[FECHA TERMINACIÓN ]]&lt;TODAY(), "Terminado",IF(ISNUMBER(Contrato[[#This Row],[Fecha Real de liquiidación ]]),"Liquidado",IF(Contrato[[#This Row],[FECHA TERMINACIÓN ]]&gt;=TODAY(),"En ejecución","")))</f>
        <v>En ejecución</v>
      </c>
      <c r="AL317" s="107">
        <f ca="1">SUMIF(COMPROMISOS_2025[[#All],[consecutivo]],Contrato[[#This Row],[RCP]],COMPROMISOS_2025[[#All],[Total pagado]])</f>
        <v>0</v>
      </c>
      <c r="AM317" s="122">
        <f ca="1">IFERROR(Contrato[[#This Row],[Pagos]]/Contrato[[#This Row],[VALOR CONTRATO]],0)</f>
        <v>0</v>
      </c>
      <c r="AN317" s="160">
        <f ca="1">+Contrato[[#This Row],[VALOR CONTRATO]]-Contrato[[#This Row],[Pagos]]</f>
        <v>67461500</v>
      </c>
      <c r="AO317" s="111" t="e" cm="1">
        <f t="array" aca="1" ref="AO317" ca="1">_xlfn.XLOOKUP(Contrato[[#This Row],[DOCUMENTO ]],PERSONAL_ACTIVO_2025[[#All],[DOCUMENTO]],PERSONAL_ACTIVO_2025[[#All],[email]],0,0)</f>
        <v>#NAME?</v>
      </c>
      <c r="AP317" s="111" t="e" cm="1">
        <f t="array" aca="1" ref="AP317" ca="1">_xlfn.XLOOKUP(Contrato[[#This Row],[DOCUMENTO]],PERSONAL_ACTIVO_2025[[#All],[DOCUMENTO]],PERSONAL_ACTIVO_2025[[#All],[email]],0,0)</f>
        <v>#NAME?</v>
      </c>
      <c r="AQ317" s="111" cm="1">
        <f t="array" aca="1" ref="AQ317" ca="1">IF(ISBLANK(Contrato[[#This Row],[DEPENDENCIA ]]),0,IFERROR(_xlfn.XLOOKUP(Contrato[[#This Row],[DEPENDENCIA ]],#REF!,#REF!,0,0),0))</f>
        <v>0</v>
      </c>
      <c r="AR317" s="555">
        <f ca="1">+_xlfn.DAYS(Contrato[[#This Row],[FECHA TERMINACIÓN ]],TODAY())</f>
        <v>225</v>
      </c>
    </row>
    <row r="318" spans="1:44" ht="39.75" customHeight="1" x14ac:dyDescent="0.25">
      <c r="A318" s="38">
        <v>386</v>
      </c>
      <c r="B318" s="226">
        <v>311</v>
      </c>
      <c r="C318" s="88" t="s">
        <v>584</v>
      </c>
      <c r="D318" s="192" t="s">
        <v>911</v>
      </c>
      <c r="E318" s="193" t="s">
        <v>112</v>
      </c>
      <c r="F318" s="194" t="s">
        <v>113</v>
      </c>
      <c r="G318" s="195" t="s">
        <v>1464</v>
      </c>
      <c r="H318" s="167">
        <v>43918828</v>
      </c>
      <c r="I318" s="292">
        <v>8320021</v>
      </c>
      <c r="J318" s="292">
        <v>77098861</v>
      </c>
      <c r="K318" s="158" t="s">
        <v>41</v>
      </c>
      <c r="L318" s="196" t="s">
        <v>1401</v>
      </c>
      <c r="M318" s="114" t="s">
        <v>938</v>
      </c>
      <c r="N318" s="113" t="e" cm="1">
        <f t="array" aca="1" ref="N318" ca="1">_xlfn.XLOOKUP(Contrato[[#This Row],[SUPERVISOR TITULAR]],PERSONAL_ACTIVO_2025[[#All],[NOMBRES Y APELLIDOS]],PERSONAL_ACTIVO_2025[[#All],[DOCUMENTO]],"",0)</f>
        <v>#NAME?</v>
      </c>
      <c r="O318" s="114" t="s">
        <v>1091</v>
      </c>
      <c r="P318" s="115" t="e" cm="1">
        <f t="array" aca="1" ref="P318" ca="1">_xlfn.XLOOKUP(Contrato[[#This Row],[SUPERVISOR SUPLENTE ]],PERSONAL_ACTIVO_2025[[#All],[NOMBRES Y APELLIDOS]],PERSONAL_ACTIVO_2025[[#All],[DOCUMENTO]],"",0)</f>
        <v>#NAME?</v>
      </c>
      <c r="Q318" s="116">
        <v>219</v>
      </c>
      <c r="R318" s="137" t="e" cm="1">
        <f t="array" aca="1" ref="R318" ca="1">_xlfn.XLOOKUP(Contrato[[#This Row],[CDP]],DISPONIBILIDADES_2025[[#All],[consecutivo]],DISPONIBILIDADES_2025[[#All],[fecha_aprobacion]],"",0)</f>
        <v>#NAME?</v>
      </c>
      <c r="S318" s="92">
        <f>SUMIF(DISPONIBILIDADES_2025[[#All],[consecutivo]],Contrato[[#This Row],[CDP]],DISPONIBILIDADES_2025[[#All],[valor_total_rubro]])</f>
        <v>81536206</v>
      </c>
      <c r="T318" s="118" t="e" cm="1">
        <f t="array" aca="1" ref="T318" ca="1">_xlfn.XLOOKUP(Contrato[[#This Row],[CONTRATO]]&amp;Contrato[[#This Row],[CDP]],Corr_Contr_CDP[[#All],[CONTRATO-CDP]],Corr_Contr_CDP[[#All],[CRP]],_xlfn.XLOOKUP(Contrato[[#This Row],[CDP]],COMPROMISOS_2025[[#All],[disponibilidad]],COMPROMISOS_2025[[#All],[consecutivo]],"",0),0)</f>
        <v>#NAME?</v>
      </c>
      <c r="U318" s="117" t="e" cm="1">
        <f t="array" aca="1" ref="U318" ca="1">+_xlfn.XLOOKUP(Contrato[[#This Row],[RCP]],COMPROMISOS_2025[[#All],[consecutivo]],COMPROMISOS_2025[[#All],[fecha_aprobacion]],"",0)</f>
        <v>#NAME?</v>
      </c>
      <c r="V318" s="93">
        <f ca="1">SUMIF(COMPROMISOS_2025[[#All],[consecutivo]],Contrato[[#This Row],[RCP]],COMPROMISOS_2025[[#All],[valor_total]])</f>
        <v>0</v>
      </c>
      <c r="W318" s="169">
        <v>45723</v>
      </c>
      <c r="X318" s="243" t="s">
        <v>901</v>
      </c>
      <c r="Y318" s="96">
        <v>45726</v>
      </c>
      <c r="Z318" s="161">
        <v>46008</v>
      </c>
      <c r="AA318" s="338" t="s">
        <v>1425</v>
      </c>
      <c r="AB318" s="119" t="s">
        <v>1426</v>
      </c>
      <c r="AC318" s="112"/>
      <c r="AD318" s="279">
        <v>202000006498</v>
      </c>
      <c r="AE318" s="38"/>
      <c r="AF318" s="120" t="str">
        <f>TEXT(LEFT(Contrato[[#This Row],[CONTRATO]],3),"0")</f>
        <v>311</v>
      </c>
      <c r="AG318" s="120" t="str">
        <f>IF(LEN(Contrato[[#This Row],[Contrato2]])=3,Contrato[[#This Row],[Contrato2]],TEXT(Contrato[[#This Row],[Contrato2]],"000"))</f>
        <v>311</v>
      </c>
      <c r="AH318" s="90">
        <f ca="1">IFERROR(_xlfn.DAYS(Contrato[[#This Row],[Fecha Proyectada liquidación]],TODAY())/30,"")</f>
        <v>11.5</v>
      </c>
      <c r="AI318" s="121">
        <f>+Contrato[[#This Row],[FECHA TERMINACIÓN ]]+120</f>
        <v>46128</v>
      </c>
      <c r="AK318" s="91" t="str">
        <f ca="1">IF(Contrato[[#This Row],[FECHA TERMINACIÓN ]]&lt;TODAY(), "Terminado",IF(ISNUMBER(Contrato[[#This Row],[Fecha Real de liquiidación ]]),"Liquidado",IF(Contrato[[#This Row],[FECHA TERMINACIÓN ]]&gt;=TODAY(),"En ejecución","")))</f>
        <v>En ejecución</v>
      </c>
      <c r="AL318" s="107">
        <f ca="1">SUMIF(COMPROMISOS_2025[[#All],[consecutivo]],Contrato[[#This Row],[RCP]],COMPROMISOS_2025[[#All],[Total pagado]])</f>
        <v>0</v>
      </c>
      <c r="AM318" s="122">
        <f ca="1">IFERROR(Contrato[[#This Row],[Pagos]]/Contrato[[#This Row],[VALOR CONTRATO]],0)</f>
        <v>0</v>
      </c>
      <c r="AN318" s="160">
        <f ca="1">+Contrato[[#This Row],[VALOR CONTRATO]]-Contrato[[#This Row],[Pagos]]</f>
        <v>77098861</v>
      </c>
      <c r="AO318" s="111" t="e" cm="1">
        <f t="array" aca="1" ref="AO318" ca="1">_xlfn.XLOOKUP(Contrato[[#This Row],[DOCUMENTO ]],PERSONAL_ACTIVO_2025[[#All],[DOCUMENTO]],PERSONAL_ACTIVO_2025[[#All],[email]],0,0)</f>
        <v>#NAME?</v>
      </c>
      <c r="AP318" s="111" t="e" cm="1">
        <f t="array" aca="1" ref="AP318" ca="1">_xlfn.XLOOKUP(Contrato[[#This Row],[DOCUMENTO]],PERSONAL_ACTIVO_2025[[#All],[DOCUMENTO]],PERSONAL_ACTIVO_2025[[#All],[email]],0,0)</f>
        <v>#NAME?</v>
      </c>
      <c r="AQ318" s="111" cm="1">
        <f t="array" aca="1" ref="AQ318" ca="1">IF(ISBLANK(Contrato[[#This Row],[DEPENDENCIA ]]),0,IFERROR(_xlfn.XLOOKUP(Contrato[[#This Row],[DEPENDENCIA ]],#REF!,#REF!,0,0),0))</f>
        <v>0</v>
      </c>
      <c r="AR318" s="555">
        <f ca="1">+_xlfn.DAYS(Contrato[[#This Row],[FECHA TERMINACIÓN ]],TODAY())</f>
        <v>225</v>
      </c>
    </row>
    <row r="319" spans="1:44" ht="39.75" customHeight="1" x14ac:dyDescent="0.25">
      <c r="A319" s="38">
        <v>388</v>
      </c>
      <c r="B319" s="226">
        <v>312</v>
      </c>
      <c r="C319" s="88" t="s">
        <v>586</v>
      </c>
      <c r="D319" s="192" t="s">
        <v>911</v>
      </c>
      <c r="E319" s="193" t="s">
        <v>112</v>
      </c>
      <c r="F319" s="194" t="s">
        <v>113</v>
      </c>
      <c r="G319" s="195" t="s">
        <v>1465</v>
      </c>
      <c r="H319" s="167">
        <v>71353580</v>
      </c>
      <c r="I319" s="292">
        <v>2708734</v>
      </c>
      <c r="J319" s="292">
        <v>25100935</v>
      </c>
      <c r="K319" s="158" t="s">
        <v>41</v>
      </c>
      <c r="L319" s="196" t="s">
        <v>1401</v>
      </c>
      <c r="M319" s="114" t="s">
        <v>938</v>
      </c>
      <c r="N319" s="113" t="e" cm="1">
        <f t="array" aca="1" ref="N319" ca="1">_xlfn.XLOOKUP(Contrato[[#This Row],[SUPERVISOR TITULAR]],PERSONAL_ACTIVO_2025[[#All],[NOMBRES Y APELLIDOS]],PERSONAL_ACTIVO_2025[[#All],[DOCUMENTO]],"",0)</f>
        <v>#NAME?</v>
      </c>
      <c r="O319" s="114" t="s">
        <v>1091</v>
      </c>
      <c r="P319" s="115" t="e" cm="1">
        <f t="array" aca="1" ref="P319" ca="1">_xlfn.XLOOKUP(Contrato[[#This Row],[SUPERVISOR SUPLENTE ]],PERSONAL_ACTIVO_2025[[#All],[NOMBRES Y APELLIDOS]],PERSONAL_ACTIVO_2025[[#All],[DOCUMENTO]],"",0)</f>
        <v>#NAME?</v>
      </c>
      <c r="Q319" s="116">
        <v>221</v>
      </c>
      <c r="R319" s="137" t="e" cm="1">
        <f t="array" aca="1" ref="R319" ca="1">_xlfn.XLOOKUP(Contrato[[#This Row],[CDP]],DISPONIBILIDADES_2025[[#All],[consecutivo]],DISPONIBILIDADES_2025[[#All],[fecha_aprobacion]],"",0)</f>
        <v>#NAME?</v>
      </c>
      <c r="S319" s="92">
        <f>SUMIF(DISPONIBILIDADES_2025[[#All],[consecutivo]],Contrato[[#This Row],[CDP]],DISPONIBILIDADES_2025[[#All],[valor_total_rubro]])</f>
        <v>26545593</v>
      </c>
      <c r="T319" s="118" t="e" cm="1">
        <f t="array" aca="1" ref="T319" ca="1">_xlfn.XLOOKUP(Contrato[[#This Row],[CONTRATO]]&amp;Contrato[[#This Row],[CDP]],Corr_Contr_CDP[[#All],[CONTRATO-CDP]],Corr_Contr_CDP[[#All],[CRP]],_xlfn.XLOOKUP(Contrato[[#This Row],[CDP]],COMPROMISOS_2025[[#All],[disponibilidad]],COMPROMISOS_2025[[#All],[consecutivo]],"",0),0)</f>
        <v>#NAME?</v>
      </c>
      <c r="U319" s="117" t="e" cm="1">
        <f t="array" aca="1" ref="U319" ca="1">+_xlfn.XLOOKUP(Contrato[[#This Row],[RCP]],COMPROMISOS_2025[[#All],[consecutivo]],COMPROMISOS_2025[[#All],[fecha_aprobacion]],"",0)</f>
        <v>#NAME?</v>
      </c>
      <c r="V319" s="93">
        <f ca="1">SUMIF(COMPROMISOS_2025[[#All],[consecutivo]],Contrato[[#This Row],[RCP]],COMPROMISOS_2025[[#All],[valor_total]])</f>
        <v>0</v>
      </c>
      <c r="W319" s="169">
        <v>45723</v>
      </c>
      <c r="X319" s="243" t="s">
        <v>901</v>
      </c>
      <c r="Y319" s="96">
        <v>45726</v>
      </c>
      <c r="Z319" s="161">
        <v>46008</v>
      </c>
      <c r="AA319" s="338" t="s">
        <v>1425</v>
      </c>
      <c r="AB319" s="119" t="s">
        <v>1426</v>
      </c>
      <c r="AC319" s="112"/>
      <c r="AD319" s="279">
        <v>202000006499</v>
      </c>
      <c r="AE319" s="38"/>
      <c r="AF319" s="120" t="str">
        <f>TEXT(LEFT(Contrato[[#This Row],[CONTRATO]],3),"0")</f>
        <v>312</v>
      </c>
      <c r="AG319" s="120" t="str">
        <f>IF(LEN(Contrato[[#This Row],[Contrato2]])=3,Contrato[[#This Row],[Contrato2]],TEXT(Contrato[[#This Row],[Contrato2]],"000"))</f>
        <v>312</v>
      </c>
      <c r="AH319" s="90">
        <f ca="1">IFERROR(_xlfn.DAYS(Contrato[[#This Row],[Fecha Proyectada liquidación]],TODAY())/30,"")</f>
        <v>11.5</v>
      </c>
      <c r="AI319" s="121">
        <f>+Contrato[[#This Row],[FECHA TERMINACIÓN ]]+120</f>
        <v>46128</v>
      </c>
      <c r="AK319" s="91" t="str">
        <f ca="1">IF(Contrato[[#This Row],[FECHA TERMINACIÓN ]]&lt;TODAY(), "Terminado",IF(ISNUMBER(Contrato[[#This Row],[Fecha Real de liquiidación ]]),"Liquidado",IF(Contrato[[#This Row],[FECHA TERMINACIÓN ]]&gt;=TODAY(),"En ejecución","")))</f>
        <v>En ejecución</v>
      </c>
      <c r="AL319" s="107">
        <f ca="1">SUMIF(COMPROMISOS_2025[[#All],[consecutivo]],Contrato[[#This Row],[RCP]],COMPROMISOS_2025[[#All],[Total pagado]])</f>
        <v>0</v>
      </c>
      <c r="AM319" s="122">
        <f ca="1">IFERROR(Contrato[[#This Row],[Pagos]]/Contrato[[#This Row],[VALOR CONTRATO]],0)</f>
        <v>0</v>
      </c>
      <c r="AN319" s="160">
        <f ca="1">+Contrato[[#This Row],[VALOR CONTRATO]]-Contrato[[#This Row],[Pagos]]</f>
        <v>25100935</v>
      </c>
      <c r="AO319" s="111" t="e" cm="1">
        <f t="array" aca="1" ref="AO319" ca="1">_xlfn.XLOOKUP(Contrato[[#This Row],[DOCUMENTO ]],PERSONAL_ACTIVO_2025[[#All],[DOCUMENTO]],PERSONAL_ACTIVO_2025[[#All],[email]],0,0)</f>
        <v>#NAME?</v>
      </c>
      <c r="AP319" s="111" t="e" cm="1">
        <f t="array" aca="1" ref="AP319" ca="1">_xlfn.XLOOKUP(Contrato[[#This Row],[DOCUMENTO]],PERSONAL_ACTIVO_2025[[#All],[DOCUMENTO]],PERSONAL_ACTIVO_2025[[#All],[email]],0,0)</f>
        <v>#NAME?</v>
      </c>
      <c r="AQ319" s="111" cm="1">
        <f t="array" aca="1" ref="AQ319" ca="1">IF(ISBLANK(Contrato[[#This Row],[DEPENDENCIA ]]),0,IFERROR(_xlfn.XLOOKUP(Contrato[[#This Row],[DEPENDENCIA ]],#REF!,#REF!,0,0),0))</f>
        <v>0</v>
      </c>
      <c r="AR319" s="555">
        <f ca="1">+_xlfn.DAYS(Contrato[[#This Row],[FECHA TERMINACIÓN ]],TODAY())</f>
        <v>225</v>
      </c>
    </row>
    <row r="320" spans="1:44" ht="39.75" customHeight="1" x14ac:dyDescent="0.25">
      <c r="A320" s="38">
        <v>392</v>
      </c>
      <c r="B320" s="226">
        <v>313</v>
      </c>
      <c r="C320" s="88" t="s">
        <v>590</v>
      </c>
      <c r="D320" s="192" t="s">
        <v>911</v>
      </c>
      <c r="E320" s="193" t="s">
        <v>112</v>
      </c>
      <c r="F320" s="194" t="s">
        <v>113</v>
      </c>
      <c r="G320" s="195" t="s">
        <v>1466</v>
      </c>
      <c r="H320" s="167">
        <v>98534661</v>
      </c>
      <c r="I320" s="292">
        <v>8320021</v>
      </c>
      <c r="J320" s="292">
        <v>77098861</v>
      </c>
      <c r="K320" s="158" t="s">
        <v>41</v>
      </c>
      <c r="L320" s="196" t="s">
        <v>1401</v>
      </c>
      <c r="M320" s="114" t="s">
        <v>938</v>
      </c>
      <c r="N320" s="113" t="e" cm="1">
        <f t="array" aca="1" ref="N320" ca="1">_xlfn.XLOOKUP(Contrato[[#This Row],[SUPERVISOR TITULAR]],PERSONAL_ACTIVO_2025[[#All],[NOMBRES Y APELLIDOS]],PERSONAL_ACTIVO_2025[[#All],[DOCUMENTO]],"",0)</f>
        <v>#NAME?</v>
      </c>
      <c r="O320" s="114" t="s">
        <v>1091</v>
      </c>
      <c r="P320" s="115" t="e" cm="1">
        <f t="array" aca="1" ref="P320" ca="1">_xlfn.XLOOKUP(Contrato[[#This Row],[SUPERVISOR SUPLENTE ]],PERSONAL_ACTIVO_2025[[#All],[NOMBRES Y APELLIDOS]],PERSONAL_ACTIVO_2025[[#All],[DOCUMENTO]],"",0)</f>
        <v>#NAME?</v>
      </c>
      <c r="Q320" s="116">
        <v>225</v>
      </c>
      <c r="R320" s="137" t="e" cm="1">
        <f t="array" aca="1" ref="R320" ca="1">_xlfn.XLOOKUP(Contrato[[#This Row],[CDP]],DISPONIBILIDADES_2025[[#All],[consecutivo]],DISPONIBILIDADES_2025[[#All],[fecha_aprobacion]],"",0)</f>
        <v>#NAME?</v>
      </c>
      <c r="S320" s="92">
        <f>SUMIF(DISPONIBILIDADES_2025[[#All],[consecutivo]],Contrato[[#This Row],[CDP]],DISPONIBILIDADES_2025[[#All],[valor_total_rubro]])</f>
        <v>81536206</v>
      </c>
      <c r="T320" s="118" t="e" cm="1">
        <f t="array" aca="1" ref="T320" ca="1">_xlfn.XLOOKUP(Contrato[[#This Row],[CONTRATO]]&amp;Contrato[[#This Row],[CDP]],Corr_Contr_CDP[[#All],[CONTRATO-CDP]],Corr_Contr_CDP[[#All],[CRP]],_xlfn.XLOOKUP(Contrato[[#This Row],[CDP]],COMPROMISOS_2025[[#All],[disponibilidad]],COMPROMISOS_2025[[#All],[consecutivo]],"",0),0)</f>
        <v>#NAME?</v>
      </c>
      <c r="U320" s="117" t="e" cm="1">
        <f t="array" aca="1" ref="U320" ca="1">+_xlfn.XLOOKUP(Contrato[[#This Row],[RCP]],COMPROMISOS_2025[[#All],[consecutivo]],COMPROMISOS_2025[[#All],[fecha_aprobacion]],"",0)</f>
        <v>#NAME?</v>
      </c>
      <c r="V320" s="93">
        <f ca="1">SUMIF(COMPROMISOS_2025[[#All],[consecutivo]],Contrato[[#This Row],[RCP]],COMPROMISOS_2025[[#All],[valor_total]])</f>
        <v>0</v>
      </c>
      <c r="W320" s="169">
        <v>45723</v>
      </c>
      <c r="X320" s="243" t="s">
        <v>901</v>
      </c>
      <c r="Y320" s="96">
        <v>45726</v>
      </c>
      <c r="Z320" s="161">
        <v>46008</v>
      </c>
      <c r="AA320" s="338" t="s">
        <v>1425</v>
      </c>
      <c r="AB320" s="119" t="s">
        <v>1426</v>
      </c>
      <c r="AC320" s="112"/>
      <c r="AD320" s="279">
        <v>202000006501</v>
      </c>
      <c r="AE320" s="38"/>
      <c r="AF320" s="120" t="str">
        <f>TEXT(LEFT(Contrato[[#This Row],[CONTRATO]],3),"0")</f>
        <v>313</v>
      </c>
      <c r="AG320" s="120" t="str">
        <f>IF(LEN(Contrato[[#This Row],[Contrato2]])=3,Contrato[[#This Row],[Contrato2]],TEXT(Contrato[[#This Row],[Contrato2]],"000"))</f>
        <v>313</v>
      </c>
      <c r="AH320" s="90">
        <f ca="1">IFERROR(_xlfn.DAYS(Contrato[[#This Row],[Fecha Proyectada liquidación]],TODAY())/30,"")</f>
        <v>11.5</v>
      </c>
      <c r="AI320" s="121">
        <f>+Contrato[[#This Row],[FECHA TERMINACIÓN ]]+120</f>
        <v>46128</v>
      </c>
      <c r="AK320" s="91" t="str">
        <f ca="1">IF(Contrato[[#This Row],[FECHA TERMINACIÓN ]]&lt;TODAY(), "Terminado",IF(ISNUMBER(Contrato[[#This Row],[Fecha Real de liquiidación ]]),"Liquidado",IF(Contrato[[#This Row],[FECHA TERMINACIÓN ]]&gt;=TODAY(),"En ejecución","")))</f>
        <v>En ejecución</v>
      </c>
      <c r="AL320" s="107">
        <f ca="1">SUMIF(COMPROMISOS_2025[[#All],[consecutivo]],Contrato[[#This Row],[RCP]],COMPROMISOS_2025[[#All],[Total pagado]])</f>
        <v>0</v>
      </c>
      <c r="AM320" s="122">
        <f ca="1">IFERROR(Contrato[[#This Row],[Pagos]]/Contrato[[#This Row],[VALOR CONTRATO]],0)</f>
        <v>0</v>
      </c>
      <c r="AN320" s="160">
        <f ca="1">+Contrato[[#This Row],[VALOR CONTRATO]]-Contrato[[#This Row],[Pagos]]</f>
        <v>77098861</v>
      </c>
      <c r="AO320" s="111" t="e" cm="1">
        <f t="array" aca="1" ref="AO320" ca="1">_xlfn.XLOOKUP(Contrato[[#This Row],[DOCUMENTO ]],PERSONAL_ACTIVO_2025[[#All],[DOCUMENTO]],PERSONAL_ACTIVO_2025[[#All],[email]],0,0)</f>
        <v>#NAME?</v>
      </c>
      <c r="AP320" s="111" t="e" cm="1">
        <f t="array" aca="1" ref="AP320" ca="1">_xlfn.XLOOKUP(Contrato[[#This Row],[DOCUMENTO]],PERSONAL_ACTIVO_2025[[#All],[DOCUMENTO]],PERSONAL_ACTIVO_2025[[#All],[email]],0,0)</f>
        <v>#NAME?</v>
      </c>
      <c r="AQ320" s="111" cm="1">
        <f t="array" aca="1" ref="AQ320" ca="1">IF(ISBLANK(Contrato[[#This Row],[DEPENDENCIA ]]),0,IFERROR(_xlfn.XLOOKUP(Contrato[[#This Row],[DEPENDENCIA ]],#REF!,#REF!,0,0),0))</f>
        <v>0</v>
      </c>
      <c r="AR320" s="555">
        <f ca="1">+_xlfn.DAYS(Contrato[[#This Row],[FECHA TERMINACIÓN ]],TODAY())</f>
        <v>225</v>
      </c>
    </row>
    <row r="321" spans="1:44" ht="39.75" customHeight="1" x14ac:dyDescent="0.25">
      <c r="A321" s="38">
        <v>400</v>
      </c>
      <c r="B321" s="226">
        <v>314</v>
      </c>
      <c r="C321" s="88" t="s">
        <v>598</v>
      </c>
      <c r="D321" s="192" t="s">
        <v>911</v>
      </c>
      <c r="E321" s="193" t="s">
        <v>112</v>
      </c>
      <c r="F321" s="194" t="s">
        <v>113</v>
      </c>
      <c r="G321" s="195" t="s">
        <v>1467</v>
      </c>
      <c r="H321" s="167">
        <v>43811085</v>
      </c>
      <c r="I321" s="292">
        <v>6239569</v>
      </c>
      <c r="J321" s="292">
        <v>57820006</v>
      </c>
      <c r="K321" s="158" t="s">
        <v>41</v>
      </c>
      <c r="L321" s="196" t="s">
        <v>1401</v>
      </c>
      <c r="M321" s="114" t="s">
        <v>938</v>
      </c>
      <c r="N321" s="113" t="e" cm="1">
        <f t="array" aca="1" ref="N321" ca="1">_xlfn.XLOOKUP(Contrato[[#This Row],[SUPERVISOR TITULAR]],PERSONAL_ACTIVO_2025[[#All],[NOMBRES Y APELLIDOS]],PERSONAL_ACTIVO_2025[[#All],[DOCUMENTO]],"",0)</f>
        <v>#NAME?</v>
      </c>
      <c r="O321" s="114" t="s">
        <v>1091</v>
      </c>
      <c r="P321" s="115" t="e" cm="1">
        <f t="array" aca="1" ref="P321" ca="1">_xlfn.XLOOKUP(Contrato[[#This Row],[SUPERVISOR SUPLENTE ]],PERSONAL_ACTIVO_2025[[#All],[NOMBRES Y APELLIDOS]],PERSONAL_ACTIVO_2025[[#All],[DOCUMENTO]],"",0)</f>
        <v>#NAME?</v>
      </c>
      <c r="Q321" s="116">
        <v>233</v>
      </c>
      <c r="R321" s="137" t="e" cm="1">
        <f t="array" aca="1" ref="R321" ca="1">_xlfn.XLOOKUP(Contrato[[#This Row],[CDP]],DISPONIBILIDADES_2025[[#All],[consecutivo]],DISPONIBILIDADES_2025[[#All],[fecha_aprobacion]],"",0)</f>
        <v>#NAME?</v>
      </c>
      <c r="S321" s="92">
        <f>SUMIF(DISPONIBILIDADES_2025[[#All],[consecutivo]],Contrato[[#This Row],[CDP]],DISPONIBILIDADES_2025[[#All],[valor_total_rubro]])</f>
        <v>61147776</v>
      </c>
      <c r="T321" s="118" t="e" cm="1">
        <f t="array" aca="1" ref="T321" ca="1">_xlfn.XLOOKUP(Contrato[[#This Row],[CONTRATO]]&amp;Contrato[[#This Row],[CDP]],Corr_Contr_CDP[[#All],[CONTRATO-CDP]],Corr_Contr_CDP[[#All],[CRP]],_xlfn.XLOOKUP(Contrato[[#This Row],[CDP]],COMPROMISOS_2025[[#All],[disponibilidad]],COMPROMISOS_2025[[#All],[consecutivo]],"",0),0)</f>
        <v>#NAME?</v>
      </c>
      <c r="U321" s="117" t="e" cm="1">
        <f t="array" aca="1" ref="U321" ca="1">+_xlfn.XLOOKUP(Contrato[[#This Row],[RCP]],COMPROMISOS_2025[[#All],[consecutivo]],COMPROMISOS_2025[[#All],[fecha_aprobacion]],"",0)</f>
        <v>#NAME?</v>
      </c>
      <c r="V321" s="93">
        <f ca="1">SUMIF(COMPROMISOS_2025[[#All],[consecutivo]],Contrato[[#This Row],[RCP]],COMPROMISOS_2025[[#All],[valor_total]])</f>
        <v>0</v>
      </c>
      <c r="W321" s="169">
        <v>45723</v>
      </c>
      <c r="X321" s="243" t="s">
        <v>901</v>
      </c>
      <c r="Y321" s="96">
        <v>45726</v>
      </c>
      <c r="Z321" s="161">
        <v>46008</v>
      </c>
      <c r="AA321" s="338" t="s">
        <v>1425</v>
      </c>
      <c r="AB321" s="119" t="s">
        <v>1426</v>
      </c>
      <c r="AC321" s="112"/>
      <c r="AD321" s="279">
        <v>202000006502</v>
      </c>
      <c r="AE321" s="38"/>
      <c r="AF321" s="120" t="str">
        <f>TEXT(LEFT(Contrato[[#This Row],[CONTRATO]],3),"0")</f>
        <v>314</v>
      </c>
      <c r="AG321" s="120" t="str">
        <f>IF(LEN(Contrato[[#This Row],[Contrato2]])=3,Contrato[[#This Row],[Contrato2]],TEXT(Contrato[[#This Row],[Contrato2]],"000"))</f>
        <v>314</v>
      </c>
      <c r="AH321" s="90">
        <f ca="1">IFERROR(_xlfn.DAYS(Contrato[[#This Row],[Fecha Proyectada liquidación]],TODAY())/30,"")</f>
        <v>11.5</v>
      </c>
      <c r="AI321" s="121">
        <f>+Contrato[[#This Row],[FECHA TERMINACIÓN ]]+120</f>
        <v>46128</v>
      </c>
      <c r="AK321" s="91" t="str">
        <f ca="1">IF(Contrato[[#This Row],[FECHA TERMINACIÓN ]]&lt;TODAY(), "Terminado",IF(ISNUMBER(Contrato[[#This Row],[Fecha Real de liquiidación ]]),"Liquidado",IF(Contrato[[#This Row],[FECHA TERMINACIÓN ]]&gt;=TODAY(),"En ejecución","")))</f>
        <v>En ejecución</v>
      </c>
      <c r="AL321" s="107">
        <f ca="1">SUMIF(COMPROMISOS_2025[[#All],[consecutivo]],Contrato[[#This Row],[RCP]],COMPROMISOS_2025[[#All],[Total pagado]])</f>
        <v>0</v>
      </c>
      <c r="AM321" s="122">
        <f ca="1">IFERROR(Contrato[[#This Row],[Pagos]]/Contrato[[#This Row],[VALOR CONTRATO]],0)</f>
        <v>0</v>
      </c>
      <c r="AN321" s="160">
        <f ca="1">+Contrato[[#This Row],[VALOR CONTRATO]]-Contrato[[#This Row],[Pagos]]</f>
        <v>57820006</v>
      </c>
      <c r="AO321" s="111" t="e" cm="1">
        <f t="array" aca="1" ref="AO321" ca="1">_xlfn.XLOOKUP(Contrato[[#This Row],[DOCUMENTO ]],PERSONAL_ACTIVO_2025[[#All],[DOCUMENTO]],PERSONAL_ACTIVO_2025[[#All],[email]],0,0)</f>
        <v>#NAME?</v>
      </c>
      <c r="AP321" s="111" t="e" cm="1">
        <f t="array" aca="1" ref="AP321" ca="1">_xlfn.XLOOKUP(Contrato[[#This Row],[DOCUMENTO]],PERSONAL_ACTIVO_2025[[#All],[DOCUMENTO]],PERSONAL_ACTIVO_2025[[#All],[email]],0,0)</f>
        <v>#NAME?</v>
      </c>
      <c r="AQ321" s="111" cm="1">
        <f t="array" aca="1" ref="AQ321" ca="1">IF(ISBLANK(Contrato[[#This Row],[DEPENDENCIA ]]),0,IFERROR(_xlfn.XLOOKUP(Contrato[[#This Row],[DEPENDENCIA ]],#REF!,#REF!,0,0),0))</f>
        <v>0</v>
      </c>
      <c r="AR321" s="555">
        <f ca="1">+_xlfn.DAYS(Contrato[[#This Row],[FECHA TERMINACIÓN ]],TODAY())</f>
        <v>225</v>
      </c>
    </row>
    <row r="322" spans="1:44" ht="39.75" customHeight="1" x14ac:dyDescent="0.25">
      <c r="A322" s="38">
        <v>414</v>
      </c>
      <c r="B322" s="226">
        <v>315</v>
      </c>
      <c r="C322" s="88" t="s">
        <v>612</v>
      </c>
      <c r="D322" s="192" t="s">
        <v>911</v>
      </c>
      <c r="E322" s="193" t="s">
        <v>112</v>
      </c>
      <c r="F322" s="194" t="s">
        <v>113</v>
      </c>
      <c r="G322" s="195" t="s">
        <v>1468</v>
      </c>
      <c r="H322" s="167">
        <v>1026148854</v>
      </c>
      <c r="I322" s="292">
        <v>2708734</v>
      </c>
      <c r="J322" s="292">
        <v>25100935</v>
      </c>
      <c r="K322" s="158" t="s">
        <v>41</v>
      </c>
      <c r="L322" s="196" t="s">
        <v>1401</v>
      </c>
      <c r="M322" s="114" t="s">
        <v>938</v>
      </c>
      <c r="N322" s="113" t="e" cm="1">
        <f t="array" aca="1" ref="N322" ca="1">_xlfn.XLOOKUP(Contrato[[#This Row],[SUPERVISOR TITULAR]],PERSONAL_ACTIVO_2025[[#All],[NOMBRES Y APELLIDOS]],PERSONAL_ACTIVO_2025[[#All],[DOCUMENTO]],"",0)</f>
        <v>#NAME?</v>
      </c>
      <c r="O322" s="114" t="s">
        <v>1091</v>
      </c>
      <c r="P322" s="115" t="e" cm="1">
        <f t="array" aca="1" ref="P322" ca="1">_xlfn.XLOOKUP(Contrato[[#This Row],[SUPERVISOR SUPLENTE ]],PERSONAL_ACTIVO_2025[[#All],[NOMBRES Y APELLIDOS]],PERSONAL_ACTIVO_2025[[#All],[DOCUMENTO]],"",0)</f>
        <v>#NAME?</v>
      </c>
      <c r="Q322" s="116">
        <v>247</v>
      </c>
      <c r="R322" s="137" t="e" cm="1">
        <f t="array" aca="1" ref="R322" ca="1">_xlfn.XLOOKUP(Contrato[[#This Row],[CDP]],DISPONIBILIDADES_2025[[#All],[consecutivo]],DISPONIBILIDADES_2025[[#All],[fecha_aprobacion]],"",0)</f>
        <v>#NAME?</v>
      </c>
      <c r="S322" s="92">
        <f>SUMIF(DISPONIBILIDADES_2025[[#All],[consecutivo]],Contrato[[#This Row],[CDP]],DISPONIBILIDADES_2025[[#All],[valor_total_rubro]])</f>
        <v>26545593</v>
      </c>
      <c r="T322" s="118" t="e" cm="1">
        <f t="array" aca="1" ref="T322" ca="1">_xlfn.XLOOKUP(Contrato[[#This Row],[CONTRATO]]&amp;Contrato[[#This Row],[CDP]],Corr_Contr_CDP[[#All],[CONTRATO-CDP]],Corr_Contr_CDP[[#All],[CRP]],_xlfn.XLOOKUP(Contrato[[#This Row],[CDP]],COMPROMISOS_2025[[#All],[disponibilidad]],COMPROMISOS_2025[[#All],[consecutivo]],"",0),0)</f>
        <v>#NAME?</v>
      </c>
      <c r="U322" s="117" t="e" cm="1">
        <f t="array" aca="1" ref="U322" ca="1">+_xlfn.XLOOKUP(Contrato[[#This Row],[RCP]],COMPROMISOS_2025[[#All],[consecutivo]],COMPROMISOS_2025[[#All],[fecha_aprobacion]],"",0)</f>
        <v>#NAME?</v>
      </c>
      <c r="V322" s="93">
        <f ca="1">SUMIF(COMPROMISOS_2025[[#All],[consecutivo]],Contrato[[#This Row],[RCP]],COMPROMISOS_2025[[#All],[valor_total]])</f>
        <v>0</v>
      </c>
      <c r="W322" s="169">
        <v>45723</v>
      </c>
      <c r="X322" s="243" t="s">
        <v>901</v>
      </c>
      <c r="Y322" s="96">
        <v>45726</v>
      </c>
      <c r="Z322" s="161">
        <v>46008</v>
      </c>
      <c r="AA322" s="338" t="s">
        <v>1425</v>
      </c>
      <c r="AB322" s="119" t="s">
        <v>1426</v>
      </c>
      <c r="AC322" s="112"/>
      <c r="AD322" s="279">
        <v>202000006512</v>
      </c>
      <c r="AE322" s="38"/>
      <c r="AF322" s="120" t="str">
        <f>TEXT(LEFT(Contrato[[#This Row],[CONTRATO]],3),"0")</f>
        <v>315</v>
      </c>
      <c r="AG322" s="120" t="str">
        <f>IF(LEN(Contrato[[#This Row],[Contrato2]])=3,Contrato[[#This Row],[Contrato2]],TEXT(Contrato[[#This Row],[Contrato2]],"000"))</f>
        <v>315</v>
      </c>
      <c r="AH322" s="90">
        <f ca="1">IFERROR(_xlfn.DAYS(Contrato[[#This Row],[Fecha Proyectada liquidación]],TODAY())/30,"")</f>
        <v>11.5</v>
      </c>
      <c r="AI322" s="121">
        <f>+Contrato[[#This Row],[FECHA TERMINACIÓN ]]+120</f>
        <v>46128</v>
      </c>
      <c r="AK322" s="91" t="str">
        <f ca="1">IF(Contrato[[#This Row],[FECHA TERMINACIÓN ]]&lt;TODAY(), "Terminado",IF(ISNUMBER(Contrato[[#This Row],[Fecha Real de liquiidación ]]),"Liquidado",IF(Contrato[[#This Row],[FECHA TERMINACIÓN ]]&gt;=TODAY(),"En ejecución","")))</f>
        <v>En ejecución</v>
      </c>
      <c r="AL322" s="107">
        <f ca="1">SUMIF(COMPROMISOS_2025[[#All],[consecutivo]],Contrato[[#This Row],[RCP]],COMPROMISOS_2025[[#All],[Total pagado]])</f>
        <v>0</v>
      </c>
      <c r="AM322" s="122">
        <f ca="1">IFERROR(Contrato[[#This Row],[Pagos]]/Contrato[[#This Row],[VALOR CONTRATO]],0)</f>
        <v>0</v>
      </c>
      <c r="AN322" s="160">
        <f ca="1">+Contrato[[#This Row],[VALOR CONTRATO]]-Contrato[[#This Row],[Pagos]]</f>
        <v>25100935</v>
      </c>
      <c r="AO322" s="111" t="e" cm="1">
        <f t="array" aca="1" ref="AO322" ca="1">_xlfn.XLOOKUP(Contrato[[#This Row],[DOCUMENTO ]],PERSONAL_ACTIVO_2025[[#All],[DOCUMENTO]],PERSONAL_ACTIVO_2025[[#All],[email]],0,0)</f>
        <v>#NAME?</v>
      </c>
      <c r="AP322" s="111" t="e" cm="1">
        <f t="array" aca="1" ref="AP322" ca="1">_xlfn.XLOOKUP(Contrato[[#This Row],[DOCUMENTO]],PERSONAL_ACTIVO_2025[[#All],[DOCUMENTO]],PERSONAL_ACTIVO_2025[[#All],[email]],0,0)</f>
        <v>#NAME?</v>
      </c>
      <c r="AQ322" s="111" cm="1">
        <f t="array" aca="1" ref="AQ322" ca="1">IF(ISBLANK(Contrato[[#This Row],[DEPENDENCIA ]]),0,IFERROR(_xlfn.XLOOKUP(Contrato[[#This Row],[DEPENDENCIA ]],#REF!,#REF!,0,0),0))</f>
        <v>0</v>
      </c>
      <c r="AR322" s="555">
        <f ca="1">+_xlfn.DAYS(Contrato[[#This Row],[FECHA TERMINACIÓN ]],TODAY())</f>
        <v>225</v>
      </c>
    </row>
    <row r="323" spans="1:44" ht="39.75" customHeight="1" x14ac:dyDescent="0.25">
      <c r="A323" s="38">
        <v>459</v>
      </c>
      <c r="B323" s="226">
        <v>316</v>
      </c>
      <c r="C323" s="88" t="s">
        <v>657</v>
      </c>
      <c r="D323" s="192" t="s">
        <v>911</v>
      </c>
      <c r="E323" s="193" t="s">
        <v>112</v>
      </c>
      <c r="F323" s="194" t="s">
        <v>113</v>
      </c>
      <c r="G323" s="195" t="s">
        <v>1469</v>
      </c>
      <c r="H323" s="167">
        <v>1152464295</v>
      </c>
      <c r="I323" s="292">
        <v>2708734</v>
      </c>
      <c r="J323" s="292">
        <v>25100935</v>
      </c>
      <c r="K323" s="158" t="s">
        <v>41</v>
      </c>
      <c r="L323" s="196" t="s">
        <v>1401</v>
      </c>
      <c r="M323" s="114" t="s">
        <v>938</v>
      </c>
      <c r="N323" s="113" t="e" cm="1">
        <f t="array" aca="1" ref="N323" ca="1">_xlfn.XLOOKUP(Contrato[[#This Row],[SUPERVISOR TITULAR]],PERSONAL_ACTIVO_2025[[#All],[NOMBRES Y APELLIDOS]],PERSONAL_ACTIVO_2025[[#All],[DOCUMENTO]],"",0)</f>
        <v>#NAME?</v>
      </c>
      <c r="O323" s="114" t="s">
        <v>1091</v>
      </c>
      <c r="P323" s="115" t="e" cm="1">
        <f t="array" aca="1" ref="P323" ca="1">_xlfn.XLOOKUP(Contrato[[#This Row],[SUPERVISOR SUPLENTE ]],PERSONAL_ACTIVO_2025[[#All],[NOMBRES Y APELLIDOS]],PERSONAL_ACTIVO_2025[[#All],[DOCUMENTO]],"",0)</f>
        <v>#NAME?</v>
      </c>
      <c r="Q323" s="116">
        <v>367</v>
      </c>
      <c r="R323" s="137" t="e" cm="1">
        <f t="array" aca="1" ref="R323" ca="1">_xlfn.XLOOKUP(Contrato[[#This Row],[CDP]],DISPONIBILIDADES_2025[[#All],[consecutivo]],DISPONIBILIDADES_2025[[#All],[fecha_aprobacion]],"",0)</f>
        <v>#NAME?</v>
      </c>
      <c r="S323" s="92">
        <f>SUMIF(DISPONIBILIDADES_2025[[#All],[consecutivo]],Contrato[[#This Row],[CDP]],DISPONIBILIDADES_2025[[#All],[valor_total_rubro]])</f>
        <v>25100935</v>
      </c>
      <c r="T323" s="118" t="e" cm="1">
        <f t="array" aca="1" ref="T323" ca="1">_xlfn.XLOOKUP(Contrato[[#This Row],[CONTRATO]]&amp;Contrato[[#This Row],[CDP]],Corr_Contr_CDP[[#All],[CONTRATO-CDP]],Corr_Contr_CDP[[#All],[CRP]],_xlfn.XLOOKUP(Contrato[[#This Row],[CDP]],COMPROMISOS_2025[[#All],[disponibilidad]],COMPROMISOS_2025[[#All],[consecutivo]],"",0),0)</f>
        <v>#NAME?</v>
      </c>
      <c r="U323" s="117" t="e" cm="1">
        <f t="array" aca="1" ref="U323" ca="1">+_xlfn.XLOOKUP(Contrato[[#This Row],[RCP]],COMPROMISOS_2025[[#All],[consecutivo]],COMPROMISOS_2025[[#All],[fecha_aprobacion]],"",0)</f>
        <v>#NAME?</v>
      </c>
      <c r="V323" s="93">
        <f ca="1">SUMIF(COMPROMISOS_2025[[#All],[consecutivo]],Contrato[[#This Row],[RCP]],COMPROMISOS_2025[[#All],[valor_total]])</f>
        <v>0</v>
      </c>
      <c r="W323" s="169">
        <v>45723</v>
      </c>
      <c r="X323" s="243" t="s">
        <v>901</v>
      </c>
      <c r="Y323" s="96">
        <v>45726</v>
      </c>
      <c r="Z323" s="161">
        <v>46008</v>
      </c>
      <c r="AA323" s="338" t="s">
        <v>1425</v>
      </c>
      <c r="AB323" s="119" t="s">
        <v>1426</v>
      </c>
      <c r="AC323" s="112"/>
      <c r="AD323" s="279">
        <v>202000006513</v>
      </c>
      <c r="AE323" s="38"/>
      <c r="AF323" s="120" t="str">
        <f>TEXT(LEFT(Contrato[[#This Row],[CONTRATO]],3),"0")</f>
        <v>316</v>
      </c>
      <c r="AG323" s="120" t="str">
        <f>IF(LEN(Contrato[[#This Row],[Contrato2]])=3,Contrato[[#This Row],[Contrato2]],TEXT(Contrato[[#This Row],[Contrato2]],"000"))</f>
        <v>316</v>
      </c>
      <c r="AH323" s="90">
        <f ca="1">IFERROR(_xlfn.DAYS(Contrato[[#This Row],[Fecha Proyectada liquidación]],TODAY())/30,"")</f>
        <v>11.5</v>
      </c>
      <c r="AI323" s="121">
        <f>+Contrato[[#This Row],[FECHA TERMINACIÓN ]]+120</f>
        <v>46128</v>
      </c>
      <c r="AK323" s="91" t="str">
        <f ca="1">IF(Contrato[[#This Row],[FECHA TERMINACIÓN ]]&lt;TODAY(), "Terminado",IF(ISNUMBER(Contrato[[#This Row],[Fecha Real de liquiidación ]]),"Liquidado",IF(Contrato[[#This Row],[FECHA TERMINACIÓN ]]&gt;=TODAY(),"En ejecución","")))</f>
        <v>En ejecución</v>
      </c>
      <c r="AL323" s="107">
        <f ca="1">SUMIF(COMPROMISOS_2025[[#All],[consecutivo]],Contrato[[#This Row],[RCP]],COMPROMISOS_2025[[#All],[Total pagado]])</f>
        <v>0</v>
      </c>
      <c r="AM323" s="122">
        <f ca="1">IFERROR(Contrato[[#This Row],[Pagos]]/Contrato[[#This Row],[VALOR CONTRATO]],0)</f>
        <v>0</v>
      </c>
      <c r="AN323" s="160">
        <f ca="1">+Contrato[[#This Row],[VALOR CONTRATO]]-Contrato[[#This Row],[Pagos]]</f>
        <v>25100935</v>
      </c>
      <c r="AO323" s="111" t="e" cm="1">
        <f t="array" aca="1" ref="AO323" ca="1">_xlfn.XLOOKUP(Contrato[[#This Row],[DOCUMENTO ]],PERSONAL_ACTIVO_2025[[#All],[DOCUMENTO]],PERSONAL_ACTIVO_2025[[#All],[email]],0,0)</f>
        <v>#NAME?</v>
      </c>
      <c r="AP323" s="111" t="e" cm="1">
        <f t="array" aca="1" ref="AP323" ca="1">_xlfn.XLOOKUP(Contrato[[#This Row],[DOCUMENTO]],PERSONAL_ACTIVO_2025[[#All],[DOCUMENTO]],PERSONAL_ACTIVO_2025[[#All],[email]],0,0)</f>
        <v>#NAME?</v>
      </c>
      <c r="AQ323" s="111" cm="1">
        <f t="array" aca="1" ref="AQ323" ca="1">IF(ISBLANK(Contrato[[#This Row],[DEPENDENCIA ]]),0,IFERROR(_xlfn.XLOOKUP(Contrato[[#This Row],[DEPENDENCIA ]],#REF!,#REF!,0,0),0))</f>
        <v>0</v>
      </c>
      <c r="AR323" s="555">
        <f ca="1">+_xlfn.DAYS(Contrato[[#This Row],[FECHA TERMINACIÓN ]],TODAY())</f>
        <v>225</v>
      </c>
    </row>
    <row r="324" spans="1:44" ht="39.75" customHeight="1" x14ac:dyDescent="0.25">
      <c r="A324" s="38">
        <v>564</v>
      </c>
      <c r="B324" s="226">
        <v>317</v>
      </c>
      <c r="C324" s="88" t="s">
        <v>777</v>
      </c>
      <c r="D324" s="192" t="s">
        <v>911</v>
      </c>
      <c r="E324" s="193" t="s">
        <v>112</v>
      </c>
      <c r="F324" s="194" t="s">
        <v>113</v>
      </c>
      <c r="G324" s="195" t="s">
        <v>1470</v>
      </c>
      <c r="H324" s="167">
        <v>1214731711</v>
      </c>
      <c r="I324" s="292">
        <v>5164201</v>
      </c>
      <c r="J324" s="292">
        <v>47854929</v>
      </c>
      <c r="K324" s="158" t="s">
        <v>41</v>
      </c>
      <c r="L324" s="196" t="s">
        <v>1401</v>
      </c>
      <c r="M324" s="114" t="s">
        <v>943</v>
      </c>
      <c r="N324" s="113" t="e" cm="1">
        <f t="array" aca="1" ref="N324" ca="1">_xlfn.XLOOKUP(Contrato[[#This Row],[SUPERVISOR TITULAR]],PERSONAL_ACTIVO_2025[[#All],[NOMBRES Y APELLIDOS]],PERSONAL_ACTIVO_2025[[#All],[DOCUMENTO]],"",0)</f>
        <v>#NAME?</v>
      </c>
      <c r="O324" s="114" t="s">
        <v>939</v>
      </c>
      <c r="P324" s="115" t="e" cm="1">
        <f t="array" aca="1" ref="P324" ca="1">_xlfn.XLOOKUP(Contrato[[#This Row],[SUPERVISOR SUPLENTE ]],PERSONAL_ACTIVO_2025[[#All],[NOMBRES Y APELLIDOS]],PERSONAL_ACTIVO_2025[[#All],[DOCUMENTO]],"",0)</f>
        <v>#NAME?</v>
      </c>
      <c r="Q324" s="116">
        <v>370</v>
      </c>
      <c r="R324" s="137" t="e" cm="1">
        <f t="array" aca="1" ref="R324" ca="1">_xlfn.XLOOKUP(Contrato[[#This Row],[CDP]],DISPONIBILIDADES_2025[[#All],[consecutivo]],DISPONIBILIDADES_2025[[#All],[fecha_aprobacion]],"",0)</f>
        <v>#NAME?</v>
      </c>
      <c r="S324" s="92">
        <f>SUMIF(DISPONIBILIDADES_2025[[#All],[consecutivo]],Contrato[[#This Row],[CDP]],DISPONIBILIDADES_2025[[#All],[valor_total_rubro]])</f>
        <v>47854929</v>
      </c>
      <c r="T324" s="118" t="e" cm="1">
        <f t="array" aca="1" ref="T324" ca="1">_xlfn.XLOOKUP(Contrato[[#This Row],[CONTRATO]]&amp;Contrato[[#This Row],[CDP]],Corr_Contr_CDP[[#All],[CONTRATO-CDP]],Corr_Contr_CDP[[#All],[CRP]],_xlfn.XLOOKUP(Contrato[[#This Row],[CDP]],COMPROMISOS_2025[[#All],[disponibilidad]],COMPROMISOS_2025[[#All],[consecutivo]],"",0),0)</f>
        <v>#NAME?</v>
      </c>
      <c r="U324" s="117" t="e" cm="1">
        <f t="array" aca="1" ref="U324" ca="1">+_xlfn.XLOOKUP(Contrato[[#This Row],[RCP]],COMPROMISOS_2025[[#All],[consecutivo]],COMPROMISOS_2025[[#All],[fecha_aprobacion]],"",0)</f>
        <v>#NAME?</v>
      </c>
      <c r="V324" s="93">
        <f ca="1">SUMIF(COMPROMISOS_2025[[#All],[consecutivo]],Contrato[[#This Row],[RCP]],COMPROMISOS_2025[[#All],[valor_total]])</f>
        <v>0</v>
      </c>
      <c r="W324" s="169">
        <v>45723</v>
      </c>
      <c r="X324" s="243" t="s">
        <v>901</v>
      </c>
      <c r="Y324" s="96">
        <v>45726</v>
      </c>
      <c r="Z324" s="161">
        <v>46008</v>
      </c>
      <c r="AA324" s="338" t="s">
        <v>1425</v>
      </c>
      <c r="AB324" s="119" t="s">
        <v>1426</v>
      </c>
      <c r="AC324" s="112"/>
      <c r="AD324" s="279">
        <v>202000006514</v>
      </c>
      <c r="AE324" s="38"/>
      <c r="AF324" s="120" t="str">
        <f>TEXT(LEFT(Contrato[[#This Row],[CONTRATO]],3),"0")</f>
        <v>317</v>
      </c>
      <c r="AG324" s="120" t="str">
        <f>IF(LEN(Contrato[[#This Row],[Contrato2]])=3,Contrato[[#This Row],[Contrato2]],TEXT(Contrato[[#This Row],[Contrato2]],"000"))</f>
        <v>317</v>
      </c>
      <c r="AH324" s="90">
        <f ca="1">IFERROR(_xlfn.DAYS(Contrato[[#This Row],[Fecha Proyectada liquidación]],TODAY())/30,"")</f>
        <v>11.5</v>
      </c>
      <c r="AI324" s="121">
        <f>+Contrato[[#This Row],[FECHA TERMINACIÓN ]]+120</f>
        <v>46128</v>
      </c>
      <c r="AK324" s="91" t="str">
        <f ca="1">IF(Contrato[[#This Row],[FECHA TERMINACIÓN ]]&lt;TODAY(), "Terminado",IF(ISNUMBER(Contrato[[#This Row],[Fecha Real de liquiidación ]]),"Liquidado",IF(Contrato[[#This Row],[FECHA TERMINACIÓN ]]&gt;=TODAY(),"En ejecución","")))</f>
        <v>En ejecución</v>
      </c>
      <c r="AL324" s="107">
        <f ca="1">SUMIF(COMPROMISOS_2025[[#All],[consecutivo]],Contrato[[#This Row],[RCP]],COMPROMISOS_2025[[#All],[Total pagado]])</f>
        <v>0</v>
      </c>
      <c r="AM324" s="122">
        <f ca="1">IFERROR(Contrato[[#This Row],[Pagos]]/Contrato[[#This Row],[VALOR CONTRATO]],0)</f>
        <v>0</v>
      </c>
      <c r="AN324" s="160">
        <f ca="1">+Contrato[[#This Row],[VALOR CONTRATO]]-Contrato[[#This Row],[Pagos]]</f>
        <v>47854929</v>
      </c>
      <c r="AO324" s="111" t="e" cm="1">
        <f t="array" aca="1" ref="AO324" ca="1">_xlfn.XLOOKUP(Contrato[[#This Row],[DOCUMENTO ]],PERSONAL_ACTIVO_2025[[#All],[DOCUMENTO]],PERSONAL_ACTIVO_2025[[#All],[email]],0,0)</f>
        <v>#NAME?</v>
      </c>
      <c r="AP324" s="111" t="e" cm="1">
        <f t="array" aca="1" ref="AP324" ca="1">_xlfn.XLOOKUP(Contrato[[#This Row],[DOCUMENTO]],PERSONAL_ACTIVO_2025[[#All],[DOCUMENTO]],PERSONAL_ACTIVO_2025[[#All],[email]],0,0)</f>
        <v>#NAME?</v>
      </c>
      <c r="AQ324" s="111" cm="1">
        <f t="array" aca="1" ref="AQ324" ca="1">IF(ISBLANK(Contrato[[#This Row],[DEPENDENCIA ]]),0,IFERROR(_xlfn.XLOOKUP(Contrato[[#This Row],[DEPENDENCIA ]],#REF!,#REF!,0,0),0))</f>
        <v>0</v>
      </c>
      <c r="AR324" s="555">
        <f ca="1">+_xlfn.DAYS(Contrato[[#This Row],[FECHA TERMINACIÓN ]],TODAY())</f>
        <v>225</v>
      </c>
    </row>
    <row r="325" spans="1:44" ht="39.75" customHeight="1" x14ac:dyDescent="0.25">
      <c r="A325" s="38">
        <v>355</v>
      </c>
      <c r="B325" s="226">
        <v>318</v>
      </c>
      <c r="C325" s="88" t="s">
        <v>553</v>
      </c>
      <c r="D325" s="192" t="s">
        <v>911</v>
      </c>
      <c r="E325" s="193" t="s">
        <v>112</v>
      </c>
      <c r="F325" s="194" t="s">
        <v>113</v>
      </c>
      <c r="G325" s="195" t="s">
        <v>1471</v>
      </c>
      <c r="H325" s="167">
        <v>1027966747</v>
      </c>
      <c r="I325" s="292">
        <v>5164201</v>
      </c>
      <c r="J325" s="292">
        <v>47854929</v>
      </c>
      <c r="K325" s="158" t="s">
        <v>41</v>
      </c>
      <c r="L325" s="196" t="s">
        <v>1401</v>
      </c>
      <c r="M325" s="114" t="s">
        <v>943</v>
      </c>
      <c r="N325" s="113" t="e" cm="1">
        <f t="array" aca="1" ref="N325" ca="1">_xlfn.XLOOKUP(Contrato[[#This Row],[SUPERVISOR TITULAR]],PERSONAL_ACTIVO_2025[[#All],[NOMBRES Y APELLIDOS]],PERSONAL_ACTIVO_2025[[#All],[DOCUMENTO]],"",0)</f>
        <v>#NAME?</v>
      </c>
      <c r="O325" s="114" t="s">
        <v>939</v>
      </c>
      <c r="P325" s="115" t="e" cm="1">
        <f t="array" aca="1" ref="P325" ca="1">_xlfn.XLOOKUP(Contrato[[#This Row],[SUPERVISOR SUPLENTE ]],PERSONAL_ACTIVO_2025[[#All],[NOMBRES Y APELLIDOS]],PERSONAL_ACTIVO_2025[[#All],[DOCUMENTO]],"",0)</f>
        <v>#NAME?</v>
      </c>
      <c r="Q325" s="116">
        <v>189</v>
      </c>
      <c r="R325" s="137" t="e" cm="1">
        <f t="array" aca="1" ref="R325" ca="1">_xlfn.XLOOKUP(Contrato[[#This Row],[CDP]],DISPONIBILIDADES_2025[[#All],[consecutivo]],DISPONIBILIDADES_2025[[#All],[fecha_aprobacion]],"",0)</f>
        <v>#NAME?</v>
      </c>
      <c r="S325" s="92">
        <f>SUMIF(DISPONIBILIDADES_2025[[#All],[consecutivo]],Contrato[[#This Row],[CDP]],DISPONIBILIDADES_2025[[#All],[valor_total_rubro]])</f>
        <v>50609170</v>
      </c>
      <c r="T325" s="118" t="e" cm="1">
        <f t="array" aca="1" ref="T325" ca="1">_xlfn.XLOOKUP(Contrato[[#This Row],[CONTRATO]]&amp;Contrato[[#This Row],[CDP]],Corr_Contr_CDP[[#All],[CONTRATO-CDP]],Corr_Contr_CDP[[#All],[CRP]],_xlfn.XLOOKUP(Contrato[[#This Row],[CDP]],COMPROMISOS_2025[[#All],[disponibilidad]],COMPROMISOS_2025[[#All],[consecutivo]],"",0),0)</f>
        <v>#NAME?</v>
      </c>
      <c r="U325" s="117" t="e" cm="1">
        <f t="array" aca="1" ref="U325" ca="1">+_xlfn.XLOOKUP(Contrato[[#This Row],[RCP]],COMPROMISOS_2025[[#All],[consecutivo]],COMPROMISOS_2025[[#All],[fecha_aprobacion]],"",0)</f>
        <v>#NAME?</v>
      </c>
      <c r="V325" s="93">
        <f ca="1">SUMIF(COMPROMISOS_2025[[#All],[consecutivo]],Contrato[[#This Row],[RCP]],COMPROMISOS_2025[[#All],[valor_total]])</f>
        <v>0</v>
      </c>
      <c r="W325" s="169">
        <v>45723</v>
      </c>
      <c r="X325" s="243" t="s">
        <v>901</v>
      </c>
      <c r="Y325" s="96">
        <v>45726</v>
      </c>
      <c r="Z325" s="161">
        <v>46008</v>
      </c>
      <c r="AA325" s="338" t="s">
        <v>1425</v>
      </c>
      <c r="AB325" s="119" t="s">
        <v>1426</v>
      </c>
      <c r="AC325" s="112"/>
      <c r="AD325" s="279">
        <v>202000006515</v>
      </c>
      <c r="AE325" s="38"/>
      <c r="AF325" s="120" t="str">
        <f>TEXT(LEFT(Contrato[[#This Row],[CONTRATO]],3),"0")</f>
        <v>318</v>
      </c>
      <c r="AG325" s="120" t="str">
        <f>IF(LEN(Contrato[[#This Row],[Contrato2]])=3,Contrato[[#This Row],[Contrato2]],TEXT(Contrato[[#This Row],[Contrato2]],"000"))</f>
        <v>318</v>
      </c>
      <c r="AH325" s="90">
        <f ca="1">IFERROR(_xlfn.DAYS(Contrato[[#This Row],[Fecha Proyectada liquidación]],TODAY())/30,"")</f>
        <v>11.5</v>
      </c>
      <c r="AI325" s="121">
        <f>+Contrato[[#This Row],[FECHA TERMINACIÓN ]]+120</f>
        <v>46128</v>
      </c>
      <c r="AK325" s="91" t="str">
        <f ca="1">IF(Contrato[[#This Row],[FECHA TERMINACIÓN ]]&lt;TODAY(), "Terminado",IF(ISNUMBER(Contrato[[#This Row],[Fecha Real de liquiidación ]]),"Liquidado",IF(Contrato[[#This Row],[FECHA TERMINACIÓN ]]&gt;=TODAY(),"En ejecución","")))</f>
        <v>En ejecución</v>
      </c>
      <c r="AL325" s="107">
        <f ca="1">SUMIF(COMPROMISOS_2025[[#All],[consecutivo]],Contrato[[#This Row],[RCP]],COMPROMISOS_2025[[#All],[Total pagado]])</f>
        <v>0</v>
      </c>
      <c r="AM325" s="122">
        <f ca="1">IFERROR(Contrato[[#This Row],[Pagos]]/Contrato[[#This Row],[VALOR CONTRATO]],0)</f>
        <v>0</v>
      </c>
      <c r="AN325" s="160">
        <f ca="1">+Contrato[[#This Row],[VALOR CONTRATO]]-Contrato[[#This Row],[Pagos]]</f>
        <v>47854929</v>
      </c>
      <c r="AO325" s="111" t="e" cm="1">
        <f t="array" aca="1" ref="AO325" ca="1">_xlfn.XLOOKUP(Contrato[[#This Row],[DOCUMENTO ]],PERSONAL_ACTIVO_2025[[#All],[DOCUMENTO]],PERSONAL_ACTIVO_2025[[#All],[email]],0,0)</f>
        <v>#NAME?</v>
      </c>
      <c r="AP325" s="111" t="e" cm="1">
        <f t="array" aca="1" ref="AP325" ca="1">_xlfn.XLOOKUP(Contrato[[#This Row],[DOCUMENTO]],PERSONAL_ACTIVO_2025[[#All],[DOCUMENTO]],PERSONAL_ACTIVO_2025[[#All],[email]],0,0)</f>
        <v>#NAME?</v>
      </c>
      <c r="AQ325" s="111" cm="1">
        <f t="array" aca="1" ref="AQ325" ca="1">IF(ISBLANK(Contrato[[#This Row],[DEPENDENCIA ]]),0,IFERROR(_xlfn.XLOOKUP(Contrato[[#This Row],[DEPENDENCIA ]],#REF!,#REF!,0,0),0))</f>
        <v>0</v>
      </c>
      <c r="AR325" s="555">
        <f ca="1">+_xlfn.DAYS(Contrato[[#This Row],[FECHA TERMINACIÓN ]],TODAY())</f>
        <v>225</v>
      </c>
    </row>
    <row r="326" spans="1:44" ht="39.75" customHeight="1" x14ac:dyDescent="0.25">
      <c r="A326" s="38">
        <v>565</v>
      </c>
      <c r="B326" s="226">
        <v>319</v>
      </c>
      <c r="C326" s="88" t="s">
        <v>778</v>
      </c>
      <c r="D326" s="192" t="s">
        <v>911</v>
      </c>
      <c r="E326" s="193" t="s">
        <v>112</v>
      </c>
      <c r="F326" s="194" t="s">
        <v>113</v>
      </c>
      <c r="G326" s="195" t="s">
        <v>1472</v>
      </c>
      <c r="H326" s="167">
        <v>1098397</v>
      </c>
      <c r="I326" s="292">
        <v>6239569</v>
      </c>
      <c r="J326" s="292">
        <v>57820006</v>
      </c>
      <c r="K326" s="158" t="s">
        <v>41</v>
      </c>
      <c r="L326" s="196" t="s">
        <v>1401</v>
      </c>
      <c r="M326" s="114" t="s">
        <v>943</v>
      </c>
      <c r="N326" s="113" t="e" cm="1">
        <f t="array" aca="1" ref="N326" ca="1">_xlfn.XLOOKUP(Contrato[[#This Row],[SUPERVISOR TITULAR]],PERSONAL_ACTIVO_2025[[#All],[NOMBRES Y APELLIDOS]],PERSONAL_ACTIVO_2025[[#All],[DOCUMENTO]],"",0)</f>
        <v>#NAME?</v>
      </c>
      <c r="O326" s="114" t="s">
        <v>939</v>
      </c>
      <c r="P326" s="115" t="e" cm="1">
        <f t="array" aca="1" ref="P326" ca="1">_xlfn.XLOOKUP(Contrato[[#This Row],[SUPERVISOR SUPLENTE ]],PERSONAL_ACTIVO_2025[[#All],[NOMBRES Y APELLIDOS]],PERSONAL_ACTIVO_2025[[#All],[DOCUMENTO]],"",0)</f>
        <v>#NAME?</v>
      </c>
      <c r="Q326" s="116">
        <v>372</v>
      </c>
      <c r="R326" s="137" t="e" cm="1">
        <f t="array" aca="1" ref="R326" ca="1">_xlfn.XLOOKUP(Contrato[[#This Row],[CDP]],DISPONIBILIDADES_2025[[#All],[consecutivo]],DISPONIBILIDADES_2025[[#All],[fecha_aprobacion]],"",0)</f>
        <v>#NAME?</v>
      </c>
      <c r="S326" s="92">
        <f>SUMIF(DISPONIBILIDADES_2025[[#All],[consecutivo]],Contrato[[#This Row],[CDP]],DISPONIBILIDADES_2025[[#All],[valor_total_rubro]])</f>
        <v>57820006</v>
      </c>
      <c r="T326" s="118" t="e" cm="1">
        <f t="array" aca="1" ref="T326" ca="1">_xlfn.XLOOKUP(Contrato[[#This Row],[CONTRATO]]&amp;Contrato[[#This Row],[CDP]],Corr_Contr_CDP[[#All],[CONTRATO-CDP]],Corr_Contr_CDP[[#All],[CRP]],_xlfn.XLOOKUP(Contrato[[#This Row],[CDP]],COMPROMISOS_2025[[#All],[disponibilidad]],COMPROMISOS_2025[[#All],[consecutivo]],"",0),0)</f>
        <v>#NAME?</v>
      </c>
      <c r="U326" s="117" t="e" cm="1">
        <f t="array" aca="1" ref="U326" ca="1">+_xlfn.XLOOKUP(Contrato[[#This Row],[RCP]],COMPROMISOS_2025[[#All],[consecutivo]],COMPROMISOS_2025[[#All],[fecha_aprobacion]],"",0)</f>
        <v>#NAME?</v>
      </c>
      <c r="V326" s="93">
        <f ca="1">SUMIF(COMPROMISOS_2025[[#All],[consecutivo]],Contrato[[#This Row],[RCP]],COMPROMISOS_2025[[#All],[valor_total]])</f>
        <v>0</v>
      </c>
      <c r="W326" s="169">
        <v>45723</v>
      </c>
      <c r="X326" s="243" t="s">
        <v>901</v>
      </c>
      <c r="Y326" s="96">
        <v>45727</v>
      </c>
      <c r="Z326" s="161">
        <v>46008</v>
      </c>
      <c r="AA326" s="338" t="s">
        <v>1425</v>
      </c>
      <c r="AB326" s="119" t="s">
        <v>1432</v>
      </c>
      <c r="AC326" s="112"/>
      <c r="AD326" s="279">
        <v>202000006516</v>
      </c>
      <c r="AE326" s="38"/>
      <c r="AF326" s="120" t="str">
        <f>TEXT(LEFT(Contrato[[#This Row],[CONTRATO]],3),"0")</f>
        <v>319</v>
      </c>
      <c r="AG326" s="120" t="str">
        <f>IF(LEN(Contrato[[#This Row],[Contrato2]])=3,Contrato[[#This Row],[Contrato2]],TEXT(Contrato[[#This Row],[Contrato2]],"000"))</f>
        <v>319</v>
      </c>
      <c r="AH326" s="90">
        <f ca="1">IFERROR(_xlfn.DAYS(Contrato[[#This Row],[Fecha Proyectada liquidación]],TODAY())/30,"")</f>
        <v>11.5</v>
      </c>
      <c r="AI326" s="121">
        <f>+Contrato[[#This Row],[FECHA TERMINACIÓN ]]+120</f>
        <v>46128</v>
      </c>
      <c r="AK326" s="91" t="str">
        <f ca="1">IF(Contrato[[#This Row],[FECHA TERMINACIÓN ]]&lt;TODAY(), "Terminado",IF(ISNUMBER(Contrato[[#This Row],[Fecha Real de liquiidación ]]),"Liquidado",IF(Contrato[[#This Row],[FECHA TERMINACIÓN ]]&gt;=TODAY(),"En ejecución","")))</f>
        <v>En ejecución</v>
      </c>
      <c r="AL326" s="107">
        <f ca="1">SUMIF(COMPROMISOS_2025[[#All],[consecutivo]],Contrato[[#This Row],[RCP]],COMPROMISOS_2025[[#All],[Total pagado]])</f>
        <v>0</v>
      </c>
      <c r="AM326" s="122">
        <f ca="1">IFERROR(Contrato[[#This Row],[Pagos]]/Contrato[[#This Row],[VALOR CONTRATO]],0)</f>
        <v>0</v>
      </c>
      <c r="AN326" s="160">
        <f ca="1">+Contrato[[#This Row],[VALOR CONTRATO]]-Contrato[[#This Row],[Pagos]]</f>
        <v>57820006</v>
      </c>
      <c r="AO326" s="111" t="e" cm="1">
        <f t="array" aca="1" ref="AO326" ca="1">_xlfn.XLOOKUP(Contrato[[#This Row],[DOCUMENTO ]],PERSONAL_ACTIVO_2025[[#All],[DOCUMENTO]],PERSONAL_ACTIVO_2025[[#All],[email]],0,0)</f>
        <v>#NAME?</v>
      </c>
      <c r="AP326" s="111" t="e" cm="1">
        <f t="array" aca="1" ref="AP326" ca="1">_xlfn.XLOOKUP(Contrato[[#This Row],[DOCUMENTO]],PERSONAL_ACTIVO_2025[[#All],[DOCUMENTO]],PERSONAL_ACTIVO_2025[[#All],[email]],0,0)</f>
        <v>#NAME?</v>
      </c>
      <c r="AQ326" s="111" cm="1">
        <f t="array" aca="1" ref="AQ326" ca="1">IF(ISBLANK(Contrato[[#This Row],[DEPENDENCIA ]]),0,IFERROR(_xlfn.XLOOKUP(Contrato[[#This Row],[DEPENDENCIA ]],#REF!,#REF!,0,0),0))</f>
        <v>0</v>
      </c>
      <c r="AR326" s="555">
        <f ca="1">+_xlfn.DAYS(Contrato[[#This Row],[FECHA TERMINACIÓN ]],TODAY())</f>
        <v>225</v>
      </c>
    </row>
    <row r="327" spans="1:44" ht="39.75" customHeight="1" x14ac:dyDescent="0.25">
      <c r="A327" s="38">
        <v>432</v>
      </c>
      <c r="B327" s="226">
        <v>320</v>
      </c>
      <c r="C327" s="88" t="s">
        <v>1473</v>
      </c>
      <c r="D327" s="192" t="s">
        <v>911</v>
      </c>
      <c r="E327" s="193" t="s">
        <v>112</v>
      </c>
      <c r="F327" s="194" t="s">
        <v>113</v>
      </c>
      <c r="G327" s="195" t="s">
        <v>1474</v>
      </c>
      <c r="H327" s="167">
        <v>1152458318</v>
      </c>
      <c r="I327" s="292">
        <v>2708734</v>
      </c>
      <c r="J327" s="292">
        <v>25100935</v>
      </c>
      <c r="K327" s="158" t="s">
        <v>41</v>
      </c>
      <c r="L327" s="196" t="s">
        <v>1401</v>
      </c>
      <c r="M327" s="114" t="s">
        <v>943</v>
      </c>
      <c r="N327" s="113" t="e" cm="1">
        <f t="array" aca="1" ref="N327" ca="1">_xlfn.XLOOKUP(Contrato[[#This Row],[SUPERVISOR TITULAR]],PERSONAL_ACTIVO_2025[[#All],[NOMBRES Y APELLIDOS]],PERSONAL_ACTIVO_2025[[#All],[DOCUMENTO]],"",0)</f>
        <v>#NAME?</v>
      </c>
      <c r="O327" s="114" t="s">
        <v>939</v>
      </c>
      <c r="P327" s="115" t="e" cm="1">
        <f t="array" aca="1" ref="P327" ca="1">_xlfn.XLOOKUP(Contrato[[#This Row],[SUPERVISOR SUPLENTE ]],PERSONAL_ACTIVO_2025[[#All],[NOMBRES Y APELLIDOS]],PERSONAL_ACTIVO_2025[[#All],[DOCUMENTO]],"",0)</f>
        <v>#NAME?</v>
      </c>
      <c r="Q327" s="116">
        <v>265</v>
      </c>
      <c r="R327" s="137" t="e" cm="1">
        <f t="array" aca="1" ref="R327" ca="1">_xlfn.XLOOKUP(Contrato[[#This Row],[CDP]],DISPONIBILIDADES_2025[[#All],[consecutivo]],DISPONIBILIDADES_2025[[#All],[fecha_aprobacion]],"",0)</f>
        <v>#NAME?</v>
      </c>
      <c r="S327" s="92">
        <f>SUMIF(DISPONIBILIDADES_2025[[#All],[consecutivo]],Contrato[[#This Row],[CDP]],DISPONIBILIDADES_2025[[#All],[valor_total_rubro]])</f>
        <v>40747479</v>
      </c>
      <c r="T327" s="118" t="e" cm="1">
        <f t="array" aca="1" ref="T327" ca="1">_xlfn.XLOOKUP(Contrato[[#This Row],[CONTRATO]]&amp;Contrato[[#This Row],[CDP]],Corr_Contr_CDP[[#All],[CONTRATO-CDP]],Corr_Contr_CDP[[#All],[CRP]],_xlfn.XLOOKUP(Contrato[[#This Row],[CDP]],COMPROMISOS_2025[[#All],[disponibilidad]],COMPROMISOS_2025[[#All],[consecutivo]],"",0),0)</f>
        <v>#NAME?</v>
      </c>
      <c r="U327" s="117" t="e" cm="1">
        <f t="array" aca="1" ref="U327" ca="1">+_xlfn.XLOOKUP(Contrato[[#This Row],[RCP]],COMPROMISOS_2025[[#All],[consecutivo]],COMPROMISOS_2025[[#All],[fecha_aprobacion]],"",0)</f>
        <v>#NAME?</v>
      </c>
      <c r="V327" s="93">
        <f ca="1">SUMIF(COMPROMISOS_2025[[#All],[consecutivo]],Contrato[[#This Row],[RCP]],COMPROMISOS_2025[[#All],[valor_total]])</f>
        <v>0</v>
      </c>
      <c r="W327" s="169">
        <v>45723</v>
      </c>
      <c r="X327" s="243" t="s">
        <v>901</v>
      </c>
      <c r="Y327" s="96">
        <v>45726</v>
      </c>
      <c r="Z327" s="161">
        <v>46008</v>
      </c>
      <c r="AA327" s="338" t="s">
        <v>1425</v>
      </c>
      <c r="AB327" s="119" t="s">
        <v>1426</v>
      </c>
      <c r="AC327" s="112"/>
      <c r="AD327" s="279">
        <v>202000006517</v>
      </c>
      <c r="AE327" s="38"/>
      <c r="AF327" s="120" t="str">
        <f>TEXT(LEFT(Contrato[[#This Row],[CONTRATO]],3),"0")</f>
        <v>320</v>
      </c>
      <c r="AG327" s="120" t="str">
        <f>IF(LEN(Contrato[[#This Row],[Contrato2]])=3,Contrato[[#This Row],[Contrato2]],TEXT(Contrato[[#This Row],[Contrato2]],"000"))</f>
        <v>320</v>
      </c>
      <c r="AH327" s="90">
        <f ca="1">IFERROR(_xlfn.DAYS(Contrato[[#This Row],[Fecha Proyectada liquidación]],TODAY())/30,"")</f>
        <v>11.5</v>
      </c>
      <c r="AI327" s="121">
        <f>+Contrato[[#This Row],[FECHA TERMINACIÓN ]]+120</f>
        <v>46128</v>
      </c>
      <c r="AK327" s="91" t="str">
        <f ca="1">IF(Contrato[[#This Row],[FECHA TERMINACIÓN ]]&lt;TODAY(), "Terminado",IF(ISNUMBER(Contrato[[#This Row],[Fecha Real de liquiidación ]]),"Liquidado",IF(Contrato[[#This Row],[FECHA TERMINACIÓN ]]&gt;=TODAY(),"En ejecución","")))</f>
        <v>En ejecución</v>
      </c>
      <c r="AL327" s="107">
        <f ca="1">SUMIF(COMPROMISOS_2025[[#All],[consecutivo]],Contrato[[#This Row],[RCP]],COMPROMISOS_2025[[#All],[Total pagado]])</f>
        <v>0</v>
      </c>
      <c r="AM327" s="122">
        <f ca="1">IFERROR(Contrato[[#This Row],[Pagos]]/Contrato[[#This Row],[VALOR CONTRATO]],0)</f>
        <v>0</v>
      </c>
      <c r="AN327" s="160">
        <f ca="1">+Contrato[[#This Row],[VALOR CONTRATO]]-Contrato[[#This Row],[Pagos]]</f>
        <v>25100935</v>
      </c>
      <c r="AO327" s="111" t="e" cm="1">
        <f t="array" aca="1" ref="AO327" ca="1">_xlfn.XLOOKUP(Contrato[[#This Row],[DOCUMENTO ]],PERSONAL_ACTIVO_2025[[#All],[DOCUMENTO]],PERSONAL_ACTIVO_2025[[#All],[email]],0,0)</f>
        <v>#NAME?</v>
      </c>
      <c r="AP327" s="111" t="e" cm="1">
        <f t="array" aca="1" ref="AP327" ca="1">_xlfn.XLOOKUP(Contrato[[#This Row],[DOCUMENTO]],PERSONAL_ACTIVO_2025[[#All],[DOCUMENTO]],PERSONAL_ACTIVO_2025[[#All],[email]],0,0)</f>
        <v>#NAME?</v>
      </c>
      <c r="AQ327" s="111" cm="1">
        <f t="array" aca="1" ref="AQ327" ca="1">IF(ISBLANK(Contrato[[#This Row],[DEPENDENCIA ]]),0,IFERROR(_xlfn.XLOOKUP(Contrato[[#This Row],[DEPENDENCIA ]],#REF!,#REF!,0,0),0))</f>
        <v>0</v>
      </c>
      <c r="AR327" s="555">
        <f ca="1">+_xlfn.DAYS(Contrato[[#This Row],[FECHA TERMINACIÓN ]],TODAY())</f>
        <v>225</v>
      </c>
    </row>
    <row r="328" spans="1:44" ht="39.75" customHeight="1" x14ac:dyDescent="0.25">
      <c r="A328" s="38">
        <v>433</v>
      </c>
      <c r="B328" s="226">
        <v>321</v>
      </c>
      <c r="C328" s="88" t="s">
        <v>631</v>
      </c>
      <c r="D328" s="192" t="s">
        <v>911</v>
      </c>
      <c r="E328" s="193" t="s">
        <v>112</v>
      </c>
      <c r="F328" s="194" t="s">
        <v>113</v>
      </c>
      <c r="G328" s="195" t="s">
        <v>1475</v>
      </c>
      <c r="H328" s="167">
        <v>1036948116</v>
      </c>
      <c r="I328" s="292">
        <v>2708734</v>
      </c>
      <c r="J328" s="292">
        <v>25100935</v>
      </c>
      <c r="K328" s="158" t="s">
        <v>41</v>
      </c>
      <c r="L328" s="196" t="s">
        <v>1401</v>
      </c>
      <c r="M328" s="114" t="s">
        <v>943</v>
      </c>
      <c r="N328" s="113" t="e" cm="1">
        <f t="array" aca="1" ref="N328" ca="1">_xlfn.XLOOKUP(Contrato[[#This Row],[SUPERVISOR TITULAR]],PERSONAL_ACTIVO_2025[[#All],[NOMBRES Y APELLIDOS]],PERSONAL_ACTIVO_2025[[#All],[DOCUMENTO]],"",0)</f>
        <v>#NAME?</v>
      </c>
      <c r="O328" s="114" t="s">
        <v>939</v>
      </c>
      <c r="P328" s="115" t="e" cm="1">
        <f t="array" aca="1" ref="P328" ca="1">_xlfn.XLOOKUP(Contrato[[#This Row],[SUPERVISOR SUPLENTE ]],PERSONAL_ACTIVO_2025[[#All],[NOMBRES Y APELLIDOS]],PERSONAL_ACTIVO_2025[[#All],[DOCUMENTO]],"",0)</f>
        <v>#NAME?</v>
      </c>
      <c r="Q328" s="116">
        <v>266</v>
      </c>
      <c r="R328" s="137" t="e" cm="1">
        <f t="array" aca="1" ref="R328" ca="1">_xlfn.XLOOKUP(Contrato[[#This Row],[CDP]],DISPONIBILIDADES_2025[[#All],[consecutivo]],DISPONIBILIDADES_2025[[#All],[fecha_aprobacion]],"",0)</f>
        <v>#NAME?</v>
      </c>
      <c r="S328" s="92">
        <f>SUMIF(DISPONIBILIDADES_2025[[#All],[consecutivo]],Contrato[[#This Row],[CDP]],DISPONIBILIDADES_2025[[#All],[valor_total_rubro]])</f>
        <v>26545593</v>
      </c>
      <c r="T328" s="118" t="e" cm="1">
        <f t="array" aca="1" ref="T328" ca="1">_xlfn.XLOOKUP(Contrato[[#This Row],[CONTRATO]]&amp;Contrato[[#This Row],[CDP]],Corr_Contr_CDP[[#All],[CONTRATO-CDP]],Corr_Contr_CDP[[#All],[CRP]],_xlfn.XLOOKUP(Contrato[[#This Row],[CDP]],COMPROMISOS_2025[[#All],[disponibilidad]],COMPROMISOS_2025[[#All],[consecutivo]],"",0),0)</f>
        <v>#NAME?</v>
      </c>
      <c r="U328" s="117" t="e" cm="1">
        <f t="array" aca="1" ref="U328" ca="1">+_xlfn.XLOOKUP(Contrato[[#This Row],[RCP]],COMPROMISOS_2025[[#All],[consecutivo]],COMPROMISOS_2025[[#All],[fecha_aprobacion]],"",0)</f>
        <v>#NAME?</v>
      </c>
      <c r="V328" s="93">
        <f ca="1">SUMIF(COMPROMISOS_2025[[#All],[consecutivo]],Contrato[[#This Row],[RCP]],COMPROMISOS_2025[[#All],[valor_total]])</f>
        <v>0</v>
      </c>
      <c r="W328" s="169">
        <v>45723</v>
      </c>
      <c r="X328" s="243" t="s">
        <v>901</v>
      </c>
      <c r="Y328" s="96">
        <v>45726</v>
      </c>
      <c r="Z328" s="161">
        <v>46008</v>
      </c>
      <c r="AA328" s="338" t="s">
        <v>1425</v>
      </c>
      <c r="AB328" s="119" t="s">
        <v>1426</v>
      </c>
      <c r="AC328" s="112"/>
      <c r="AD328" s="279">
        <v>202000006518</v>
      </c>
      <c r="AE328" s="38"/>
      <c r="AF328" s="120" t="str">
        <f>TEXT(LEFT(Contrato[[#This Row],[CONTRATO]],3),"0")</f>
        <v>321</v>
      </c>
      <c r="AG328" s="120" t="str">
        <f>IF(LEN(Contrato[[#This Row],[Contrato2]])=3,Contrato[[#This Row],[Contrato2]],TEXT(Contrato[[#This Row],[Contrato2]],"000"))</f>
        <v>321</v>
      </c>
      <c r="AH328" s="90">
        <f ca="1">IFERROR(_xlfn.DAYS(Contrato[[#This Row],[Fecha Proyectada liquidación]],TODAY())/30,"")</f>
        <v>11.5</v>
      </c>
      <c r="AI328" s="121">
        <f>+Contrato[[#This Row],[FECHA TERMINACIÓN ]]+120</f>
        <v>46128</v>
      </c>
      <c r="AK328" s="91" t="str">
        <f ca="1">IF(Contrato[[#This Row],[FECHA TERMINACIÓN ]]&lt;TODAY(), "Terminado",IF(ISNUMBER(Contrato[[#This Row],[Fecha Real de liquiidación ]]),"Liquidado",IF(Contrato[[#This Row],[FECHA TERMINACIÓN ]]&gt;=TODAY(),"En ejecución","")))</f>
        <v>En ejecución</v>
      </c>
      <c r="AL328" s="107">
        <f ca="1">SUMIF(COMPROMISOS_2025[[#All],[consecutivo]],Contrato[[#This Row],[RCP]],COMPROMISOS_2025[[#All],[Total pagado]])</f>
        <v>0</v>
      </c>
      <c r="AM328" s="122">
        <f ca="1">IFERROR(Contrato[[#This Row],[Pagos]]/Contrato[[#This Row],[VALOR CONTRATO]],0)</f>
        <v>0</v>
      </c>
      <c r="AN328" s="160">
        <f ca="1">+Contrato[[#This Row],[VALOR CONTRATO]]-Contrato[[#This Row],[Pagos]]</f>
        <v>25100935</v>
      </c>
      <c r="AO328" s="111" t="e" cm="1">
        <f t="array" aca="1" ref="AO328" ca="1">_xlfn.XLOOKUP(Contrato[[#This Row],[DOCUMENTO ]],PERSONAL_ACTIVO_2025[[#All],[DOCUMENTO]],PERSONAL_ACTIVO_2025[[#All],[email]],0,0)</f>
        <v>#NAME?</v>
      </c>
      <c r="AP328" s="111" t="e" cm="1">
        <f t="array" aca="1" ref="AP328" ca="1">_xlfn.XLOOKUP(Contrato[[#This Row],[DOCUMENTO]],PERSONAL_ACTIVO_2025[[#All],[DOCUMENTO]],PERSONAL_ACTIVO_2025[[#All],[email]],0,0)</f>
        <v>#NAME?</v>
      </c>
      <c r="AQ328" s="111" cm="1">
        <f t="array" aca="1" ref="AQ328" ca="1">IF(ISBLANK(Contrato[[#This Row],[DEPENDENCIA ]]),0,IFERROR(_xlfn.XLOOKUP(Contrato[[#This Row],[DEPENDENCIA ]],#REF!,#REF!,0,0),0))</f>
        <v>0</v>
      </c>
      <c r="AR328" s="555">
        <f ca="1">+_xlfn.DAYS(Contrato[[#This Row],[FECHA TERMINACIÓN ]],TODAY())</f>
        <v>225</v>
      </c>
    </row>
    <row r="329" spans="1:44" ht="39.75" customHeight="1" x14ac:dyDescent="0.25">
      <c r="A329" s="38">
        <v>434</v>
      </c>
      <c r="B329" s="226">
        <v>322</v>
      </c>
      <c r="C329" s="88" t="s">
        <v>632</v>
      </c>
      <c r="D329" s="192" t="s">
        <v>911</v>
      </c>
      <c r="E329" s="193" t="s">
        <v>112</v>
      </c>
      <c r="F329" s="194" t="s">
        <v>113</v>
      </c>
      <c r="G329" s="195" t="s">
        <v>1476</v>
      </c>
      <c r="H329" s="167">
        <v>8431569</v>
      </c>
      <c r="I329" s="292">
        <v>6239569</v>
      </c>
      <c r="J329" s="292">
        <v>50540509</v>
      </c>
      <c r="K329" s="158" t="s">
        <v>41</v>
      </c>
      <c r="L329" s="196" t="s">
        <v>1401</v>
      </c>
      <c r="M329" s="114" t="s">
        <v>943</v>
      </c>
      <c r="N329" s="113" t="e" cm="1">
        <f t="array" aca="1" ref="N329" ca="1">_xlfn.XLOOKUP(Contrato[[#This Row],[SUPERVISOR TITULAR]],PERSONAL_ACTIVO_2025[[#All],[NOMBRES Y APELLIDOS]],PERSONAL_ACTIVO_2025[[#All],[DOCUMENTO]],"",0)</f>
        <v>#NAME?</v>
      </c>
      <c r="O329" s="114" t="s">
        <v>939</v>
      </c>
      <c r="P329" s="115" t="e" cm="1">
        <f t="array" aca="1" ref="P329" ca="1">_xlfn.XLOOKUP(Contrato[[#This Row],[SUPERVISOR SUPLENTE ]],PERSONAL_ACTIVO_2025[[#All],[NOMBRES Y APELLIDOS]],PERSONAL_ACTIVO_2025[[#All],[DOCUMENTO]],"",0)</f>
        <v>#NAME?</v>
      </c>
      <c r="Q329" s="116">
        <v>267</v>
      </c>
      <c r="R329" s="137" t="e" cm="1">
        <f t="array" aca="1" ref="R329" ca="1">_xlfn.XLOOKUP(Contrato[[#This Row],[CDP]],DISPONIBILIDADES_2025[[#All],[consecutivo]],DISPONIBILIDADES_2025[[#All],[fecha_aprobacion]],"",0)</f>
        <v>#NAME?</v>
      </c>
      <c r="S329" s="92">
        <f>SUMIF(DISPONIBILIDADES_2025[[#All],[consecutivo]],Contrato[[#This Row],[CDP]],DISPONIBILIDADES_2025[[#All],[valor_total_rubro]])</f>
        <v>50609170</v>
      </c>
      <c r="T329" s="118" t="e" cm="1">
        <f t="array" aca="1" ref="T329" ca="1">_xlfn.XLOOKUP(Contrato[[#This Row],[CONTRATO]]&amp;Contrato[[#This Row],[CDP]],Corr_Contr_CDP[[#All],[CONTRATO-CDP]],Corr_Contr_CDP[[#All],[CRP]],_xlfn.XLOOKUP(Contrato[[#This Row],[CDP]],COMPROMISOS_2025[[#All],[disponibilidad]],COMPROMISOS_2025[[#All],[consecutivo]],"",0),0)</f>
        <v>#NAME?</v>
      </c>
      <c r="U329" s="117" t="e" cm="1">
        <f t="array" aca="1" ref="U329" ca="1">+_xlfn.XLOOKUP(Contrato[[#This Row],[RCP]],COMPROMISOS_2025[[#All],[consecutivo]],COMPROMISOS_2025[[#All],[fecha_aprobacion]],"",0)</f>
        <v>#NAME?</v>
      </c>
      <c r="V329" s="93">
        <f ca="1">SUMIF(COMPROMISOS_2025[[#All],[consecutivo]],Contrato[[#This Row],[RCP]],COMPROMISOS_2025[[#All],[valor_total]])</f>
        <v>0</v>
      </c>
      <c r="W329" s="169">
        <v>45723</v>
      </c>
      <c r="X329" s="243" t="s">
        <v>901</v>
      </c>
      <c r="Y329" s="96">
        <v>45726</v>
      </c>
      <c r="Z329" s="161">
        <v>45973</v>
      </c>
      <c r="AA329" s="338" t="s">
        <v>1425</v>
      </c>
      <c r="AB329" s="119" t="s">
        <v>1430</v>
      </c>
      <c r="AC329" s="112"/>
      <c r="AD329" s="279">
        <v>202000006519</v>
      </c>
      <c r="AE329" s="38"/>
      <c r="AF329" s="120" t="str">
        <f>TEXT(LEFT(Contrato[[#This Row],[CONTRATO]],3),"0")</f>
        <v>322</v>
      </c>
      <c r="AG329" s="120" t="str">
        <f>IF(LEN(Contrato[[#This Row],[Contrato2]])=3,Contrato[[#This Row],[Contrato2]],TEXT(Contrato[[#This Row],[Contrato2]],"000"))</f>
        <v>322</v>
      </c>
      <c r="AH329" s="90">
        <f ca="1">IFERROR(_xlfn.DAYS(Contrato[[#This Row],[Fecha Proyectada liquidación]],TODAY())/30,"")</f>
        <v>10.333333333333334</v>
      </c>
      <c r="AI329" s="121">
        <f>+Contrato[[#This Row],[FECHA TERMINACIÓN ]]+120</f>
        <v>46093</v>
      </c>
      <c r="AK329" s="91" t="str">
        <f ca="1">IF(Contrato[[#This Row],[FECHA TERMINACIÓN ]]&lt;TODAY(), "Terminado",IF(ISNUMBER(Contrato[[#This Row],[Fecha Real de liquiidación ]]),"Liquidado",IF(Contrato[[#This Row],[FECHA TERMINACIÓN ]]&gt;=TODAY(),"En ejecución","")))</f>
        <v>En ejecución</v>
      </c>
      <c r="AL329" s="107">
        <f ca="1">SUMIF(COMPROMISOS_2025[[#All],[consecutivo]],Contrato[[#This Row],[RCP]],COMPROMISOS_2025[[#All],[Total pagado]])</f>
        <v>0</v>
      </c>
      <c r="AM329" s="122">
        <f ca="1">IFERROR(Contrato[[#This Row],[Pagos]]/Contrato[[#This Row],[VALOR CONTRATO]],0)</f>
        <v>0</v>
      </c>
      <c r="AN329" s="160">
        <f ca="1">+Contrato[[#This Row],[VALOR CONTRATO]]-Contrato[[#This Row],[Pagos]]</f>
        <v>50540509</v>
      </c>
      <c r="AO329" s="111" t="e" cm="1">
        <f t="array" aca="1" ref="AO329" ca="1">_xlfn.XLOOKUP(Contrato[[#This Row],[DOCUMENTO ]],PERSONAL_ACTIVO_2025[[#All],[DOCUMENTO]],PERSONAL_ACTIVO_2025[[#All],[email]],0,0)</f>
        <v>#NAME?</v>
      </c>
      <c r="AP329" s="111" t="e" cm="1">
        <f t="array" aca="1" ref="AP329" ca="1">_xlfn.XLOOKUP(Contrato[[#This Row],[DOCUMENTO]],PERSONAL_ACTIVO_2025[[#All],[DOCUMENTO]],PERSONAL_ACTIVO_2025[[#All],[email]],0,0)</f>
        <v>#NAME?</v>
      </c>
      <c r="AQ329" s="111" cm="1">
        <f t="array" aca="1" ref="AQ329" ca="1">IF(ISBLANK(Contrato[[#This Row],[DEPENDENCIA ]]),0,IFERROR(_xlfn.XLOOKUP(Contrato[[#This Row],[DEPENDENCIA ]],#REF!,#REF!,0,0),0))</f>
        <v>0</v>
      </c>
      <c r="AR329" s="555">
        <f ca="1">+_xlfn.DAYS(Contrato[[#This Row],[FECHA TERMINACIÓN ]],TODAY())</f>
        <v>190</v>
      </c>
    </row>
    <row r="330" spans="1:44" ht="39.75" customHeight="1" x14ac:dyDescent="0.25">
      <c r="A330" s="38">
        <v>441</v>
      </c>
      <c r="B330" s="226">
        <v>323</v>
      </c>
      <c r="C330" s="88" t="s">
        <v>640</v>
      </c>
      <c r="D330" s="192" t="s">
        <v>911</v>
      </c>
      <c r="E330" s="193" t="s">
        <v>112</v>
      </c>
      <c r="F330" s="194" t="s">
        <v>113</v>
      </c>
      <c r="G330" s="195" t="s">
        <v>1477</v>
      </c>
      <c r="H330" s="167">
        <v>1152202404</v>
      </c>
      <c r="I330" s="292">
        <v>2708734</v>
      </c>
      <c r="J330" s="292">
        <v>25100935</v>
      </c>
      <c r="K330" s="158" t="s">
        <v>41</v>
      </c>
      <c r="L330" s="196" t="s">
        <v>1401</v>
      </c>
      <c r="M330" s="114" t="s">
        <v>943</v>
      </c>
      <c r="N330" s="113" t="e" cm="1">
        <f t="array" aca="1" ref="N330" ca="1">_xlfn.XLOOKUP(Contrato[[#This Row],[SUPERVISOR TITULAR]],PERSONAL_ACTIVO_2025[[#All],[NOMBRES Y APELLIDOS]],PERSONAL_ACTIVO_2025[[#All],[DOCUMENTO]],"",0)</f>
        <v>#NAME?</v>
      </c>
      <c r="O330" s="114" t="s">
        <v>939</v>
      </c>
      <c r="P330" s="115" t="e" cm="1">
        <f t="array" aca="1" ref="P330" ca="1">_xlfn.XLOOKUP(Contrato[[#This Row],[SUPERVISOR SUPLENTE ]],PERSONAL_ACTIVO_2025[[#All],[NOMBRES Y APELLIDOS]],PERSONAL_ACTIVO_2025[[#All],[DOCUMENTO]],"",0)</f>
        <v>#NAME?</v>
      </c>
      <c r="Q330" s="116">
        <v>274</v>
      </c>
      <c r="R330" s="137" t="e" cm="1">
        <f t="array" aca="1" ref="R330" ca="1">_xlfn.XLOOKUP(Contrato[[#This Row],[CDP]],DISPONIBILIDADES_2025[[#All],[consecutivo]],DISPONIBILIDADES_2025[[#All],[fecha_aprobacion]],"",0)</f>
        <v>#NAME?</v>
      </c>
      <c r="S330" s="92">
        <f>SUMIF(DISPONIBILIDADES_2025[[#All],[consecutivo]],Contrato[[#This Row],[CDP]],DISPONIBILIDADES_2025[[#All],[valor_total_rubro]])</f>
        <v>26545593</v>
      </c>
      <c r="T330" s="118" t="e" cm="1">
        <f t="array" aca="1" ref="T330" ca="1">_xlfn.XLOOKUP(Contrato[[#This Row],[CONTRATO]]&amp;Contrato[[#This Row],[CDP]],Corr_Contr_CDP[[#All],[CONTRATO-CDP]],Corr_Contr_CDP[[#All],[CRP]],_xlfn.XLOOKUP(Contrato[[#This Row],[CDP]],COMPROMISOS_2025[[#All],[disponibilidad]],COMPROMISOS_2025[[#All],[consecutivo]],"",0),0)</f>
        <v>#NAME?</v>
      </c>
      <c r="U330" s="117" t="e" cm="1">
        <f t="array" aca="1" ref="U330" ca="1">+_xlfn.XLOOKUP(Contrato[[#This Row],[RCP]],COMPROMISOS_2025[[#All],[consecutivo]],COMPROMISOS_2025[[#All],[fecha_aprobacion]],"",0)</f>
        <v>#NAME?</v>
      </c>
      <c r="V330" s="93">
        <f ca="1">SUMIF(COMPROMISOS_2025[[#All],[consecutivo]],Contrato[[#This Row],[RCP]],COMPROMISOS_2025[[#All],[valor_total]])</f>
        <v>0</v>
      </c>
      <c r="W330" s="169">
        <v>45726</v>
      </c>
      <c r="X330" s="243" t="s">
        <v>901</v>
      </c>
      <c r="Y330" s="96">
        <v>45727</v>
      </c>
      <c r="Z330" s="161">
        <v>46008</v>
      </c>
      <c r="AA330" s="338" t="s">
        <v>1425</v>
      </c>
      <c r="AB330" s="119" t="s">
        <v>1432</v>
      </c>
      <c r="AC330" s="112"/>
      <c r="AD330" s="471">
        <v>202000006520</v>
      </c>
      <c r="AE330" s="38"/>
      <c r="AF330" s="120" t="str">
        <f>TEXT(LEFT(Contrato[[#This Row],[CONTRATO]],3),"0")</f>
        <v>323</v>
      </c>
      <c r="AG330" s="120" t="str">
        <f>IF(LEN(Contrato[[#This Row],[Contrato2]])=3,Contrato[[#This Row],[Contrato2]],TEXT(Contrato[[#This Row],[Contrato2]],"000"))</f>
        <v>323</v>
      </c>
      <c r="AH330" s="90">
        <f ca="1">IFERROR(_xlfn.DAYS(Contrato[[#This Row],[Fecha Proyectada liquidación]],TODAY())/30,"")</f>
        <v>11.5</v>
      </c>
      <c r="AI330" s="121">
        <f>+Contrato[[#This Row],[FECHA TERMINACIÓN ]]+120</f>
        <v>46128</v>
      </c>
      <c r="AK330" s="91" t="str">
        <f ca="1">IF(Contrato[[#This Row],[FECHA TERMINACIÓN ]]&lt;TODAY(), "Terminado",IF(ISNUMBER(Contrato[[#This Row],[Fecha Real de liquiidación ]]),"Liquidado",IF(Contrato[[#This Row],[FECHA TERMINACIÓN ]]&gt;=TODAY(),"En ejecución","")))</f>
        <v>En ejecución</v>
      </c>
      <c r="AL330" s="107">
        <f ca="1">SUMIF(COMPROMISOS_2025[[#All],[consecutivo]],Contrato[[#This Row],[RCP]],COMPROMISOS_2025[[#All],[Total pagado]])</f>
        <v>0</v>
      </c>
      <c r="AM330" s="122">
        <f ca="1">IFERROR(Contrato[[#This Row],[Pagos]]/Contrato[[#This Row],[VALOR CONTRATO]],0)</f>
        <v>0</v>
      </c>
      <c r="AN330" s="160">
        <f ca="1">+Contrato[[#This Row],[VALOR CONTRATO]]-Contrato[[#This Row],[Pagos]]</f>
        <v>25100935</v>
      </c>
      <c r="AO330" s="111" t="e" cm="1">
        <f t="array" aca="1" ref="AO330" ca="1">_xlfn.XLOOKUP(Contrato[[#This Row],[DOCUMENTO ]],PERSONAL_ACTIVO_2025[[#All],[DOCUMENTO]],PERSONAL_ACTIVO_2025[[#All],[email]],0,0)</f>
        <v>#NAME?</v>
      </c>
      <c r="AP330" s="111" t="e" cm="1">
        <f t="array" aca="1" ref="AP330" ca="1">_xlfn.XLOOKUP(Contrato[[#This Row],[DOCUMENTO]],PERSONAL_ACTIVO_2025[[#All],[DOCUMENTO]],PERSONAL_ACTIVO_2025[[#All],[email]],0,0)</f>
        <v>#NAME?</v>
      </c>
      <c r="AQ330" s="111" cm="1">
        <f t="array" aca="1" ref="AQ330" ca="1">IF(ISBLANK(Contrato[[#This Row],[DEPENDENCIA ]]),0,IFERROR(_xlfn.XLOOKUP(Contrato[[#This Row],[DEPENDENCIA ]],#REF!,#REF!,0,0),0))</f>
        <v>0</v>
      </c>
      <c r="AR330" s="555">
        <f ca="1">+_xlfn.DAYS(Contrato[[#This Row],[FECHA TERMINACIÓN ]],TODAY())</f>
        <v>225</v>
      </c>
    </row>
    <row r="331" spans="1:44" ht="39.75" customHeight="1" x14ac:dyDescent="0.25">
      <c r="A331" s="38">
        <v>474</v>
      </c>
      <c r="B331" s="226">
        <v>324</v>
      </c>
      <c r="C331" s="88" t="s">
        <v>677</v>
      </c>
      <c r="D331" s="192" t="s">
        <v>911</v>
      </c>
      <c r="E331" s="193" t="s">
        <v>112</v>
      </c>
      <c r="F331" s="194" t="s">
        <v>113</v>
      </c>
      <c r="G331" s="195" t="s">
        <v>1478</v>
      </c>
      <c r="H331" s="167">
        <v>1037236028</v>
      </c>
      <c r="I331" s="292">
        <v>4786600</v>
      </c>
      <c r="J331" s="292">
        <v>45313147</v>
      </c>
      <c r="K331" s="158" t="s">
        <v>41</v>
      </c>
      <c r="L331" s="196" t="s">
        <v>1096</v>
      </c>
      <c r="M331" s="114" t="s">
        <v>938</v>
      </c>
      <c r="N331" s="113" t="e" cm="1">
        <f t="array" aca="1" ref="N331" ca="1">_xlfn.XLOOKUP(Contrato[[#This Row],[SUPERVISOR TITULAR]],PERSONAL_ACTIVO_2025[[#All],[NOMBRES Y APELLIDOS]],PERSONAL_ACTIVO_2025[[#All],[DOCUMENTO]],"",0)</f>
        <v>#NAME?</v>
      </c>
      <c r="O331" s="114" t="s">
        <v>1091</v>
      </c>
      <c r="P331" s="115" t="e" cm="1">
        <f t="array" aca="1" ref="P331" ca="1">_xlfn.XLOOKUP(Contrato[[#This Row],[SUPERVISOR SUPLENTE ]],PERSONAL_ACTIVO_2025[[#All],[NOMBRES Y APELLIDOS]],PERSONAL_ACTIVO_2025[[#All],[DOCUMENTO]],"",0)</f>
        <v>#NAME?</v>
      </c>
      <c r="Q331" s="116">
        <v>351</v>
      </c>
      <c r="R331" s="137" t="e" cm="1">
        <f t="array" aca="1" ref="R331" ca="1">_xlfn.XLOOKUP(Contrato[[#This Row],[CDP]],DISPONIBILIDADES_2025[[#All],[consecutivo]],DISPONIBILIDADES_2025[[#All],[fecha_aprobacion]],"",0)</f>
        <v>#NAME?</v>
      </c>
      <c r="S331" s="92">
        <f>SUMIF(DISPONIBILIDADES_2025[[#All],[consecutivo]],Contrato[[#This Row],[CDP]],DISPONIBILIDADES_2025[[#All],[valor_total_rubro]])</f>
        <v>47866000</v>
      </c>
      <c r="T331" s="118" t="e" cm="1">
        <f t="array" aca="1" ref="T331" ca="1">_xlfn.XLOOKUP(Contrato[[#This Row],[CONTRATO]]&amp;Contrato[[#This Row],[CDP]],Corr_Contr_CDP[[#All],[CONTRATO-CDP]],Corr_Contr_CDP[[#All],[CRP]],_xlfn.XLOOKUP(Contrato[[#This Row],[CDP]],COMPROMISOS_2025[[#All],[disponibilidad]],COMPROMISOS_2025[[#All],[consecutivo]],"",0),0)</f>
        <v>#NAME?</v>
      </c>
      <c r="U331" s="117" t="e" cm="1">
        <f t="array" aca="1" ref="U331" ca="1">+_xlfn.XLOOKUP(Contrato[[#This Row],[RCP]],COMPROMISOS_2025[[#All],[consecutivo]],COMPROMISOS_2025[[#All],[fecha_aprobacion]],"",0)</f>
        <v>#NAME?</v>
      </c>
      <c r="V331" s="93">
        <f ca="1">SUMIF(COMPROMISOS_2025[[#All],[consecutivo]],Contrato[[#This Row],[RCP]],COMPROMISOS_2025[[#All],[valor_total]])</f>
        <v>0</v>
      </c>
      <c r="W331" s="169">
        <v>45730</v>
      </c>
      <c r="X331" s="243" t="s">
        <v>901</v>
      </c>
      <c r="Y331" s="96">
        <v>45733</v>
      </c>
      <c r="Z331" s="161">
        <v>46022</v>
      </c>
      <c r="AA331" s="198" t="s">
        <v>1479</v>
      </c>
      <c r="AB331" s="119" t="s">
        <v>1480</v>
      </c>
      <c r="AC331" s="112"/>
      <c r="AD331" s="279">
        <v>202000006521</v>
      </c>
      <c r="AE331" s="38" t="s">
        <v>904</v>
      </c>
      <c r="AF331" s="120" t="str">
        <f>TEXT(LEFT(Contrato[[#This Row],[CONTRATO]],3),"0")</f>
        <v>324</v>
      </c>
      <c r="AG331" s="120" t="str">
        <f>IF(LEN(Contrato[[#This Row],[Contrato2]])=3,Contrato[[#This Row],[Contrato2]],TEXT(Contrato[[#This Row],[Contrato2]],"000"))</f>
        <v>324</v>
      </c>
      <c r="AH331" s="90">
        <f ca="1">IFERROR(_xlfn.DAYS(Contrato[[#This Row],[Fecha Proyectada liquidación]],TODAY())/30,"")</f>
        <v>11.966666666666667</v>
      </c>
      <c r="AI331" s="121">
        <f>+Contrato[[#This Row],[FECHA TERMINACIÓN ]]+120</f>
        <v>46142</v>
      </c>
      <c r="AK331" s="91" t="str">
        <f ca="1">IF(Contrato[[#This Row],[FECHA TERMINACIÓN ]]&lt;TODAY(), "Terminado",IF(ISNUMBER(Contrato[[#This Row],[Fecha Real de liquiidación ]]),"Liquidado",IF(Contrato[[#This Row],[FECHA TERMINACIÓN ]]&gt;=TODAY(),"En ejecución","")))</f>
        <v>En ejecución</v>
      </c>
      <c r="AL331" s="107">
        <f ca="1">SUMIF(COMPROMISOS_2025[[#All],[consecutivo]],Contrato[[#This Row],[RCP]],COMPROMISOS_2025[[#All],[Total pagado]])</f>
        <v>0</v>
      </c>
      <c r="AM331" s="122">
        <f ca="1">IFERROR(Contrato[[#This Row],[Pagos]]/Contrato[[#This Row],[VALOR CONTRATO]],0)</f>
        <v>0</v>
      </c>
      <c r="AN331" s="160">
        <f ca="1">+Contrato[[#This Row],[VALOR CONTRATO]]-Contrato[[#This Row],[Pagos]]</f>
        <v>45313147</v>
      </c>
      <c r="AO331" s="111" t="e" cm="1">
        <f t="array" aca="1" ref="AO331" ca="1">_xlfn.XLOOKUP(Contrato[[#This Row],[DOCUMENTO ]],PERSONAL_ACTIVO_2025[[#All],[DOCUMENTO]],PERSONAL_ACTIVO_2025[[#All],[email]],0,0)</f>
        <v>#NAME?</v>
      </c>
      <c r="AP331" s="111" t="e" cm="1">
        <f t="array" aca="1" ref="AP331" ca="1">_xlfn.XLOOKUP(Contrato[[#This Row],[DOCUMENTO]],PERSONAL_ACTIVO_2025[[#All],[DOCUMENTO]],PERSONAL_ACTIVO_2025[[#All],[email]],0,0)</f>
        <v>#NAME?</v>
      </c>
      <c r="AQ331" s="111" cm="1">
        <f t="array" aca="1" ref="AQ331" ca="1">IF(ISBLANK(Contrato[[#This Row],[DEPENDENCIA ]]),0,IFERROR(_xlfn.XLOOKUP(Contrato[[#This Row],[DEPENDENCIA ]],#REF!,#REF!,0,0),0))</f>
        <v>0</v>
      </c>
      <c r="AR331" s="555">
        <f ca="1">+_xlfn.DAYS(Contrato[[#This Row],[FECHA TERMINACIÓN ]],TODAY())</f>
        <v>239</v>
      </c>
    </row>
    <row r="332" spans="1:44" ht="39.75" customHeight="1" x14ac:dyDescent="0.25">
      <c r="A332" s="38">
        <v>154</v>
      </c>
      <c r="B332" s="226">
        <v>325</v>
      </c>
      <c r="C332" s="88" t="s">
        <v>342</v>
      </c>
      <c r="D332" s="192" t="s">
        <v>930</v>
      </c>
      <c r="E332" s="193" t="s">
        <v>112</v>
      </c>
      <c r="F332" s="194" t="s">
        <v>113</v>
      </c>
      <c r="G332" s="195" t="s">
        <v>1481</v>
      </c>
      <c r="H332" s="167">
        <v>8111941</v>
      </c>
      <c r="I332" s="292">
        <v>7521800</v>
      </c>
      <c r="J332" s="292">
        <v>83218000</v>
      </c>
      <c r="K332" s="297" t="s">
        <v>1482</v>
      </c>
      <c r="L332" s="196" t="s">
        <v>1096</v>
      </c>
      <c r="M332" s="114" t="s">
        <v>1323</v>
      </c>
      <c r="N332" s="113" t="e" cm="1">
        <f t="array" aca="1" ref="N332" ca="1">_xlfn.XLOOKUP(Contrato[[#This Row],[SUPERVISOR TITULAR]],PERSONAL_ACTIVO_2025[[#All],[NOMBRES Y APELLIDOS]],PERSONAL_ACTIVO_2025[[#All],[DOCUMENTO]],"",0)</f>
        <v>#NAME?</v>
      </c>
      <c r="O332" s="114" t="s">
        <v>1072</v>
      </c>
      <c r="P332" s="115" t="e" cm="1">
        <f t="array" aca="1" ref="P332" ca="1">_xlfn.XLOOKUP(Contrato[[#This Row],[SUPERVISOR SUPLENTE ]],PERSONAL_ACTIVO_2025[[#All],[NOMBRES Y APELLIDOS]],PERSONAL_ACTIVO_2025[[#All],[DOCUMENTO]],"",0)</f>
        <v>#NAME?</v>
      </c>
      <c r="Q332" s="116">
        <v>313</v>
      </c>
      <c r="R332" s="137" t="e" cm="1">
        <f t="array" aca="1" ref="R332" ca="1">_xlfn.XLOOKUP(Contrato[[#This Row],[CDP]],DISPONIBILIDADES_2025[[#All],[consecutivo]],DISPONIBILIDADES_2025[[#All],[fecha_aprobacion]],"",0)</f>
        <v>#NAME?</v>
      </c>
      <c r="S332" s="92">
        <f>SUMIF(DISPONIBILIDADES_2025[[#All],[consecutivo]],Contrato[[#This Row],[CDP]],DISPONIBILIDADES_2025[[#All],[valor_total_rubro]])</f>
        <v>83218000</v>
      </c>
      <c r="T332" s="118" t="e" cm="1">
        <f t="array" aca="1" ref="T332" ca="1">_xlfn.XLOOKUP(Contrato[[#This Row],[CONTRATO]]&amp;Contrato[[#This Row],[CDP]],Corr_Contr_CDP[[#All],[CONTRATO-CDP]],Corr_Contr_CDP[[#All],[CRP]],_xlfn.XLOOKUP(Contrato[[#This Row],[CDP]],COMPROMISOS_2025[[#All],[disponibilidad]],COMPROMISOS_2025[[#All],[consecutivo]],"",0),0)</f>
        <v>#NAME?</v>
      </c>
      <c r="U332" s="117" t="e" cm="1">
        <f t="array" aca="1" ref="U332" ca="1">+_xlfn.XLOOKUP(Contrato[[#This Row],[RCP]],COMPROMISOS_2025[[#All],[consecutivo]],COMPROMISOS_2025[[#All],[fecha_aprobacion]],"",0)</f>
        <v>#NAME?</v>
      </c>
      <c r="V332" s="93">
        <f ca="1">SUMIF(COMPROMISOS_2025[[#All],[consecutivo]],Contrato[[#This Row],[RCP]],COMPROMISOS_2025[[#All],[valor_total]])</f>
        <v>0</v>
      </c>
      <c r="W332" s="169">
        <v>45734</v>
      </c>
      <c r="X332" s="243" t="s">
        <v>901</v>
      </c>
      <c r="Y332" s="96">
        <v>45735</v>
      </c>
      <c r="Z332" s="161">
        <v>46021</v>
      </c>
      <c r="AA332" s="198" t="s">
        <v>1483</v>
      </c>
      <c r="AB332" s="119" t="s">
        <v>1004</v>
      </c>
      <c r="AC332" s="112"/>
      <c r="AD332" s="472">
        <v>202000006522</v>
      </c>
      <c r="AE332" s="38" t="s">
        <v>904</v>
      </c>
      <c r="AF332" s="120" t="str">
        <f>TEXT(LEFT(Contrato[[#This Row],[CONTRATO]],3),"0")</f>
        <v>325</v>
      </c>
      <c r="AG332" s="120" t="str">
        <f>IF(LEN(Contrato[[#This Row],[Contrato2]])=3,Contrato[[#This Row],[Contrato2]],TEXT(Contrato[[#This Row],[Contrato2]],"000"))</f>
        <v>325</v>
      </c>
      <c r="AH332" s="90">
        <f ca="1">IFERROR(_xlfn.DAYS(Contrato[[#This Row],[Fecha Proyectada liquidación]],TODAY())/30,"")</f>
        <v>11.933333333333334</v>
      </c>
      <c r="AI332" s="121">
        <f>+Contrato[[#This Row],[FECHA TERMINACIÓN ]]+120</f>
        <v>46141</v>
      </c>
      <c r="AK332" s="91" t="str">
        <f ca="1">IF(Contrato[[#This Row],[FECHA TERMINACIÓN ]]&lt;TODAY(), "Terminado",IF(ISNUMBER(Contrato[[#This Row],[Fecha Real de liquiidación ]]),"Liquidado",IF(Contrato[[#This Row],[FECHA TERMINACIÓN ]]&gt;=TODAY(),"En ejecución","")))</f>
        <v>En ejecución</v>
      </c>
      <c r="AL332" s="107">
        <f ca="1">SUMIF(COMPROMISOS_2025[[#All],[consecutivo]],Contrato[[#This Row],[RCP]],COMPROMISOS_2025[[#All],[Total pagado]])</f>
        <v>0</v>
      </c>
      <c r="AM332" s="122">
        <f ca="1">IFERROR(Contrato[[#This Row],[Pagos]]/Contrato[[#This Row],[VALOR CONTRATO]],0)</f>
        <v>0</v>
      </c>
      <c r="AN332" s="160">
        <f ca="1">+Contrato[[#This Row],[VALOR CONTRATO]]-Contrato[[#This Row],[Pagos]]</f>
        <v>83218000</v>
      </c>
      <c r="AO332" s="111" t="e" cm="1">
        <f t="array" aca="1" ref="AO332" ca="1">_xlfn.XLOOKUP(Contrato[[#This Row],[DOCUMENTO ]],PERSONAL_ACTIVO_2025[[#All],[DOCUMENTO]],PERSONAL_ACTIVO_2025[[#All],[email]],0,0)</f>
        <v>#NAME?</v>
      </c>
      <c r="AP332" s="111" t="e" cm="1">
        <f t="array" aca="1" ref="AP332" ca="1">_xlfn.XLOOKUP(Contrato[[#This Row],[DOCUMENTO]],PERSONAL_ACTIVO_2025[[#All],[DOCUMENTO]],PERSONAL_ACTIVO_2025[[#All],[email]],0,0)</f>
        <v>#NAME?</v>
      </c>
      <c r="AQ332" s="111" cm="1">
        <f t="array" aca="1" ref="AQ332" ca="1">IF(ISBLANK(Contrato[[#This Row],[DEPENDENCIA ]]),0,IFERROR(_xlfn.XLOOKUP(Contrato[[#This Row],[DEPENDENCIA ]],#REF!,#REF!,0,0),0))</f>
        <v>0</v>
      </c>
      <c r="AR332" s="555">
        <f ca="1">+_xlfn.DAYS(Contrato[[#This Row],[FECHA TERMINACIÓN ]],TODAY())</f>
        <v>238</v>
      </c>
    </row>
    <row r="333" spans="1:44" ht="39.75" customHeight="1" x14ac:dyDescent="0.25">
      <c r="A333" s="38">
        <v>554</v>
      </c>
      <c r="B333" s="226">
        <v>326</v>
      </c>
      <c r="C333" s="88" t="s">
        <v>755</v>
      </c>
      <c r="D333" s="192" t="s">
        <v>930</v>
      </c>
      <c r="E333" s="193" t="s">
        <v>112</v>
      </c>
      <c r="F333" s="194" t="s">
        <v>142</v>
      </c>
      <c r="G333" s="195" t="s">
        <v>1484</v>
      </c>
      <c r="H333" s="167">
        <v>890984746</v>
      </c>
      <c r="I333" s="292">
        <v>0</v>
      </c>
      <c r="J333" s="292">
        <v>222478000</v>
      </c>
      <c r="K333" s="158" t="s">
        <v>41</v>
      </c>
      <c r="L333" s="196" t="s">
        <v>1096</v>
      </c>
      <c r="M333" s="114" t="s">
        <v>972</v>
      </c>
      <c r="N333" s="113" t="e" cm="1">
        <f t="array" aca="1" ref="N333" ca="1">_xlfn.XLOOKUP(Contrato[[#This Row],[SUPERVISOR TITULAR]],PERSONAL_ACTIVO_2025[[#All],[NOMBRES Y APELLIDOS]],PERSONAL_ACTIVO_2025[[#All],[DOCUMENTO]],"",0)</f>
        <v>#NAME?</v>
      </c>
      <c r="O333" s="114" t="s">
        <v>1059</v>
      </c>
      <c r="P333" s="115" t="e" cm="1">
        <f t="array" aca="1" ref="P333" ca="1">_xlfn.XLOOKUP(Contrato[[#This Row],[SUPERVISOR SUPLENTE ]],PERSONAL_ACTIVO_2025[[#All],[NOMBRES Y APELLIDOS]],PERSONAL_ACTIVO_2025[[#All],[DOCUMENTO]],"",0)</f>
        <v>#NAME?</v>
      </c>
      <c r="Q333" s="116">
        <v>330</v>
      </c>
      <c r="R333" s="137" t="e" cm="1">
        <f t="array" aca="1" ref="R333" ca="1">_xlfn.XLOOKUP(Contrato[[#This Row],[CDP]],DISPONIBILIDADES_2025[[#All],[consecutivo]],DISPONIBILIDADES_2025[[#All],[fecha_aprobacion]],"",0)</f>
        <v>#NAME?</v>
      </c>
      <c r="S333" s="92">
        <f>SUMIF(DISPONIBILIDADES_2025[[#All],[consecutivo]],Contrato[[#This Row],[CDP]],DISPONIBILIDADES_2025[[#All],[valor_total_rubro]])</f>
        <v>222478000</v>
      </c>
      <c r="T333" s="118" t="e" cm="1">
        <f t="array" aca="1" ref="T333" ca="1">_xlfn.XLOOKUP(Contrato[[#This Row],[CONTRATO]]&amp;Contrato[[#This Row],[CDP]],Corr_Contr_CDP[[#All],[CONTRATO-CDP]],Corr_Contr_CDP[[#All],[CRP]],_xlfn.XLOOKUP(Contrato[[#This Row],[CDP]],COMPROMISOS_2025[[#All],[disponibilidad]],COMPROMISOS_2025[[#All],[consecutivo]],"",0),0)</f>
        <v>#NAME?</v>
      </c>
      <c r="U333" s="117" t="e" cm="1">
        <f t="array" aca="1" ref="U333" ca="1">+_xlfn.XLOOKUP(Contrato[[#This Row],[RCP]],COMPROMISOS_2025[[#All],[consecutivo]],COMPROMISOS_2025[[#All],[fecha_aprobacion]],"",0)</f>
        <v>#NAME?</v>
      </c>
      <c r="V333" s="93">
        <f ca="1">SUMIF(COMPROMISOS_2025[[#All],[consecutivo]],Contrato[[#This Row],[RCP]],COMPROMISOS_2025[[#All],[valor_total]])</f>
        <v>0</v>
      </c>
      <c r="W333" s="169">
        <v>45747</v>
      </c>
      <c r="X333" s="243">
        <v>45758</v>
      </c>
      <c r="Y333" s="96">
        <v>45758</v>
      </c>
      <c r="Z333" s="161">
        <v>46021</v>
      </c>
      <c r="AA333" s="311" t="s">
        <v>1485</v>
      </c>
      <c r="AB333" s="119" t="s">
        <v>1004</v>
      </c>
      <c r="AC333" s="112"/>
      <c r="AD333" s="543"/>
      <c r="AE333" s="38"/>
      <c r="AF333" s="120" t="str">
        <f>TEXT(LEFT(Contrato[[#This Row],[CONTRATO]],3),"0")</f>
        <v>326</v>
      </c>
      <c r="AG333" s="120" t="str">
        <f>IF(LEN(Contrato[[#This Row],[Contrato2]])=3,Contrato[[#This Row],[Contrato2]],TEXT(Contrato[[#This Row],[Contrato2]],"000"))</f>
        <v>326</v>
      </c>
      <c r="AH333" s="90">
        <f ca="1">IFERROR(_xlfn.DAYS(Contrato[[#This Row],[Fecha Proyectada liquidación]],TODAY())/30,"")</f>
        <v>11.933333333333334</v>
      </c>
      <c r="AI333" s="121">
        <f>+Contrato[[#This Row],[FECHA TERMINACIÓN ]]+120</f>
        <v>46141</v>
      </c>
      <c r="AK333" s="91" t="str">
        <f ca="1">IF(Contrato[[#This Row],[FECHA TERMINACIÓN ]]&lt;TODAY(), "Terminado",IF(ISNUMBER(Contrato[[#This Row],[Fecha Real de liquiidación ]]),"Liquidado",IF(Contrato[[#This Row],[FECHA TERMINACIÓN ]]&gt;=TODAY(),"En ejecución","")))</f>
        <v>En ejecución</v>
      </c>
      <c r="AL333" s="107">
        <f ca="1">SUMIF(COMPROMISOS_2025[[#All],[consecutivo]],Contrato[[#This Row],[RCP]],COMPROMISOS_2025[[#All],[Total pagado]])</f>
        <v>0</v>
      </c>
      <c r="AM333" s="122">
        <f ca="1">IFERROR(Contrato[[#This Row],[Pagos]]/Contrato[[#This Row],[VALOR CONTRATO]],0)</f>
        <v>0</v>
      </c>
      <c r="AN333" s="160">
        <f ca="1">+Contrato[[#This Row],[VALOR CONTRATO]]-Contrato[[#This Row],[Pagos]]</f>
        <v>222478000</v>
      </c>
      <c r="AO333" s="111" t="e" cm="1">
        <f t="array" aca="1" ref="AO333" ca="1">_xlfn.XLOOKUP(Contrato[[#This Row],[DOCUMENTO ]],PERSONAL_ACTIVO_2025[[#All],[DOCUMENTO]],PERSONAL_ACTIVO_2025[[#All],[email]],0,0)</f>
        <v>#NAME?</v>
      </c>
      <c r="AP333" s="111" t="e" cm="1">
        <f t="array" aca="1" ref="AP333" ca="1">_xlfn.XLOOKUP(Contrato[[#This Row],[DOCUMENTO]],PERSONAL_ACTIVO_2025[[#All],[DOCUMENTO]],PERSONAL_ACTIVO_2025[[#All],[email]],0,0)</f>
        <v>#NAME?</v>
      </c>
      <c r="AQ333" s="111" cm="1">
        <f t="array" aca="1" ref="AQ333" ca="1">IF(ISBLANK(Contrato[[#This Row],[DEPENDENCIA ]]),0,IFERROR(_xlfn.XLOOKUP(Contrato[[#This Row],[DEPENDENCIA ]],#REF!,#REF!,0,0),0))</f>
        <v>0</v>
      </c>
      <c r="AR333" s="555">
        <f ca="1">+_xlfn.DAYS(Contrato[[#This Row],[FECHA TERMINACIÓN ]],TODAY())</f>
        <v>238</v>
      </c>
    </row>
    <row r="334" spans="1:44" ht="39.75" customHeight="1" x14ac:dyDescent="0.25">
      <c r="A334" s="38">
        <v>566</v>
      </c>
      <c r="B334" s="226">
        <v>327</v>
      </c>
      <c r="C334" s="88" t="s">
        <v>729</v>
      </c>
      <c r="D334" s="192" t="s">
        <v>930</v>
      </c>
      <c r="E334" s="193" t="s">
        <v>112</v>
      </c>
      <c r="F334" s="194" t="s">
        <v>113</v>
      </c>
      <c r="G334" s="195" t="s">
        <v>1486</v>
      </c>
      <c r="H334" s="167">
        <v>15443173</v>
      </c>
      <c r="I334" s="292">
        <v>7521800</v>
      </c>
      <c r="J334" s="292">
        <v>80457100</v>
      </c>
      <c r="K334" s="297" t="s">
        <v>1487</v>
      </c>
      <c r="L334" s="196" t="s">
        <v>1096</v>
      </c>
      <c r="M334" s="114" t="s">
        <v>980</v>
      </c>
      <c r="N334" s="113" t="e" cm="1">
        <f t="array" aca="1" ref="N334" ca="1">_xlfn.XLOOKUP(Contrato[[#This Row],[SUPERVISOR TITULAR]],PERSONAL_ACTIVO_2025[[#All],[NOMBRES Y APELLIDOS]],PERSONAL_ACTIVO_2025[[#All],[DOCUMENTO]],"",0)</f>
        <v>#NAME?</v>
      </c>
      <c r="O334" s="114" t="s">
        <v>1110</v>
      </c>
      <c r="P334" s="115" t="e" cm="1">
        <f t="array" aca="1" ref="P334" ca="1">_xlfn.XLOOKUP(Contrato[[#This Row],[SUPERVISOR SUPLENTE ]],PERSONAL_ACTIVO_2025[[#All],[NOMBRES Y APELLIDOS]],PERSONAL_ACTIVO_2025[[#All],[DOCUMENTO]],"",0)</f>
        <v>#NAME?</v>
      </c>
      <c r="Q334" s="116">
        <v>380</v>
      </c>
      <c r="R334" s="137" t="e" cm="1">
        <f t="array" aca="1" ref="R334" ca="1">_xlfn.XLOOKUP(Contrato[[#This Row],[CDP]],DISPONIBILIDADES_2025[[#All],[consecutivo]],DISPONIBILIDADES_2025[[#All],[fecha_aprobacion]],"",0)</f>
        <v>#NAME?</v>
      </c>
      <c r="S334" s="92">
        <f>SUMIF(DISPONIBILIDADES_2025[[#All],[consecutivo]],Contrato[[#This Row],[CDP]],DISPONIBILIDADES_2025[[#All],[valor_total_rubro]])</f>
        <v>80957100</v>
      </c>
      <c r="T334" s="118" t="e" cm="1">
        <f t="array" aca="1" ref="T334" ca="1">_xlfn.XLOOKUP(Contrato[[#This Row],[CONTRATO]]&amp;Contrato[[#This Row],[CDP]],Corr_Contr_CDP[[#All],[CONTRATO-CDP]],Corr_Contr_CDP[[#All],[CRP]],_xlfn.XLOOKUP(Contrato[[#This Row],[CDP]],COMPROMISOS_2025[[#All],[disponibilidad]],COMPROMISOS_2025[[#All],[consecutivo]],"",0),0)</f>
        <v>#NAME?</v>
      </c>
      <c r="U334" s="117" t="e" cm="1">
        <f t="array" aca="1" ref="U334" ca="1">+_xlfn.XLOOKUP(Contrato[[#This Row],[RCP]],COMPROMISOS_2025[[#All],[consecutivo]],COMPROMISOS_2025[[#All],[fecha_aprobacion]],"",0)</f>
        <v>#NAME?</v>
      </c>
      <c r="V334" s="93">
        <f ca="1">SUMIF(COMPROMISOS_2025[[#All],[consecutivo]],Contrato[[#This Row],[RCP]],COMPROMISOS_2025[[#All],[valor_total]])</f>
        <v>0</v>
      </c>
      <c r="W334" s="169">
        <v>45734</v>
      </c>
      <c r="X334" s="243" t="s">
        <v>901</v>
      </c>
      <c r="Y334" s="96">
        <v>45734</v>
      </c>
      <c r="Z334" s="161">
        <v>46021</v>
      </c>
      <c r="AA334" s="198" t="s">
        <v>1488</v>
      </c>
      <c r="AB334" s="119" t="s">
        <v>1489</v>
      </c>
      <c r="AC334" s="112"/>
      <c r="AD334" s="472">
        <v>202000006523</v>
      </c>
      <c r="AE334" s="38" t="s">
        <v>904</v>
      </c>
      <c r="AF334" s="120" t="str">
        <f>TEXT(LEFT(Contrato[[#This Row],[CONTRATO]],3),"0")</f>
        <v>327</v>
      </c>
      <c r="AG334" s="120" t="str">
        <f>IF(LEN(Contrato[[#This Row],[Contrato2]])=3,Contrato[[#This Row],[Contrato2]],TEXT(Contrato[[#This Row],[Contrato2]],"000"))</f>
        <v>327</v>
      </c>
      <c r="AH334" s="90">
        <f ca="1">IFERROR(_xlfn.DAYS(Contrato[[#This Row],[Fecha Proyectada liquidación]],TODAY())/30,"")</f>
        <v>11.933333333333334</v>
      </c>
      <c r="AI334" s="121">
        <f>+Contrato[[#This Row],[FECHA TERMINACIÓN ]]+120</f>
        <v>46141</v>
      </c>
      <c r="AK334" s="91" t="str">
        <f ca="1">IF(Contrato[[#This Row],[FECHA TERMINACIÓN ]]&lt;TODAY(), "Terminado",IF(ISNUMBER(Contrato[[#This Row],[Fecha Real de liquiidación ]]),"Liquidado",IF(Contrato[[#This Row],[FECHA TERMINACIÓN ]]&gt;=TODAY(),"En ejecución","")))</f>
        <v>En ejecución</v>
      </c>
      <c r="AL334" s="107">
        <f ca="1">SUMIF(COMPROMISOS_2025[[#All],[consecutivo]],Contrato[[#This Row],[RCP]],COMPROMISOS_2025[[#All],[Total pagado]])</f>
        <v>0</v>
      </c>
      <c r="AM334" s="122">
        <f ca="1">IFERROR(Contrato[[#This Row],[Pagos]]/Contrato[[#This Row],[VALOR CONTRATO]],0)</f>
        <v>0</v>
      </c>
      <c r="AN334" s="160">
        <f ca="1">+Contrato[[#This Row],[VALOR CONTRATO]]-Contrato[[#This Row],[Pagos]]</f>
        <v>80457100</v>
      </c>
      <c r="AO334" s="111" t="e" cm="1">
        <f t="array" aca="1" ref="AO334" ca="1">_xlfn.XLOOKUP(Contrato[[#This Row],[DOCUMENTO ]],PERSONAL_ACTIVO_2025[[#All],[DOCUMENTO]],PERSONAL_ACTIVO_2025[[#All],[email]],0,0)</f>
        <v>#NAME?</v>
      </c>
      <c r="AP334" s="111" t="e" cm="1">
        <f t="array" aca="1" ref="AP334" ca="1">_xlfn.XLOOKUP(Contrato[[#This Row],[DOCUMENTO]],PERSONAL_ACTIVO_2025[[#All],[DOCUMENTO]],PERSONAL_ACTIVO_2025[[#All],[email]],0,0)</f>
        <v>#NAME?</v>
      </c>
      <c r="AQ334" s="111" cm="1">
        <f t="array" aca="1" ref="AQ334" ca="1">IF(ISBLANK(Contrato[[#This Row],[DEPENDENCIA ]]),0,IFERROR(_xlfn.XLOOKUP(Contrato[[#This Row],[DEPENDENCIA ]],#REF!,#REF!,0,0),0))</f>
        <v>0</v>
      </c>
      <c r="AR334" s="555">
        <f ca="1">+_xlfn.DAYS(Contrato[[#This Row],[FECHA TERMINACIÓN ]],TODAY())</f>
        <v>238</v>
      </c>
    </row>
    <row r="335" spans="1:44" ht="39.75" customHeight="1" x14ac:dyDescent="0.25">
      <c r="A335" s="38">
        <v>466</v>
      </c>
      <c r="B335" s="226">
        <v>328</v>
      </c>
      <c r="C335" s="88" t="s">
        <v>670</v>
      </c>
      <c r="D335" s="192" t="s">
        <v>911</v>
      </c>
      <c r="E335" s="193" t="s">
        <v>112</v>
      </c>
      <c r="F335" s="194" t="s">
        <v>113</v>
      </c>
      <c r="G335" s="195" t="s">
        <v>1490</v>
      </c>
      <c r="H335" s="167">
        <v>70113908</v>
      </c>
      <c r="I335" s="292">
        <v>3419000</v>
      </c>
      <c r="J335" s="292">
        <v>32366533</v>
      </c>
      <c r="K335" s="158" t="s">
        <v>41</v>
      </c>
      <c r="L335" s="196" t="s">
        <v>1096</v>
      </c>
      <c r="M335" s="114" t="s">
        <v>886</v>
      </c>
      <c r="N335" s="113" t="e" cm="1">
        <f t="array" aca="1" ref="N335" ca="1">_xlfn.XLOOKUP(Contrato[[#This Row],[SUPERVISOR TITULAR]],PERSONAL_ACTIVO_2025[[#All],[NOMBRES Y APELLIDOS]],PERSONAL_ACTIVO_2025[[#All],[DOCUMENTO]],"",0)</f>
        <v>#NAME?</v>
      </c>
      <c r="O335" s="114" t="s">
        <v>1031</v>
      </c>
      <c r="P335" s="115" t="e" cm="1">
        <f t="array" aca="1" ref="P335" ca="1">_xlfn.XLOOKUP(Contrato[[#This Row],[SUPERVISOR SUPLENTE ]],PERSONAL_ACTIVO_2025[[#All],[NOMBRES Y APELLIDOS]],PERSONAL_ACTIVO_2025[[#All],[DOCUMENTO]],"",0)</f>
        <v>#NAME?</v>
      </c>
      <c r="Q335" s="116">
        <v>326</v>
      </c>
      <c r="R335" s="137" t="e" cm="1">
        <f t="array" aca="1" ref="R335" ca="1">_xlfn.XLOOKUP(Contrato[[#This Row],[CDP]],DISPONIBILIDADES_2025[[#All],[consecutivo]],DISPONIBILIDADES_2025[[#All],[fecha_aprobacion]],"",0)</f>
        <v>#NAME?</v>
      </c>
      <c r="S335" s="92">
        <f>SUMIF(DISPONIBILIDADES_2025[[#All],[consecutivo]],Contrato[[#This Row],[CDP]],DISPONIBILIDADES_2025[[#All],[valor_total_rubro]])</f>
        <v>34190000</v>
      </c>
      <c r="T335" s="118" t="e" cm="1">
        <f t="array" aca="1" ref="T335" ca="1">_xlfn.XLOOKUP(Contrato[[#This Row],[CONTRATO]]&amp;Contrato[[#This Row],[CDP]],Corr_Contr_CDP[[#All],[CONTRATO-CDP]],Corr_Contr_CDP[[#All],[CRP]],_xlfn.XLOOKUP(Contrato[[#This Row],[CDP]],COMPROMISOS_2025[[#All],[disponibilidad]],COMPROMISOS_2025[[#All],[consecutivo]],"",0),0)</f>
        <v>#NAME?</v>
      </c>
      <c r="U335" s="117" t="e" cm="1">
        <f t="array" aca="1" ref="U335" ca="1">+_xlfn.XLOOKUP(Contrato[[#This Row],[RCP]],COMPROMISOS_2025[[#All],[consecutivo]],COMPROMISOS_2025[[#All],[fecha_aprobacion]],"",0)</f>
        <v>#NAME?</v>
      </c>
      <c r="V335" s="93">
        <f ca="1">SUMIF(COMPROMISOS_2025[[#All],[consecutivo]],Contrato[[#This Row],[RCP]],COMPROMISOS_2025[[#All],[valor_total]])</f>
        <v>0</v>
      </c>
      <c r="W335" s="169">
        <v>45730</v>
      </c>
      <c r="X335" s="243" t="s">
        <v>901</v>
      </c>
      <c r="Y335" s="96">
        <v>45733</v>
      </c>
      <c r="Z335" s="161">
        <v>46022</v>
      </c>
      <c r="AA335" s="198" t="s">
        <v>1491</v>
      </c>
      <c r="AB335" s="119" t="s">
        <v>1480</v>
      </c>
      <c r="AC335" s="112"/>
      <c r="AD335" s="472">
        <v>202000006524</v>
      </c>
      <c r="AE335" s="38" t="s">
        <v>904</v>
      </c>
      <c r="AF335" s="120" t="str">
        <f>TEXT(LEFT(Contrato[[#This Row],[CONTRATO]],3),"0")</f>
        <v>328</v>
      </c>
      <c r="AG335" s="120" t="str">
        <f>IF(LEN(Contrato[[#This Row],[Contrato2]])=3,Contrato[[#This Row],[Contrato2]],TEXT(Contrato[[#This Row],[Contrato2]],"000"))</f>
        <v>328</v>
      </c>
      <c r="AH335" s="90">
        <f ca="1">IFERROR(_xlfn.DAYS(Contrato[[#This Row],[Fecha Proyectada liquidación]],TODAY())/30,"")</f>
        <v>11.966666666666667</v>
      </c>
      <c r="AI335" s="121">
        <f>+Contrato[[#This Row],[FECHA TERMINACIÓN ]]+120</f>
        <v>46142</v>
      </c>
      <c r="AK335" s="91" t="str">
        <f ca="1">IF(Contrato[[#This Row],[FECHA TERMINACIÓN ]]&lt;TODAY(), "Terminado",IF(ISNUMBER(Contrato[[#This Row],[Fecha Real de liquiidación ]]),"Liquidado",IF(Contrato[[#This Row],[FECHA TERMINACIÓN ]]&gt;=TODAY(),"En ejecución","")))</f>
        <v>En ejecución</v>
      </c>
      <c r="AL335" s="107">
        <f ca="1">SUMIF(COMPROMISOS_2025[[#All],[consecutivo]],Contrato[[#This Row],[RCP]],COMPROMISOS_2025[[#All],[Total pagado]])</f>
        <v>0</v>
      </c>
      <c r="AM335" s="122">
        <f ca="1">IFERROR(Contrato[[#This Row],[Pagos]]/Contrato[[#This Row],[VALOR CONTRATO]],0)</f>
        <v>0</v>
      </c>
      <c r="AN335" s="160">
        <f ca="1">+Contrato[[#This Row],[VALOR CONTRATO]]-Contrato[[#This Row],[Pagos]]</f>
        <v>32366533</v>
      </c>
      <c r="AO335" s="111" t="e" cm="1">
        <f t="array" aca="1" ref="AO335" ca="1">_xlfn.XLOOKUP(Contrato[[#This Row],[DOCUMENTO ]],PERSONAL_ACTIVO_2025[[#All],[DOCUMENTO]],PERSONAL_ACTIVO_2025[[#All],[email]],0,0)</f>
        <v>#NAME?</v>
      </c>
      <c r="AP335" s="111" t="e" cm="1">
        <f t="array" aca="1" ref="AP335" ca="1">_xlfn.XLOOKUP(Contrato[[#This Row],[DOCUMENTO]],PERSONAL_ACTIVO_2025[[#All],[DOCUMENTO]],PERSONAL_ACTIVO_2025[[#All],[email]],0,0)</f>
        <v>#NAME?</v>
      </c>
      <c r="AQ335" s="111" cm="1">
        <f t="array" aca="1" ref="AQ335" ca="1">IF(ISBLANK(Contrato[[#This Row],[DEPENDENCIA ]]),0,IFERROR(_xlfn.XLOOKUP(Contrato[[#This Row],[DEPENDENCIA ]],#REF!,#REF!,0,0),0))</f>
        <v>0</v>
      </c>
      <c r="AR335" s="555">
        <f ca="1">+_xlfn.DAYS(Contrato[[#This Row],[FECHA TERMINACIÓN ]],TODAY())</f>
        <v>239</v>
      </c>
    </row>
    <row r="336" spans="1:44" ht="39.75" customHeight="1" x14ac:dyDescent="0.25">
      <c r="A336" s="38">
        <v>561</v>
      </c>
      <c r="B336" s="226">
        <v>329</v>
      </c>
      <c r="C336" s="88" t="s">
        <v>767</v>
      </c>
      <c r="D336" s="192" t="s">
        <v>930</v>
      </c>
      <c r="E336" s="193" t="s">
        <v>112</v>
      </c>
      <c r="F336" s="194" t="s">
        <v>241</v>
      </c>
      <c r="G336" s="195" t="s">
        <v>1492</v>
      </c>
      <c r="H336" s="167">
        <v>900285704</v>
      </c>
      <c r="I336" s="292">
        <v>0</v>
      </c>
      <c r="J336" s="292">
        <v>887655602</v>
      </c>
      <c r="K336" s="312" t="s">
        <v>1493</v>
      </c>
      <c r="L336" s="196" t="s">
        <v>1383</v>
      </c>
      <c r="M336" s="114" t="s">
        <v>1494</v>
      </c>
      <c r="N336" s="113" t="e" cm="1">
        <f t="array" aca="1" ref="N336" ca="1">_xlfn.XLOOKUP(Contrato[[#This Row],[SUPERVISOR TITULAR]],PERSONAL_ACTIVO_2025[[#All],[NOMBRES Y APELLIDOS]],PERSONAL_ACTIVO_2025[[#All],[DOCUMENTO]],"",0)</f>
        <v>#NAME?</v>
      </c>
      <c r="O336" s="114" t="s">
        <v>886</v>
      </c>
      <c r="P336" s="115" t="e" cm="1">
        <f t="array" aca="1" ref="P336" ca="1">_xlfn.XLOOKUP(Contrato[[#This Row],[SUPERVISOR SUPLENTE ]],PERSONAL_ACTIVO_2025[[#All],[NOMBRES Y APELLIDOS]],PERSONAL_ACTIVO_2025[[#All],[DOCUMENTO]],"",0)</f>
        <v>#NAME?</v>
      </c>
      <c r="Q336" s="116">
        <v>382</v>
      </c>
      <c r="R336" s="137" t="e" cm="1">
        <f t="array" aca="1" ref="R336" ca="1">_xlfn.XLOOKUP(Contrato[[#This Row],[CDP]],DISPONIBILIDADES_2025[[#All],[consecutivo]],DISPONIBILIDADES_2025[[#All],[fecha_aprobacion]],"",0)</f>
        <v>#NAME?</v>
      </c>
      <c r="S336" s="92">
        <f>SUMIF(DISPONIBILIDADES_2025[[#All],[consecutivo]],Contrato[[#This Row],[CDP]],DISPONIBILIDADES_2025[[#All],[valor_total_rubro]])</f>
        <v>887655602</v>
      </c>
      <c r="T336" s="118" t="e" cm="1">
        <f t="array" aca="1" ref="T336" ca="1">_xlfn.XLOOKUP(Contrato[[#This Row],[CONTRATO]]&amp;Contrato[[#This Row],[CDP]],Corr_Contr_CDP[[#All],[CONTRATO-CDP]],Corr_Contr_CDP[[#All],[CRP]],_xlfn.XLOOKUP(Contrato[[#This Row],[CDP]],COMPROMISOS_2025[[#All],[disponibilidad]],COMPROMISOS_2025[[#All],[consecutivo]],"",0),0)</f>
        <v>#NAME?</v>
      </c>
      <c r="U336" s="117" t="e" cm="1">
        <f t="array" aca="1" ref="U336" ca="1">+_xlfn.XLOOKUP(Contrato[[#This Row],[RCP]],COMPROMISOS_2025[[#All],[consecutivo]],COMPROMISOS_2025[[#All],[fecha_aprobacion]],"",0)</f>
        <v>#NAME?</v>
      </c>
      <c r="V336" s="93">
        <f ca="1">SUMIF(COMPROMISOS_2025[[#All],[consecutivo]],Contrato[[#This Row],[RCP]],COMPROMISOS_2025[[#All],[valor_total]])</f>
        <v>0</v>
      </c>
      <c r="W336" s="169">
        <v>45731</v>
      </c>
      <c r="X336" s="243">
        <v>45742</v>
      </c>
      <c r="Y336" s="96">
        <v>45742</v>
      </c>
      <c r="Z336" s="161">
        <v>46022</v>
      </c>
      <c r="AA336" s="198" t="s">
        <v>1495</v>
      </c>
      <c r="AB336" s="119" t="s">
        <v>1004</v>
      </c>
      <c r="AC336" s="112"/>
      <c r="AD336" s="472">
        <v>202000006525</v>
      </c>
      <c r="AE336" s="38" t="s">
        <v>904</v>
      </c>
      <c r="AF336" s="120" t="str">
        <f>TEXT(LEFT(Contrato[[#This Row],[CONTRATO]],3),"0")</f>
        <v>329</v>
      </c>
      <c r="AG336" s="120" t="str">
        <f>IF(LEN(Contrato[[#This Row],[Contrato2]])=3,Contrato[[#This Row],[Contrato2]],TEXT(Contrato[[#This Row],[Contrato2]],"000"))</f>
        <v>329</v>
      </c>
      <c r="AH336" s="90">
        <f ca="1">IFERROR(_xlfn.DAYS(Contrato[[#This Row],[Fecha Proyectada liquidación]],TODAY())/30,"")</f>
        <v>11.966666666666667</v>
      </c>
      <c r="AI336" s="121">
        <f>+Contrato[[#This Row],[FECHA TERMINACIÓN ]]+120</f>
        <v>46142</v>
      </c>
      <c r="AK336" s="91" t="str">
        <f ca="1">IF(Contrato[[#This Row],[FECHA TERMINACIÓN ]]&lt;TODAY(), "Terminado",IF(ISNUMBER(Contrato[[#This Row],[Fecha Real de liquiidación ]]),"Liquidado",IF(Contrato[[#This Row],[FECHA TERMINACIÓN ]]&gt;=TODAY(),"En ejecución","")))</f>
        <v>En ejecución</v>
      </c>
      <c r="AL336" s="107">
        <f ca="1">SUMIF(COMPROMISOS_2025[[#All],[consecutivo]],Contrato[[#This Row],[RCP]],COMPROMISOS_2025[[#All],[Total pagado]])</f>
        <v>0</v>
      </c>
      <c r="AM336" s="122">
        <f ca="1">IFERROR(Contrato[[#This Row],[Pagos]]/Contrato[[#This Row],[VALOR CONTRATO]],0)</f>
        <v>0</v>
      </c>
      <c r="AN336" s="160">
        <f ca="1">+Contrato[[#This Row],[VALOR CONTRATO]]-Contrato[[#This Row],[Pagos]]</f>
        <v>887655602</v>
      </c>
      <c r="AO336" s="111" t="e" cm="1">
        <f t="array" aca="1" ref="AO336" ca="1">_xlfn.XLOOKUP(Contrato[[#This Row],[DOCUMENTO ]],PERSONAL_ACTIVO_2025[[#All],[DOCUMENTO]],PERSONAL_ACTIVO_2025[[#All],[email]],0,0)</f>
        <v>#NAME?</v>
      </c>
      <c r="AP336" s="111" t="e" cm="1">
        <f t="array" aca="1" ref="AP336" ca="1">_xlfn.XLOOKUP(Contrato[[#This Row],[DOCUMENTO]],PERSONAL_ACTIVO_2025[[#All],[DOCUMENTO]],PERSONAL_ACTIVO_2025[[#All],[email]],0,0)</f>
        <v>#NAME?</v>
      </c>
      <c r="AQ336" s="111" cm="1">
        <f t="array" aca="1" ref="AQ336" ca="1">IF(ISBLANK(Contrato[[#This Row],[DEPENDENCIA ]]),0,IFERROR(_xlfn.XLOOKUP(Contrato[[#This Row],[DEPENDENCIA ]],#REF!,#REF!,0,0),0))</f>
        <v>0</v>
      </c>
      <c r="AR336" s="555">
        <f ca="1">+_xlfn.DAYS(Contrato[[#This Row],[FECHA TERMINACIÓN ]],TODAY())</f>
        <v>239</v>
      </c>
    </row>
    <row r="337" spans="1:44" ht="39.75" customHeight="1" x14ac:dyDescent="0.25">
      <c r="A337" s="38">
        <v>251</v>
      </c>
      <c r="B337" s="226">
        <v>330</v>
      </c>
      <c r="C337" s="88" t="s">
        <v>447</v>
      </c>
      <c r="D337" s="192" t="s">
        <v>1066</v>
      </c>
      <c r="E337" s="193" t="s">
        <v>112</v>
      </c>
      <c r="F337" s="194" t="s">
        <v>113</v>
      </c>
      <c r="G337" s="195" t="s">
        <v>1496</v>
      </c>
      <c r="H337" s="167">
        <v>71717922</v>
      </c>
      <c r="I337" s="292">
        <v>4926689</v>
      </c>
      <c r="J337" s="292">
        <v>39413544</v>
      </c>
      <c r="K337" s="158" t="s">
        <v>41</v>
      </c>
      <c r="L337" s="196" t="s">
        <v>1096</v>
      </c>
      <c r="M337" s="114" t="s">
        <v>1497</v>
      </c>
      <c r="N337" s="113" t="e" cm="1">
        <f t="array" aca="1" ref="N337" ca="1">_xlfn.XLOOKUP(Contrato[[#This Row],[SUPERVISOR TITULAR]],PERSONAL_ACTIVO_2025[[#All],[NOMBRES Y APELLIDOS]],PERSONAL_ACTIVO_2025[[#All],[DOCUMENTO]],"",0)</f>
        <v>#NAME?</v>
      </c>
      <c r="O337" s="114" t="s">
        <v>1414</v>
      </c>
      <c r="P337" s="115" t="e" cm="1">
        <f t="array" aca="1" ref="P337" ca="1">_xlfn.XLOOKUP(Contrato[[#This Row],[SUPERVISOR SUPLENTE ]],PERSONAL_ACTIVO_2025[[#All],[NOMBRES Y APELLIDOS]],PERSONAL_ACTIVO_2025[[#All],[DOCUMENTO]],"",0)</f>
        <v>#NAME?</v>
      </c>
      <c r="Q337" s="116">
        <v>376</v>
      </c>
      <c r="R337" s="137" t="e" cm="1">
        <f t="array" aca="1" ref="R337" ca="1">_xlfn.XLOOKUP(Contrato[[#This Row],[CDP]],DISPONIBILIDADES_2025[[#All],[consecutivo]],DISPONIBILIDADES_2025[[#All],[fecha_aprobacion]],"",0)</f>
        <v>#NAME?</v>
      </c>
      <c r="S337" s="92">
        <f>SUMIF(DISPONIBILIDADES_2025[[#All],[consecutivo]],Contrato[[#This Row],[CDP]],DISPONIBILIDADES_2025[[#All],[valor_total_rubro]])</f>
        <v>39413544</v>
      </c>
      <c r="T337" s="118" t="e" cm="1">
        <f t="array" aca="1" ref="T337" ca="1">_xlfn.XLOOKUP(Contrato[[#This Row],[CONTRATO]]&amp;Contrato[[#This Row],[CDP]],Corr_Contr_CDP[[#All],[CONTRATO-CDP]],Corr_Contr_CDP[[#All],[CRP]],_xlfn.XLOOKUP(Contrato[[#This Row],[CDP]],COMPROMISOS_2025[[#All],[disponibilidad]],COMPROMISOS_2025[[#All],[consecutivo]],"",0),0)</f>
        <v>#NAME?</v>
      </c>
      <c r="U337" s="117" t="e" cm="1">
        <f t="array" aca="1" ref="U337" ca="1">+_xlfn.XLOOKUP(Contrato[[#This Row],[RCP]],COMPROMISOS_2025[[#All],[consecutivo]],COMPROMISOS_2025[[#All],[fecha_aprobacion]],"",0)</f>
        <v>#NAME?</v>
      </c>
      <c r="V337" s="93">
        <f ca="1">SUMIF(COMPROMISOS_2025[[#All],[consecutivo]],Contrato[[#This Row],[RCP]],COMPROMISOS_2025[[#All],[valor_total]])</f>
        <v>0</v>
      </c>
      <c r="W337" s="169">
        <v>45730</v>
      </c>
      <c r="X337" s="243" t="s">
        <v>901</v>
      </c>
      <c r="Y337" s="96">
        <v>45751</v>
      </c>
      <c r="Z337" s="161">
        <v>45994</v>
      </c>
      <c r="AA337" s="311" t="s">
        <v>1498</v>
      </c>
      <c r="AB337" s="119" t="s">
        <v>1328</v>
      </c>
      <c r="AC337" s="112"/>
      <c r="AD337" s="543"/>
      <c r="AE337" s="38" t="s">
        <v>904</v>
      </c>
      <c r="AF337" s="120" t="str">
        <f>TEXT(LEFT(Contrato[[#This Row],[CONTRATO]],3),"0")</f>
        <v>330</v>
      </c>
      <c r="AG337" s="120" t="str">
        <f>IF(LEN(Contrato[[#This Row],[Contrato2]])=3,Contrato[[#This Row],[Contrato2]],TEXT(Contrato[[#This Row],[Contrato2]],"000"))</f>
        <v>330</v>
      </c>
      <c r="AH337" s="90">
        <f ca="1">IFERROR(_xlfn.DAYS(Contrato[[#This Row],[Fecha Proyectada liquidación]],TODAY())/30,"")</f>
        <v>11.033333333333333</v>
      </c>
      <c r="AI337" s="121">
        <f>+Contrato[[#This Row],[FECHA TERMINACIÓN ]]+120</f>
        <v>46114</v>
      </c>
      <c r="AK337" s="91" t="str">
        <f ca="1">IF(Contrato[[#This Row],[FECHA TERMINACIÓN ]]&lt;TODAY(), "Terminado",IF(ISNUMBER(Contrato[[#This Row],[Fecha Real de liquiidación ]]),"Liquidado",IF(Contrato[[#This Row],[FECHA TERMINACIÓN ]]&gt;=TODAY(),"En ejecución","")))</f>
        <v>En ejecución</v>
      </c>
      <c r="AL337" s="107">
        <f ca="1">SUMIF(COMPROMISOS_2025[[#All],[consecutivo]],Contrato[[#This Row],[RCP]],COMPROMISOS_2025[[#All],[Total pagado]])</f>
        <v>0</v>
      </c>
      <c r="AM337" s="122">
        <f ca="1">IFERROR(Contrato[[#This Row],[Pagos]]/Contrato[[#This Row],[VALOR CONTRATO]],0)</f>
        <v>0</v>
      </c>
      <c r="AN337" s="160">
        <f ca="1">+Contrato[[#This Row],[VALOR CONTRATO]]-Contrato[[#This Row],[Pagos]]</f>
        <v>39413544</v>
      </c>
      <c r="AO337" s="111" t="e" cm="1">
        <f t="array" aca="1" ref="AO337" ca="1">_xlfn.XLOOKUP(Contrato[[#This Row],[DOCUMENTO ]],PERSONAL_ACTIVO_2025[[#All],[DOCUMENTO]],PERSONAL_ACTIVO_2025[[#All],[email]],0,0)</f>
        <v>#NAME?</v>
      </c>
      <c r="AP337" s="111" t="e" cm="1">
        <f t="array" aca="1" ref="AP337" ca="1">_xlfn.XLOOKUP(Contrato[[#This Row],[DOCUMENTO]],PERSONAL_ACTIVO_2025[[#All],[DOCUMENTO]],PERSONAL_ACTIVO_2025[[#All],[email]],0,0)</f>
        <v>#NAME?</v>
      </c>
      <c r="AQ337" s="111" cm="1">
        <f t="array" aca="1" ref="AQ337" ca="1">IF(ISBLANK(Contrato[[#This Row],[DEPENDENCIA ]]),0,IFERROR(_xlfn.XLOOKUP(Contrato[[#This Row],[DEPENDENCIA ]],#REF!,#REF!,0,0),0))</f>
        <v>0</v>
      </c>
      <c r="AR337" s="555">
        <f ca="1">+_xlfn.DAYS(Contrato[[#This Row],[FECHA TERMINACIÓN ]],TODAY())</f>
        <v>211</v>
      </c>
    </row>
    <row r="338" spans="1:44" ht="39.75" customHeight="1" x14ac:dyDescent="0.25">
      <c r="A338" s="38">
        <v>551</v>
      </c>
      <c r="B338" s="226">
        <v>331</v>
      </c>
      <c r="C338" s="88" t="s">
        <v>752</v>
      </c>
      <c r="D338" s="192" t="s">
        <v>911</v>
      </c>
      <c r="E338" s="193" t="s">
        <v>112</v>
      </c>
      <c r="F338" s="194" t="s">
        <v>113</v>
      </c>
      <c r="G338" s="195" t="s">
        <v>1499</v>
      </c>
      <c r="H338" s="167">
        <v>15434396</v>
      </c>
      <c r="I338" s="292">
        <v>3419000</v>
      </c>
      <c r="J338" s="292">
        <v>32366628</v>
      </c>
      <c r="K338" s="158" t="s">
        <v>41</v>
      </c>
      <c r="L338" s="196" t="s">
        <v>1096</v>
      </c>
      <c r="M338" s="114" t="s">
        <v>1323</v>
      </c>
      <c r="N338" s="113" t="e" cm="1">
        <f t="array" aca="1" ref="N338" ca="1">_xlfn.XLOOKUP(Contrato[[#This Row],[SUPERVISOR TITULAR]],PERSONAL_ACTIVO_2025[[#All],[NOMBRES Y APELLIDOS]],PERSONAL_ACTIVO_2025[[#All],[DOCUMENTO]],"",0)</f>
        <v>#NAME?</v>
      </c>
      <c r="O338" s="114" t="s">
        <v>1117</v>
      </c>
      <c r="P338" s="115" t="e" cm="1">
        <f t="array" aca="1" ref="P338" ca="1">_xlfn.XLOOKUP(Contrato[[#This Row],[SUPERVISOR SUPLENTE ]],PERSONAL_ACTIVO_2025[[#All],[NOMBRES Y APELLIDOS]],PERSONAL_ACTIVO_2025[[#All],[DOCUMENTO]],"",0)</f>
        <v>#NAME?</v>
      </c>
      <c r="Q338" s="116">
        <v>325</v>
      </c>
      <c r="R338" s="137" t="e" cm="1">
        <f t="array" aca="1" ref="R338" ca="1">_xlfn.XLOOKUP(Contrato[[#This Row],[CDP]],DISPONIBILIDADES_2025[[#All],[consecutivo]],DISPONIBILIDADES_2025[[#All],[fecha_aprobacion]],"",0)</f>
        <v>#NAME?</v>
      </c>
      <c r="S338" s="92">
        <f>SUMIF(DISPONIBILIDADES_2025[[#All],[consecutivo]],Contrato[[#This Row],[CDP]],DISPONIBILIDADES_2025[[#All],[valor_total_rubro]])</f>
        <v>34190000</v>
      </c>
      <c r="T338" s="118" t="e" cm="1">
        <f t="array" aca="1" ref="T338" ca="1">_xlfn.XLOOKUP(Contrato[[#This Row],[CONTRATO]]&amp;Contrato[[#This Row],[CDP]],Corr_Contr_CDP[[#All],[CONTRATO-CDP]],Corr_Contr_CDP[[#All],[CRP]],_xlfn.XLOOKUP(Contrato[[#This Row],[CDP]],COMPROMISOS_2025[[#All],[disponibilidad]],COMPROMISOS_2025[[#All],[consecutivo]],"",0),0)</f>
        <v>#NAME?</v>
      </c>
      <c r="U338" s="117" t="e" cm="1">
        <f t="array" aca="1" ref="U338" ca="1">+_xlfn.XLOOKUP(Contrato[[#This Row],[RCP]],COMPROMISOS_2025[[#All],[consecutivo]],COMPROMISOS_2025[[#All],[fecha_aprobacion]],"",0)</f>
        <v>#NAME?</v>
      </c>
      <c r="V338" s="93">
        <f ca="1">SUMIF(COMPROMISOS_2025[[#All],[consecutivo]],Contrato[[#This Row],[RCP]],COMPROMISOS_2025[[#All],[valor_total]])</f>
        <v>0</v>
      </c>
      <c r="W338" s="169">
        <v>45730</v>
      </c>
      <c r="X338" s="243" t="s">
        <v>901</v>
      </c>
      <c r="Y338" s="96">
        <v>45733</v>
      </c>
      <c r="Z338" s="161">
        <v>46022</v>
      </c>
      <c r="AA338" s="311" t="s">
        <v>1500</v>
      </c>
      <c r="AB338" s="119" t="s">
        <v>1480</v>
      </c>
      <c r="AC338" s="112"/>
      <c r="AD338" s="472">
        <v>202000006526</v>
      </c>
      <c r="AE338" s="38" t="s">
        <v>904</v>
      </c>
      <c r="AF338" s="120" t="str">
        <f>TEXT(LEFT(Contrato[[#This Row],[CONTRATO]],3),"0")</f>
        <v>331</v>
      </c>
      <c r="AG338" s="120" t="str">
        <f>IF(LEN(Contrato[[#This Row],[Contrato2]])=3,Contrato[[#This Row],[Contrato2]],TEXT(Contrato[[#This Row],[Contrato2]],"000"))</f>
        <v>331</v>
      </c>
      <c r="AH338" s="90">
        <f ca="1">IFERROR(_xlfn.DAYS(Contrato[[#This Row],[Fecha Proyectada liquidación]],TODAY())/30,"")</f>
        <v>11.966666666666667</v>
      </c>
      <c r="AI338" s="121">
        <f>+Contrato[[#This Row],[FECHA TERMINACIÓN ]]+120</f>
        <v>46142</v>
      </c>
      <c r="AK338" s="91" t="str">
        <f ca="1">IF(Contrato[[#This Row],[FECHA TERMINACIÓN ]]&lt;TODAY(), "Terminado",IF(ISNUMBER(Contrato[[#This Row],[Fecha Real de liquiidación ]]),"Liquidado",IF(Contrato[[#This Row],[FECHA TERMINACIÓN ]]&gt;=TODAY(),"En ejecución","")))</f>
        <v>En ejecución</v>
      </c>
      <c r="AL338" s="107">
        <f ca="1">SUMIF(COMPROMISOS_2025[[#All],[consecutivo]],Contrato[[#This Row],[RCP]],COMPROMISOS_2025[[#All],[Total pagado]])</f>
        <v>0</v>
      </c>
      <c r="AM338" s="122">
        <f ca="1">IFERROR(Contrato[[#This Row],[Pagos]]/Contrato[[#This Row],[VALOR CONTRATO]],0)</f>
        <v>0</v>
      </c>
      <c r="AN338" s="160">
        <f ca="1">+Contrato[[#This Row],[VALOR CONTRATO]]-Contrato[[#This Row],[Pagos]]</f>
        <v>32366628</v>
      </c>
      <c r="AO338" s="111" t="e" cm="1">
        <f t="array" aca="1" ref="AO338" ca="1">_xlfn.XLOOKUP(Contrato[[#This Row],[DOCUMENTO ]],PERSONAL_ACTIVO_2025[[#All],[DOCUMENTO]],PERSONAL_ACTIVO_2025[[#All],[email]],0,0)</f>
        <v>#NAME?</v>
      </c>
      <c r="AP338" s="111" t="e" cm="1">
        <f t="array" aca="1" ref="AP338" ca="1">_xlfn.XLOOKUP(Contrato[[#This Row],[DOCUMENTO]],PERSONAL_ACTIVO_2025[[#All],[DOCUMENTO]],PERSONAL_ACTIVO_2025[[#All],[email]],0,0)</f>
        <v>#NAME?</v>
      </c>
      <c r="AQ338" s="111" cm="1">
        <f t="array" aca="1" ref="AQ338" ca="1">IF(ISBLANK(Contrato[[#This Row],[DEPENDENCIA ]]),0,IFERROR(_xlfn.XLOOKUP(Contrato[[#This Row],[DEPENDENCIA ]],#REF!,#REF!,0,0),0))</f>
        <v>0</v>
      </c>
      <c r="AR338" s="555">
        <f ca="1">+_xlfn.DAYS(Contrato[[#This Row],[FECHA TERMINACIÓN ]],TODAY())</f>
        <v>239</v>
      </c>
    </row>
    <row r="339" spans="1:44" ht="39.75" customHeight="1" x14ac:dyDescent="0.25">
      <c r="A339" s="38">
        <v>570</v>
      </c>
      <c r="B339" s="226">
        <v>332</v>
      </c>
      <c r="C339" s="88" t="s">
        <v>783</v>
      </c>
      <c r="D339" s="192" t="s">
        <v>930</v>
      </c>
      <c r="E339" s="193" t="s">
        <v>112</v>
      </c>
      <c r="F339" s="194" t="s">
        <v>125</v>
      </c>
      <c r="G339" s="195" t="s">
        <v>1501</v>
      </c>
      <c r="H339" s="167">
        <v>800044785</v>
      </c>
      <c r="I339" s="292">
        <v>0</v>
      </c>
      <c r="J339" s="292">
        <v>500000000</v>
      </c>
      <c r="K339" s="158" t="s">
        <v>41</v>
      </c>
      <c r="L339" s="196" t="s">
        <v>1096</v>
      </c>
      <c r="M339" s="114" t="s">
        <v>1116</v>
      </c>
      <c r="N339" s="113" t="e" cm="1">
        <f t="array" aca="1" ref="N339" ca="1">_xlfn.XLOOKUP(Contrato[[#This Row],[SUPERVISOR TITULAR]],PERSONAL_ACTIVO_2025[[#All],[NOMBRES Y APELLIDOS]],PERSONAL_ACTIVO_2025[[#All],[DOCUMENTO]],"",0)</f>
        <v>#NAME?</v>
      </c>
      <c r="O339" s="114" t="s">
        <v>1072</v>
      </c>
      <c r="P339" s="115" t="e" cm="1">
        <f t="array" aca="1" ref="P339" ca="1">_xlfn.XLOOKUP(Contrato[[#This Row],[SUPERVISOR SUPLENTE ]],PERSONAL_ACTIVO_2025[[#All],[NOMBRES Y APELLIDOS]],PERSONAL_ACTIVO_2025[[#All],[DOCUMENTO]],"",0)</f>
        <v>#NAME?</v>
      </c>
      <c r="Q339" s="116">
        <v>391</v>
      </c>
      <c r="R339" s="137" t="e" cm="1">
        <f t="array" aca="1" ref="R339" ca="1">_xlfn.XLOOKUP(Contrato[[#This Row],[CDP]],DISPONIBILIDADES_2025[[#All],[consecutivo]],DISPONIBILIDADES_2025[[#All],[fecha_aprobacion]],"",0)</f>
        <v>#NAME?</v>
      </c>
      <c r="S339" s="92">
        <f>SUMIF(DISPONIBILIDADES_2025[[#All],[consecutivo]],Contrato[[#This Row],[CDP]],DISPONIBILIDADES_2025[[#All],[valor_total_rubro]])</f>
        <v>500000000</v>
      </c>
      <c r="T339" s="118" t="e" cm="1">
        <f t="array" aca="1" ref="T339" ca="1">_xlfn.XLOOKUP(Contrato[[#This Row],[CONTRATO]]&amp;Contrato[[#This Row],[CDP]],Corr_Contr_CDP[[#All],[CONTRATO-CDP]],Corr_Contr_CDP[[#All],[CRP]],_xlfn.XLOOKUP(Contrato[[#This Row],[CDP]],COMPROMISOS_2025[[#All],[disponibilidad]],COMPROMISOS_2025[[#All],[consecutivo]],"",0),0)</f>
        <v>#NAME?</v>
      </c>
      <c r="U339" s="117" t="e" cm="1">
        <f t="array" aca="1" ref="U339" ca="1">+_xlfn.XLOOKUP(Contrato[[#This Row],[RCP]],COMPROMISOS_2025[[#All],[consecutivo]],COMPROMISOS_2025[[#All],[fecha_aprobacion]],"",0)</f>
        <v>#NAME?</v>
      </c>
      <c r="V339" s="93">
        <f ca="1">SUMIF(COMPROMISOS_2025[[#All],[consecutivo]],Contrato[[#This Row],[RCP]],COMPROMISOS_2025[[#All],[valor_total]])</f>
        <v>0</v>
      </c>
      <c r="W339" s="169">
        <v>45733</v>
      </c>
      <c r="X339" s="243">
        <v>45736</v>
      </c>
      <c r="Y339" s="96">
        <v>45737</v>
      </c>
      <c r="Z339" s="161">
        <v>45764</v>
      </c>
      <c r="AA339" s="311" t="s">
        <v>1502</v>
      </c>
      <c r="AB339" s="119" t="s">
        <v>1503</v>
      </c>
      <c r="AC339" s="112"/>
      <c r="AD339" s="472">
        <v>202000006527</v>
      </c>
      <c r="AE339" s="38" t="s">
        <v>904</v>
      </c>
      <c r="AF339" s="120" t="str">
        <f>TEXT(LEFT(Contrato[[#This Row],[CONTRATO]],3),"0")</f>
        <v>332</v>
      </c>
      <c r="AG339" s="120" t="str">
        <f>IF(LEN(Contrato[[#This Row],[Contrato2]])=3,Contrato[[#This Row],[Contrato2]],TEXT(Contrato[[#This Row],[Contrato2]],"000"))</f>
        <v>332</v>
      </c>
      <c r="AH339" s="90">
        <f ca="1">IFERROR(_xlfn.DAYS(Contrato[[#This Row],[Fecha Proyectada liquidación]],TODAY())/30,"")</f>
        <v>3.3666666666666667</v>
      </c>
      <c r="AI339" s="121">
        <f>+Contrato[[#This Row],[FECHA TERMINACIÓN ]]+120</f>
        <v>45884</v>
      </c>
      <c r="AK339" s="91" t="str">
        <f ca="1">IF(Contrato[[#This Row],[FECHA TERMINACIÓN ]]&lt;TODAY(), "Terminado",IF(ISNUMBER(Contrato[[#This Row],[Fecha Real de liquiidación ]]),"Liquidado",IF(Contrato[[#This Row],[FECHA TERMINACIÓN ]]&gt;=TODAY(),"En ejecución","")))</f>
        <v>Terminado</v>
      </c>
      <c r="AL339" s="107">
        <f ca="1">SUMIF(COMPROMISOS_2025[[#All],[consecutivo]],Contrato[[#This Row],[RCP]],COMPROMISOS_2025[[#All],[Total pagado]])</f>
        <v>0</v>
      </c>
      <c r="AM339" s="122">
        <f ca="1">IFERROR(Contrato[[#This Row],[Pagos]]/Contrato[[#This Row],[VALOR CONTRATO]],0)</f>
        <v>0</v>
      </c>
      <c r="AN339" s="160">
        <f ca="1">+Contrato[[#This Row],[VALOR CONTRATO]]-Contrato[[#This Row],[Pagos]]</f>
        <v>500000000</v>
      </c>
      <c r="AO339" s="111" t="e" cm="1">
        <f t="array" aca="1" ref="AO339" ca="1">_xlfn.XLOOKUP(Contrato[[#This Row],[DOCUMENTO ]],PERSONAL_ACTIVO_2025[[#All],[DOCUMENTO]],PERSONAL_ACTIVO_2025[[#All],[email]],0,0)</f>
        <v>#NAME?</v>
      </c>
      <c r="AP339" s="111" t="e" cm="1">
        <f t="array" aca="1" ref="AP339" ca="1">_xlfn.XLOOKUP(Contrato[[#This Row],[DOCUMENTO]],PERSONAL_ACTIVO_2025[[#All],[DOCUMENTO]],PERSONAL_ACTIVO_2025[[#All],[email]],0,0)</f>
        <v>#NAME?</v>
      </c>
      <c r="AQ339" s="111" cm="1">
        <f t="array" aca="1" ref="AQ339" ca="1">IF(ISBLANK(Contrato[[#This Row],[DEPENDENCIA ]]),0,IFERROR(_xlfn.XLOOKUP(Contrato[[#This Row],[DEPENDENCIA ]],#REF!,#REF!,0,0),0))</f>
        <v>0</v>
      </c>
      <c r="AR339" s="555">
        <f ca="1">+_xlfn.DAYS(Contrato[[#This Row],[FECHA TERMINACIÓN ]],TODAY())</f>
        <v>-19</v>
      </c>
    </row>
    <row r="340" spans="1:44" ht="39.75" customHeight="1" x14ac:dyDescent="0.25">
      <c r="A340" s="38">
        <v>484</v>
      </c>
      <c r="B340" s="226">
        <v>333</v>
      </c>
      <c r="C340" s="88" t="s">
        <v>693</v>
      </c>
      <c r="D340" s="192" t="s">
        <v>890</v>
      </c>
      <c r="E340" s="193" t="s">
        <v>112</v>
      </c>
      <c r="F340" s="194" t="s">
        <v>113</v>
      </c>
      <c r="G340" s="195" t="s">
        <v>1504</v>
      </c>
      <c r="H340" s="167">
        <v>71582555</v>
      </c>
      <c r="I340" s="292">
        <v>7521800</v>
      </c>
      <c r="J340" s="292">
        <v>34600280</v>
      </c>
      <c r="K340" s="158" t="s">
        <v>41</v>
      </c>
      <c r="L340" s="196" t="s">
        <v>1096</v>
      </c>
      <c r="M340" s="114" t="s">
        <v>894</v>
      </c>
      <c r="N340" s="113" t="e" cm="1">
        <f t="array" aca="1" ref="N340" ca="1">_xlfn.XLOOKUP(Contrato[[#This Row],[SUPERVISOR TITULAR]],PERSONAL_ACTIVO_2025[[#All],[NOMBRES Y APELLIDOS]],PERSONAL_ACTIVO_2025[[#All],[DOCUMENTO]],"",0)</f>
        <v>#NAME?</v>
      </c>
      <c r="O340" s="114" t="s">
        <v>893</v>
      </c>
      <c r="P340" s="115" t="e" cm="1">
        <f t="array" aca="1" ref="P340" ca="1">_xlfn.XLOOKUP(Contrato[[#This Row],[SUPERVISOR SUPLENTE ]],PERSONAL_ACTIVO_2025[[#All],[NOMBRES Y APELLIDOS]],PERSONAL_ACTIVO_2025[[#All],[DOCUMENTO]],"",0)</f>
        <v>#NAME?</v>
      </c>
      <c r="Q340" s="116">
        <v>384</v>
      </c>
      <c r="R340" s="137" t="e" cm="1">
        <f t="array" aca="1" ref="R340" ca="1">_xlfn.XLOOKUP(Contrato[[#This Row],[CDP]],DISPONIBILIDADES_2025[[#All],[consecutivo]],DISPONIBILIDADES_2025[[#All],[fecha_aprobacion]],"",0)</f>
        <v>#NAME?</v>
      </c>
      <c r="S340" s="92">
        <f>SUMIF(DISPONIBILIDADES_2025[[#All],[consecutivo]],Contrato[[#This Row],[CDP]],DISPONIBILIDADES_2025[[#All],[valor_total_rubro]])</f>
        <v>34600280</v>
      </c>
      <c r="T340" s="118" t="e" cm="1">
        <f t="array" aca="1" ref="T340" ca="1">_xlfn.XLOOKUP(Contrato[[#This Row],[CONTRATO]]&amp;Contrato[[#This Row],[CDP]],Corr_Contr_CDP[[#All],[CONTRATO-CDP]],Corr_Contr_CDP[[#All],[CRP]],_xlfn.XLOOKUP(Contrato[[#This Row],[CDP]],COMPROMISOS_2025[[#All],[disponibilidad]],COMPROMISOS_2025[[#All],[consecutivo]],"",0),0)</f>
        <v>#NAME?</v>
      </c>
      <c r="U340" s="117" t="e" cm="1">
        <f t="array" aca="1" ref="U340" ca="1">+_xlfn.XLOOKUP(Contrato[[#This Row],[RCP]],COMPROMISOS_2025[[#All],[consecutivo]],COMPROMISOS_2025[[#All],[fecha_aprobacion]],"",0)</f>
        <v>#NAME?</v>
      </c>
      <c r="V340" s="93">
        <f ca="1">SUMIF(COMPROMISOS_2025[[#All],[consecutivo]],Contrato[[#This Row],[RCP]],COMPROMISOS_2025[[#All],[valor_total]])</f>
        <v>0</v>
      </c>
      <c r="W340" s="169">
        <v>45730</v>
      </c>
      <c r="X340" s="243" t="s">
        <v>901</v>
      </c>
      <c r="Y340" s="96">
        <v>45733</v>
      </c>
      <c r="Z340" s="161">
        <v>45873</v>
      </c>
      <c r="AA340" s="311" t="s">
        <v>1505</v>
      </c>
      <c r="AB340" s="119" t="s">
        <v>1321</v>
      </c>
      <c r="AC340" s="112"/>
      <c r="AD340" s="472">
        <v>202000006528</v>
      </c>
      <c r="AE340" s="38" t="s">
        <v>904</v>
      </c>
      <c r="AF340" s="120" t="str">
        <f>TEXT(LEFT(Contrato[[#This Row],[CONTRATO]],3),"0")</f>
        <v>333</v>
      </c>
      <c r="AG340" s="120" t="str">
        <f>IF(LEN(Contrato[[#This Row],[Contrato2]])=3,Contrato[[#This Row],[Contrato2]],TEXT(Contrato[[#This Row],[Contrato2]],"000"))</f>
        <v>333</v>
      </c>
      <c r="AH340" s="90">
        <f ca="1">IFERROR(_xlfn.DAYS(Contrato[[#This Row],[Fecha Proyectada liquidación]],TODAY())/30,"")</f>
        <v>7</v>
      </c>
      <c r="AI340" s="121">
        <f>+Contrato[[#This Row],[FECHA TERMINACIÓN ]]+120</f>
        <v>45993</v>
      </c>
      <c r="AK340" s="91" t="str">
        <f ca="1">IF(Contrato[[#This Row],[FECHA TERMINACIÓN ]]&lt;TODAY(), "Terminado",IF(ISNUMBER(Contrato[[#This Row],[Fecha Real de liquiidación ]]),"Liquidado",IF(Contrato[[#This Row],[FECHA TERMINACIÓN ]]&gt;=TODAY(),"En ejecución","")))</f>
        <v>En ejecución</v>
      </c>
      <c r="AL340" s="107">
        <f ca="1">SUMIF(COMPROMISOS_2025[[#All],[consecutivo]],Contrato[[#This Row],[RCP]],COMPROMISOS_2025[[#All],[Total pagado]])</f>
        <v>0</v>
      </c>
      <c r="AM340" s="122">
        <f ca="1">IFERROR(Contrato[[#This Row],[Pagos]]/Contrato[[#This Row],[VALOR CONTRATO]],0)</f>
        <v>0</v>
      </c>
      <c r="AN340" s="160">
        <f ca="1">+Contrato[[#This Row],[VALOR CONTRATO]]-Contrato[[#This Row],[Pagos]]</f>
        <v>34600280</v>
      </c>
      <c r="AO340" s="111" t="e" cm="1">
        <f t="array" aca="1" ref="AO340" ca="1">_xlfn.XLOOKUP(Contrato[[#This Row],[DOCUMENTO ]],PERSONAL_ACTIVO_2025[[#All],[DOCUMENTO]],PERSONAL_ACTIVO_2025[[#All],[email]],0,0)</f>
        <v>#NAME?</v>
      </c>
      <c r="AP340" s="111" t="e" cm="1">
        <f t="array" aca="1" ref="AP340" ca="1">_xlfn.XLOOKUP(Contrato[[#This Row],[DOCUMENTO]],PERSONAL_ACTIVO_2025[[#All],[DOCUMENTO]],PERSONAL_ACTIVO_2025[[#All],[email]],0,0)</f>
        <v>#NAME?</v>
      </c>
      <c r="AQ340" s="111" cm="1">
        <f t="array" aca="1" ref="AQ340" ca="1">IF(ISBLANK(Contrato[[#This Row],[DEPENDENCIA ]]),0,IFERROR(_xlfn.XLOOKUP(Contrato[[#This Row],[DEPENDENCIA ]],#REF!,#REF!,0,0),0))</f>
        <v>0</v>
      </c>
      <c r="AR340" s="555">
        <f ca="1">+_xlfn.DAYS(Contrato[[#This Row],[FECHA TERMINACIÓN ]],TODAY())</f>
        <v>90</v>
      </c>
    </row>
    <row r="341" spans="1:44" ht="39.75" customHeight="1" x14ac:dyDescent="0.25">
      <c r="A341" s="38">
        <v>54</v>
      </c>
      <c r="B341" s="226">
        <v>334</v>
      </c>
      <c r="C341" s="88" t="s">
        <v>162</v>
      </c>
      <c r="D341" s="192" t="s">
        <v>883</v>
      </c>
      <c r="E341" s="193" t="s">
        <v>112</v>
      </c>
      <c r="F341" s="194" t="s">
        <v>113</v>
      </c>
      <c r="G341" s="195" t="s">
        <v>1506</v>
      </c>
      <c r="H341" s="167">
        <v>1035971812</v>
      </c>
      <c r="I341" s="292">
        <v>4786600</v>
      </c>
      <c r="J341" s="292">
        <v>23933000</v>
      </c>
      <c r="K341" s="158" t="s">
        <v>41</v>
      </c>
      <c r="L341" s="196" t="s">
        <v>1507</v>
      </c>
      <c r="M341" s="114" t="s">
        <v>965</v>
      </c>
      <c r="N341" s="113" t="e" cm="1">
        <f t="array" aca="1" ref="N341" ca="1">_xlfn.XLOOKUP(Contrato[[#This Row],[SUPERVISOR TITULAR]],PERSONAL_ACTIVO_2025[[#All],[NOMBRES Y APELLIDOS]],PERSONAL_ACTIVO_2025[[#All],[DOCUMENTO]],"",0)</f>
        <v>#NAME?</v>
      </c>
      <c r="O341" s="114" t="s">
        <v>1034</v>
      </c>
      <c r="P341" s="115" t="e" cm="1">
        <f t="array" aca="1" ref="P341" ca="1">_xlfn.XLOOKUP(Contrato[[#This Row],[SUPERVISOR SUPLENTE ]],PERSONAL_ACTIVO_2025[[#All],[NOMBRES Y APELLIDOS]],PERSONAL_ACTIVO_2025[[#All],[DOCUMENTO]],"",0)</f>
        <v>#NAME?</v>
      </c>
      <c r="Q341" s="116">
        <v>385</v>
      </c>
      <c r="R341" s="137" t="e" cm="1">
        <f t="array" aca="1" ref="R341" ca="1">_xlfn.XLOOKUP(Contrato[[#This Row],[CDP]],DISPONIBILIDADES_2025[[#All],[consecutivo]],DISPONIBILIDADES_2025[[#All],[fecha_aprobacion]],"",0)</f>
        <v>#NAME?</v>
      </c>
      <c r="S341" s="92">
        <f>SUMIF(DISPONIBILIDADES_2025[[#All],[consecutivo]],Contrato[[#This Row],[CDP]],DISPONIBILIDADES_2025[[#All],[valor_total_rubro]])</f>
        <v>23933000</v>
      </c>
      <c r="T341" s="118" t="e" cm="1">
        <f t="array" aca="1" ref="T341" ca="1">_xlfn.XLOOKUP(Contrato[[#This Row],[CONTRATO]]&amp;Contrato[[#This Row],[CDP]],Corr_Contr_CDP[[#All],[CONTRATO-CDP]],Corr_Contr_CDP[[#All],[CRP]],_xlfn.XLOOKUP(Contrato[[#This Row],[CDP]],COMPROMISOS_2025[[#All],[disponibilidad]],COMPROMISOS_2025[[#All],[consecutivo]],"",0),0)</f>
        <v>#NAME?</v>
      </c>
      <c r="U341" s="117" t="e" cm="1">
        <f t="array" aca="1" ref="U341" ca="1">+_xlfn.XLOOKUP(Contrato[[#This Row],[RCP]],COMPROMISOS_2025[[#All],[consecutivo]],COMPROMISOS_2025[[#All],[fecha_aprobacion]],"",0)</f>
        <v>#NAME?</v>
      </c>
      <c r="V341" s="93">
        <f ca="1">SUMIF(COMPROMISOS_2025[[#All],[consecutivo]],Contrato[[#This Row],[RCP]],COMPROMISOS_2025[[#All],[valor_total]])</f>
        <v>0</v>
      </c>
      <c r="W341" s="169">
        <v>45733</v>
      </c>
      <c r="X341" s="243" t="s">
        <v>901</v>
      </c>
      <c r="Y341" s="96">
        <v>45735</v>
      </c>
      <c r="Z341" s="161">
        <v>45887</v>
      </c>
      <c r="AA341" s="311" t="s">
        <v>1508</v>
      </c>
      <c r="AB341" s="119" t="s">
        <v>920</v>
      </c>
      <c r="AC341" s="112"/>
      <c r="AD341" s="472">
        <v>202000006529</v>
      </c>
      <c r="AE341" s="38" t="s">
        <v>904</v>
      </c>
      <c r="AF341" s="120" t="str">
        <f>TEXT(LEFT(Contrato[[#This Row],[CONTRATO]],3),"0")</f>
        <v>334</v>
      </c>
      <c r="AG341" s="120" t="str">
        <f>IF(LEN(Contrato[[#This Row],[Contrato2]])=3,Contrato[[#This Row],[Contrato2]],TEXT(Contrato[[#This Row],[Contrato2]],"000"))</f>
        <v>334</v>
      </c>
      <c r="AH341" s="90">
        <f ca="1">IFERROR(_xlfn.DAYS(Contrato[[#This Row],[Fecha Proyectada liquidación]],TODAY())/30,"")</f>
        <v>7.4666666666666668</v>
      </c>
      <c r="AI341" s="121">
        <f>+Contrato[[#This Row],[FECHA TERMINACIÓN ]]+120</f>
        <v>46007</v>
      </c>
      <c r="AK341" s="91" t="str">
        <f ca="1">IF(Contrato[[#This Row],[FECHA TERMINACIÓN ]]&lt;TODAY(), "Terminado",IF(ISNUMBER(Contrato[[#This Row],[Fecha Real de liquiidación ]]),"Liquidado",IF(Contrato[[#This Row],[FECHA TERMINACIÓN ]]&gt;=TODAY(),"En ejecución","")))</f>
        <v>En ejecución</v>
      </c>
      <c r="AL341" s="107">
        <f ca="1">SUMIF(COMPROMISOS_2025[[#All],[consecutivo]],Contrato[[#This Row],[RCP]],COMPROMISOS_2025[[#All],[Total pagado]])</f>
        <v>0</v>
      </c>
      <c r="AM341" s="122">
        <f ca="1">IFERROR(Contrato[[#This Row],[Pagos]]/Contrato[[#This Row],[VALOR CONTRATO]],0)</f>
        <v>0</v>
      </c>
      <c r="AN341" s="160">
        <f ca="1">+Contrato[[#This Row],[VALOR CONTRATO]]-Contrato[[#This Row],[Pagos]]</f>
        <v>23933000</v>
      </c>
      <c r="AO341" s="111" t="e" cm="1">
        <f t="array" aca="1" ref="AO341" ca="1">_xlfn.XLOOKUP(Contrato[[#This Row],[DOCUMENTO ]],PERSONAL_ACTIVO_2025[[#All],[DOCUMENTO]],PERSONAL_ACTIVO_2025[[#All],[email]],0,0)</f>
        <v>#NAME?</v>
      </c>
      <c r="AP341" s="111" t="e" cm="1">
        <f t="array" aca="1" ref="AP341" ca="1">_xlfn.XLOOKUP(Contrato[[#This Row],[DOCUMENTO]],PERSONAL_ACTIVO_2025[[#All],[DOCUMENTO]],PERSONAL_ACTIVO_2025[[#All],[email]],0,0)</f>
        <v>#NAME?</v>
      </c>
      <c r="AQ341" s="111" cm="1">
        <f t="array" aca="1" ref="AQ341" ca="1">IF(ISBLANK(Contrato[[#This Row],[DEPENDENCIA ]]),0,IFERROR(_xlfn.XLOOKUP(Contrato[[#This Row],[DEPENDENCIA ]],#REF!,#REF!,0,0),0))</f>
        <v>0</v>
      </c>
      <c r="AR341" s="555">
        <f ca="1">+_xlfn.DAYS(Contrato[[#This Row],[FECHA TERMINACIÓN ]],TODAY())</f>
        <v>104</v>
      </c>
    </row>
    <row r="342" spans="1:44" ht="39.75" customHeight="1" x14ac:dyDescent="0.25">
      <c r="A342" s="38">
        <v>487</v>
      </c>
      <c r="B342" s="226">
        <v>335</v>
      </c>
      <c r="C342" s="88" t="s">
        <v>696</v>
      </c>
      <c r="D342" s="192" t="s">
        <v>890</v>
      </c>
      <c r="E342" s="193" t="s">
        <v>112</v>
      </c>
      <c r="F342" s="194" t="s">
        <v>113</v>
      </c>
      <c r="G342" s="195" t="s">
        <v>1509</v>
      </c>
      <c r="H342" s="167">
        <v>43746722</v>
      </c>
      <c r="I342" s="292">
        <v>7521800</v>
      </c>
      <c r="J342" s="292">
        <v>52151147</v>
      </c>
      <c r="K342" s="158" t="s">
        <v>41</v>
      </c>
      <c r="L342" s="196" t="s">
        <v>1507</v>
      </c>
      <c r="M342" s="114" t="s">
        <v>893</v>
      </c>
      <c r="N342" s="113" t="e" cm="1">
        <f t="array" aca="1" ref="N342" ca="1">_xlfn.XLOOKUP(Contrato[[#This Row],[SUPERVISOR TITULAR]],PERSONAL_ACTIVO_2025[[#All],[NOMBRES Y APELLIDOS]],PERSONAL_ACTIVO_2025[[#All],[DOCUMENTO]],"",0)</f>
        <v>#NAME?</v>
      </c>
      <c r="O342" s="114" t="s">
        <v>894</v>
      </c>
      <c r="P342" s="115" t="e" cm="1">
        <f t="array" aca="1" ref="P342" ca="1">_xlfn.XLOOKUP(Contrato[[#This Row],[SUPERVISOR SUPLENTE ]],PERSONAL_ACTIVO_2025[[#All],[NOMBRES Y APELLIDOS]],PERSONAL_ACTIVO_2025[[#All],[DOCUMENTO]],"",0)</f>
        <v>#NAME?</v>
      </c>
      <c r="Q342" s="116">
        <v>389</v>
      </c>
      <c r="R342" s="137" t="e" cm="1">
        <f t="array" aca="1" ref="R342" ca="1">_xlfn.XLOOKUP(Contrato[[#This Row],[CDP]],DISPONIBILIDADES_2025[[#All],[consecutivo]],DISPONIBILIDADES_2025[[#All],[fecha_aprobacion]],"",0)</f>
        <v>#NAME?</v>
      </c>
      <c r="S342" s="92">
        <f>SUMIF(DISPONIBILIDADES_2025[[#All],[consecutivo]],Contrato[[#This Row],[CDP]],DISPONIBILIDADES_2025[[#All],[valor_total_rubro]])</f>
        <v>52385167</v>
      </c>
      <c r="T342" s="118" t="e" cm="1">
        <f t="array" aca="1" ref="T342" ca="1">_xlfn.XLOOKUP(Contrato[[#This Row],[CONTRATO]]&amp;Contrato[[#This Row],[CDP]],Corr_Contr_CDP[[#All],[CONTRATO-CDP]],Corr_Contr_CDP[[#All],[CRP]],_xlfn.XLOOKUP(Contrato[[#This Row],[CDP]],COMPROMISOS_2025[[#All],[disponibilidad]],COMPROMISOS_2025[[#All],[consecutivo]],"",0),0)</f>
        <v>#NAME?</v>
      </c>
      <c r="U342" s="117" t="e" cm="1">
        <f t="array" aca="1" ref="U342" ca="1">+_xlfn.XLOOKUP(Contrato[[#This Row],[RCP]],COMPROMISOS_2025[[#All],[consecutivo]],COMPROMISOS_2025[[#All],[fecha_aprobacion]],"",0)</f>
        <v>#NAME?</v>
      </c>
      <c r="V342" s="93">
        <f ca="1">SUMIF(COMPROMISOS_2025[[#All],[consecutivo]],Contrato[[#This Row],[RCP]],COMPROMISOS_2025[[#All],[valor_total]])</f>
        <v>0</v>
      </c>
      <c r="W342" s="169">
        <v>45734</v>
      </c>
      <c r="X342" s="243" t="s">
        <v>901</v>
      </c>
      <c r="Y342" s="96">
        <v>45735</v>
      </c>
      <c r="Z342" s="161">
        <v>45946</v>
      </c>
      <c r="AA342" s="311" t="s">
        <v>1510</v>
      </c>
      <c r="AB342" s="119" t="s">
        <v>1511</v>
      </c>
      <c r="AC342" s="112"/>
      <c r="AD342" s="472">
        <v>202000006531</v>
      </c>
      <c r="AE342" s="38" t="s">
        <v>904</v>
      </c>
      <c r="AF342" s="120" t="str">
        <f>TEXT(LEFT(Contrato[[#This Row],[CONTRATO]],3),"0")</f>
        <v>335</v>
      </c>
      <c r="AG342" s="120" t="str">
        <f>IF(LEN(Contrato[[#This Row],[Contrato2]])=3,Contrato[[#This Row],[Contrato2]],TEXT(Contrato[[#This Row],[Contrato2]],"000"))</f>
        <v>335</v>
      </c>
      <c r="AH342" s="90">
        <f ca="1">IFERROR(_xlfn.DAYS(Contrato[[#This Row],[Fecha Proyectada liquidación]],TODAY())/30,"")</f>
        <v>9.4333333333333336</v>
      </c>
      <c r="AI342" s="121">
        <f>+Contrato[[#This Row],[FECHA TERMINACIÓN ]]+120</f>
        <v>46066</v>
      </c>
      <c r="AK342" s="91" t="str">
        <f ca="1">IF(Contrato[[#This Row],[FECHA TERMINACIÓN ]]&lt;TODAY(), "Terminado",IF(ISNUMBER(Contrato[[#This Row],[Fecha Real de liquiidación ]]),"Liquidado",IF(Contrato[[#This Row],[FECHA TERMINACIÓN ]]&gt;=TODAY(),"En ejecución","")))</f>
        <v>En ejecución</v>
      </c>
      <c r="AL342" s="107">
        <f ca="1">SUMIF(COMPROMISOS_2025[[#All],[consecutivo]],Contrato[[#This Row],[RCP]],COMPROMISOS_2025[[#All],[Total pagado]])</f>
        <v>0</v>
      </c>
      <c r="AM342" s="122">
        <f ca="1">IFERROR(Contrato[[#This Row],[Pagos]]/Contrato[[#This Row],[VALOR CONTRATO]],0)</f>
        <v>0</v>
      </c>
      <c r="AN342" s="160">
        <f ca="1">+Contrato[[#This Row],[VALOR CONTRATO]]-Contrato[[#This Row],[Pagos]]</f>
        <v>52151147</v>
      </c>
      <c r="AO342" s="111" t="e" cm="1">
        <f t="array" aca="1" ref="AO342" ca="1">_xlfn.XLOOKUP(Contrato[[#This Row],[DOCUMENTO ]],PERSONAL_ACTIVO_2025[[#All],[DOCUMENTO]],PERSONAL_ACTIVO_2025[[#All],[email]],0,0)</f>
        <v>#NAME?</v>
      </c>
      <c r="AP342" s="111" t="e" cm="1">
        <f t="array" aca="1" ref="AP342" ca="1">_xlfn.XLOOKUP(Contrato[[#This Row],[DOCUMENTO]],PERSONAL_ACTIVO_2025[[#All],[DOCUMENTO]],PERSONAL_ACTIVO_2025[[#All],[email]],0,0)</f>
        <v>#NAME?</v>
      </c>
      <c r="AQ342" s="111" cm="1">
        <f t="array" aca="1" ref="AQ342" ca="1">IF(ISBLANK(Contrato[[#This Row],[DEPENDENCIA ]]),0,IFERROR(_xlfn.XLOOKUP(Contrato[[#This Row],[DEPENDENCIA ]],#REF!,#REF!,0,0),0))</f>
        <v>0</v>
      </c>
      <c r="AR342" s="555">
        <f ca="1">+_xlfn.DAYS(Contrato[[#This Row],[FECHA TERMINACIÓN ]],TODAY())</f>
        <v>163</v>
      </c>
    </row>
    <row r="343" spans="1:44" ht="39" customHeight="1" x14ac:dyDescent="0.25">
      <c r="A343" s="38">
        <v>571</v>
      </c>
      <c r="B343" s="226">
        <v>336</v>
      </c>
      <c r="C343" s="88" t="s">
        <v>784</v>
      </c>
      <c r="D343" s="192" t="s">
        <v>883</v>
      </c>
      <c r="E343" s="193" t="s">
        <v>112</v>
      </c>
      <c r="F343" s="194" t="s">
        <v>113</v>
      </c>
      <c r="G343" s="195" t="s">
        <v>1512</v>
      </c>
      <c r="H343" s="167">
        <v>1038333057</v>
      </c>
      <c r="I343" s="292">
        <v>3419000</v>
      </c>
      <c r="J343" s="292">
        <v>17095000</v>
      </c>
      <c r="K343" s="158" t="s">
        <v>41</v>
      </c>
      <c r="L343" s="196" t="s">
        <v>1507</v>
      </c>
      <c r="M343" s="114" t="s">
        <v>965</v>
      </c>
      <c r="N343" s="113" t="e" cm="1">
        <f t="array" aca="1" ref="N343" ca="1">_xlfn.XLOOKUP(Contrato[[#This Row],[SUPERVISOR TITULAR]],PERSONAL_ACTIVO_2025[[#All],[NOMBRES Y APELLIDOS]],PERSONAL_ACTIVO_2025[[#All],[DOCUMENTO]],"",0)</f>
        <v>#NAME?</v>
      </c>
      <c r="O343" s="114" t="s">
        <v>1015</v>
      </c>
      <c r="P343" s="115" t="e" cm="1">
        <f t="array" aca="1" ref="P343" ca="1">_xlfn.XLOOKUP(Contrato[[#This Row],[SUPERVISOR SUPLENTE ]],PERSONAL_ACTIVO_2025[[#All],[NOMBRES Y APELLIDOS]],PERSONAL_ACTIVO_2025[[#All],[DOCUMENTO]],"",0)</f>
        <v>#NAME?</v>
      </c>
      <c r="Q343" s="116">
        <v>400</v>
      </c>
      <c r="R343" s="137" t="e" cm="1">
        <f t="array" aca="1" ref="R343" ca="1">_xlfn.XLOOKUP(Contrato[[#This Row],[CDP]],DISPONIBILIDADES_2025[[#All],[consecutivo]],DISPONIBILIDADES_2025[[#All],[fecha_aprobacion]],"",0)</f>
        <v>#NAME?</v>
      </c>
      <c r="S343" s="92">
        <f>SUMIF(DISPONIBILIDADES_2025[[#All],[consecutivo]],Contrato[[#This Row],[CDP]],DISPONIBILIDADES_2025[[#All],[valor_total_rubro]])</f>
        <v>17095000</v>
      </c>
      <c r="T343" s="118" t="e" cm="1">
        <f t="array" aca="1" ref="T343" ca="1">_xlfn.XLOOKUP(Contrato[[#This Row],[CONTRATO]]&amp;Contrato[[#This Row],[CDP]],Corr_Contr_CDP[[#All],[CONTRATO-CDP]],Corr_Contr_CDP[[#All],[CRP]],_xlfn.XLOOKUP(Contrato[[#This Row],[CDP]],COMPROMISOS_2025[[#All],[disponibilidad]],COMPROMISOS_2025[[#All],[consecutivo]],"",0),0)</f>
        <v>#NAME?</v>
      </c>
      <c r="U343" s="117" t="e" cm="1">
        <f t="array" aca="1" ref="U343" ca="1">+_xlfn.XLOOKUP(Contrato[[#This Row],[RCP]],COMPROMISOS_2025[[#All],[consecutivo]],COMPROMISOS_2025[[#All],[fecha_aprobacion]],"",0)</f>
        <v>#NAME?</v>
      </c>
      <c r="V343" s="93">
        <f ca="1">SUMIF(COMPROMISOS_2025[[#All],[consecutivo]],Contrato[[#This Row],[RCP]],COMPROMISOS_2025[[#All],[valor_total]])</f>
        <v>0</v>
      </c>
      <c r="W343" s="169">
        <v>45737</v>
      </c>
      <c r="X343" s="243" t="s">
        <v>901</v>
      </c>
      <c r="Y343" s="96">
        <v>45742</v>
      </c>
      <c r="Z343" s="161">
        <v>45741</v>
      </c>
      <c r="AA343" s="311" t="s">
        <v>1513</v>
      </c>
      <c r="AB343" s="119" t="s">
        <v>920</v>
      </c>
      <c r="AC343" s="112"/>
      <c r="AD343" s="472">
        <v>202000006532</v>
      </c>
      <c r="AE343" s="38" t="s">
        <v>904</v>
      </c>
      <c r="AF343" s="120" t="str">
        <f>TEXT(LEFT(Contrato[[#This Row],[CONTRATO]],3),"0")</f>
        <v>336</v>
      </c>
      <c r="AG343" s="120" t="str">
        <f>IF(LEN(Contrato[[#This Row],[Contrato2]])=3,Contrato[[#This Row],[Contrato2]],TEXT(Contrato[[#This Row],[Contrato2]],"000"))</f>
        <v>336</v>
      </c>
      <c r="AH343" s="90">
        <f ca="1">IFERROR(_xlfn.DAYS(Contrato[[#This Row],[Fecha Proyectada liquidación]],TODAY())/30,"")</f>
        <v>2.6</v>
      </c>
      <c r="AI343" s="121">
        <f>+Contrato[[#This Row],[FECHA TERMINACIÓN ]]+120</f>
        <v>45861</v>
      </c>
      <c r="AK343" s="91" t="str">
        <f ca="1">IF(Contrato[[#This Row],[FECHA TERMINACIÓN ]]&lt;TODAY(), "Terminado",IF(ISNUMBER(Contrato[[#This Row],[Fecha Real de liquiidación ]]),"Liquidado",IF(Contrato[[#This Row],[FECHA TERMINACIÓN ]]&gt;=TODAY(),"En ejecución","")))</f>
        <v>Terminado</v>
      </c>
      <c r="AL343" s="107">
        <f ca="1">SUMIF(COMPROMISOS_2025[[#All],[consecutivo]],Contrato[[#This Row],[RCP]],COMPROMISOS_2025[[#All],[Total pagado]])</f>
        <v>0</v>
      </c>
      <c r="AM343" s="122">
        <f ca="1">IFERROR(Contrato[[#This Row],[Pagos]]/Contrato[[#This Row],[VALOR CONTRATO]],0)</f>
        <v>0</v>
      </c>
      <c r="AN343" s="160">
        <f ca="1">+Contrato[[#This Row],[VALOR CONTRATO]]-Contrato[[#This Row],[Pagos]]</f>
        <v>17095000</v>
      </c>
      <c r="AO343" s="111" t="e" cm="1">
        <f t="array" aca="1" ref="AO343" ca="1">_xlfn.XLOOKUP(Contrato[[#This Row],[DOCUMENTO ]],PERSONAL_ACTIVO_2025[[#All],[DOCUMENTO]],PERSONAL_ACTIVO_2025[[#All],[email]],0,0)</f>
        <v>#NAME?</v>
      </c>
      <c r="AP343" s="111" t="e" cm="1">
        <f t="array" aca="1" ref="AP343" ca="1">_xlfn.XLOOKUP(Contrato[[#This Row],[DOCUMENTO]],PERSONAL_ACTIVO_2025[[#All],[DOCUMENTO]],PERSONAL_ACTIVO_2025[[#All],[email]],0,0)</f>
        <v>#NAME?</v>
      </c>
      <c r="AQ343" s="111" cm="1">
        <f t="array" aca="1" ref="AQ343" ca="1">IF(ISBLANK(Contrato[[#This Row],[DEPENDENCIA ]]),0,IFERROR(_xlfn.XLOOKUP(Contrato[[#This Row],[DEPENDENCIA ]],#REF!,#REF!,0,0),0))</f>
        <v>0</v>
      </c>
      <c r="AR343" s="555">
        <f ca="1">+_xlfn.DAYS(Contrato[[#This Row],[FECHA TERMINACIÓN ]],TODAY())</f>
        <v>-42</v>
      </c>
    </row>
    <row r="344" spans="1:44" ht="39.75" customHeight="1" x14ac:dyDescent="0.25">
      <c r="A344" s="38">
        <v>253</v>
      </c>
      <c r="B344" s="226">
        <v>337</v>
      </c>
      <c r="C344" s="88" t="s">
        <v>449</v>
      </c>
      <c r="D344" s="192" t="s">
        <v>1066</v>
      </c>
      <c r="E344" s="193" t="s">
        <v>112</v>
      </c>
      <c r="F344" s="194" t="s">
        <v>113</v>
      </c>
      <c r="G344" s="195" t="s">
        <v>1514</v>
      </c>
      <c r="H344" s="346">
        <v>43182812</v>
      </c>
      <c r="I344" s="292">
        <v>7521800</v>
      </c>
      <c r="J344" s="290">
        <v>71206373</v>
      </c>
      <c r="K344" s="158" t="s">
        <v>41</v>
      </c>
      <c r="L344" s="196" t="s">
        <v>1507</v>
      </c>
      <c r="M344" s="114" t="s">
        <v>1326</v>
      </c>
      <c r="N344" s="113" t="e" cm="1">
        <f t="array" aca="1" ref="N344" ca="1">_xlfn.XLOOKUP(Contrato[[#This Row],[SUPERVISOR TITULAR]],PERSONAL_ACTIVO_2025[[#All],[NOMBRES Y APELLIDOS]],PERSONAL_ACTIVO_2025[[#All],[DOCUMENTO]],"",0)</f>
        <v>#NAME?</v>
      </c>
      <c r="O344" s="114" t="s">
        <v>1419</v>
      </c>
      <c r="P344" s="115" t="e" cm="1">
        <f t="array" aca="1" ref="P344" ca="1">_xlfn.XLOOKUP(Contrato[[#This Row],[SUPERVISOR SUPLENTE ]],PERSONAL_ACTIVO_2025[[#All],[NOMBRES Y APELLIDOS]],PERSONAL_ACTIVO_2025[[#All],[DOCUMENTO]],"",0)</f>
        <v>#NAME?</v>
      </c>
      <c r="Q344" s="116">
        <v>402</v>
      </c>
      <c r="R344" s="137" t="e" cm="1">
        <f t="array" aca="1" ref="R344" ca="1">_xlfn.XLOOKUP(Contrato[[#This Row],[CDP]],DISPONIBILIDADES_2025[[#All],[consecutivo]],DISPONIBILIDADES_2025[[#All],[fecha_aprobacion]],"",0)</f>
        <v>#NAME?</v>
      </c>
      <c r="S344" s="92">
        <f>SUMIF(DISPONIBILIDADES_2025[[#All],[consecutivo]],Contrato[[#This Row],[CDP]],DISPONIBILIDADES_2025[[#All],[valor_total_rubro]])</f>
        <v>71206373</v>
      </c>
      <c r="T344" s="118" t="e" cm="1">
        <f t="array" aca="1" ref="T344" ca="1">_xlfn.XLOOKUP(Contrato[[#This Row],[CONTRATO]]&amp;Contrato[[#This Row],[CDP]],Corr_Contr_CDP[[#All],[CONTRATO-CDP]],Corr_Contr_CDP[[#All],[CRP]],_xlfn.XLOOKUP(Contrato[[#This Row],[CDP]],COMPROMISOS_2025[[#All],[disponibilidad]],COMPROMISOS_2025[[#All],[consecutivo]],"",0),0)</f>
        <v>#NAME?</v>
      </c>
      <c r="U344" s="117" t="e" cm="1">
        <f t="array" aca="1" ref="U344" ca="1">+_xlfn.XLOOKUP(Contrato[[#This Row],[RCP]],COMPROMISOS_2025[[#All],[consecutivo]],COMPROMISOS_2025[[#All],[fecha_aprobacion]],"",0)</f>
        <v>#NAME?</v>
      </c>
      <c r="V344" s="93">
        <f ca="1">SUMIF(COMPROMISOS_2025[[#All],[consecutivo]],Contrato[[#This Row],[RCP]],COMPROMISOS_2025[[#All],[valor_total]])</f>
        <v>0</v>
      </c>
      <c r="W344" s="169">
        <v>45733</v>
      </c>
      <c r="X344" s="243" t="s">
        <v>901</v>
      </c>
      <c r="Y344" s="96">
        <v>45733</v>
      </c>
      <c r="Z344" s="161">
        <v>46022</v>
      </c>
      <c r="AA344" s="338" t="s">
        <v>1515</v>
      </c>
      <c r="AB344" s="119" t="s">
        <v>1480</v>
      </c>
      <c r="AC344" s="112"/>
      <c r="AD344" s="472">
        <v>202000006533</v>
      </c>
      <c r="AE344" s="38" t="s">
        <v>904</v>
      </c>
      <c r="AF344" s="120" t="str">
        <f>TEXT(LEFT(Contrato[[#This Row],[CONTRATO]],3),"0")</f>
        <v>337</v>
      </c>
      <c r="AG344" s="120" t="str">
        <f>IF(LEN(Contrato[[#This Row],[Contrato2]])=3,Contrato[[#This Row],[Contrato2]],TEXT(Contrato[[#This Row],[Contrato2]],"000"))</f>
        <v>337</v>
      </c>
      <c r="AH344" s="90">
        <f ca="1">IFERROR(_xlfn.DAYS(Contrato[[#This Row],[Fecha Proyectada liquidación]],TODAY())/30,"")</f>
        <v>11.966666666666667</v>
      </c>
      <c r="AI344" s="121">
        <f>+Contrato[[#This Row],[FECHA TERMINACIÓN ]]+120</f>
        <v>46142</v>
      </c>
      <c r="AK344" s="91" t="str">
        <f ca="1">IF(Contrato[[#This Row],[FECHA TERMINACIÓN ]]&lt;TODAY(), "Terminado",IF(ISNUMBER(Contrato[[#This Row],[Fecha Real de liquiidación ]]),"Liquidado",IF(Contrato[[#This Row],[FECHA TERMINACIÓN ]]&gt;=TODAY(),"En ejecución","")))</f>
        <v>En ejecución</v>
      </c>
      <c r="AL344" s="107">
        <f ca="1">SUMIF(COMPROMISOS_2025[[#All],[consecutivo]],Contrato[[#This Row],[RCP]],COMPROMISOS_2025[[#All],[Total pagado]])</f>
        <v>0</v>
      </c>
      <c r="AM344" s="122">
        <f ca="1">IFERROR(Contrato[[#This Row],[Pagos]]/Contrato[[#This Row],[VALOR CONTRATO]],0)</f>
        <v>0</v>
      </c>
      <c r="AN344" s="160">
        <f ca="1">+Contrato[[#This Row],[VALOR CONTRATO]]-Contrato[[#This Row],[Pagos]]</f>
        <v>71206373</v>
      </c>
      <c r="AO344" s="111" t="e" cm="1">
        <f t="array" aca="1" ref="AO344" ca="1">_xlfn.XLOOKUP(Contrato[[#This Row],[DOCUMENTO ]],PERSONAL_ACTIVO_2025[[#All],[DOCUMENTO]],PERSONAL_ACTIVO_2025[[#All],[email]],0,0)</f>
        <v>#NAME?</v>
      </c>
      <c r="AP344" s="111" t="e" cm="1">
        <f t="array" aca="1" ref="AP344" ca="1">_xlfn.XLOOKUP(Contrato[[#This Row],[DOCUMENTO]],PERSONAL_ACTIVO_2025[[#All],[DOCUMENTO]],PERSONAL_ACTIVO_2025[[#All],[email]],0,0)</f>
        <v>#NAME?</v>
      </c>
      <c r="AQ344" s="111" cm="1">
        <f t="array" aca="1" ref="AQ344" ca="1">IF(ISBLANK(Contrato[[#This Row],[DEPENDENCIA ]]),0,IFERROR(_xlfn.XLOOKUP(Contrato[[#This Row],[DEPENDENCIA ]],#REF!,#REF!,0,0),0))</f>
        <v>0</v>
      </c>
      <c r="AR344" s="555">
        <f ca="1">+_xlfn.DAYS(Contrato[[#This Row],[FECHA TERMINACIÓN ]],TODAY())</f>
        <v>239</v>
      </c>
    </row>
    <row r="345" spans="1:44" ht="39.75" customHeight="1" x14ac:dyDescent="0.25">
      <c r="A345" s="38">
        <v>247</v>
      </c>
      <c r="B345" s="226">
        <v>338</v>
      </c>
      <c r="C345" s="88" t="s">
        <v>443</v>
      </c>
      <c r="D345" s="192" t="s">
        <v>1066</v>
      </c>
      <c r="E345" s="193" t="s">
        <v>112</v>
      </c>
      <c r="F345" s="194" t="s">
        <v>113</v>
      </c>
      <c r="G345" s="195" t="s">
        <v>1516</v>
      </c>
      <c r="H345" s="346">
        <v>1015067883</v>
      </c>
      <c r="I345" s="290">
        <v>4102800</v>
      </c>
      <c r="J345" s="290">
        <v>32822400</v>
      </c>
      <c r="K345" s="158" t="s">
        <v>41</v>
      </c>
      <c r="L345" s="196" t="s">
        <v>1507</v>
      </c>
      <c r="M345" s="114" t="s">
        <v>1405</v>
      </c>
      <c r="N345" s="113" t="e" cm="1">
        <f t="array" aca="1" ref="N345" ca="1">_xlfn.XLOOKUP(Contrato[[#This Row],[SUPERVISOR TITULAR]],PERSONAL_ACTIVO_2025[[#All],[NOMBRES Y APELLIDOS]],PERSONAL_ACTIVO_2025[[#All],[DOCUMENTO]],"",0)</f>
        <v>#NAME?</v>
      </c>
      <c r="O345" s="114" t="s">
        <v>1413</v>
      </c>
      <c r="P345" s="115" t="e" cm="1">
        <f t="array" aca="1" ref="P345" ca="1">_xlfn.XLOOKUP(Contrato[[#This Row],[SUPERVISOR SUPLENTE ]],PERSONAL_ACTIVO_2025[[#All],[NOMBRES Y APELLIDOS]],PERSONAL_ACTIVO_2025[[#All],[DOCUMENTO]],"",0)</f>
        <v>#NAME?</v>
      </c>
      <c r="Q345" s="116">
        <v>401</v>
      </c>
      <c r="R345" s="137" t="e" cm="1">
        <f t="array" aca="1" ref="R345" ca="1">_xlfn.XLOOKUP(Contrato[[#This Row],[CDP]],DISPONIBILIDADES_2025[[#All],[consecutivo]],DISPONIBILIDADES_2025[[#All],[fecha_aprobacion]],"",0)</f>
        <v>#NAME?</v>
      </c>
      <c r="S345" s="92">
        <f>SUMIF(DISPONIBILIDADES_2025[[#All],[consecutivo]],Contrato[[#This Row],[CDP]],DISPONIBILIDADES_2025[[#All],[valor_total_rubro]])</f>
        <v>32822400</v>
      </c>
      <c r="T345" s="118" t="e" cm="1">
        <f t="array" aca="1" ref="T345" ca="1">_xlfn.XLOOKUP(Contrato[[#This Row],[CONTRATO]]&amp;Contrato[[#This Row],[CDP]],Corr_Contr_CDP[[#All],[CONTRATO-CDP]],Corr_Contr_CDP[[#All],[CRP]],_xlfn.XLOOKUP(Contrato[[#This Row],[CDP]],COMPROMISOS_2025[[#All],[disponibilidad]],COMPROMISOS_2025[[#All],[consecutivo]],"",0),0)</f>
        <v>#NAME?</v>
      </c>
      <c r="U345" s="117" t="e" cm="1">
        <f t="array" aca="1" ref="U345" ca="1">+_xlfn.XLOOKUP(Contrato[[#This Row],[RCP]],COMPROMISOS_2025[[#All],[consecutivo]],COMPROMISOS_2025[[#All],[fecha_aprobacion]],"",0)</f>
        <v>#NAME?</v>
      </c>
      <c r="V345" s="93">
        <f ca="1">SUMIF(COMPROMISOS_2025[[#All],[consecutivo]],Contrato[[#This Row],[RCP]],COMPROMISOS_2025[[#All],[valor_total]])</f>
        <v>0</v>
      </c>
      <c r="W345" s="169">
        <v>45733</v>
      </c>
      <c r="X345" s="243" t="s">
        <v>901</v>
      </c>
      <c r="Y345" s="96">
        <v>45733</v>
      </c>
      <c r="Z345" s="161">
        <v>46022</v>
      </c>
      <c r="AA345" s="338" t="s">
        <v>1517</v>
      </c>
      <c r="AB345" s="119" t="s">
        <v>1328</v>
      </c>
      <c r="AC345" s="112"/>
      <c r="AD345" s="472">
        <v>202000006534</v>
      </c>
      <c r="AE345" s="38" t="s">
        <v>904</v>
      </c>
      <c r="AF345" s="120" t="str">
        <f>TEXT(LEFT(Contrato[[#This Row],[CONTRATO]],3),"0")</f>
        <v>338</v>
      </c>
      <c r="AG345" s="120" t="str">
        <f>IF(LEN(Contrato[[#This Row],[Contrato2]])=3,Contrato[[#This Row],[Contrato2]],TEXT(Contrato[[#This Row],[Contrato2]],"000"))</f>
        <v>338</v>
      </c>
      <c r="AH345" s="90">
        <f ca="1">IFERROR(_xlfn.DAYS(Contrato[[#This Row],[Fecha Proyectada liquidación]],TODAY())/30,"")</f>
        <v>11.966666666666667</v>
      </c>
      <c r="AI345" s="121">
        <f>+Contrato[[#This Row],[FECHA TERMINACIÓN ]]+120</f>
        <v>46142</v>
      </c>
      <c r="AK345" s="91" t="str">
        <f ca="1">IF(Contrato[[#This Row],[FECHA TERMINACIÓN ]]&lt;TODAY(), "Terminado",IF(ISNUMBER(Contrato[[#This Row],[Fecha Real de liquiidación ]]),"Liquidado",IF(Contrato[[#This Row],[FECHA TERMINACIÓN ]]&gt;=TODAY(),"En ejecución","")))</f>
        <v>En ejecución</v>
      </c>
      <c r="AL345" s="107">
        <f ca="1">SUMIF(COMPROMISOS_2025[[#All],[consecutivo]],Contrato[[#This Row],[RCP]],COMPROMISOS_2025[[#All],[Total pagado]])</f>
        <v>0</v>
      </c>
      <c r="AM345" s="122">
        <f ca="1">IFERROR(Contrato[[#This Row],[Pagos]]/Contrato[[#This Row],[VALOR CONTRATO]],0)</f>
        <v>0</v>
      </c>
      <c r="AN345" s="160">
        <f ca="1">+Contrato[[#This Row],[VALOR CONTRATO]]-Contrato[[#This Row],[Pagos]]</f>
        <v>32822400</v>
      </c>
      <c r="AO345" s="111" t="e" cm="1">
        <f t="array" aca="1" ref="AO345" ca="1">_xlfn.XLOOKUP(Contrato[[#This Row],[DOCUMENTO ]],PERSONAL_ACTIVO_2025[[#All],[DOCUMENTO]],PERSONAL_ACTIVO_2025[[#All],[email]],0,0)</f>
        <v>#NAME?</v>
      </c>
      <c r="AP345" s="111" t="e" cm="1">
        <f t="array" aca="1" ref="AP345" ca="1">_xlfn.XLOOKUP(Contrato[[#This Row],[DOCUMENTO]],PERSONAL_ACTIVO_2025[[#All],[DOCUMENTO]],PERSONAL_ACTIVO_2025[[#All],[email]],0,0)</f>
        <v>#NAME?</v>
      </c>
      <c r="AQ345" s="111" cm="1">
        <f t="array" aca="1" ref="AQ345" ca="1">IF(ISBLANK(Contrato[[#This Row],[DEPENDENCIA ]]),0,IFERROR(_xlfn.XLOOKUP(Contrato[[#This Row],[DEPENDENCIA ]],#REF!,#REF!,0,0),0))</f>
        <v>0</v>
      </c>
      <c r="AR345" s="555">
        <f ca="1">+_xlfn.DAYS(Contrato[[#This Row],[FECHA TERMINACIÓN ]],TODAY())</f>
        <v>239</v>
      </c>
    </row>
    <row r="346" spans="1:44" ht="39.75" customHeight="1" x14ac:dyDescent="0.25">
      <c r="A346" s="38">
        <v>250</v>
      </c>
      <c r="B346" s="226">
        <v>339</v>
      </c>
      <c r="C346" s="465" t="s">
        <v>446</v>
      </c>
      <c r="D346" s="192" t="s">
        <v>1066</v>
      </c>
      <c r="E346" s="193" t="s">
        <v>112</v>
      </c>
      <c r="F346" s="194" t="s">
        <v>113</v>
      </c>
      <c r="G346" s="195" t="s">
        <v>1518</v>
      </c>
      <c r="H346" s="346">
        <v>1038417615</v>
      </c>
      <c r="I346" s="292">
        <v>7521800</v>
      </c>
      <c r="J346" s="290">
        <v>71206373</v>
      </c>
      <c r="K346" s="158" t="s">
        <v>41</v>
      </c>
      <c r="L346" s="196" t="s">
        <v>1507</v>
      </c>
      <c r="M346" s="114" t="s">
        <v>1519</v>
      </c>
      <c r="N346" s="113" t="e" cm="1">
        <f t="array" aca="1" ref="N346" ca="1">_xlfn.XLOOKUP(Contrato[[#This Row],[SUPERVISOR TITULAR]],PERSONAL_ACTIVO_2025[[#All],[NOMBRES Y APELLIDOS]],PERSONAL_ACTIVO_2025[[#All],[DOCUMENTO]],"",0)</f>
        <v>#NAME?</v>
      </c>
      <c r="O346" s="114" t="s">
        <v>1520</v>
      </c>
      <c r="P346" s="115" t="e" cm="1">
        <f t="array" aca="1" ref="P346" ca="1">_xlfn.XLOOKUP(Contrato[[#This Row],[SUPERVISOR SUPLENTE ]],PERSONAL_ACTIVO_2025[[#All],[NOMBRES Y APELLIDOS]],PERSONAL_ACTIVO_2025[[#All],[DOCUMENTO]],"",0)</f>
        <v>#NAME?</v>
      </c>
      <c r="Q346" s="116">
        <v>403</v>
      </c>
      <c r="R346" s="137" t="e" cm="1">
        <f t="array" aca="1" ref="R346" ca="1">_xlfn.XLOOKUP(Contrato[[#This Row],[CDP]],DISPONIBILIDADES_2025[[#All],[consecutivo]],DISPONIBILIDADES_2025[[#All],[fecha_aprobacion]],"",0)</f>
        <v>#NAME?</v>
      </c>
      <c r="S346" s="92">
        <f>SUMIF(DISPONIBILIDADES_2025[[#All],[consecutivo]],Contrato[[#This Row],[CDP]],DISPONIBILIDADES_2025[[#All],[valor_total_rubro]])</f>
        <v>71206373</v>
      </c>
      <c r="T346" s="118" t="e" cm="1">
        <f t="array" aca="1" ref="T346" ca="1">_xlfn.XLOOKUP(Contrato[[#This Row],[CONTRATO]]&amp;Contrato[[#This Row],[CDP]],Corr_Contr_CDP[[#All],[CONTRATO-CDP]],Corr_Contr_CDP[[#All],[CRP]],_xlfn.XLOOKUP(Contrato[[#This Row],[CDP]],COMPROMISOS_2025[[#All],[disponibilidad]],COMPROMISOS_2025[[#All],[consecutivo]],"",0),0)</f>
        <v>#NAME?</v>
      </c>
      <c r="U346" s="117" t="e" cm="1">
        <f t="array" aca="1" ref="U346" ca="1">+_xlfn.XLOOKUP(Contrato[[#This Row],[RCP]],COMPROMISOS_2025[[#All],[consecutivo]],COMPROMISOS_2025[[#All],[fecha_aprobacion]],"",0)</f>
        <v>#NAME?</v>
      </c>
      <c r="V346" s="93">
        <f ca="1">SUMIF(COMPROMISOS_2025[[#All],[consecutivo]],Contrato[[#This Row],[RCP]],COMPROMISOS_2025[[#All],[valor_total]])</f>
        <v>0</v>
      </c>
      <c r="W346" s="169">
        <v>45733</v>
      </c>
      <c r="X346" s="243" t="s">
        <v>901</v>
      </c>
      <c r="Y346" s="96">
        <v>45733</v>
      </c>
      <c r="Z346" s="161">
        <v>46022</v>
      </c>
      <c r="AA346" s="338" t="s">
        <v>1521</v>
      </c>
      <c r="AB346" s="119" t="s">
        <v>1480</v>
      </c>
      <c r="AC346" s="112"/>
      <c r="AD346" s="472">
        <v>202000006535</v>
      </c>
      <c r="AE346" s="38" t="s">
        <v>904</v>
      </c>
      <c r="AF346" s="120" t="str">
        <f>TEXT(LEFT(Contrato[[#This Row],[CONTRATO]],3),"0")</f>
        <v>339</v>
      </c>
      <c r="AG346" s="120" t="str">
        <f>IF(LEN(Contrato[[#This Row],[Contrato2]])=3,Contrato[[#This Row],[Contrato2]],TEXT(Contrato[[#This Row],[Contrato2]],"000"))</f>
        <v>339</v>
      </c>
      <c r="AH346" s="90">
        <f ca="1">IFERROR(_xlfn.DAYS(Contrato[[#This Row],[Fecha Proyectada liquidación]],TODAY())/30,"")</f>
        <v>11.966666666666667</v>
      </c>
      <c r="AI346" s="121">
        <f>+Contrato[[#This Row],[FECHA TERMINACIÓN ]]+120</f>
        <v>46142</v>
      </c>
      <c r="AK346" s="91" t="str">
        <f ca="1">IF(Contrato[[#This Row],[FECHA TERMINACIÓN ]]&lt;TODAY(), "Terminado",IF(ISNUMBER(Contrato[[#This Row],[Fecha Real de liquiidación ]]),"Liquidado",IF(Contrato[[#This Row],[FECHA TERMINACIÓN ]]&gt;=TODAY(),"En ejecución","")))</f>
        <v>En ejecución</v>
      </c>
      <c r="AL346" s="107">
        <f ca="1">SUMIF(COMPROMISOS_2025[[#All],[consecutivo]],Contrato[[#This Row],[RCP]],COMPROMISOS_2025[[#All],[Total pagado]])</f>
        <v>0</v>
      </c>
      <c r="AM346" s="122">
        <f ca="1">IFERROR(Contrato[[#This Row],[Pagos]]/Contrato[[#This Row],[VALOR CONTRATO]],0)</f>
        <v>0</v>
      </c>
      <c r="AN346" s="160">
        <f ca="1">+Contrato[[#This Row],[VALOR CONTRATO]]-Contrato[[#This Row],[Pagos]]</f>
        <v>71206373</v>
      </c>
      <c r="AO346" s="111" t="e" cm="1">
        <f t="array" aca="1" ref="AO346" ca="1">_xlfn.XLOOKUP(Contrato[[#This Row],[DOCUMENTO ]],PERSONAL_ACTIVO_2025[[#All],[DOCUMENTO]],PERSONAL_ACTIVO_2025[[#All],[email]],0,0)</f>
        <v>#NAME?</v>
      </c>
      <c r="AP346" s="111" t="e" cm="1">
        <f t="array" aca="1" ref="AP346" ca="1">_xlfn.XLOOKUP(Contrato[[#This Row],[DOCUMENTO]],PERSONAL_ACTIVO_2025[[#All],[DOCUMENTO]],PERSONAL_ACTIVO_2025[[#All],[email]],0,0)</f>
        <v>#NAME?</v>
      </c>
      <c r="AQ346" s="111" cm="1">
        <f t="array" aca="1" ref="AQ346" ca="1">IF(ISBLANK(Contrato[[#This Row],[DEPENDENCIA ]]),0,IFERROR(_xlfn.XLOOKUP(Contrato[[#This Row],[DEPENDENCIA ]],#REF!,#REF!,0,0),0))</f>
        <v>0</v>
      </c>
      <c r="AR346" s="555">
        <f ca="1">+_xlfn.DAYS(Contrato[[#This Row],[FECHA TERMINACIÓN ]],TODAY())</f>
        <v>239</v>
      </c>
    </row>
    <row r="347" spans="1:44" ht="39.75" customHeight="1" x14ac:dyDescent="0.25">
      <c r="A347" s="38">
        <v>572</v>
      </c>
      <c r="B347" s="226">
        <v>340</v>
      </c>
      <c r="C347" s="88" t="s">
        <v>785</v>
      </c>
      <c r="D347" s="192" t="s">
        <v>883</v>
      </c>
      <c r="E347" s="193" t="s">
        <v>112</v>
      </c>
      <c r="F347" s="194" t="s">
        <v>113</v>
      </c>
      <c r="G347" s="195" t="s">
        <v>1522</v>
      </c>
      <c r="H347" s="346">
        <v>42676131</v>
      </c>
      <c r="I347" s="292">
        <v>7521800</v>
      </c>
      <c r="J347" s="290">
        <v>37609000</v>
      </c>
      <c r="K347" s="158" t="s">
        <v>41</v>
      </c>
      <c r="L347" s="196" t="s">
        <v>1507</v>
      </c>
      <c r="M347" s="114" t="s">
        <v>899</v>
      </c>
      <c r="N347" s="113" t="e" cm="1">
        <f t="array" aca="1" ref="N347" ca="1">_xlfn.XLOOKUP(Contrato[[#This Row],[SUPERVISOR TITULAR]],PERSONAL_ACTIVO_2025[[#All],[NOMBRES Y APELLIDOS]],PERSONAL_ACTIVO_2025[[#All],[DOCUMENTO]],"",0)</f>
        <v>#NAME?</v>
      </c>
      <c r="O347" s="114" t="s">
        <v>900</v>
      </c>
      <c r="P347" s="115" t="e" cm="1">
        <f t="array" aca="1" ref="P347" ca="1">_xlfn.XLOOKUP(Contrato[[#This Row],[SUPERVISOR SUPLENTE ]],PERSONAL_ACTIVO_2025[[#All],[NOMBRES Y APELLIDOS]],PERSONAL_ACTIVO_2025[[#All],[DOCUMENTO]],"",0)</f>
        <v>#NAME?</v>
      </c>
      <c r="Q347" s="116">
        <v>408</v>
      </c>
      <c r="R347" s="137" t="e" cm="1">
        <f t="array" aca="1" ref="R347" ca="1">_xlfn.XLOOKUP(Contrato[[#This Row],[CDP]],DISPONIBILIDADES_2025[[#All],[consecutivo]],DISPONIBILIDADES_2025[[#All],[fecha_aprobacion]],"",0)</f>
        <v>#NAME?</v>
      </c>
      <c r="S347" s="92">
        <f>SUMIF(DISPONIBILIDADES_2025[[#All],[consecutivo]],Contrato[[#This Row],[CDP]],DISPONIBILIDADES_2025[[#All],[valor_total_rubro]])</f>
        <v>37609000</v>
      </c>
      <c r="T347" s="118" t="e" cm="1">
        <f t="array" aca="1" ref="T347" ca="1">_xlfn.XLOOKUP(Contrato[[#This Row],[CONTRATO]]&amp;Contrato[[#This Row],[CDP]],Corr_Contr_CDP[[#All],[CONTRATO-CDP]],Corr_Contr_CDP[[#All],[CRP]],_xlfn.XLOOKUP(Contrato[[#This Row],[CDP]],COMPROMISOS_2025[[#All],[disponibilidad]],COMPROMISOS_2025[[#All],[consecutivo]],"",0),0)</f>
        <v>#NAME?</v>
      </c>
      <c r="U347" s="117" t="e" cm="1">
        <f t="array" aca="1" ref="U347" ca="1">+_xlfn.XLOOKUP(Contrato[[#This Row],[RCP]],COMPROMISOS_2025[[#All],[consecutivo]],COMPROMISOS_2025[[#All],[fecha_aprobacion]],"",0)</f>
        <v>#NAME?</v>
      </c>
      <c r="V347" s="93">
        <f ca="1">SUMIF(COMPROMISOS_2025[[#All],[consecutivo]],Contrato[[#This Row],[RCP]],COMPROMISOS_2025[[#All],[valor_total]])</f>
        <v>0</v>
      </c>
      <c r="W347" s="169">
        <v>45733</v>
      </c>
      <c r="X347" s="243" t="s">
        <v>901</v>
      </c>
      <c r="Y347" s="96">
        <v>45735</v>
      </c>
      <c r="Z347" s="161">
        <v>45887</v>
      </c>
      <c r="AA347" s="338" t="s">
        <v>1523</v>
      </c>
      <c r="AB347" s="119" t="s">
        <v>920</v>
      </c>
      <c r="AC347" s="112"/>
      <c r="AD347" s="472">
        <v>202000006536</v>
      </c>
      <c r="AE347" s="38" t="s">
        <v>904</v>
      </c>
      <c r="AF347" s="120" t="str">
        <f>TEXT(LEFT(Contrato[[#This Row],[CONTRATO]],3),"0")</f>
        <v>340</v>
      </c>
      <c r="AG347" s="120" t="str">
        <f>IF(LEN(Contrato[[#This Row],[Contrato2]])=3,Contrato[[#This Row],[Contrato2]],TEXT(Contrato[[#This Row],[Contrato2]],"000"))</f>
        <v>340</v>
      </c>
      <c r="AH347" s="90">
        <f ca="1">IFERROR(_xlfn.DAYS(Contrato[[#This Row],[Fecha Proyectada liquidación]],TODAY())/30,"")</f>
        <v>7.4666666666666668</v>
      </c>
      <c r="AI347" s="121">
        <f>+Contrato[[#This Row],[FECHA TERMINACIÓN ]]+120</f>
        <v>46007</v>
      </c>
      <c r="AK347" s="91" t="str">
        <f ca="1">IF(Contrato[[#This Row],[FECHA TERMINACIÓN ]]&lt;TODAY(), "Terminado",IF(ISNUMBER(Contrato[[#This Row],[Fecha Real de liquiidación ]]),"Liquidado",IF(Contrato[[#This Row],[FECHA TERMINACIÓN ]]&gt;=TODAY(),"En ejecución","")))</f>
        <v>En ejecución</v>
      </c>
      <c r="AL347" s="107">
        <f ca="1">SUMIF(COMPROMISOS_2025[[#All],[consecutivo]],Contrato[[#This Row],[RCP]],COMPROMISOS_2025[[#All],[Total pagado]])</f>
        <v>0</v>
      </c>
      <c r="AM347" s="122">
        <f ca="1">IFERROR(Contrato[[#This Row],[Pagos]]/Contrato[[#This Row],[VALOR CONTRATO]],0)</f>
        <v>0</v>
      </c>
      <c r="AN347" s="160">
        <f ca="1">+Contrato[[#This Row],[VALOR CONTRATO]]-Contrato[[#This Row],[Pagos]]</f>
        <v>37609000</v>
      </c>
      <c r="AO347" s="111" t="e" cm="1">
        <f t="array" aca="1" ref="AO347" ca="1">_xlfn.XLOOKUP(Contrato[[#This Row],[DOCUMENTO ]],PERSONAL_ACTIVO_2025[[#All],[DOCUMENTO]],PERSONAL_ACTIVO_2025[[#All],[email]],0,0)</f>
        <v>#NAME?</v>
      </c>
      <c r="AP347" s="111" t="e" cm="1">
        <f t="array" aca="1" ref="AP347" ca="1">_xlfn.XLOOKUP(Contrato[[#This Row],[DOCUMENTO]],PERSONAL_ACTIVO_2025[[#All],[DOCUMENTO]],PERSONAL_ACTIVO_2025[[#All],[email]],0,0)</f>
        <v>#NAME?</v>
      </c>
      <c r="AQ347" s="111" cm="1">
        <f t="array" aca="1" ref="AQ347" ca="1">IF(ISBLANK(Contrato[[#This Row],[DEPENDENCIA ]]),0,IFERROR(_xlfn.XLOOKUP(Contrato[[#This Row],[DEPENDENCIA ]],#REF!,#REF!,0,0),0))</f>
        <v>0</v>
      </c>
      <c r="AR347" s="555">
        <f ca="1">+_xlfn.DAYS(Contrato[[#This Row],[FECHA TERMINACIÓN ]],TODAY())</f>
        <v>104</v>
      </c>
    </row>
    <row r="348" spans="1:44" ht="39.75" customHeight="1" x14ac:dyDescent="0.25">
      <c r="A348" s="38">
        <v>87</v>
      </c>
      <c r="B348" s="226">
        <v>341</v>
      </c>
      <c r="C348" s="88" t="s">
        <v>238</v>
      </c>
      <c r="D348" s="192" t="s">
        <v>883</v>
      </c>
      <c r="E348" s="193" t="s">
        <v>112</v>
      </c>
      <c r="F348" s="194" t="s">
        <v>113</v>
      </c>
      <c r="G348" s="195" t="s">
        <v>1524</v>
      </c>
      <c r="H348" s="346">
        <v>1037644733</v>
      </c>
      <c r="I348" s="292">
        <v>7521800</v>
      </c>
      <c r="J348" s="290">
        <v>37609000</v>
      </c>
      <c r="K348" s="158" t="s">
        <v>41</v>
      </c>
      <c r="L348" s="196" t="s">
        <v>1507</v>
      </c>
      <c r="M348" s="114" t="s">
        <v>1494</v>
      </c>
      <c r="N348" s="113" t="e" cm="1">
        <f t="array" aca="1" ref="N348" ca="1">_xlfn.XLOOKUP(Contrato[[#This Row],[SUPERVISOR TITULAR]],PERSONAL_ACTIVO_2025[[#All],[NOMBRES Y APELLIDOS]],PERSONAL_ACTIVO_2025[[#All],[DOCUMENTO]],"",0)</f>
        <v>#NAME?</v>
      </c>
      <c r="O348" s="114" t="s">
        <v>1018</v>
      </c>
      <c r="P348" s="115" t="e" cm="1">
        <f t="array" aca="1" ref="P348" ca="1">_xlfn.XLOOKUP(Contrato[[#This Row],[SUPERVISOR SUPLENTE ]],PERSONAL_ACTIVO_2025[[#All],[NOMBRES Y APELLIDOS]],PERSONAL_ACTIVO_2025[[#All],[DOCUMENTO]],"",0)</f>
        <v>#NAME?</v>
      </c>
      <c r="Q348" s="116">
        <v>404</v>
      </c>
      <c r="R348" s="137" t="e" cm="1">
        <f t="array" aca="1" ref="R348" ca="1">_xlfn.XLOOKUP(Contrato[[#This Row],[CDP]],DISPONIBILIDADES_2025[[#All],[consecutivo]],DISPONIBILIDADES_2025[[#All],[fecha_aprobacion]],"",0)</f>
        <v>#NAME?</v>
      </c>
      <c r="S348" s="92">
        <f>SUMIF(DISPONIBILIDADES_2025[[#All],[consecutivo]],Contrato[[#This Row],[CDP]],DISPONIBILIDADES_2025[[#All],[valor_total_rubro]])</f>
        <v>37609050</v>
      </c>
      <c r="T348" s="118" t="e" cm="1">
        <f t="array" aca="1" ref="T348" ca="1">_xlfn.XLOOKUP(Contrato[[#This Row],[CONTRATO]]&amp;Contrato[[#This Row],[CDP]],Corr_Contr_CDP[[#All],[CONTRATO-CDP]],Corr_Contr_CDP[[#All],[CRP]],_xlfn.XLOOKUP(Contrato[[#This Row],[CDP]],COMPROMISOS_2025[[#All],[disponibilidad]],COMPROMISOS_2025[[#All],[consecutivo]],"",0),0)</f>
        <v>#NAME?</v>
      </c>
      <c r="U348" s="117" t="e" cm="1">
        <f t="array" aca="1" ref="U348" ca="1">+_xlfn.XLOOKUP(Contrato[[#This Row],[RCP]],COMPROMISOS_2025[[#All],[consecutivo]],COMPROMISOS_2025[[#All],[fecha_aprobacion]],"",0)</f>
        <v>#NAME?</v>
      </c>
      <c r="V348" s="93">
        <f ca="1">SUMIF(COMPROMISOS_2025[[#All],[consecutivo]],Contrato[[#This Row],[RCP]],COMPROMISOS_2025[[#All],[valor_total]])</f>
        <v>0</v>
      </c>
      <c r="W348" s="169">
        <v>45735</v>
      </c>
      <c r="X348" s="243" t="s">
        <v>901</v>
      </c>
      <c r="Y348" s="96">
        <v>45737</v>
      </c>
      <c r="Z348" s="161">
        <v>45886</v>
      </c>
      <c r="AA348" s="338" t="s">
        <v>1525</v>
      </c>
      <c r="AB348" s="119" t="s">
        <v>1526</v>
      </c>
      <c r="AC348" s="112"/>
      <c r="AD348" s="472">
        <v>202000006537</v>
      </c>
      <c r="AE348" s="38" t="s">
        <v>904</v>
      </c>
      <c r="AF348" s="120" t="str">
        <f>TEXT(LEFT(Contrato[[#This Row],[CONTRATO]],3),"0")</f>
        <v>341</v>
      </c>
      <c r="AG348" s="120" t="str">
        <f>IF(LEN(Contrato[[#This Row],[Contrato2]])=3,Contrato[[#This Row],[Contrato2]],TEXT(Contrato[[#This Row],[Contrato2]],"000"))</f>
        <v>341</v>
      </c>
      <c r="AH348" s="90">
        <f ca="1">IFERROR(_xlfn.DAYS(Contrato[[#This Row],[Fecha Proyectada liquidación]],TODAY())/30,"")</f>
        <v>7.4333333333333336</v>
      </c>
      <c r="AI348" s="121">
        <f>+Contrato[[#This Row],[FECHA TERMINACIÓN ]]+120</f>
        <v>46006</v>
      </c>
      <c r="AK348" s="91" t="str">
        <f ca="1">IF(Contrato[[#This Row],[FECHA TERMINACIÓN ]]&lt;TODAY(), "Terminado",IF(ISNUMBER(Contrato[[#This Row],[Fecha Real de liquiidación ]]),"Liquidado",IF(Contrato[[#This Row],[FECHA TERMINACIÓN ]]&gt;=TODAY(),"En ejecución","")))</f>
        <v>En ejecución</v>
      </c>
      <c r="AL348" s="107">
        <f ca="1">SUMIF(COMPROMISOS_2025[[#All],[consecutivo]],Contrato[[#This Row],[RCP]],COMPROMISOS_2025[[#All],[Total pagado]])</f>
        <v>0</v>
      </c>
      <c r="AM348" s="122">
        <f ca="1">IFERROR(Contrato[[#This Row],[Pagos]]/Contrato[[#This Row],[VALOR CONTRATO]],0)</f>
        <v>0</v>
      </c>
      <c r="AN348" s="160">
        <f ca="1">+Contrato[[#This Row],[VALOR CONTRATO]]-Contrato[[#This Row],[Pagos]]</f>
        <v>37609000</v>
      </c>
      <c r="AO348" s="111" t="e" cm="1">
        <f t="array" aca="1" ref="AO348" ca="1">_xlfn.XLOOKUP(Contrato[[#This Row],[DOCUMENTO ]],PERSONAL_ACTIVO_2025[[#All],[DOCUMENTO]],PERSONAL_ACTIVO_2025[[#All],[email]],0,0)</f>
        <v>#NAME?</v>
      </c>
      <c r="AP348" s="111" t="e" cm="1">
        <f t="array" aca="1" ref="AP348" ca="1">_xlfn.XLOOKUP(Contrato[[#This Row],[DOCUMENTO]],PERSONAL_ACTIVO_2025[[#All],[DOCUMENTO]],PERSONAL_ACTIVO_2025[[#All],[email]],0,0)</f>
        <v>#NAME?</v>
      </c>
      <c r="AQ348" s="111" cm="1">
        <f t="array" aca="1" ref="AQ348" ca="1">IF(ISBLANK(Contrato[[#This Row],[DEPENDENCIA ]]),0,IFERROR(_xlfn.XLOOKUP(Contrato[[#This Row],[DEPENDENCIA ]],#REF!,#REF!,0,0),0))</f>
        <v>0</v>
      </c>
      <c r="AR348" s="555">
        <f ca="1">+_xlfn.DAYS(Contrato[[#This Row],[FECHA TERMINACIÓN ]],TODAY())</f>
        <v>103</v>
      </c>
    </row>
    <row r="349" spans="1:44" ht="39.75" customHeight="1" x14ac:dyDescent="0.25">
      <c r="A349" s="38">
        <v>569</v>
      </c>
      <c r="B349" s="226">
        <v>342</v>
      </c>
      <c r="C349" s="88" t="s">
        <v>731</v>
      </c>
      <c r="D349" s="192" t="s">
        <v>930</v>
      </c>
      <c r="E349" s="193" t="s">
        <v>112</v>
      </c>
      <c r="F349" s="194" t="s">
        <v>113</v>
      </c>
      <c r="G349" s="195" t="s">
        <v>1527</v>
      </c>
      <c r="H349" s="346">
        <v>1036959787</v>
      </c>
      <c r="I349" s="290">
        <v>3419000</v>
      </c>
      <c r="J349" s="290">
        <v>38646000</v>
      </c>
      <c r="K349" s="297" t="s">
        <v>1528</v>
      </c>
      <c r="L349" s="196" t="s">
        <v>1529</v>
      </c>
      <c r="M349" s="114" t="s">
        <v>994</v>
      </c>
      <c r="N349" s="113" t="e" cm="1">
        <f t="array" aca="1" ref="N349" ca="1">_xlfn.XLOOKUP(Contrato[[#This Row],[SUPERVISOR TITULAR]],PERSONAL_ACTIVO_2025[[#All],[NOMBRES Y APELLIDOS]],PERSONAL_ACTIVO_2025[[#All],[DOCUMENTO]],"",0)</f>
        <v>#NAME?</v>
      </c>
      <c r="O349" s="114" t="s">
        <v>1530</v>
      </c>
      <c r="P349" s="115" t="e" cm="1">
        <f t="array" aca="1" ref="P349" ca="1">_xlfn.XLOOKUP(Contrato[[#This Row],[SUPERVISOR SUPLENTE ]],PERSONAL_ACTIVO_2025[[#All],[NOMBRES Y APELLIDOS]],PERSONAL_ACTIVO_2025[[#All],[DOCUMENTO]],"",0)</f>
        <v>#NAME?</v>
      </c>
      <c r="Q349" s="116">
        <v>390</v>
      </c>
      <c r="R349" s="137" t="e" cm="1">
        <f t="array" aca="1" ref="R349" ca="1">_xlfn.XLOOKUP(Contrato[[#This Row],[CDP]],DISPONIBILIDADES_2025[[#All],[consecutivo]],DISPONIBILIDADES_2025[[#All],[fecha_aprobacion]],"",0)</f>
        <v>#NAME?</v>
      </c>
      <c r="S349" s="92">
        <f>SUMIF(DISPONIBILIDADES_2025[[#All],[consecutivo]],Contrato[[#This Row],[CDP]],DISPONIBILIDADES_2025[[#All],[valor_total_rubro]])</f>
        <v>38646000</v>
      </c>
      <c r="T349" s="118" t="e" cm="1">
        <f t="array" aca="1" ref="T349" ca="1">_xlfn.XLOOKUP(Contrato[[#This Row],[CONTRATO]]&amp;Contrato[[#This Row],[CDP]],Corr_Contr_CDP[[#All],[CONTRATO-CDP]],Corr_Contr_CDP[[#All],[CRP]],_xlfn.XLOOKUP(Contrato[[#This Row],[CDP]],COMPROMISOS_2025[[#All],[disponibilidad]],COMPROMISOS_2025[[#All],[consecutivo]],"",0),0)</f>
        <v>#NAME?</v>
      </c>
      <c r="U349" s="117" t="e" cm="1">
        <f t="array" aca="1" ref="U349" ca="1">+_xlfn.XLOOKUP(Contrato[[#This Row],[RCP]],COMPROMISOS_2025[[#All],[consecutivo]],COMPROMISOS_2025[[#All],[fecha_aprobacion]],"",0)</f>
        <v>#NAME?</v>
      </c>
      <c r="V349" s="93">
        <f ca="1">SUMIF(COMPROMISOS_2025[[#All],[consecutivo]],Contrato[[#This Row],[RCP]],COMPROMISOS_2025[[#All],[valor_total]])</f>
        <v>0</v>
      </c>
      <c r="W349" s="169">
        <v>45737</v>
      </c>
      <c r="X349" s="243" t="s">
        <v>901</v>
      </c>
      <c r="Y349" s="96">
        <v>45742</v>
      </c>
      <c r="Z349" s="161">
        <v>46016</v>
      </c>
      <c r="AA349" s="338" t="s">
        <v>1531</v>
      </c>
      <c r="AB349" s="119" t="s">
        <v>1532</v>
      </c>
      <c r="AC349" s="112"/>
      <c r="AD349" s="472">
        <v>202000006539</v>
      </c>
      <c r="AE349" s="38" t="s">
        <v>904</v>
      </c>
      <c r="AF349" s="120" t="str">
        <f>TEXT(LEFT(Contrato[[#This Row],[CONTRATO]],3),"0")</f>
        <v>342</v>
      </c>
      <c r="AG349" s="120" t="str">
        <f>IF(LEN(Contrato[[#This Row],[Contrato2]])=3,Contrato[[#This Row],[Contrato2]],TEXT(Contrato[[#This Row],[Contrato2]],"000"))</f>
        <v>342</v>
      </c>
      <c r="AH349" s="90">
        <f ca="1">IFERROR(_xlfn.DAYS(Contrato[[#This Row],[Fecha Proyectada liquidación]],TODAY())/30,"")</f>
        <v>11.766666666666667</v>
      </c>
      <c r="AI349" s="121">
        <f>+Contrato[[#This Row],[FECHA TERMINACIÓN ]]+120</f>
        <v>46136</v>
      </c>
      <c r="AK349" s="91" t="str">
        <f ca="1">IF(Contrato[[#This Row],[FECHA TERMINACIÓN ]]&lt;TODAY(), "Terminado",IF(ISNUMBER(Contrato[[#This Row],[Fecha Real de liquiidación ]]),"Liquidado",IF(Contrato[[#This Row],[FECHA TERMINACIÓN ]]&gt;=TODAY(),"En ejecución","")))</f>
        <v>En ejecución</v>
      </c>
      <c r="AL349" s="107">
        <f ca="1">SUMIF(COMPROMISOS_2025[[#All],[consecutivo]],Contrato[[#This Row],[RCP]],COMPROMISOS_2025[[#All],[Total pagado]])</f>
        <v>0</v>
      </c>
      <c r="AM349" s="122">
        <f ca="1">IFERROR(Contrato[[#This Row],[Pagos]]/Contrato[[#This Row],[VALOR CONTRATO]],0)</f>
        <v>0</v>
      </c>
      <c r="AN349" s="160">
        <f ca="1">+Contrato[[#This Row],[VALOR CONTRATO]]-Contrato[[#This Row],[Pagos]]</f>
        <v>38646000</v>
      </c>
      <c r="AO349" s="111" t="e" cm="1">
        <f t="array" aca="1" ref="AO349" ca="1">_xlfn.XLOOKUP(Contrato[[#This Row],[DOCUMENTO ]],PERSONAL_ACTIVO_2025[[#All],[DOCUMENTO]],PERSONAL_ACTIVO_2025[[#All],[email]],0,0)</f>
        <v>#NAME?</v>
      </c>
      <c r="AP349" s="111" t="e" cm="1">
        <f t="array" aca="1" ref="AP349" ca="1">_xlfn.XLOOKUP(Contrato[[#This Row],[DOCUMENTO]],PERSONAL_ACTIVO_2025[[#All],[DOCUMENTO]],PERSONAL_ACTIVO_2025[[#All],[email]],0,0)</f>
        <v>#NAME?</v>
      </c>
      <c r="AQ349" s="111" cm="1">
        <f t="array" aca="1" ref="AQ349" ca="1">IF(ISBLANK(Contrato[[#This Row],[DEPENDENCIA ]]),0,IFERROR(_xlfn.XLOOKUP(Contrato[[#This Row],[DEPENDENCIA ]],#REF!,#REF!,0,0),0))</f>
        <v>0</v>
      </c>
      <c r="AR349" s="555">
        <f ca="1">+_xlfn.DAYS(Contrato[[#This Row],[FECHA TERMINACIÓN ]],TODAY())</f>
        <v>233</v>
      </c>
    </row>
    <row r="350" spans="1:44" ht="39.75" customHeight="1" x14ac:dyDescent="0.25">
      <c r="A350" s="38">
        <v>196</v>
      </c>
      <c r="B350" s="226">
        <v>343</v>
      </c>
      <c r="C350" s="88" t="s">
        <v>395</v>
      </c>
      <c r="D350" s="192" t="s">
        <v>911</v>
      </c>
      <c r="E350" s="193" t="s">
        <v>112</v>
      </c>
      <c r="F350" s="194" t="s">
        <v>361</v>
      </c>
      <c r="G350" s="195" t="s">
        <v>1533</v>
      </c>
      <c r="H350" s="346">
        <v>890906348</v>
      </c>
      <c r="I350" s="290">
        <v>0</v>
      </c>
      <c r="J350" s="290">
        <v>150000000</v>
      </c>
      <c r="K350" s="158" t="s">
        <v>41</v>
      </c>
      <c r="L350" s="196" t="s">
        <v>1529</v>
      </c>
      <c r="M350" s="114" t="s">
        <v>939</v>
      </c>
      <c r="N350" s="113" t="e" cm="1">
        <f t="array" aca="1" ref="N350" ca="1">_xlfn.XLOOKUP(Contrato[[#This Row],[SUPERVISOR TITULAR]],PERSONAL_ACTIVO_2025[[#All],[NOMBRES Y APELLIDOS]],PERSONAL_ACTIVO_2025[[#All],[DOCUMENTO]],"",0)</f>
        <v>#NAME?</v>
      </c>
      <c r="O350" s="114" t="s">
        <v>943</v>
      </c>
      <c r="P350" s="115" t="e" cm="1">
        <f t="array" aca="1" ref="P350" ca="1">_xlfn.XLOOKUP(Contrato[[#This Row],[SUPERVISOR SUPLENTE ]],PERSONAL_ACTIVO_2025[[#All],[NOMBRES Y APELLIDOS]],PERSONAL_ACTIVO_2025[[#All],[DOCUMENTO]],"",0)</f>
        <v>#NAME?</v>
      </c>
      <c r="Q350" s="116">
        <v>394</v>
      </c>
      <c r="R350" s="137" t="e" cm="1">
        <f t="array" aca="1" ref="R350" ca="1">_xlfn.XLOOKUP(Contrato[[#This Row],[CDP]],DISPONIBILIDADES_2025[[#All],[consecutivo]],DISPONIBILIDADES_2025[[#All],[fecha_aprobacion]],"",0)</f>
        <v>#NAME?</v>
      </c>
      <c r="S350" s="92">
        <f>SUMIF(DISPONIBILIDADES_2025[[#All],[consecutivo]],Contrato[[#This Row],[CDP]],DISPONIBILIDADES_2025[[#All],[valor_total_rubro]])</f>
        <v>150000000</v>
      </c>
      <c r="T350" s="118" t="e" cm="1">
        <f t="array" aca="1" ref="T350" ca="1">_xlfn.XLOOKUP(Contrato[[#This Row],[CONTRATO]]&amp;Contrato[[#This Row],[CDP]],Corr_Contr_CDP[[#All],[CONTRATO-CDP]],Corr_Contr_CDP[[#All],[CRP]],_xlfn.XLOOKUP(Contrato[[#This Row],[CDP]],COMPROMISOS_2025[[#All],[disponibilidad]],COMPROMISOS_2025[[#All],[consecutivo]],"",0),0)</f>
        <v>#NAME?</v>
      </c>
      <c r="U350" s="117" t="e" cm="1">
        <f t="array" aca="1" ref="U350" ca="1">+_xlfn.XLOOKUP(Contrato[[#This Row],[RCP]],COMPROMISOS_2025[[#All],[consecutivo]],COMPROMISOS_2025[[#All],[fecha_aprobacion]],"",0)</f>
        <v>#NAME?</v>
      </c>
      <c r="V350" s="93">
        <f ca="1">SUMIF(COMPROMISOS_2025[[#All],[consecutivo]],Contrato[[#This Row],[RCP]],COMPROMISOS_2025[[#All],[valor_total]])</f>
        <v>0</v>
      </c>
      <c r="W350" s="169">
        <v>45741</v>
      </c>
      <c r="X350" s="243">
        <v>45747</v>
      </c>
      <c r="Y350" s="96">
        <v>45747</v>
      </c>
      <c r="Z350" s="161">
        <v>46021</v>
      </c>
      <c r="AA350" s="338" t="s">
        <v>1534</v>
      </c>
      <c r="AB350" s="119" t="s">
        <v>1532</v>
      </c>
      <c r="AC350" s="112"/>
      <c r="AD350" s="472">
        <v>202000006540</v>
      </c>
      <c r="AE350" s="38" t="s">
        <v>904</v>
      </c>
      <c r="AF350" s="120" t="str">
        <f>TEXT(LEFT(Contrato[[#This Row],[CONTRATO]],3),"0")</f>
        <v>343</v>
      </c>
      <c r="AG350" s="120" t="str">
        <f>IF(LEN(Contrato[[#This Row],[Contrato2]])=3,Contrato[[#This Row],[Contrato2]],TEXT(Contrato[[#This Row],[Contrato2]],"000"))</f>
        <v>343</v>
      </c>
      <c r="AH350" s="90">
        <f ca="1">IFERROR(_xlfn.DAYS(Contrato[[#This Row],[Fecha Proyectada liquidación]],TODAY())/30,"")</f>
        <v>11.933333333333334</v>
      </c>
      <c r="AI350" s="121">
        <f>+Contrato[[#This Row],[FECHA TERMINACIÓN ]]+120</f>
        <v>46141</v>
      </c>
      <c r="AK350" s="91" t="str">
        <f ca="1">IF(Contrato[[#This Row],[FECHA TERMINACIÓN ]]&lt;TODAY(), "Terminado",IF(ISNUMBER(Contrato[[#This Row],[Fecha Real de liquiidación ]]),"Liquidado",IF(Contrato[[#This Row],[FECHA TERMINACIÓN ]]&gt;=TODAY(),"En ejecución","")))</f>
        <v>En ejecución</v>
      </c>
      <c r="AL350" s="107">
        <f ca="1">SUMIF(COMPROMISOS_2025[[#All],[consecutivo]],Contrato[[#This Row],[RCP]],COMPROMISOS_2025[[#All],[Total pagado]])</f>
        <v>0</v>
      </c>
      <c r="AM350" s="122">
        <f ca="1">IFERROR(Contrato[[#This Row],[Pagos]]/Contrato[[#This Row],[VALOR CONTRATO]],0)</f>
        <v>0</v>
      </c>
      <c r="AN350" s="160">
        <f ca="1">+Contrato[[#This Row],[VALOR CONTRATO]]-Contrato[[#This Row],[Pagos]]</f>
        <v>150000000</v>
      </c>
      <c r="AO350" s="111" t="e" cm="1">
        <f t="array" aca="1" ref="AO350" ca="1">_xlfn.XLOOKUP(Contrato[[#This Row],[DOCUMENTO ]],PERSONAL_ACTIVO_2025[[#All],[DOCUMENTO]],PERSONAL_ACTIVO_2025[[#All],[email]],0,0)</f>
        <v>#NAME?</v>
      </c>
      <c r="AP350" s="111" t="e" cm="1">
        <f t="array" aca="1" ref="AP350" ca="1">_xlfn.XLOOKUP(Contrato[[#This Row],[DOCUMENTO]],PERSONAL_ACTIVO_2025[[#All],[DOCUMENTO]],PERSONAL_ACTIVO_2025[[#All],[email]],0,0)</f>
        <v>#NAME?</v>
      </c>
      <c r="AQ350" s="111" cm="1">
        <f t="array" aca="1" ref="AQ350" ca="1">IF(ISBLANK(Contrato[[#This Row],[DEPENDENCIA ]]),0,IFERROR(_xlfn.XLOOKUP(Contrato[[#This Row],[DEPENDENCIA ]],#REF!,#REF!,0,0),0))</f>
        <v>0</v>
      </c>
      <c r="AR350" s="555">
        <f ca="1">+_xlfn.DAYS(Contrato[[#This Row],[FECHA TERMINACIÓN ]],TODAY())</f>
        <v>238</v>
      </c>
    </row>
    <row r="351" spans="1:44" ht="39.75" customHeight="1" x14ac:dyDescent="0.25">
      <c r="A351" s="38">
        <v>187</v>
      </c>
      <c r="B351" s="226">
        <v>344</v>
      </c>
      <c r="C351" s="88" t="s">
        <v>386</v>
      </c>
      <c r="D351" s="192" t="s">
        <v>911</v>
      </c>
      <c r="E351" s="193" t="s">
        <v>112</v>
      </c>
      <c r="F351" s="194" t="s">
        <v>361</v>
      </c>
      <c r="G351" s="195" t="s">
        <v>1535</v>
      </c>
      <c r="H351" s="346">
        <v>890904948</v>
      </c>
      <c r="I351" s="290">
        <v>0</v>
      </c>
      <c r="J351" s="290">
        <v>200000000</v>
      </c>
      <c r="K351" s="158" t="s">
        <v>41</v>
      </c>
      <c r="L351" s="196" t="s">
        <v>1529</v>
      </c>
      <c r="M351" s="114" t="s">
        <v>939</v>
      </c>
      <c r="N351" s="113" t="e" cm="1">
        <f t="array" aca="1" ref="N351" ca="1">_xlfn.XLOOKUP(Contrato[[#This Row],[SUPERVISOR TITULAR]],PERSONAL_ACTIVO_2025[[#All],[NOMBRES Y APELLIDOS]],PERSONAL_ACTIVO_2025[[#All],[DOCUMENTO]],"",0)</f>
        <v>#NAME?</v>
      </c>
      <c r="O351" s="114" t="s">
        <v>943</v>
      </c>
      <c r="P351" s="115" t="e" cm="1">
        <f t="array" aca="1" ref="P351" ca="1">_xlfn.XLOOKUP(Contrato[[#This Row],[SUPERVISOR SUPLENTE ]],PERSONAL_ACTIVO_2025[[#All],[NOMBRES Y APELLIDOS]],PERSONAL_ACTIVO_2025[[#All],[DOCUMENTO]],"",0)</f>
        <v>#NAME?</v>
      </c>
      <c r="Q351" s="116">
        <v>392</v>
      </c>
      <c r="R351" s="137" t="e" cm="1">
        <f t="array" aca="1" ref="R351" ca="1">_xlfn.XLOOKUP(Contrato[[#This Row],[CDP]],DISPONIBILIDADES_2025[[#All],[consecutivo]],DISPONIBILIDADES_2025[[#All],[fecha_aprobacion]],"",0)</f>
        <v>#NAME?</v>
      </c>
      <c r="S351" s="92">
        <f>SUMIF(DISPONIBILIDADES_2025[[#All],[consecutivo]],Contrato[[#This Row],[CDP]],DISPONIBILIDADES_2025[[#All],[valor_total_rubro]])</f>
        <v>200000000</v>
      </c>
      <c r="T351" s="118" t="e" cm="1">
        <f t="array" aca="1" ref="T351" ca="1">_xlfn.XLOOKUP(Contrato[[#This Row],[CONTRATO]]&amp;Contrato[[#This Row],[CDP]],Corr_Contr_CDP[[#All],[CONTRATO-CDP]],Corr_Contr_CDP[[#All],[CRP]],_xlfn.XLOOKUP(Contrato[[#This Row],[CDP]],COMPROMISOS_2025[[#All],[disponibilidad]],COMPROMISOS_2025[[#All],[consecutivo]],"",0),0)</f>
        <v>#NAME?</v>
      </c>
      <c r="U351" s="117" t="e" cm="1">
        <f t="array" aca="1" ref="U351" ca="1">+_xlfn.XLOOKUP(Contrato[[#This Row],[RCP]],COMPROMISOS_2025[[#All],[consecutivo]],COMPROMISOS_2025[[#All],[fecha_aprobacion]],"",0)</f>
        <v>#NAME?</v>
      </c>
      <c r="V351" s="93">
        <f ca="1">SUMIF(COMPROMISOS_2025[[#All],[consecutivo]],Contrato[[#This Row],[RCP]],COMPROMISOS_2025[[#All],[valor_total]])</f>
        <v>0</v>
      </c>
      <c r="W351" s="169">
        <v>45742</v>
      </c>
      <c r="X351" s="243">
        <v>45742</v>
      </c>
      <c r="Y351" s="96">
        <v>45743</v>
      </c>
      <c r="Z351" s="161">
        <v>46021</v>
      </c>
      <c r="AA351" s="338" t="s">
        <v>1536</v>
      </c>
      <c r="AB351" s="119" t="s">
        <v>1532</v>
      </c>
      <c r="AC351" s="112"/>
      <c r="AD351" s="472">
        <v>202000006541</v>
      </c>
      <c r="AE351" s="38" t="s">
        <v>904</v>
      </c>
      <c r="AF351" s="120" t="str">
        <f>TEXT(LEFT(Contrato[[#This Row],[CONTRATO]],3),"0")</f>
        <v>344</v>
      </c>
      <c r="AG351" s="120" t="str">
        <f>IF(LEN(Contrato[[#This Row],[Contrato2]])=3,Contrato[[#This Row],[Contrato2]],TEXT(Contrato[[#This Row],[Contrato2]],"000"))</f>
        <v>344</v>
      </c>
      <c r="AH351" s="90">
        <f ca="1">IFERROR(_xlfn.DAYS(Contrato[[#This Row],[Fecha Proyectada liquidación]],TODAY())/30,"")</f>
        <v>11.933333333333334</v>
      </c>
      <c r="AI351" s="121">
        <f>+Contrato[[#This Row],[FECHA TERMINACIÓN ]]+120</f>
        <v>46141</v>
      </c>
      <c r="AK351" s="91" t="str">
        <f ca="1">IF(Contrato[[#This Row],[FECHA TERMINACIÓN ]]&lt;TODAY(), "Terminado",IF(ISNUMBER(Contrato[[#This Row],[Fecha Real de liquiidación ]]),"Liquidado",IF(Contrato[[#This Row],[FECHA TERMINACIÓN ]]&gt;=TODAY(),"En ejecución","")))</f>
        <v>En ejecución</v>
      </c>
      <c r="AL351" s="107">
        <f ca="1">SUMIF(COMPROMISOS_2025[[#All],[consecutivo]],Contrato[[#This Row],[RCP]],COMPROMISOS_2025[[#All],[Total pagado]])</f>
        <v>0</v>
      </c>
      <c r="AM351" s="122">
        <f ca="1">IFERROR(Contrato[[#This Row],[Pagos]]/Contrato[[#This Row],[VALOR CONTRATO]],0)</f>
        <v>0</v>
      </c>
      <c r="AN351" s="160">
        <f ca="1">+Contrato[[#This Row],[VALOR CONTRATO]]-Contrato[[#This Row],[Pagos]]</f>
        <v>200000000</v>
      </c>
      <c r="AO351" s="111" t="e" cm="1">
        <f t="array" aca="1" ref="AO351" ca="1">_xlfn.XLOOKUP(Contrato[[#This Row],[DOCUMENTO ]],PERSONAL_ACTIVO_2025[[#All],[DOCUMENTO]],PERSONAL_ACTIVO_2025[[#All],[email]],0,0)</f>
        <v>#NAME?</v>
      </c>
      <c r="AP351" s="111" t="e" cm="1">
        <f t="array" aca="1" ref="AP351" ca="1">_xlfn.XLOOKUP(Contrato[[#This Row],[DOCUMENTO]],PERSONAL_ACTIVO_2025[[#All],[DOCUMENTO]],PERSONAL_ACTIVO_2025[[#All],[email]],0,0)</f>
        <v>#NAME?</v>
      </c>
      <c r="AQ351" s="111" cm="1">
        <f t="array" aca="1" ref="AQ351" ca="1">IF(ISBLANK(Contrato[[#This Row],[DEPENDENCIA ]]),0,IFERROR(_xlfn.XLOOKUP(Contrato[[#This Row],[DEPENDENCIA ]],#REF!,#REF!,0,0),0))</f>
        <v>0</v>
      </c>
      <c r="AR351" s="555">
        <f ca="1">+_xlfn.DAYS(Contrato[[#This Row],[FECHA TERMINACIÓN ]],TODAY())</f>
        <v>238</v>
      </c>
    </row>
    <row r="352" spans="1:44" ht="39.75" customHeight="1" x14ac:dyDescent="0.25">
      <c r="A352" s="38">
        <v>576</v>
      </c>
      <c r="B352" s="226">
        <v>345</v>
      </c>
      <c r="C352" s="88" t="s">
        <v>795</v>
      </c>
      <c r="D352" s="192" t="s">
        <v>930</v>
      </c>
      <c r="E352" s="193" t="s">
        <v>112</v>
      </c>
      <c r="F352" s="194" t="s">
        <v>125</v>
      </c>
      <c r="G352" s="195" t="s">
        <v>1537</v>
      </c>
      <c r="H352" s="167">
        <v>830507669</v>
      </c>
      <c r="I352" s="290">
        <v>0</v>
      </c>
      <c r="J352" s="292">
        <v>90040000</v>
      </c>
      <c r="K352" s="158" t="s">
        <v>41</v>
      </c>
      <c r="L352" s="196" t="s">
        <v>1529</v>
      </c>
      <c r="M352" s="114" t="s">
        <v>971</v>
      </c>
      <c r="N352" s="113" t="e" cm="1">
        <f t="array" aca="1" ref="N352" ca="1">_xlfn.XLOOKUP(Contrato[[#This Row],[SUPERVISOR TITULAR]],PERSONAL_ACTIVO_2025[[#All],[NOMBRES Y APELLIDOS]],PERSONAL_ACTIVO_2025[[#All],[DOCUMENTO]],"",0)</f>
        <v>#NAME?</v>
      </c>
      <c r="O352" s="114" t="s">
        <v>979</v>
      </c>
      <c r="P352" s="115" t="e" cm="1">
        <f t="array" aca="1" ref="P352" ca="1">_xlfn.XLOOKUP(Contrato[[#This Row],[SUPERVISOR SUPLENTE ]],PERSONAL_ACTIVO_2025[[#All],[NOMBRES Y APELLIDOS]],PERSONAL_ACTIVO_2025[[#All],[DOCUMENTO]],"",0)</f>
        <v>#NAME?</v>
      </c>
      <c r="Q352" s="116">
        <v>411</v>
      </c>
      <c r="R352" s="137" t="e" cm="1">
        <f t="array" aca="1" ref="R352" ca="1">_xlfn.XLOOKUP(Contrato[[#This Row],[CDP]],DISPONIBILIDADES_2025[[#All],[consecutivo]],DISPONIBILIDADES_2025[[#All],[fecha_aprobacion]],"",0)</f>
        <v>#NAME?</v>
      </c>
      <c r="S352" s="92">
        <f>SUMIF(DISPONIBILIDADES_2025[[#All],[consecutivo]],Contrato[[#This Row],[CDP]],DISPONIBILIDADES_2025[[#All],[valor_total_rubro]])</f>
        <v>90040000</v>
      </c>
      <c r="T352" s="118" t="e" cm="1">
        <f t="array" aca="1" ref="T352" ca="1">_xlfn.XLOOKUP(Contrato[[#This Row],[CONTRATO]]&amp;Contrato[[#This Row],[CDP]],Corr_Contr_CDP[[#All],[CONTRATO-CDP]],Corr_Contr_CDP[[#All],[CRP]],_xlfn.XLOOKUP(Contrato[[#This Row],[CDP]],COMPROMISOS_2025[[#All],[disponibilidad]],COMPROMISOS_2025[[#All],[consecutivo]],"",0),0)</f>
        <v>#NAME?</v>
      </c>
      <c r="U352" s="117" t="e" cm="1">
        <f t="array" aca="1" ref="U352" ca="1">+_xlfn.XLOOKUP(Contrato[[#This Row],[RCP]],COMPROMISOS_2025[[#All],[consecutivo]],COMPROMISOS_2025[[#All],[fecha_aprobacion]],"",0)</f>
        <v>#NAME?</v>
      </c>
      <c r="V352" s="93">
        <f ca="1">SUMIF(COMPROMISOS_2025[[#All],[consecutivo]],Contrato[[#This Row],[RCP]],COMPROMISOS_2025[[#All],[valor_total]])</f>
        <v>0</v>
      </c>
      <c r="W352" s="169">
        <v>45743</v>
      </c>
      <c r="X352" s="243">
        <v>45749</v>
      </c>
      <c r="Y352" s="96">
        <v>45751</v>
      </c>
      <c r="Z352" s="161">
        <v>45780</v>
      </c>
      <c r="AA352" s="311" t="s">
        <v>1538</v>
      </c>
      <c r="AB352" s="119" t="s">
        <v>950</v>
      </c>
      <c r="AC352" s="112"/>
      <c r="AD352" s="543"/>
      <c r="AE352" s="38" t="s">
        <v>904</v>
      </c>
      <c r="AF352" s="120" t="str">
        <f>TEXT(LEFT(Contrato[[#This Row],[CONTRATO]],3),"0")</f>
        <v>345</v>
      </c>
      <c r="AG352" s="120" t="str">
        <f>IF(LEN(Contrato[[#This Row],[Contrato2]])=3,Contrato[[#This Row],[Contrato2]],TEXT(Contrato[[#This Row],[Contrato2]],"000"))</f>
        <v>345</v>
      </c>
      <c r="AH352" s="90">
        <f ca="1">IFERROR(_xlfn.DAYS(Contrato[[#This Row],[Fecha Proyectada liquidación]],TODAY())/30,"")</f>
        <v>3.9</v>
      </c>
      <c r="AI352" s="121">
        <f>+Contrato[[#This Row],[FECHA TERMINACIÓN ]]+120</f>
        <v>45900</v>
      </c>
      <c r="AK352" s="91" t="str">
        <f ca="1">IF(Contrato[[#This Row],[FECHA TERMINACIÓN ]]&lt;TODAY(), "Terminado",IF(ISNUMBER(Contrato[[#This Row],[Fecha Real de liquiidación ]]),"Liquidado",IF(Contrato[[#This Row],[FECHA TERMINACIÓN ]]&gt;=TODAY(),"En ejecución","")))</f>
        <v>Terminado</v>
      </c>
      <c r="AL352" s="107">
        <f ca="1">SUMIF(COMPROMISOS_2025[[#All],[consecutivo]],Contrato[[#This Row],[RCP]],COMPROMISOS_2025[[#All],[Total pagado]])</f>
        <v>0</v>
      </c>
      <c r="AM352" s="122">
        <f ca="1">IFERROR(Contrato[[#This Row],[Pagos]]/Contrato[[#This Row],[VALOR CONTRATO]],0)</f>
        <v>0</v>
      </c>
      <c r="AN352" s="160">
        <f ca="1">+Contrato[[#This Row],[VALOR CONTRATO]]-Contrato[[#This Row],[Pagos]]</f>
        <v>90040000</v>
      </c>
      <c r="AO352" s="111" t="e" cm="1">
        <f t="array" aca="1" ref="AO352" ca="1">_xlfn.XLOOKUP(Contrato[[#This Row],[DOCUMENTO ]],PERSONAL_ACTIVO_2025[[#All],[DOCUMENTO]],PERSONAL_ACTIVO_2025[[#All],[email]],0,0)</f>
        <v>#NAME?</v>
      </c>
      <c r="AP352" s="111" t="e" cm="1">
        <f t="array" aca="1" ref="AP352" ca="1">_xlfn.XLOOKUP(Contrato[[#This Row],[DOCUMENTO]],PERSONAL_ACTIVO_2025[[#All],[DOCUMENTO]],PERSONAL_ACTIVO_2025[[#All],[email]],0,0)</f>
        <v>#NAME?</v>
      </c>
      <c r="AQ352" s="111" cm="1">
        <f t="array" aca="1" ref="AQ352" ca="1">IF(ISBLANK(Contrato[[#This Row],[DEPENDENCIA ]]),0,IFERROR(_xlfn.XLOOKUP(Contrato[[#This Row],[DEPENDENCIA ]],#REF!,#REF!,0,0),0))</f>
        <v>0</v>
      </c>
      <c r="AR352" s="555">
        <f ca="1">+_xlfn.DAYS(Contrato[[#This Row],[FECHA TERMINACIÓN ]],TODAY())</f>
        <v>-3</v>
      </c>
    </row>
    <row r="353" spans="1:44" ht="39.75" customHeight="1" x14ac:dyDescent="0.25">
      <c r="A353" s="38">
        <v>188</v>
      </c>
      <c r="B353" s="226">
        <v>346</v>
      </c>
      <c r="C353" s="88" t="s">
        <v>387</v>
      </c>
      <c r="D353" s="192" t="s">
        <v>911</v>
      </c>
      <c r="E353" s="193" t="s">
        <v>112</v>
      </c>
      <c r="F353" s="194" t="s">
        <v>361</v>
      </c>
      <c r="G353" s="195" t="s">
        <v>1539</v>
      </c>
      <c r="H353" s="346">
        <v>811013033</v>
      </c>
      <c r="I353" s="290">
        <v>0</v>
      </c>
      <c r="J353" s="290">
        <v>120000000</v>
      </c>
      <c r="K353" s="158" t="s">
        <v>41</v>
      </c>
      <c r="L353" s="196" t="s">
        <v>1529</v>
      </c>
      <c r="M353" s="114" t="s">
        <v>939</v>
      </c>
      <c r="N353" s="113" t="e" cm="1">
        <f t="array" aca="1" ref="N353" ca="1">_xlfn.XLOOKUP(Contrato[[#This Row],[SUPERVISOR TITULAR]],PERSONAL_ACTIVO_2025[[#All],[NOMBRES Y APELLIDOS]],PERSONAL_ACTIVO_2025[[#All],[DOCUMENTO]],"",0)</f>
        <v>#NAME?</v>
      </c>
      <c r="O353" s="114" t="s">
        <v>943</v>
      </c>
      <c r="P353" s="115" t="e" cm="1">
        <f t="array" aca="1" ref="P353" ca="1">_xlfn.XLOOKUP(Contrato[[#This Row],[SUPERVISOR SUPLENTE ]],PERSONAL_ACTIVO_2025[[#All],[NOMBRES Y APELLIDOS]],PERSONAL_ACTIVO_2025[[#All],[DOCUMENTO]],"",0)</f>
        <v>#NAME?</v>
      </c>
      <c r="Q353" s="116">
        <v>393</v>
      </c>
      <c r="R353" s="137" t="e" cm="1">
        <f t="array" aca="1" ref="R353" ca="1">_xlfn.XLOOKUP(Contrato[[#This Row],[CDP]],DISPONIBILIDADES_2025[[#All],[consecutivo]],DISPONIBILIDADES_2025[[#All],[fecha_aprobacion]],"",0)</f>
        <v>#NAME?</v>
      </c>
      <c r="S353" s="92">
        <f>SUMIF(DISPONIBILIDADES_2025[[#All],[consecutivo]],Contrato[[#This Row],[CDP]],DISPONIBILIDADES_2025[[#All],[valor_total_rubro]])</f>
        <v>120000000</v>
      </c>
      <c r="T353" s="118" t="e" cm="1">
        <f t="array" aca="1" ref="T353" ca="1">_xlfn.XLOOKUP(Contrato[[#This Row],[CONTRATO]]&amp;Contrato[[#This Row],[CDP]],Corr_Contr_CDP[[#All],[CONTRATO-CDP]],Corr_Contr_CDP[[#All],[CRP]],_xlfn.XLOOKUP(Contrato[[#This Row],[CDP]],COMPROMISOS_2025[[#All],[disponibilidad]],COMPROMISOS_2025[[#All],[consecutivo]],"",0),0)</f>
        <v>#NAME?</v>
      </c>
      <c r="U353" s="117" t="e" cm="1">
        <f t="array" aca="1" ref="U353" ca="1">+_xlfn.XLOOKUP(Contrato[[#This Row],[RCP]],COMPROMISOS_2025[[#All],[consecutivo]],COMPROMISOS_2025[[#All],[fecha_aprobacion]],"",0)</f>
        <v>#NAME?</v>
      </c>
      <c r="V353" s="93">
        <f ca="1">SUMIF(COMPROMISOS_2025[[#All],[consecutivo]],Contrato[[#This Row],[RCP]],COMPROMISOS_2025[[#All],[valor_total]])</f>
        <v>0</v>
      </c>
      <c r="W353" s="243">
        <v>45741</v>
      </c>
      <c r="X353" s="243">
        <v>45742</v>
      </c>
      <c r="Y353" s="96">
        <v>45742</v>
      </c>
      <c r="Z353" s="161">
        <v>46022</v>
      </c>
      <c r="AA353" s="338" t="s">
        <v>1540</v>
      </c>
      <c r="AB353" s="119" t="s">
        <v>1532</v>
      </c>
      <c r="AC353" s="112"/>
      <c r="AD353" s="472">
        <v>202000006542</v>
      </c>
      <c r="AE353" s="38" t="s">
        <v>904</v>
      </c>
      <c r="AF353" s="120" t="str">
        <f>TEXT(LEFT(Contrato[[#This Row],[CONTRATO]],3),"0")</f>
        <v>346</v>
      </c>
      <c r="AG353" s="120" t="str">
        <f>IF(LEN(Contrato[[#This Row],[Contrato2]])=3,Contrato[[#This Row],[Contrato2]],TEXT(Contrato[[#This Row],[Contrato2]],"000"))</f>
        <v>346</v>
      </c>
      <c r="AH353" s="90">
        <f ca="1">IFERROR(_xlfn.DAYS(Contrato[[#This Row],[Fecha Proyectada liquidación]],TODAY())/30,"")</f>
        <v>11.966666666666667</v>
      </c>
      <c r="AI353" s="121">
        <f>+Contrato[[#This Row],[FECHA TERMINACIÓN ]]+120</f>
        <v>46142</v>
      </c>
      <c r="AK353" s="91" t="str">
        <f ca="1">IF(Contrato[[#This Row],[FECHA TERMINACIÓN ]]&lt;TODAY(), "Terminado",IF(ISNUMBER(Contrato[[#This Row],[Fecha Real de liquiidación ]]),"Liquidado",IF(Contrato[[#This Row],[FECHA TERMINACIÓN ]]&gt;=TODAY(),"En ejecución","")))</f>
        <v>En ejecución</v>
      </c>
      <c r="AL353" s="107">
        <f ca="1">SUMIF(COMPROMISOS_2025[[#All],[consecutivo]],Contrato[[#This Row],[RCP]],COMPROMISOS_2025[[#All],[Total pagado]])</f>
        <v>0</v>
      </c>
      <c r="AM353" s="122">
        <f ca="1">IFERROR(Contrato[[#This Row],[Pagos]]/Contrato[[#This Row],[VALOR CONTRATO]],0)</f>
        <v>0</v>
      </c>
      <c r="AN353" s="160">
        <f ca="1">+Contrato[[#This Row],[VALOR CONTRATO]]-Contrato[[#This Row],[Pagos]]</f>
        <v>120000000</v>
      </c>
      <c r="AO353" s="111" t="e" cm="1">
        <f t="array" aca="1" ref="AO353" ca="1">_xlfn.XLOOKUP(Contrato[[#This Row],[DOCUMENTO ]],PERSONAL_ACTIVO_2025[[#All],[DOCUMENTO]],PERSONAL_ACTIVO_2025[[#All],[email]],0,0)</f>
        <v>#NAME?</v>
      </c>
      <c r="AP353" s="111" t="e" cm="1">
        <f t="array" aca="1" ref="AP353" ca="1">_xlfn.XLOOKUP(Contrato[[#This Row],[DOCUMENTO]],PERSONAL_ACTIVO_2025[[#All],[DOCUMENTO]],PERSONAL_ACTIVO_2025[[#All],[email]],0,0)</f>
        <v>#NAME?</v>
      </c>
      <c r="AQ353" s="111" cm="1">
        <f t="array" aca="1" ref="AQ353" ca="1">IF(ISBLANK(Contrato[[#This Row],[DEPENDENCIA ]]),0,IFERROR(_xlfn.XLOOKUP(Contrato[[#This Row],[DEPENDENCIA ]],#REF!,#REF!,0,0),0))</f>
        <v>0</v>
      </c>
      <c r="AR353" s="555">
        <f ca="1">+_xlfn.DAYS(Contrato[[#This Row],[FECHA TERMINACIÓN ]],TODAY())</f>
        <v>239</v>
      </c>
    </row>
    <row r="354" spans="1:44" ht="39.75" customHeight="1" x14ac:dyDescent="0.25">
      <c r="A354" s="38">
        <v>567</v>
      </c>
      <c r="B354" s="226">
        <v>347</v>
      </c>
      <c r="C354" s="88" t="s">
        <v>780</v>
      </c>
      <c r="D354" s="192" t="s">
        <v>883</v>
      </c>
      <c r="E354" s="193" t="s">
        <v>112</v>
      </c>
      <c r="F354" s="194" t="s">
        <v>113</v>
      </c>
      <c r="G354" s="195" t="s">
        <v>1541</v>
      </c>
      <c r="H354" s="346">
        <v>39358357</v>
      </c>
      <c r="I354" s="290">
        <v>3419000</v>
      </c>
      <c r="J354" s="290">
        <v>17095000</v>
      </c>
      <c r="K354" s="158" t="s">
        <v>41</v>
      </c>
      <c r="L354" s="196" t="s">
        <v>1529</v>
      </c>
      <c r="M354" s="114" t="s">
        <v>965</v>
      </c>
      <c r="N354" s="113" t="e" cm="1">
        <f t="array" aca="1" ref="N354" ca="1">_xlfn.XLOOKUP(Contrato[[#This Row],[SUPERVISOR TITULAR]],PERSONAL_ACTIVO_2025[[#All],[NOMBRES Y APELLIDOS]],PERSONAL_ACTIVO_2025[[#All],[DOCUMENTO]],"",0)</f>
        <v>#NAME?</v>
      </c>
      <c r="O354" s="114" t="s">
        <v>1034</v>
      </c>
      <c r="P354" s="115" t="e" cm="1">
        <f t="array" aca="1" ref="P354" ca="1">_xlfn.XLOOKUP(Contrato[[#This Row],[SUPERVISOR SUPLENTE ]],PERSONAL_ACTIVO_2025[[#All],[NOMBRES Y APELLIDOS]],PERSONAL_ACTIVO_2025[[#All],[DOCUMENTO]],"",0)</f>
        <v>#NAME?</v>
      </c>
      <c r="Q354" s="116">
        <v>388</v>
      </c>
      <c r="R354" s="137" t="e" cm="1">
        <f t="array" aca="1" ref="R354" ca="1">_xlfn.XLOOKUP(Contrato[[#This Row],[CDP]],DISPONIBILIDADES_2025[[#All],[consecutivo]],DISPONIBILIDADES_2025[[#All],[fecha_aprobacion]],"",0)</f>
        <v>#NAME?</v>
      </c>
      <c r="S354" s="92">
        <f>SUMIF(DISPONIBILIDADES_2025[[#All],[consecutivo]],Contrato[[#This Row],[CDP]],DISPONIBILIDADES_2025[[#All],[valor_total_rubro]])</f>
        <v>17095000</v>
      </c>
      <c r="T354" s="118" t="e" cm="1">
        <f t="array" aca="1" ref="T354" ca="1">_xlfn.XLOOKUP(Contrato[[#This Row],[CONTRATO]]&amp;Contrato[[#This Row],[CDP]],Corr_Contr_CDP[[#All],[CONTRATO-CDP]],Corr_Contr_CDP[[#All],[CRP]],_xlfn.XLOOKUP(Contrato[[#This Row],[CDP]],COMPROMISOS_2025[[#All],[disponibilidad]],COMPROMISOS_2025[[#All],[consecutivo]],"",0),0)</f>
        <v>#NAME?</v>
      </c>
      <c r="U354" s="117" t="e" cm="1">
        <f t="array" aca="1" ref="U354" ca="1">+_xlfn.XLOOKUP(Contrato[[#This Row],[RCP]],COMPROMISOS_2025[[#All],[consecutivo]],COMPROMISOS_2025[[#All],[fecha_aprobacion]],"",0)</f>
        <v>#NAME?</v>
      </c>
      <c r="V354" s="93">
        <f ca="1">SUMIF(COMPROMISOS_2025[[#All],[consecutivo]],Contrato[[#This Row],[RCP]],COMPROMISOS_2025[[#All],[valor_total]])</f>
        <v>0</v>
      </c>
      <c r="W354" s="243">
        <v>45748</v>
      </c>
      <c r="X354" s="243" t="s">
        <v>901</v>
      </c>
      <c r="Y354" s="96">
        <v>45754</v>
      </c>
      <c r="Z354" s="161">
        <v>45906</v>
      </c>
      <c r="AA354" s="473" t="s">
        <v>1542</v>
      </c>
      <c r="AB354" s="119" t="s">
        <v>920</v>
      </c>
      <c r="AC354" s="112"/>
      <c r="AD354" s="543"/>
      <c r="AE354" s="38" t="s">
        <v>904</v>
      </c>
      <c r="AF354" s="120" t="str">
        <f>TEXT(LEFT(Contrato[[#This Row],[CONTRATO]],3),"0")</f>
        <v>347</v>
      </c>
      <c r="AG354" s="120" t="str">
        <f>IF(LEN(Contrato[[#This Row],[Contrato2]])=3,Contrato[[#This Row],[Contrato2]],TEXT(Contrato[[#This Row],[Contrato2]],"000"))</f>
        <v>347</v>
      </c>
      <c r="AH354" s="90">
        <f ca="1">IFERROR(_xlfn.DAYS(Contrato[[#This Row],[Fecha Proyectada liquidación]],TODAY())/30,"")</f>
        <v>8.1</v>
      </c>
      <c r="AI354" s="121">
        <f>+Contrato[[#This Row],[FECHA TERMINACIÓN ]]+120</f>
        <v>46026</v>
      </c>
      <c r="AK354" s="91" t="str">
        <f ca="1">IF(Contrato[[#This Row],[FECHA TERMINACIÓN ]]&lt;TODAY(), "Terminado",IF(ISNUMBER(Contrato[[#This Row],[Fecha Real de liquiidación ]]),"Liquidado",IF(Contrato[[#This Row],[FECHA TERMINACIÓN ]]&gt;=TODAY(),"En ejecución","")))</f>
        <v>En ejecución</v>
      </c>
      <c r="AL354" s="107">
        <f ca="1">SUMIF(COMPROMISOS_2025[[#All],[consecutivo]],Contrato[[#This Row],[RCP]],COMPROMISOS_2025[[#All],[Total pagado]])</f>
        <v>0</v>
      </c>
      <c r="AM354" s="122">
        <f ca="1">IFERROR(Contrato[[#This Row],[Pagos]]/Contrato[[#This Row],[VALOR CONTRATO]],0)</f>
        <v>0</v>
      </c>
      <c r="AN354" s="160">
        <f ca="1">+Contrato[[#This Row],[VALOR CONTRATO]]-Contrato[[#This Row],[Pagos]]</f>
        <v>17095000</v>
      </c>
      <c r="AO354" s="111" t="e" cm="1">
        <f t="array" aca="1" ref="AO354" ca="1">_xlfn.XLOOKUP(Contrato[[#This Row],[DOCUMENTO ]],PERSONAL_ACTIVO_2025[[#All],[DOCUMENTO]],PERSONAL_ACTIVO_2025[[#All],[email]],0,0)</f>
        <v>#NAME?</v>
      </c>
      <c r="AP354" s="111" t="e" cm="1">
        <f t="array" aca="1" ref="AP354" ca="1">_xlfn.XLOOKUP(Contrato[[#This Row],[DOCUMENTO]],PERSONAL_ACTIVO_2025[[#All],[DOCUMENTO]],PERSONAL_ACTIVO_2025[[#All],[email]],0,0)</f>
        <v>#NAME?</v>
      </c>
      <c r="AQ354" s="111" cm="1">
        <f t="array" aca="1" ref="AQ354" ca="1">IF(ISBLANK(Contrato[[#This Row],[DEPENDENCIA ]]),0,IFERROR(_xlfn.XLOOKUP(Contrato[[#This Row],[DEPENDENCIA ]],#REF!,#REF!,0,0),0))</f>
        <v>0</v>
      </c>
      <c r="AR354" s="555">
        <f ca="1">+_xlfn.DAYS(Contrato[[#This Row],[FECHA TERMINACIÓN ]],TODAY())</f>
        <v>123</v>
      </c>
    </row>
    <row r="355" spans="1:44" ht="39.75" customHeight="1" x14ac:dyDescent="0.25">
      <c r="A355" s="38">
        <v>500</v>
      </c>
      <c r="B355" s="226">
        <v>348</v>
      </c>
      <c r="C355" s="88" t="s">
        <v>711</v>
      </c>
      <c r="D355" s="192" t="s">
        <v>1043</v>
      </c>
      <c r="E355" s="193" t="s">
        <v>112</v>
      </c>
      <c r="F355" s="194" t="s">
        <v>113</v>
      </c>
      <c r="G355" s="195" t="s">
        <v>1543</v>
      </c>
      <c r="H355" s="346">
        <v>43902844</v>
      </c>
      <c r="I355" s="290">
        <v>4786000</v>
      </c>
      <c r="J355" s="290">
        <v>23933000</v>
      </c>
      <c r="K355" s="158" t="s">
        <v>41</v>
      </c>
      <c r="L355" s="196" t="s">
        <v>1544</v>
      </c>
      <c r="M355" s="114" t="s">
        <v>1279</v>
      </c>
      <c r="N355" s="113" t="e" cm="1">
        <f t="array" aca="1" ref="N355" ca="1">_xlfn.XLOOKUP(Contrato[[#This Row],[SUPERVISOR TITULAR]],PERSONAL_ACTIVO_2025[[#All],[NOMBRES Y APELLIDOS]],PERSONAL_ACTIVO_2025[[#All],[DOCUMENTO]],"",0)</f>
        <v>#NAME?</v>
      </c>
      <c r="O355" s="114" t="s">
        <v>1046</v>
      </c>
      <c r="P355" s="115" t="e" cm="1">
        <f t="array" aca="1" ref="P355" ca="1">_xlfn.XLOOKUP(Contrato[[#This Row],[SUPERVISOR SUPLENTE ]],PERSONAL_ACTIVO_2025[[#All],[NOMBRES Y APELLIDOS]],PERSONAL_ACTIVO_2025[[#All],[DOCUMENTO]],"",0)</f>
        <v>#NAME?</v>
      </c>
      <c r="Q355" s="116">
        <v>407</v>
      </c>
      <c r="R355" s="137" t="e" cm="1">
        <f t="array" aca="1" ref="R355" ca="1">_xlfn.XLOOKUP(Contrato[[#This Row],[CDP]],DISPONIBILIDADES_2025[[#All],[consecutivo]],DISPONIBILIDADES_2025[[#All],[fecha_aprobacion]],"",0)</f>
        <v>#NAME?</v>
      </c>
      <c r="S355" s="92">
        <f>SUMIF(DISPONIBILIDADES_2025[[#All],[consecutivo]],Contrato[[#This Row],[CDP]],DISPONIBILIDADES_2025[[#All],[valor_total_rubro]])</f>
        <v>23933000</v>
      </c>
      <c r="T355" s="118" t="e" cm="1">
        <f t="array" aca="1" ref="T355" ca="1">_xlfn.XLOOKUP(Contrato[[#This Row],[CONTRATO]]&amp;Contrato[[#This Row],[CDP]],Corr_Contr_CDP[[#All],[CONTRATO-CDP]],Corr_Contr_CDP[[#All],[CRP]],_xlfn.XLOOKUP(Contrato[[#This Row],[CDP]],COMPROMISOS_2025[[#All],[disponibilidad]],COMPROMISOS_2025[[#All],[consecutivo]],"",0),0)</f>
        <v>#NAME?</v>
      </c>
      <c r="U355" s="117" t="e" cm="1">
        <f t="array" aca="1" ref="U355" ca="1">+_xlfn.XLOOKUP(Contrato[[#This Row],[RCP]],COMPROMISOS_2025[[#All],[consecutivo]],COMPROMISOS_2025[[#All],[fecha_aprobacion]],"",0)</f>
        <v>#NAME?</v>
      </c>
      <c r="V355" s="93">
        <f ca="1">SUMIF(COMPROMISOS_2025[[#All],[consecutivo]],Contrato[[#This Row],[RCP]],COMPROMISOS_2025[[#All],[valor_total]])</f>
        <v>0</v>
      </c>
      <c r="W355" s="243">
        <v>45750</v>
      </c>
      <c r="X355" s="243" t="s">
        <v>901</v>
      </c>
      <c r="Y355" s="96">
        <v>45754</v>
      </c>
      <c r="Z355" s="161">
        <v>45896</v>
      </c>
      <c r="AA355" s="473" t="s">
        <v>1545</v>
      </c>
      <c r="AB355" s="119" t="s">
        <v>920</v>
      </c>
      <c r="AC355" s="112"/>
      <c r="AD355" s="543"/>
      <c r="AE355" s="38" t="s">
        <v>904</v>
      </c>
      <c r="AF355" s="120" t="str">
        <f>TEXT(LEFT(Contrato[[#This Row],[CONTRATO]],3),"0")</f>
        <v>348</v>
      </c>
      <c r="AG355" s="120" t="str">
        <f>IF(LEN(Contrato[[#This Row],[Contrato2]])=3,Contrato[[#This Row],[Contrato2]],TEXT(Contrato[[#This Row],[Contrato2]],"000"))</f>
        <v>348</v>
      </c>
      <c r="AH355" s="90">
        <f ca="1">IFERROR(_xlfn.DAYS(Contrato[[#This Row],[Fecha Proyectada liquidación]],TODAY())/30,"")</f>
        <v>7.7666666666666666</v>
      </c>
      <c r="AI355" s="121">
        <f>+Contrato[[#This Row],[FECHA TERMINACIÓN ]]+120</f>
        <v>46016</v>
      </c>
      <c r="AK355" s="91" t="str">
        <f ca="1">IF(Contrato[[#This Row],[FECHA TERMINACIÓN ]]&lt;TODAY(), "Terminado",IF(ISNUMBER(Contrato[[#This Row],[Fecha Real de liquiidación ]]),"Liquidado",IF(Contrato[[#This Row],[FECHA TERMINACIÓN ]]&gt;=TODAY(),"En ejecución","")))</f>
        <v>En ejecución</v>
      </c>
      <c r="AL355" s="107">
        <f ca="1">SUMIF(COMPROMISOS_2025[[#All],[consecutivo]],Contrato[[#This Row],[RCP]],COMPROMISOS_2025[[#All],[Total pagado]])</f>
        <v>0</v>
      </c>
      <c r="AM355" s="122">
        <f ca="1">IFERROR(Contrato[[#This Row],[Pagos]]/Contrato[[#This Row],[VALOR CONTRATO]],0)</f>
        <v>0</v>
      </c>
      <c r="AN355" s="160">
        <f ca="1">+Contrato[[#This Row],[VALOR CONTRATO]]-Contrato[[#This Row],[Pagos]]</f>
        <v>23933000</v>
      </c>
      <c r="AO355" s="111" t="e" cm="1">
        <f t="array" aca="1" ref="AO355" ca="1">_xlfn.XLOOKUP(Contrato[[#This Row],[DOCUMENTO ]],PERSONAL_ACTIVO_2025[[#All],[DOCUMENTO]],PERSONAL_ACTIVO_2025[[#All],[email]],0,0)</f>
        <v>#NAME?</v>
      </c>
      <c r="AP355" s="111" t="e" cm="1">
        <f t="array" aca="1" ref="AP355" ca="1">_xlfn.XLOOKUP(Contrato[[#This Row],[DOCUMENTO]],PERSONAL_ACTIVO_2025[[#All],[DOCUMENTO]],PERSONAL_ACTIVO_2025[[#All],[email]],0,0)</f>
        <v>#NAME?</v>
      </c>
      <c r="AQ355" s="111" cm="1">
        <f t="array" aca="1" ref="AQ355" ca="1">IF(ISBLANK(Contrato[[#This Row],[DEPENDENCIA ]]),0,IFERROR(_xlfn.XLOOKUP(Contrato[[#This Row],[DEPENDENCIA ]],#REF!,#REF!,0,0),0))</f>
        <v>0</v>
      </c>
      <c r="AR355" s="555">
        <f ca="1">+_xlfn.DAYS(Contrato[[#This Row],[FECHA TERMINACIÓN ]],TODAY())</f>
        <v>113</v>
      </c>
    </row>
    <row r="356" spans="1:44" ht="39.75" customHeight="1" x14ac:dyDescent="0.25">
      <c r="A356" s="38">
        <v>249</v>
      </c>
      <c r="B356" s="226">
        <v>349</v>
      </c>
      <c r="C356" s="88" t="s">
        <v>445</v>
      </c>
      <c r="D356" s="192" t="s">
        <v>1066</v>
      </c>
      <c r="E356" s="193" t="s">
        <v>112</v>
      </c>
      <c r="F356" s="194" t="s">
        <v>113</v>
      </c>
      <c r="G356" s="195" t="s">
        <v>1546</v>
      </c>
      <c r="H356" s="346">
        <v>79456026</v>
      </c>
      <c r="I356" s="290">
        <v>9573200</v>
      </c>
      <c r="J356" s="290">
        <v>98626293</v>
      </c>
      <c r="K356" s="297" t="s">
        <v>1547</v>
      </c>
      <c r="L356" s="196" t="s">
        <v>1544</v>
      </c>
      <c r="M356" s="114" t="s">
        <v>1413</v>
      </c>
      <c r="N356" s="113" t="e" cm="1">
        <f t="array" aca="1" ref="N356" ca="1">_xlfn.XLOOKUP(Contrato[[#This Row],[SUPERVISOR TITULAR]],PERSONAL_ACTIVO_2025[[#All],[NOMBRES Y APELLIDOS]],PERSONAL_ACTIVO_2025[[#All],[DOCUMENTO]],"",0)</f>
        <v>#NAME?</v>
      </c>
      <c r="O356" s="114" t="s">
        <v>1414</v>
      </c>
      <c r="P356" s="115" t="e" cm="1">
        <f t="array" aca="1" ref="P356" ca="1">_xlfn.XLOOKUP(Contrato[[#This Row],[SUPERVISOR SUPLENTE ]],PERSONAL_ACTIVO_2025[[#All],[NOMBRES Y APELLIDOS]],PERSONAL_ACTIVO_2025[[#All],[DOCUMENTO]],"",0)</f>
        <v>#NAME?</v>
      </c>
      <c r="Q356" s="116">
        <v>416</v>
      </c>
      <c r="R356" s="137" t="e" cm="1">
        <f t="array" aca="1" ref="R356" ca="1">_xlfn.XLOOKUP(Contrato[[#This Row],[CDP]],DISPONIBILIDADES_2025[[#All],[consecutivo]],DISPONIBILIDADES_2025[[#All],[fecha_aprobacion]],"",0)</f>
        <v>#NAME?</v>
      </c>
      <c r="S356" s="92">
        <f>SUMIF(DISPONIBILIDADES_2025[[#All],[consecutivo]],Contrato[[#This Row],[CDP]],DISPONIBILIDADES_2025[[#All],[valor_total_rubro]])</f>
        <v>98626293</v>
      </c>
      <c r="T356" s="118" t="e" cm="1">
        <f t="array" aca="1" ref="T356" ca="1">_xlfn.XLOOKUP(Contrato[[#This Row],[CONTRATO]]&amp;Contrato[[#This Row],[CDP]],Corr_Contr_CDP[[#All],[CONTRATO-CDP]],Corr_Contr_CDP[[#All],[CRP]],_xlfn.XLOOKUP(Contrato[[#This Row],[CDP]],COMPROMISOS_2025[[#All],[disponibilidad]],COMPROMISOS_2025[[#All],[consecutivo]],"",0),0)</f>
        <v>#NAME?</v>
      </c>
      <c r="U356" s="117" t="e" cm="1">
        <f t="array" aca="1" ref="U356" ca="1">+_xlfn.XLOOKUP(Contrato[[#This Row],[RCP]],COMPROMISOS_2025[[#All],[consecutivo]],COMPROMISOS_2025[[#All],[fecha_aprobacion]],"",0)</f>
        <v>#NAME?</v>
      </c>
      <c r="V356" s="93">
        <f ca="1">SUMIF(COMPROMISOS_2025[[#All],[consecutivo]],Contrato[[#This Row],[RCP]],COMPROMISOS_2025[[#All],[valor_total]])</f>
        <v>0</v>
      </c>
      <c r="W356" s="243">
        <v>45741</v>
      </c>
      <c r="X356" s="243" t="s">
        <v>901</v>
      </c>
      <c r="Y356" s="96">
        <v>45742</v>
      </c>
      <c r="Z356" s="161">
        <v>46022</v>
      </c>
      <c r="AA356" s="338" t="s">
        <v>1540</v>
      </c>
      <c r="AB356" s="119" t="s">
        <v>1432</v>
      </c>
      <c r="AC356" s="112"/>
      <c r="AD356" s="472">
        <v>202000006543</v>
      </c>
      <c r="AE356" s="38" t="s">
        <v>904</v>
      </c>
      <c r="AF356" s="120" t="str">
        <f>TEXT(LEFT(Contrato[[#This Row],[CONTRATO]],3),"0")</f>
        <v>349</v>
      </c>
      <c r="AG356" s="120" t="str">
        <f>IF(LEN(Contrato[[#This Row],[Contrato2]])=3,Contrato[[#This Row],[Contrato2]],TEXT(Contrato[[#This Row],[Contrato2]],"000"))</f>
        <v>349</v>
      </c>
      <c r="AH356" s="90">
        <f ca="1">IFERROR(_xlfn.DAYS(Contrato[[#This Row],[Fecha Proyectada liquidación]],TODAY())/30,"")</f>
        <v>11.966666666666667</v>
      </c>
      <c r="AI356" s="121">
        <f>+Contrato[[#This Row],[FECHA TERMINACIÓN ]]+120</f>
        <v>46142</v>
      </c>
      <c r="AK356" s="91" t="str">
        <f ca="1">IF(Contrato[[#This Row],[FECHA TERMINACIÓN ]]&lt;TODAY(), "Terminado",IF(ISNUMBER(Contrato[[#This Row],[Fecha Real de liquiidación ]]),"Liquidado",IF(Contrato[[#This Row],[FECHA TERMINACIÓN ]]&gt;=TODAY(),"En ejecución","")))</f>
        <v>En ejecución</v>
      </c>
      <c r="AL356" s="107">
        <f ca="1">SUMIF(COMPROMISOS_2025[[#All],[consecutivo]],Contrato[[#This Row],[RCP]],COMPROMISOS_2025[[#All],[Total pagado]])</f>
        <v>0</v>
      </c>
      <c r="AM356" s="122">
        <f ca="1">IFERROR(Contrato[[#This Row],[Pagos]]/Contrato[[#This Row],[VALOR CONTRATO]],0)</f>
        <v>0</v>
      </c>
      <c r="AN356" s="160">
        <f ca="1">+Contrato[[#This Row],[VALOR CONTRATO]]-Contrato[[#This Row],[Pagos]]</f>
        <v>98626293</v>
      </c>
      <c r="AO356" s="111" t="e" cm="1">
        <f t="array" aca="1" ref="AO356" ca="1">_xlfn.XLOOKUP(Contrato[[#This Row],[DOCUMENTO ]],PERSONAL_ACTIVO_2025[[#All],[DOCUMENTO]],PERSONAL_ACTIVO_2025[[#All],[email]],0,0)</f>
        <v>#NAME?</v>
      </c>
      <c r="AP356" s="111" t="e" cm="1">
        <f t="array" aca="1" ref="AP356" ca="1">_xlfn.XLOOKUP(Contrato[[#This Row],[DOCUMENTO]],PERSONAL_ACTIVO_2025[[#All],[DOCUMENTO]],PERSONAL_ACTIVO_2025[[#All],[email]],0,0)</f>
        <v>#NAME?</v>
      </c>
      <c r="AQ356" s="111" cm="1">
        <f t="array" aca="1" ref="AQ356" ca="1">IF(ISBLANK(Contrato[[#This Row],[DEPENDENCIA ]]),0,IFERROR(_xlfn.XLOOKUP(Contrato[[#This Row],[DEPENDENCIA ]],#REF!,#REF!,0,0),0))</f>
        <v>0</v>
      </c>
      <c r="AR356" s="555">
        <f ca="1">+_xlfn.DAYS(Contrato[[#This Row],[FECHA TERMINACIÓN ]],TODAY())</f>
        <v>239</v>
      </c>
    </row>
    <row r="357" spans="1:44" ht="39.75" customHeight="1" x14ac:dyDescent="0.25">
      <c r="A357" s="38">
        <v>578</v>
      </c>
      <c r="B357" s="226">
        <v>350</v>
      </c>
      <c r="C357" s="88" t="s">
        <v>798</v>
      </c>
      <c r="D357" s="192" t="s">
        <v>911</v>
      </c>
      <c r="E357" s="193" t="s">
        <v>112</v>
      </c>
      <c r="F357" s="194" t="s">
        <v>113</v>
      </c>
      <c r="G357" s="195" t="s">
        <v>1548</v>
      </c>
      <c r="H357" s="346">
        <v>1128469940</v>
      </c>
      <c r="I357" s="290">
        <v>3419000</v>
      </c>
      <c r="J357" s="290">
        <v>28491667</v>
      </c>
      <c r="K357" s="158" t="s">
        <v>41</v>
      </c>
      <c r="L357" s="196" t="s">
        <v>1544</v>
      </c>
      <c r="M357" s="114" t="s">
        <v>1410</v>
      </c>
      <c r="N357" s="113" t="e" cm="1">
        <f t="array" aca="1" ref="N357" ca="1">_xlfn.XLOOKUP(Contrato[[#This Row],[SUPERVISOR TITULAR]],PERSONAL_ACTIVO_2025[[#All],[NOMBRES Y APELLIDOS]],PERSONAL_ACTIVO_2025[[#All],[DOCUMENTO]],"",0)</f>
        <v>#NAME?</v>
      </c>
      <c r="O357" s="114" t="s">
        <v>1006</v>
      </c>
      <c r="P357" s="115" t="e" cm="1">
        <f t="array" aca="1" ref="P357" ca="1">_xlfn.XLOOKUP(Contrato[[#This Row],[SUPERVISOR SUPLENTE ]],PERSONAL_ACTIVO_2025[[#All],[NOMBRES Y APELLIDOS]],PERSONAL_ACTIVO_2025[[#All],[DOCUMENTO]],"",0)</f>
        <v>#NAME?</v>
      </c>
      <c r="Q357" s="116">
        <v>417</v>
      </c>
      <c r="R357" s="137" t="e" cm="1">
        <f t="array" aca="1" ref="R357" ca="1">_xlfn.XLOOKUP(Contrato[[#This Row],[CDP]],DISPONIBILIDADES_2025[[#All],[consecutivo]],DISPONIBILIDADES_2025[[#All],[fecha_aprobacion]],"",0)</f>
        <v>#NAME?</v>
      </c>
      <c r="S357" s="92">
        <f>SUMIF(DISPONIBILIDADES_2025[[#All],[consecutivo]],Contrato[[#This Row],[CDP]],DISPONIBILIDADES_2025[[#All],[valor_total_rubro]])</f>
        <v>28491667</v>
      </c>
      <c r="T357" s="118" t="e" cm="1">
        <f t="array" aca="1" ref="T357" ca="1">_xlfn.XLOOKUP(Contrato[[#This Row],[CONTRATO]]&amp;Contrato[[#This Row],[CDP]],Corr_Contr_CDP[[#All],[CONTRATO-CDP]],Corr_Contr_CDP[[#All],[CRP]],_xlfn.XLOOKUP(Contrato[[#This Row],[CDP]],COMPROMISOS_2025[[#All],[disponibilidad]],COMPROMISOS_2025[[#All],[consecutivo]],"",0),0)</f>
        <v>#NAME?</v>
      </c>
      <c r="U357" s="117" t="e" cm="1">
        <f t="array" aca="1" ref="U357" ca="1">+_xlfn.XLOOKUP(Contrato[[#This Row],[RCP]],COMPROMISOS_2025[[#All],[consecutivo]],COMPROMISOS_2025[[#All],[fecha_aprobacion]],"",0)</f>
        <v>#NAME?</v>
      </c>
      <c r="V357" s="93">
        <f ca="1">SUMIF(COMPROMISOS_2025[[#All],[consecutivo]],Contrato[[#This Row],[RCP]],COMPROMISOS_2025[[#All],[valor_total]])</f>
        <v>0</v>
      </c>
      <c r="W357" s="243">
        <v>45741</v>
      </c>
      <c r="X357" s="243" t="s">
        <v>901</v>
      </c>
      <c r="Y357" s="96">
        <v>45743</v>
      </c>
      <c r="Z357" s="161">
        <v>45996</v>
      </c>
      <c r="AA357" s="338" t="s">
        <v>1549</v>
      </c>
      <c r="AB357" s="119" t="s">
        <v>1550</v>
      </c>
      <c r="AC357" s="112"/>
      <c r="AD357" s="472">
        <v>202000006544</v>
      </c>
      <c r="AE357" s="38"/>
      <c r="AF357" s="120" t="str">
        <f>TEXT(LEFT(Contrato[[#This Row],[CONTRATO]],3),"0")</f>
        <v>350</v>
      </c>
      <c r="AG357" s="120" t="str">
        <f>IF(LEN(Contrato[[#This Row],[Contrato2]])=3,Contrato[[#This Row],[Contrato2]],TEXT(Contrato[[#This Row],[Contrato2]],"000"))</f>
        <v>350</v>
      </c>
      <c r="AH357" s="90">
        <f ca="1">IFERROR(_xlfn.DAYS(Contrato[[#This Row],[Fecha Proyectada liquidación]],TODAY())/30,"")</f>
        <v>11.1</v>
      </c>
      <c r="AI357" s="121">
        <f>+Contrato[[#This Row],[FECHA TERMINACIÓN ]]+120</f>
        <v>46116</v>
      </c>
      <c r="AK357" s="91" t="str">
        <f ca="1">IF(Contrato[[#This Row],[FECHA TERMINACIÓN ]]&lt;TODAY(), "Terminado",IF(ISNUMBER(Contrato[[#This Row],[Fecha Real de liquiidación ]]),"Liquidado",IF(Contrato[[#This Row],[FECHA TERMINACIÓN ]]&gt;=TODAY(),"En ejecución","")))</f>
        <v>En ejecución</v>
      </c>
      <c r="AL357" s="107">
        <f ca="1">SUMIF(COMPROMISOS_2025[[#All],[consecutivo]],Contrato[[#This Row],[RCP]],COMPROMISOS_2025[[#All],[Total pagado]])</f>
        <v>0</v>
      </c>
      <c r="AM357" s="122">
        <f ca="1">IFERROR(Contrato[[#This Row],[Pagos]]/Contrato[[#This Row],[VALOR CONTRATO]],0)</f>
        <v>0</v>
      </c>
      <c r="AN357" s="160">
        <f ca="1">+Contrato[[#This Row],[VALOR CONTRATO]]-Contrato[[#This Row],[Pagos]]</f>
        <v>28491667</v>
      </c>
      <c r="AO357" s="111" t="e" cm="1">
        <f t="array" aca="1" ref="AO357" ca="1">_xlfn.XLOOKUP(Contrato[[#This Row],[DOCUMENTO ]],PERSONAL_ACTIVO_2025[[#All],[DOCUMENTO]],PERSONAL_ACTIVO_2025[[#All],[email]],0,0)</f>
        <v>#NAME?</v>
      </c>
      <c r="AP357" s="111" t="e" cm="1">
        <f t="array" aca="1" ref="AP357" ca="1">_xlfn.XLOOKUP(Contrato[[#This Row],[DOCUMENTO]],PERSONAL_ACTIVO_2025[[#All],[DOCUMENTO]],PERSONAL_ACTIVO_2025[[#All],[email]],0,0)</f>
        <v>#NAME?</v>
      </c>
      <c r="AQ357" s="111" cm="1">
        <f t="array" aca="1" ref="AQ357" ca="1">IF(ISBLANK(Contrato[[#This Row],[DEPENDENCIA ]]),0,IFERROR(_xlfn.XLOOKUP(Contrato[[#This Row],[DEPENDENCIA ]],#REF!,#REF!,0,0),0))</f>
        <v>0</v>
      </c>
      <c r="AR357" s="555">
        <f ca="1">+_xlfn.DAYS(Contrato[[#This Row],[FECHA TERMINACIÓN ]],TODAY())</f>
        <v>213</v>
      </c>
    </row>
    <row r="358" spans="1:44" ht="39.75" customHeight="1" x14ac:dyDescent="0.25">
      <c r="A358" s="38">
        <v>575</v>
      </c>
      <c r="B358" s="226">
        <v>351</v>
      </c>
      <c r="C358" s="88" t="s">
        <v>794</v>
      </c>
      <c r="D358" s="468" t="s">
        <v>890</v>
      </c>
      <c r="E358" s="193" t="s">
        <v>175</v>
      </c>
      <c r="F358" s="194" t="s">
        <v>132</v>
      </c>
      <c r="G358" s="195"/>
      <c r="H358" s="346"/>
      <c r="I358" s="290"/>
      <c r="J358" s="290">
        <v>4043676</v>
      </c>
      <c r="K358" s="347"/>
      <c r="L358" s="196" t="s">
        <v>1544</v>
      </c>
      <c r="M358" s="114"/>
      <c r="N358" s="113" t="e" cm="1">
        <f t="array" aca="1" ref="N358" ca="1">_xlfn.XLOOKUP(Contrato[[#This Row],[SUPERVISOR TITULAR]],PERSONAL_ACTIVO_2025[[#All],[NOMBRES Y APELLIDOS]],PERSONAL_ACTIVO_2025[[#All],[DOCUMENTO]],"",0)</f>
        <v>#NAME?</v>
      </c>
      <c r="O358" s="114"/>
      <c r="P358" s="115" t="e" cm="1">
        <f t="array" aca="1" ref="P358" ca="1">_xlfn.XLOOKUP(Contrato[[#This Row],[SUPERVISOR SUPLENTE ]],PERSONAL_ACTIVO_2025[[#All],[NOMBRES Y APELLIDOS]],PERSONAL_ACTIVO_2025[[#All],[DOCUMENTO]],"",0)</f>
        <v>#NAME?</v>
      </c>
      <c r="Q358" s="116">
        <v>410</v>
      </c>
      <c r="R358" s="137" t="e" cm="1">
        <f t="array" aca="1" ref="R358" ca="1">_xlfn.XLOOKUP(Contrato[[#This Row],[CDP]],DISPONIBILIDADES_2025[[#All],[consecutivo]],DISPONIBILIDADES_2025[[#All],[fecha_aprobacion]],"",0)</f>
        <v>#NAME?</v>
      </c>
      <c r="S358" s="92">
        <f>SUMIF(DISPONIBILIDADES_2025[[#All],[consecutivo]],Contrato[[#This Row],[CDP]],DISPONIBILIDADES_2025[[#All],[valor_total_rubro]])</f>
        <v>4043676</v>
      </c>
      <c r="T358" s="118" t="e" cm="1">
        <f t="array" aca="1" ref="T358" ca="1">_xlfn.XLOOKUP(Contrato[[#This Row],[CONTRATO]]&amp;Contrato[[#This Row],[CDP]],Corr_Contr_CDP[[#All],[CONTRATO-CDP]],Corr_Contr_CDP[[#All],[CRP]],_xlfn.XLOOKUP(Contrato[[#This Row],[CDP]],COMPROMISOS_2025[[#All],[disponibilidad]],COMPROMISOS_2025[[#All],[consecutivo]],"",0),0)</f>
        <v>#NAME?</v>
      </c>
      <c r="U358" s="117" t="e" cm="1">
        <f t="array" aca="1" ref="U358" ca="1">+_xlfn.XLOOKUP(Contrato[[#This Row],[RCP]],COMPROMISOS_2025[[#All],[consecutivo]],COMPROMISOS_2025[[#All],[fecha_aprobacion]],"",0)</f>
        <v>#NAME?</v>
      </c>
      <c r="V358" s="93">
        <f ca="1">SUMIF(COMPROMISOS_2025[[#All],[consecutivo]],Contrato[[#This Row],[RCP]],COMPROMISOS_2025[[#All],[valor_total]])</f>
        <v>0</v>
      </c>
      <c r="W358" s="243"/>
      <c r="X358" s="243"/>
      <c r="Y358" s="96" t="e">
        <f ca="1">+LEFT(_xlfn.XLOOKUP(Contrato[[#This Row],[CONTRATO3DIG]],SECOP_II!AE:AE,SECOP_II!F:F,"",0),10)</f>
        <v>#NAME?</v>
      </c>
      <c r="Z358" s="161" t="e">
        <f ca="1">+LEFT(_xlfn.XLOOKUP(Contrato[[#This Row],[CONTRATO3DIG]],SECOP_II!AE:AE,SECOP_II!G:G,"",0),10)</f>
        <v>#NAME?</v>
      </c>
      <c r="AA358" s="244"/>
      <c r="AB358" s="119" t="s">
        <v>1551</v>
      </c>
      <c r="AC358" s="112"/>
      <c r="AD358" s="543"/>
      <c r="AE358" s="38"/>
      <c r="AF358" s="120" t="str">
        <f>TEXT(LEFT(Contrato[[#This Row],[CONTRATO]],3),"0")</f>
        <v>351</v>
      </c>
      <c r="AG358" s="120" t="str">
        <f>IF(LEN(Contrato[[#This Row],[Contrato2]])=3,Contrato[[#This Row],[Contrato2]],TEXT(Contrato[[#This Row],[Contrato2]],"000"))</f>
        <v>351</v>
      </c>
      <c r="AH358" s="90" t="str">
        <f ca="1">IFERROR(_xlfn.DAYS(Contrato[[#This Row],[Fecha Proyectada liquidación]],TODAY())/30,"")</f>
        <v/>
      </c>
      <c r="AI358" s="121" t="e">
        <f ca="1">+Contrato[[#This Row],[FECHA TERMINACIÓN ]]+120</f>
        <v>#NAME?</v>
      </c>
      <c r="AK358" s="91" t="e">
        <f ca="1">IF(Contrato[[#This Row],[FECHA TERMINACIÓN ]]&lt;TODAY(), "Terminado",IF(ISNUMBER(Contrato[[#This Row],[Fecha Real de liquiidación ]]),"Liquidado",IF(Contrato[[#This Row],[FECHA TERMINACIÓN ]]&gt;=TODAY(),"En ejecución","")))</f>
        <v>#NAME?</v>
      </c>
      <c r="AL358" s="107">
        <f ca="1">SUMIF(COMPROMISOS_2025[[#All],[consecutivo]],Contrato[[#This Row],[RCP]],COMPROMISOS_2025[[#All],[Total pagado]])</f>
        <v>0</v>
      </c>
      <c r="AM358" s="122">
        <f ca="1">IFERROR(Contrato[[#This Row],[Pagos]]/Contrato[[#This Row],[VALOR CONTRATO]],0)</f>
        <v>0</v>
      </c>
      <c r="AN358" s="160">
        <f ca="1">+Contrato[[#This Row],[VALOR CONTRATO]]-Contrato[[#This Row],[Pagos]]</f>
        <v>4043676</v>
      </c>
      <c r="AO358" s="111" t="e" cm="1">
        <f t="array" aca="1" ref="AO358" ca="1">_xlfn.XLOOKUP(Contrato[[#This Row],[DOCUMENTO ]],PERSONAL_ACTIVO_2025[[#All],[DOCUMENTO]],PERSONAL_ACTIVO_2025[[#All],[email]],0,0)</f>
        <v>#NAME?</v>
      </c>
      <c r="AP358" s="111" t="e" cm="1">
        <f t="array" aca="1" ref="AP358" ca="1">_xlfn.XLOOKUP(Contrato[[#This Row],[DOCUMENTO]],PERSONAL_ACTIVO_2025[[#All],[DOCUMENTO]],PERSONAL_ACTIVO_2025[[#All],[email]],0,0)</f>
        <v>#NAME?</v>
      </c>
      <c r="AQ358" s="111" cm="1">
        <f t="array" aca="1" ref="AQ358" ca="1">IF(ISBLANK(Contrato[[#This Row],[DEPENDENCIA ]]),0,IFERROR(_xlfn.XLOOKUP(Contrato[[#This Row],[DEPENDENCIA ]],#REF!,#REF!,0,0),0))</f>
        <v>0</v>
      </c>
      <c r="AR358" s="555" t="e">
        <f ca="1">+_xlfn.DAYS(Contrato[[#This Row],[FECHA TERMINACIÓN ]],TODAY())</f>
        <v>#NAME?</v>
      </c>
    </row>
    <row r="359" spans="1:44" ht="39.75" customHeight="1" x14ac:dyDescent="0.25">
      <c r="A359" s="38">
        <v>252</v>
      </c>
      <c r="B359" s="226">
        <v>352</v>
      </c>
      <c r="C359" s="88" t="s">
        <v>448</v>
      </c>
      <c r="D359" s="192" t="s">
        <v>1066</v>
      </c>
      <c r="E359" s="193" t="s">
        <v>112</v>
      </c>
      <c r="F359" s="194" t="s">
        <v>113</v>
      </c>
      <c r="G359" s="195" t="s">
        <v>1552</v>
      </c>
      <c r="H359" s="346">
        <v>98544258</v>
      </c>
      <c r="I359" s="290">
        <v>4517253</v>
      </c>
      <c r="J359" s="290">
        <v>36138024</v>
      </c>
      <c r="K359" s="158" t="s">
        <v>41</v>
      </c>
      <c r="L359" s="196" t="s">
        <v>1273</v>
      </c>
      <c r="M359" s="114" t="s">
        <v>1414</v>
      </c>
      <c r="N359" s="113" t="e" cm="1">
        <f t="array" aca="1" ref="N359" ca="1">_xlfn.XLOOKUP(Contrato[[#This Row],[SUPERVISOR TITULAR]],PERSONAL_ACTIVO_2025[[#All],[NOMBRES Y APELLIDOS]],PERSONAL_ACTIVO_2025[[#All],[DOCUMENTO]],"",0)</f>
        <v>#NAME?</v>
      </c>
      <c r="O359" s="114" t="s">
        <v>1497</v>
      </c>
      <c r="P359" s="115" t="e" cm="1">
        <f t="array" aca="1" ref="P359" ca="1">_xlfn.XLOOKUP(Contrato[[#This Row],[SUPERVISOR SUPLENTE ]],PERSONAL_ACTIVO_2025[[#All],[NOMBRES Y APELLIDOS]],PERSONAL_ACTIVO_2025[[#All],[DOCUMENTO]],"",0)</f>
        <v>#NAME?</v>
      </c>
      <c r="Q359" s="116">
        <v>374</v>
      </c>
      <c r="R359" s="137" t="e" cm="1">
        <f t="array" aca="1" ref="R359" ca="1">_xlfn.XLOOKUP(Contrato[[#This Row],[CDP]],DISPONIBILIDADES_2025[[#All],[consecutivo]],DISPONIBILIDADES_2025[[#All],[fecha_aprobacion]],"",0)</f>
        <v>#NAME?</v>
      </c>
      <c r="S359" s="92">
        <f>SUMIF(DISPONIBILIDADES_2025[[#All],[consecutivo]],Contrato[[#This Row],[CDP]],DISPONIBILIDADES_2025[[#All],[valor_total_rubro]])</f>
        <v>36138024</v>
      </c>
      <c r="T359" s="118" t="e" cm="1">
        <f t="array" aca="1" ref="T359" ca="1">_xlfn.XLOOKUP(Contrato[[#This Row],[CONTRATO]]&amp;Contrato[[#This Row],[CDP]],Corr_Contr_CDP[[#All],[CONTRATO-CDP]],Corr_Contr_CDP[[#All],[CRP]],_xlfn.XLOOKUP(Contrato[[#This Row],[CDP]],COMPROMISOS_2025[[#All],[disponibilidad]],COMPROMISOS_2025[[#All],[consecutivo]],"",0),0)</f>
        <v>#NAME?</v>
      </c>
      <c r="U359" s="117" t="e" cm="1">
        <f t="array" aca="1" ref="U359" ca="1">+_xlfn.XLOOKUP(Contrato[[#This Row],[RCP]],COMPROMISOS_2025[[#All],[consecutivo]],COMPROMISOS_2025[[#All],[fecha_aprobacion]],"",0)</f>
        <v>#NAME?</v>
      </c>
      <c r="V359" s="93">
        <f ca="1">SUMIF(COMPROMISOS_2025[[#All],[consecutivo]],Contrato[[#This Row],[RCP]],COMPROMISOS_2025[[#All],[valor_total]])</f>
        <v>0</v>
      </c>
      <c r="W359" s="243">
        <v>45747</v>
      </c>
      <c r="X359" s="243" t="s">
        <v>901</v>
      </c>
      <c r="Y359" s="96">
        <v>45749</v>
      </c>
      <c r="Z359" s="161">
        <v>46020</v>
      </c>
      <c r="AA359" s="338" t="s">
        <v>1553</v>
      </c>
      <c r="AB359" s="119" t="s">
        <v>1328</v>
      </c>
      <c r="AC359" s="112"/>
      <c r="AD359" s="543"/>
      <c r="AE359" s="38" t="s">
        <v>904</v>
      </c>
      <c r="AF359" s="120" t="str">
        <f>TEXT(LEFT(Contrato[[#This Row],[CONTRATO]],3),"0")</f>
        <v>352</v>
      </c>
      <c r="AG359" s="120" t="str">
        <f>IF(LEN(Contrato[[#This Row],[Contrato2]])=3,Contrato[[#This Row],[Contrato2]],TEXT(Contrato[[#This Row],[Contrato2]],"000"))</f>
        <v>352</v>
      </c>
      <c r="AH359" s="90">
        <f ca="1">IFERROR(_xlfn.DAYS(Contrato[[#This Row],[Fecha Proyectada liquidación]],TODAY())/30,"")</f>
        <v>11.9</v>
      </c>
      <c r="AI359" s="121">
        <f>+Contrato[[#This Row],[FECHA TERMINACIÓN ]]+120</f>
        <v>46140</v>
      </c>
      <c r="AK359" s="91" t="str">
        <f ca="1">IF(Contrato[[#This Row],[FECHA TERMINACIÓN ]]&lt;TODAY(), "Terminado",IF(ISNUMBER(Contrato[[#This Row],[Fecha Real de liquiidación ]]),"Liquidado",IF(Contrato[[#This Row],[FECHA TERMINACIÓN ]]&gt;=TODAY(),"En ejecución","")))</f>
        <v>En ejecución</v>
      </c>
      <c r="AL359" s="107">
        <f ca="1">SUMIF(COMPROMISOS_2025[[#All],[consecutivo]],Contrato[[#This Row],[RCP]],COMPROMISOS_2025[[#All],[Total pagado]])</f>
        <v>0</v>
      </c>
      <c r="AM359" s="122">
        <f ca="1">IFERROR(Contrato[[#This Row],[Pagos]]/Contrato[[#This Row],[VALOR CONTRATO]],0)</f>
        <v>0</v>
      </c>
      <c r="AN359" s="160">
        <f ca="1">+Contrato[[#This Row],[VALOR CONTRATO]]-Contrato[[#This Row],[Pagos]]</f>
        <v>36138024</v>
      </c>
      <c r="AO359" s="111" t="e" cm="1">
        <f t="array" aca="1" ref="AO359" ca="1">_xlfn.XLOOKUP(Contrato[[#This Row],[DOCUMENTO ]],PERSONAL_ACTIVO_2025[[#All],[DOCUMENTO]],PERSONAL_ACTIVO_2025[[#All],[email]],0,0)</f>
        <v>#NAME?</v>
      </c>
      <c r="AP359" s="111" t="e" cm="1">
        <f t="array" aca="1" ref="AP359" ca="1">_xlfn.XLOOKUP(Contrato[[#This Row],[DOCUMENTO]],PERSONAL_ACTIVO_2025[[#All],[DOCUMENTO]],PERSONAL_ACTIVO_2025[[#All],[email]],0,0)</f>
        <v>#NAME?</v>
      </c>
      <c r="AQ359" s="111" cm="1">
        <f t="array" aca="1" ref="AQ359" ca="1">IF(ISBLANK(Contrato[[#This Row],[DEPENDENCIA ]]),0,IFERROR(_xlfn.XLOOKUP(Contrato[[#This Row],[DEPENDENCIA ]],#REF!,#REF!,0,0),0))</f>
        <v>0</v>
      </c>
      <c r="AR359" s="555">
        <f ca="1">+_xlfn.DAYS(Contrato[[#This Row],[FECHA TERMINACIÓN ]],TODAY())</f>
        <v>237</v>
      </c>
    </row>
    <row r="360" spans="1:44" ht="39.75" customHeight="1" x14ac:dyDescent="0.25">
      <c r="A360" s="38" t="s">
        <v>1289</v>
      </c>
      <c r="B360" s="226">
        <v>353</v>
      </c>
      <c r="C360" s="88" t="s">
        <v>1289</v>
      </c>
      <c r="D360" s="192" t="s">
        <v>1043</v>
      </c>
      <c r="E360" s="193" t="s">
        <v>112</v>
      </c>
      <c r="F360" s="194" t="s">
        <v>142</v>
      </c>
      <c r="G360" s="295" t="s">
        <v>1289</v>
      </c>
      <c r="H360" s="346">
        <v>0</v>
      </c>
      <c r="I360" s="290">
        <v>0</v>
      </c>
      <c r="J360" s="290">
        <v>0</v>
      </c>
      <c r="K360" s="347"/>
      <c r="L360" s="247" t="s">
        <v>1290</v>
      </c>
      <c r="M360" s="114"/>
      <c r="N360" s="113" t="e" cm="1">
        <f t="array" aca="1" ref="N360" ca="1">_xlfn.XLOOKUP(Contrato[[#This Row],[SUPERVISOR TITULAR]],PERSONAL_ACTIVO_2025[[#All],[NOMBRES Y APELLIDOS]],PERSONAL_ACTIVO_2025[[#All],[DOCUMENTO]],"",0)</f>
        <v>#NAME?</v>
      </c>
      <c r="O360" s="114"/>
      <c r="P360" s="115" t="e" cm="1">
        <f t="array" aca="1" ref="P360" ca="1">_xlfn.XLOOKUP(Contrato[[#This Row],[SUPERVISOR SUPLENTE ]],PERSONAL_ACTIVO_2025[[#All],[NOMBRES Y APELLIDOS]],PERSONAL_ACTIVO_2025[[#All],[DOCUMENTO]],"",0)</f>
        <v>#NAME?</v>
      </c>
      <c r="Q360" s="296" t="s">
        <v>1290</v>
      </c>
      <c r="R360" s="137" t="e" cm="1">
        <f t="array" aca="1" ref="R360" ca="1">_xlfn.XLOOKUP(Contrato[[#This Row],[CDP]],DISPONIBILIDADES_2025[[#All],[consecutivo]],DISPONIBILIDADES_2025[[#All],[fecha_aprobacion]],"",0)</f>
        <v>#NAME?</v>
      </c>
      <c r="S360" s="92">
        <f>SUMIF(DISPONIBILIDADES_2025[[#All],[consecutivo]],Contrato[[#This Row],[CDP]],DISPONIBILIDADES_2025[[#All],[valor_total_rubro]])</f>
        <v>0</v>
      </c>
      <c r="T360" s="118" t="e" cm="1">
        <f t="array" aca="1" ref="T360" ca="1">_xlfn.XLOOKUP(Contrato[[#This Row],[CONTRATO]]&amp;Contrato[[#This Row],[CDP]],Corr_Contr_CDP[[#All],[CONTRATO-CDP]],Corr_Contr_CDP[[#All],[CRP]],_xlfn.XLOOKUP(Contrato[[#This Row],[CDP]],COMPROMISOS_2025[[#All],[disponibilidad]],COMPROMISOS_2025[[#All],[consecutivo]],"",0),0)</f>
        <v>#NAME?</v>
      </c>
      <c r="U360" s="117" t="e" cm="1">
        <f t="array" aca="1" ref="U360" ca="1">+_xlfn.XLOOKUP(Contrato[[#This Row],[RCP]],COMPROMISOS_2025[[#All],[consecutivo]],COMPROMISOS_2025[[#All],[fecha_aprobacion]],"",0)</f>
        <v>#NAME?</v>
      </c>
      <c r="V360" s="93">
        <f ca="1">SUMIF(COMPROMISOS_2025[[#All],[consecutivo]],Contrato[[#This Row],[RCP]],COMPROMISOS_2025[[#All],[valor_total]])</f>
        <v>0</v>
      </c>
      <c r="W360" s="243"/>
      <c r="X360" s="243"/>
      <c r="Y360" s="96" t="e">
        <f ca="1">+LEFT(_xlfn.XLOOKUP(Contrato[[#This Row],[CONTRATO3DIG]],SECOP_II!AE:AE,SECOP_II!F:F,"",0),10)</f>
        <v>#NAME?</v>
      </c>
      <c r="Z360" s="161" t="e">
        <f ca="1">+LEFT(_xlfn.XLOOKUP(Contrato[[#This Row],[CONTRATO3DIG]],SECOP_II!AE:AE,SECOP_II!G:G,"",0),10)</f>
        <v>#NAME?</v>
      </c>
      <c r="AA360" s="244"/>
      <c r="AB360" s="119" t="s">
        <v>41</v>
      </c>
      <c r="AC360" s="112"/>
      <c r="AD360" s="543"/>
      <c r="AE360" s="38"/>
      <c r="AF360" s="120" t="str">
        <f>TEXT(LEFT(Contrato[[#This Row],[CONTRATO]],3),"0")</f>
        <v>353</v>
      </c>
      <c r="AG360" s="120" t="str">
        <f>IF(LEN(Contrato[[#This Row],[Contrato2]])=3,Contrato[[#This Row],[Contrato2]],TEXT(Contrato[[#This Row],[Contrato2]],"000"))</f>
        <v>353</v>
      </c>
      <c r="AH360" s="90" t="str">
        <f ca="1">IFERROR(_xlfn.DAYS(Contrato[[#This Row],[Fecha Proyectada liquidación]],TODAY())/30,"")</f>
        <v/>
      </c>
      <c r="AI360" s="121" t="e">
        <f ca="1">+Contrato[[#This Row],[FECHA TERMINACIÓN ]]+120</f>
        <v>#NAME?</v>
      </c>
      <c r="AK360" s="91" t="e">
        <f ca="1">IF(Contrato[[#This Row],[FECHA TERMINACIÓN ]]&lt;TODAY(), "Terminado",IF(ISNUMBER(Contrato[[#This Row],[Fecha Real de liquiidación ]]),"Liquidado",IF(Contrato[[#This Row],[FECHA TERMINACIÓN ]]&gt;=TODAY(),"En ejecución","")))</f>
        <v>#NAME?</v>
      </c>
      <c r="AL360" s="107">
        <f ca="1">SUMIF(COMPROMISOS_2025[[#All],[consecutivo]],Contrato[[#This Row],[RCP]],COMPROMISOS_2025[[#All],[Total pagado]])</f>
        <v>0</v>
      </c>
      <c r="AM360" s="122">
        <f ca="1">IFERROR(Contrato[[#This Row],[Pagos]]/Contrato[[#This Row],[VALOR CONTRATO]],0)</f>
        <v>0</v>
      </c>
      <c r="AN360" s="160">
        <f ca="1">+Contrato[[#This Row],[VALOR CONTRATO]]-Contrato[[#This Row],[Pagos]]</f>
        <v>0</v>
      </c>
      <c r="AO360" s="111" t="e" cm="1">
        <f t="array" aca="1" ref="AO360" ca="1">_xlfn.XLOOKUP(Contrato[[#This Row],[DOCUMENTO ]],PERSONAL_ACTIVO_2025[[#All],[DOCUMENTO]],PERSONAL_ACTIVO_2025[[#All],[email]],0,0)</f>
        <v>#NAME?</v>
      </c>
      <c r="AP360" s="111" t="e" cm="1">
        <f t="array" aca="1" ref="AP360" ca="1">_xlfn.XLOOKUP(Contrato[[#This Row],[DOCUMENTO]],PERSONAL_ACTIVO_2025[[#All],[DOCUMENTO]],PERSONAL_ACTIVO_2025[[#All],[email]],0,0)</f>
        <v>#NAME?</v>
      </c>
      <c r="AQ360" s="111" cm="1">
        <f t="array" aca="1" ref="AQ360" ca="1">IF(ISBLANK(Contrato[[#This Row],[DEPENDENCIA ]]),0,IFERROR(_xlfn.XLOOKUP(Contrato[[#This Row],[DEPENDENCIA ]],#REF!,#REF!,0,0),0))</f>
        <v>0</v>
      </c>
      <c r="AR360" s="555" t="e">
        <f ca="1">+_xlfn.DAYS(Contrato[[#This Row],[FECHA TERMINACIÓN ]],TODAY())</f>
        <v>#NAME?</v>
      </c>
    </row>
    <row r="361" spans="1:44" ht="100.5" customHeight="1" x14ac:dyDescent="0.25">
      <c r="A361" s="38">
        <v>48</v>
      </c>
      <c r="B361" s="226">
        <v>354</v>
      </c>
      <c r="C361" s="88" t="s">
        <v>151</v>
      </c>
      <c r="D361" s="192" t="s">
        <v>883</v>
      </c>
      <c r="E361" s="193" t="s">
        <v>112</v>
      </c>
      <c r="F361" s="194" t="s">
        <v>125</v>
      </c>
      <c r="G361" s="195" t="s">
        <v>1298</v>
      </c>
      <c r="H361" s="346">
        <v>901465133</v>
      </c>
      <c r="I361" s="290">
        <v>0</v>
      </c>
      <c r="J361" s="290">
        <v>1308317705</v>
      </c>
      <c r="K361" s="158" t="s">
        <v>41</v>
      </c>
      <c r="L361" s="196" t="s">
        <v>1554</v>
      </c>
      <c r="M361" s="114" t="s">
        <v>886</v>
      </c>
      <c r="N361" s="113" t="e" cm="1">
        <f t="array" aca="1" ref="N361" ca="1">_xlfn.XLOOKUP(Contrato[[#This Row],[SUPERVISOR TITULAR]],PERSONAL_ACTIVO_2025[[#All],[NOMBRES Y APELLIDOS]],PERSONAL_ACTIVO_2025[[#All],[DOCUMENTO]],"",0)</f>
        <v>#NAME?</v>
      </c>
      <c r="O361" s="114" t="s">
        <v>887</v>
      </c>
      <c r="P361" s="115" t="e" cm="1">
        <f t="array" aca="1" ref="P361" ca="1">_xlfn.XLOOKUP(Contrato[[#This Row],[SUPERVISOR SUPLENTE ]],PERSONAL_ACTIVO_2025[[#All],[NOMBRES Y APELLIDOS]],PERSONAL_ACTIVO_2025[[#All],[DOCUMENTO]],"",0)</f>
        <v>#NAME?</v>
      </c>
      <c r="Q361" s="116">
        <v>425</v>
      </c>
      <c r="R361" s="137" t="e" cm="1">
        <f t="array" aca="1" ref="R361" ca="1">_xlfn.XLOOKUP(Contrato[[#This Row],[CDP]],DISPONIBILIDADES_2025[[#All],[consecutivo]],DISPONIBILIDADES_2025[[#All],[fecha_aprobacion]],"",0)</f>
        <v>#NAME?</v>
      </c>
      <c r="S361" s="92">
        <f>SUMIF(DISPONIBILIDADES_2025[[#All],[consecutivo]],Contrato[[#This Row],[CDP]],DISPONIBILIDADES_2025[[#All],[valor_total_rubro]])</f>
        <v>1308317705</v>
      </c>
      <c r="T361" s="118" t="e" cm="1">
        <f t="array" aca="1" ref="T361" ca="1">_xlfn.XLOOKUP(Contrato[[#This Row],[CONTRATO]]&amp;Contrato[[#This Row],[CDP]],Corr_Contr_CDP[[#All],[CONTRATO-CDP]],Corr_Contr_CDP[[#All],[CRP]],_xlfn.XLOOKUP(Contrato[[#This Row],[CDP]],COMPROMISOS_2025[[#All],[disponibilidad]],COMPROMISOS_2025[[#All],[consecutivo]],"",0),0)</f>
        <v>#NAME?</v>
      </c>
      <c r="U361" s="117" t="e" cm="1">
        <f t="array" aca="1" ref="U361" ca="1">+_xlfn.XLOOKUP(Contrato[[#This Row],[RCP]],COMPROMISOS_2025[[#All],[consecutivo]],COMPROMISOS_2025[[#All],[fecha_aprobacion]],"",0)</f>
        <v>#NAME?</v>
      </c>
      <c r="V361" s="93">
        <f ca="1">SUMIF(COMPROMISOS_2025[[#All],[consecutivo]],Contrato[[#This Row],[RCP]],COMPROMISOS_2025[[#All],[valor_total]])</f>
        <v>0</v>
      </c>
      <c r="W361" s="243">
        <v>45754</v>
      </c>
      <c r="X361" s="243">
        <v>45768</v>
      </c>
      <c r="Y361" s="96">
        <v>45769</v>
      </c>
      <c r="Z361" s="161">
        <v>46022</v>
      </c>
      <c r="AA361" s="473" t="s">
        <v>1555</v>
      </c>
      <c r="AB361" s="119" t="s">
        <v>1556</v>
      </c>
      <c r="AC361" s="112"/>
      <c r="AD361" s="543"/>
      <c r="AE361" s="38" t="s">
        <v>904</v>
      </c>
      <c r="AF361" s="120" t="str">
        <f>TEXT(LEFT(Contrato[[#This Row],[CONTRATO]],3),"0")</f>
        <v>354</v>
      </c>
      <c r="AG361" s="120" t="str">
        <f>IF(LEN(Contrato[[#This Row],[Contrato2]])=3,Contrato[[#This Row],[Contrato2]],TEXT(Contrato[[#This Row],[Contrato2]],"000"))</f>
        <v>354</v>
      </c>
      <c r="AH361" s="90">
        <f ca="1">IFERROR(_xlfn.DAYS(Contrato[[#This Row],[Fecha Proyectada liquidación]],TODAY())/30,"")</f>
        <v>11.966666666666667</v>
      </c>
      <c r="AI361" s="121">
        <f>+Contrato[[#This Row],[FECHA TERMINACIÓN ]]+120</f>
        <v>46142</v>
      </c>
      <c r="AK361" s="91" t="str">
        <f ca="1">IF(Contrato[[#This Row],[FECHA TERMINACIÓN ]]&lt;TODAY(), "Terminado",IF(ISNUMBER(Contrato[[#This Row],[Fecha Real de liquiidación ]]),"Liquidado",IF(Contrato[[#This Row],[FECHA TERMINACIÓN ]]&gt;=TODAY(),"En ejecución","")))</f>
        <v>En ejecución</v>
      </c>
      <c r="AL361" s="107">
        <f ca="1">SUMIF(COMPROMISOS_2025[[#All],[consecutivo]],Contrato[[#This Row],[RCP]],COMPROMISOS_2025[[#All],[Total pagado]])</f>
        <v>0</v>
      </c>
      <c r="AM361" s="122">
        <f ca="1">IFERROR(Contrato[[#This Row],[Pagos]]/Contrato[[#This Row],[VALOR CONTRATO]],0)</f>
        <v>0</v>
      </c>
      <c r="AN361" s="160">
        <f ca="1">+Contrato[[#This Row],[VALOR CONTRATO]]-Contrato[[#This Row],[Pagos]]</f>
        <v>1308317705</v>
      </c>
      <c r="AO361" s="111" t="e" cm="1">
        <f t="array" aca="1" ref="AO361" ca="1">_xlfn.XLOOKUP(Contrato[[#This Row],[DOCUMENTO ]],PERSONAL_ACTIVO_2025[[#All],[DOCUMENTO]],PERSONAL_ACTIVO_2025[[#All],[email]],0,0)</f>
        <v>#NAME?</v>
      </c>
      <c r="AP361" s="111" t="e" cm="1">
        <f t="array" aca="1" ref="AP361" ca="1">_xlfn.XLOOKUP(Contrato[[#This Row],[DOCUMENTO]],PERSONAL_ACTIVO_2025[[#All],[DOCUMENTO]],PERSONAL_ACTIVO_2025[[#All],[email]],0,0)</f>
        <v>#NAME?</v>
      </c>
      <c r="AQ361" s="111" cm="1">
        <f t="array" aca="1" ref="AQ361" ca="1">IF(ISBLANK(Contrato[[#This Row],[DEPENDENCIA ]]),0,IFERROR(_xlfn.XLOOKUP(Contrato[[#This Row],[DEPENDENCIA ]],#REF!,#REF!,0,0),0))</f>
        <v>0</v>
      </c>
      <c r="AR361" s="555">
        <f ca="1">+_xlfn.DAYS(Contrato[[#This Row],[FECHA TERMINACIÓN ]],TODAY())</f>
        <v>239</v>
      </c>
    </row>
    <row r="362" spans="1:44" ht="39.75" customHeight="1" x14ac:dyDescent="0.2">
      <c r="A362" s="38">
        <v>47</v>
      </c>
      <c r="B362" s="226">
        <v>355</v>
      </c>
      <c r="C362" s="88" t="s">
        <v>124</v>
      </c>
      <c r="D362" s="192" t="s">
        <v>883</v>
      </c>
      <c r="E362" s="193" t="s">
        <v>112</v>
      </c>
      <c r="F362" s="194" t="s">
        <v>125</v>
      </c>
      <c r="G362" s="195" t="s">
        <v>1298</v>
      </c>
      <c r="H362" s="346">
        <v>901465133</v>
      </c>
      <c r="I362" s="290">
        <v>0</v>
      </c>
      <c r="J362" s="290">
        <v>1040000000</v>
      </c>
      <c r="K362" s="158" t="s">
        <v>41</v>
      </c>
      <c r="L362" s="196" t="s">
        <v>1554</v>
      </c>
      <c r="M362" s="114" t="s">
        <v>1031</v>
      </c>
      <c r="N362" s="113" t="e" cm="1">
        <f t="array" aca="1" ref="N362" ca="1">_xlfn.XLOOKUP(Contrato[[#This Row],[SUPERVISOR TITULAR]],PERSONAL_ACTIVO_2025[[#All],[NOMBRES Y APELLIDOS]],PERSONAL_ACTIVO_2025[[#All],[DOCUMENTO]],"",0)</f>
        <v>#NAME?</v>
      </c>
      <c r="O362" s="114" t="s">
        <v>1034</v>
      </c>
      <c r="P362" s="115" t="e" cm="1">
        <f t="array" aca="1" ref="P362" ca="1">_xlfn.XLOOKUP(Contrato[[#This Row],[SUPERVISOR SUPLENTE ]],PERSONAL_ACTIVO_2025[[#All],[NOMBRES Y APELLIDOS]],PERSONAL_ACTIVO_2025[[#All],[DOCUMENTO]],"",0)</f>
        <v>#NAME?</v>
      </c>
      <c r="Q362" s="116">
        <v>433</v>
      </c>
      <c r="R362" s="137" t="e" cm="1">
        <f t="array" aca="1" ref="R362" ca="1">_xlfn.XLOOKUP(Contrato[[#This Row],[CDP]],DISPONIBILIDADES_2025[[#All],[consecutivo]],DISPONIBILIDADES_2025[[#All],[fecha_aprobacion]],"",0)</f>
        <v>#NAME?</v>
      </c>
      <c r="S362" s="92">
        <f>SUMIF(DISPONIBILIDADES_2025[[#All],[consecutivo]],Contrato[[#This Row],[CDP]],DISPONIBILIDADES_2025[[#All],[valor_total_rubro]])</f>
        <v>1040000000</v>
      </c>
      <c r="T362" s="118" t="e" cm="1">
        <f t="array" aca="1" ref="T362" ca="1">_xlfn.XLOOKUP(Contrato[[#This Row],[CONTRATO]]&amp;Contrato[[#This Row],[CDP]],Corr_Contr_CDP[[#All],[CONTRATO-CDP]],Corr_Contr_CDP[[#All],[CRP]],_xlfn.XLOOKUP(Contrato[[#This Row],[CDP]],COMPROMISOS_2025[[#All],[disponibilidad]],COMPROMISOS_2025[[#All],[consecutivo]],"",0),0)</f>
        <v>#NAME?</v>
      </c>
      <c r="U362" s="117" t="e" cm="1">
        <f t="array" aca="1" ref="U362" ca="1">+_xlfn.XLOOKUP(Contrato[[#This Row],[RCP]],COMPROMISOS_2025[[#All],[consecutivo]],COMPROMISOS_2025[[#All],[fecha_aprobacion]],"",0)</f>
        <v>#NAME?</v>
      </c>
      <c r="V362" s="93">
        <f ca="1">SUMIF(COMPROMISOS_2025[[#All],[consecutivo]],Contrato[[#This Row],[RCP]],COMPROMISOS_2025[[#All],[valor_total]])</f>
        <v>0</v>
      </c>
      <c r="W362" s="243">
        <v>45750</v>
      </c>
      <c r="X362" s="243">
        <v>45758</v>
      </c>
      <c r="Y362" s="96">
        <v>45758</v>
      </c>
      <c r="Z362" s="161">
        <v>46022</v>
      </c>
      <c r="AA362" s="475" t="s">
        <v>1557</v>
      </c>
      <c r="AB362" s="119" t="s">
        <v>1550</v>
      </c>
      <c r="AC362" s="112"/>
      <c r="AD362" s="543"/>
      <c r="AE362" s="38" t="s">
        <v>904</v>
      </c>
      <c r="AF362" s="120" t="str">
        <f>TEXT(LEFT(Contrato[[#This Row],[CONTRATO]],3),"0")</f>
        <v>355</v>
      </c>
      <c r="AG362" s="120" t="str">
        <f>IF(LEN(Contrato[[#This Row],[Contrato2]])=3,Contrato[[#This Row],[Contrato2]],TEXT(Contrato[[#This Row],[Contrato2]],"000"))</f>
        <v>355</v>
      </c>
      <c r="AH362" s="90">
        <f ca="1">IFERROR(_xlfn.DAYS(Contrato[[#This Row],[Fecha Proyectada liquidación]],TODAY())/30,"")</f>
        <v>11.966666666666667</v>
      </c>
      <c r="AI362" s="121">
        <f>+Contrato[[#This Row],[FECHA TERMINACIÓN ]]+120</f>
        <v>46142</v>
      </c>
      <c r="AK362" s="91" t="str">
        <f ca="1">IF(Contrato[[#This Row],[FECHA TERMINACIÓN ]]&lt;TODAY(), "Terminado",IF(ISNUMBER(Contrato[[#This Row],[Fecha Real de liquiidación ]]),"Liquidado",IF(Contrato[[#This Row],[FECHA TERMINACIÓN ]]&gt;=TODAY(),"En ejecución","")))</f>
        <v>En ejecución</v>
      </c>
      <c r="AL362" s="107">
        <f ca="1">SUMIF(COMPROMISOS_2025[[#All],[consecutivo]],Contrato[[#This Row],[RCP]],COMPROMISOS_2025[[#All],[Total pagado]])</f>
        <v>0</v>
      </c>
      <c r="AM362" s="122">
        <f ca="1">IFERROR(Contrato[[#This Row],[Pagos]]/Contrato[[#This Row],[VALOR CONTRATO]],0)</f>
        <v>0</v>
      </c>
      <c r="AN362" s="160">
        <f ca="1">+Contrato[[#This Row],[VALOR CONTRATO]]-Contrato[[#This Row],[Pagos]]</f>
        <v>1040000000</v>
      </c>
      <c r="AO362" s="111" t="e" cm="1">
        <f t="array" aca="1" ref="AO362" ca="1">_xlfn.XLOOKUP(Contrato[[#This Row],[DOCUMENTO ]],PERSONAL_ACTIVO_2025[[#All],[DOCUMENTO]],PERSONAL_ACTIVO_2025[[#All],[email]],0,0)</f>
        <v>#NAME?</v>
      </c>
      <c r="AP362" s="111" t="e" cm="1">
        <f t="array" aca="1" ref="AP362" ca="1">_xlfn.XLOOKUP(Contrato[[#This Row],[DOCUMENTO]],PERSONAL_ACTIVO_2025[[#All],[DOCUMENTO]],PERSONAL_ACTIVO_2025[[#All],[email]],0,0)</f>
        <v>#NAME?</v>
      </c>
      <c r="AQ362" s="111" cm="1">
        <f t="array" aca="1" ref="AQ362" ca="1">IF(ISBLANK(Contrato[[#This Row],[DEPENDENCIA ]]),0,IFERROR(_xlfn.XLOOKUP(Contrato[[#This Row],[DEPENDENCIA ]],#REF!,#REF!,0,0),0))</f>
        <v>0</v>
      </c>
      <c r="AR362" s="555">
        <f ca="1">+_xlfn.DAYS(Contrato[[#This Row],[FECHA TERMINACIÓN ]],TODAY())</f>
        <v>239</v>
      </c>
    </row>
    <row r="363" spans="1:44" ht="39.75" customHeight="1" x14ac:dyDescent="0.25">
      <c r="A363" s="38">
        <v>70</v>
      </c>
      <c r="B363" s="226">
        <v>356</v>
      </c>
      <c r="C363" s="88" t="s">
        <v>208</v>
      </c>
      <c r="D363" s="192" t="s">
        <v>945</v>
      </c>
      <c r="E363" s="193" t="s">
        <v>112</v>
      </c>
      <c r="F363" s="194" t="s">
        <v>113</v>
      </c>
      <c r="G363" s="195" t="s">
        <v>1558</v>
      </c>
      <c r="H363" s="346">
        <v>43972155</v>
      </c>
      <c r="I363" s="290">
        <v>7521800</v>
      </c>
      <c r="J363" s="290">
        <v>81457100</v>
      </c>
      <c r="K363" s="297" t="s">
        <v>1109</v>
      </c>
      <c r="L363" s="196" t="s">
        <v>1559</v>
      </c>
      <c r="M363" s="114" t="s">
        <v>948</v>
      </c>
      <c r="N363" s="113" t="e" cm="1">
        <f t="array" aca="1" ref="N363" ca="1">_xlfn.XLOOKUP(Contrato[[#This Row],[SUPERVISOR TITULAR]],PERSONAL_ACTIVO_2025[[#All],[NOMBRES Y APELLIDOS]],PERSONAL_ACTIVO_2025[[#All],[DOCUMENTO]],"",0)</f>
        <v>#NAME?</v>
      </c>
      <c r="O363" s="114" t="s">
        <v>1305</v>
      </c>
      <c r="P363" s="115" t="e" cm="1">
        <f t="array" aca="1" ref="P363" ca="1">_xlfn.XLOOKUP(Contrato[[#This Row],[SUPERVISOR SUPLENTE ]],PERSONAL_ACTIVO_2025[[#All],[NOMBRES Y APELLIDOS]],PERSONAL_ACTIVO_2025[[#All],[DOCUMENTO]],"",0)</f>
        <v>#NAME?</v>
      </c>
      <c r="Q363" s="116">
        <v>423</v>
      </c>
      <c r="R363" s="137" t="e" cm="1">
        <f t="array" aca="1" ref="R363" ca="1">_xlfn.XLOOKUP(Contrato[[#This Row],[CDP]],DISPONIBILIDADES_2025[[#All],[consecutivo]],DISPONIBILIDADES_2025[[#All],[fecha_aprobacion]],"",0)</f>
        <v>#NAME?</v>
      </c>
      <c r="S363" s="92">
        <f>SUMIF(DISPONIBILIDADES_2025[[#All],[consecutivo]],Contrato[[#This Row],[CDP]],DISPONIBILIDADES_2025[[#All],[valor_total_rubro]])</f>
        <v>97499603</v>
      </c>
      <c r="T363" s="118" t="e" cm="1">
        <f t="array" aca="1" ref="T363" ca="1">_xlfn.XLOOKUP(Contrato[[#This Row],[CONTRATO]]&amp;Contrato[[#This Row],[CDP]],Corr_Contr_CDP[[#All],[CONTRATO-CDP]],Corr_Contr_CDP[[#All],[CRP]],_xlfn.XLOOKUP(Contrato[[#This Row],[CDP]],COMPROMISOS_2025[[#All],[disponibilidad]],COMPROMISOS_2025[[#All],[consecutivo]],"",0),0)</f>
        <v>#NAME?</v>
      </c>
      <c r="U363" s="117" t="e" cm="1">
        <f t="array" aca="1" ref="U363" ca="1">+_xlfn.XLOOKUP(Contrato[[#This Row],[RCP]],COMPROMISOS_2025[[#All],[consecutivo]],COMPROMISOS_2025[[#All],[fecha_aprobacion]],"",0)</f>
        <v>#NAME?</v>
      </c>
      <c r="V363" s="93">
        <f ca="1">SUMIF(COMPROMISOS_2025[[#All],[consecutivo]],Contrato[[#This Row],[RCP]],COMPROMISOS_2025[[#All],[valor_total]])</f>
        <v>0</v>
      </c>
      <c r="W363" s="243">
        <v>45768</v>
      </c>
      <c r="X363" s="243" t="s">
        <v>901</v>
      </c>
      <c r="Y363" s="96">
        <v>45777</v>
      </c>
      <c r="Z363" s="161">
        <v>46022</v>
      </c>
      <c r="AA363" s="474" t="s">
        <v>1560</v>
      </c>
      <c r="AB363" s="119" t="s">
        <v>1489</v>
      </c>
      <c r="AC363" s="112"/>
      <c r="AD363" s="543"/>
      <c r="AE363" s="38" t="s">
        <v>904</v>
      </c>
      <c r="AF363" s="120" t="str">
        <f>TEXT(LEFT(Contrato[[#This Row],[CONTRATO]],3),"0")</f>
        <v>356</v>
      </c>
      <c r="AG363" s="120" t="str">
        <f>IF(LEN(Contrato[[#This Row],[Contrato2]])=3,Contrato[[#This Row],[Contrato2]],TEXT(Contrato[[#This Row],[Contrato2]],"000"))</f>
        <v>356</v>
      </c>
      <c r="AH363" s="90">
        <f ca="1">IFERROR(_xlfn.DAYS(Contrato[[#This Row],[Fecha Proyectada liquidación]],TODAY())/30,"")</f>
        <v>11.966666666666667</v>
      </c>
      <c r="AI363" s="121">
        <f>+Contrato[[#This Row],[FECHA TERMINACIÓN ]]+120</f>
        <v>46142</v>
      </c>
      <c r="AK363" s="91" t="str">
        <f ca="1">IF(Contrato[[#This Row],[FECHA TERMINACIÓN ]]&lt;TODAY(), "Terminado",IF(ISNUMBER(Contrato[[#This Row],[Fecha Real de liquiidación ]]),"Liquidado",IF(Contrato[[#This Row],[FECHA TERMINACIÓN ]]&gt;=TODAY(),"En ejecución","")))</f>
        <v>En ejecución</v>
      </c>
      <c r="AL363" s="107">
        <f ca="1">SUMIF(COMPROMISOS_2025[[#All],[consecutivo]],Contrato[[#This Row],[RCP]],COMPROMISOS_2025[[#All],[Total pagado]])</f>
        <v>0</v>
      </c>
      <c r="AM363" s="122">
        <f ca="1">IFERROR(Contrato[[#This Row],[Pagos]]/Contrato[[#This Row],[VALOR CONTRATO]],0)</f>
        <v>0</v>
      </c>
      <c r="AN363" s="160">
        <f ca="1">+Contrato[[#This Row],[VALOR CONTRATO]]-Contrato[[#This Row],[Pagos]]</f>
        <v>81457100</v>
      </c>
      <c r="AO363" s="111" t="e" cm="1">
        <f t="array" aca="1" ref="AO363" ca="1">_xlfn.XLOOKUP(Contrato[[#This Row],[DOCUMENTO ]],PERSONAL_ACTIVO_2025[[#All],[DOCUMENTO]],PERSONAL_ACTIVO_2025[[#All],[email]],0,0)</f>
        <v>#NAME?</v>
      </c>
      <c r="AP363" s="111" t="e" cm="1">
        <f t="array" aca="1" ref="AP363" ca="1">_xlfn.XLOOKUP(Contrato[[#This Row],[DOCUMENTO]],PERSONAL_ACTIVO_2025[[#All],[DOCUMENTO]],PERSONAL_ACTIVO_2025[[#All],[email]],0,0)</f>
        <v>#NAME?</v>
      </c>
      <c r="AQ363" s="111" cm="1">
        <f t="array" aca="1" ref="AQ363" ca="1">IF(ISBLANK(Contrato[[#This Row],[DEPENDENCIA ]]),0,IFERROR(_xlfn.XLOOKUP(Contrato[[#This Row],[DEPENDENCIA ]],#REF!,#REF!,0,0),0))</f>
        <v>0</v>
      </c>
      <c r="AR363" s="555">
        <f ca="1">+_xlfn.DAYS(Contrato[[#This Row],[FECHA TERMINACIÓN ]],TODAY())</f>
        <v>239</v>
      </c>
    </row>
    <row r="364" spans="1:44" ht="39.75" customHeight="1" x14ac:dyDescent="0.25">
      <c r="A364" s="38">
        <v>562</v>
      </c>
      <c r="B364" s="226">
        <v>357</v>
      </c>
      <c r="C364" s="88" t="s">
        <v>775</v>
      </c>
      <c r="D364" s="192" t="s">
        <v>930</v>
      </c>
      <c r="E364" s="193" t="s">
        <v>112</v>
      </c>
      <c r="F364" s="194" t="s">
        <v>241</v>
      </c>
      <c r="G364" s="195" t="s">
        <v>1561</v>
      </c>
      <c r="H364" s="346">
        <v>811007361</v>
      </c>
      <c r="I364" s="290">
        <v>0</v>
      </c>
      <c r="J364" s="290">
        <v>47520000</v>
      </c>
      <c r="K364" s="297" t="s">
        <v>1562</v>
      </c>
      <c r="L364" s="196" t="s">
        <v>1559</v>
      </c>
      <c r="M364" s="114" t="s">
        <v>1055</v>
      </c>
      <c r="N364" s="113" t="e" cm="1">
        <f t="array" aca="1" ref="N364" ca="1">_xlfn.XLOOKUP(Contrato[[#This Row],[SUPERVISOR TITULAR]],PERSONAL_ACTIVO_2025[[#All],[NOMBRES Y APELLIDOS]],PERSONAL_ACTIVO_2025[[#All],[DOCUMENTO]],"",0)</f>
        <v>#NAME?</v>
      </c>
      <c r="O364" s="114" t="s">
        <v>979</v>
      </c>
      <c r="P364" s="115" t="e" cm="1">
        <f t="array" aca="1" ref="P364" ca="1">_xlfn.XLOOKUP(Contrato[[#This Row],[SUPERVISOR SUPLENTE ]],PERSONAL_ACTIVO_2025[[#All],[NOMBRES Y APELLIDOS]],PERSONAL_ACTIVO_2025[[#All],[DOCUMENTO]],"",0)</f>
        <v>#NAME?</v>
      </c>
      <c r="Q364" s="116">
        <v>353</v>
      </c>
      <c r="R364" s="137" t="e" cm="1">
        <f t="array" aca="1" ref="R364" ca="1">_xlfn.XLOOKUP(Contrato[[#This Row],[CDP]],DISPONIBILIDADES_2025[[#All],[consecutivo]],DISPONIBILIDADES_2025[[#All],[fecha_aprobacion]],"",0)</f>
        <v>#NAME?</v>
      </c>
      <c r="S364" s="92">
        <f>SUMIF(DISPONIBILIDADES_2025[[#All],[consecutivo]],Contrato[[#This Row],[CDP]],DISPONIBILIDADES_2025[[#All],[valor_total_rubro]])</f>
        <v>50000000</v>
      </c>
      <c r="T364" s="118" t="e" cm="1">
        <f t="array" aca="1" ref="T364" ca="1">_xlfn.XLOOKUP(Contrato[[#This Row],[CONTRATO]]&amp;Contrato[[#This Row],[CDP]],Corr_Contr_CDP[[#All],[CONTRATO-CDP]],Corr_Contr_CDP[[#All],[CRP]],_xlfn.XLOOKUP(Contrato[[#This Row],[CDP]],COMPROMISOS_2025[[#All],[disponibilidad]],COMPROMISOS_2025[[#All],[consecutivo]],"",0),0)</f>
        <v>#NAME?</v>
      </c>
      <c r="U364" s="117" t="e" cm="1">
        <f t="array" aca="1" ref="U364" ca="1">+_xlfn.XLOOKUP(Contrato[[#This Row],[RCP]],COMPROMISOS_2025[[#All],[consecutivo]],COMPROMISOS_2025[[#All],[fecha_aprobacion]],"",0)</f>
        <v>#NAME?</v>
      </c>
      <c r="V364" s="93">
        <f ca="1">SUMIF(COMPROMISOS_2025[[#All],[consecutivo]],Contrato[[#This Row],[RCP]],COMPROMISOS_2025[[#All],[valor_total]])</f>
        <v>0</v>
      </c>
      <c r="W364" s="243">
        <v>45755</v>
      </c>
      <c r="X364" s="243">
        <v>45758</v>
      </c>
      <c r="Y364" s="96">
        <v>45768</v>
      </c>
      <c r="Z364" s="161">
        <v>46022</v>
      </c>
      <c r="AA364" s="474" t="s">
        <v>1563</v>
      </c>
      <c r="AB364" s="119" t="s">
        <v>1564</v>
      </c>
      <c r="AC364" s="112"/>
      <c r="AD364" s="543"/>
      <c r="AE364" s="38" t="s">
        <v>904</v>
      </c>
      <c r="AF364" s="120" t="str">
        <f>TEXT(LEFT(Contrato[[#This Row],[CONTRATO]],3),"0")</f>
        <v>357</v>
      </c>
      <c r="AG364" s="120" t="str">
        <f>IF(LEN(Contrato[[#This Row],[Contrato2]])=3,Contrato[[#This Row],[Contrato2]],TEXT(Contrato[[#This Row],[Contrato2]],"000"))</f>
        <v>357</v>
      </c>
      <c r="AH364" s="90">
        <f ca="1">IFERROR(_xlfn.DAYS(Contrato[[#This Row],[Fecha Proyectada liquidación]],TODAY())/30,"")</f>
        <v>11.966666666666667</v>
      </c>
      <c r="AI364" s="121">
        <f>+Contrato[[#This Row],[FECHA TERMINACIÓN ]]+120</f>
        <v>46142</v>
      </c>
      <c r="AK364" s="91" t="str">
        <f ca="1">IF(Contrato[[#This Row],[FECHA TERMINACIÓN ]]&lt;TODAY(), "Terminado",IF(ISNUMBER(Contrato[[#This Row],[Fecha Real de liquiidación ]]),"Liquidado",IF(Contrato[[#This Row],[FECHA TERMINACIÓN ]]&gt;=TODAY(),"En ejecución","")))</f>
        <v>En ejecución</v>
      </c>
      <c r="AL364" s="107">
        <f ca="1">SUMIF(COMPROMISOS_2025[[#All],[consecutivo]],Contrato[[#This Row],[RCP]],COMPROMISOS_2025[[#All],[Total pagado]])</f>
        <v>0</v>
      </c>
      <c r="AM364" s="122">
        <f ca="1">IFERROR(Contrato[[#This Row],[Pagos]]/Contrato[[#This Row],[VALOR CONTRATO]],0)</f>
        <v>0</v>
      </c>
      <c r="AN364" s="160">
        <f ca="1">+Contrato[[#This Row],[VALOR CONTRATO]]-Contrato[[#This Row],[Pagos]]</f>
        <v>47520000</v>
      </c>
      <c r="AO364" s="111" t="e" cm="1">
        <f t="array" aca="1" ref="AO364" ca="1">_xlfn.XLOOKUP(Contrato[[#This Row],[DOCUMENTO ]],PERSONAL_ACTIVO_2025[[#All],[DOCUMENTO]],PERSONAL_ACTIVO_2025[[#All],[email]],0,0)</f>
        <v>#NAME?</v>
      </c>
      <c r="AP364" s="111" t="e" cm="1">
        <f t="array" aca="1" ref="AP364" ca="1">_xlfn.XLOOKUP(Contrato[[#This Row],[DOCUMENTO]],PERSONAL_ACTIVO_2025[[#All],[DOCUMENTO]],PERSONAL_ACTIVO_2025[[#All],[email]],0,0)</f>
        <v>#NAME?</v>
      </c>
      <c r="AQ364" s="111" cm="1">
        <f t="array" aca="1" ref="AQ364" ca="1">IF(ISBLANK(Contrato[[#This Row],[DEPENDENCIA ]]),0,IFERROR(_xlfn.XLOOKUP(Contrato[[#This Row],[DEPENDENCIA ]],#REF!,#REF!,0,0),0))</f>
        <v>0</v>
      </c>
      <c r="AR364" s="555">
        <f ca="1">+_xlfn.DAYS(Contrato[[#This Row],[FECHA TERMINACIÓN ]],TODAY())</f>
        <v>239</v>
      </c>
    </row>
    <row r="365" spans="1:44" ht="39.75" customHeight="1" x14ac:dyDescent="0.25">
      <c r="A365" s="38">
        <v>55</v>
      </c>
      <c r="B365" s="226">
        <v>358</v>
      </c>
      <c r="C365" s="88" t="s">
        <v>165</v>
      </c>
      <c r="D365" s="192" t="s">
        <v>945</v>
      </c>
      <c r="E365" s="193" t="s">
        <v>112</v>
      </c>
      <c r="F365" s="194" t="s">
        <v>125</v>
      </c>
      <c r="G365" s="195" t="s">
        <v>1565</v>
      </c>
      <c r="H365" s="346">
        <v>890937233</v>
      </c>
      <c r="I365" s="290">
        <v>0</v>
      </c>
      <c r="J365" s="290">
        <v>428268255</v>
      </c>
      <c r="K365" s="347"/>
      <c r="L365" s="196" t="s">
        <v>1566</v>
      </c>
      <c r="M365" s="114" t="s">
        <v>1305</v>
      </c>
      <c r="N365" s="113" t="e" cm="1">
        <f t="array" aca="1" ref="N365" ca="1">_xlfn.XLOOKUP(Contrato[[#This Row],[SUPERVISOR TITULAR]],PERSONAL_ACTIVO_2025[[#All],[NOMBRES Y APELLIDOS]],PERSONAL_ACTIVO_2025[[#All],[DOCUMENTO]],"",0)</f>
        <v>#NAME?</v>
      </c>
      <c r="O365" s="114" t="s">
        <v>947</v>
      </c>
      <c r="P365" s="115" t="e" cm="1">
        <f t="array" aca="1" ref="P365" ca="1">_xlfn.XLOOKUP(Contrato[[#This Row],[SUPERVISOR SUPLENTE ]],PERSONAL_ACTIVO_2025[[#All],[NOMBRES Y APELLIDOS]],PERSONAL_ACTIVO_2025[[#All],[DOCUMENTO]],"",0)</f>
        <v>#NAME?</v>
      </c>
      <c r="Q365" s="116">
        <v>415</v>
      </c>
      <c r="R365" s="137" t="e" cm="1">
        <f t="array" aca="1" ref="R365" ca="1">_xlfn.XLOOKUP(Contrato[[#This Row],[CDP]],DISPONIBILIDADES_2025[[#All],[consecutivo]],DISPONIBILIDADES_2025[[#All],[fecha_aprobacion]],"",0)</f>
        <v>#NAME?</v>
      </c>
      <c r="S365" s="92">
        <f>SUMIF(DISPONIBILIDADES_2025[[#All],[consecutivo]],Contrato[[#This Row],[CDP]],DISPONIBILIDADES_2025[[#All],[valor_total_rubro]])</f>
        <v>428268255</v>
      </c>
      <c r="T365" s="118" t="e" cm="1">
        <f t="array" aca="1" ref="T365" ca="1">_xlfn.XLOOKUP(Contrato[[#This Row],[CONTRATO]]&amp;Contrato[[#This Row],[CDP]],Corr_Contr_CDP[[#All],[CONTRATO-CDP]],Corr_Contr_CDP[[#All],[CRP]],_xlfn.XLOOKUP(Contrato[[#This Row],[CDP]],COMPROMISOS_2025[[#All],[disponibilidad]],COMPROMISOS_2025[[#All],[consecutivo]],"",0),0)</f>
        <v>#NAME?</v>
      </c>
      <c r="U365" s="117" t="e" cm="1">
        <f t="array" aca="1" ref="U365" ca="1">+_xlfn.XLOOKUP(Contrato[[#This Row],[RCP]],COMPROMISOS_2025[[#All],[consecutivo]],COMPROMISOS_2025[[#All],[fecha_aprobacion]],"",0)</f>
        <v>#NAME?</v>
      </c>
      <c r="V365" s="93">
        <f ca="1">SUMIF(COMPROMISOS_2025[[#All],[consecutivo]],Contrato[[#This Row],[RCP]],COMPROMISOS_2025[[#All],[valor_total]])</f>
        <v>0</v>
      </c>
      <c r="W365" s="243">
        <v>45772</v>
      </c>
      <c r="X365" s="243">
        <v>45777</v>
      </c>
      <c r="Y365" s="96"/>
      <c r="Z365" s="161">
        <v>46022</v>
      </c>
      <c r="AA365" s="244"/>
      <c r="AB365" s="119" t="s">
        <v>1004</v>
      </c>
      <c r="AC365" s="112"/>
      <c r="AD365" s="543"/>
      <c r="AE365" s="38"/>
      <c r="AF365" s="120" t="str">
        <f>TEXT(LEFT(Contrato[[#This Row],[CONTRATO]],3),"0")</f>
        <v>358</v>
      </c>
      <c r="AG365" s="120" t="str">
        <f>IF(LEN(Contrato[[#This Row],[Contrato2]])=3,Contrato[[#This Row],[Contrato2]],TEXT(Contrato[[#This Row],[Contrato2]],"000"))</f>
        <v>358</v>
      </c>
      <c r="AH365" s="90">
        <f ca="1">IFERROR(_xlfn.DAYS(Contrato[[#This Row],[Fecha Proyectada liquidación]],TODAY())/30,"")</f>
        <v>11.966666666666667</v>
      </c>
      <c r="AI365" s="121">
        <f>+Contrato[[#This Row],[FECHA TERMINACIÓN ]]+120</f>
        <v>46142</v>
      </c>
      <c r="AK365" s="91" t="str">
        <f ca="1">IF(Contrato[[#This Row],[FECHA TERMINACIÓN ]]&lt;TODAY(), "Terminado",IF(ISNUMBER(Contrato[[#This Row],[Fecha Real de liquiidación ]]),"Liquidado",IF(Contrato[[#This Row],[FECHA TERMINACIÓN ]]&gt;=TODAY(),"En ejecución","")))</f>
        <v>En ejecución</v>
      </c>
      <c r="AL365" s="107">
        <f ca="1">SUMIF(COMPROMISOS_2025[[#All],[consecutivo]],Contrato[[#This Row],[RCP]],COMPROMISOS_2025[[#All],[Total pagado]])</f>
        <v>0</v>
      </c>
      <c r="AM365" s="122">
        <f ca="1">IFERROR(Contrato[[#This Row],[Pagos]]/Contrato[[#This Row],[VALOR CONTRATO]],0)</f>
        <v>0</v>
      </c>
      <c r="AN365" s="160">
        <f ca="1">+Contrato[[#This Row],[VALOR CONTRATO]]-Contrato[[#This Row],[Pagos]]</f>
        <v>428268255</v>
      </c>
      <c r="AO365" s="111" t="e" cm="1">
        <f t="array" aca="1" ref="AO365" ca="1">_xlfn.XLOOKUP(Contrato[[#This Row],[DOCUMENTO ]],PERSONAL_ACTIVO_2025[[#All],[DOCUMENTO]],PERSONAL_ACTIVO_2025[[#All],[email]],0,0)</f>
        <v>#NAME?</v>
      </c>
      <c r="AP365" s="111" t="e" cm="1">
        <f t="array" aca="1" ref="AP365" ca="1">_xlfn.XLOOKUP(Contrato[[#This Row],[DOCUMENTO]],PERSONAL_ACTIVO_2025[[#All],[DOCUMENTO]],PERSONAL_ACTIVO_2025[[#All],[email]],0,0)</f>
        <v>#NAME?</v>
      </c>
      <c r="AQ365" s="111" cm="1">
        <f t="array" aca="1" ref="AQ365" ca="1">IF(ISBLANK(Contrato[[#This Row],[DEPENDENCIA ]]),0,IFERROR(_xlfn.XLOOKUP(Contrato[[#This Row],[DEPENDENCIA ]],#REF!,#REF!,0,0),0))</f>
        <v>0</v>
      </c>
      <c r="AR365" s="555">
        <f ca="1">+_xlfn.DAYS(Contrato[[#This Row],[FECHA TERMINACIÓN ]],TODAY())</f>
        <v>239</v>
      </c>
    </row>
    <row r="366" spans="1:44" ht="39.75" customHeight="1" x14ac:dyDescent="0.25">
      <c r="A366" s="38">
        <v>606</v>
      </c>
      <c r="B366" s="226">
        <v>359</v>
      </c>
      <c r="C366" s="88" t="s">
        <v>251</v>
      </c>
      <c r="D366" s="192" t="s">
        <v>905</v>
      </c>
      <c r="E366" s="193" t="s">
        <v>112</v>
      </c>
      <c r="F366" s="194" t="s">
        <v>113</v>
      </c>
      <c r="G366" s="195" t="s">
        <v>1567</v>
      </c>
      <c r="H366" s="346">
        <v>1035424762</v>
      </c>
      <c r="I366" s="290">
        <v>7521800</v>
      </c>
      <c r="J366" s="290">
        <v>67696200</v>
      </c>
      <c r="K366" s="158" t="s">
        <v>41</v>
      </c>
      <c r="L366" s="196" t="s">
        <v>1566</v>
      </c>
      <c r="M366" s="114" t="s">
        <v>907</v>
      </c>
      <c r="N366" s="113" t="e" cm="1">
        <f t="array" aca="1" ref="N366" ca="1">_xlfn.XLOOKUP(Contrato[[#This Row],[SUPERVISOR TITULAR]],PERSONAL_ACTIVO_2025[[#All],[NOMBRES Y APELLIDOS]],PERSONAL_ACTIVO_2025[[#All],[DOCUMENTO]],"",0)</f>
        <v>#NAME?</v>
      </c>
      <c r="O366" s="114" t="s">
        <v>908</v>
      </c>
      <c r="P366" s="115" t="e" cm="1">
        <f t="array" aca="1" ref="P366" ca="1">_xlfn.XLOOKUP(Contrato[[#This Row],[SUPERVISOR SUPLENTE ]],PERSONAL_ACTIVO_2025[[#All],[NOMBRES Y APELLIDOS]],PERSONAL_ACTIVO_2025[[#All],[DOCUMENTO]],"",0)</f>
        <v>#NAME?</v>
      </c>
      <c r="Q366" s="116">
        <v>452</v>
      </c>
      <c r="R366" s="137" t="e" cm="1">
        <f t="array" aca="1" ref="R366" ca="1">_xlfn.XLOOKUP(Contrato[[#This Row],[CDP]],DISPONIBILIDADES_2025[[#All],[consecutivo]],DISPONIBILIDADES_2025[[#All],[fecha_aprobacion]],"",0)</f>
        <v>#NAME?</v>
      </c>
      <c r="S366" s="92">
        <f>SUMIF(DISPONIBILIDADES_2025[[#All],[consecutivo]],Contrato[[#This Row],[CDP]],DISPONIBILIDADES_2025[[#All],[valor_total_rubro]])</f>
        <v>0</v>
      </c>
      <c r="T366" s="118" t="e" cm="1">
        <f t="array" aca="1" ref="T366" ca="1">_xlfn.XLOOKUP(Contrato[[#This Row],[CONTRATO]]&amp;Contrato[[#This Row],[CDP]],Corr_Contr_CDP[[#All],[CONTRATO-CDP]],Corr_Contr_CDP[[#All],[CRP]],_xlfn.XLOOKUP(Contrato[[#This Row],[CDP]],COMPROMISOS_2025[[#All],[disponibilidad]],COMPROMISOS_2025[[#All],[consecutivo]],"",0),0)</f>
        <v>#NAME?</v>
      </c>
      <c r="U366" s="117" t="e" cm="1">
        <f t="array" aca="1" ref="U366" ca="1">+_xlfn.XLOOKUP(Contrato[[#This Row],[RCP]],COMPROMISOS_2025[[#All],[consecutivo]],COMPROMISOS_2025[[#All],[fecha_aprobacion]],"",0)</f>
        <v>#NAME?</v>
      </c>
      <c r="V366" s="93">
        <f ca="1">SUMIF(COMPROMISOS_2025[[#All],[consecutivo]],Contrato[[#This Row],[RCP]],COMPROMISOS_2025[[#All],[valor_total]])</f>
        <v>0</v>
      </c>
      <c r="W366" s="243">
        <v>45754</v>
      </c>
      <c r="X366" s="243" t="s">
        <v>901</v>
      </c>
      <c r="Y366" s="96">
        <v>45755</v>
      </c>
      <c r="Z366" s="161">
        <v>46021</v>
      </c>
      <c r="AA366" s="474" t="s">
        <v>1568</v>
      </c>
      <c r="AB366" s="119" t="s">
        <v>1532</v>
      </c>
      <c r="AC366" s="112"/>
      <c r="AD366" s="543"/>
      <c r="AE366" s="38" t="s">
        <v>904</v>
      </c>
      <c r="AF366" s="120" t="str">
        <f>TEXT(LEFT(Contrato[[#This Row],[CONTRATO]],3),"0")</f>
        <v>359</v>
      </c>
      <c r="AG366" s="120" t="str">
        <f>IF(LEN(Contrato[[#This Row],[Contrato2]])=3,Contrato[[#This Row],[Contrato2]],TEXT(Contrato[[#This Row],[Contrato2]],"000"))</f>
        <v>359</v>
      </c>
      <c r="AH366" s="90">
        <f ca="1">IFERROR(_xlfn.DAYS(Contrato[[#This Row],[Fecha Proyectada liquidación]],TODAY())/30,"")</f>
        <v>11.933333333333334</v>
      </c>
      <c r="AI366" s="121">
        <f>+Contrato[[#This Row],[FECHA TERMINACIÓN ]]+120</f>
        <v>46141</v>
      </c>
      <c r="AK366" s="91" t="str">
        <f ca="1">IF(Contrato[[#This Row],[FECHA TERMINACIÓN ]]&lt;TODAY(), "Terminado",IF(ISNUMBER(Contrato[[#This Row],[Fecha Real de liquiidación ]]),"Liquidado",IF(Contrato[[#This Row],[FECHA TERMINACIÓN ]]&gt;=TODAY(),"En ejecución","")))</f>
        <v>En ejecución</v>
      </c>
      <c r="AL366" s="107">
        <f ca="1">SUMIF(COMPROMISOS_2025[[#All],[consecutivo]],Contrato[[#This Row],[RCP]],COMPROMISOS_2025[[#All],[Total pagado]])</f>
        <v>0</v>
      </c>
      <c r="AM366" s="122">
        <f ca="1">IFERROR(Contrato[[#This Row],[Pagos]]/Contrato[[#This Row],[VALOR CONTRATO]],0)</f>
        <v>0</v>
      </c>
      <c r="AN366" s="160">
        <f ca="1">+Contrato[[#This Row],[VALOR CONTRATO]]-Contrato[[#This Row],[Pagos]]</f>
        <v>67696200</v>
      </c>
      <c r="AO366" s="111" t="e" cm="1">
        <f t="array" aca="1" ref="AO366" ca="1">_xlfn.XLOOKUP(Contrato[[#This Row],[DOCUMENTO ]],PERSONAL_ACTIVO_2025[[#All],[DOCUMENTO]],PERSONAL_ACTIVO_2025[[#All],[email]],0,0)</f>
        <v>#NAME?</v>
      </c>
      <c r="AP366" s="111" t="e" cm="1">
        <f t="array" aca="1" ref="AP366" ca="1">_xlfn.XLOOKUP(Contrato[[#This Row],[DOCUMENTO]],PERSONAL_ACTIVO_2025[[#All],[DOCUMENTO]],PERSONAL_ACTIVO_2025[[#All],[email]],0,0)</f>
        <v>#NAME?</v>
      </c>
      <c r="AQ366" s="111" cm="1">
        <f t="array" aca="1" ref="AQ366" ca="1">IF(ISBLANK(Contrato[[#This Row],[DEPENDENCIA ]]),0,IFERROR(_xlfn.XLOOKUP(Contrato[[#This Row],[DEPENDENCIA ]],#REF!,#REF!,0,0),0))</f>
        <v>0</v>
      </c>
      <c r="AR366" s="555">
        <f ca="1">+_xlfn.DAYS(Contrato[[#This Row],[FECHA TERMINACIÓN ]],TODAY())</f>
        <v>238</v>
      </c>
    </row>
    <row r="367" spans="1:44" ht="39.75" customHeight="1" x14ac:dyDescent="0.25">
      <c r="A367" s="38">
        <v>181</v>
      </c>
      <c r="B367" s="226">
        <v>360</v>
      </c>
      <c r="C367" s="88" t="s">
        <v>380</v>
      </c>
      <c r="D367" s="192" t="s">
        <v>911</v>
      </c>
      <c r="E367" s="193" t="s">
        <v>112</v>
      </c>
      <c r="F367" s="194" t="s">
        <v>361</v>
      </c>
      <c r="G367" s="195" t="s">
        <v>1569</v>
      </c>
      <c r="H367" s="167">
        <v>890984495</v>
      </c>
      <c r="I367" s="290">
        <v>0</v>
      </c>
      <c r="J367" s="292">
        <v>200000000</v>
      </c>
      <c r="K367" s="158" t="s">
        <v>41</v>
      </c>
      <c r="L367" s="196" t="s">
        <v>1566</v>
      </c>
      <c r="M367" s="114" t="s">
        <v>943</v>
      </c>
      <c r="N367" s="113" t="e" cm="1">
        <f t="array" aca="1" ref="N367" ca="1">_xlfn.XLOOKUP(Contrato[[#This Row],[SUPERVISOR TITULAR]],PERSONAL_ACTIVO_2025[[#All],[NOMBRES Y APELLIDOS]],PERSONAL_ACTIVO_2025[[#All],[DOCUMENTO]],"",0)</f>
        <v>#NAME?</v>
      </c>
      <c r="O367" s="114" t="s">
        <v>939</v>
      </c>
      <c r="P367" s="115" t="e" cm="1">
        <f t="array" aca="1" ref="P367" ca="1">_xlfn.XLOOKUP(Contrato[[#This Row],[SUPERVISOR SUPLENTE ]],PERSONAL_ACTIVO_2025[[#All],[NOMBRES Y APELLIDOS]],PERSONAL_ACTIVO_2025[[#All],[DOCUMENTO]],"",0)</f>
        <v>#NAME?</v>
      </c>
      <c r="Q367" s="116">
        <v>445</v>
      </c>
      <c r="R367" s="137" t="e" cm="1">
        <f t="array" aca="1" ref="R367" ca="1">_xlfn.XLOOKUP(Contrato[[#This Row],[CDP]],DISPONIBILIDADES_2025[[#All],[consecutivo]],DISPONIBILIDADES_2025[[#All],[fecha_aprobacion]],"",0)</f>
        <v>#NAME?</v>
      </c>
      <c r="S367" s="92">
        <f>SUMIF(DISPONIBILIDADES_2025[[#All],[consecutivo]],Contrato[[#This Row],[CDP]],DISPONIBILIDADES_2025[[#All],[valor_total_rubro]])</f>
        <v>200000000</v>
      </c>
      <c r="T367" s="118" t="e" cm="1">
        <f t="array" aca="1" ref="T367" ca="1">_xlfn.XLOOKUP(Contrato[[#This Row],[CONTRATO]]&amp;Contrato[[#This Row],[CDP]],Corr_Contr_CDP[[#All],[CONTRATO-CDP]],Corr_Contr_CDP[[#All],[CRP]],_xlfn.XLOOKUP(Contrato[[#This Row],[CDP]],COMPROMISOS_2025[[#All],[disponibilidad]],COMPROMISOS_2025[[#All],[consecutivo]],"",0),0)</f>
        <v>#NAME?</v>
      </c>
      <c r="U367" s="117" t="e" cm="1">
        <f t="array" aca="1" ref="U367" ca="1">+_xlfn.XLOOKUP(Contrato[[#This Row],[RCP]],COMPROMISOS_2025[[#All],[consecutivo]],COMPROMISOS_2025[[#All],[fecha_aprobacion]],"",0)</f>
        <v>#NAME?</v>
      </c>
      <c r="V367" s="93">
        <f ca="1">SUMIF(COMPROMISOS_2025[[#All],[consecutivo]],Contrato[[#This Row],[RCP]],COMPROMISOS_2025[[#All],[valor_total]])</f>
        <v>0</v>
      </c>
      <c r="W367" s="169">
        <v>45755</v>
      </c>
      <c r="X367" s="243">
        <v>45768</v>
      </c>
      <c r="Y367" s="96">
        <v>45768</v>
      </c>
      <c r="Z367" s="161">
        <v>46021</v>
      </c>
      <c r="AA367" s="311" t="s">
        <v>1570</v>
      </c>
      <c r="AB367" s="119" t="s">
        <v>1532</v>
      </c>
      <c r="AC367" s="112"/>
      <c r="AD367" s="543"/>
      <c r="AE367" s="38" t="s">
        <v>904</v>
      </c>
      <c r="AF367" s="120" t="str">
        <f>TEXT(LEFT(Contrato[[#This Row],[CONTRATO]],3),"0")</f>
        <v>360</v>
      </c>
      <c r="AG367" s="120" t="str">
        <f>IF(LEN(Contrato[[#This Row],[Contrato2]])=3,Contrato[[#This Row],[Contrato2]],TEXT(Contrato[[#This Row],[Contrato2]],"000"))</f>
        <v>360</v>
      </c>
      <c r="AH367" s="90">
        <f ca="1">IFERROR(_xlfn.DAYS(Contrato[[#This Row],[Fecha Proyectada liquidación]],TODAY())/30,"")</f>
        <v>11.933333333333334</v>
      </c>
      <c r="AI367" s="121">
        <f>+Contrato[[#This Row],[FECHA TERMINACIÓN ]]+120</f>
        <v>46141</v>
      </c>
      <c r="AK367" s="91" t="str">
        <f ca="1">IF(Contrato[[#This Row],[FECHA TERMINACIÓN ]]&lt;TODAY(), "Terminado",IF(ISNUMBER(Contrato[[#This Row],[Fecha Real de liquiidación ]]),"Liquidado",IF(Contrato[[#This Row],[FECHA TERMINACIÓN ]]&gt;=TODAY(),"En ejecución","")))</f>
        <v>En ejecución</v>
      </c>
      <c r="AL367" s="107">
        <f ca="1">SUMIF(COMPROMISOS_2025[[#All],[consecutivo]],Contrato[[#This Row],[RCP]],COMPROMISOS_2025[[#All],[Total pagado]])</f>
        <v>0</v>
      </c>
      <c r="AM367" s="122">
        <f ca="1">IFERROR(Contrato[[#This Row],[Pagos]]/Contrato[[#This Row],[VALOR CONTRATO]],0)</f>
        <v>0</v>
      </c>
      <c r="AN367" s="160">
        <f ca="1">+Contrato[[#This Row],[VALOR CONTRATO]]-Contrato[[#This Row],[Pagos]]</f>
        <v>200000000</v>
      </c>
      <c r="AO367" s="111" t="e" cm="1">
        <f t="array" aca="1" ref="AO367" ca="1">_xlfn.XLOOKUP(Contrato[[#This Row],[DOCUMENTO ]],PERSONAL_ACTIVO_2025[[#All],[DOCUMENTO]],PERSONAL_ACTIVO_2025[[#All],[email]],0,0)</f>
        <v>#NAME?</v>
      </c>
      <c r="AP367" s="111" t="e" cm="1">
        <f t="array" aca="1" ref="AP367" ca="1">_xlfn.XLOOKUP(Contrato[[#This Row],[DOCUMENTO]],PERSONAL_ACTIVO_2025[[#All],[DOCUMENTO]],PERSONAL_ACTIVO_2025[[#All],[email]],0,0)</f>
        <v>#NAME?</v>
      </c>
      <c r="AQ367" s="111" cm="1">
        <f t="array" aca="1" ref="AQ367" ca="1">IF(ISBLANK(Contrato[[#This Row],[DEPENDENCIA ]]),0,IFERROR(_xlfn.XLOOKUP(Contrato[[#This Row],[DEPENDENCIA ]],#REF!,#REF!,0,0),0))</f>
        <v>0</v>
      </c>
      <c r="AR367" s="555">
        <f ca="1">+_xlfn.DAYS(Contrato[[#This Row],[FECHA TERMINACIÓN ]],TODAY())</f>
        <v>238</v>
      </c>
    </row>
    <row r="368" spans="1:44" ht="39.75" customHeight="1" x14ac:dyDescent="0.25">
      <c r="A368" s="38">
        <v>582</v>
      </c>
      <c r="B368" s="226">
        <v>361</v>
      </c>
      <c r="C368" s="88" t="s">
        <v>290</v>
      </c>
      <c r="D368" s="192" t="s">
        <v>930</v>
      </c>
      <c r="E368" s="193" t="s">
        <v>112</v>
      </c>
      <c r="F368" s="194" t="s">
        <v>113</v>
      </c>
      <c r="G368" s="195" t="s">
        <v>1571</v>
      </c>
      <c r="H368" s="167">
        <v>1128432065</v>
      </c>
      <c r="I368" s="292">
        <v>3419000</v>
      </c>
      <c r="J368" s="292">
        <v>38646000</v>
      </c>
      <c r="K368" s="297" t="s">
        <v>1528</v>
      </c>
      <c r="L368" s="196" t="s">
        <v>1572</v>
      </c>
      <c r="M368" s="114" t="s">
        <v>994</v>
      </c>
      <c r="N368" s="113" t="e" cm="1">
        <f t="array" aca="1" ref="N368" ca="1">_xlfn.XLOOKUP(Contrato[[#This Row],[SUPERVISOR TITULAR]],PERSONAL_ACTIVO_2025[[#All],[NOMBRES Y APELLIDOS]],PERSONAL_ACTIVO_2025[[#All],[DOCUMENTO]],"",0)</f>
        <v>#NAME?</v>
      </c>
      <c r="O368" s="114" t="s">
        <v>1530</v>
      </c>
      <c r="P368" s="115" t="e" cm="1">
        <f t="array" aca="1" ref="P368" ca="1">_xlfn.XLOOKUP(Contrato[[#This Row],[SUPERVISOR SUPLENTE ]],PERSONAL_ACTIVO_2025[[#All],[NOMBRES Y APELLIDOS]],PERSONAL_ACTIVO_2025[[#All],[DOCUMENTO]],"",0)</f>
        <v>#NAME?</v>
      </c>
      <c r="Q368" s="116">
        <v>431</v>
      </c>
      <c r="R368" s="137" t="e" cm="1">
        <f t="array" aca="1" ref="R368" ca="1">_xlfn.XLOOKUP(Contrato[[#This Row],[CDP]],DISPONIBILIDADES_2025[[#All],[consecutivo]],DISPONIBILIDADES_2025[[#All],[fecha_aprobacion]],"",0)</f>
        <v>#NAME?</v>
      </c>
      <c r="S368" s="92">
        <f>SUMIF(DISPONIBILIDADES_2025[[#All],[consecutivo]],Contrato[[#This Row],[CDP]],DISPONIBILIDADES_2025[[#All],[valor_total_rubro]])</f>
        <v>38646000</v>
      </c>
      <c r="T368" s="118" t="e" cm="1">
        <f t="array" aca="1" ref="T368" ca="1">_xlfn.XLOOKUP(Contrato[[#This Row],[CONTRATO]]&amp;Contrato[[#This Row],[CDP]],Corr_Contr_CDP[[#All],[CONTRATO-CDP]],Corr_Contr_CDP[[#All],[CRP]],_xlfn.XLOOKUP(Contrato[[#This Row],[CDP]],COMPROMISOS_2025[[#All],[disponibilidad]],COMPROMISOS_2025[[#All],[consecutivo]],"",0),0)</f>
        <v>#NAME?</v>
      </c>
      <c r="U368" s="117" t="e" cm="1">
        <f t="array" aca="1" ref="U368" ca="1">+_xlfn.XLOOKUP(Contrato[[#This Row],[RCP]],COMPROMISOS_2025[[#All],[consecutivo]],COMPROMISOS_2025[[#All],[fecha_aprobacion]],"",0)</f>
        <v>#NAME?</v>
      </c>
      <c r="V368" s="93">
        <f ca="1">SUMIF(COMPROMISOS_2025[[#All],[consecutivo]],Contrato[[#This Row],[RCP]],COMPROMISOS_2025[[#All],[valor_total]])</f>
        <v>0</v>
      </c>
      <c r="W368" s="169">
        <v>45762</v>
      </c>
      <c r="X368" s="243" t="s">
        <v>901</v>
      </c>
      <c r="Y368" s="96">
        <v>45769</v>
      </c>
      <c r="Z368" s="161">
        <v>46022</v>
      </c>
      <c r="AA368" s="311" t="s">
        <v>1573</v>
      </c>
      <c r="AB368" s="119" t="s">
        <v>1532</v>
      </c>
      <c r="AC368" s="112"/>
      <c r="AD368" s="472">
        <v>202000006595</v>
      </c>
      <c r="AE368" s="38" t="s">
        <v>904</v>
      </c>
      <c r="AF368" s="120" t="str">
        <f>TEXT(LEFT(Contrato[[#This Row],[CONTRATO]],3),"0")</f>
        <v>361</v>
      </c>
      <c r="AG368" s="120" t="str">
        <f>IF(LEN(Contrato[[#This Row],[Contrato2]])=3,Contrato[[#This Row],[Contrato2]],TEXT(Contrato[[#This Row],[Contrato2]],"000"))</f>
        <v>361</v>
      </c>
      <c r="AH368" s="90">
        <f ca="1">IFERROR(_xlfn.DAYS(Contrato[[#This Row],[Fecha Proyectada liquidación]],TODAY())/30,"")</f>
        <v>11.966666666666667</v>
      </c>
      <c r="AI368" s="121">
        <f>+Contrato[[#This Row],[FECHA TERMINACIÓN ]]+120</f>
        <v>46142</v>
      </c>
      <c r="AK368" s="91" t="str">
        <f ca="1">IF(Contrato[[#This Row],[FECHA TERMINACIÓN ]]&lt;TODAY(), "Terminado",IF(ISNUMBER(Contrato[[#This Row],[Fecha Real de liquiidación ]]),"Liquidado",IF(Contrato[[#This Row],[FECHA TERMINACIÓN ]]&gt;=TODAY(),"En ejecución","")))</f>
        <v>En ejecución</v>
      </c>
      <c r="AL368" s="107">
        <f ca="1">SUMIF(COMPROMISOS_2025[[#All],[consecutivo]],Contrato[[#This Row],[RCP]],COMPROMISOS_2025[[#All],[Total pagado]])</f>
        <v>0</v>
      </c>
      <c r="AM368" s="122">
        <f ca="1">IFERROR(Contrato[[#This Row],[Pagos]]/Contrato[[#This Row],[VALOR CONTRATO]],0)</f>
        <v>0</v>
      </c>
      <c r="AN368" s="160">
        <f ca="1">+Contrato[[#This Row],[VALOR CONTRATO]]-Contrato[[#This Row],[Pagos]]</f>
        <v>38646000</v>
      </c>
      <c r="AO368" s="111" t="e" cm="1">
        <f t="array" aca="1" ref="AO368" ca="1">_xlfn.XLOOKUP(Contrato[[#This Row],[DOCUMENTO ]],PERSONAL_ACTIVO_2025[[#All],[DOCUMENTO]],PERSONAL_ACTIVO_2025[[#All],[email]],0,0)</f>
        <v>#NAME?</v>
      </c>
      <c r="AP368" s="111" t="e" cm="1">
        <f t="array" aca="1" ref="AP368" ca="1">_xlfn.XLOOKUP(Contrato[[#This Row],[DOCUMENTO]],PERSONAL_ACTIVO_2025[[#All],[DOCUMENTO]],PERSONAL_ACTIVO_2025[[#All],[email]],0,0)</f>
        <v>#NAME?</v>
      </c>
      <c r="AQ368" s="111" cm="1">
        <f t="array" aca="1" ref="AQ368" ca="1">IF(ISBLANK(Contrato[[#This Row],[DEPENDENCIA ]]),0,IFERROR(_xlfn.XLOOKUP(Contrato[[#This Row],[DEPENDENCIA ]],#REF!,#REF!,0,0),0))</f>
        <v>0</v>
      </c>
      <c r="AR368" s="555">
        <f ca="1">+_xlfn.DAYS(Contrato[[#This Row],[FECHA TERMINACIÓN ]],TODAY())</f>
        <v>239</v>
      </c>
    </row>
    <row r="369" spans="1:44" ht="39.75" customHeight="1" x14ac:dyDescent="0.25">
      <c r="A369" s="38">
        <v>155</v>
      </c>
      <c r="B369" s="226">
        <v>362</v>
      </c>
      <c r="C369" s="88" t="s">
        <v>343</v>
      </c>
      <c r="D369" s="192" t="s">
        <v>930</v>
      </c>
      <c r="E369" s="193" t="s">
        <v>112</v>
      </c>
      <c r="F369" s="194" t="s">
        <v>113</v>
      </c>
      <c r="G369" s="195" t="s">
        <v>1574</v>
      </c>
      <c r="H369" s="167">
        <v>1110557942</v>
      </c>
      <c r="I369" s="292">
        <v>7521800</v>
      </c>
      <c r="J369" s="292">
        <v>79188933</v>
      </c>
      <c r="K369" s="297" t="s">
        <v>1575</v>
      </c>
      <c r="L369" s="196" t="s">
        <v>1576</v>
      </c>
      <c r="M369" s="114" t="s">
        <v>1120</v>
      </c>
      <c r="N369" s="113" t="e" cm="1">
        <f t="array" aca="1" ref="N369" ca="1">_xlfn.XLOOKUP(Contrato[[#This Row],[SUPERVISOR TITULAR]],PERSONAL_ACTIVO_2025[[#All],[NOMBRES Y APELLIDOS]],PERSONAL_ACTIVO_2025[[#All],[DOCUMENTO]],"",0)</f>
        <v>#NAME?</v>
      </c>
      <c r="O369" s="114" t="s">
        <v>1384</v>
      </c>
      <c r="P369" s="115" t="e" cm="1">
        <f t="array" aca="1" ref="P369" ca="1">_xlfn.XLOOKUP(Contrato[[#This Row],[SUPERVISOR SUPLENTE ]],PERSONAL_ACTIVO_2025[[#All],[NOMBRES Y APELLIDOS]],PERSONAL_ACTIVO_2025[[#All],[DOCUMENTO]],"",0)</f>
        <v>#NAME?</v>
      </c>
      <c r="Q369" s="116">
        <v>451</v>
      </c>
      <c r="R369" s="137" t="e" cm="1">
        <f t="array" aca="1" ref="R369" ca="1">_xlfn.XLOOKUP(Contrato[[#This Row],[CDP]],DISPONIBILIDADES_2025[[#All],[consecutivo]],DISPONIBILIDADES_2025[[#All],[fecha_aprobacion]],"",0)</f>
        <v>#NAME?</v>
      </c>
      <c r="S369" s="92">
        <f>SUMIF(DISPONIBILIDADES_2025[[#All],[consecutivo]],Contrato[[#This Row],[CDP]],DISPONIBILIDADES_2025[[#All],[valor_total_rubro]])</f>
        <v>0</v>
      </c>
      <c r="T369" s="118" t="e" cm="1">
        <f t="array" aca="1" ref="T369" ca="1">_xlfn.XLOOKUP(Contrato[[#This Row],[CONTRATO]]&amp;Contrato[[#This Row],[CDP]],Corr_Contr_CDP[[#All],[CONTRATO-CDP]],Corr_Contr_CDP[[#All],[CRP]],_xlfn.XLOOKUP(Contrato[[#This Row],[CDP]],COMPROMISOS_2025[[#All],[disponibilidad]],COMPROMISOS_2025[[#All],[consecutivo]],"",0),0)</f>
        <v>#NAME?</v>
      </c>
      <c r="U369" s="117" t="e" cm="1">
        <f t="array" aca="1" ref="U369" ca="1">+_xlfn.XLOOKUP(Contrato[[#This Row],[RCP]],COMPROMISOS_2025[[#All],[consecutivo]],COMPROMISOS_2025[[#All],[fecha_aprobacion]],"",0)</f>
        <v>#NAME?</v>
      </c>
      <c r="V369" s="93">
        <f ca="1">SUMIF(COMPROMISOS_2025[[#All],[consecutivo]],Contrato[[#This Row],[RCP]],COMPROMISOS_2025[[#All],[valor_total]])</f>
        <v>0</v>
      </c>
      <c r="W369" s="169">
        <v>45769</v>
      </c>
      <c r="X369" s="243" t="s">
        <v>901</v>
      </c>
      <c r="Y369" s="96">
        <v>45770</v>
      </c>
      <c r="Z369" s="161">
        <v>46021</v>
      </c>
      <c r="AA369" s="311" t="s">
        <v>1573</v>
      </c>
      <c r="AB369" s="119" t="s">
        <v>1577</v>
      </c>
      <c r="AC369" s="112"/>
      <c r="AD369" s="472">
        <v>202000006596</v>
      </c>
      <c r="AE369" s="38" t="s">
        <v>904</v>
      </c>
      <c r="AF369" s="120" t="str">
        <f>TEXT(LEFT(Contrato[[#This Row],[CONTRATO]],3),"0")</f>
        <v>362</v>
      </c>
      <c r="AG369" s="120" t="str">
        <f>IF(LEN(Contrato[[#This Row],[Contrato2]])=3,Contrato[[#This Row],[Contrato2]],TEXT(Contrato[[#This Row],[Contrato2]],"000"))</f>
        <v>362</v>
      </c>
      <c r="AH369" s="90">
        <f ca="1">IFERROR(_xlfn.DAYS(Contrato[[#This Row],[Fecha Proyectada liquidación]],TODAY())/30,"")</f>
        <v>11.933333333333334</v>
      </c>
      <c r="AI369" s="121">
        <f>+Contrato[[#This Row],[FECHA TERMINACIÓN ]]+120</f>
        <v>46141</v>
      </c>
      <c r="AK369" s="91" t="str">
        <f ca="1">IF(Contrato[[#This Row],[FECHA TERMINACIÓN ]]&lt;TODAY(), "Terminado",IF(ISNUMBER(Contrato[[#This Row],[Fecha Real de liquiidación ]]),"Liquidado",IF(Contrato[[#This Row],[FECHA TERMINACIÓN ]]&gt;=TODAY(),"En ejecución","")))</f>
        <v>En ejecución</v>
      </c>
      <c r="AL369" s="107">
        <f ca="1">SUMIF(COMPROMISOS_2025[[#All],[consecutivo]],Contrato[[#This Row],[RCP]],COMPROMISOS_2025[[#All],[Total pagado]])</f>
        <v>0</v>
      </c>
      <c r="AM369" s="122">
        <f ca="1">IFERROR(Contrato[[#This Row],[Pagos]]/Contrato[[#This Row],[VALOR CONTRATO]],0)</f>
        <v>0</v>
      </c>
      <c r="AN369" s="160">
        <f ca="1">+Contrato[[#This Row],[VALOR CONTRATO]]-Contrato[[#This Row],[Pagos]]</f>
        <v>79188933</v>
      </c>
      <c r="AO369" s="111" t="e" cm="1">
        <f t="array" aca="1" ref="AO369" ca="1">_xlfn.XLOOKUP(Contrato[[#This Row],[DOCUMENTO ]],PERSONAL_ACTIVO_2025[[#All],[DOCUMENTO]],PERSONAL_ACTIVO_2025[[#All],[email]],0,0)</f>
        <v>#NAME?</v>
      </c>
      <c r="AP369" s="111" t="e" cm="1">
        <f t="array" aca="1" ref="AP369" ca="1">_xlfn.XLOOKUP(Contrato[[#This Row],[DOCUMENTO]],PERSONAL_ACTIVO_2025[[#All],[DOCUMENTO]],PERSONAL_ACTIVO_2025[[#All],[email]],0,0)</f>
        <v>#NAME?</v>
      </c>
      <c r="AQ369" s="111" cm="1">
        <f t="array" aca="1" ref="AQ369" ca="1">IF(ISBLANK(Contrato[[#This Row],[DEPENDENCIA ]]),0,IFERROR(_xlfn.XLOOKUP(Contrato[[#This Row],[DEPENDENCIA ]],#REF!,#REF!,0,0),0))</f>
        <v>0</v>
      </c>
      <c r="AR369" s="555">
        <f ca="1">+_xlfn.DAYS(Contrato[[#This Row],[FECHA TERMINACIÓN ]],TODAY())</f>
        <v>238</v>
      </c>
    </row>
    <row r="370" spans="1:44" ht="39.75" customHeight="1" x14ac:dyDescent="0.25">
      <c r="A370" s="38">
        <v>167</v>
      </c>
      <c r="B370" s="226">
        <v>363</v>
      </c>
      <c r="C370" s="88" t="s">
        <v>366</v>
      </c>
      <c r="D370" s="192" t="s">
        <v>911</v>
      </c>
      <c r="E370" s="193" t="s">
        <v>112</v>
      </c>
      <c r="F370" s="194" t="s">
        <v>361</v>
      </c>
      <c r="G370" s="195" t="s">
        <v>1578</v>
      </c>
      <c r="H370" s="167">
        <v>890906355</v>
      </c>
      <c r="I370" s="290">
        <v>0</v>
      </c>
      <c r="J370" s="292">
        <v>120000000</v>
      </c>
      <c r="K370" s="158" t="s">
        <v>41</v>
      </c>
      <c r="L370" s="196" t="s">
        <v>1576</v>
      </c>
      <c r="M370" s="114" t="s">
        <v>943</v>
      </c>
      <c r="N370" s="113" t="e" cm="1">
        <f t="array" aca="1" ref="N370" ca="1">_xlfn.XLOOKUP(Contrato[[#This Row],[SUPERVISOR TITULAR]],PERSONAL_ACTIVO_2025[[#All],[NOMBRES Y APELLIDOS]],PERSONAL_ACTIVO_2025[[#All],[DOCUMENTO]],"",0)</f>
        <v>#NAME?</v>
      </c>
      <c r="O370" s="114" t="s">
        <v>939</v>
      </c>
      <c r="P370" s="115" t="e" cm="1">
        <f t="array" aca="1" ref="P370" ca="1">_xlfn.XLOOKUP(Contrato[[#This Row],[SUPERVISOR SUPLENTE ]],PERSONAL_ACTIVO_2025[[#All],[NOMBRES Y APELLIDOS]],PERSONAL_ACTIVO_2025[[#All],[DOCUMENTO]],"",0)</f>
        <v>#NAME?</v>
      </c>
      <c r="Q370" s="116">
        <v>442</v>
      </c>
      <c r="R370" s="137" t="e" cm="1">
        <f t="array" aca="1" ref="R370" ca="1">_xlfn.XLOOKUP(Contrato[[#This Row],[CDP]],DISPONIBILIDADES_2025[[#All],[consecutivo]],DISPONIBILIDADES_2025[[#All],[fecha_aprobacion]],"",0)</f>
        <v>#NAME?</v>
      </c>
      <c r="S370" s="92">
        <f>SUMIF(DISPONIBILIDADES_2025[[#All],[consecutivo]],Contrato[[#This Row],[CDP]],DISPONIBILIDADES_2025[[#All],[valor_total_rubro]])</f>
        <v>120000000</v>
      </c>
      <c r="T370" s="118" t="e" cm="1">
        <f t="array" aca="1" ref="T370" ca="1">_xlfn.XLOOKUP(Contrato[[#This Row],[CONTRATO]]&amp;Contrato[[#This Row],[CDP]],Corr_Contr_CDP[[#All],[CONTRATO-CDP]],Corr_Contr_CDP[[#All],[CRP]],_xlfn.XLOOKUP(Contrato[[#This Row],[CDP]],COMPROMISOS_2025[[#All],[disponibilidad]],COMPROMISOS_2025[[#All],[consecutivo]],"",0),0)</f>
        <v>#NAME?</v>
      </c>
      <c r="U370" s="117" t="e" cm="1">
        <f t="array" aca="1" ref="U370" ca="1">+_xlfn.XLOOKUP(Contrato[[#This Row],[RCP]],COMPROMISOS_2025[[#All],[consecutivo]],COMPROMISOS_2025[[#All],[fecha_aprobacion]],"",0)</f>
        <v>#NAME?</v>
      </c>
      <c r="V370" s="93">
        <f ca="1">SUMIF(COMPROMISOS_2025[[#All],[consecutivo]],Contrato[[#This Row],[RCP]],COMPROMISOS_2025[[#All],[valor_total]])</f>
        <v>0</v>
      </c>
      <c r="W370" s="169">
        <v>45769</v>
      </c>
      <c r="X370" s="243">
        <v>45772</v>
      </c>
      <c r="Y370" s="96">
        <v>45772</v>
      </c>
      <c r="Z370" s="161">
        <v>46021</v>
      </c>
      <c r="AA370" s="198" t="s">
        <v>1579</v>
      </c>
      <c r="AB370" s="119" t="s">
        <v>1532</v>
      </c>
      <c r="AC370" s="112"/>
      <c r="AD370" s="560">
        <v>202000006597</v>
      </c>
      <c r="AE370" s="38" t="s">
        <v>904</v>
      </c>
      <c r="AF370" s="120" t="str">
        <f>TEXT(LEFT(Contrato[[#This Row],[CONTRATO]],3),"0")</f>
        <v>363</v>
      </c>
      <c r="AG370" s="120" t="str">
        <f>IF(LEN(Contrato[[#This Row],[Contrato2]])=3,Contrato[[#This Row],[Contrato2]],TEXT(Contrato[[#This Row],[Contrato2]],"000"))</f>
        <v>363</v>
      </c>
      <c r="AH370" s="90">
        <f ca="1">IFERROR(_xlfn.DAYS(Contrato[[#This Row],[Fecha Proyectada liquidación]],TODAY())/30,"")</f>
        <v>11.933333333333334</v>
      </c>
      <c r="AI370" s="121">
        <f>+Contrato[[#This Row],[FECHA TERMINACIÓN ]]+120</f>
        <v>46141</v>
      </c>
      <c r="AK370" s="91" t="str">
        <f ca="1">IF(Contrato[[#This Row],[FECHA TERMINACIÓN ]]&lt;TODAY(), "Terminado",IF(ISNUMBER(Contrato[[#This Row],[Fecha Real de liquiidación ]]),"Liquidado",IF(Contrato[[#This Row],[FECHA TERMINACIÓN ]]&gt;=TODAY(),"En ejecución","")))</f>
        <v>En ejecución</v>
      </c>
      <c r="AL370" s="107">
        <f ca="1">SUMIF(COMPROMISOS_2025[[#All],[consecutivo]],Contrato[[#This Row],[RCP]],COMPROMISOS_2025[[#All],[Total pagado]])</f>
        <v>0</v>
      </c>
      <c r="AM370" s="122">
        <f ca="1">IFERROR(Contrato[[#This Row],[Pagos]]/Contrato[[#This Row],[VALOR CONTRATO]],0)</f>
        <v>0</v>
      </c>
      <c r="AN370" s="160">
        <f ca="1">+Contrato[[#This Row],[VALOR CONTRATO]]-Contrato[[#This Row],[Pagos]]</f>
        <v>120000000</v>
      </c>
      <c r="AO370" s="111" t="e" cm="1">
        <f t="array" aca="1" ref="AO370" ca="1">_xlfn.XLOOKUP(Contrato[[#This Row],[DOCUMENTO ]],PERSONAL_ACTIVO_2025[[#All],[DOCUMENTO]],PERSONAL_ACTIVO_2025[[#All],[email]],0,0)</f>
        <v>#NAME?</v>
      </c>
      <c r="AP370" s="111" t="e" cm="1">
        <f t="array" aca="1" ref="AP370" ca="1">_xlfn.XLOOKUP(Contrato[[#This Row],[DOCUMENTO]],PERSONAL_ACTIVO_2025[[#All],[DOCUMENTO]],PERSONAL_ACTIVO_2025[[#All],[email]],0,0)</f>
        <v>#NAME?</v>
      </c>
      <c r="AQ370" s="111" cm="1">
        <f t="array" aca="1" ref="AQ370" ca="1">IF(ISBLANK(Contrato[[#This Row],[DEPENDENCIA ]]),0,IFERROR(_xlfn.XLOOKUP(Contrato[[#This Row],[DEPENDENCIA ]],#REF!,#REF!,0,0),0))</f>
        <v>0</v>
      </c>
      <c r="AR370" s="555">
        <f ca="1">+_xlfn.DAYS(Contrato[[#This Row],[FECHA TERMINACIÓN ]],TODAY())</f>
        <v>238</v>
      </c>
    </row>
    <row r="371" spans="1:44" ht="39.75" customHeight="1" x14ac:dyDescent="0.25">
      <c r="A371" s="38">
        <v>608</v>
      </c>
      <c r="B371" s="226">
        <v>364</v>
      </c>
      <c r="C371" s="88" t="s">
        <v>314</v>
      </c>
      <c r="D371" s="192" t="s">
        <v>930</v>
      </c>
      <c r="E371" s="193" t="s">
        <v>112</v>
      </c>
      <c r="F371" s="194" t="s">
        <v>241</v>
      </c>
      <c r="G371" s="195" t="s">
        <v>1580</v>
      </c>
      <c r="H371" s="167">
        <v>800178618</v>
      </c>
      <c r="I371" s="290">
        <v>0</v>
      </c>
      <c r="J371" s="292">
        <v>784207183</v>
      </c>
      <c r="K371" s="297" t="s">
        <v>1581</v>
      </c>
      <c r="L371" s="196" t="s">
        <v>1576</v>
      </c>
      <c r="M371" s="114" t="s">
        <v>1582</v>
      </c>
      <c r="N371" s="113" t="e" cm="1">
        <f t="array" aca="1" ref="N371" ca="1">_xlfn.XLOOKUP(Contrato[[#This Row],[SUPERVISOR TITULAR]],PERSONAL_ACTIVO_2025[[#All],[NOMBRES Y APELLIDOS]],PERSONAL_ACTIVO_2025[[#All],[DOCUMENTO]],"",0)</f>
        <v>#NAME?</v>
      </c>
      <c r="O371" s="114" t="s">
        <v>1384</v>
      </c>
      <c r="P371" s="115" t="e" cm="1">
        <f t="array" aca="1" ref="P371" ca="1">_xlfn.XLOOKUP(Contrato[[#This Row],[SUPERVISOR SUPLENTE ]],PERSONAL_ACTIVO_2025[[#All],[NOMBRES Y APELLIDOS]],PERSONAL_ACTIVO_2025[[#All],[DOCUMENTO]],"",0)</f>
        <v>#NAME?</v>
      </c>
      <c r="Q371" s="116">
        <v>460</v>
      </c>
      <c r="R371" s="137" t="e" cm="1">
        <f t="array" aca="1" ref="R371" ca="1">_xlfn.XLOOKUP(Contrato[[#This Row],[CDP]],DISPONIBILIDADES_2025[[#All],[consecutivo]],DISPONIBILIDADES_2025[[#All],[fecha_aprobacion]],"",0)</f>
        <v>#NAME?</v>
      </c>
      <c r="S371" s="92">
        <f>SUMIF(DISPONIBILIDADES_2025[[#All],[consecutivo]],Contrato[[#This Row],[CDP]],DISPONIBILIDADES_2025[[#All],[valor_total_rubro]])</f>
        <v>0</v>
      </c>
      <c r="T371" s="118" t="e" cm="1">
        <f t="array" aca="1" ref="T371" ca="1">_xlfn.XLOOKUP(Contrato[[#This Row],[CONTRATO]]&amp;Contrato[[#This Row],[CDP]],Corr_Contr_CDP[[#All],[CONTRATO-CDP]],Corr_Contr_CDP[[#All],[CRP]],_xlfn.XLOOKUP(Contrato[[#This Row],[CDP]],COMPROMISOS_2025[[#All],[disponibilidad]],COMPROMISOS_2025[[#All],[consecutivo]],"",0),0)</f>
        <v>#NAME?</v>
      </c>
      <c r="U371" s="117" t="e" cm="1">
        <f t="array" aca="1" ref="U371" ca="1">+_xlfn.XLOOKUP(Contrato[[#This Row],[RCP]],COMPROMISOS_2025[[#All],[consecutivo]],COMPROMISOS_2025[[#All],[fecha_aprobacion]],"",0)</f>
        <v>#NAME?</v>
      </c>
      <c r="V371" s="93">
        <f ca="1">SUMIF(COMPROMISOS_2025[[#All],[consecutivo]],Contrato[[#This Row],[RCP]],COMPROMISOS_2025[[#All],[valor_total]])</f>
        <v>0</v>
      </c>
      <c r="W371" s="169">
        <v>45758</v>
      </c>
      <c r="X371" s="243">
        <v>45768</v>
      </c>
      <c r="Y371" s="96">
        <v>45768</v>
      </c>
      <c r="Z371" s="161">
        <v>46012</v>
      </c>
      <c r="AA371" s="311" t="s">
        <v>1583</v>
      </c>
      <c r="AB371" s="119" t="s">
        <v>936</v>
      </c>
      <c r="AC371" s="112"/>
      <c r="AD371" s="472">
        <v>202000006595</v>
      </c>
      <c r="AE371" s="38" t="s">
        <v>904</v>
      </c>
      <c r="AF371" s="120" t="str">
        <f>TEXT(LEFT(Contrato[[#This Row],[CONTRATO]],3),"0")</f>
        <v>364</v>
      </c>
      <c r="AG371" s="120" t="str">
        <f>IF(LEN(Contrato[[#This Row],[Contrato2]])=3,Contrato[[#This Row],[Contrato2]],TEXT(Contrato[[#This Row],[Contrato2]],"000"))</f>
        <v>364</v>
      </c>
      <c r="AH371" s="90">
        <f ca="1">IFERROR(_xlfn.DAYS(Contrato[[#This Row],[Fecha Proyectada liquidación]],TODAY())/30,"")</f>
        <v>11.633333333333333</v>
      </c>
      <c r="AI371" s="121">
        <f>+Contrato[[#This Row],[FECHA TERMINACIÓN ]]+120</f>
        <v>46132</v>
      </c>
      <c r="AK371" s="91" t="str">
        <f ca="1">IF(Contrato[[#This Row],[FECHA TERMINACIÓN ]]&lt;TODAY(), "Terminado",IF(ISNUMBER(Contrato[[#This Row],[Fecha Real de liquiidación ]]),"Liquidado",IF(Contrato[[#This Row],[FECHA TERMINACIÓN ]]&gt;=TODAY(),"En ejecución","")))</f>
        <v>En ejecución</v>
      </c>
      <c r="AL371" s="107">
        <f ca="1">SUMIF(COMPROMISOS_2025[[#All],[consecutivo]],Contrato[[#This Row],[RCP]],COMPROMISOS_2025[[#All],[Total pagado]])</f>
        <v>0</v>
      </c>
      <c r="AM371" s="122">
        <f ca="1">IFERROR(Contrato[[#This Row],[Pagos]]/Contrato[[#This Row],[VALOR CONTRATO]],0)</f>
        <v>0</v>
      </c>
      <c r="AN371" s="160">
        <f ca="1">+Contrato[[#This Row],[VALOR CONTRATO]]-Contrato[[#This Row],[Pagos]]</f>
        <v>784207183</v>
      </c>
      <c r="AO371" s="111" t="e" cm="1">
        <f t="array" aca="1" ref="AO371" ca="1">_xlfn.XLOOKUP(Contrato[[#This Row],[DOCUMENTO ]],PERSONAL_ACTIVO_2025[[#All],[DOCUMENTO]],PERSONAL_ACTIVO_2025[[#All],[email]],0,0)</f>
        <v>#NAME?</v>
      </c>
      <c r="AP371" s="111" t="e" cm="1">
        <f t="array" aca="1" ref="AP371" ca="1">_xlfn.XLOOKUP(Contrato[[#This Row],[DOCUMENTO]],PERSONAL_ACTIVO_2025[[#All],[DOCUMENTO]],PERSONAL_ACTIVO_2025[[#All],[email]],0,0)</f>
        <v>#NAME?</v>
      </c>
      <c r="AQ371" s="111" cm="1">
        <f t="array" aca="1" ref="AQ371" ca="1">IF(ISBLANK(Contrato[[#This Row],[DEPENDENCIA ]]),0,IFERROR(_xlfn.XLOOKUP(Contrato[[#This Row],[DEPENDENCIA ]],#REF!,#REF!,0,0),0))</f>
        <v>0</v>
      </c>
      <c r="AR371" s="555">
        <f ca="1">+_xlfn.DAYS(Contrato[[#This Row],[FECHA TERMINACIÓN ]],TODAY())</f>
        <v>229</v>
      </c>
    </row>
    <row r="372" spans="1:44" ht="39.75" customHeight="1" x14ac:dyDescent="0.25">
      <c r="A372" s="38">
        <v>610</v>
      </c>
      <c r="B372" s="226">
        <v>365</v>
      </c>
      <c r="C372" s="88" t="s">
        <v>320</v>
      </c>
      <c r="D372" s="192" t="s">
        <v>930</v>
      </c>
      <c r="E372" s="193" t="s">
        <v>112</v>
      </c>
      <c r="F372" s="194" t="s">
        <v>241</v>
      </c>
      <c r="G372" s="195" t="s">
        <v>1584</v>
      </c>
      <c r="H372" s="167">
        <v>890982068</v>
      </c>
      <c r="I372" s="290">
        <v>0</v>
      </c>
      <c r="J372" s="292">
        <v>605015050</v>
      </c>
      <c r="K372" s="297" t="s">
        <v>1585</v>
      </c>
      <c r="L372" s="196" t="s">
        <v>1576</v>
      </c>
      <c r="M372" s="114" t="s">
        <v>1117</v>
      </c>
      <c r="N372" s="113" t="e" cm="1">
        <f t="array" aca="1" ref="N372" ca="1">_xlfn.XLOOKUP(Contrato[[#This Row],[SUPERVISOR TITULAR]],PERSONAL_ACTIVO_2025[[#All],[NOMBRES Y APELLIDOS]],PERSONAL_ACTIVO_2025[[#All],[DOCUMENTO]],"",0)</f>
        <v>#NAME?</v>
      </c>
      <c r="O372" s="114" t="s">
        <v>1530</v>
      </c>
      <c r="P372" s="115" t="e" cm="1">
        <f t="array" aca="1" ref="P372" ca="1">_xlfn.XLOOKUP(Contrato[[#This Row],[SUPERVISOR SUPLENTE ]],PERSONAL_ACTIVO_2025[[#All],[NOMBRES Y APELLIDOS]],PERSONAL_ACTIVO_2025[[#All],[DOCUMENTO]],"",0)</f>
        <v>#NAME?</v>
      </c>
      <c r="Q372" s="116">
        <v>457</v>
      </c>
      <c r="R372" s="137" t="e" cm="1">
        <f t="array" aca="1" ref="R372" ca="1">_xlfn.XLOOKUP(Contrato[[#This Row],[CDP]],DISPONIBILIDADES_2025[[#All],[consecutivo]],DISPONIBILIDADES_2025[[#All],[fecha_aprobacion]],"",0)</f>
        <v>#NAME?</v>
      </c>
      <c r="S372" s="92">
        <f>SUMIF(DISPONIBILIDADES_2025[[#All],[consecutivo]],Contrato[[#This Row],[CDP]],DISPONIBILIDADES_2025[[#All],[valor_total_rubro]])</f>
        <v>0</v>
      </c>
      <c r="T372" s="118" t="e" cm="1">
        <f t="array" aca="1" ref="T372" ca="1">_xlfn.XLOOKUP(Contrato[[#This Row],[CONTRATO]]&amp;Contrato[[#This Row],[CDP]],Corr_Contr_CDP[[#All],[CONTRATO-CDP]],Corr_Contr_CDP[[#All],[CRP]],_xlfn.XLOOKUP(Contrato[[#This Row],[CDP]],COMPROMISOS_2025[[#All],[disponibilidad]],COMPROMISOS_2025[[#All],[consecutivo]],"",0),0)</f>
        <v>#NAME?</v>
      </c>
      <c r="U372" s="117" t="e" cm="1">
        <f t="array" aca="1" ref="U372" ca="1">+_xlfn.XLOOKUP(Contrato[[#This Row],[RCP]],COMPROMISOS_2025[[#All],[consecutivo]],COMPROMISOS_2025[[#All],[fecha_aprobacion]],"",0)</f>
        <v>#NAME?</v>
      </c>
      <c r="V372" s="93">
        <f ca="1">SUMIF(COMPROMISOS_2025[[#All],[consecutivo]],Contrato[[#This Row],[RCP]],COMPROMISOS_2025[[#All],[valor_total]])</f>
        <v>0</v>
      </c>
      <c r="W372" s="169">
        <v>45758</v>
      </c>
      <c r="X372" s="243">
        <v>45768</v>
      </c>
      <c r="Y372" s="96">
        <v>45768</v>
      </c>
      <c r="Z372" s="161">
        <v>45890</v>
      </c>
      <c r="AA372" s="311" t="s">
        <v>1586</v>
      </c>
      <c r="AB372" s="119" t="s">
        <v>1587</v>
      </c>
      <c r="AC372" s="112"/>
      <c r="AD372" s="472">
        <v>202000006595</v>
      </c>
      <c r="AE372" s="38" t="s">
        <v>904</v>
      </c>
      <c r="AF372" s="120" t="str">
        <f>TEXT(LEFT(Contrato[[#This Row],[CONTRATO]],3),"0")</f>
        <v>365</v>
      </c>
      <c r="AG372" s="120" t="str">
        <f>IF(LEN(Contrato[[#This Row],[Contrato2]])=3,Contrato[[#This Row],[Contrato2]],TEXT(Contrato[[#This Row],[Contrato2]],"000"))</f>
        <v>365</v>
      </c>
      <c r="AH372" s="90">
        <f ca="1">IFERROR(_xlfn.DAYS(Contrato[[#This Row],[Fecha Proyectada liquidación]],TODAY())/30,"")</f>
        <v>7.5666666666666664</v>
      </c>
      <c r="AI372" s="121">
        <f>+Contrato[[#This Row],[FECHA TERMINACIÓN ]]+120</f>
        <v>46010</v>
      </c>
      <c r="AK372" s="91" t="str">
        <f ca="1">IF(Contrato[[#This Row],[FECHA TERMINACIÓN ]]&lt;TODAY(), "Terminado",IF(ISNUMBER(Contrato[[#This Row],[Fecha Real de liquiidación ]]),"Liquidado",IF(Contrato[[#This Row],[FECHA TERMINACIÓN ]]&gt;=TODAY(),"En ejecución","")))</f>
        <v>En ejecución</v>
      </c>
      <c r="AL372" s="107">
        <f ca="1">SUMIF(COMPROMISOS_2025[[#All],[consecutivo]],Contrato[[#This Row],[RCP]],COMPROMISOS_2025[[#All],[Total pagado]])</f>
        <v>0</v>
      </c>
      <c r="AM372" s="122">
        <f ca="1">IFERROR(Contrato[[#This Row],[Pagos]]/Contrato[[#This Row],[VALOR CONTRATO]],0)</f>
        <v>0</v>
      </c>
      <c r="AN372" s="160">
        <f ca="1">+Contrato[[#This Row],[VALOR CONTRATO]]-Contrato[[#This Row],[Pagos]]</f>
        <v>605015050</v>
      </c>
      <c r="AO372" s="111" t="e" cm="1">
        <f t="array" aca="1" ref="AO372" ca="1">_xlfn.XLOOKUP(Contrato[[#This Row],[DOCUMENTO ]],PERSONAL_ACTIVO_2025[[#All],[DOCUMENTO]],PERSONAL_ACTIVO_2025[[#All],[email]],0,0)</f>
        <v>#NAME?</v>
      </c>
      <c r="AP372" s="111" t="e" cm="1">
        <f t="array" aca="1" ref="AP372" ca="1">_xlfn.XLOOKUP(Contrato[[#This Row],[DOCUMENTO]],PERSONAL_ACTIVO_2025[[#All],[DOCUMENTO]],PERSONAL_ACTIVO_2025[[#All],[email]],0,0)</f>
        <v>#NAME?</v>
      </c>
      <c r="AQ372" s="111" cm="1">
        <f t="array" aca="1" ref="AQ372" ca="1">IF(ISBLANK(Contrato[[#This Row],[DEPENDENCIA ]]),0,IFERROR(_xlfn.XLOOKUP(Contrato[[#This Row],[DEPENDENCIA ]],#REF!,#REF!,0,0),0))</f>
        <v>0</v>
      </c>
      <c r="AR372" s="555">
        <f ca="1">+_xlfn.DAYS(Contrato[[#This Row],[FECHA TERMINACIÓN ]],TODAY())</f>
        <v>107</v>
      </c>
    </row>
    <row r="373" spans="1:44" ht="39.75" customHeight="1" x14ac:dyDescent="0.25">
      <c r="A373" s="38">
        <v>604</v>
      </c>
      <c r="B373" s="226">
        <v>366</v>
      </c>
      <c r="C373" s="88" t="s">
        <v>826</v>
      </c>
      <c r="D373" s="192" t="s">
        <v>911</v>
      </c>
      <c r="E373" s="193" t="s">
        <v>112</v>
      </c>
      <c r="F373" s="194" t="s">
        <v>779</v>
      </c>
      <c r="G373" s="195" t="s">
        <v>1588</v>
      </c>
      <c r="H373" s="167">
        <v>98579312</v>
      </c>
      <c r="I373" s="292">
        <v>2708734</v>
      </c>
      <c r="J373" s="292">
        <v>21308707</v>
      </c>
      <c r="K373" s="158" t="s">
        <v>41</v>
      </c>
      <c r="L373" s="196" t="s">
        <v>1576</v>
      </c>
      <c r="M373" s="114" t="s">
        <v>943</v>
      </c>
      <c r="N373" s="113" t="e" cm="1">
        <f t="array" aca="1" ref="N373" ca="1">_xlfn.XLOOKUP(Contrato[[#This Row],[SUPERVISOR TITULAR]],PERSONAL_ACTIVO_2025[[#All],[NOMBRES Y APELLIDOS]],PERSONAL_ACTIVO_2025[[#All],[DOCUMENTO]],"",0)</f>
        <v>#NAME?</v>
      </c>
      <c r="O373" s="114" t="s">
        <v>939</v>
      </c>
      <c r="P373" s="115" t="e" cm="1">
        <f t="array" aca="1" ref="P373" ca="1">_xlfn.XLOOKUP(Contrato[[#This Row],[SUPERVISOR SUPLENTE ]],PERSONAL_ACTIVO_2025[[#All],[NOMBRES Y APELLIDOS]],PERSONAL_ACTIVO_2025[[#All],[DOCUMENTO]],"",0)</f>
        <v>#NAME?</v>
      </c>
      <c r="Q373" s="116">
        <v>449</v>
      </c>
      <c r="R373" s="137" t="e" cm="1">
        <f t="array" aca="1" ref="R373" ca="1">_xlfn.XLOOKUP(Contrato[[#This Row],[CDP]],DISPONIBILIDADES_2025[[#All],[consecutivo]],DISPONIBILIDADES_2025[[#All],[fecha_aprobacion]],"",0)</f>
        <v>#NAME?</v>
      </c>
      <c r="S373" s="92">
        <f>SUMIF(DISPONIBILIDADES_2025[[#All],[consecutivo]],Contrato[[#This Row],[CDP]],DISPONIBILIDADES_2025[[#All],[valor_total_rubro]])</f>
        <v>0</v>
      </c>
      <c r="T373" s="118" t="e" cm="1">
        <f t="array" aca="1" ref="T373" ca="1">_xlfn.XLOOKUP(Contrato[[#This Row],[CONTRATO]]&amp;Contrato[[#This Row],[CDP]],Corr_Contr_CDP[[#All],[CONTRATO-CDP]],Corr_Contr_CDP[[#All],[CRP]],_xlfn.XLOOKUP(Contrato[[#This Row],[CDP]],COMPROMISOS_2025[[#All],[disponibilidad]],COMPROMISOS_2025[[#All],[consecutivo]],"",0),0)</f>
        <v>#NAME?</v>
      </c>
      <c r="U373" s="117" t="e" cm="1">
        <f t="array" aca="1" ref="U373" ca="1">+_xlfn.XLOOKUP(Contrato[[#This Row],[RCP]],COMPROMISOS_2025[[#All],[consecutivo]],COMPROMISOS_2025[[#All],[fecha_aprobacion]],"",0)</f>
        <v>#NAME?</v>
      </c>
      <c r="V373" s="93">
        <f ca="1">SUMIF(COMPROMISOS_2025[[#All],[consecutivo]],Contrato[[#This Row],[RCP]],COMPROMISOS_2025[[#All],[valor_total]])</f>
        <v>0</v>
      </c>
      <c r="W373" s="169">
        <v>45768</v>
      </c>
      <c r="X373" s="243" t="s">
        <v>901</v>
      </c>
      <c r="Y373" s="96">
        <v>45771</v>
      </c>
      <c r="Z373" s="161">
        <v>46008</v>
      </c>
      <c r="AA373" s="198" t="s">
        <v>1589</v>
      </c>
      <c r="AB373" s="119" t="s">
        <v>1590</v>
      </c>
      <c r="AC373" s="112"/>
      <c r="AD373" s="472">
        <v>202000006595</v>
      </c>
      <c r="AE373" s="38" t="s">
        <v>904</v>
      </c>
      <c r="AF373" s="120" t="str">
        <f>TEXT(LEFT(Contrato[[#This Row],[CONTRATO]],3),"0")</f>
        <v>366</v>
      </c>
      <c r="AG373" s="120" t="str">
        <f>IF(LEN(Contrato[[#This Row],[Contrato2]])=3,Contrato[[#This Row],[Contrato2]],TEXT(Contrato[[#This Row],[Contrato2]],"000"))</f>
        <v>366</v>
      </c>
      <c r="AH373" s="90">
        <f ca="1">IFERROR(_xlfn.DAYS(Contrato[[#This Row],[Fecha Proyectada liquidación]],TODAY())/30,"")</f>
        <v>11.5</v>
      </c>
      <c r="AI373" s="121">
        <f>+Contrato[[#This Row],[FECHA TERMINACIÓN ]]+120</f>
        <v>46128</v>
      </c>
      <c r="AK373" s="91" t="str">
        <f ca="1">IF(Contrato[[#This Row],[FECHA TERMINACIÓN ]]&lt;TODAY(), "Terminado",IF(ISNUMBER(Contrato[[#This Row],[Fecha Real de liquiidación ]]),"Liquidado",IF(Contrato[[#This Row],[FECHA TERMINACIÓN ]]&gt;=TODAY(),"En ejecución","")))</f>
        <v>En ejecución</v>
      </c>
      <c r="AL373" s="107">
        <f ca="1">SUMIF(COMPROMISOS_2025[[#All],[consecutivo]],Contrato[[#This Row],[RCP]],COMPROMISOS_2025[[#All],[Total pagado]])</f>
        <v>0</v>
      </c>
      <c r="AM373" s="122">
        <f ca="1">IFERROR(Contrato[[#This Row],[Pagos]]/Contrato[[#This Row],[VALOR CONTRATO]],0)</f>
        <v>0</v>
      </c>
      <c r="AN373" s="160">
        <f ca="1">+Contrato[[#This Row],[VALOR CONTRATO]]-Contrato[[#This Row],[Pagos]]</f>
        <v>21308707</v>
      </c>
      <c r="AO373" s="111" t="e" cm="1">
        <f t="array" aca="1" ref="AO373" ca="1">_xlfn.XLOOKUP(Contrato[[#This Row],[DOCUMENTO ]],PERSONAL_ACTIVO_2025[[#All],[DOCUMENTO]],PERSONAL_ACTIVO_2025[[#All],[email]],0,0)</f>
        <v>#NAME?</v>
      </c>
      <c r="AP373" s="111" t="e" cm="1">
        <f t="array" aca="1" ref="AP373" ca="1">_xlfn.XLOOKUP(Contrato[[#This Row],[DOCUMENTO]],PERSONAL_ACTIVO_2025[[#All],[DOCUMENTO]],PERSONAL_ACTIVO_2025[[#All],[email]],0,0)</f>
        <v>#NAME?</v>
      </c>
      <c r="AQ373" s="111" cm="1">
        <f t="array" aca="1" ref="AQ373" ca="1">IF(ISBLANK(Contrato[[#This Row],[DEPENDENCIA ]]),0,IFERROR(_xlfn.XLOOKUP(Contrato[[#This Row],[DEPENDENCIA ]],#REF!,#REF!,0,0),0))</f>
        <v>0</v>
      </c>
      <c r="AR373" s="555">
        <f ca="1">+_xlfn.DAYS(Contrato[[#This Row],[FECHA TERMINACIÓN ]],TODAY())</f>
        <v>225</v>
      </c>
    </row>
    <row r="374" spans="1:44" ht="39.75" customHeight="1" x14ac:dyDescent="0.25">
      <c r="A374" s="38">
        <v>309</v>
      </c>
      <c r="B374" s="226">
        <v>367</v>
      </c>
      <c r="C374" s="88" t="s">
        <v>507</v>
      </c>
      <c r="D374" s="192" t="s">
        <v>911</v>
      </c>
      <c r="E374" s="193" t="s">
        <v>112</v>
      </c>
      <c r="F374" s="194" t="s">
        <v>779</v>
      </c>
      <c r="G374" s="195" t="s">
        <v>1591</v>
      </c>
      <c r="H374" s="167">
        <v>70877650</v>
      </c>
      <c r="I374" s="292">
        <v>8320021</v>
      </c>
      <c r="J374" s="292">
        <v>65450832</v>
      </c>
      <c r="K374" s="158" t="s">
        <v>41</v>
      </c>
      <c r="L374" s="196" t="s">
        <v>1576</v>
      </c>
      <c r="M374" s="114" t="s">
        <v>939</v>
      </c>
      <c r="N374" s="113" t="e" cm="1">
        <f t="array" aca="1" ref="N374" ca="1">_xlfn.XLOOKUP(Contrato[[#This Row],[SUPERVISOR TITULAR]],PERSONAL_ACTIVO_2025[[#All],[NOMBRES Y APELLIDOS]],PERSONAL_ACTIVO_2025[[#All],[DOCUMENTO]],"",0)</f>
        <v>#NAME?</v>
      </c>
      <c r="O374" s="114" t="s">
        <v>943</v>
      </c>
      <c r="P374" s="115" t="e" cm="1">
        <f t="array" aca="1" ref="P374" ca="1">_xlfn.XLOOKUP(Contrato[[#This Row],[SUPERVISOR SUPLENTE ]],PERSONAL_ACTIVO_2025[[#All],[NOMBRES Y APELLIDOS]],PERSONAL_ACTIVO_2025[[#All],[DOCUMENTO]],"",0)</f>
        <v>#NAME?</v>
      </c>
      <c r="Q374" s="116">
        <v>143</v>
      </c>
      <c r="R374" s="137" t="e" cm="1">
        <f t="array" aca="1" ref="R374" ca="1">_xlfn.XLOOKUP(Contrato[[#This Row],[CDP]],DISPONIBILIDADES_2025[[#All],[consecutivo]],DISPONIBILIDADES_2025[[#All],[fecha_aprobacion]],"",0)</f>
        <v>#NAME?</v>
      </c>
      <c r="S374" s="92">
        <f>SUMIF(DISPONIBILIDADES_2025[[#All],[consecutivo]],Contrato[[#This Row],[CDP]],DISPONIBILIDADES_2025[[#All],[valor_total_rubro]])</f>
        <v>81536206</v>
      </c>
      <c r="T374" s="118" t="e" cm="1">
        <f t="array" aca="1" ref="T374" ca="1">_xlfn.XLOOKUP(Contrato[[#This Row],[CONTRATO]]&amp;Contrato[[#This Row],[CDP]],Corr_Contr_CDP[[#All],[CONTRATO-CDP]],Corr_Contr_CDP[[#All],[CRP]],_xlfn.XLOOKUP(Contrato[[#This Row],[CDP]],COMPROMISOS_2025[[#All],[disponibilidad]],COMPROMISOS_2025[[#All],[consecutivo]],"",0),0)</f>
        <v>#NAME?</v>
      </c>
      <c r="U374" s="117" t="e" cm="1">
        <f t="array" aca="1" ref="U374" ca="1">+_xlfn.XLOOKUP(Contrato[[#This Row],[RCP]],COMPROMISOS_2025[[#All],[consecutivo]],COMPROMISOS_2025[[#All],[fecha_aprobacion]],"",0)</f>
        <v>#NAME?</v>
      </c>
      <c r="V374" s="93">
        <f ca="1">SUMIF(COMPROMISOS_2025[[#All],[consecutivo]],Contrato[[#This Row],[RCP]],COMPROMISOS_2025[[#All],[valor_total]])</f>
        <v>0</v>
      </c>
      <c r="W374" s="169">
        <v>45768</v>
      </c>
      <c r="X374" s="243" t="s">
        <v>901</v>
      </c>
      <c r="Y374" s="96">
        <v>45772</v>
      </c>
      <c r="Z374" s="161">
        <v>46008</v>
      </c>
      <c r="AA374" s="311" t="s">
        <v>1592</v>
      </c>
      <c r="AB374" s="119" t="s">
        <v>1590</v>
      </c>
      <c r="AC374" s="112"/>
      <c r="AD374" s="472">
        <v>202000006595</v>
      </c>
      <c r="AE374" s="38" t="s">
        <v>904</v>
      </c>
      <c r="AF374" s="120" t="str">
        <f>TEXT(LEFT(Contrato[[#This Row],[CONTRATO]],3),"0")</f>
        <v>367</v>
      </c>
      <c r="AG374" s="120" t="str">
        <f>IF(LEN(Contrato[[#This Row],[Contrato2]])=3,Contrato[[#This Row],[Contrato2]],TEXT(Contrato[[#This Row],[Contrato2]],"000"))</f>
        <v>367</v>
      </c>
      <c r="AH374" s="90">
        <f ca="1">IFERROR(_xlfn.DAYS(Contrato[[#This Row],[Fecha Proyectada liquidación]],TODAY())/30,"")</f>
        <v>11.5</v>
      </c>
      <c r="AI374" s="121">
        <f>+Contrato[[#This Row],[FECHA TERMINACIÓN ]]+120</f>
        <v>46128</v>
      </c>
      <c r="AK374" s="91" t="str">
        <f ca="1">IF(Contrato[[#This Row],[FECHA TERMINACIÓN ]]&lt;TODAY(), "Terminado",IF(ISNUMBER(Contrato[[#This Row],[Fecha Real de liquiidación ]]),"Liquidado",IF(Contrato[[#This Row],[FECHA TERMINACIÓN ]]&gt;=TODAY(),"En ejecución","")))</f>
        <v>En ejecución</v>
      </c>
      <c r="AL374" s="107">
        <f ca="1">SUMIF(COMPROMISOS_2025[[#All],[consecutivo]],Contrato[[#This Row],[RCP]],COMPROMISOS_2025[[#All],[Total pagado]])</f>
        <v>0</v>
      </c>
      <c r="AM374" s="122">
        <f ca="1">IFERROR(Contrato[[#This Row],[Pagos]]/Contrato[[#This Row],[VALOR CONTRATO]],0)</f>
        <v>0</v>
      </c>
      <c r="AN374" s="160">
        <f ca="1">+Contrato[[#This Row],[VALOR CONTRATO]]-Contrato[[#This Row],[Pagos]]</f>
        <v>65450832</v>
      </c>
      <c r="AO374" s="111" t="e" cm="1">
        <f t="array" aca="1" ref="AO374" ca="1">_xlfn.XLOOKUP(Contrato[[#This Row],[DOCUMENTO ]],PERSONAL_ACTIVO_2025[[#All],[DOCUMENTO]],PERSONAL_ACTIVO_2025[[#All],[email]],0,0)</f>
        <v>#NAME?</v>
      </c>
      <c r="AP374" s="111" t="e" cm="1">
        <f t="array" aca="1" ref="AP374" ca="1">_xlfn.XLOOKUP(Contrato[[#This Row],[DOCUMENTO]],PERSONAL_ACTIVO_2025[[#All],[DOCUMENTO]],PERSONAL_ACTIVO_2025[[#All],[email]],0,0)</f>
        <v>#NAME?</v>
      </c>
      <c r="AQ374" s="111" cm="1">
        <f t="array" aca="1" ref="AQ374" ca="1">IF(ISBLANK(Contrato[[#This Row],[DEPENDENCIA ]]),0,IFERROR(_xlfn.XLOOKUP(Contrato[[#This Row],[DEPENDENCIA ]],#REF!,#REF!,0,0),0))</f>
        <v>0</v>
      </c>
      <c r="AR374" s="555">
        <f ca="1">+_xlfn.DAYS(Contrato[[#This Row],[FECHA TERMINACIÓN ]],TODAY())</f>
        <v>225</v>
      </c>
    </row>
    <row r="375" spans="1:44" ht="39.75" customHeight="1" x14ac:dyDescent="0.25">
      <c r="A375" s="38">
        <v>605</v>
      </c>
      <c r="B375" s="226">
        <v>368</v>
      </c>
      <c r="C375" s="88" t="s">
        <v>827</v>
      </c>
      <c r="D375" s="192" t="s">
        <v>911</v>
      </c>
      <c r="E375" s="193" t="s">
        <v>112</v>
      </c>
      <c r="F375" s="194" t="s">
        <v>779</v>
      </c>
      <c r="G375" s="195" t="s">
        <v>1593</v>
      </c>
      <c r="H375" s="167">
        <v>98495034</v>
      </c>
      <c r="I375" s="292">
        <v>4157906</v>
      </c>
      <c r="J375" s="292">
        <v>32708861</v>
      </c>
      <c r="K375" s="158" t="s">
        <v>41</v>
      </c>
      <c r="L375" s="196" t="s">
        <v>1576</v>
      </c>
      <c r="M375" s="114" t="s">
        <v>943</v>
      </c>
      <c r="N375" s="113" t="e" cm="1">
        <f t="array" aca="1" ref="N375" ca="1">_xlfn.XLOOKUP(Contrato[[#This Row],[SUPERVISOR TITULAR]],PERSONAL_ACTIVO_2025[[#All],[NOMBRES Y APELLIDOS]],PERSONAL_ACTIVO_2025[[#All],[DOCUMENTO]],"",0)</f>
        <v>#NAME?</v>
      </c>
      <c r="O375" s="114" t="s">
        <v>939</v>
      </c>
      <c r="P375" s="115" t="e" cm="1">
        <f t="array" aca="1" ref="P375" ca="1">_xlfn.XLOOKUP(Contrato[[#This Row],[SUPERVISOR SUPLENTE ]],PERSONAL_ACTIVO_2025[[#All],[NOMBRES Y APELLIDOS]],PERSONAL_ACTIVO_2025[[#All],[DOCUMENTO]],"",0)</f>
        <v>#NAME?</v>
      </c>
      <c r="Q375" s="116">
        <v>447</v>
      </c>
      <c r="R375" s="137" t="e" cm="1">
        <f t="array" aca="1" ref="R375" ca="1">_xlfn.XLOOKUP(Contrato[[#This Row],[CDP]],DISPONIBILIDADES_2025[[#All],[consecutivo]],DISPONIBILIDADES_2025[[#All],[fecha_aprobacion]],"",0)</f>
        <v>#NAME?</v>
      </c>
      <c r="S375" s="92">
        <f>SUMIF(DISPONIBILIDADES_2025[[#All],[consecutivo]],Contrato[[#This Row],[CDP]],DISPONIBILIDADES_2025[[#All],[valor_total_rubro]])</f>
        <v>0</v>
      </c>
      <c r="T375" s="118" t="e" cm="1">
        <f t="array" aca="1" ref="T375" ca="1">_xlfn.XLOOKUP(Contrato[[#This Row],[CONTRATO]]&amp;Contrato[[#This Row],[CDP]],Corr_Contr_CDP[[#All],[CONTRATO-CDP]],Corr_Contr_CDP[[#All],[CRP]],_xlfn.XLOOKUP(Contrato[[#This Row],[CDP]],COMPROMISOS_2025[[#All],[disponibilidad]],COMPROMISOS_2025[[#All],[consecutivo]],"",0),0)</f>
        <v>#NAME?</v>
      </c>
      <c r="U375" s="117" t="e" cm="1">
        <f t="array" aca="1" ref="U375" ca="1">+_xlfn.XLOOKUP(Contrato[[#This Row],[RCP]],COMPROMISOS_2025[[#All],[consecutivo]],COMPROMISOS_2025[[#All],[fecha_aprobacion]],"",0)</f>
        <v>#NAME?</v>
      </c>
      <c r="V375" s="93">
        <f ca="1">SUMIF(COMPROMISOS_2025[[#All],[consecutivo]],Contrato[[#This Row],[RCP]],COMPROMISOS_2025[[#All],[valor_total]])</f>
        <v>0</v>
      </c>
      <c r="W375" s="169">
        <v>45769</v>
      </c>
      <c r="X375" s="243" t="s">
        <v>901</v>
      </c>
      <c r="Y375" s="96">
        <v>45770</v>
      </c>
      <c r="Z375" s="161">
        <v>46008</v>
      </c>
      <c r="AA375" s="198" t="s">
        <v>1594</v>
      </c>
      <c r="AB375" s="119" t="s">
        <v>1590</v>
      </c>
      <c r="AC375" s="112"/>
      <c r="AD375" s="472">
        <v>202000006595</v>
      </c>
      <c r="AE375" s="38" t="s">
        <v>904</v>
      </c>
      <c r="AF375" s="120" t="str">
        <f>TEXT(LEFT(Contrato[[#This Row],[CONTRATO]],3),"0")</f>
        <v>368</v>
      </c>
      <c r="AG375" s="120" t="str">
        <f>IF(LEN(Contrato[[#This Row],[Contrato2]])=3,Contrato[[#This Row],[Contrato2]],TEXT(Contrato[[#This Row],[Contrato2]],"000"))</f>
        <v>368</v>
      </c>
      <c r="AH375" s="90">
        <f ca="1">IFERROR(_xlfn.DAYS(Contrato[[#This Row],[Fecha Proyectada liquidación]],TODAY())/30,"")</f>
        <v>11.5</v>
      </c>
      <c r="AI375" s="121">
        <f>+Contrato[[#This Row],[FECHA TERMINACIÓN ]]+120</f>
        <v>46128</v>
      </c>
      <c r="AK375" s="91" t="str">
        <f ca="1">IF(Contrato[[#This Row],[FECHA TERMINACIÓN ]]&lt;TODAY(), "Terminado",IF(ISNUMBER(Contrato[[#This Row],[Fecha Real de liquiidación ]]),"Liquidado",IF(Contrato[[#This Row],[FECHA TERMINACIÓN ]]&gt;=TODAY(),"En ejecución","")))</f>
        <v>En ejecución</v>
      </c>
      <c r="AL375" s="107">
        <f ca="1">SUMIF(COMPROMISOS_2025[[#All],[consecutivo]],Contrato[[#This Row],[RCP]],COMPROMISOS_2025[[#All],[Total pagado]])</f>
        <v>0</v>
      </c>
      <c r="AM375" s="122">
        <f ca="1">IFERROR(Contrato[[#This Row],[Pagos]]/Contrato[[#This Row],[VALOR CONTRATO]],0)</f>
        <v>0</v>
      </c>
      <c r="AN375" s="160">
        <f ca="1">+Contrato[[#This Row],[VALOR CONTRATO]]-Contrato[[#This Row],[Pagos]]</f>
        <v>32708861</v>
      </c>
      <c r="AO375" s="111" t="e" cm="1">
        <f t="array" aca="1" ref="AO375" ca="1">_xlfn.XLOOKUP(Contrato[[#This Row],[DOCUMENTO ]],PERSONAL_ACTIVO_2025[[#All],[DOCUMENTO]],PERSONAL_ACTIVO_2025[[#All],[email]],0,0)</f>
        <v>#NAME?</v>
      </c>
      <c r="AP375" s="111" t="e" cm="1">
        <f t="array" aca="1" ref="AP375" ca="1">_xlfn.XLOOKUP(Contrato[[#This Row],[DOCUMENTO]],PERSONAL_ACTIVO_2025[[#All],[DOCUMENTO]],PERSONAL_ACTIVO_2025[[#All],[email]],0,0)</f>
        <v>#NAME?</v>
      </c>
      <c r="AQ375" s="111" cm="1">
        <f t="array" aca="1" ref="AQ375" ca="1">IF(ISBLANK(Contrato[[#This Row],[DEPENDENCIA ]]),0,IFERROR(_xlfn.XLOOKUP(Contrato[[#This Row],[DEPENDENCIA ]],#REF!,#REF!,0,0),0))</f>
        <v>0</v>
      </c>
      <c r="AR375" s="555">
        <f ca="1">+_xlfn.DAYS(Contrato[[#This Row],[FECHA TERMINACIÓN ]],TODAY())</f>
        <v>225</v>
      </c>
    </row>
    <row r="376" spans="1:44" ht="39.75" customHeight="1" x14ac:dyDescent="0.25">
      <c r="A376" s="38">
        <v>421</v>
      </c>
      <c r="B376" s="226">
        <v>369</v>
      </c>
      <c r="C376" s="88" t="s">
        <v>619</v>
      </c>
      <c r="D376" s="192" t="s">
        <v>911</v>
      </c>
      <c r="E376" s="193" t="s">
        <v>112</v>
      </c>
      <c r="F376" s="194" t="s">
        <v>779</v>
      </c>
      <c r="G376" s="195" t="s">
        <v>1595</v>
      </c>
      <c r="H376" s="167">
        <v>1214745689</v>
      </c>
      <c r="I376" s="292">
        <v>2708734</v>
      </c>
      <c r="J376" s="292">
        <v>21308707</v>
      </c>
      <c r="K376" s="158" t="s">
        <v>41</v>
      </c>
      <c r="L376" s="196" t="s">
        <v>1576</v>
      </c>
      <c r="M376" s="114" t="s">
        <v>943</v>
      </c>
      <c r="N376" s="113" t="e" cm="1">
        <f t="array" aca="1" ref="N376" ca="1">_xlfn.XLOOKUP(Contrato[[#This Row],[SUPERVISOR TITULAR]],PERSONAL_ACTIVO_2025[[#All],[NOMBRES Y APELLIDOS]],PERSONAL_ACTIVO_2025[[#All],[DOCUMENTO]],"",0)</f>
        <v>#NAME?</v>
      </c>
      <c r="O376" s="114" t="s">
        <v>939</v>
      </c>
      <c r="P376" s="115" t="e" cm="1">
        <f t="array" aca="1" ref="P376" ca="1">_xlfn.XLOOKUP(Contrato[[#This Row],[SUPERVISOR SUPLENTE ]],PERSONAL_ACTIVO_2025[[#All],[NOMBRES Y APELLIDOS]],PERSONAL_ACTIVO_2025[[#All],[DOCUMENTO]],"",0)</f>
        <v>#NAME?</v>
      </c>
      <c r="Q376" s="116">
        <v>254</v>
      </c>
      <c r="R376" s="137" t="e" cm="1">
        <f t="array" aca="1" ref="R376" ca="1">_xlfn.XLOOKUP(Contrato[[#This Row],[CDP]],DISPONIBILIDADES_2025[[#All],[consecutivo]],DISPONIBILIDADES_2025[[#All],[fecha_aprobacion]],"",0)</f>
        <v>#NAME?</v>
      </c>
      <c r="S376" s="92">
        <f>SUMIF(DISPONIBILIDADES_2025[[#All],[consecutivo]],Contrato[[#This Row],[CDP]],DISPONIBILIDADES_2025[[#All],[valor_total_rubro]])</f>
        <v>26545593</v>
      </c>
      <c r="T376" s="118" t="e" cm="1">
        <f t="array" aca="1" ref="T376" ca="1">_xlfn.XLOOKUP(Contrato[[#This Row],[CONTRATO]]&amp;Contrato[[#This Row],[CDP]],Corr_Contr_CDP[[#All],[CONTRATO-CDP]],Corr_Contr_CDP[[#All],[CRP]],_xlfn.XLOOKUP(Contrato[[#This Row],[CDP]],COMPROMISOS_2025[[#All],[disponibilidad]],COMPROMISOS_2025[[#All],[consecutivo]],"",0),0)</f>
        <v>#NAME?</v>
      </c>
      <c r="U376" s="117" t="e" cm="1">
        <f t="array" aca="1" ref="U376" ca="1">+_xlfn.XLOOKUP(Contrato[[#This Row],[RCP]],COMPROMISOS_2025[[#All],[consecutivo]],COMPROMISOS_2025[[#All],[fecha_aprobacion]],"",0)</f>
        <v>#NAME?</v>
      </c>
      <c r="V376" s="93">
        <f ca="1">SUMIF(COMPROMISOS_2025[[#All],[consecutivo]],Contrato[[#This Row],[RCP]],COMPROMISOS_2025[[#All],[valor_total]])</f>
        <v>0</v>
      </c>
      <c r="W376" s="169">
        <v>45768</v>
      </c>
      <c r="X376" s="243" t="s">
        <v>901</v>
      </c>
      <c r="Y376" s="96">
        <v>45770</v>
      </c>
      <c r="Z376" s="161">
        <v>46008</v>
      </c>
      <c r="AA376" s="198" t="s">
        <v>1596</v>
      </c>
      <c r="AB376" s="119" t="s">
        <v>1590</v>
      </c>
      <c r="AC376" s="112"/>
      <c r="AD376" s="472">
        <v>202000006595</v>
      </c>
      <c r="AE376" s="38" t="s">
        <v>904</v>
      </c>
      <c r="AF376" s="120" t="str">
        <f>TEXT(LEFT(Contrato[[#This Row],[CONTRATO]],3),"0")</f>
        <v>369</v>
      </c>
      <c r="AG376" s="120" t="str">
        <f>IF(LEN(Contrato[[#This Row],[Contrato2]])=3,Contrato[[#This Row],[Contrato2]],TEXT(Contrato[[#This Row],[Contrato2]],"000"))</f>
        <v>369</v>
      </c>
      <c r="AH376" s="90">
        <f ca="1">IFERROR(_xlfn.DAYS(Contrato[[#This Row],[Fecha Proyectada liquidación]],TODAY())/30,"")</f>
        <v>11.5</v>
      </c>
      <c r="AI376" s="121">
        <f>+Contrato[[#This Row],[FECHA TERMINACIÓN ]]+120</f>
        <v>46128</v>
      </c>
      <c r="AK376" s="91" t="str">
        <f ca="1">IF(Contrato[[#This Row],[FECHA TERMINACIÓN ]]&lt;TODAY(), "Terminado",IF(ISNUMBER(Contrato[[#This Row],[Fecha Real de liquiidación ]]),"Liquidado",IF(Contrato[[#This Row],[FECHA TERMINACIÓN ]]&gt;=TODAY(),"En ejecución","")))</f>
        <v>En ejecución</v>
      </c>
      <c r="AL376" s="107">
        <f ca="1">SUMIF(COMPROMISOS_2025[[#All],[consecutivo]],Contrato[[#This Row],[RCP]],COMPROMISOS_2025[[#All],[Total pagado]])</f>
        <v>0</v>
      </c>
      <c r="AM376" s="122">
        <f ca="1">IFERROR(Contrato[[#This Row],[Pagos]]/Contrato[[#This Row],[VALOR CONTRATO]],0)</f>
        <v>0</v>
      </c>
      <c r="AN376" s="160">
        <f ca="1">+Contrato[[#This Row],[VALOR CONTRATO]]-Contrato[[#This Row],[Pagos]]</f>
        <v>21308707</v>
      </c>
      <c r="AO376" s="111" t="e" cm="1">
        <f t="array" aca="1" ref="AO376" ca="1">_xlfn.XLOOKUP(Contrato[[#This Row],[DOCUMENTO ]],PERSONAL_ACTIVO_2025[[#All],[DOCUMENTO]],PERSONAL_ACTIVO_2025[[#All],[email]],0,0)</f>
        <v>#NAME?</v>
      </c>
      <c r="AP376" s="111" t="e" cm="1">
        <f t="array" aca="1" ref="AP376" ca="1">_xlfn.XLOOKUP(Contrato[[#This Row],[DOCUMENTO]],PERSONAL_ACTIVO_2025[[#All],[DOCUMENTO]],PERSONAL_ACTIVO_2025[[#All],[email]],0,0)</f>
        <v>#NAME?</v>
      </c>
      <c r="AQ376" s="111" cm="1">
        <f t="array" aca="1" ref="AQ376" ca="1">IF(ISBLANK(Contrato[[#This Row],[DEPENDENCIA ]]),0,IFERROR(_xlfn.XLOOKUP(Contrato[[#This Row],[DEPENDENCIA ]],#REF!,#REF!,0,0),0))</f>
        <v>0</v>
      </c>
      <c r="AR376" s="555">
        <f ca="1">+_xlfn.DAYS(Contrato[[#This Row],[FECHA TERMINACIÓN ]],TODAY())</f>
        <v>225</v>
      </c>
    </row>
    <row r="377" spans="1:44" ht="39.75" customHeight="1" x14ac:dyDescent="0.25">
      <c r="A377" s="38">
        <v>188</v>
      </c>
      <c r="B377" s="226">
        <v>370</v>
      </c>
      <c r="C377" s="88" t="s">
        <v>387</v>
      </c>
      <c r="D377" s="192" t="s">
        <v>911</v>
      </c>
      <c r="E377" s="193" t="s">
        <v>112</v>
      </c>
      <c r="F377" s="194" t="s">
        <v>361</v>
      </c>
      <c r="G377" s="195" t="s">
        <v>1597</v>
      </c>
      <c r="H377" s="167">
        <v>890900609</v>
      </c>
      <c r="I377" s="290">
        <v>0</v>
      </c>
      <c r="J377" s="292">
        <v>120000000</v>
      </c>
      <c r="K377" s="158" t="s">
        <v>41</v>
      </c>
      <c r="L377" s="196" t="s">
        <v>1576</v>
      </c>
      <c r="M377" s="114" t="s">
        <v>939</v>
      </c>
      <c r="N377" s="113" t="e" cm="1">
        <f t="array" aca="1" ref="N377" ca="1">_xlfn.XLOOKUP(Contrato[[#This Row],[SUPERVISOR TITULAR]],PERSONAL_ACTIVO_2025[[#All],[NOMBRES Y APELLIDOS]],PERSONAL_ACTIVO_2025[[#All],[DOCUMENTO]],"",0)</f>
        <v>#NAME?</v>
      </c>
      <c r="O377" s="114" t="s">
        <v>943</v>
      </c>
      <c r="P377" s="115" t="e" cm="1">
        <f t="array" aca="1" ref="P377" ca="1">_xlfn.XLOOKUP(Contrato[[#This Row],[SUPERVISOR SUPLENTE ]],PERSONAL_ACTIVO_2025[[#All],[NOMBRES Y APELLIDOS]],PERSONAL_ACTIVO_2025[[#All],[DOCUMENTO]],"",0)</f>
        <v>#NAME?</v>
      </c>
      <c r="Q377" s="116">
        <v>398</v>
      </c>
      <c r="R377" s="137" t="e" cm="1">
        <f t="array" aca="1" ref="R377" ca="1">_xlfn.XLOOKUP(Contrato[[#This Row],[CDP]],DISPONIBILIDADES_2025[[#All],[consecutivo]],DISPONIBILIDADES_2025[[#All],[fecha_aprobacion]],"",0)</f>
        <v>#NAME?</v>
      </c>
      <c r="S377" s="92">
        <f>SUMIF(DISPONIBILIDADES_2025[[#All],[consecutivo]],Contrato[[#This Row],[CDP]],DISPONIBILIDADES_2025[[#All],[valor_total_rubro]])</f>
        <v>120000000</v>
      </c>
      <c r="T377" s="118" t="e" cm="1">
        <f t="array" aca="1" ref="T377" ca="1">_xlfn.XLOOKUP(Contrato[[#This Row],[CONTRATO]]&amp;Contrato[[#This Row],[CDP]],Corr_Contr_CDP[[#All],[CONTRATO-CDP]],Corr_Contr_CDP[[#All],[CRP]],_xlfn.XLOOKUP(Contrato[[#This Row],[CDP]],COMPROMISOS_2025[[#All],[disponibilidad]],COMPROMISOS_2025[[#All],[consecutivo]],"",0),0)</f>
        <v>#NAME?</v>
      </c>
      <c r="U377" s="117" t="e" cm="1">
        <f t="array" aca="1" ref="U377" ca="1">+_xlfn.XLOOKUP(Contrato[[#This Row],[RCP]],COMPROMISOS_2025[[#All],[consecutivo]],COMPROMISOS_2025[[#All],[fecha_aprobacion]],"",0)</f>
        <v>#NAME?</v>
      </c>
      <c r="V377" s="93">
        <f ca="1">SUMIF(COMPROMISOS_2025[[#All],[consecutivo]],Contrato[[#This Row],[RCP]],COMPROMISOS_2025[[#All],[valor_total]])</f>
        <v>0</v>
      </c>
      <c r="W377" s="169">
        <v>45769</v>
      </c>
      <c r="X377" s="243">
        <v>45770</v>
      </c>
      <c r="Y377" s="96">
        <v>45770</v>
      </c>
      <c r="Z377" s="161">
        <v>46021</v>
      </c>
      <c r="AA377" s="198" t="s">
        <v>1598</v>
      </c>
      <c r="AB377" s="119" t="s">
        <v>936</v>
      </c>
      <c r="AC377" s="112"/>
      <c r="AD377" s="472">
        <v>202000006595</v>
      </c>
      <c r="AE377" s="38" t="s">
        <v>904</v>
      </c>
      <c r="AF377" s="120" t="str">
        <f>TEXT(LEFT(Contrato[[#This Row],[CONTRATO]],3),"0")</f>
        <v>370</v>
      </c>
      <c r="AG377" s="120" t="str">
        <f>IF(LEN(Contrato[[#This Row],[Contrato2]])=3,Contrato[[#This Row],[Contrato2]],TEXT(Contrato[[#This Row],[Contrato2]],"000"))</f>
        <v>370</v>
      </c>
      <c r="AH377" s="90">
        <f ca="1">IFERROR(_xlfn.DAYS(Contrato[[#This Row],[Fecha Proyectada liquidación]],TODAY())/30,"")</f>
        <v>11.933333333333334</v>
      </c>
      <c r="AI377" s="121">
        <f>+Contrato[[#This Row],[FECHA TERMINACIÓN ]]+120</f>
        <v>46141</v>
      </c>
      <c r="AK377" s="91" t="str">
        <f ca="1">IF(Contrato[[#This Row],[FECHA TERMINACIÓN ]]&lt;TODAY(), "Terminado",IF(ISNUMBER(Contrato[[#This Row],[Fecha Real de liquiidación ]]),"Liquidado",IF(Contrato[[#This Row],[FECHA TERMINACIÓN ]]&gt;=TODAY(),"En ejecución","")))</f>
        <v>En ejecución</v>
      </c>
      <c r="AL377" s="107">
        <f ca="1">SUMIF(COMPROMISOS_2025[[#All],[consecutivo]],Contrato[[#This Row],[RCP]],COMPROMISOS_2025[[#All],[Total pagado]])</f>
        <v>0</v>
      </c>
      <c r="AM377" s="122">
        <f ca="1">IFERROR(Contrato[[#This Row],[Pagos]]/Contrato[[#This Row],[VALOR CONTRATO]],0)</f>
        <v>0</v>
      </c>
      <c r="AN377" s="160">
        <f ca="1">+Contrato[[#This Row],[VALOR CONTRATO]]-Contrato[[#This Row],[Pagos]]</f>
        <v>120000000</v>
      </c>
      <c r="AO377" s="111" t="e" cm="1">
        <f t="array" aca="1" ref="AO377" ca="1">_xlfn.XLOOKUP(Contrato[[#This Row],[DOCUMENTO ]],PERSONAL_ACTIVO_2025[[#All],[DOCUMENTO]],PERSONAL_ACTIVO_2025[[#All],[email]],0,0)</f>
        <v>#NAME?</v>
      </c>
      <c r="AP377" s="111" t="e" cm="1">
        <f t="array" aca="1" ref="AP377" ca="1">_xlfn.XLOOKUP(Contrato[[#This Row],[DOCUMENTO]],PERSONAL_ACTIVO_2025[[#All],[DOCUMENTO]],PERSONAL_ACTIVO_2025[[#All],[email]],0,0)</f>
        <v>#NAME?</v>
      </c>
      <c r="AQ377" s="111" cm="1">
        <f t="array" aca="1" ref="AQ377" ca="1">IF(ISBLANK(Contrato[[#This Row],[DEPENDENCIA ]]),0,IFERROR(_xlfn.XLOOKUP(Contrato[[#This Row],[DEPENDENCIA ]],#REF!,#REF!,0,0),0))</f>
        <v>0</v>
      </c>
      <c r="AR377" s="555">
        <f ca="1">+_xlfn.DAYS(Contrato[[#This Row],[FECHA TERMINACIÓN ]],TODAY())</f>
        <v>238</v>
      </c>
    </row>
    <row r="378" spans="1:44" ht="39.75" customHeight="1" x14ac:dyDescent="0.25">
      <c r="A378" s="38">
        <v>607</v>
      </c>
      <c r="B378" s="226">
        <v>371</v>
      </c>
      <c r="C378" s="88" t="s">
        <v>800</v>
      </c>
      <c r="D378" s="192" t="s">
        <v>1066</v>
      </c>
      <c r="E378" s="193" t="s">
        <v>112</v>
      </c>
      <c r="F378" s="194" t="s">
        <v>113</v>
      </c>
      <c r="G378" s="195" t="s">
        <v>1599</v>
      </c>
      <c r="H378" s="167">
        <v>1039461033</v>
      </c>
      <c r="I378" s="292">
        <v>7521800</v>
      </c>
      <c r="J378" s="292">
        <v>71191840</v>
      </c>
      <c r="K378" s="297" t="s">
        <v>1600</v>
      </c>
      <c r="L378" s="196" t="s">
        <v>1576</v>
      </c>
      <c r="M378" s="114" t="s">
        <v>1326</v>
      </c>
      <c r="N378" s="113" t="e" cm="1">
        <f t="array" aca="1" ref="N378" ca="1">_xlfn.XLOOKUP(Contrato[[#This Row],[SUPERVISOR TITULAR]],PERSONAL_ACTIVO_2025[[#All],[NOMBRES Y APELLIDOS]],PERSONAL_ACTIVO_2025[[#All],[DOCUMENTO]],"",0)</f>
        <v>#NAME?</v>
      </c>
      <c r="O378" s="114" t="s">
        <v>1419</v>
      </c>
      <c r="P378" s="115" t="e" cm="1">
        <f t="array" aca="1" ref="P378" ca="1">_xlfn.XLOOKUP(Contrato[[#This Row],[SUPERVISOR SUPLENTE ]],PERSONAL_ACTIVO_2025[[#All],[NOMBRES Y APELLIDOS]],PERSONAL_ACTIVO_2025[[#All],[DOCUMENTO]],"",0)</f>
        <v>#NAME?</v>
      </c>
      <c r="Q378" s="116">
        <v>456</v>
      </c>
      <c r="R378" s="137" t="e" cm="1">
        <f t="array" aca="1" ref="R378" ca="1">_xlfn.XLOOKUP(Contrato[[#This Row],[CDP]],DISPONIBILIDADES_2025[[#All],[consecutivo]],DISPONIBILIDADES_2025[[#All],[fecha_aprobacion]],"",0)</f>
        <v>#NAME?</v>
      </c>
      <c r="S378" s="92">
        <f>SUMIF(DISPONIBILIDADES_2025[[#All],[consecutivo]],Contrato[[#This Row],[CDP]],DISPONIBILIDADES_2025[[#All],[valor_total_rubro]])</f>
        <v>0</v>
      </c>
      <c r="T378" s="118" t="e" cm="1">
        <f t="array" aca="1" ref="T378" ca="1">_xlfn.XLOOKUP(Contrato[[#This Row],[CONTRATO]]&amp;Contrato[[#This Row],[CDP]],Corr_Contr_CDP[[#All],[CONTRATO-CDP]],Corr_Contr_CDP[[#All],[CRP]],_xlfn.XLOOKUP(Contrato[[#This Row],[CDP]],COMPROMISOS_2025[[#All],[disponibilidad]],COMPROMISOS_2025[[#All],[consecutivo]],"",0),0)</f>
        <v>#NAME?</v>
      </c>
      <c r="U378" s="117" t="e" cm="1">
        <f t="array" aca="1" ref="U378" ca="1">+_xlfn.XLOOKUP(Contrato[[#This Row],[RCP]],COMPROMISOS_2025[[#All],[consecutivo]],COMPROMISOS_2025[[#All],[fecha_aprobacion]],"",0)</f>
        <v>#NAME?</v>
      </c>
      <c r="V378" s="93">
        <f ca="1">SUMIF(COMPROMISOS_2025[[#All],[consecutivo]],Contrato[[#This Row],[RCP]],COMPROMISOS_2025[[#All],[valor_total]])</f>
        <v>0</v>
      </c>
      <c r="W378" s="169">
        <v>45769</v>
      </c>
      <c r="X378" s="243" t="s">
        <v>901</v>
      </c>
      <c r="Y378" s="96">
        <v>45770</v>
      </c>
      <c r="Z378" s="161">
        <v>46022</v>
      </c>
      <c r="AA378" s="311" t="s">
        <v>1601</v>
      </c>
      <c r="AB378" s="119" t="s">
        <v>1602</v>
      </c>
      <c r="AC378" s="112"/>
      <c r="AD378" s="472">
        <v>202000006595</v>
      </c>
      <c r="AE378" s="38" t="s">
        <v>904</v>
      </c>
      <c r="AF378" s="120" t="str">
        <f>TEXT(LEFT(Contrato[[#This Row],[CONTRATO]],3),"0")</f>
        <v>371</v>
      </c>
      <c r="AG378" s="120" t="str">
        <f>IF(LEN(Contrato[[#This Row],[Contrato2]])=3,Contrato[[#This Row],[Contrato2]],TEXT(Contrato[[#This Row],[Contrato2]],"000"))</f>
        <v>371</v>
      </c>
      <c r="AH378" s="90">
        <f ca="1">IFERROR(_xlfn.DAYS(Contrato[[#This Row],[Fecha Proyectada liquidación]],TODAY())/30,"")</f>
        <v>11.966666666666667</v>
      </c>
      <c r="AI378" s="121">
        <f>+Contrato[[#This Row],[FECHA TERMINACIÓN ]]+120</f>
        <v>46142</v>
      </c>
      <c r="AK378" s="91" t="str">
        <f ca="1">IF(Contrato[[#This Row],[FECHA TERMINACIÓN ]]&lt;TODAY(), "Terminado",IF(ISNUMBER(Contrato[[#This Row],[Fecha Real de liquiidación ]]),"Liquidado",IF(Contrato[[#This Row],[FECHA TERMINACIÓN ]]&gt;=TODAY(),"En ejecución","")))</f>
        <v>En ejecución</v>
      </c>
      <c r="AL378" s="107">
        <f ca="1">SUMIF(COMPROMISOS_2025[[#All],[consecutivo]],Contrato[[#This Row],[RCP]],COMPROMISOS_2025[[#All],[Total pagado]])</f>
        <v>0</v>
      </c>
      <c r="AM378" s="122">
        <f ca="1">IFERROR(Contrato[[#This Row],[Pagos]]/Contrato[[#This Row],[VALOR CONTRATO]],0)</f>
        <v>0</v>
      </c>
      <c r="AN378" s="160">
        <f ca="1">+Contrato[[#This Row],[VALOR CONTRATO]]-Contrato[[#This Row],[Pagos]]</f>
        <v>71191840</v>
      </c>
      <c r="AO378" s="111" t="e" cm="1">
        <f t="array" aca="1" ref="AO378" ca="1">_xlfn.XLOOKUP(Contrato[[#This Row],[DOCUMENTO ]],PERSONAL_ACTIVO_2025[[#All],[DOCUMENTO]],PERSONAL_ACTIVO_2025[[#All],[email]],0,0)</f>
        <v>#NAME?</v>
      </c>
      <c r="AP378" s="111" t="e" cm="1">
        <f t="array" aca="1" ref="AP378" ca="1">_xlfn.XLOOKUP(Contrato[[#This Row],[DOCUMENTO]],PERSONAL_ACTIVO_2025[[#All],[DOCUMENTO]],PERSONAL_ACTIVO_2025[[#All],[email]],0,0)</f>
        <v>#NAME?</v>
      </c>
      <c r="AQ378" s="111" cm="1">
        <f t="array" aca="1" ref="AQ378" ca="1">IF(ISBLANK(Contrato[[#This Row],[DEPENDENCIA ]]),0,IFERROR(_xlfn.XLOOKUP(Contrato[[#This Row],[DEPENDENCIA ]],#REF!,#REF!,0,0),0))</f>
        <v>0</v>
      </c>
      <c r="AR378" s="555">
        <f ca="1">+_xlfn.DAYS(Contrato[[#This Row],[FECHA TERMINACIÓN ]],TODAY())</f>
        <v>239</v>
      </c>
    </row>
    <row r="379" spans="1:44" ht="39.75" customHeight="1" x14ac:dyDescent="0.25">
      <c r="A379" s="38">
        <v>52</v>
      </c>
      <c r="B379" s="226">
        <v>372</v>
      </c>
      <c r="C379" s="88" t="s">
        <v>158</v>
      </c>
      <c r="D379" s="192" t="s">
        <v>1043</v>
      </c>
      <c r="E379" s="193" t="s">
        <v>112</v>
      </c>
      <c r="F379" s="194" t="s">
        <v>142</v>
      </c>
      <c r="G379" s="195" t="s">
        <v>1603</v>
      </c>
      <c r="H379" s="346">
        <v>890900841</v>
      </c>
      <c r="I379" s="290">
        <v>0</v>
      </c>
      <c r="J379" s="290">
        <v>450000000</v>
      </c>
      <c r="K379" s="347"/>
      <c r="L379" s="196" t="s">
        <v>1576</v>
      </c>
      <c r="M379" s="114"/>
      <c r="N379" s="113" t="e" cm="1">
        <f t="array" aca="1" ref="N379" ca="1">_xlfn.XLOOKUP(Contrato[[#This Row],[SUPERVISOR TITULAR]],PERSONAL_ACTIVO_2025[[#All],[NOMBRES Y APELLIDOS]],PERSONAL_ACTIVO_2025[[#All],[DOCUMENTO]],"",0)</f>
        <v>#NAME?</v>
      </c>
      <c r="O379" s="114"/>
      <c r="P379" s="115" t="e" cm="1">
        <f t="array" aca="1" ref="P379" ca="1">_xlfn.XLOOKUP(Contrato[[#This Row],[SUPERVISOR SUPLENTE ]],PERSONAL_ACTIVO_2025[[#All],[NOMBRES Y APELLIDOS]],PERSONAL_ACTIVO_2025[[#All],[DOCUMENTO]],"",0)</f>
        <v>#NAME?</v>
      </c>
      <c r="Q379" s="116">
        <v>470</v>
      </c>
      <c r="R379" s="137" t="e" cm="1">
        <f t="array" aca="1" ref="R379" ca="1">_xlfn.XLOOKUP(Contrato[[#This Row],[CDP]],DISPONIBILIDADES_2025[[#All],[consecutivo]],DISPONIBILIDADES_2025[[#All],[fecha_aprobacion]],"",0)</f>
        <v>#NAME?</v>
      </c>
      <c r="S379" s="92">
        <f>SUMIF(DISPONIBILIDADES_2025[[#All],[consecutivo]],Contrato[[#This Row],[CDP]],DISPONIBILIDADES_2025[[#All],[valor_total_rubro]])</f>
        <v>0</v>
      </c>
      <c r="T379" s="118" t="e" cm="1">
        <f t="array" aca="1" ref="T379" ca="1">_xlfn.XLOOKUP(Contrato[[#This Row],[CONTRATO]]&amp;Contrato[[#This Row],[CDP]],Corr_Contr_CDP[[#All],[CONTRATO-CDP]],Corr_Contr_CDP[[#All],[CRP]],_xlfn.XLOOKUP(Contrato[[#This Row],[CDP]],COMPROMISOS_2025[[#All],[disponibilidad]],COMPROMISOS_2025[[#All],[consecutivo]],"",0),0)</f>
        <v>#NAME?</v>
      </c>
      <c r="U379" s="117" t="e" cm="1">
        <f t="array" aca="1" ref="U379" ca="1">+_xlfn.XLOOKUP(Contrato[[#This Row],[RCP]],COMPROMISOS_2025[[#All],[consecutivo]],COMPROMISOS_2025[[#All],[fecha_aprobacion]],"",0)</f>
        <v>#NAME?</v>
      </c>
      <c r="V379" s="93">
        <f ca="1">SUMIF(COMPROMISOS_2025[[#All],[consecutivo]],Contrato[[#This Row],[RCP]],COMPROMISOS_2025[[#All],[valor_total]])</f>
        <v>0</v>
      </c>
      <c r="W379" s="243"/>
      <c r="X379" s="243"/>
      <c r="Y379" s="96" t="e">
        <f ca="1">+LEFT(_xlfn.XLOOKUP(Contrato[[#This Row],[CONTRATO3DIG]],SECOP_II!AE:AE,SECOP_II!F:F,"",0),10)</f>
        <v>#NAME?</v>
      </c>
      <c r="Z379" s="161" t="e">
        <f ca="1">+LEFT(_xlfn.XLOOKUP(Contrato[[#This Row],[CONTRATO3DIG]],SECOP_II!AE:AE,SECOP_II!G:G,"",0),10)</f>
        <v>#NAME?</v>
      </c>
      <c r="AA379" s="244"/>
      <c r="AB379" s="119"/>
      <c r="AC379" s="112"/>
      <c r="AD379" s="470"/>
      <c r="AE379" s="38"/>
      <c r="AF379" s="120" t="str">
        <f>TEXT(LEFT(Contrato[[#This Row],[CONTRATO]],3),"0")</f>
        <v>372</v>
      </c>
      <c r="AG379" s="120" t="str">
        <f>IF(LEN(Contrato[[#This Row],[Contrato2]])=3,Contrato[[#This Row],[Contrato2]],TEXT(Contrato[[#This Row],[Contrato2]],"000"))</f>
        <v>372</v>
      </c>
      <c r="AH379" s="90" t="str">
        <f ca="1">IFERROR(_xlfn.DAYS(Contrato[[#This Row],[Fecha Proyectada liquidación]],TODAY())/30,"")</f>
        <v/>
      </c>
      <c r="AI379" s="121" t="e">
        <f ca="1">+Contrato[[#This Row],[FECHA TERMINACIÓN ]]+120</f>
        <v>#NAME?</v>
      </c>
      <c r="AK379" s="91" t="e">
        <f ca="1">IF(Contrato[[#This Row],[FECHA TERMINACIÓN ]]&lt;TODAY(), "Terminado",IF(ISNUMBER(Contrato[[#This Row],[Fecha Real de liquiidación ]]),"Liquidado",IF(Contrato[[#This Row],[FECHA TERMINACIÓN ]]&gt;=TODAY(),"En ejecución","")))</f>
        <v>#NAME?</v>
      </c>
      <c r="AL379" s="107">
        <f ca="1">SUMIF(COMPROMISOS_2025[[#All],[consecutivo]],Contrato[[#This Row],[RCP]],COMPROMISOS_2025[[#All],[Total pagado]])</f>
        <v>0</v>
      </c>
      <c r="AM379" s="122">
        <f ca="1">IFERROR(Contrato[[#This Row],[Pagos]]/Contrato[[#This Row],[VALOR CONTRATO]],0)</f>
        <v>0</v>
      </c>
      <c r="AN379" s="160">
        <f ca="1">+Contrato[[#This Row],[VALOR CONTRATO]]-Contrato[[#This Row],[Pagos]]</f>
        <v>450000000</v>
      </c>
      <c r="AO379" s="111" t="e" cm="1">
        <f t="array" aca="1" ref="AO379" ca="1">_xlfn.XLOOKUP(Contrato[[#This Row],[DOCUMENTO ]],PERSONAL_ACTIVO_2025[[#All],[DOCUMENTO]],PERSONAL_ACTIVO_2025[[#All],[email]],0,0)</f>
        <v>#NAME?</v>
      </c>
      <c r="AP379" s="111" t="e" cm="1">
        <f t="array" aca="1" ref="AP379" ca="1">_xlfn.XLOOKUP(Contrato[[#This Row],[DOCUMENTO]],PERSONAL_ACTIVO_2025[[#All],[DOCUMENTO]],PERSONAL_ACTIVO_2025[[#All],[email]],0,0)</f>
        <v>#NAME?</v>
      </c>
      <c r="AQ379" s="111" cm="1">
        <f t="array" aca="1" ref="AQ379" ca="1">IF(ISBLANK(Contrato[[#This Row],[DEPENDENCIA ]]),0,IFERROR(_xlfn.XLOOKUP(Contrato[[#This Row],[DEPENDENCIA ]],#REF!,#REF!,0,0),0))</f>
        <v>0</v>
      </c>
      <c r="AR379" s="555" t="e">
        <f ca="1">+_xlfn.DAYS(Contrato[[#This Row],[FECHA TERMINACIÓN ]],TODAY())</f>
        <v>#NAME?</v>
      </c>
    </row>
    <row r="380" spans="1:44" ht="39.75" customHeight="1" x14ac:dyDescent="0.25">
      <c r="A380" s="38">
        <v>81</v>
      </c>
      <c r="B380" s="226">
        <v>373</v>
      </c>
      <c r="C380" s="88" t="s">
        <v>1604</v>
      </c>
      <c r="D380" s="192" t="s">
        <v>1605</v>
      </c>
      <c r="E380" s="193" t="s">
        <v>112</v>
      </c>
      <c r="F380" s="194" t="s">
        <v>779</v>
      </c>
      <c r="G380" s="195" t="s">
        <v>1606</v>
      </c>
      <c r="H380" s="346">
        <v>1126787814</v>
      </c>
      <c r="I380" s="292">
        <v>9573200</v>
      </c>
      <c r="J380" s="290">
        <v>62225800</v>
      </c>
      <c r="K380" s="158" t="s">
        <v>41</v>
      </c>
      <c r="L380" s="196" t="s">
        <v>1576</v>
      </c>
      <c r="M380" s="114" t="s">
        <v>1018</v>
      </c>
      <c r="N380" s="113" t="e" cm="1">
        <f t="array" aca="1" ref="N380" ca="1">_xlfn.XLOOKUP(Contrato[[#This Row],[SUPERVISOR TITULAR]],PERSONAL_ACTIVO_2025[[#All],[NOMBRES Y APELLIDOS]],PERSONAL_ACTIVO_2025[[#All],[DOCUMENTO]],"",0)</f>
        <v>#NAME?</v>
      </c>
      <c r="O380" s="114" t="s">
        <v>1019</v>
      </c>
      <c r="P380" s="115" t="e" cm="1">
        <f t="array" aca="1" ref="P380" ca="1">_xlfn.XLOOKUP(Contrato[[#This Row],[SUPERVISOR SUPLENTE ]],PERSONAL_ACTIVO_2025[[#All],[NOMBRES Y APELLIDOS]],PERSONAL_ACTIVO_2025[[#All],[DOCUMENTO]],"",0)</f>
        <v>#NAME?</v>
      </c>
      <c r="Q380" s="116">
        <v>469</v>
      </c>
      <c r="R380" s="137" t="e" cm="1">
        <f t="array" aca="1" ref="R380" ca="1">_xlfn.XLOOKUP(Contrato[[#This Row],[CDP]],DISPONIBILIDADES_2025[[#All],[consecutivo]],DISPONIBILIDADES_2025[[#All],[fecha_aprobacion]],"",0)</f>
        <v>#NAME?</v>
      </c>
      <c r="S380" s="92">
        <f>SUMIF(DISPONIBILIDADES_2025[[#All],[consecutivo]],Contrato[[#This Row],[CDP]],DISPONIBILIDADES_2025[[#All],[valor_total_rubro]])</f>
        <v>0</v>
      </c>
      <c r="T380" s="118" t="e" cm="1">
        <f t="array" aca="1" ref="T380" ca="1">_xlfn.XLOOKUP(Contrato[[#This Row],[CONTRATO]]&amp;Contrato[[#This Row],[CDP]],Corr_Contr_CDP[[#All],[CONTRATO-CDP]],Corr_Contr_CDP[[#All],[CRP]],_xlfn.XLOOKUP(Contrato[[#This Row],[CDP]],COMPROMISOS_2025[[#All],[disponibilidad]],COMPROMISOS_2025[[#All],[consecutivo]],"",0),0)</f>
        <v>#NAME?</v>
      </c>
      <c r="U380" s="117" t="e" cm="1">
        <f t="array" aca="1" ref="U380" ca="1">+_xlfn.XLOOKUP(Contrato[[#This Row],[RCP]],COMPROMISOS_2025[[#All],[consecutivo]],COMPROMISOS_2025[[#All],[fecha_aprobacion]],"",0)</f>
        <v>#NAME?</v>
      </c>
      <c r="V380" s="93">
        <f ca="1">SUMIF(COMPROMISOS_2025[[#All],[consecutivo]],Contrato[[#This Row],[RCP]],COMPROMISOS_2025[[#All],[valor_total]])</f>
        <v>0</v>
      </c>
      <c r="W380" s="243">
        <v>45771</v>
      </c>
      <c r="X380" s="243" t="s">
        <v>901</v>
      </c>
      <c r="Y380" s="96">
        <v>45771</v>
      </c>
      <c r="Z380" s="161">
        <v>45969</v>
      </c>
      <c r="AA380" s="474" t="s">
        <v>1607</v>
      </c>
      <c r="AB380" s="119" t="s">
        <v>1608</v>
      </c>
      <c r="AC380" s="112"/>
      <c r="AD380" s="470"/>
      <c r="AE380" s="38" t="s">
        <v>904</v>
      </c>
      <c r="AF380" s="120" t="str">
        <f>TEXT(LEFT(Contrato[[#This Row],[CONTRATO]],3),"0")</f>
        <v>373</v>
      </c>
      <c r="AG380" s="120" t="str">
        <f>IF(LEN(Contrato[[#This Row],[Contrato2]])=3,Contrato[[#This Row],[Contrato2]],TEXT(Contrato[[#This Row],[Contrato2]],"000"))</f>
        <v>373</v>
      </c>
      <c r="AH380" s="90">
        <f ca="1">IFERROR(_xlfn.DAYS(Contrato[[#This Row],[Fecha Proyectada liquidación]],TODAY())/30,"")</f>
        <v>10.199999999999999</v>
      </c>
      <c r="AI380" s="121">
        <f>+Contrato[[#This Row],[FECHA TERMINACIÓN ]]+120</f>
        <v>46089</v>
      </c>
      <c r="AK380" s="91" t="str">
        <f ca="1">IF(Contrato[[#This Row],[FECHA TERMINACIÓN ]]&lt;TODAY(), "Terminado",IF(ISNUMBER(Contrato[[#This Row],[Fecha Real de liquiidación ]]),"Liquidado",IF(Contrato[[#This Row],[FECHA TERMINACIÓN ]]&gt;=TODAY(),"En ejecución","")))</f>
        <v>En ejecución</v>
      </c>
      <c r="AL380" s="107">
        <f ca="1">SUMIF(COMPROMISOS_2025[[#All],[consecutivo]],Contrato[[#This Row],[RCP]],COMPROMISOS_2025[[#All],[Total pagado]])</f>
        <v>0</v>
      </c>
      <c r="AM380" s="122">
        <f ca="1">IFERROR(Contrato[[#This Row],[Pagos]]/Contrato[[#This Row],[VALOR CONTRATO]],0)</f>
        <v>0</v>
      </c>
      <c r="AN380" s="160">
        <f ca="1">+Contrato[[#This Row],[VALOR CONTRATO]]-Contrato[[#This Row],[Pagos]]</f>
        <v>62225800</v>
      </c>
      <c r="AO380" s="111" t="e" cm="1">
        <f t="array" aca="1" ref="AO380" ca="1">_xlfn.XLOOKUP(Contrato[[#This Row],[DOCUMENTO ]],PERSONAL_ACTIVO_2025[[#All],[DOCUMENTO]],PERSONAL_ACTIVO_2025[[#All],[email]],0,0)</f>
        <v>#NAME?</v>
      </c>
      <c r="AP380" s="111" t="e" cm="1">
        <f t="array" aca="1" ref="AP380" ca="1">_xlfn.XLOOKUP(Contrato[[#This Row],[DOCUMENTO]],PERSONAL_ACTIVO_2025[[#All],[DOCUMENTO]],PERSONAL_ACTIVO_2025[[#All],[email]],0,0)</f>
        <v>#NAME?</v>
      </c>
      <c r="AQ380" s="111" cm="1">
        <f t="array" aca="1" ref="AQ380" ca="1">IF(ISBLANK(Contrato[[#This Row],[DEPENDENCIA ]]),0,IFERROR(_xlfn.XLOOKUP(Contrato[[#This Row],[DEPENDENCIA ]],#REF!,#REF!,0,0),0))</f>
        <v>0</v>
      </c>
      <c r="AR380" s="555">
        <f ca="1">+_xlfn.DAYS(Contrato[[#This Row],[FECHA TERMINACIÓN ]],TODAY())</f>
        <v>186</v>
      </c>
    </row>
    <row r="381" spans="1:44" ht="39.75" customHeight="1" x14ac:dyDescent="0.25">
      <c r="A381" s="38">
        <v>584</v>
      </c>
      <c r="B381" s="226">
        <v>374</v>
      </c>
      <c r="C381" s="88" t="s">
        <v>819</v>
      </c>
      <c r="D381" s="192" t="s">
        <v>911</v>
      </c>
      <c r="E381" s="193" t="s">
        <v>112</v>
      </c>
      <c r="F381" s="194" t="s">
        <v>361</v>
      </c>
      <c r="G381" s="195" t="s">
        <v>1609</v>
      </c>
      <c r="H381" s="346">
        <v>900591848</v>
      </c>
      <c r="I381" s="290"/>
      <c r="J381" s="290">
        <v>170000000</v>
      </c>
      <c r="K381" s="347"/>
      <c r="L381" s="196" t="s">
        <v>1610</v>
      </c>
      <c r="M381" s="114"/>
      <c r="N381" s="113" t="e" cm="1">
        <f t="array" aca="1" ref="N381" ca="1">_xlfn.XLOOKUP(Contrato[[#This Row],[SUPERVISOR TITULAR]],PERSONAL_ACTIVO_2025[[#All],[NOMBRES Y APELLIDOS]],PERSONAL_ACTIVO_2025[[#All],[DOCUMENTO]],"",0)</f>
        <v>#NAME?</v>
      </c>
      <c r="O381" s="114"/>
      <c r="P381" s="115" t="e" cm="1">
        <f t="array" aca="1" ref="P381" ca="1">_xlfn.XLOOKUP(Contrato[[#This Row],[SUPERVISOR SUPLENTE ]],PERSONAL_ACTIVO_2025[[#All],[NOMBRES Y APELLIDOS]],PERSONAL_ACTIVO_2025[[#All],[DOCUMENTO]],"",0)</f>
        <v>#NAME?</v>
      </c>
      <c r="Q381" s="116">
        <v>441</v>
      </c>
      <c r="R381" s="137" t="e" cm="1">
        <f t="array" aca="1" ref="R381" ca="1">_xlfn.XLOOKUP(Contrato[[#This Row],[CDP]],DISPONIBILIDADES_2025[[#All],[consecutivo]],DISPONIBILIDADES_2025[[#All],[fecha_aprobacion]],"",0)</f>
        <v>#NAME?</v>
      </c>
      <c r="S381" s="92">
        <f>SUMIF(DISPONIBILIDADES_2025[[#All],[consecutivo]],Contrato[[#This Row],[CDP]],DISPONIBILIDADES_2025[[#All],[valor_total_rubro]])</f>
        <v>170000000</v>
      </c>
      <c r="T381" s="118" t="e" cm="1">
        <f t="array" aca="1" ref="T381" ca="1">_xlfn.XLOOKUP(Contrato[[#This Row],[CONTRATO]]&amp;Contrato[[#This Row],[CDP]],Corr_Contr_CDP[[#All],[CONTRATO-CDP]],Corr_Contr_CDP[[#All],[CRP]],_xlfn.XLOOKUP(Contrato[[#This Row],[CDP]],COMPROMISOS_2025[[#All],[disponibilidad]],COMPROMISOS_2025[[#All],[consecutivo]],"",0),0)</f>
        <v>#NAME?</v>
      </c>
      <c r="U381" s="117" t="e" cm="1">
        <f t="array" aca="1" ref="U381" ca="1">+_xlfn.XLOOKUP(Contrato[[#This Row],[RCP]],COMPROMISOS_2025[[#All],[consecutivo]],COMPROMISOS_2025[[#All],[fecha_aprobacion]],"",0)</f>
        <v>#NAME?</v>
      </c>
      <c r="V381" s="93">
        <f ca="1">SUMIF(COMPROMISOS_2025[[#All],[consecutivo]],Contrato[[#This Row],[RCP]],COMPROMISOS_2025[[#All],[valor_total]])</f>
        <v>0</v>
      </c>
      <c r="W381" s="243"/>
      <c r="X381" s="243"/>
      <c r="Y381" s="96" t="e">
        <f ca="1">+LEFT(_xlfn.XLOOKUP(Contrato[[#This Row],[CONTRATO3DIG]],SECOP_II!AE:AE,SECOP_II!F:F,"",0),10)</f>
        <v>#NAME?</v>
      </c>
      <c r="Z381" s="161" t="e">
        <f ca="1">+LEFT(_xlfn.XLOOKUP(Contrato[[#This Row],[CONTRATO3DIG]],SECOP_II!AE:AE,SECOP_II!G:G,"",0),10)</f>
        <v>#NAME?</v>
      </c>
      <c r="AA381" s="244"/>
      <c r="AB381" s="119" t="s">
        <v>936</v>
      </c>
      <c r="AC381" s="112"/>
      <c r="AD381" s="470"/>
      <c r="AE381" s="38"/>
      <c r="AF381" s="120" t="str">
        <f>TEXT(LEFT(Contrato[[#This Row],[CONTRATO]],3),"0")</f>
        <v>374</v>
      </c>
      <c r="AG381" s="120" t="str">
        <f>IF(LEN(Contrato[[#This Row],[Contrato2]])=3,Contrato[[#This Row],[Contrato2]],TEXT(Contrato[[#This Row],[Contrato2]],"000"))</f>
        <v>374</v>
      </c>
      <c r="AH381" s="90" t="str">
        <f ca="1">IFERROR(_xlfn.DAYS(Contrato[[#This Row],[Fecha Proyectada liquidación]],TODAY())/30,"")</f>
        <v/>
      </c>
      <c r="AI381" s="121" t="e">
        <f ca="1">+Contrato[[#This Row],[FECHA TERMINACIÓN ]]+120</f>
        <v>#NAME?</v>
      </c>
      <c r="AK381" s="91" t="e">
        <f ca="1">IF(Contrato[[#This Row],[FECHA TERMINACIÓN ]]&lt;TODAY(), "Terminado",IF(ISNUMBER(Contrato[[#This Row],[Fecha Real de liquiidación ]]),"Liquidado",IF(Contrato[[#This Row],[FECHA TERMINACIÓN ]]&gt;=TODAY(),"En ejecución","")))</f>
        <v>#NAME?</v>
      </c>
      <c r="AL381" s="107">
        <f ca="1">SUMIF(COMPROMISOS_2025[[#All],[consecutivo]],Contrato[[#This Row],[RCP]],COMPROMISOS_2025[[#All],[Total pagado]])</f>
        <v>0</v>
      </c>
      <c r="AM381" s="122">
        <f ca="1">IFERROR(Contrato[[#This Row],[Pagos]]/Contrato[[#This Row],[VALOR CONTRATO]],0)</f>
        <v>0</v>
      </c>
      <c r="AN381" s="160">
        <f ca="1">+Contrato[[#This Row],[VALOR CONTRATO]]-Contrato[[#This Row],[Pagos]]</f>
        <v>170000000</v>
      </c>
      <c r="AO381" s="111" t="e" cm="1">
        <f t="array" aca="1" ref="AO381" ca="1">_xlfn.XLOOKUP(Contrato[[#This Row],[DOCUMENTO ]],PERSONAL_ACTIVO_2025[[#All],[DOCUMENTO]],PERSONAL_ACTIVO_2025[[#All],[email]],0,0)</f>
        <v>#NAME?</v>
      </c>
      <c r="AP381" s="111" t="e" cm="1">
        <f t="array" aca="1" ref="AP381" ca="1">_xlfn.XLOOKUP(Contrato[[#This Row],[DOCUMENTO]],PERSONAL_ACTIVO_2025[[#All],[DOCUMENTO]],PERSONAL_ACTIVO_2025[[#All],[email]],0,0)</f>
        <v>#NAME?</v>
      </c>
      <c r="AQ381" s="111" cm="1">
        <f t="array" aca="1" ref="AQ381" ca="1">IF(ISBLANK(Contrato[[#This Row],[DEPENDENCIA ]]),0,IFERROR(_xlfn.XLOOKUP(Contrato[[#This Row],[DEPENDENCIA ]],#REF!,#REF!,0,0),0))</f>
        <v>0</v>
      </c>
      <c r="AR381" s="555" t="e">
        <f ca="1">+_xlfn.DAYS(Contrato[[#This Row],[FECHA TERMINACIÓN ]],TODAY())</f>
        <v>#NAME?</v>
      </c>
    </row>
    <row r="382" spans="1:44" ht="39.75" customHeight="1" x14ac:dyDescent="0.25">
      <c r="A382" s="38">
        <v>180</v>
      </c>
      <c r="B382" s="226">
        <v>375</v>
      </c>
      <c r="C382" s="88" t="s">
        <v>1611</v>
      </c>
      <c r="D382" s="192" t="s">
        <v>911</v>
      </c>
      <c r="E382" s="193" t="s">
        <v>112</v>
      </c>
      <c r="F382" s="194" t="s">
        <v>361</v>
      </c>
      <c r="G382" s="195" t="s">
        <v>1612</v>
      </c>
      <c r="H382" s="346">
        <v>890983980</v>
      </c>
      <c r="I382" s="290"/>
      <c r="J382" s="290">
        <v>130000000</v>
      </c>
      <c r="K382" s="347"/>
      <c r="L382" s="196" t="s">
        <v>1610</v>
      </c>
      <c r="M382" s="114"/>
      <c r="N382" s="113" t="e" cm="1">
        <f t="array" aca="1" ref="N382" ca="1">_xlfn.XLOOKUP(Contrato[[#This Row],[SUPERVISOR TITULAR]],PERSONAL_ACTIVO_2025[[#All],[NOMBRES Y APELLIDOS]],PERSONAL_ACTIVO_2025[[#All],[DOCUMENTO]],"",0)</f>
        <v>#NAME?</v>
      </c>
      <c r="O382" s="114"/>
      <c r="P382" s="115" t="e" cm="1">
        <f t="array" aca="1" ref="P382" ca="1">_xlfn.XLOOKUP(Contrato[[#This Row],[SUPERVISOR SUPLENTE ]],PERSONAL_ACTIVO_2025[[#All],[NOMBRES Y APELLIDOS]],PERSONAL_ACTIVO_2025[[#All],[DOCUMENTO]],"",0)</f>
        <v>#NAME?</v>
      </c>
      <c r="Q382" s="116">
        <v>468</v>
      </c>
      <c r="R382" s="137" t="e" cm="1">
        <f t="array" aca="1" ref="R382" ca="1">_xlfn.XLOOKUP(Contrato[[#This Row],[CDP]],DISPONIBILIDADES_2025[[#All],[consecutivo]],DISPONIBILIDADES_2025[[#All],[fecha_aprobacion]],"",0)</f>
        <v>#NAME?</v>
      </c>
      <c r="S382" s="92">
        <f>SUMIF(DISPONIBILIDADES_2025[[#All],[consecutivo]],Contrato[[#This Row],[CDP]],DISPONIBILIDADES_2025[[#All],[valor_total_rubro]])</f>
        <v>0</v>
      </c>
      <c r="T382" s="118" t="e" cm="1">
        <f t="array" aca="1" ref="T382" ca="1">_xlfn.XLOOKUP(Contrato[[#This Row],[CONTRATO]]&amp;Contrato[[#This Row],[CDP]],Corr_Contr_CDP[[#All],[CONTRATO-CDP]],Corr_Contr_CDP[[#All],[CRP]],_xlfn.XLOOKUP(Contrato[[#This Row],[CDP]],COMPROMISOS_2025[[#All],[disponibilidad]],COMPROMISOS_2025[[#All],[consecutivo]],"",0),0)</f>
        <v>#NAME?</v>
      </c>
      <c r="U382" s="117" t="e" cm="1">
        <f t="array" aca="1" ref="U382" ca="1">+_xlfn.XLOOKUP(Contrato[[#This Row],[RCP]],COMPROMISOS_2025[[#All],[consecutivo]],COMPROMISOS_2025[[#All],[fecha_aprobacion]],"",0)</f>
        <v>#NAME?</v>
      </c>
      <c r="V382" s="93">
        <f ca="1">SUMIF(COMPROMISOS_2025[[#All],[consecutivo]],Contrato[[#This Row],[RCP]],COMPROMISOS_2025[[#All],[valor_total]])</f>
        <v>0</v>
      </c>
      <c r="W382" s="243"/>
      <c r="X382" s="243"/>
      <c r="Y382" s="96" t="e">
        <f ca="1">+LEFT(_xlfn.XLOOKUP(Contrato[[#This Row],[CONTRATO3DIG]],SECOP_II!AE:AE,SECOP_II!F:F,"",0),10)</f>
        <v>#NAME?</v>
      </c>
      <c r="Z382" s="161" t="e">
        <f ca="1">+LEFT(_xlfn.XLOOKUP(Contrato[[#This Row],[CONTRATO3DIG]],SECOP_II!AE:AE,SECOP_II!G:G,"",0),10)</f>
        <v>#NAME?</v>
      </c>
      <c r="AA382" s="244"/>
      <c r="AB382" s="119" t="s">
        <v>936</v>
      </c>
      <c r="AC382" s="112"/>
      <c r="AD382" s="470"/>
      <c r="AE382" s="38"/>
      <c r="AF382" s="120" t="str">
        <f>TEXT(LEFT(Contrato[[#This Row],[CONTRATO]],3),"0")</f>
        <v>375</v>
      </c>
      <c r="AG382" s="120" t="str">
        <f>IF(LEN(Contrato[[#This Row],[Contrato2]])=3,Contrato[[#This Row],[Contrato2]],TEXT(Contrato[[#This Row],[Contrato2]],"000"))</f>
        <v>375</v>
      </c>
      <c r="AH382" s="90" t="str">
        <f ca="1">IFERROR(_xlfn.DAYS(Contrato[[#This Row],[Fecha Proyectada liquidación]],TODAY())/30,"")</f>
        <v/>
      </c>
      <c r="AI382" s="121" t="e">
        <f ca="1">+Contrato[[#This Row],[FECHA TERMINACIÓN ]]+120</f>
        <v>#NAME?</v>
      </c>
      <c r="AK382" s="91" t="e">
        <f ca="1">IF(Contrato[[#This Row],[FECHA TERMINACIÓN ]]&lt;TODAY(), "Terminado",IF(ISNUMBER(Contrato[[#This Row],[Fecha Real de liquiidación ]]),"Liquidado",IF(Contrato[[#This Row],[FECHA TERMINACIÓN ]]&gt;=TODAY(),"En ejecución","")))</f>
        <v>#NAME?</v>
      </c>
      <c r="AL382" s="107">
        <f ca="1">SUMIF(COMPROMISOS_2025[[#All],[consecutivo]],Contrato[[#This Row],[RCP]],COMPROMISOS_2025[[#All],[Total pagado]])</f>
        <v>0</v>
      </c>
      <c r="AM382" s="122">
        <f ca="1">IFERROR(Contrato[[#This Row],[Pagos]]/Contrato[[#This Row],[VALOR CONTRATO]],0)</f>
        <v>0</v>
      </c>
      <c r="AN382" s="160">
        <f ca="1">+Contrato[[#This Row],[VALOR CONTRATO]]-Contrato[[#This Row],[Pagos]]</f>
        <v>130000000</v>
      </c>
      <c r="AO382" s="111" t="e" cm="1">
        <f t="array" aca="1" ref="AO382" ca="1">_xlfn.XLOOKUP(Contrato[[#This Row],[DOCUMENTO ]],PERSONAL_ACTIVO_2025[[#All],[DOCUMENTO]],PERSONAL_ACTIVO_2025[[#All],[email]],0,0)</f>
        <v>#NAME?</v>
      </c>
      <c r="AP382" s="111" t="e" cm="1">
        <f t="array" aca="1" ref="AP382" ca="1">_xlfn.XLOOKUP(Contrato[[#This Row],[DOCUMENTO]],PERSONAL_ACTIVO_2025[[#All],[DOCUMENTO]],PERSONAL_ACTIVO_2025[[#All],[email]],0,0)</f>
        <v>#NAME?</v>
      </c>
      <c r="AQ382" s="111" cm="1">
        <f t="array" aca="1" ref="AQ382" ca="1">IF(ISBLANK(Contrato[[#This Row],[DEPENDENCIA ]]),0,IFERROR(_xlfn.XLOOKUP(Contrato[[#This Row],[DEPENDENCIA ]],#REF!,#REF!,0,0),0))</f>
        <v>0</v>
      </c>
      <c r="AR382" s="555" t="e">
        <f ca="1">+_xlfn.DAYS(Contrato[[#This Row],[FECHA TERMINACIÓN ]],TODAY())</f>
        <v>#NAME?</v>
      </c>
    </row>
    <row r="383" spans="1:44" ht="39.75" customHeight="1" x14ac:dyDescent="0.25">
      <c r="A383" s="38">
        <v>611</v>
      </c>
      <c r="B383" s="226">
        <v>376</v>
      </c>
      <c r="C383" s="88" t="s">
        <v>322</v>
      </c>
      <c r="D383" s="192" t="s">
        <v>930</v>
      </c>
      <c r="E383" s="193" t="s">
        <v>112</v>
      </c>
      <c r="F383" s="194" t="s">
        <v>241</v>
      </c>
      <c r="G383" s="195" t="s">
        <v>1613</v>
      </c>
      <c r="H383" s="167">
        <v>890980850</v>
      </c>
      <c r="I383" s="292"/>
      <c r="J383" s="292">
        <v>253242242</v>
      </c>
      <c r="K383" s="297" t="s">
        <v>1614</v>
      </c>
      <c r="L383" s="196" t="s">
        <v>1610</v>
      </c>
      <c r="M383" s="114"/>
      <c r="N383" s="113" t="e" cm="1">
        <f t="array" aca="1" ref="N383" ca="1">_xlfn.XLOOKUP(Contrato[[#This Row],[SUPERVISOR TITULAR]],PERSONAL_ACTIVO_2025[[#All],[NOMBRES Y APELLIDOS]],PERSONAL_ACTIVO_2025[[#All],[DOCUMENTO]],"",0)</f>
        <v>#NAME?</v>
      </c>
      <c r="O383" s="114"/>
      <c r="P383" s="115" t="e" cm="1">
        <f t="array" aca="1" ref="P383" ca="1">_xlfn.XLOOKUP(Contrato[[#This Row],[SUPERVISOR SUPLENTE ]],PERSONAL_ACTIVO_2025[[#All],[NOMBRES Y APELLIDOS]],PERSONAL_ACTIVO_2025[[#All],[DOCUMENTO]],"",0)</f>
        <v>#NAME?</v>
      </c>
      <c r="Q383" s="116">
        <v>458</v>
      </c>
      <c r="R383" s="137" t="e" cm="1">
        <f t="array" aca="1" ref="R383" ca="1">_xlfn.XLOOKUP(Contrato[[#This Row],[CDP]],DISPONIBILIDADES_2025[[#All],[consecutivo]],DISPONIBILIDADES_2025[[#All],[fecha_aprobacion]],"",0)</f>
        <v>#NAME?</v>
      </c>
      <c r="S383" s="92">
        <f>SUMIF(DISPONIBILIDADES_2025[[#All],[consecutivo]],Contrato[[#This Row],[CDP]],DISPONIBILIDADES_2025[[#All],[valor_total_rubro]])</f>
        <v>0</v>
      </c>
      <c r="T383" s="118" t="e" cm="1">
        <f t="array" aca="1" ref="T383" ca="1">_xlfn.XLOOKUP(Contrato[[#This Row],[CONTRATO]]&amp;Contrato[[#This Row],[CDP]],Corr_Contr_CDP[[#All],[CONTRATO-CDP]],Corr_Contr_CDP[[#All],[CRP]],_xlfn.XLOOKUP(Contrato[[#This Row],[CDP]],COMPROMISOS_2025[[#All],[disponibilidad]],COMPROMISOS_2025[[#All],[consecutivo]],"",0),0)</f>
        <v>#NAME?</v>
      </c>
      <c r="U383" s="117" t="e" cm="1">
        <f t="array" aca="1" ref="U383" ca="1">+_xlfn.XLOOKUP(Contrato[[#This Row],[RCP]],COMPROMISOS_2025[[#All],[consecutivo]],COMPROMISOS_2025[[#All],[fecha_aprobacion]],"",0)</f>
        <v>#NAME?</v>
      </c>
      <c r="V383" s="93">
        <f ca="1">SUMIF(COMPROMISOS_2025[[#All],[consecutivo]],Contrato[[#This Row],[RCP]],COMPROMISOS_2025[[#All],[valor_total]])</f>
        <v>0</v>
      </c>
      <c r="W383" s="169"/>
      <c r="X383" s="243"/>
      <c r="Y383" s="96" t="e">
        <f ca="1">+LEFT(_xlfn.XLOOKUP(Contrato[[#This Row],[CONTRATO3DIG]],SECOP_II!AE:AE,SECOP_II!F:F,"",0),10)</f>
        <v>#NAME?</v>
      </c>
      <c r="Z383" s="161" t="e">
        <f ca="1">+LEFT(_xlfn.XLOOKUP(Contrato[[#This Row],[CONTRATO3DIG]],SECOP_II!AE:AE,SECOP_II!G:G,"",0),10)</f>
        <v>#NAME?</v>
      </c>
      <c r="AA383" s="198"/>
      <c r="AB383" s="119" t="s">
        <v>1372</v>
      </c>
      <c r="AC383" s="112"/>
      <c r="AD383" s="543"/>
      <c r="AE383" s="38"/>
      <c r="AF383" s="120" t="str">
        <f>TEXT(LEFT(Contrato[[#This Row],[CONTRATO]],3),"0")</f>
        <v>376</v>
      </c>
      <c r="AG383" s="120" t="str">
        <f>IF(LEN(Contrato[[#This Row],[Contrato2]])=3,Contrato[[#This Row],[Contrato2]],TEXT(Contrato[[#This Row],[Contrato2]],"000"))</f>
        <v>376</v>
      </c>
      <c r="AH383" s="90" t="str">
        <f ca="1">IFERROR(_xlfn.DAYS(Contrato[[#This Row],[Fecha Proyectada liquidación]],TODAY())/30,"")</f>
        <v/>
      </c>
      <c r="AI383" s="121" t="e">
        <f ca="1">+Contrato[[#This Row],[FECHA TERMINACIÓN ]]+120</f>
        <v>#NAME?</v>
      </c>
      <c r="AK383" s="91" t="e">
        <f ca="1">IF(Contrato[[#This Row],[FECHA TERMINACIÓN ]]&lt;TODAY(), "Terminado",IF(ISNUMBER(Contrato[[#This Row],[Fecha Real de liquiidación ]]),"Liquidado",IF(Contrato[[#This Row],[FECHA TERMINACIÓN ]]&gt;=TODAY(),"En ejecución","")))</f>
        <v>#NAME?</v>
      </c>
      <c r="AL383" s="107">
        <f ca="1">SUMIF(COMPROMISOS_2025[[#All],[consecutivo]],Contrato[[#This Row],[RCP]],COMPROMISOS_2025[[#All],[Total pagado]])</f>
        <v>0</v>
      </c>
      <c r="AM383" s="122">
        <f ca="1">IFERROR(Contrato[[#This Row],[Pagos]]/Contrato[[#This Row],[VALOR CONTRATO]],0)</f>
        <v>0</v>
      </c>
      <c r="AN383" s="160">
        <f ca="1">+Contrato[[#This Row],[VALOR CONTRATO]]-Contrato[[#This Row],[Pagos]]</f>
        <v>253242242</v>
      </c>
      <c r="AO383" s="111" t="e" cm="1">
        <f t="array" aca="1" ref="AO383" ca="1">_xlfn.XLOOKUP(Contrato[[#This Row],[DOCUMENTO ]],PERSONAL_ACTIVO_2025[[#All],[DOCUMENTO]],PERSONAL_ACTIVO_2025[[#All],[email]],0,0)</f>
        <v>#NAME?</v>
      </c>
      <c r="AP383" s="111" t="e" cm="1">
        <f t="array" aca="1" ref="AP383" ca="1">_xlfn.XLOOKUP(Contrato[[#This Row],[DOCUMENTO]],PERSONAL_ACTIVO_2025[[#All],[DOCUMENTO]],PERSONAL_ACTIVO_2025[[#All],[email]],0,0)</f>
        <v>#NAME?</v>
      </c>
      <c r="AQ383" s="111" cm="1">
        <f t="array" aca="1" ref="AQ383" ca="1">IF(ISBLANK(Contrato[[#This Row],[DEPENDENCIA ]]),0,IFERROR(_xlfn.XLOOKUP(Contrato[[#This Row],[DEPENDENCIA ]],#REF!,#REF!,0,0),0))</f>
        <v>0</v>
      </c>
      <c r="AR383" s="555" t="e">
        <f ca="1">+_xlfn.DAYS(Contrato[[#This Row],[FECHA TERMINACIÓN ]],TODAY())</f>
        <v>#NAME?</v>
      </c>
    </row>
    <row r="384" spans="1:44" ht="35.25" customHeight="1" x14ac:dyDescent="0.25">
      <c r="A384" s="38">
        <v>609</v>
      </c>
      <c r="B384" s="226">
        <v>377</v>
      </c>
      <c r="C384" s="88" t="s">
        <v>1615</v>
      </c>
      <c r="D384" s="192" t="s">
        <v>930</v>
      </c>
      <c r="E384" s="193" t="s">
        <v>112</v>
      </c>
      <c r="F384" s="194" t="s">
        <v>241</v>
      </c>
      <c r="G384" s="195" t="s">
        <v>1616</v>
      </c>
      <c r="H384" s="167">
        <v>890983814</v>
      </c>
      <c r="I384" s="292"/>
      <c r="J384" s="292">
        <v>636035857</v>
      </c>
      <c r="K384" s="297" t="s">
        <v>1617</v>
      </c>
      <c r="L384" s="196" t="s">
        <v>1610</v>
      </c>
      <c r="M384" s="114"/>
      <c r="N384" s="551" t="e" cm="1">
        <f t="array" aca="1" ref="N384" ca="1">_xlfn.XLOOKUP(Contrato[[#This Row],[SUPERVISOR TITULAR]],PERSONAL_ACTIVO_2025[[#All],[NOMBRES Y APELLIDOS]],PERSONAL_ACTIVO_2025[[#All],[DOCUMENTO]],"",0)</f>
        <v>#NAME?</v>
      </c>
      <c r="O384" s="114"/>
      <c r="P384" s="552" t="e" cm="1">
        <f t="array" aca="1" ref="P384" ca="1">_xlfn.XLOOKUP(Contrato[[#This Row],[SUPERVISOR SUPLENTE ]],PERSONAL_ACTIVO_2025[[#All],[NOMBRES Y APELLIDOS]],PERSONAL_ACTIVO_2025[[#All],[DOCUMENTO]],"",0)</f>
        <v>#NAME?</v>
      </c>
      <c r="Q384" s="116">
        <v>461</v>
      </c>
      <c r="R384" s="137" t="e" cm="1">
        <f t="array" aca="1" ref="R384" ca="1">_xlfn.XLOOKUP(Contrato[[#This Row],[CDP]],DISPONIBILIDADES_2025[[#All],[consecutivo]],DISPONIBILIDADES_2025[[#All],[fecha_aprobacion]],"",0)</f>
        <v>#NAME?</v>
      </c>
      <c r="S384" s="92">
        <f>SUMIF(DISPONIBILIDADES_2025[[#All],[consecutivo]],Contrato[[#This Row],[CDP]],DISPONIBILIDADES_2025[[#All],[valor_total_rubro]])</f>
        <v>0</v>
      </c>
      <c r="T384" s="118"/>
      <c r="U384" s="117"/>
      <c r="V384" s="93"/>
      <c r="W384" s="169"/>
      <c r="X384" s="243"/>
      <c r="Y384" s="96"/>
      <c r="Z384" s="161"/>
      <c r="AA384" s="198"/>
      <c r="AB384" s="119" t="s">
        <v>1372</v>
      </c>
      <c r="AC384" s="112"/>
      <c r="AD384" s="543"/>
      <c r="AE384" s="38"/>
      <c r="AF384" s="120"/>
      <c r="AG384" s="120"/>
      <c r="AH384" s="90"/>
      <c r="AI384" s="121"/>
      <c r="AK384" s="91"/>
      <c r="AL384" s="107"/>
      <c r="AM384" s="122"/>
      <c r="AN384" s="160"/>
      <c r="AO384" s="111"/>
      <c r="AP384" s="111"/>
      <c r="AQ384" s="111"/>
      <c r="AR384" s="555">
        <f ca="1">+_xlfn.DAYS(Contrato[[#This Row],[FECHA TERMINACIÓN ]],TODAY())</f>
        <v>-45783</v>
      </c>
    </row>
    <row r="385" spans="1:44" ht="45" x14ac:dyDescent="0.25">
      <c r="A385" s="38">
        <v>479</v>
      </c>
      <c r="B385" s="226" t="s">
        <v>1618</v>
      </c>
      <c r="C385" s="88" t="s">
        <v>687</v>
      </c>
      <c r="D385" s="192" t="s">
        <v>890</v>
      </c>
      <c r="E385" s="193" t="s">
        <v>153</v>
      </c>
      <c r="F385" s="194" t="s">
        <v>142</v>
      </c>
      <c r="G385" s="195" t="s">
        <v>1619</v>
      </c>
      <c r="H385" s="167">
        <v>900446662</v>
      </c>
      <c r="I385" s="158" t="s">
        <v>41</v>
      </c>
      <c r="J385" s="292">
        <v>38990000</v>
      </c>
      <c r="K385" s="158" t="s">
        <v>41</v>
      </c>
      <c r="L385" s="196" t="s">
        <v>1554</v>
      </c>
      <c r="M385" s="114" t="s">
        <v>893</v>
      </c>
      <c r="N385" s="113" t="e" cm="1">
        <f t="array" aca="1" ref="N385" ca="1">_xlfn.XLOOKUP(Contrato[[#This Row],[SUPERVISOR TITULAR]],PERSONAL_ACTIVO_2025[[#All],[NOMBRES Y APELLIDOS]],PERSONAL_ACTIVO_2025[[#All],[DOCUMENTO]],"",0)</f>
        <v>#NAME?</v>
      </c>
      <c r="O385" s="114" t="s">
        <v>894</v>
      </c>
      <c r="P385" s="115" t="e" cm="1">
        <f t="array" aca="1" ref="P385" ca="1">_xlfn.XLOOKUP(Contrato[[#This Row],[SUPERVISOR SUPLENTE ]],PERSONAL_ACTIVO_2025[[#All],[NOMBRES Y APELLIDOS]],PERSONAL_ACTIVO_2025[[#All],[DOCUMENTO]],"",0)</f>
        <v>#NAME?</v>
      </c>
      <c r="Q385" s="116">
        <v>421</v>
      </c>
      <c r="R385" s="137" t="e" cm="1">
        <f t="array" aca="1" ref="R385" ca="1">_xlfn.XLOOKUP(Contrato[[#This Row],[CDP]],DISPONIBILIDADES_2025[[#All],[consecutivo]],DISPONIBILIDADES_2025[[#All],[fecha_aprobacion]],"",0)</f>
        <v>#NAME?</v>
      </c>
      <c r="S385" s="92">
        <f>SUMIF(DISPONIBILIDADES_2025[[#All],[consecutivo]],Contrato[[#This Row],[CDP]],DISPONIBILIDADES_2025[[#All],[valor_total_rubro]])</f>
        <v>40000000</v>
      </c>
      <c r="T385" s="118" t="e" cm="1">
        <f t="array" aca="1" ref="T385" ca="1">_xlfn.XLOOKUP(Contrato[[#This Row],[CONTRATO]]&amp;Contrato[[#This Row],[CDP]],Corr_Contr_CDP[[#All],[CONTRATO-CDP]],Corr_Contr_CDP[[#All],[CRP]],_xlfn.XLOOKUP(Contrato[[#This Row],[CDP]],COMPROMISOS_2025[[#All],[disponibilidad]],COMPROMISOS_2025[[#All],[consecutivo]],"",0),0)</f>
        <v>#NAME?</v>
      </c>
      <c r="U385" s="117" t="e" cm="1">
        <f t="array" aca="1" ref="U385" ca="1">+_xlfn.XLOOKUP(Contrato[[#This Row],[RCP]],COMPROMISOS_2025[[#All],[consecutivo]],COMPROMISOS_2025[[#All],[fecha_aprobacion]],"",0)</f>
        <v>#NAME?</v>
      </c>
      <c r="V385" s="93">
        <f ca="1">SUMIF(COMPROMISOS_2025[[#All],[consecutivo]],Contrato[[#This Row],[RCP]],COMPROMISOS_2025[[#All],[valor_total]])</f>
        <v>0</v>
      </c>
      <c r="W385" s="169">
        <v>45769</v>
      </c>
      <c r="X385" s="243">
        <v>45770</v>
      </c>
      <c r="Y385" s="536">
        <v>45770</v>
      </c>
      <c r="Z385" s="161">
        <v>45849</v>
      </c>
      <c r="AA385" s="311" t="s">
        <v>1620</v>
      </c>
      <c r="AB385" s="119" t="s">
        <v>1621</v>
      </c>
      <c r="AC385" s="112"/>
      <c r="AD385" s="543"/>
      <c r="AE385" s="38" t="s">
        <v>904</v>
      </c>
      <c r="AF385" s="120" t="str">
        <f>TEXT(LEFT(Contrato[[#This Row],[CONTRATO]],3),"0")</f>
        <v xml:space="preserve">MC </v>
      </c>
      <c r="AG385" s="120" t="str">
        <f>IF(LEN(Contrato[[#This Row],[Contrato2]])=3,Contrato[[#This Row],[Contrato2]],TEXT(Contrato[[#This Row],[Contrato2]],"000"))</f>
        <v xml:space="preserve">MC </v>
      </c>
      <c r="AH385" s="90">
        <f ca="1">IFERROR(_xlfn.DAYS(Contrato[[#This Row],[Fecha Proyectada liquidación]],TODAY())/30,"")</f>
        <v>6.2</v>
      </c>
      <c r="AI385" s="121">
        <f>+Contrato[[#This Row],[FECHA TERMINACIÓN ]]+120</f>
        <v>45969</v>
      </c>
      <c r="AK385" s="91" t="str">
        <f ca="1">IF(Contrato[[#This Row],[FECHA TERMINACIÓN ]]&lt;TODAY(), "Terminado",IF(ISNUMBER(Contrato[[#This Row],[Fecha Real de liquiidación ]]),"Liquidado",IF(Contrato[[#This Row],[FECHA TERMINACIÓN ]]&gt;=TODAY(),"En ejecución","")))</f>
        <v>En ejecución</v>
      </c>
      <c r="AL385" s="107">
        <f ca="1">SUMIF(COMPROMISOS_2025[[#All],[consecutivo]],Contrato[[#This Row],[RCP]],COMPROMISOS_2025[[#All],[Total pagado]])</f>
        <v>0</v>
      </c>
      <c r="AM385" s="122">
        <f ca="1">IFERROR(Contrato[[#This Row],[Pagos]]/Contrato[[#This Row],[VALOR CONTRATO]],0)</f>
        <v>0</v>
      </c>
      <c r="AN385" s="160">
        <f ca="1">+Contrato[[#This Row],[VALOR CONTRATO]]-Contrato[[#This Row],[Pagos]]</f>
        <v>38990000</v>
      </c>
      <c r="AO385" s="111" t="e" cm="1">
        <f t="array" aca="1" ref="AO385" ca="1">_xlfn.XLOOKUP(Contrato[[#This Row],[DOCUMENTO ]],PERSONAL_ACTIVO_2025[[#All],[DOCUMENTO]],PERSONAL_ACTIVO_2025[[#All],[email]],0,0)</f>
        <v>#NAME?</v>
      </c>
      <c r="AP385" s="111" t="e" cm="1">
        <f t="array" aca="1" ref="AP385" ca="1">_xlfn.XLOOKUP(Contrato[[#This Row],[DOCUMENTO]],PERSONAL_ACTIVO_2025[[#All],[DOCUMENTO]],PERSONAL_ACTIVO_2025[[#All],[email]],0,0)</f>
        <v>#NAME?</v>
      </c>
      <c r="AQ385" s="111" cm="1">
        <f t="array" aca="1" ref="AQ385" ca="1">IF(ISBLANK(Contrato[[#This Row],[DEPENDENCIA ]]),0,IFERROR(_xlfn.XLOOKUP(Contrato[[#This Row],[DEPENDENCIA ]],#REF!,#REF!,0,0),0))</f>
        <v>0</v>
      </c>
      <c r="AR385" s="555">
        <f ca="1">+_xlfn.DAYS(Contrato[[#This Row],[FECHA TERMINACIÓN ]],TODAY())</f>
        <v>66</v>
      </c>
    </row>
    <row r="386" spans="1:44" ht="150" x14ac:dyDescent="0.25">
      <c r="A386" s="499">
        <v>192</v>
      </c>
      <c r="B386" s="500">
        <v>378</v>
      </c>
      <c r="C386" s="501" t="s">
        <v>1622</v>
      </c>
      <c r="D386" s="502" t="s">
        <v>911</v>
      </c>
      <c r="E386" s="498" t="s">
        <v>112</v>
      </c>
      <c r="F386" s="502" t="s">
        <v>361</v>
      </c>
      <c r="G386" s="503" t="s">
        <v>1623</v>
      </c>
      <c r="H386" s="167">
        <v>890911185</v>
      </c>
      <c r="I386" s="504"/>
      <c r="J386" s="504">
        <v>100000000</v>
      </c>
      <c r="K386" s="499"/>
      <c r="L386" s="505" t="s">
        <v>1624</v>
      </c>
      <c r="M386" s="114"/>
      <c r="N386" s="507" t="e" cm="1">
        <f t="array" aca="1" ref="N386" ca="1">_xlfn.XLOOKUP(Contrato[[#This Row],[SUPERVISOR TITULAR]],PERSONAL_ACTIVO_2025[[#All],[NOMBRES Y APELLIDOS]],PERSONAL_ACTIVO_2025[[#All],[DOCUMENTO]],"",0)</f>
        <v>#NAME?</v>
      </c>
      <c r="O386" s="506"/>
      <c r="P386" s="508" t="e" cm="1">
        <f t="array" aca="1" ref="P386" ca="1">_xlfn.XLOOKUP(Contrato[[#This Row],[SUPERVISOR SUPLENTE ]],PERSONAL_ACTIVO_2025[[#All],[NOMBRES Y APELLIDOS]],PERSONAL_ACTIVO_2025[[#All],[DOCUMENTO]],"",0)</f>
        <v>#NAME?</v>
      </c>
      <c r="Q386" s="509">
        <v>467</v>
      </c>
      <c r="R386" s="137" t="e" cm="1">
        <f t="array" aca="1" ref="R386" ca="1">_xlfn.XLOOKUP(Contrato[[#This Row],[CDP]],DISPONIBILIDADES_2025[[#All],[consecutivo]],DISPONIBILIDADES_2025[[#All],[fecha_aprobacion]],"",0)</f>
        <v>#NAME?</v>
      </c>
      <c r="S386" s="92">
        <f>SUMIF(DISPONIBILIDADES_2025[[#All],[consecutivo]],Contrato[[#This Row],[CDP]],DISPONIBILIDADES_2025[[#All],[valor_total_rubro]])</f>
        <v>0</v>
      </c>
      <c r="T386" s="118" t="e" cm="1">
        <f t="array" aca="1" ref="T386" ca="1">_xlfn.XLOOKUP(Contrato[[#This Row],[CONTRATO]]&amp;Contrato[[#This Row],[CDP]],Corr_Contr_CDP[[#All],[CONTRATO-CDP]],Corr_Contr_CDP[[#All],[CRP]],_xlfn.XLOOKUP(Contrato[[#This Row],[CDP]],COMPROMISOS_2025[[#All],[disponibilidad]],COMPROMISOS_2025[[#All],[consecutivo]],"",0),0)</f>
        <v>#NAME?</v>
      </c>
      <c r="U386" s="117" t="e" cm="1">
        <f t="array" aca="1" ref="U386" ca="1">+_xlfn.XLOOKUP(Contrato[[#This Row],[RCP]],COMPROMISOS_2025[[#All],[consecutivo]],COMPROMISOS_2025[[#All],[fecha_aprobacion]],"",0)</f>
        <v>#NAME?</v>
      </c>
      <c r="V386" s="93">
        <f ca="1">SUMIF(COMPROMISOS_2025[[#All],[consecutivo]],Contrato[[#This Row],[RCP]],COMPROMISOS_2025[[#All],[valor_total]])</f>
        <v>0</v>
      </c>
      <c r="W386" s="510"/>
      <c r="X386" s="510"/>
      <c r="Y386" s="397" t="e">
        <f ca="1">+LEFT(_xlfn.XLOOKUP(Contrato[[#This Row],[CONTRATO3DIG]],SECOP_II!AE:AE,SECOP_II!F:F,"",0),10)</f>
        <v>#NAME?</v>
      </c>
      <c r="Z386" s="511" t="e">
        <f ca="1">+LEFT(_xlfn.XLOOKUP(Contrato[[#This Row],[CONTRATO3DIG]],SECOP_II!AE:AE,SECOP_II!G:G,"",0),10)</f>
        <v>#NAME?</v>
      </c>
      <c r="AA386" s="512"/>
      <c r="AB386" s="498" t="s">
        <v>1532</v>
      </c>
      <c r="AC386" s="498"/>
      <c r="AD386" s="546" t="s">
        <v>1625</v>
      </c>
      <c r="AE386" s="499"/>
      <c r="AF386" s="89" t="str">
        <f>TEXT(LEFT(Contrato[[#This Row],[CONTRATO]],3),"0")</f>
        <v>378</v>
      </c>
      <c r="AG386" s="89" t="str">
        <f>IF(LEN(Contrato[[#This Row],[Contrato2]])=3,Contrato[[#This Row],[Contrato2]],TEXT(Contrato[[#This Row],[Contrato2]],"000"))</f>
        <v>378</v>
      </c>
      <c r="AH386" s="90" t="str">
        <f ca="1">IFERROR(_xlfn.DAYS(Contrato[[#This Row],[Fecha Proyectada liquidación]],TODAY())/30,"")</f>
        <v/>
      </c>
      <c r="AI386" s="121" t="e">
        <f ca="1">+Contrato[[#This Row],[FECHA TERMINACIÓN ]]+120</f>
        <v>#NAME?</v>
      </c>
      <c r="AK386" s="91" t="e">
        <f ca="1">IF(Contrato[[#This Row],[FECHA TERMINACIÓN ]]&lt;TODAY(), "Terminado",IF(ISNUMBER(Contrato[[#This Row],[Fecha Real de liquiidación ]]),"Liquidado",IF(Contrato[[#This Row],[FECHA TERMINACIÓN ]]&gt;=TODAY(),"En ejecución","")))</f>
        <v>#NAME?</v>
      </c>
      <c r="AL386" s="513">
        <f ca="1">SUMIF(COMPROMISOS_2025[[#All],[consecutivo]],Contrato[[#This Row],[RCP]],COMPROMISOS_2025[[#All],[Total pagado]])</f>
        <v>0</v>
      </c>
      <c r="AM386" s="122">
        <f ca="1">IFERROR(Contrato[[#This Row],[Pagos]]/Contrato[[#This Row],[VALOR CONTRATO]],0)</f>
        <v>0</v>
      </c>
      <c r="AN386" s="514">
        <f ca="1">+Contrato[[#This Row],[VALOR CONTRATO]]-Contrato[[#This Row],[Pagos]]</f>
        <v>100000000</v>
      </c>
      <c r="AO386" s="89" t="e" cm="1">
        <f t="array" aca="1" ref="AO386" ca="1">_xlfn.XLOOKUP(Contrato[[#This Row],[DOCUMENTO ]],PERSONAL_ACTIVO_2025[[#All],[DOCUMENTO]],PERSONAL_ACTIVO_2025[[#All],[email]],0,0)</f>
        <v>#NAME?</v>
      </c>
      <c r="AP386" s="89" t="e" cm="1">
        <f t="array" aca="1" ref="AP386" ca="1">_xlfn.XLOOKUP(Contrato[[#This Row],[DOCUMENTO]],PERSONAL_ACTIVO_2025[[#All],[DOCUMENTO]],PERSONAL_ACTIVO_2025[[#All],[email]],0,0)</f>
        <v>#NAME?</v>
      </c>
      <c r="AQ386" s="89" cm="1">
        <f t="array" aca="1" ref="AQ386" ca="1">IF(ISBLANK(Contrato[[#This Row],[DEPENDENCIA ]]),0,IFERROR(_xlfn.XLOOKUP(Contrato[[#This Row],[DEPENDENCIA ]],#REF!,#REF!,0,0),0))</f>
        <v>0</v>
      </c>
      <c r="AR386" s="555" t="e">
        <f ca="1">+_xlfn.DAYS(Contrato[[#This Row],[FECHA TERMINACIÓN ]],TODAY())</f>
        <v>#NAME?</v>
      </c>
    </row>
    <row r="387" spans="1:44" ht="75" x14ac:dyDescent="0.25">
      <c r="A387" s="38">
        <v>164</v>
      </c>
      <c r="B387" s="226">
        <v>379</v>
      </c>
      <c r="C387" s="88" t="s">
        <v>1626</v>
      </c>
      <c r="D387" s="192" t="s">
        <v>911</v>
      </c>
      <c r="E387" s="193" t="s">
        <v>112</v>
      </c>
      <c r="F387" s="194" t="s">
        <v>361</v>
      </c>
      <c r="G387" s="195" t="s">
        <v>1627</v>
      </c>
      <c r="H387" s="167">
        <v>811021812</v>
      </c>
      <c r="I387" s="158" t="s">
        <v>41</v>
      </c>
      <c r="J387" s="292">
        <v>1000000000</v>
      </c>
      <c r="K387" s="158" t="s">
        <v>41</v>
      </c>
      <c r="L387" s="196" t="s">
        <v>1624</v>
      </c>
      <c r="M387" s="114" t="s">
        <v>1091</v>
      </c>
      <c r="N387" s="113" t="e" cm="1">
        <f t="array" aca="1" ref="N387" ca="1">_xlfn.XLOOKUP(Contrato[[#This Row],[SUPERVISOR TITULAR]],PERSONAL_ACTIVO_2025[[#All],[NOMBRES Y APELLIDOS]],PERSONAL_ACTIVO_2025[[#All],[DOCUMENTO]],"",0)</f>
        <v>#NAME?</v>
      </c>
      <c r="O387" s="114" t="s">
        <v>938</v>
      </c>
      <c r="P387" s="115" t="e" cm="1">
        <f t="array" aca="1" ref="P387" ca="1">_xlfn.XLOOKUP(Contrato[[#This Row],[SUPERVISOR SUPLENTE ]],PERSONAL_ACTIVO_2025[[#All],[NOMBRES Y APELLIDOS]],PERSONAL_ACTIVO_2025[[#All],[DOCUMENTO]],"",0)</f>
        <v>#NAME?</v>
      </c>
      <c r="Q387" s="116">
        <v>477</v>
      </c>
      <c r="R387" s="137" t="e" cm="1">
        <f t="array" aca="1" ref="R387" ca="1">_xlfn.XLOOKUP(Contrato[[#This Row],[CDP]],DISPONIBILIDADES_2025[[#All],[consecutivo]],DISPONIBILIDADES_2025[[#All],[fecha_aprobacion]],"",0)</f>
        <v>#NAME?</v>
      </c>
      <c r="S387" s="92">
        <f>SUMIF(DISPONIBILIDADES_2025[[#All],[consecutivo]],Contrato[[#This Row],[CDP]],DISPONIBILIDADES_2025[[#All],[valor_total_rubro]])</f>
        <v>0</v>
      </c>
      <c r="T387" s="118" t="e" cm="1">
        <f t="array" aca="1" ref="T387" ca="1">_xlfn.XLOOKUP(Contrato[[#This Row],[CONTRATO]]&amp;Contrato[[#This Row],[CDP]],Corr_Contr_CDP[[#All],[CONTRATO-CDP]],Corr_Contr_CDP[[#All],[CRP]],_xlfn.XLOOKUP(Contrato[[#This Row],[CDP]],COMPROMISOS_2025[[#All],[disponibilidad]],COMPROMISOS_2025[[#All],[consecutivo]],"",0),0)</f>
        <v>#NAME?</v>
      </c>
      <c r="U387" s="117" t="e" cm="1">
        <f t="array" aca="1" ref="U387" ca="1">+_xlfn.XLOOKUP(Contrato[[#This Row],[RCP]],COMPROMISOS_2025[[#All],[consecutivo]],COMPROMISOS_2025[[#All],[fecha_aprobacion]],"",0)</f>
        <v>#NAME?</v>
      </c>
      <c r="V387" s="93">
        <f ca="1">SUMIF(COMPROMISOS_2025[[#All],[consecutivo]],Contrato[[#This Row],[RCP]],COMPROMISOS_2025[[#All],[valor_total]])</f>
        <v>0</v>
      </c>
      <c r="W387" s="169">
        <v>45776</v>
      </c>
      <c r="X387" s="243">
        <v>45776</v>
      </c>
      <c r="Y387" s="96">
        <v>45777</v>
      </c>
      <c r="Z387" s="161">
        <v>46021</v>
      </c>
      <c r="AA387" s="311" t="s">
        <v>1628</v>
      </c>
      <c r="AB387" s="119" t="s">
        <v>1532</v>
      </c>
      <c r="AC387" s="112"/>
      <c r="AD387" s="543"/>
      <c r="AE387" s="38" t="s">
        <v>904</v>
      </c>
      <c r="AF387" s="120" t="str">
        <f>TEXT(LEFT(Contrato[[#This Row],[CONTRATO]],3),"0")</f>
        <v>379</v>
      </c>
      <c r="AG387" s="120" t="str">
        <f>IF(LEN(Contrato[[#This Row],[Contrato2]])=3,Contrato[[#This Row],[Contrato2]],TEXT(Contrato[[#This Row],[Contrato2]],"000"))</f>
        <v>379</v>
      </c>
      <c r="AH387" s="90">
        <f ca="1">IFERROR(_xlfn.DAYS(Contrato[[#This Row],[Fecha Proyectada liquidación]],TODAY())/30,"")</f>
        <v>11.933333333333334</v>
      </c>
      <c r="AI387" s="121">
        <f>+Contrato[[#This Row],[FECHA TERMINACIÓN ]]+120</f>
        <v>46141</v>
      </c>
      <c r="AK387" s="91" t="str">
        <f ca="1">IF(Contrato[[#This Row],[FECHA TERMINACIÓN ]]&lt;TODAY(), "Terminado",IF(ISNUMBER(Contrato[[#This Row],[Fecha Real de liquiidación ]]),"Liquidado",IF(Contrato[[#This Row],[FECHA TERMINACIÓN ]]&gt;=TODAY(),"En ejecución","")))</f>
        <v>En ejecución</v>
      </c>
      <c r="AL387" s="107">
        <f ca="1">SUMIF(COMPROMISOS_2025[[#All],[consecutivo]],Contrato[[#This Row],[RCP]],COMPROMISOS_2025[[#All],[Total pagado]])</f>
        <v>0</v>
      </c>
      <c r="AM387" s="122">
        <f ca="1">IFERROR(Contrato[[#This Row],[Pagos]]/Contrato[[#This Row],[VALOR CONTRATO]],0)</f>
        <v>0</v>
      </c>
      <c r="AN387" s="160">
        <f ca="1">+Contrato[[#This Row],[VALOR CONTRATO]]-Contrato[[#This Row],[Pagos]]</f>
        <v>1000000000</v>
      </c>
      <c r="AO387" s="111" t="e" cm="1">
        <f t="array" aca="1" ref="AO387" ca="1">_xlfn.XLOOKUP(Contrato[[#This Row],[DOCUMENTO ]],PERSONAL_ACTIVO_2025[[#All],[DOCUMENTO]],PERSONAL_ACTIVO_2025[[#All],[email]],0,0)</f>
        <v>#NAME?</v>
      </c>
      <c r="AP387" s="111" t="e" cm="1">
        <f t="array" aca="1" ref="AP387" ca="1">_xlfn.XLOOKUP(Contrato[[#This Row],[DOCUMENTO]],PERSONAL_ACTIVO_2025[[#All],[DOCUMENTO]],PERSONAL_ACTIVO_2025[[#All],[email]],0,0)</f>
        <v>#NAME?</v>
      </c>
      <c r="AQ387" s="111" cm="1">
        <f t="array" aca="1" ref="AQ387" ca="1">IF(ISBLANK(Contrato[[#This Row],[DEPENDENCIA ]]),0,IFERROR(_xlfn.XLOOKUP(Contrato[[#This Row],[DEPENDENCIA ]],#REF!,#REF!,0,0),0))</f>
        <v>0</v>
      </c>
      <c r="AR387" s="555">
        <f ca="1">+_xlfn.DAYS(Contrato[[#This Row],[FECHA TERMINACIÓN ]],TODAY())</f>
        <v>238</v>
      </c>
    </row>
    <row r="388" spans="1:44" ht="63" x14ac:dyDescent="0.25">
      <c r="A388" s="538">
        <v>616</v>
      </c>
      <c r="B388" s="500">
        <v>380</v>
      </c>
      <c r="C388" s="501" t="s">
        <v>1629</v>
      </c>
      <c r="D388" s="502" t="s">
        <v>930</v>
      </c>
      <c r="E388" s="498" t="s">
        <v>112</v>
      </c>
      <c r="F388" s="502" t="s">
        <v>241</v>
      </c>
      <c r="G388" s="503" t="s">
        <v>1630</v>
      </c>
      <c r="H388" s="167">
        <v>811006833</v>
      </c>
      <c r="I388" s="504"/>
      <c r="J388" s="504">
        <v>452344817</v>
      </c>
      <c r="K388" s="515" t="s">
        <v>1631</v>
      </c>
      <c r="L388" s="505" t="s">
        <v>1624</v>
      </c>
      <c r="M388" s="506"/>
      <c r="N388" s="507" t="e" cm="1">
        <f t="array" aca="1" ref="N388" ca="1">_xlfn.XLOOKUP(Contrato[[#This Row],[SUPERVISOR TITULAR]],PERSONAL_ACTIVO_2025[[#All],[NOMBRES Y APELLIDOS]],PERSONAL_ACTIVO_2025[[#All],[DOCUMENTO]],"",0)</f>
        <v>#NAME?</v>
      </c>
      <c r="O388" s="506"/>
      <c r="P388" s="508" t="e" cm="1">
        <f t="array" aca="1" ref="P388" ca="1">_xlfn.XLOOKUP(Contrato[[#This Row],[SUPERVISOR SUPLENTE ]],PERSONAL_ACTIVO_2025[[#All],[NOMBRES Y APELLIDOS]],PERSONAL_ACTIVO_2025[[#All],[DOCUMENTO]],"",0)</f>
        <v>#NAME?</v>
      </c>
      <c r="Q388" s="509">
        <v>475</v>
      </c>
      <c r="R388" s="137" t="e" cm="1">
        <f t="array" aca="1" ref="R388" ca="1">_xlfn.XLOOKUP(Contrato[[#This Row],[CDP]],DISPONIBILIDADES_2025[[#All],[consecutivo]],DISPONIBILIDADES_2025[[#All],[fecha_aprobacion]],"",0)</f>
        <v>#NAME?</v>
      </c>
      <c r="S388" s="92">
        <f>SUMIF(DISPONIBILIDADES_2025[[#All],[consecutivo]],Contrato[[#This Row],[CDP]],DISPONIBILIDADES_2025[[#All],[valor_total_rubro]])</f>
        <v>0</v>
      </c>
      <c r="T388" s="118" t="e" cm="1">
        <f t="array" aca="1" ref="T388" ca="1">_xlfn.XLOOKUP(Contrato[[#This Row],[CONTRATO]]&amp;Contrato[[#This Row],[CDP]],Corr_Contr_CDP[[#All],[CONTRATO-CDP]],Corr_Contr_CDP[[#All],[CRP]],_xlfn.XLOOKUP(Contrato[[#This Row],[CDP]],COMPROMISOS_2025[[#All],[disponibilidad]],COMPROMISOS_2025[[#All],[consecutivo]],"",0),0)</f>
        <v>#NAME?</v>
      </c>
      <c r="U388" s="117" t="e" cm="1">
        <f t="array" aca="1" ref="U388" ca="1">+_xlfn.XLOOKUP(Contrato[[#This Row],[RCP]],COMPROMISOS_2025[[#All],[consecutivo]],COMPROMISOS_2025[[#All],[fecha_aprobacion]],"",0)</f>
        <v>#NAME?</v>
      </c>
      <c r="V388" s="93">
        <f ca="1">SUMIF(COMPROMISOS_2025[[#All],[consecutivo]],Contrato[[#This Row],[RCP]],COMPROMISOS_2025[[#All],[valor_total]])</f>
        <v>0</v>
      </c>
      <c r="W388" s="510"/>
      <c r="X388" s="510"/>
      <c r="Y388" s="397" t="e">
        <f ca="1">+LEFT(_xlfn.XLOOKUP(Contrato[[#This Row],[CONTRATO3DIG]],SECOP_II!AE:AE,SECOP_II!F:F,"",0),10)</f>
        <v>#NAME?</v>
      </c>
      <c r="Z388" s="511" t="e">
        <f ca="1">+LEFT(_xlfn.XLOOKUP(Contrato[[#This Row],[CONTRATO3DIG]],SECOP_II!AE:AE,SECOP_II!G:G,"",0),10)</f>
        <v>#NAME?</v>
      </c>
      <c r="AA388" s="512"/>
      <c r="AB388" s="498" t="s">
        <v>1372</v>
      </c>
      <c r="AC388" s="498"/>
      <c r="AD388" s="546"/>
      <c r="AE388" s="499"/>
      <c r="AF388" s="89" t="str">
        <f>TEXT(LEFT(Contrato[[#This Row],[CONTRATO]],3),"0")</f>
        <v>380</v>
      </c>
      <c r="AG388" s="89" t="str">
        <f>IF(LEN(Contrato[[#This Row],[Contrato2]])=3,Contrato[[#This Row],[Contrato2]],TEXT(Contrato[[#This Row],[Contrato2]],"000"))</f>
        <v>380</v>
      </c>
      <c r="AH388" s="90" t="str">
        <f ca="1">IFERROR(_xlfn.DAYS(Contrato[[#This Row],[Fecha Proyectada liquidación]],TODAY())/30,"")</f>
        <v/>
      </c>
      <c r="AI388" s="121" t="e">
        <f ca="1">+Contrato[[#This Row],[FECHA TERMINACIÓN ]]+120</f>
        <v>#NAME?</v>
      </c>
      <c r="AK388" s="91" t="e">
        <f ca="1">IF(Contrato[[#This Row],[FECHA TERMINACIÓN ]]&lt;TODAY(), "Terminado",IF(ISNUMBER(Contrato[[#This Row],[Fecha Real de liquiidación ]]),"Liquidado",IF(Contrato[[#This Row],[FECHA TERMINACIÓN ]]&gt;=TODAY(),"En ejecución","")))</f>
        <v>#NAME?</v>
      </c>
      <c r="AL388" s="513">
        <f ca="1">SUMIF(COMPROMISOS_2025[[#All],[consecutivo]],Contrato[[#This Row],[RCP]],COMPROMISOS_2025[[#All],[Total pagado]])</f>
        <v>0</v>
      </c>
      <c r="AM388" s="122">
        <f ca="1">IFERROR(Contrato[[#This Row],[Pagos]]/Contrato[[#This Row],[VALOR CONTRATO]],0)</f>
        <v>0</v>
      </c>
      <c r="AN388" s="514">
        <f ca="1">+Contrato[[#This Row],[VALOR CONTRATO]]-Contrato[[#This Row],[Pagos]]</f>
        <v>452344817</v>
      </c>
      <c r="AO388" s="89" t="e" cm="1">
        <f t="array" aca="1" ref="AO388" ca="1">_xlfn.XLOOKUP(Contrato[[#This Row],[DOCUMENTO ]],PERSONAL_ACTIVO_2025[[#All],[DOCUMENTO]],PERSONAL_ACTIVO_2025[[#All],[email]],0,0)</f>
        <v>#NAME?</v>
      </c>
      <c r="AP388" s="89" t="e" cm="1">
        <f t="array" aca="1" ref="AP388" ca="1">_xlfn.XLOOKUP(Contrato[[#This Row],[DOCUMENTO]],PERSONAL_ACTIVO_2025[[#All],[DOCUMENTO]],PERSONAL_ACTIVO_2025[[#All],[email]],0,0)</f>
        <v>#NAME?</v>
      </c>
      <c r="AQ388" s="89" cm="1">
        <f t="array" aca="1" ref="AQ388" ca="1">IF(ISBLANK(Contrato[[#This Row],[DEPENDENCIA ]]),0,IFERROR(_xlfn.XLOOKUP(Contrato[[#This Row],[DEPENDENCIA ]],#REF!,#REF!,0,0),0))</f>
        <v>0</v>
      </c>
      <c r="AR388" s="555" t="e">
        <f ca="1">+_xlfn.DAYS(Contrato[[#This Row],[FECHA TERMINACIÓN ]],TODAY())</f>
        <v>#NAME?</v>
      </c>
    </row>
    <row r="389" spans="1:44" ht="63" x14ac:dyDescent="0.25">
      <c r="A389" s="499">
        <v>613</v>
      </c>
      <c r="B389" s="500">
        <v>381</v>
      </c>
      <c r="C389" s="501" t="s">
        <v>1632</v>
      </c>
      <c r="D389" s="502" t="s">
        <v>930</v>
      </c>
      <c r="E389" s="498" t="s">
        <v>112</v>
      </c>
      <c r="F389" s="502" t="s">
        <v>241</v>
      </c>
      <c r="G389" s="503" t="s">
        <v>1633</v>
      </c>
      <c r="H389" s="167">
        <v>800169283</v>
      </c>
      <c r="I389" s="504"/>
      <c r="J389" s="504">
        <v>458636594</v>
      </c>
      <c r="K389" s="515" t="s">
        <v>1634</v>
      </c>
      <c r="L389" s="505" t="s">
        <v>1624</v>
      </c>
      <c r="M389" s="506"/>
      <c r="N389" s="507" t="e" cm="1">
        <f t="array" aca="1" ref="N389" ca="1">_xlfn.XLOOKUP(Contrato[[#This Row],[SUPERVISOR TITULAR]],PERSONAL_ACTIVO_2025[[#All],[NOMBRES Y APELLIDOS]],PERSONAL_ACTIVO_2025[[#All],[DOCUMENTO]],"",0)</f>
        <v>#NAME?</v>
      </c>
      <c r="O389" s="506"/>
      <c r="P389" s="508" t="e" cm="1">
        <f t="array" aca="1" ref="P389" ca="1">_xlfn.XLOOKUP(Contrato[[#This Row],[SUPERVISOR SUPLENTE ]],PERSONAL_ACTIVO_2025[[#All],[NOMBRES Y APELLIDOS]],PERSONAL_ACTIVO_2025[[#All],[DOCUMENTO]],"",0)</f>
        <v>#NAME?</v>
      </c>
      <c r="Q389" s="509">
        <v>473</v>
      </c>
      <c r="R389" s="137" t="e" cm="1">
        <f t="array" aca="1" ref="R389" ca="1">_xlfn.XLOOKUP(Contrato[[#This Row],[CDP]],DISPONIBILIDADES_2025[[#All],[consecutivo]],DISPONIBILIDADES_2025[[#All],[fecha_aprobacion]],"",0)</f>
        <v>#NAME?</v>
      </c>
      <c r="S389" s="92">
        <f>SUMIF(DISPONIBILIDADES_2025[[#All],[consecutivo]],Contrato[[#This Row],[CDP]],DISPONIBILIDADES_2025[[#All],[valor_total_rubro]])</f>
        <v>0</v>
      </c>
      <c r="T389" s="118" t="e" cm="1">
        <f t="array" aca="1" ref="T389" ca="1">_xlfn.XLOOKUP(Contrato[[#This Row],[CONTRATO]]&amp;Contrato[[#This Row],[CDP]],Corr_Contr_CDP[[#All],[CONTRATO-CDP]],Corr_Contr_CDP[[#All],[CRP]],_xlfn.XLOOKUP(Contrato[[#This Row],[CDP]],COMPROMISOS_2025[[#All],[disponibilidad]],COMPROMISOS_2025[[#All],[consecutivo]],"",0),0)</f>
        <v>#NAME?</v>
      </c>
      <c r="U389" s="117" t="e" cm="1">
        <f t="array" aca="1" ref="U389" ca="1">+_xlfn.XLOOKUP(Contrato[[#This Row],[RCP]],COMPROMISOS_2025[[#All],[consecutivo]],COMPROMISOS_2025[[#All],[fecha_aprobacion]],"",0)</f>
        <v>#NAME?</v>
      </c>
      <c r="V389" s="93">
        <f ca="1">SUMIF(COMPROMISOS_2025[[#All],[consecutivo]],Contrato[[#This Row],[RCP]],COMPROMISOS_2025[[#All],[valor_total]])</f>
        <v>0</v>
      </c>
      <c r="W389" s="510"/>
      <c r="X389" s="510"/>
      <c r="Y389" s="397" t="e">
        <f ca="1">+LEFT(_xlfn.XLOOKUP(Contrato[[#This Row],[CONTRATO3DIG]],SECOP_II!AE:AE,SECOP_II!F:F,"",0),10)</f>
        <v>#NAME?</v>
      </c>
      <c r="Z389" s="511" t="e">
        <f ca="1">+LEFT(_xlfn.XLOOKUP(Contrato[[#This Row],[CONTRATO3DIG]],SECOP_II!AE:AE,SECOP_II!G:G,"",0),10)</f>
        <v>#NAME?</v>
      </c>
      <c r="AA389" s="512"/>
      <c r="AB389" s="498" t="s">
        <v>1372</v>
      </c>
      <c r="AC389" s="498"/>
      <c r="AD389" s="546"/>
      <c r="AE389" s="499"/>
      <c r="AF389" s="89" t="str">
        <f>TEXT(LEFT(Contrato[[#This Row],[CONTRATO]],3),"0")</f>
        <v>381</v>
      </c>
      <c r="AG389" s="89" t="str">
        <f>IF(LEN(Contrato[[#This Row],[Contrato2]])=3,Contrato[[#This Row],[Contrato2]],TEXT(Contrato[[#This Row],[Contrato2]],"000"))</f>
        <v>381</v>
      </c>
      <c r="AH389" s="90" t="str">
        <f ca="1">IFERROR(_xlfn.DAYS(Contrato[[#This Row],[Fecha Proyectada liquidación]],TODAY())/30,"")</f>
        <v/>
      </c>
      <c r="AI389" s="121" t="e">
        <f ca="1">+Contrato[[#This Row],[FECHA TERMINACIÓN ]]+120</f>
        <v>#NAME?</v>
      </c>
      <c r="AK389" s="91" t="e">
        <f ca="1">IF(Contrato[[#This Row],[FECHA TERMINACIÓN ]]&lt;TODAY(), "Terminado",IF(ISNUMBER(Contrato[[#This Row],[Fecha Real de liquiidación ]]),"Liquidado",IF(Contrato[[#This Row],[FECHA TERMINACIÓN ]]&gt;=TODAY(),"En ejecución","")))</f>
        <v>#NAME?</v>
      </c>
      <c r="AL389" s="513">
        <f ca="1">SUMIF(COMPROMISOS_2025[[#All],[consecutivo]],Contrato[[#This Row],[RCP]],COMPROMISOS_2025[[#All],[Total pagado]])</f>
        <v>0</v>
      </c>
      <c r="AM389" s="122">
        <f ca="1">IFERROR(Contrato[[#This Row],[Pagos]]/Contrato[[#This Row],[VALOR CONTRATO]],0)</f>
        <v>0</v>
      </c>
      <c r="AN389" s="514">
        <f ca="1">+Contrato[[#This Row],[VALOR CONTRATO]]-Contrato[[#This Row],[Pagos]]</f>
        <v>458636594</v>
      </c>
      <c r="AO389" s="89" t="e" cm="1">
        <f t="array" aca="1" ref="AO389" ca="1">_xlfn.XLOOKUP(Contrato[[#This Row],[DOCUMENTO ]],PERSONAL_ACTIVO_2025[[#All],[DOCUMENTO]],PERSONAL_ACTIVO_2025[[#All],[email]],0,0)</f>
        <v>#NAME?</v>
      </c>
      <c r="AP389" s="89" t="e" cm="1">
        <f t="array" aca="1" ref="AP389" ca="1">_xlfn.XLOOKUP(Contrato[[#This Row],[DOCUMENTO]],PERSONAL_ACTIVO_2025[[#All],[DOCUMENTO]],PERSONAL_ACTIVO_2025[[#All],[email]],0,0)</f>
        <v>#NAME?</v>
      </c>
      <c r="AQ389" s="89" cm="1">
        <f t="array" aca="1" ref="AQ389" ca="1">IF(ISBLANK(Contrato[[#This Row],[DEPENDENCIA ]]),0,IFERROR(_xlfn.XLOOKUP(Contrato[[#This Row],[DEPENDENCIA ]],#REF!,#REF!,0,0),0))</f>
        <v>0</v>
      </c>
      <c r="AR389" s="555" t="e">
        <f ca="1">+_xlfn.DAYS(Contrato[[#This Row],[FECHA TERMINACIÓN ]],TODAY())</f>
        <v>#NAME?</v>
      </c>
    </row>
    <row r="390" spans="1:44" ht="63" x14ac:dyDescent="0.25">
      <c r="A390" s="499">
        <v>614</v>
      </c>
      <c r="B390" s="500">
        <v>382</v>
      </c>
      <c r="C390" s="501" t="s">
        <v>1635</v>
      </c>
      <c r="D390" s="502" t="s">
        <v>930</v>
      </c>
      <c r="E390" s="498" t="s">
        <v>112</v>
      </c>
      <c r="F390" s="502" t="s">
        <v>241</v>
      </c>
      <c r="G390" s="503" t="s">
        <v>1636</v>
      </c>
      <c r="H390" s="167">
        <v>890980330</v>
      </c>
      <c r="I390" s="504"/>
      <c r="J390" s="504">
        <v>434524570</v>
      </c>
      <c r="K390" s="515" t="s">
        <v>1637</v>
      </c>
      <c r="L390" s="505" t="s">
        <v>1624</v>
      </c>
      <c r="M390" s="506"/>
      <c r="N390" s="507" t="e" cm="1">
        <f t="array" aca="1" ref="N390" ca="1">_xlfn.XLOOKUP(Contrato[[#This Row],[SUPERVISOR TITULAR]],PERSONAL_ACTIVO_2025[[#All],[NOMBRES Y APELLIDOS]],PERSONAL_ACTIVO_2025[[#All],[DOCUMENTO]],"",0)</f>
        <v>#NAME?</v>
      </c>
      <c r="O390" s="506"/>
      <c r="P390" s="508" t="e" cm="1">
        <f t="array" aca="1" ref="P390" ca="1">_xlfn.XLOOKUP(Contrato[[#This Row],[SUPERVISOR SUPLENTE ]],PERSONAL_ACTIVO_2025[[#All],[NOMBRES Y APELLIDOS]],PERSONAL_ACTIVO_2025[[#All],[DOCUMENTO]],"",0)</f>
        <v>#NAME?</v>
      </c>
      <c r="Q390" s="509">
        <v>459</v>
      </c>
      <c r="R390" s="137" t="e" cm="1">
        <f t="array" aca="1" ref="R390" ca="1">_xlfn.XLOOKUP(Contrato[[#This Row],[CDP]],DISPONIBILIDADES_2025[[#All],[consecutivo]],DISPONIBILIDADES_2025[[#All],[fecha_aprobacion]],"",0)</f>
        <v>#NAME?</v>
      </c>
      <c r="S390" s="92">
        <f>SUMIF(DISPONIBILIDADES_2025[[#All],[consecutivo]],Contrato[[#This Row],[CDP]],DISPONIBILIDADES_2025[[#All],[valor_total_rubro]])</f>
        <v>0</v>
      </c>
      <c r="T390" s="118" t="e" cm="1">
        <f t="array" aca="1" ref="T390" ca="1">_xlfn.XLOOKUP(Contrato[[#This Row],[CONTRATO]]&amp;Contrato[[#This Row],[CDP]],Corr_Contr_CDP[[#All],[CONTRATO-CDP]],Corr_Contr_CDP[[#All],[CRP]],_xlfn.XLOOKUP(Contrato[[#This Row],[CDP]],COMPROMISOS_2025[[#All],[disponibilidad]],COMPROMISOS_2025[[#All],[consecutivo]],"",0),0)</f>
        <v>#NAME?</v>
      </c>
      <c r="U390" s="117" t="e" cm="1">
        <f t="array" aca="1" ref="U390" ca="1">+_xlfn.XLOOKUP(Contrato[[#This Row],[RCP]],COMPROMISOS_2025[[#All],[consecutivo]],COMPROMISOS_2025[[#All],[fecha_aprobacion]],"",0)</f>
        <v>#NAME?</v>
      </c>
      <c r="V390" s="93">
        <f ca="1">SUMIF(COMPROMISOS_2025[[#All],[consecutivo]],Contrato[[#This Row],[RCP]],COMPROMISOS_2025[[#All],[valor_total]])</f>
        <v>0</v>
      </c>
      <c r="W390" s="510"/>
      <c r="X390" s="510"/>
      <c r="Y390" s="397" t="e">
        <f ca="1">+LEFT(_xlfn.XLOOKUP(Contrato[[#This Row],[CONTRATO3DIG]],SECOP_II!AE:AE,SECOP_II!F:F,"",0),10)</f>
        <v>#NAME?</v>
      </c>
      <c r="Z390" s="511" t="e">
        <f ca="1">+LEFT(_xlfn.XLOOKUP(Contrato[[#This Row],[CONTRATO3DIG]],SECOP_II!AE:AE,SECOP_II!G:G,"",0),10)</f>
        <v>#NAME?</v>
      </c>
      <c r="AA390" s="512"/>
      <c r="AB390" s="498" t="s">
        <v>1372</v>
      </c>
      <c r="AC390" s="498"/>
      <c r="AD390" s="546"/>
      <c r="AE390" s="499"/>
      <c r="AF390" s="89" t="str">
        <f>TEXT(LEFT(Contrato[[#This Row],[CONTRATO]],3),"0")</f>
        <v>382</v>
      </c>
      <c r="AG390" s="89" t="str">
        <f>IF(LEN(Contrato[[#This Row],[Contrato2]])=3,Contrato[[#This Row],[Contrato2]],TEXT(Contrato[[#This Row],[Contrato2]],"000"))</f>
        <v>382</v>
      </c>
      <c r="AH390" s="90" t="str">
        <f ca="1">IFERROR(_xlfn.DAYS(Contrato[[#This Row],[Fecha Proyectada liquidación]],TODAY())/30,"")</f>
        <v/>
      </c>
      <c r="AI390" s="121" t="e">
        <f ca="1">+Contrato[[#This Row],[FECHA TERMINACIÓN ]]+120</f>
        <v>#NAME?</v>
      </c>
      <c r="AK390" s="91" t="e">
        <f ca="1">IF(Contrato[[#This Row],[FECHA TERMINACIÓN ]]&lt;TODAY(), "Terminado",IF(ISNUMBER(Contrato[[#This Row],[Fecha Real de liquiidación ]]),"Liquidado",IF(Contrato[[#This Row],[FECHA TERMINACIÓN ]]&gt;=TODAY(),"En ejecución","")))</f>
        <v>#NAME?</v>
      </c>
      <c r="AL390" s="513">
        <f ca="1">SUMIF(COMPROMISOS_2025[[#All],[consecutivo]],Contrato[[#This Row],[RCP]],COMPROMISOS_2025[[#All],[Total pagado]])</f>
        <v>0</v>
      </c>
      <c r="AM390" s="122">
        <f ca="1">IFERROR(Contrato[[#This Row],[Pagos]]/Contrato[[#This Row],[VALOR CONTRATO]],0)</f>
        <v>0</v>
      </c>
      <c r="AN390" s="514">
        <f ca="1">+Contrato[[#This Row],[VALOR CONTRATO]]-Contrato[[#This Row],[Pagos]]</f>
        <v>434524570</v>
      </c>
      <c r="AO390" s="89" t="e" cm="1">
        <f t="array" aca="1" ref="AO390" ca="1">_xlfn.XLOOKUP(Contrato[[#This Row],[DOCUMENTO ]],PERSONAL_ACTIVO_2025[[#All],[DOCUMENTO]],PERSONAL_ACTIVO_2025[[#All],[email]],0,0)</f>
        <v>#NAME?</v>
      </c>
      <c r="AP390" s="89" t="e" cm="1">
        <f t="array" aca="1" ref="AP390" ca="1">_xlfn.XLOOKUP(Contrato[[#This Row],[DOCUMENTO]],PERSONAL_ACTIVO_2025[[#All],[DOCUMENTO]],PERSONAL_ACTIVO_2025[[#All],[email]],0,0)</f>
        <v>#NAME?</v>
      </c>
      <c r="AQ390" s="89" cm="1">
        <f t="array" aca="1" ref="AQ390" ca="1">IF(ISBLANK(Contrato[[#This Row],[DEPENDENCIA ]]),0,IFERROR(_xlfn.XLOOKUP(Contrato[[#This Row],[DEPENDENCIA ]],#REF!,#REF!,0,0),0))</f>
        <v>0</v>
      </c>
      <c r="AR390" s="555" t="e">
        <f ca="1">+_xlfn.DAYS(Contrato[[#This Row],[FECHA TERMINACIÓN ]],TODAY())</f>
        <v>#NAME?</v>
      </c>
    </row>
    <row r="391" spans="1:44" ht="63" x14ac:dyDescent="0.25">
      <c r="A391" s="557">
        <v>581</v>
      </c>
      <c r="B391" s="558">
        <v>383</v>
      </c>
      <c r="C391" s="501" t="s">
        <v>1638</v>
      </c>
      <c r="D391" s="502" t="s">
        <v>930</v>
      </c>
      <c r="E391" s="498" t="s">
        <v>112</v>
      </c>
      <c r="F391" s="502" t="s">
        <v>1639</v>
      </c>
      <c r="G391" s="503" t="s">
        <v>1640</v>
      </c>
      <c r="H391" s="167">
        <v>1036930647</v>
      </c>
      <c r="I391" s="504">
        <v>3419000</v>
      </c>
      <c r="J391" s="504">
        <v>36352000</v>
      </c>
      <c r="K391" s="556" t="s">
        <v>1487</v>
      </c>
      <c r="L391" s="505" t="s">
        <v>1624</v>
      </c>
      <c r="M391" s="559" t="s">
        <v>1120</v>
      </c>
      <c r="N391" s="507" t="e" cm="1">
        <f t="array" aca="1" ref="N391" ca="1">_xlfn.XLOOKUP(Contrato[[#This Row],[SUPERVISOR TITULAR]],PERSONAL_ACTIVO_2025[[#All],[NOMBRES Y APELLIDOS]],PERSONAL_ACTIVO_2025[[#All],[DOCUMENTO]],"",0)</f>
        <v>#NAME?</v>
      </c>
      <c r="O391" s="559" t="s">
        <v>1117</v>
      </c>
      <c r="P391" s="552" t="e" cm="1">
        <f t="array" aca="1" ref="P391" ca="1">_xlfn.XLOOKUP(Contrato[[#This Row],[SUPERVISOR SUPLENTE ]],PERSONAL_ACTIVO_2025[[#All],[NOMBRES Y APELLIDOS]],PERSONAL_ACTIVO_2025[[#All],[DOCUMENTO]],"",0)</f>
        <v>#NAME?</v>
      </c>
      <c r="Q391" s="509">
        <v>430</v>
      </c>
      <c r="R391" s="137" t="e" cm="1">
        <f t="array" aca="1" ref="R391" ca="1">_xlfn.XLOOKUP(Contrato[[#This Row],[CDP]],DISPONIBILIDADES_2025[[#All],[consecutivo]],DISPONIBILIDADES_2025[[#All],[fecha_aprobacion]],"",0)</f>
        <v>#NAME?</v>
      </c>
      <c r="S391" s="92">
        <f>SUMIF(DISPONIBILIDADES_2025[[#All],[consecutivo]],Contrato[[#This Row],[CDP]],DISPONIBILIDADES_2025[[#All],[valor_total_rubro]])</f>
        <v>39771000</v>
      </c>
      <c r="T391" s="118" t="e" cm="1">
        <f t="array" aca="1" ref="T391" ca="1">_xlfn.XLOOKUP(Contrato[[#This Row],[CONTRATO]]&amp;Contrato[[#This Row],[CDP]],Corr_Contr_CDP[[#All],[CONTRATO-CDP]],Corr_Contr_CDP[[#All],[CRP]],_xlfn.XLOOKUP(Contrato[[#This Row],[CDP]],COMPROMISOS_2025[[#All],[disponibilidad]],COMPROMISOS_2025[[#All],[consecutivo]],"",0),0)</f>
        <v>#NAME?</v>
      </c>
      <c r="U391" s="117" t="e" cm="1">
        <f t="array" aca="1" ref="U391" ca="1">+_xlfn.XLOOKUP(Contrato[[#This Row],[RCP]],COMPROMISOS_2025[[#All],[consecutivo]],COMPROMISOS_2025[[#All],[fecha_aprobacion]],"",0)</f>
        <v>#NAME?</v>
      </c>
      <c r="V391" s="93">
        <f ca="1">SUMIF(COMPROMISOS_2025[[#All],[consecutivo]],Contrato[[#This Row],[RCP]],COMPROMISOS_2025[[#All],[valor_total]])</f>
        <v>0</v>
      </c>
      <c r="W391" s="169">
        <v>45777</v>
      </c>
      <c r="X391" s="510"/>
      <c r="Y391" s="397" t="e">
        <f ca="1">+LEFT(_xlfn.XLOOKUP(Contrato[[#This Row],[CONTRATO3DIG]],SECOP_II!AE:AE,SECOP_II!F:F,"",0),10)</f>
        <v>#NAME?</v>
      </c>
      <c r="Z391" s="511" t="e">
        <f ca="1">+LEFT(_xlfn.XLOOKUP(Contrato[[#This Row],[CONTRATO3DIG]],SECOP_II!AE:AE,SECOP_II!G:G,"",0),10)</f>
        <v>#NAME?</v>
      </c>
      <c r="AA391" s="512"/>
      <c r="AB391" s="498" t="s">
        <v>936</v>
      </c>
      <c r="AC391" s="498"/>
      <c r="AD391" s="546"/>
      <c r="AE391" s="499"/>
      <c r="AF391" s="89" t="str">
        <f>TEXT(LEFT(Contrato[[#This Row],[CONTRATO]],3),"0")</f>
        <v>383</v>
      </c>
      <c r="AG391" s="89" t="str">
        <f>IF(LEN(Contrato[[#This Row],[Contrato2]])=3,Contrato[[#This Row],[Contrato2]],TEXT(Contrato[[#This Row],[Contrato2]],"000"))</f>
        <v>383</v>
      </c>
      <c r="AH391" s="90" t="str">
        <f ca="1">IFERROR(_xlfn.DAYS(Contrato[[#This Row],[Fecha Proyectada liquidación]],TODAY())/30,"")</f>
        <v/>
      </c>
      <c r="AI391" s="121" t="e">
        <f ca="1">+Contrato[[#This Row],[FECHA TERMINACIÓN ]]+120</f>
        <v>#NAME?</v>
      </c>
      <c r="AK391" s="91" t="e">
        <f ca="1">IF(Contrato[[#This Row],[FECHA TERMINACIÓN ]]&lt;TODAY(), "Terminado",IF(ISNUMBER(Contrato[[#This Row],[Fecha Real de liquiidación ]]),"Liquidado",IF(Contrato[[#This Row],[FECHA TERMINACIÓN ]]&gt;=TODAY(),"En ejecución","")))</f>
        <v>#NAME?</v>
      </c>
      <c r="AL391" s="513">
        <f ca="1">SUMIF(COMPROMISOS_2025[[#All],[consecutivo]],Contrato[[#This Row],[RCP]],COMPROMISOS_2025[[#All],[Total pagado]])</f>
        <v>0</v>
      </c>
      <c r="AM391" s="122">
        <f ca="1">IFERROR(Contrato[[#This Row],[Pagos]]/Contrato[[#This Row],[VALOR CONTRATO]],0)</f>
        <v>0</v>
      </c>
      <c r="AN391" s="514">
        <f ca="1">+Contrato[[#This Row],[VALOR CONTRATO]]-Contrato[[#This Row],[Pagos]]</f>
        <v>36352000</v>
      </c>
      <c r="AO391" s="89" t="e" cm="1">
        <f t="array" aca="1" ref="AO391" ca="1">_xlfn.XLOOKUP(Contrato[[#This Row],[DOCUMENTO ]],PERSONAL_ACTIVO_2025[[#All],[DOCUMENTO]],PERSONAL_ACTIVO_2025[[#All],[email]],0,0)</f>
        <v>#NAME?</v>
      </c>
      <c r="AP391" s="89" t="e" cm="1">
        <f t="array" aca="1" ref="AP391" ca="1">_xlfn.XLOOKUP(Contrato[[#This Row],[DOCUMENTO]],PERSONAL_ACTIVO_2025[[#All],[DOCUMENTO]],PERSONAL_ACTIVO_2025[[#All],[email]],0,0)</f>
        <v>#NAME?</v>
      </c>
      <c r="AQ391" s="89" cm="1">
        <f t="array" aca="1" ref="AQ391" ca="1">IF(ISBLANK(Contrato[[#This Row],[DEPENDENCIA ]]),0,IFERROR(_xlfn.XLOOKUP(Contrato[[#This Row],[DEPENDENCIA ]],#REF!,#REF!,0,0),0))</f>
        <v>0</v>
      </c>
      <c r="AR391" s="555" t="e">
        <f ca="1">+_xlfn.DAYS(Contrato[[#This Row],[FECHA TERMINACIÓN ]],TODAY())</f>
        <v>#NAME?</v>
      </c>
    </row>
    <row r="392" spans="1:44" ht="63" x14ac:dyDescent="0.25">
      <c r="A392" s="499">
        <v>580</v>
      </c>
      <c r="B392" s="500">
        <v>384</v>
      </c>
      <c r="C392" s="501" t="s">
        <v>340</v>
      </c>
      <c r="D392" s="502" t="s">
        <v>930</v>
      </c>
      <c r="E392" s="498" t="s">
        <v>112</v>
      </c>
      <c r="F392" s="502" t="s">
        <v>1639</v>
      </c>
      <c r="G392" s="503" t="s">
        <v>1641</v>
      </c>
      <c r="H392" s="167">
        <v>1036961837</v>
      </c>
      <c r="I392" s="504">
        <v>3419000</v>
      </c>
      <c r="J392" s="504">
        <v>39771000</v>
      </c>
      <c r="K392" s="515" t="s">
        <v>1487</v>
      </c>
      <c r="L392" s="505" t="s">
        <v>1624</v>
      </c>
      <c r="M392" s="114" t="s">
        <v>1116</v>
      </c>
      <c r="N392" s="507" t="e" cm="1">
        <f t="array" aca="1" ref="N392" ca="1">_xlfn.XLOOKUP(Contrato[[#This Row],[SUPERVISOR TITULAR]],PERSONAL_ACTIVO_2025[[#All],[NOMBRES Y APELLIDOS]],PERSONAL_ACTIVO_2025[[#All],[DOCUMENTO]],"",0)</f>
        <v>#NAME?</v>
      </c>
      <c r="O392" s="114" t="s">
        <v>1072</v>
      </c>
      <c r="P392" s="115" t="e" cm="1">
        <f t="array" aca="1" ref="P392" ca="1">_xlfn.XLOOKUP(Contrato[[#This Row],[SUPERVISOR SUPLENTE ]],PERSONAL_ACTIVO_2025[[#All],[NOMBRES Y APELLIDOS]],PERSONAL_ACTIVO_2025[[#All],[DOCUMENTO]],"",0)</f>
        <v>#NAME?</v>
      </c>
      <c r="Q392" s="509">
        <v>429</v>
      </c>
      <c r="R392" s="137" t="e" cm="1">
        <f t="array" aca="1" ref="R392" ca="1">_xlfn.XLOOKUP(Contrato[[#This Row],[CDP]],DISPONIBILIDADES_2025[[#All],[consecutivo]],DISPONIBILIDADES_2025[[#All],[fecha_aprobacion]],"",0)</f>
        <v>#NAME?</v>
      </c>
      <c r="S392" s="92">
        <f>SUMIF(DISPONIBILIDADES_2025[[#All],[consecutivo]],Contrato[[#This Row],[CDP]],DISPONIBILIDADES_2025[[#All],[valor_total_rubro]])</f>
        <v>39771000</v>
      </c>
      <c r="T392" s="118" t="e" cm="1">
        <f t="array" aca="1" ref="T392" ca="1">_xlfn.XLOOKUP(Contrato[[#This Row],[CONTRATO]]&amp;Contrato[[#This Row],[CDP]],Corr_Contr_CDP[[#All],[CONTRATO-CDP]],Corr_Contr_CDP[[#All],[CRP]],_xlfn.XLOOKUP(Contrato[[#This Row],[CDP]],COMPROMISOS_2025[[#All],[disponibilidad]],COMPROMISOS_2025[[#All],[consecutivo]],"",0),0)</f>
        <v>#NAME?</v>
      </c>
      <c r="U392" s="117" t="e" cm="1">
        <f t="array" aca="1" ref="U392" ca="1">+_xlfn.XLOOKUP(Contrato[[#This Row],[RCP]],COMPROMISOS_2025[[#All],[consecutivo]],COMPROMISOS_2025[[#All],[fecha_aprobacion]],"",0)</f>
        <v>#NAME?</v>
      </c>
      <c r="V392" s="93">
        <f ca="1">SUMIF(COMPROMISOS_2025[[#All],[consecutivo]],Contrato[[#This Row],[RCP]],COMPROMISOS_2025[[#All],[valor_total]])</f>
        <v>0</v>
      </c>
      <c r="W392" s="169">
        <v>45777</v>
      </c>
      <c r="X392" s="510"/>
      <c r="Y392" s="397" t="e">
        <f ca="1">+LEFT(_xlfn.XLOOKUP(Contrato[[#This Row],[CONTRATO3DIG]],SECOP_II!AE:AE,SECOP_II!F:F,"",0),10)</f>
        <v>#NAME?</v>
      </c>
      <c r="Z392" s="511" t="e">
        <f ca="1">+LEFT(_xlfn.XLOOKUP(Contrato[[#This Row],[CONTRATO3DIG]],SECOP_II!AE:AE,SECOP_II!G:G,"",0),10)</f>
        <v>#NAME?</v>
      </c>
      <c r="AA392" s="512"/>
      <c r="AB392" s="498" t="s">
        <v>1532</v>
      </c>
      <c r="AC392" s="498"/>
      <c r="AD392" s="546"/>
      <c r="AE392" s="499"/>
      <c r="AF392" s="89" t="str">
        <f>TEXT(LEFT(Contrato[[#This Row],[CONTRATO]],3),"0")</f>
        <v>384</v>
      </c>
      <c r="AG392" s="89" t="str">
        <f>IF(LEN(Contrato[[#This Row],[Contrato2]])=3,Contrato[[#This Row],[Contrato2]],TEXT(Contrato[[#This Row],[Contrato2]],"000"))</f>
        <v>384</v>
      </c>
      <c r="AH392" s="90" t="str">
        <f ca="1">IFERROR(_xlfn.DAYS(Contrato[[#This Row],[Fecha Proyectada liquidación]],TODAY())/30,"")</f>
        <v/>
      </c>
      <c r="AI392" s="121" t="e">
        <f ca="1">+Contrato[[#This Row],[FECHA TERMINACIÓN ]]+120</f>
        <v>#NAME?</v>
      </c>
      <c r="AK392" s="91" t="e">
        <f ca="1">IF(Contrato[[#This Row],[FECHA TERMINACIÓN ]]&lt;TODAY(), "Terminado",IF(ISNUMBER(Contrato[[#This Row],[Fecha Real de liquiidación ]]),"Liquidado",IF(Contrato[[#This Row],[FECHA TERMINACIÓN ]]&gt;=TODAY(),"En ejecución","")))</f>
        <v>#NAME?</v>
      </c>
      <c r="AL392" s="513">
        <f ca="1">SUMIF(COMPROMISOS_2025[[#All],[consecutivo]],Contrato[[#This Row],[RCP]],COMPROMISOS_2025[[#All],[Total pagado]])</f>
        <v>0</v>
      </c>
      <c r="AM392" s="122">
        <f ca="1">IFERROR(Contrato[[#This Row],[Pagos]]/Contrato[[#This Row],[VALOR CONTRATO]],0)</f>
        <v>0</v>
      </c>
      <c r="AN392" s="514">
        <f ca="1">+Contrato[[#This Row],[VALOR CONTRATO]]-Contrato[[#This Row],[Pagos]]</f>
        <v>39771000</v>
      </c>
      <c r="AO392" s="89" t="e" cm="1">
        <f t="array" aca="1" ref="AO392" ca="1">_xlfn.XLOOKUP(Contrato[[#This Row],[DOCUMENTO ]],PERSONAL_ACTIVO_2025[[#All],[DOCUMENTO]],PERSONAL_ACTIVO_2025[[#All],[email]],0,0)</f>
        <v>#NAME?</v>
      </c>
      <c r="AP392" s="89" t="e" cm="1">
        <f t="array" aca="1" ref="AP392" ca="1">_xlfn.XLOOKUP(Contrato[[#This Row],[DOCUMENTO]],PERSONAL_ACTIVO_2025[[#All],[DOCUMENTO]],PERSONAL_ACTIVO_2025[[#All],[email]],0,0)</f>
        <v>#NAME?</v>
      </c>
      <c r="AQ392" s="89" cm="1">
        <f t="array" aca="1" ref="AQ392" ca="1">IF(ISBLANK(Contrato[[#This Row],[DEPENDENCIA ]]),0,IFERROR(_xlfn.XLOOKUP(Contrato[[#This Row],[DEPENDENCIA ]],#REF!,#REF!,0,0),0))</f>
        <v>0</v>
      </c>
      <c r="AR392" s="555" t="e">
        <f ca="1">+_xlfn.DAYS(Contrato[[#This Row],[FECHA TERMINACIÓN ]],TODAY())</f>
        <v>#NAME?</v>
      </c>
    </row>
    <row r="393" spans="1:44" ht="47.25" x14ac:dyDescent="0.25">
      <c r="A393" s="499">
        <v>49</v>
      </c>
      <c r="B393" s="500">
        <v>385</v>
      </c>
      <c r="C393" s="501" t="s">
        <v>1642</v>
      </c>
      <c r="D393" s="502" t="s">
        <v>883</v>
      </c>
      <c r="E393" s="498" t="s">
        <v>153</v>
      </c>
      <c r="F393" s="502" t="s">
        <v>142</v>
      </c>
      <c r="G393" s="503" t="s">
        <v>1643</v>
      </c>
      <c r="H393" s="537">
        <v>890904615</v>
      </c>
      <c r="I393" s="504"/>
      <c r="J393" s="504">
        <v>20000000</v>
      </c>
      <c r="K393" s="499"/>
      <c r="L393" s="505"/>
      <c r="M393" s="506"/>
      <c r="N393" s="507" t="e" cm="1">
        <f t="array" aca="1" ref="N393" ca="1">_xlfn.XLOOKUP(Contrato[[#This Row],[SUPERVISOR TITULAR]],PERSONAL_ACTIVO_2025[[#All],[NOMBRES Y APELLIDOS]],PERSONAL_ACTIVO_2025[[#All],[DOCUMENTO]],"",0)</f>
        <v>#NAME?</v>
      </c>
      <c r="O393" s="506"/>
      <c r="P393" s="508" t="e" cm="1">
        <f t="array" aca="1" ref="P393" ca="1">_xlfn.XLOOKUP(Contrato[[#This Row],[SUPERVISOR SUPLENTE ]],PERSONAL_ACTIVO_2025[[#All],[NOMBRES Y APELLIDOS]],PERSONAL_ACTIVO_2025[[#All],[DOCUMENTO]],"",0)</f>
        <v>#NAME?</v>
      </c>
      <c r="Q393" s="509">
        <v>383</v>
      </c>
      <c r="R393" s="137" t="e" cm="1">
        <f t="array" aca="1" ref="R393" ca="1">_xlfn.XLOOKUP(Contrato[[#This Row],[CDP]],DISPONIBILIDADES_2025[[#All],[consecutivo]],DISPONIBILIDADES_2025[[#All],[fecha_aprobacion]],"",0)</f>
        <v>#NAME?</v>
      </c>
      <c r="S393" s="92">
        <f>SUMIF(DISPONIBILIDADES_2025[[#All],[consecutivo]],Contrato[[#This Row],[CDP]],DISPONIBILIDADES_2025[[#All],[valor_total_rubro]])</f>
        <v>20000000</v>
      </c>
      <c r="T393" s="118" t="e" cm="1">
        <f t="array" aca="1" ref="T393" ca="1">_xlfn.XLOOKUP(Contrato[[#This Row],[CONTRATO]]&amp;Contrato[[#This Row],[CDP]],Corr_Contr_CDP[[#All],[CONTRATO-CDP]],Corr_Contr_CDP[[#All],[CRP]],_xlfn.XLOOKUP(Contrato[[#This Row],[CDP]],COMPROMISOS_2025[[#All],[disponibilidad]],COMPROMISOS_2025[[#All],[consecutivo]],"",0),0)</f>
        <v>#NAME?</v>
      </c>
      <c r="U393" s="117" t="e" cm="1">
        <f t="array" aca="1" ref="U393" ca="1">+_xlfn.XLOOKUP(Contrato[[#This Row],[RCP]],COMPROMISOS_2025[[#All],[consecutivo]],COMPROMISOS_2025[[#All],[fecha_aprobacion]],"",0)</f>
        <v>#NAME?</v>
      </c>
      <c r="V393" s="93">
        <f ca="1">SUMIF(COMPROMISOS_2025[[#All],[consecutivo]],Contrato[[#This Row],[RCP]],COMPROMISOS_2025[[#All],[valor_total]])</f>
        <v>0</v>
      </c>
      <c r="W393" s="510"/>
      <c r="X393" s="510"/>
      <c r="Y393" s="397" t="e">
        <f ca="1">+LEFT(_xlfn.XLOOKUP(Contrato[[#This Row],[CONTRATO3DIG]],SECOP_II!AE:AE,SECOP_II!F:F,"",0),10)</f>
        <v>#NAME?</v>
      </c>
      <c r="Z393" s="511" t="e">
        <f ca="1">+LEFT(_xlfn.XLOOKUP(Contrato[[#This Row],[CONTRATO3DIG]],SECOP_II!AE:AE,SECOP_II!G:G,"",0),10)</f>
        <v>#NAME?</v>
      </c>
      <c r="AA393" s="512"/>
      <c r="AB393" s="498" t="s">
        <v>936</v>
      </c>
      <c r="AC393" s="498"/>
      <c r="AD393" s="546"/>
      <c r="AE393" s="499"/>
      <c r="AF393" s="89" t="str">
        <f>TEXT(LEFT(Contrato[[#This Row],[CONTRATO]],3),"0")</f>
        <v>385</v>
      </c>
      <c r="AG393" s="89" t="str">
        <f>IF(LEN(Contrato[[#This Row],[Contrato2]])=3,Contrato[[#This Row],[Contrato2]],TEXT(Contrato[[#This Row],[Contrato2]],"000"))</f>
        <v>385</v>
      </c>
      <c r="AH393" s="90" t="str">
        <f ca="1">IFERROR(_xlfn.DAYS(Contrato[[#This Row],[Fecha Proyectada liquidación]],TODAY())/30,"")</f>
        <v/>
      </c>
      <c r="AI393" s="121" t="e">
        <f ca="1">+Contrato[[#This Row],[FECHA TERMINACIÓN ]]+120</f>
        <v>#NAME?</v>
      </c>
      <c r="AK393" s="91" t="e">
        <f ca="1">IF(Contrato[[#This Row],[FECHA TERMINACIÓN ]]&lt;TODAY(), "Terminado",IF(ISNUMBER(Contrato[[#This Row],[Fecha Real de liquiidación ]]),"Liquidado",IF(Contrato[[#This Row],[FECHA TERMINACIÓN ]]&gt;=TODAY(),"En ejecución","")))</f>
        <v>#NAME?</v>
      </c>
      <c r="AL393" s="513">
        <f ca="1">SUMIF(COMPROMISOS_2025[[#All],[consecutivo]],Contrato[[#This Row],[RCP]],COMPROMISOS_2025[[#All],[Total pagado]])</f>
        <v>0</v>
      </c>
      <c r="AM393" s="122">
        <f ca="1">IFERROR(Contrato[[#This Row],[Pagos]]/Contrato[[#This Row],[VALOR CONTRATO]],0)</f>
        <v>0</v>
      </c>
      <c r="AN393" s="514">
        <f ca="1">+Contrato[[#This Row],[VALOR CONTRATO]]-Contrato[[#This Row],[Pagos]]</f>
        <v>20000000</v>
      </c>
      <c r="AO393" s="89" t="e" cm="1">
        <f t="array" aca="1" ref="AO393" ca="1">_xlfn.XLOOKUP(Contrato[[#This Row],[DOCUMENTO ]],PERSONAL_ACTIVO_2025[[#All],[DOCUMENTO]],PERSONAL_ACTIVO_2025[[#All],[email]],0,0)</f>
        <v>#NAME?</v>
      </c>
      <c r="AP393" s="89" t="e" cm="1">
        <f t="array" aca="1" ref="AP393" ca="1">_xlfn.XLOOKUP(Contrato[[#This Row],[DOCUMENTO]],PERSONAL_ACTIVO_2025[[#All],[DOCUMENTO]],PERSONAL_ACTIVO_2025[[#All],[email]],0,0)</f>
        <v>#NAME?</v>
      </c>
      <c r="AQ393" s="89" cm="1">
        <f t="array" aca="1" ref="AQ393" ca="1">IF(ISBLANK(Contrato[[#This Row],[DEPENDENCIA ]]),0,IFERROR(_xlfn.XLOOKUP(Contrato[[#This Row],[DEPENDENCIA ]],#REF!,#REF!,0,0),0))</f>
        <v>0</v>
      </c>
      <c r="AR393" s="555" t="e">
        <f ca="1">+_xlfn.DAYS(Contrato[[#This Row],[FECHA TERMINACIÓN ]],TODAY())</f>
        <v>#NAME?</v>
      </c>
    </row>
    <row r="394" spans="1:44" ht="75" x14ac:dyDescent="0.25">
      <c r="A394" s="499">
        <v>557</v>
      </c>
      <c r="B394" s="500">
        <v>6532023</v>
      </c>
      <c r="C394" s="501" t="s">
        <v>1644</v>
      </c>
      <c r="D394" s="502" t="s">
        <v>905</v>
      </c>
      <c r="E394" s="498" t="s">
        <v>146</v>
      </c>
      <c r="F394" s="502" t="s">
        <v>241</v>
      </c>
      <c r="G394" s="503" t="s">
        <v>1645</v>
      </c>
      <c r="H394" s="167">
        <v>890981868</v>
      </c>
      <c r="I394" s="504"/>
      <c r="J394" s="504">
        <v>374209826</v>
      </c>
      <c r="K394" s="515" t="s">
        <v>1646</v>
      </c>
      <c r="L394" s="505" t="s">
        <v>1576</v>
      </c>
      <c r="M394" s="114" t="s">
        <v>908</v>
      </c>
      <c r="N394" s="507" t="e" cm="1">
        <f t="array" aca="1" ref="N394" ca="1">_xlfn.XLOOKUP(Contrato[[#This Row],[SUPERVISOR TITULAR]],PERSONAL_ACTIVO_2025[[#All],[NOMBRES Y APELLIDOS]],PERSONAL_ACTIVO_2025[[#All],[DOCUMENTO]],"",0)</f>
        <v>#NAME?</v>
      </c>
      <c r="O394" s="506"/>
      <c r="P394" s="508" t="e" cm="1">
        <f t="array" aca="1" ref="P394" ca="1">_xlfn.XLOOKUP(Contrato[[#This Row],[SUPERVISOR SUPLENTE ]],PERSONAL_ACTIVO_2025[[#All],[NOMBRES Y APELLIDOS]],PERSONAL_ACTIVO_2025[[#All],[DOCUMENTO]],"",0)</f>
        <v>#NAME?</v>
      </c>
      <c r="Q394" s="509">
        <v>342</v>
      </c>
      <c r="R394" s="137" t="e" cm="1">
        <f t="array" aca="1" ref="R394" ca="1">_xlfn.XLOOKUP(Contrato[[#This Row],[CDP]],DISPONIBILIDADES_2025[[#All],[consecutivo]],DISPONIBILIDADES_2025[[#All],[fecha_aprobacion]],"",0)</f>
        <v>#NAME?</v>
      </c>
      <c r="S394" s="92">
        <f>SUMIF(DISPONIBILIDADES_2025[[#All],[consecutivo]],Contrato[[#This Row],[CDP]],DISPONIBILIDADES_2025[[#All],[valor_total_rubro]])</f>
        <v>374209826</v>
      </c>
      <c r="T394" s="118" t="e" cm="1">
        <f t="array" aca="1" ref="T394" ca="1">_xlfn.XLOOKUP(Contrato[[#This Row],[CONTRATO]]&amp;Contrato[[#This Row],[CDP]],Corr_Contr_CDP[[#All],[CONTRATO-CDP]],Corr_Contr_CDP[[#All],[CRP]],_xlfn.XLOOKUP(Contrato[[#This Row],[CDP]],COMPROMISOS_2025[[#All],[disponibilidad]],COMPROMISOS_2025[[#All],[consecutivo]],"",0),0)</f>
        <v>#NAME?</v>
      </c>
      <c r="U394" s="117" t="e" cm="1">
        <f t="array" aca="1" ref="U394" ca="1">+_xlfn.XLOOKUP(Contrato[[#This Row],[RCP]],COMPROMISOS_2025[[#All],[consecutivo]],COMPROMISOS_2025[[#All],[fecha_aprobacion]],"",0)</f>
        <v>#NAME?</v>
      </c>
      <c r="V394" s="93">
        <f ca="1">SUMIF(COMPROMISOS_2025[[#All],[consecutivo]],Contrato[[#This Row],[RCP]],COMPROMISOS_2025[[#All],[valor_total]])</f>
        <v>0</v>
      </c>
      <c r="W394" s="510"/>
      <c r="X394" s="510"/>
      <c r="Y394" s="397" t="e">
        <f ca="1">+LEFT(_xlfn.XLOOKUP(Contrato[[#This Row],[CONTRATO3DIG]],SECOP_II!AE:AE,SECOP_II!F:F,"",0),10)</f>
        <v>#NAME?</v>
      </c>
      <c r="Z394" s="511" t="e">
        <f ca="1">+LEFT(_xlfn.XLOOKUP(Contrato[[#This Row],[CONTRATO3DIG]],SECOP_II!AE:AE,SECOP_II!G:G,"",0),10)</f>
        <v>#NAME?</v>
      </c>
      <c r="AA394" s="512"/>
      <c r="AB394" s="498"/>
      <c r="AC394" s="498"/>
      <c r="AD394" s="546"/>
      <c r="AE394" s="499"/>
      <c r="AF394" s="89" t="str">
        <f>TEXT(LEFT(Contrato[[#This Row],[CONTRATO]],3),"0")</f>
        <v>653</v>
      </c>
      <c r="AG394" s="89" t="str">
        <f>IF(LEN(Contrato[[#This Row],[Contrato2]])=3,Contrato[[#This Row],[Contrato2]],TEXT(Contrato[[#This Row],[Contrato2]],"000"))</f>
        <v>653</v>
      </c>
      <c r="AH394" s="90" t="str">
        <f ca="1">IFERROR(_xlfn.DAYS(Contrato[[#This Row],[Fecha Proyectada liquidación]],TODAY())/30,"")</f>
        <v/>
      </c>
      <c r="AI394" s="121" t="e">
        <f ca="1">+Contrato[[#This Row],[FECHA TERMINACIÓN ]]+120</f>
        <v>#NAME?</v>
      </c>
      <c r="AK394" s="91" t="e">
        <f ca="1">IF(Contrato[[#This Row],[FECHA TERMINACIÓN ]]&lt;TODAY(), "Terminado",IF(ISNUMBER(Contrato[[#This Row],[Fecha Real de liquiidación ]]),"Liquidado",IF(Contrato[[#This Row],[FECHA TERMINACIÓN ]]&gt;=TODAY(),"En ejecución","")))</f>
        <v>#NAME?</v>
      </c>
      <c r="AL394" s="513">
        <f ca="1">SUMIF(COMPROMISOS_2025[[#All],[consecutivo]],Contrato[[#This Row],[RCP]],COMPROMISOS_2025[[#All],[Total pagado]])</f>
        <v>0</v>
      </c>
      <c r="AM394" s="122">
        <f ca="1">IFERROR(Contrato[[#This Row],[Pagos]]/Contrato[[#This Row],[VALOR CONTRATO]],0)</f>
        <v>0</v>
      </c>
      <c r="AN394" s="514">
        <f ca="1">+Contrato[[#This Row],[VALOR CONTRATO]]-Contrato[[#This Row],[Pagos]]</f>
        <v>374209826</v>
      </c>
      <c r="AO394" s="89" t="e" cm="1">
        <f t="array" aca="1" ref="AO394" ca="1">_xlfn.XLOOKUP(Contrato[[#This Row],[DOCUMENTO ]],PERSONAL_ACTIVO_2025[[#All],[DOCUMENTO]],PERSONAL_ACTIVO_2025[[#All],[email]],0,0)</f>
        <v>#NAME?</v>
      </c>
      <c r="AP394" s="89" t="e" cm="1">
        <f t="array" aca="1" ref="AP394" ca="1">_xlfn.XLOOKUP(Contrato[[#This Row],[DOCUMENTO]],PERSONAL_ACTIVO_2025[[#All],[DOCUMENTO]],PERSONAL_ACTIVO_2025[[#All],[email]],0,0)</f>
        <v>#NAME?</v>
      </c>
      <c r="AQ394" s="89" cm="1">
        <f t="array" aca="1" ref="AQ394" ca="1">IF(ISBLANK(Contrato[[#This Row],[DEPENDENCIA ]]),0,IFERROR(_xlfn.XLOOKUP(Contrato[[#This Row],[DEPENDENCIA ]],#REF!,#REF!,0,0),0))</f>
        <v>0</v>
      </c>
      <c r="AR394" s="555" t="e">
        <f ca="1">+_xlfn.DAYS(Contrato[[#This Row],[FECHA TERMINACIÓN ]],TODAY())</f>
        <v>#NAME?</v>
      </c>
    </row>
    <row r="395" spans="1:44" ht="60" x14ac:dyDescent="0.25">
      <c r="A395" s="499" t="s">
        <v>1647</v>
      </c>
      <c r="B395" s="500" t="s">
        <v>1648</v>
      </c>
      <c r="C395" s="501" t="s">
        <v>1649</v>
      </c>
      <c r="D395" s="502" t="s">
        <v>883</v>
      </c>
      <c r="E395" s="498" t="s">
        <v>146</v>
      </c>
      <c r="F395" s="502" t="s">
        <v>132</v>
      </c>
      <c r="G395" s="503" t="s">
        <v>1650</v>
      </c>
      <c r="H395" s="537">
        <v>811009788</v>
      </c>
      <c r="I395" s="504"/>
      <c r="J395" s="504"/>
      <c r="K395" s="499" t="s">
        <v>1651</v>
      </c>
      <c r="L395" s="505" t="s">
        <v>1576</v>
      </c>
      <c r="M395" s="114" t="s">
        <v>887</v>
      </c>
      <c r="N395" s="507" t="e" cm="1">
        <f t="array" aca="1" ref="N395" ca="1">_xlfn.XLOOKUP(Contrato[[#This Row],[SUPERVISOR TITULAR]],PERSONAL_ACTIVO_2025[[#All],[NOMBRES Y APELLIDOS]],PERSONAL_ACTIVO_2025[[#All],[DOCUMENTO]],"",0)</f>
        <v>#NAME?</v>
      </c>
      <c r="O395" s="114" t="s">
        <v>886</v>
      </c>
      <c r="P395" s="115" t="e" cm="1">
        <f t="array" aca="1" ref="P395" ca="1">_xlfn.XLOOKUP(Contrato[[#This Row],[SUPERVISOR SUPLENTE ]],PERSONAL_ACTIVO_2025[[#All],[NOMBRES Y APELLIDOS]],PERSONAL_ACTIVO_2025[[#All],[DOCUMENTO]],"",0)</f>
        <v>#NAME?</v>
      </c>
      <c r="Q395" s="509"/>
      <c r="R395" s="137" t="e" cm="1">
        <f t="array" aca="1" ref="R395" ca="1">_xlfn.XLOOKUP(Contrato[[#This Row],[CDP]],DISPONIBILIDADES_2025[[#All],[consecutivo]],DISPONIBILIDADES_2025[[#All],[fecha_aprobacion]],"",0)</f>
        <v>#NAME?</v>
      </c>
      <c r="S395" s="92">
        <f>SUMIF(DISPONIBILIDADES_2025[[#All],[consecutivo]],Contrato[[#This Row],[CDP]],DISPONIBILIDADES_2025[[#All],[valor_total_rubro]])</f>
        <v>0</v>
      </c>
      <c r="T395" s="118" t="e" cm="1">
        <f t="array" aca="1" ref="T395" ca="1">_xlfn.XLOOKUP(Contrato[[#This Row],[CONTRATO]]&amp;Contrato[[#This Row],[CDP]],Corr_Contr_CDP[[#All],[CONTRATO-CDP]],Corr_Contr_CDP[[#All],[CRP]],_xlfn.XLOOKUP(Contrato[[#This Row],[CDP]],COMPROMISOS_2025[[#All],[disponibilidad]],COMPROMISOS_2025[[#All],[consecutivo]],"",0),0)</f>
        <v>#NAME?</v>
      </c>
      <c r="U395" s="117" t="e" cm="1">
        <f t="array" aca="1" ref="U395" ca="1">+_xlfn.XLOOKUP(Contrato[[#This Row],[RCP]],COMPROMISOS_2025[[#All],[consecutivo]],COMPROMISOS_2025[[#All],[fecha_aprobacion]],"",0)</f>
        <v>#NAME?</v>
      </c>
      <c r="V395" s="93">
        <f ca="1">SUMIF(COMPROMISOS_2025[[#All],[consecutivo]],Contrato[[#This Row],[RCP]],COMPROMISOS_2025[[#All],[valor_total]])</f>
        <v>0</v>
      </c>
      <c r="W395" s="510"/>
      <c r="X395" s="510"/>
      <c r="Y395" s="397" t="e">
        <f ca="1">+LEFT(_xlfn.XLOOKUP(Contrato[[#This Row],[CONTRATO3DIG]],SECOP_II!AE:AE,SECOP_II!F:F,"",0),10)</f>
        <v>#NAME?</v>
      </c>
      <c r="Z395" s="511" t="e">
        <f ca="1">+LEFT(_xlfn.XLOOKUP(Contrato[[#This Row],[CONTRATO3DIG]],SECOP_II!AE:AE,SECOP_II!G:G,"",0),10)</f>
        <v>#NAME?</v>
      </c>
      <c r="AA395" s="512"/>
      <c r="AB395" s="498"/>
      <c r="AC395" s="498"/>
      <c r="AD395" s="546"/>
      <c r="AE395" s="499"/>
      <c r="AF395" s="89" t="str">
        <f>TEXT(LEFT(Contrato[[#This Row],[CONTRATO]],3),"0")</f>
        <v>330</v>
      </c>
      <c r="AG395" s="89" t="str">
        <f>IF(LEN(Contrato[[#This Row],[Contrato2]])=3,Contrato[[#This Row],[Contrato2]],TEXT(Contrato[[#This Row],[Contrato2]],"000"))</f>
        <v>330</v>
      </c>
      <c r="AH395" s="90" t="str">
        <f ca="1">IFERROR(_xlfn.DAYS(Contrato[[#This Row],[Fecha Proyectada liquidación]],TODAY())/30,"")</f>
        <v/>
      </c>
      <c r="AI395" s="121" t="e">
        <f ca="1">+Contrato[[#This Row],[FECHA TERMINACIÓN ]]+120</f>
        <v>#NAME?</v>
      </c>
      <c r="AK395" s="91" t="e">
        <f ca="1">IF(Contrato[[#This Row],[FECHA TERMINACIÓN ]]&lt;TODAY(), "Terminado",IF(ISNUMBER(Contrato[[#This Row],[Fecha Real de liquiidación ]]),"Liquidado",IF(Contrato[[#This Row],[FECHA TERMINACIÓN ]]&gt;=TODAY(),"En ejecución","")))</f>
        <v>#NAME?</v>
      </c>
      <c r="AL395" s="513">
        <f ca="1">SUMIF(COMPROMISOS_2025[[#All],[consecutivo]],Contrato[[#This Row],[RCP]],COMPROMISOS_2025[[#All],[Total pagado]])</f>
        <v>0</v>
      </c>
      <c r="AM395" s="122">
        <f ca="1">IFERROR(Contrato[[#This Row],[Pagos]]/Contrato[[#This Row],[VALOR CONTRATO]],0)</f>
        <v>0</v>
      </c>
      <c r="AN395" s="514">
        <f ca="1">+Contrato[[#This Row],[VALOR CONTRATO]]-Contrato[[#This Row],[Pagos]]</f>
        <v>0</v>
      </c>
      <c r="AO395" s="89" t="e" cm="1">
        <f t="array" aca="1" ref="AO395" ca="1">_xlfn.XLOOKUP(Contrato[[#This Row],[DOCUMENTO ]],PERSONAL_ACTIVO_2025[[#All],[DOCUMENTO]],PERSONAL_ACTIVO_2025[[#All],[email]],0,0)</f>
        <v>#NAME?</v>
      </c>
      <c r="AP395" s="89" t="e" cm="1">
        <f t="array" aca="1" ref="AP395" ca="1">_xlfn.XLOOKUP(Contrato[[#This Row],[DOCUMENTO]],PERSONAL_ACTIVO_2025[[#All],[DOCUMENTO]],PERSONAL_ACTIVO_2025[[#All],[email]],0,0)</f>
        <v>#NAME?</v>
      </c>
      <c r="AQ395" s="89" cm="1">
        <f t="array" aca="1" ref="AQ395" ca="1">IF(ISBLANK(Contrato[[#This Row],[DEPENDENCIA ]]),0,IFERROR(_xlfn.XLOOKUP(Contrato[[#This Row],[DEPENDENCIA ]],#REF!,#REF!,0,0),0))</f>
        <v>0</v>
      </c>
      <c r="AR395" s="555" t="e">
        <f ca="1">+_xlfn.DAYS(Contrato[[#This Row],[FECHA TERMINACIÓN ]],TODAY())</f>
        <v>#NAME?</v>
      </c>
    </row>
    <row r="396" spans="1:44" ht="75" x14ac:dyDescent="0.25">
      <c r="A396" s="499">
        <v>612</v>
      </c>
      <c r="B396" s="500">
        <v>387</v>
      </c>
      <c r="C396" s="501" t="s">
        <v>1652</v>
      </c>
      <c r="D396" s="502" t="s">
        <v>930</v>
      </c>
      <c r="E396" s="498" t="s">
        <v>112</v>
      </c>
      <c r="F396" s="502" t="s">
        <v>241</v>
      </c>
      <c r="G396" s="503" t="s">
        <v>1653</v>
      </c>
      <c r="H396" s="499">
        <v>811006368</v>
      </c>
      <c r="I396" s="504"/>
      <c r="J396" s="504">
        <v>225622548</v>
      </c>
      <c r="K396" s="515" t="s">
        <v>1654</v>
      </c>
      <c r="L396" s="505" t="s">
        <v>1655</v>
      </c>
      <c r="M396" s="506"/>
      <c r="N396" s="507" t="e" cm="1">
        <f t="array" aca="1" ref="N396" ca="1">_xlfn.XLOOKUP(Contrato[[#This Row],[SUPERVISOR TITULAR]],PERSONAL_ACTIVO_2025[[#All],[NOMBRES Y APELLIDOS]],PERSONAL_ACTIVO_2025[[#All],[DOCUMENTO]],"",0)</f>
        <v>#NAME?</v>
      </c>
      <c r="O396" s="506"/>
      <c r="P396" s="508" t="e" cm="1">
        <f t="array" aca="1" ref="P396" ca="1">_xlfn.XLOOKUP(Contrato[[#This Row],[SUPERVISOR SUPLENTE ]],PERSONAL_ACTIVO_2025[[#All],[NOMBRES Y APELLIDOS]],PERSONAL_ACTIVO_2025[[#All],[DOCUMENTO]],"",0)</f>
        <v>#NAME?</v>
      </c>
      <c r="Q396" s="509">
        <v>483</v>
      </c>
      <c r="R396" s="137" t="e" cm="1">
        <f t="array" aca="1" ref="R396" ca="1">_xlfn.XLOOKUP(Contrato[[#This Row],[CDP]],DISPONIBILIDADES_2025[[#All],[consecutivo]],DISPONIBILIDADES_2025[[#All],[fecha_aprobacion]],"",0)</f>
        <v>#NAME?</v>
      </c>
      <c r="S396" s="92">
        <f>SUMIF(DISPONIBILIDADES_2025[[#All],[consecutivo]],Contrato[[#This Row],[CDP]],DISPONIBILIDADES_2025[[#All],[valor_total_rubro]])</f>
        <v>0</v>
      </c>
      <c r="T396" s="118" t="e" cm="1">
        <f t="array" aca="1" ref="T396" ca="1">_xlfn.XLOOKUP(Contrato[[#This Row],[CONTRATO]]&amp;Contrato[[#This Row],[CDP]],Corr_Contr_CDP[[#All],[CONTRATO-CDP]],Corr_Contr_CDP[[#All],[CRP]],_xlfn.XLOOKUP(Contrato[[#This Row],[CDP]],COMPROMISOS_2025[[#All],[disponibilidad]],COMPROMISOS_2025[[#All],[consecutivo]],"",0),0)</f>
        <v>#NAME?</v>
      </c>
      <c r="U396" s="117" t="e" cm="1">
        <f t="array" aca="1" ref="U396" ca="1">+_xlfn.XLOOKUP(Contrato[[#This Row],[RCP]],COMPROMISOS_2025[[#All],[consecutivo]],COMPROMISOS_2025[[#All],[fecha_aprobacion]],"",0)</f>
        <v>#NAME?</v>
      </c>
      <c r="V396" s="93">
        <f ca="1">SUMIF(COMPROMISOS_2025[[#All],[consecutivo]],Contrato[[#This Row],[RCP]],COMPROMISOS_2025[[#All],[valor_total]])</f>
        <v>0</v>
      </c>
      <c r="W396" s="510"/>
      <c r="X396" s="510"/>
      <c r="Y396" s="397" t="e">
        <f ca="1">+LEFT(_xlfn.XLOOKUP(Contrato[[#This Row],[CONTRATO3DIG]],SECOP_II!AE:AE,SECOP_II!F:F,"",0),10)</f>
        <v>#NAME?</v>
      </c>
      <c r="Z396" s="511" t="e">
        <f ca="1">+LEFT(_xlfn.XLOOKUP(Contrato[[#This Row],[CONTRATO3DIG]],SECOP_II!AE:AE,SECOP_II!G:G,"",0),10)</f>
        <v>#NAME?</v>
      </c>
      <c r="AA396" s="512"/>
      <c r="AB396" s="498" t="s">
        <v>1372</v>
      </c>
      <c r="AC396" s="498"/>
      <c r="AD396" s="546"/>
      <c r="AE396" s="499"/>
      <c r="AF396" s="89" t="str">
        <f>TEXT(LEFT(Contrato[[#This Row],[CONTRATO]],3),"0")</f>
        <v>387</v>
      </c>
      <c r="AG396" s="89" t="str">
        <f>IF(LEN(Contrato[[#This Row],[Contrato2]])=3,Contrato[[#This Row],[Contrato2]],TEXT(Contrato[[#This Row],[Contrato2]],"000"))</f>
        <v>387</v>
      </c>
      <c r="AH396" s="90" t="str">
        <f ca="1">IFERROR(_xlfn.DAYS(Contrato[[#This Row],[Fecha Proyectada liquidación]],TODAY())/30,"")</f>
        <v/>
      </c>
      <c r="AI396" s="121" t="e">
        <f ca="1">+Contrato[[#This Row],[FECHA TERMINACIÓN ]]+120</f>
        <v>#NAME?</v>
      </c>
      <c r="AK396" s="91" t="e">
        <f ca="1">IF(Contrato[[#This Row],[FECHA TERMINACIÓN ]]&lt;TODAY(), "Terminado",IF(ISNUMBER(Contrato[[#This Row],[Fecha Real de liquiidación ]]),"Liquidado",IF(Contrato[[#This Row],[FECHA TERMINACIÓN ]]&gt;=TODAY(),"En ejecución","")))</f>
        <v>#NAME?</v>
      </c>
      <c r="AL396" s="513">
        <f ca="1">SUMIF(COMPROMISOS_2025[[#All],[consecutivo]],Contrato[[#This Row],[RCP]],COMPROMISOS_2025[[#All],[Total pagado]])</f>
        <v>0</v>
      </c>
      <c r="AM396" s="122">
        <f ca="1">IFERROR(Contrato[[#This Row],[Pagos]]/Contrato[[#This Row],[VALOR CONTRATO]],0)</f>
        <v>0</v>
      </c>
      <c r="AN396" s="514">
        <f ca="1">+Contrato[[#This Row],[VALOR CONTRATO]]-Contrato[[#This Row],[Pagos]]</f>
        <v>225622548</v>
      </c>
      <c r="AO396" s="89" t="e" cm="1">
        <f t="array" aca="1" ref="AO396" ca="1">_xlfn.XLOOKUP(Contrato[[#This Row],[DOCUMENTO ]],PERSONAL_ACTIVO_2025[[#All],[DOCUMENTO]],PERSONAL_ACTIVO_2025[[#All],[email]],0,0)</f>
        <v>#NAME?</v>
      </c>
      <c r="AP396" s="89" t="e" cm="1">
        <f t="array" aca="1" ref="AP396" ca="1">_xlfn.XLOOKUP(Contrato[[#This Row],[DOCUMENTO]],PERSONAL_ACTIVO_2025[[#All],[DOCUMENTO]],PERSONAL_ACTIVO_2025[[#All],[email]],0,0)</f>
        <v>#NAME?</v>
      </c>
      <c r="AQ396" s="89" cm="1">
        <f t="array" aca="1" ref="AQ396" ca="1">IF(ISBLANK(Contrato[[#This Row],[DEPENDENCIA ]]),0,IFERROR(_xlfn.XLOOKUP(Contrato[[#This Row],[DEPENDENCIA ]],#REF!,#REF!,0,0),0))</f>
        <v>0</v>
      </c>
      <c r="AR396" s="555" t="e">
        <f ca="1">+_xlfn.DAYS(Contrato[[#This Row],[FECHA TERMINACIÓN ]],TODAY())</f>
        <v>#NAME?</v>
      </c>
    </row>
    <row r="397" spans="1:44" ht="75" x14ac:dyDescent="0.25">
      <c r="A397" s="499">
        <v>170</v>
      </c>
      <c r="B397" s="500">
        <v>388</v>
      </c>
      <c r="C397" s="501" t="s">
        <v>369</v>
      </c>
      <c r="D397" s="502" t="s">
        <v>911</v>
      </c>
      <c r="E397" s="498" t="s">
        <v>112</v>
      </c>
      <c r="F397" s="502" t="s">
        <v>361</v>
      </c>
      <c r="G397" s="503" t="s">
        <v>1656</v>
      </c>
      <c r="H397" s="499">
        <v>890984031</v>
      </c>
      <c r="I397" s="504"/>
      <c r="J397" s="504">
        <v>200000000</v>
      </c>
      <c r="K397" s="499"/>
      <c r="L397" s="505" t="s">
        <v>1655</v>
      </c>
      <c r="M397" s="506"/>
      <c r="N397" s="507" t="e" cm="1">
        <f t="array" aca="1" ref="N397" ca="1">_xlfn.XLOOKUP(Contrato[[#This Row],[SUPERVISOR TITULAR]],PERSONAL_ACTIVO_2025[[#All],[NOMBRES Y APELLIDOS]],PERSONAL_ACTIVO_2025[[#All],[DOCUMENTO]],"",0)</f>
        <v>#NAME?</v>
      </c>
      <c r="O397" s="506"/>
      <c r="P397" s="508" t="e" cm="1">
        <f t="array" aca="1" ref="P397" ca="1">_xlfn.XLOOKUP(Contrato[[#This Row],[SUPERVISOR SUPLENTE ]],PERSONAL_ACTIVO_2025[[#All],[NOMBRES Y APELLIDOS]],PERSONAL_ACTIVO_2025[[#All],[DOCUMENTO]],"",0)</f>
        <v>#NAME?</v>
      </c>
      <c r="Q397" s="509">
        <v>439</v>
      </c>
      <c r="R397" s="137" t="e" cm="1">
        <f t="array" aca="1" ref="R397" ca="1">_xlfn.XLOOKUP(Contrato[[#This Row],[CDP]],DISPONIBILIDADES_2025[[#All],[consecutivo]],DISPONIBILIDADES_2025[[#All],[fecha_aprobacion]],"",0)</f>
        <v>#NAME?</v>
      </c>
      <c r="S397" s="92">
        <f>SUMIF(DISPONIBILIDADES_2025[[#All],[consecutivo]],Contrato[[#This Row],[CDP]],DISPONIBILIDADES_2025[[#All],[valor_total_rubro]])</f>
        <v>200000000</v>
      </c>
      <c r="T397" s="118" t="e" cm="1">
        <f t="array" aca="1" ref="T397" ca="1">_xlfn.XLOOKUP(Contrato[[#This Row],[CONTRATO]]&amp;Contrato[[#This Row],[CDP]],Corr_Contr_CDP[[#All],[CONTRATO-CDP]],Corr_Contr_CDP[[#All],[CRP]],_xlfn.XLOOKUP(Contrato[[#This Row],[CDP]],COMPROMISOS_2025[[#All],[disponibilidad]],COMPROMISOS_2025[[#All],[consecutivo]],"",0),0)</f>
        <v>#NAME?</v>
      </c>
      <c r="U397" s="117" t="e" cm="1">
        <f t="array" aca="1" ref="U397" ca="1">+_xlfn.XLOOKUP(Contrato[[#This Row],[RCP]],COMPROMISOS_2025[[#All],[consecutivo]],COMPROMISOS_2025[[#All],[fecha_aprobacion]],"",0)</f>
        <v>#NAME?</v>
      </c>
      <c r="V397" s="93">
        <f ca="1">SUMIF(COMPROMISOS_2025[[#All],[consecutivo]],Contrato[[#This Row],[RCP]],COMPROMISOS_2025[[#All],[valor_total]])</f>
        <v>0</v>
      </c>
      <c r="W397" s="510"/>
      <c r="X397" s="510"/>
      <c r="Y397" s="397" t="e">
        <f ca="1">+LEFT(_xlfn.XLOOKUP(Contrato[[#This Row],[CONTRATO3DIG]],SECOP_II!AE:AE,SECOP_II!F:F,"",0),10)</f>
        <v>#NAME?</v>
      </c>
      <c r="Z397" s="511" t="e">
        <f ca="1">+LEFT(_xlfn.XLOOKUP(Contrato[[#This Row],[CONTRATO3DIG]],SECOP_II!AE:AE,SECOP_II!G:G,"",0),10)</f>
        <v>#NAME?</v>
      </c>
      <c r="AA397" s="512"/>
      <c r="AB397" s="498" t="s">
        <v>1532</v>
      </c>
      <c r="AC397" s="498"/>
      <c r="AD397" s="546"/>
      <c r="AE397" s="499"/>
      <c r="AF397" s="89" t="str">
        <f>TEXT(LEFT(Contrato[[#This Row],[CONTRATO]],3),"0")</f>
        <v>388</v>
      </c>
      <c r="AG397" s="89" t="str">
        <f>IF(LEN(Contrato[[#This Row],[Contrato2]])=3,Contrato[[#This Row],[Contrato2]],TEXT(Contrato[[#This Row],[Contrato2]],"000"))</f>
        <v>388</v>
      </c>
      <c r="AH397" s="90" t="str">
        <f ca="1">IFERROR(_xlfn.DAYS(Contrato[[#This Row],[Fecha Proyectada liquidación]],TODAY())/30,"")</f>
        <v/>
      </c>
      <c r="AI397" s="121" t="e">
        <f ca="1">+Contrato[[#This Row],[FECHA TERMINACIÓN ]]+120</f>
        <v>#NAME?</v>
      </c>
      <c r="AK397" s="91" t="e">
        <f ca="1">IF(Contrato[[#This Row],[FECHA TERMINACIÓN ]]&lt;TODAY(), "Terminado",IF(ISNUMBER(Contrato[[#This Row],[Fecha Real de liquiidación ]]),"Liquidado",IF(Contrato[[#This Row],[FECHA TERMINACIÓN ]]&gt;=TODAY(),"En ejecución","")))</f>
        <v>#NAME?</v>
      </c>
      <c r="AL397" s="513">
        <f ca="1">SUMIF(COMPROMISOS_2025[[#All],[consecutivo]],Contrato[[#This Row],[RCP]],COMPROMISOS_2025[[#All],[Total pagado]])</f>
        <v>0</v>
      </c>
      <c r="AM397" s="122">
        <f ca="1">IFERROR(Contrato[[#This Row],[Pagos]]/Contrato[[#This Row],[VALOR CONTRATO]],0)</f>
        <v>0</v>
      </c>
      <c r="AN397" s="514">
        <f ca="1">+Contrato[[#This Row],[VALOR CONTRATO]]-Contrato[[#This Row],[Pagos]]</f>
        <v>200000000</v>
      </c>
      <c r="AO397" s="89" t="e" cm="1">
        <f t="array" aca="1" ref="AO397" ca="1">_xlfn.XLOOKUP(Contrato[[#This Row],[DOCUMENTO ]],PERSONAL_ACTIVO_2025[[#All],[DOCUMENTO]],PERSONAL_ACTIVO_2025[[#All],[email]],0,0)</f>
        <v>#NAME?</v>
      </c>
      <c r="AP397" s="89" t="e" cm="1">
        <f t="array" aca="1" ref="AP397" ca="1">_xlfn.XLOOKUP(Contrato[[#This Row],[DOCUMENTO]],PERSONAL_ACTIVO_2025[[#All],[DOCUMENTO]],PERSONAL_ACTIVO_2025[[#All],[email]],0,0)</f>
        <v>#NAME?</v>
      </c>
      <c r="AQ397" s="89" cm="1">
        <f t="array" aca="1" ref="AQ397" ca="1">IF(ISBLANK(Contrato[[#This Row],[DEPENDENCIA ]]),0,IFERROR(_xlfn.XLOOKUP(Contrato[[#This Row],[DEPENDENCIA ]],#REF!,#REF!,0,0),0))</f>
        <v>0</v>
      </c>
      <c r="AR397" s="555" t="e">
        <f ca="1">+_xlfn.DAYS(Contrato[[#This Row],[FECHA TERMINACIÓN ]],TODAY())</f>
        <v>#NAME?</v>
      </c>
    </row>
    <row r="398" spans="1:44" ht="120" x14ac:dyDescent="0.25">
      <c r="A398" s="499" t="s">
        <v>1647</v>
      </c>
      <c r="B398" s="500">
        <v>7572024</v>
      </c>
      <c r="C398" s="501" t="s">
        <v>1657</v>
      </c>
      <c r="D398" s="502" t="s">
        <v>905</v>
      </c>
      <c r="E398" s="498" t="s">
        <v>1658</v>
      </c>
      <c r="F398" s="502" t="s">
        <v>125</v>
      </c>
      <c r="G398" s="503" t="s">
        <v>1659</v>
      </c>
      <c r="H398" s="537">
        <v>900974762</v>
      </c>
      <c r="I398" s="504"/>
      <c r="J398" s="504"/>
      <c r="K398" s="499"/>
      <c r="L398" s="505" t="s">
        <v>1655</v>
      </c>
      <c r="M398" s="506"/>
      <c r="N398" s="507" t="e" cm="1">
        <f t="array" aca="1" ref="N398" ca="1">_xlfn.XLOOKUP(Contrato[[#This Row],[SUPERVISOR TITULAR]],PERSONAL_ACTIVO_2025[[#All],[NOMBRES Y APELLIDOS]],PERSONAL_ACTIVO_2025[[#All],[DOCUMENTO]],"",0)</f>
        <v>#NAME?</v>
      </c>
      <c r="O398" s="506"/>
      <c r="P398" s="508" t="e" cm="1">
        <f t="array" aca="1" ref="P398" ca="1">_xlfn.XLOOKUP(Contrato[[#This Row],[SUPERVISOR SUPLENTE ]],PERSONAL_ACTIVO_2025[[#All],[NOMBRES Y APELLIDOS]],PERSONAL_ACTIVO_2025[[#All],[DOCUMENTO]],"",0)</f>
        <v>#NAME?</v>
      </c>
      <c r="Q398" s="509"/>
      <c r="R398" s="539" t="e" cm="1">
        <f t="array" aca="1" ref="R398" ca="1">_xlfn.XLOOKUP(Contrato[[#This Row],[CDP]],#REF!,#REF!,"",0)</f>
        <v>#NAME?</v>
      </c>
      <c r="S398" s="540" t="e">
        <f>SUMIF(#REF!,Contrato[[#This Row],[CDP]],#REF!)</f>
        <v>#REF!</v>
      </c>
      <c r="T398" s="541" t="e" cm="1">
        <f t="array" aca="1" ref="T398" ca="1">_xlfn.XLOOKUP(Contrato[[#This Row],[CONTRATO]]&amp;Contrato[[#This Row],[CDP]],#REF!,#REF!,_xlfn.XLOOKUP(Contrato[[#This Row],[CDP]],#REF!,#REF!,"",0),0)</f>
        <v>#NAME?</v>
      </c>
      <c r="U398" s="539" t="e">
        <f ca="1">+_xlfn.XLOOKUP(Contrato[[#This Row],[RCP]],#REF!,#REF!,"",0)</f>
        <v>#NAME?</v>
      </c>
      <c r="V398" s="542" t="e">
        <f ca="1">SUMIF(#REF!,Contrato[[#This Row],[RCP]],#REF!)</f>
        <v>#REF!</v>
      </c>
      <c r="W398" s="510"/>
      <c r="X398" s="510"/>
      <c r="Y398" s="397" t="e">
        <f ca="1">+LEFT(_xlfn.XLOOKUP(Contrato[[#This Row],[CONTRATO3DIG]],SECOP_II!AE:AE,SECOP_II!F:F,"",0),10)</f>
        <v>#NAME?</v>
      </c>
      <c r="Z398" s="511" t="e">
        <f ca="1">+LEFT(_xlfn.XLOOKUP(Contrato[[#This Row],[CONTRATO3DIG]],SECOP_II!AE:AE,SECOP_II!G:G,"",0),10)</f>
        <v>#NAME?</v>
      </c>
      <c r="AA398" s="512"/>
      <c r="AB398" s="498"/>
      <c r="AC398" s="498"/>
      <c r="AD398" s="546"/>
      <c r="AE398" s="499"/>
      <c r="AF398" s="89" t="str">
        <f>TEXT(LEFT(Contrato[[#This Row],[CONTRATO]],3),"0")</f>
        <v>757</v>
      </c>
      <c r="AG398" s="89" t="str">
        <f>IF(LEN(Contrato[[#This Row],[Contrato2]])=3,Contrato[[#This Row],[Contrato2]],TEXT(Contrato[[#This Row],[Contrato2]],"000"))</f>
        <v>757</v>
      </c>
      <c r="AH398" s="90" t="str">
        <f ca="1">IFERROR(_xlfn.DAYS(Contrato[[#This Row],[Fecha Proyectada liquidación]],TODAY())/30,"")</f>
        <v/>
      </c>
      <c r="AI398" s="121" t="e">
        <f ca="1">+Contrato[[#This Row],[FECHA TERMINACIÓN ]]+120</f>
        <v>#NAME?</v>
      </c>
      <c r="AK398" s="91" t="e">
        <f ca="1">IF(Contrato[[#This Row],[FECHA TERMINACIÓN ]]&lt;TODAY(), "Terminado",IF(ISNUMBER(Contrato[[#This Row],[Fecha Real de liquiidación ]]),"Liquidado",IF(Contrato[[#This Row],[FECHA TERMINACIÓN ]]&gt;=TODAY(),"En ejecución","")))</f>
        <v>#NAME?</v>
      </c>
      <c r="AL398" s="513">
        <f ca="1">SUMIF(COMPROMISOS_2025[[#All],[consecutivo]],Contrato[[#This Row],[RCP]],COMPROMISOS_2025[[#All],[Total pagado]])</f>
        <v>0</v>
      </c>
      <c r="AM398" s="122">
        <f ca="1">IFERROR(Contrato[[#This Row],[Pagos]]/Contrato[[#This Row],[VALOR CONTRATO]],0)</f>
        <v>0</v>
      </c>
      <c r="AN398" s="514">
        <f ca="1">+Contrato[[#This Row],[VALOR CONTRATO]]-Contrato[[#This Row],[Pagos]]</f>
        <v>0</v>
      </c>
      <c r="AO398" s="89" t="e" cm="1">
        <f t="array" aca="1" ref="AO398" ca="1">_xlfn.XLOOKUP(Contrato[[#This Row],[DOCUMENTO ]],PERSONAL_ACTIVO_2025[[#All],[DOCUMENTO]],PERSONAL_ACTIVO_2025[[#All],[email]],0,0)</f>
        <v>#NAME?</v>
      </c>
      <c r="AP398" s="89" t="e" cm="1">
        <f t="array" aca="1" ref="AP398" ca="1">_xlfn.XLOOKUP(Contrato[[#This Row],[DOCUMENTO]],PERSONAL_ACTIVO_2025[[#All],[DOCUMENTO]],PERSONAL_ACTIVO_2025[[#All],[email]],0,0)</f>
        <v>#NAME?</v>
      </c>
      <c r="AQ398" s="89" cm="1">
        <f t="array" aca="1" ref="AQ398" ca="1">IF(ISBLANK(Contrato[[#This Row],[DEPENDENCIA ]]),0,IFERROR(_xlfn.XLOOKUP(Contrato[[#This Row],[DEPENDENCIA ]],#REF!,#REF!,0,0),0))</f>
        <v>0</v>
      </c>
      <c r="AR398" s="555" t="e">
        <f ca="1">+_xlfn.DAYS(Contrato[[#This Row],[FECHA TERMINACIÓN ]],TODAY())</f>
        <v>#NAME?</v>
      </c>
    </row>
  </sheetData>
  <protectedRanges>
    <protectedRange sqref="C43:C44 C47:C49 G43:H44 G47:H49 J52:J53 G23:H24 K13 I30 G1:J2 J3:J5 G6:J20 C1:C20" name="Rango1"/>
    <protectedRange sqref="G45:G46 G50:G60" name="Rango1_2"/>
    <protectedRange sqref="G61 G63" name="Rango1_2_1"/>
    <protectedRange sqref="AC180" name="Rango2_3_5"/>
    <protectedRange sqref="AC179" name="Rango2_6_4_1"/>
    <protectedRange sqref="AC183" name="Rango2_4_2"/>
    <protectedRange sqref="AC184" name="Rango2_1_1_1_1_3_6"/>
    <protectedRange sqref="AC190" name="Rango2_6_2_2"/>
    <protectedRange sqref="AC188" name="Rango2_6_4_3"/>
    <protectedRange sqref="AC191" name="Rango2_6_7"/>
    <protectedRange sqref="AC209" name="Rango2_6_2_1_1"/>
    <protectedRange sqref="AC194" name="Rango2_17_1_1"/>
  </protectedRanges>
  <phoneticPr fontId="7" type="noConversion"/>
  <conditionalFormatting sqref="AH2:AH398">
    <cfRule type="colorScale" priority="2">
      <colorScale>
        <cfvo type="num" val="1"/>
        <cfvo type="num" val="2"/>
        <cfvo type="num" val="3"/>
        <color rgb="FFF8696B"/>
        <color rgb="FFFFEB84"/>
        <color rgb="FF63BE7B"/>
      </colorScale>
    </cfRule>
  </conditionalFormatting>
  <dataValidations count="2">
    <dataValidation type="list" allowBlank="1" showInputMessage="1" showErrorMessage="1" sqref="AE25:AE74">
      <formula1>#REF!</formula1>
    </dataValidation>
    <dataValidation type="whole" operator="greaterThan" allowBlank="1" showInputMessage="1" showErrorMessage="1" error="Por favor, escriba un número sin comas ni códigos de verificación" sqref="AC183 AC194 AC191">
      <formula1>1</formula1>
    </dataValidation>
  </dataValidations>
  <hyperlinks>
    <hyperlink ref="AA6" r:id="rId1"/>
    <hyperlink ref="AA7" r:id="rId2"/>
    <hyperlink ref="AA8" r:id="rId3"/>
    <hyperlink ref="AA13" r:id="rId4"/>
    <hyperlink ref="AA14" r:id="rId5"/>
    <hyperlink ref="AA16" r:id="rId6"/>
    <hyperlink ref="AA15" r:id="rId7"/>
    <hyperlink ref="AA17" r:id="rId8"/>
    <hyperlink ref="AA18" r:id="rId9"/>
    <hyperlink ref="AA19" r:id="rId10"/>
    <hyperlink ref="AA20" r:id="rId11"/>
    <hyperlink ref="AA21" r:id="rId12"/>
    <hyperlink ref="AA22" r:id="rId13"/>
    <hyperlink ref="AA23" r:id="rId14"/>
    <hyperlink ref="AA24" r:id="rId15"/>
    <hyperlink ref="AA25" r:id="rId16"/>
    <hyperlink ref="AA26" r:id="rId17"/>
    <hyperlink ref="AA27" r:id="rId18"/>
    <hyperlink ref="AA29" r:id="rId19"/>
    <hyperlink ref="AA30" r:id="rId20"/>
    <hyperlink ref="AA31" r:id="rId21"/>
    <hyperlink ref="AA32" r:id="rId22"/>
    <hyperlink ref="AA33" r:id="rId23"/>
    <hyperlink ref="AA34" r:id="rId24"/>
    <hyperlink ref="AA36" r:id="rId25"/>
    <hyperlink ref="AA37" r:id="rId26"/>
    <hyperlink ref="AA38" r:id="rId27"/>
    <hyperlink ref="AA39" r:id="rId28"/>
    <hyperlink ref="AA40" r:id="rId29"/>
    <hyperlink ref="AA41" r:id="rId30"/>
    <hyperlink ref="AA42" r:id="rId31"/>
    <hyperlink ref="AA43" r:id="rId32"/>
    <hyperlink ref="AA44" r:id="rId33"/>
    <hyperlink ref="AA45" r:id="rId34"/>
    <hyperlink ref="AA46" r:id="rId35"/>
    <hyperlink ref="AA47" r:id="rId36"/>
    <hyperlink ref="AA48" r:id="rId37"/>
    <hyperlink ref="AA49" r:id="rId38"/>
    <hyperlink ref="AA50" r:id="rId39"/>
    <hyperlink ref="AA51" r:id="rId40"/>
    <hyperlink ref="AA52" r:id="rId41"/>
    <hyperlink ref="AA53" r:id="rId42"/>
    <hyperlink ref="AA54" r:id="rId43"/>
    <hyperlink ref="AA55" r:id="rId44"/>
    <hyperlink ref="AA59" r:id="rId45"/>
    <hyperlink ref="AA60" r:id="rId46"/>
    <hyperlink ref="AA61" r:id="rId47"/>
    <hyperlink ref="AA62" r:id="rId48"/>
    <hyperlink ref="AA63" r:id="rId49"/>
    <hyperlink ref="AA66" r:id="rId50"/>
    <hyperlink ref="AA28" r:id="rId51"/>
    <hyperlink ref="AA35" r:id="rId52"/>
    <hyperlink ref="AA56" r:id="rId53"/>
    <hyperlink ref="AA57" r:id="rId54"/>
    <hyperlink ref="AA58" r:id="rId55"/>
    <hyperlink ref="AA64" r:id="rId56"/>
    <hyperlink ref="AA65" r:id="rId57"/>
    <hyperlink ref="AA68" r:id="rId58"/>
    <hyperlink ref="AA69" r:id="rId59"/>
    <hyperlink ref="AA70" r:id="rId60"/>
    <hyperlink ref="AA71" r:id="rId61"/>
    <hyperlink ref="AA72" r:id="rId62"/>
    <hyperlink ref="AA73" r:id="rId63"/>
    <hyperlink ref="AA74" r:id="rId64"/>
    <hyperlink ref="AA75" r:id="rId65"/>
    <hyperlink ref="AA76" r:id="rId66"/>
    <hyperlink ref="AA77" r:id="rId67"/>
    <hyperlink ref="AA80" r:id="rId68"/>
    <hyperlink ref="AA81" r:id="rId69"/>
    <hyperlink ref="AA221" r:id="rId70"/>
    <hyperlink ref="AA245" r:id="rId71"/>
    <hyperlink ref="AA247" r:id="rId72"/>
    <hyperlink ref="AA248" r:id="rId73"/>
    <hyperlink ref="AA249" r:id="rId74"/>
    <hyperlink ref="AA250" r:id="rId75"/>
    <hyperlink ref="AA84" r:id="rId76"/>
    <hyperlink ref="AA86" r:id="rId77"/>
    <hyperlink ref="AA90" r:id="rId78"/>
    <hyperlink ref="AA91" r:id="rId79"/>
    <hyperlink ref="AA92" r:id="rId80"/>
    <hyperlink ref="AA93" r:id="rId81"/>
    <hyperlink ref="AA94" r:id="rId82"/>
    <hyperlink ref="AA95" r:id="rId83"/>
    <hyperlink ref="AA96" r:id="rId84"/>
    <hyperlink ref="AA97" r:id="rId85"/>
    <hyperlink ref="AA98" r:id="rId86"/>
    <hyperlink ref="AA99" r:id="rId87"/>
    <hyperlink ref="AA100" r:id="rId88"/>
    <hyperlink ref="AA101" r:id="rId89"/>
    <hyperlink ref="AA102" r:id="rId90"/>
    <hyperlink ref="AA103" r:id="rId91"/>
    <hyperlink ref="AA104" r:id="rId92"/>
    <hyperlink ref="AA105" r:id="rId93"/>
    <hyperlink ref="AA106" r:id="rId94"/>
    <hyperlink ref="AA107" r:id="rId95"/>
    <hyperlink ref="AA108" r:id="rId96"/>
    <hyperlink ref="AA109" r:id="rId97"/>
    <hyperlink ref="AA110" r:id="rId98"/>
    <hyperlink ref="AA111" r:id="rId99"/>
    <hyperlink ref="AA112" r:id="rId100"/>
    <hyperlink ref="AA113" r:id="rId101"/>
    <hyperlink ref="AA114" r:id="rId102"/>
    <hyperlink ref="AA115" r:id="rId103"/>
    <hyperlink ref="AA116" r:id="rId104"/>
    <hyperlink ref="AA117" r:id="rId105"/>
    <hyperlink ref="AA118" r:id="rId106"/>
    <hyperlink ref="AA119" r:id="rId107"/>
    <hyperlink ref="AA120" r:id="rId108"/>
    <hyperlink ref="AA121" r:id="rId109"/>
    <hyperlink ref="AA122" r:id="rId110"/>
    <hyperlink ref="AA123" r:id="rId111"/>
    <hyperlink ref="AA124" r:id="rId112"/>
    <hyperlink ref="AA125" r:id="rId113"/>
    <hyperlink ref="AA126" r:id="rId114"/>
    <hyperlink ref="AA127" r:id="rId115"/>
    <hyperlink ref="AA128" r:id="rId116"/>
    <hyperlink ref="AA129" r:id="rId117"/>
    <hyperlink ref="AA130" r:id="rId118"/>
    <hyperlink ref="AA131" r:id="rId119"/>
    <hyperlink ref="AA132" r:id="rId120"/>
    <hyperlink ref="AA133" r:id="rId121"/>
    <hyperlink ref="AA134" r:id="rId122"/>
    <hyperlink ref="AA135" r:id="rId123"/>
    <hyperlink ref="AA136" r:id="rId124"/>
    <hyperlink ref="AA137" r:id="rId125"/>
    <hyperlink ref="AA138" r:id="rId126"/>
    <hyperlink ref="AA139" r:id="rId127"/>
    <hyperlink ref="AA140" r:id="rId128"/>
    <hyperlink ref="AA141" r:id="rId129"/>
    <hyperlink ref="AA142" r:id="rId130"/>
    <hyperlink ref="AA143" r:id="rId131"/>
    <hyperlink ref="AA144" r:id="rId132"/>
    <hyperlink ref="AA145" r:id="rId133"/>
    <hyperlink ref="AA146" r:id="rId134"/>
    <hyperlink ref="AA147" r:id="rId135"/>
    <hyperlink ref="AA148" r:id="rId136"/>
    <hyperlink ref="AA149" r:id="rId137"/>
    <hyperlink ref="AA150" r:id="rId138"/>
    <hyperlink ref="AA151" r:id="rId139"/>
    <hyperlink ref="AA152" r:id="rId140"/>
    <hyperlink ref="AA153" r:id="rId141"/>
    <hyperlink ref="AA154" r:id="rId142"/>
    <hyperlink ref="AA155" r:id="rId143"/>
    <hyperlink ref="AA156" r:id="rId144"/>
    <hyperlink ref="AA157" r:id="rId145"/>
    <hyperlink ref="AA158" r:id="rId146"/>
    <hyperlink ref="AA159" r:id="rId147"/>
    <hyperlink ref="AA160" r:id="rId148"/>
    <hyperlink ref="AA161" r:id="rId149"/>
    <hyperlink ref="AA162" r:id="rId150"/>
    <hyperlink ref="AA163" r:id="rId151"/>
    <hyperlink ref="AA164" r:id="rId152"/>
    <hyperlink ref="AA165" r:id="rId153"/>
    <hyperlink ref="AA166" r:id="rId154"/>
    <hyperlink ref="AA167" r:id="rId155"/>
    <hyperlink ref="AA168" r:id="rId156"/>
    <hyperlink ref="AA169" r:id="rId157"/>
    <hyperlink ref="AA170" r:id="rId158"/>
    <hyperlink ref="AA171" r:id="rId159"/>
    <hyperlink ref="AA172" r:id="rId160"/>
    <hyperlink ref="AA173" r:id="rId161"/>
    <hyperlink ref="AA174" r:id="rId162"/>
    <hyperlink ref="AA175" r:id="rId163"/>
    <hyperlink ref="AA176" r:id="rId164"/>
    <hyperlink ref="AA177" r:id="rId165"/>
    <hyperlink ref="AA178" r:id="rId166"/>
    <hyperlink ref="AA179" r:id="rId167"/>
    <hyperlink ref="AA180" r:id="rId168"/>
    <hyperlink ref="AA181" r:id="rId169"/>
    <hyperlink ref="AA182" r:id="rId170"/>
    <hyperlink ref="AA183" r:id="rId171"/>
    <hyperlink ref="AA184" r:id="rId172"/>
    <hyperlink ref="AA185" r:id="rId173"/>
    <hyperlink ref="AA186" r:id="rId174"/>
    <hyperlink ref="AA187" r:id="rId175"/>
    <hyperlink ref="AA188" r:id="rId176"/>
    <hyperlink ref="AA189" r:id="rId177"/>
    <hyperlink ref="AA190" r:id="rId178"/>
    <hyperlink ref="AA191" r:id="rId179"/>
    <hyperlink ref="AA192" r:id="rId180"/>
    <hyperlink ref="AA193" r:id="rId181"/>
    <hyperlink ref="AA194" r:id="rId182"/>
    <hyperlink ref="AA195" r:id="rId183"/>
    <hyperlink ref="AA196" r:id="rId184"/>
    <hyperlink ref="AA197" r:id="rId185"/>
    <hyperlink ref="AA198" r:id="rId186"/>
    <hyperlink ref="AA199" r:id="rId187"/>
    <hyperlink ref="AA200" r:id="rId188"/>
    <hyperlink ref="AA201" r:id="rId189"/>
    <hyperlink ref="AA202" r:id="rId190"/>
    <hyperlink ref="AA203" r:id="rId191"/>
    <hyperlink ref="AA204" r:id="rId192"/>
    <hyperlink ref="AA205" r:id="rId193"/>
    <hyperlink ref="AA206" r:id="rId194"/>
    <hyperlink ref="AA207" r:id="rId195"/>
    <hyperlink ref="AA208" r:id="rId196"/>
    <hyperlink ref="AA209" r:id="rId197"/>
    <hyperlink ref="AA210" r:id="rId198"/>
    <hyperlink ref="AA211" r:id="rId199"/>
    <hyperlink ref="AA212" r:id="rId200"/>
    <hyperlink ref="AA213" r:id="rId201"/>
    <hyperlink ref="AA214" r:id="rId202"/>
    <hyperlink ref="AA215" r:id="rId203"/>
    <hyperlink ref="AA216" r:id="rId204"/>
    <hyperlink ref="AA218" r:id="rId205"/>
    <hyperlink ref="AA222" r:id="rId206"/>
    <hyperlink ref="AA223" r:id="rId207"/>
    <hyperlink ref="AA224" r:id="rId208"/>
    <hyperlink ref="AA225" r:id="rId209"/>
    <hyperlink ref="AA226" r:id="rId210"/>
    <hyperlink ref="AA227" r:id="rId211"/>
    <hyperlink ref="AA228" r:id="rId212"/>
    <hyperlink ref="AA229" r:id="rId213"/>
    <hyperlink ref="AA231" r:id="rId214"/>
    <hyperlink ref="AA232" r:id="rId215"/>
    <hyperlink ref="AA233" r:id="rId216"/>
    <hyperlink ref="AA234" r:id="rId217"/>
    <hyperlink ref="AA235" r:id="rId218"/>
    <hyperlink ref="AA236" r:id="rId219"/>
    <hyperlink ref="AA237" r:id="rId220"/>
    <hyperlink ref="AA238" r:id="rId221"/>
    <hyperlink ref="AA239" r:id="rId222"/>
    <hyperlink ref="AA240" r:id="rId223"/>
    <hyperlink ref="AA241" r:id="rId224"/>
    <hyperlink ref="AA242" r:id="rId225"/>
    <hyperlink ref="AA243" r:id="rId226"/>
    <hyperlink ref="AA244" r:id="rId227"/>
    <hyperlink ref="AA246" r:id="rId228"/>
    <hyperlink ref="AA251" r:id="rId229"/>
    <hyperlink ref="AA254" r:id="rId230"/>
    <hyperlink ref="AA256" r:id="rId231"/>
    <hyperlink ref="AA258" r:id="rId232"/>
    <hyperlink ref="AA259" r:id="rId233"/>
    <hyperlink ref="AA260" r:id="rId234"/>
    <hyperlink ref="AA262" r:id="rId235"/>
    <hyperlink ref="AA252" r:id="rId236"/>
    <hyperlink ref="AA253" r:id="rId237"/>
    <hyperlink ref="AA255" r:id="rId238"/>
    <hyperlink ref="AA257" r:id="rId239"/>
    <hyperlink ref="AA261" r:id="rId240"/>
    <hyperlink ref="AA263" r:id="rId241"/>
    <hyperlink ref="AA264" r:id="rId242"/>
    <hyperlink ref="AA331" r:id="rId243"/>
    <hyperlink ref="AA332" r:id="rId244"/>
    <hyperlink ref="AA334" r:id="rId245"/>
    <hyperlink ref="AA335" r:id="rId246"/>
    <hyperlink ref="AA336" r:id="rId247"/>
    <hyperlink ref="AA338" r:id="rId248"/>
    <hyperlink ref="AA339" r:id="rId249"/>
    <hyperlink ref="AA340" r:id="rId250"/>
    <hyperlink ref="AA341" r:id="rId251"/>
    <hyperlink ref="AA342" r:id="rId252"/>
    <hyperlink ref="AA343" r:id="rId253"/>
    <hyperlink ref="AA344" r:id="rId254"/>
    <hyperlink ref="AA345" r:id="rId255"/>
    <hyperlink ref="AA346" r:id="rId256"/>
    <hyperlink ref="AA347" r:id="rId257"/>
    <hyperlink ref="AA348" r:id="rId258"/>
    <hyperlink ref="AA349" r:id="rId259"/>
    <hyperlink ref="AA350" r:id="rId260"/>
    <hyperlink ref="AA351" r:id="rId261"/>
    <hyperlink ref="AA353" r:id="rId262"/>
    <hyperlink ref="AA356" r:id="rId263"/>
    <hyperlink ref="AA357" r:id="rId264"/>
    <hyperlink ref="AA359" r:id="rId265"/>
    <hyperlink ref="AA266" r:id="rId266"/>
    <hyperlink ref="AA284" r:id="rId267"/>
    <hyperlink ref="AA283" r:id="rId268"/>
    <hyperlink ref="AA282" r:id="rId269"/>
    <hyperlink ref="AA281" r:id="rId270"/>
    <hyperlink ref="AA280" r:id="rId271"/>
    <hyperlink ref="AA279" r:id="rId272"/>
    <hyperlink ref="AA278" r:id="rId273"/>
    <hyperlink ref="AA277" r:id="rId274"/>
    <hyperlink ref="AA276" r:id="rId275"/>
    <hyperlink ref="AA275" r:id="rId276"/>
    <hyperlink ref="AA274" r:id="rId277"/>
    <hyperlink ref="AA273" r:id="rId278"/>
    <hyperlink ref="AA272" r:id="rId279"/>
    <hyperlink ref="AA271" r:id="rId280"/>
    <hyperlink ref="AA270" r:id="rId281"/>
    <hyperlink ref="AA269" r:id="rId282"/>
    <hyperlink ref="AA268" r:id="rId283"/>
    <hyperlink ref="AA267" r:id="rId284"/>
    <hyperlink ref="AA265" r:id="rId285"/>
    <hyperlink ref="AA285" r:id="rId286"/>
    <hyperlink ref="AA337" r:id="rId287"/>
    <hyperlink ref="AA333" r:id="rId288"/>
    <hyperlink ref="AA352" r:id="rId289"/>
    <hyperlink ref="AA354" r:id="rId290"/>
    <hyperlink ref="AA355" r:id="rId291"/>
    <hyperlink ref="AA361" r:id="rId292"/>
    <hyperlink ref="AA364" r:id="rId293"/>
    <hyperlink ref="AA366" r:id="rId294"/>
    <hyperlink ref="AA367" r:id="rId295"/>
    <hyperlink ref="AA368" r:id="rId296"/>
    <hyperlink ref="AA369" r:id="rId297"/>
    <hyperlink ref="AA371" r:id="rId298"/>
    <hyperlink ref="AA372" r:id="rId299"/>
    <hyperlink ref="AA378" r:id="rId300"/>
    <hyperlink ref="AA380" r:id="rId301"/>
    <hyperlink ref="AA385" r:id="rId302"/>
    <hyperlink ref="AA370" r:id="rId303"/>
    <hyperlink ref="AA377" r:id="rId304"/>
    <hyperlink ref="AA373" r:id="rId305"/>
    <hyperlink ref="AA376" r:id="rId306"/>
    <hyperlink ref="AA375" r:id="rId307"/>
    <hyperlink ref="AA363" r:id="rId308"/>
    <hyperlink ref="AA374" r:id="rId309"/>
    <hyperlink ref="AA387" r:id="rId310"/>
  </hyperlinks>
  <pageMargins left="0.7" right="0.7" top="0.75" bottom="0.75" header="0.3" footer="0.3"/>
  <pageSetup orientation="portrait" r:id="rId311"/>
  <legacyDrawing r:id="rId312"/>
  <tableParts count="1">
    <tablePart r:id="rId313"/>
  </tableParts>
  <extLst>
    <ext xmlns:x14="http://schemas.microsoft.com/office/spreadsheetml/2009/9/main" uri="{CCE6A557-97BC-4b89-ADB6-D9C93CAAB3DF}">
      <x14:dataValidations xmlns:xm="http://schemas.microsoft.com/office/excel/2006/main" count="2">
        <x14:dataValidation type="list" allowBlank="1" showInputMessage="1" showErrorMessage="1">
          <x14:formula1>
            <xm:f>PERSONAL_ACTIVO_2025!$I$2:$I$131</xm:f>
          </x14:formula1>
          <xm:sqref>M2:M76 O4:O249 O251:O368 M78:M368 M370:M387 O370:O385 O387 M394:M395 O395 M391:M392 O391:O392</xm:sqref>
        </x14:dataValidation>
        <x14:dataValidation type="list" allowBlank="1" showInputMessage="1" showErrorMessage="1">
          <x14:formula1>
            <xm:f>DEPENDECIA!$A$2:$A$13</xm:f>
          </x14:formula1>
          <xm:sqref>D2:D398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E25"/>
  <sheetViews>
    <sheetView zoomScale="145" zoomScaleNormal="145" workbookViewId="0">
      <selection activeCell="E4" sqref="E4"/>
    </sheetView>
  </sheetViews>
  <sheetFormatPr baseColWidth="10" defaultColWidth="11.42578125" defaultRowHeight="15" x14ac:dyDescent="0.25"/>
  <cols>
    <col min="1" max="1" width="18.85546875" bestFit="1" customWidth="1"/>
    <col min="2" max="2" width="19.28515625" bestFit="1" customWidth="1"/>
    <col min="4" max="4" width="14.28515625" customWidth="1"/>
    <col min="6" max="6" width="17.85546875" bestFit="1" customWidth="1"/>
  </cols>
  <sheetData>
    <row r="1" spans="1:5" x14ac:dyDescent="0.25">
      <c r="A1" s="106" t="s">
        <v>1660</v>
      </c>
      <c r="B1" s="106" t="s">
        <v>1661</v>
      </c>
      <c r="C1" s="106" t="s">
        <v>1662</v>
      </c>
      <c r="D1" s="106" t="s">
        <v>1663</v>
      </c>
      <c r="E1" s="106" t="s">
        <v>1664</v>
      </c>
    </row>
    <row r="2" spans="1:5" x14ac:dyDescent="0.25">
      <c r="A2" s="24">
        <v>10282125822</v>
      </c>
      <c r="B2" s="25" t="s">
        <v>1665</v>
      </c>
      <c r="C2" s="26">
        <v>45726</v>
      </c>
      <c r="D2" s="1">
        <v>2025000244</v>
      </c>
      <c r="E2" s="26">
        <v>45742</v>
      </c>
    </row>
    <row r="3" spans="1:5" x14ac:dyDescent="0.25">
      <c r="A3" s="24">
        <v>10282125821</v>
      </c>
      <c r="B3" s="25" t="s">
        <v>1665</v>
      </c>
      <c r="C3" s="26">
        <v>45726</v>
      </c>
      <c r="D3" s="1">
        <v>2025000255</v>
      </c>
      <c r="E3" s="26">
        <v>45747</v>
      </c>
    </row>
    <row r="4" spans="1:5" x14ac:dyDescent="0.25">
      <c r="A4" s="24"/>
      <c r="B4" s="25"/>
      <c r="C4" s="26"/>
      <c r="D4" s="1"/>
      <c r="E4" s="26"/>
    </row>
    <row r="5" spans="1:5" x14ac:dyDescent="0.25">
      <c r="A5" s="24"/>
      <c r="B5" s="25"/>
      <c r="C5" s="26"/>
      <c r="D5" s="1"/>
      <c r="E5" s="26"/>
    </row>
    <row r="6" spans="1:5" x14ac:dyDescent="0.25">
      <c r="A6" s="24"/>
      <c r="B6" s="25"/>
      <c r="C6" s="26"/>
      <c r="D6" s="1"/>
      <c r="E6" s="26"/>
    </row>
    <row r="7" spans="1:5" x14ac:dyDescent="0.25">
      <c r="A7" s="24"/>
      <c r="B7" s="25"/>
      <c r="C7" s="26"/>
      <c r="D7" s="1"/>
      <c r="E7" s="26"/>
    </row>
    <row r="8" spans="1:5" x14ac:dyDescent="0.25">
      <c r="A8" s="24"/>
      <c r="B8" s="25"/>
      <c r="C8" s="26"/>
      <c r="D8" s="1"/>
      <c r="E8" s="26"/>
    </row>
    <row r="9" spans="1:5" x14ac:dyDescent="0.25">
      <c r="A9" s="24"/>
      <c r="B9" s="25"/>
      <c r="C9" s="26"/>
      <c r="D9" s="1"/>
      <c r="E9" s="26"/>
    </row>
    <row r="10" spans="1:5" x14ac:dyDescent="0.25">
      <c r="A10" s="24"/>
      <c r="B10" s="25"/>
      <c r="C10" s="26"/>
      <c r="D10" s="1"/>
      <c r="E10" s="26"/>
    </row>
    <row r="11" spans="1:5" x14ac:dyDescent="0.25">
      <c r="A11" s="24"/>
      <c r="B11" s="25"/>
      <c r="C11" s="26"/>
      <c r="D11" s="1"/>
      <c r="E11" s="26"/>
    </row>
    <row r="12" spans="1:5" x14ac:dyDescent="0.25">
      <c r="A12" s="24"/>
      <c r="B12" s="25"/>
      <c r="C12" s="26"/>
      <c r="D12" s="1"/>
      <c r="E12" s="26"/>
    </row>
    <row r="13" spans="1:5" x14ac:dyDescent="0.25">
      <c r="A13" s="24"/>
      <c r="B13" s="25"/>
      <c r="C13" s="26"/>
      <c r="D13" s="1"/>
      <c r="E13" s="26"/>
    </row>
    <row r="14" spans="1:5" x14ac:dyDescent="0.25">
      <c r="A14" s="24"/>
      <c r="B14" s="25"/>
      <c r="C14" s="1"/>
      <c r="D14" s="1"/>
      <c r="E14" s="1"/>
    </row>
    <row r="15" spans="1:5" x14ac:dyDescent="0.25">
      <c r="A15" s="24"/>
      <c r="B15" s="25"/>
      <c r="C15" s="1"/>
      <c r="D15" s="1"/>
      <c r="E15" s="1"/>
    </row>
    <row r="16" spans="1:5" x14ac:dyDescent="0.25">
      <c r="A16" s="24"/>
      <c r="B16" s="25"/>
      <c r="C16" s="1"/>
      <c r="D16" s="1"/>
      <c r="E16" s="1"/>
    </row>
    <row r="17" spans="1:2" x14ac:dyDescent="0.25">
      <c r="A17" s="20">
        <f>+SUM(A2:A16)</f>
        <v>20564251643</v>
      </c>
    </row>
    <row r="18" spans="1:2" x14ac:dyDescent="0.25">
      <c r="A18" s="20"/>
    </row>
    <row r="19" spans="1:2" x14ac:dyDescent="0.25">
      <c r="A19" s="20"/>
    </row>
    <row r="20" spans="1:2" x14ac:dyDescent="0.25">
      <c r="A20" s="20"/>
      <c r="B20" t="s">
        <v>5</v>
      </c>
    </row>
    <row r="21" spans="1:2" ht="18" customHeight="1" x14ac:dyDescent="0.25"/>
    <row r="22" spans="1:2" x14ac:dyDescent="0.25">
      <c r="A22" t="s">
        <v>1666</v>
      </c>
      <c r="B22" s="20">
        <v>77118135531</v>
      </c>
    </row>
    <row r="23" spans="1:2" x14ac:dyDescent="0.25">
      <c r="A23" t="s">
        <v>1667</v>
      </c>
      <c r="B23" s="21">
        <f>+A17</f>
        <v>20564251643</v>
      </c>
    </row>
    <row r="25" spans="1:2" x14ac:dyDescent="0.25">
      <c r="A25" t="s">
        <v>1668</v>
      </c>
      <c r="B25" s="21">
        <f>+B22+B23</f>
        <v>97682387174</v>
      </c>
    </row>
  </sheetData>
  <pageMargins left="0.7" right="0.7" top="0.75" bottom="0.75" header="0.3" footer="0.3"/>
  <pageSetup orientation="portrait"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82"/>
  <sheetViews>
    <sheetView topLeftCell="J1" workbookViewId="0">
      <selection activeCell="J37" sqref="J37"/>
    </sheetView>
  </sheetViews>
  <sheetFormatPr baseColWidth="10" defaultColWidth="11.42578125" defaultRowHeight="15" x14ac:dyDescent="0.25"/>
  <cols>
    <col min="1" max="1" width="13.28515625" bestFit="1" customWidth="1"/>
    <col min="2" max="2" width="18.5703125" bestFit="1" customWidth="1"/>
    <col min="3" max="3" width="80.85546875" bestFit="1" customWidth="1"/>
    <col min="4" max="4" width="17.7109375" bestFit="1" customWidth="1"/>
    <col min="5" max="5" width="18" bestFit="1" customWidth="1"/>
    <col min="6" max="6" width="51.85546875" bestFit="1" customWidth="1"/>
    <col min="7" max="7" width="6.42578125" bestFit="1" customWidth="1"/>
    <col min="8" max="8" width="38.85546875" bestFit="1" customWidth="1"/>
    <col min="9" max="9" width="80.85546875" bestFit="1" customWidth="1"/>
    <col min="10" max="10" width="18.140625" bestFit="1" customWidth="1"/>
    <col min="11" max="11" width="21.85546875" bestFit="1" customWidth="1"/>
    <col min="12" max="12" width="11.7109375" bestFit="1" customWidth="1"/>
    <col min="13" max="13" width="19.5703125" bestFit="1" customWidth="1"/>
    <col min="14" max="14" width="16.7109375" bestFit="1" customWidth="1"/>
    <col min="15" max="15" width="11" bestFit="1" customWidth="1"/>
  </cols>
  <sheetData>
    <row r="1" spans="1:15" x14ac:dyDescent="0.25">
      <c r="A1" t="s">
        <v>1669</v>
      </c>
      <c r="B1" t="s">
        <v>1670</v>
      </c>
      <c r="C1" t="s">
        <v>1671</v>
      </c>
      <c r="D1" t="s">
        <v>1672</v>
      </c>
      <c r="E1" t="s">
        <v>1673</v>
      </c>
      <c r="F1" t="s">
        <v>1674</v>
      </c>
      <c r="G1" t="s">
        <v>1675</v>
      </c>
      <c r="H1" t="s">
        <v>1676</v>
      </c>
      <c r="I1" t="s">
        <v>1677</v>
      </c>
      <c r="J1" t="s">
        <v>1678</v>
      </c>
      <c r="K1" t="s">
        <v>1679</v>
      </c>
      <c r="L1" t="s">
        <v>1680</v>
      </c>
      <c r="M1" t="s">
        <v>1681</v>
      </c>
      <c r="N1" t="s">
        <v>1682</v>
      </c>
      <c r="O1" t="s">
        <v>1683</v>
      </c>
    </row>
    <row r="2" spans="1:15" x14ac:dyDescent="0.25">
      <c r="A2">
        <v>6</v>
      </c>
      <c r="B2" t="s">
        <v>1684</v>
      </c>
      <c r="C2" t="s">
        <v>1685</v>
      </c>
      <c r="D2">
        <v>1</v>
      </c>
      <c r="E2">
        <v>372593890</v>
      </c>
      <c r="F2" t="s">
        <v>1686</v>
      </c>
      <c r="G2">
        <v>2025</v>
      </c>
      <c r="H2" t="s">
        <v>45</v>
      </c>
      <c r="I2" t="s">
        <v>1687</v>
      </c>
      <c r="J2" t="s">
        <v>1688</v>
      </c>
      <c r="K2" t="s">
        <v>1686</v>
      </c>
      <c r="L2">
        <v>0</v>
      </c>
      <c r="M2">
        <v>372593890</v>
      </c>
      <c r="N2">
        <v>0</v>
      </c>
      <c r="O2">
        <v>0</v>
      </c>
    </row>
    <row r="3" spans="1:15" x14ac:dyDescent="0.25">
      <c r="A3">
        <v>61</v>
      </c>
      <c r="B3" t="s">
        <v>1689</v>
      </c>
      <c r="C3" t="s">
        <v>1690</v>
      </c>
      <c r="D3">
        <v>1</v>
      </c>
      <c r="E3">
        <v>417731988</v>
      </c>
      <c r="F3" t="s">
        <v>1686</v>
      </c>
      <c r="G3">
        <v>2025</v>
      </c>
      <c r="H3" t="s">
        <v>45</v>
      </c>
      <c r="I3" t="s">
        <v>1687</v>
      </c>
      <c r="J3" t="s">
        <v>1688</v>
      </c>
      <c r="K3" t="s">
        <v>1686</v>
      </c>
      <c r="L3">
        <v>0</v>
      </c>
      <c r="M3">
        <v>417731988</v>
      </c>
      <c r="N3">
        <v>0</v>
      </c>
      <c r="O3">
        <v>0</v>
      </c>
    </row>
    <row r="4" spans="1:15" x14ac:dyDescent="0.25">
      <c r="A4">
        <v>319</v>
      </c>
      <c r="B4" t="s">
        <v>1691</v>
      </c>
      <c r="C4" t="s">
        <v>1692</v>
      </c>
      <c r="D4">
        <v>1</v>
      </c>
      <c r="E4">
        <v>443442832</v>
      </c>
      <c r="F4" t="s">
        <v>1686</v>
      </c>
      <c r="G4">
        <v>2025</v>
      </c>
      <c r="H4" t="s">
        <v>45</v>
      </c>
      <c r="I4" t="s">
        <v>1687</v>
      </c>
      <c r="J4" t="s">
        <v>1688</v>
      </c>
      <c r="K4" t="s">
        <v>1686</v>
      </c>
      <c r="L4">
        <v>0</v>
      </c>
      <c r="M4">
        <v>443442832</v>
      </c>
      <c r="N4">
        <v>0</v>
      </c>
      <c r="O4">
        <v>0</v>
      </c>
    </row>
    <row r="5" spans="1:15" x14ac:dyDescent="0.25">
      <c r="A5">
        <v>356</v>
      </c>
      <c r="B5" t="s">
        <v>1693</v>
      </c>
      <c r="C5" t="s">
        <v>1694</v>
      </c>
      <c r="D5">
        <v>1</v>
      </c>
      <c r="E5">
        <v>19374888</v>
      </c>
      <c r="F5" t="s">
        <v>1686</v>
      </c>
      <c r="G5">
        <v>2025</v>
      </c>
      <c r="H5" t="s">
        <v>45</v>
      </c>
      <c r="I5" t="s">
        <v>1687</v>
      </c>
      <c r="J5" t="s">
        <v>1688</v>
      </c>
      <c r="K5" t="s">
        <v>1686</v>
      </c>
      <c r="L5">
        <v>0</v>
      </c>
      <c r="M5">
        <v>19374888</v>
      </c>
      <c r="N5">
        <v>0</v>
      </c>
      <c r="O5">
        <v>0</v>
      </c>
    </row>
    <row r="6" spans="1:15" x14ac:dyDescent="0.25">
      <c r="A6">
        <v>381</v>
      </c>
      <c r="B6" t="s">
        <v>1695</v>
      </c>
      <c r="C6" t="s">
        <v>1696</v>
      </c>
      <c r="D6">
        <v>1</v>
      </c>
      <c r="E6">
        <v>444422079</v>
      </c>
      <c r="F6" t="s">
        <v>1686</v>
      </c>
      <c r="G6">
        <v>2025</v>
      </c>
      <c r="H6" t="s">
        <v>45</v>
      </c>
      <c r="I6" t="s">
        <v>1687</v>
      </c>
      <c r="J6" t="s">
        <v>1688</v>
      </c>
      <c r="K6" t="s">
        <v>1686</v>
      </c>
      <c r="L6">
        <v>0</v>
      </c>
      <c r="M6">
        <v>444422079</v>
      </c>
      <c r="N6">
        <v>0</v>
      </c>
      <c r="O6">
        <v>0</v>
      </c>
    </row>
    <row r="7" spans="1:15" x14ac:dyDescent="0.25">
      <c r="A7">
        <v>412</v>
      </c>
      <c r="B7" t="s">
        <v>1697</v>
      </c>
      <c r="C7" t="s">
        <v>1698</v>
      </c>
      <c r="D7">
        <v>1</v>
      </c>
      <c r="E7">
        <v>443563183</v>
      </c>
      <c r="F7" t="s">
        <v>1686</v>
      </c>
      <c r="G7">
        <v>2025</v>
      </c>
      <c r="H7" t="s">
        <v>45</v>
      </c>
      <c r="I7" t="s">
        <v>1687</v>
      </c>
      <c r="J7" t="s">
        <v>1688</v>
      </c>
      <c r="K7" t="s">
        <v>1686</v>
      </c>
      <c r="L7">
        <v>0</v>
      </c>
      <c r="M7">
        <v>443563183</v>
      </c>
      <c r="N7">
        <v>0</v>
      </c>
      <c r="O7">
        <v>0</v>
      </c>
    </row>
    <row r="8" spans="1:15" x14ac:dyDescent="0.25">
      <c r="A8">
        <v>435</v>
      </c>
      <c r="B8" t="s">
        <v>1699</v>
      </c>
      <c r="C8" t="s">
        <v>1700</v>
      </c>
      <c r="D8">
        <v>1</v>
      </c>
      <c r="E8">
        <v>443116304</v>
      </c>
      <c r="F8" t="s">
        <v>1686</v>
      </c>
      <c r="G8">
        <v>2025</v>
      </c>
      <c r="H8" t="s">
        <v>45</v>
      </c>
      <c r="I8" t="s">
        <v>1687</v>
      </c>
      <c r="J8" t="s">
        <v>1688</v>
      </c>
      <c r="K8" t="s">
        <v>1686</v>
      </c>
      <c r="L8">
        <v>0</v>
      </c>
      <c r="M8">
        <v>443116304</v>
      </c>
      <c r="N8">
        <v>0</v>
      </c>
      <c r="O8">
        <v>0</v>
      </c>
    </row>
    <row r="9" spans="1:15" x14ac:dyDescent="0.25">
      <c r="A9">
        <v>319</v>
      </c>
      <c r="B9" t="s">
        <v>1691</v>
      </c>
      <c r="C9" t="s">
        <v>1692</v>
      </c>
      <c r="D9">
        <v>2</v>
      </c>
      <c r="E9">
        <v>4886547</v>
      </c>
      <c r="F9" t="s">
        <v>1686</v>
      </c>
      <c r="G9">
        <v>2025</v>
      </c>
      <c r="H9" t="s">
        <v>50</v>
      </c>
      <c r="I9" t="s">
        <v>1701</v>
      </c>
      <c r="J9" t="s">
        <v>1688</v>
      </c>
      <c r="K9" t="s">
        <v>1686</v>
      </c>
      <c r="L9">
        <v>0</v>
      </c>
      <c r="M9">
        <v>4886547</v>
      </c>
      <c r="N9">
        <v>0</v>
      </c>
      <c r="O9">
        <v>0</v>
      </c>
    </row>
    <row r="10" spans="1:15" x14ac:dyDescent="0.25">
      <c r="A10">
        <v>412</v>
      </c>
      <c r="B10" t="s">
        <v>1697</v>
      </c>
      <c r="C10" t="s">
        <v>1698</v>
      </c>
      <c r="D10">
        <v>2</v>
      </c>
      <c r="E10">
        <v>6382515</v>
      </c>
      <c r="F10" t="s">
        <v>1686</v>
      </c>
      <c r="G10">
        <v>2025</v>
      </c>
      <c r="H10" t="s">
        <v>50</v>
      </c>
      <c r="I10" t="s">
        <v>1701</v>
      </c>
      <c r="J10" t="s">
        <v>1688</v>
      </c>
      <c r="K10" t="s">
        <v>1686</v>
      </c>
      <c r="L10">
        <v>0</v>
      </c>
      <c r="M10">
        <v>6382515</v>
      </c>
      <c r="N10">
        <v>0</v>
      </c>
      <c r="O10">
        <v>0</v>
      </c>
    </row>
    <row r="11" spans="1:15" x14ac:dyDescent="0.25">
      <c r="A11">
        <v>320</v>
      </c>
      <c r="B11" t="s">
        <v>1702</v>
      </c>
      <c r="C11" t="s">
        <v>1703</v>
      </c>
      <c r="D11">
        <v>3</v>
      </c>
      <c r="E11">
        <v>1126192</v>
      </c>
      <c r="F11" t="s">
        <v>1686</v>
      </c>
      <c r="G11">
        <v>2025</v>
      </c>
      <c r="H11" t="s">
        <v>52</v>
      </c>
      <c r="I11" t="s">
        <v>1704</v>
      </c>
      <c r="J11" t="s">
        <v>1688</v>
      </c>
      <c r="K11" t="s">
        <v>1686</v>
      </c>
      <c r="L11">
        <v>0</v>
      </c>
      <c r="M11">
        <v>1126192</v>
      </c>
      <c r="N11">
        <v>0</v>
      </c>
      <c r="O11">
        <v>0</v>
      </c>
    </row>
    <row r="12" spans="1:15" x14ac:dyDescent="0.25">
      <c r="A12">
        <v>395</v>
      </c>
      <c r="B12" t="s">
        <v>1705</v>
      </c>
      <c r="C12" t="s">
        <v>1706</v>
      </c>
      <c r="D12">
        <v>3</v>
      </c>
      <c r="E12">
        <v>4451103</v>
      </c>
      <c r="F12" t="s">
        <v>1686</v>
      </c>
      <c r="G12">
        <v>2025</v>
      </c>
      <c r="H12" t="s">
        <v>52</v>
      </c>
      <c r="I12" t="s">
        <v>1704</v>
      </c>
      <c r="J12" t="s">
        <v>1688</v>
      </c>
      <c r="K12" t="s">
        <v>1686</v>
      </c>
      <c r="L12">
        <v>0</v>
      </c>
      <c r="M12">
        <v>4451103</v>
      </c>
      <c r="N12">
        <v>0</v>
      </c>
      <c r="O12">
        <v>0</v>
      </c>
    </row>
    <row r="13" spans="1:15" x14ac:dyDescent="0.25">
      <c r="A13">
        <v>396</v>
      </c>
      <c r="B13" t="s">
        <v>1707</v>
      </c>
      <c r="C13" t="s">
        <v>1706</v>
      </c>
      <c r="D13">
        <v>3</v>
      </c>
      <c r="E13">
        <v>2794273</v>
      </c>
      <c r="F13" t="s">
        <v>1686</v>
      </c>
      <c r="G13">
        <v>2025</v>
      </c>
      <c r="H13" t="s">
        <v>52</v>
      </c>
      <c r="I13" t="s">
        <v>1704</v>
      </c>
      <c r="J13" t="s">
        <v>1688</v>
      </c>
      <c r="K13" t="s">
        <v>1686</v>
      </c>
      <c r="L13">
        <v>0</v>
      </c>
      <c r="M13">
        <v>2794273</v>
      </c>
      <c r="N13">
        <v>0</v>
      </c>
      <c r="O13">
        <v>0</v>
      </c>
    </row>
    <row r="14" spans="1:15" x14ac:dyDescent="0.25">
      <c r="A14">
        <v>438</v>
      </c>
      <c r="B14" t="s">
        <v>1708</v>
      </c>
      <c r="C14" t="s">
        <v>1709</v>
      </c>
      <c r="D14">
        <v>3</v>
      </c>
      <c r="E14">
        <v>1968586</v>
      </c>
      <c r="F14" t="s">
        <v>1686</v>
      </c>
      <c r="G14">
        <v>2025</v>
      </c>
      <c r="H14" t="s">
        <v>52</v>
      </c>
      <c r="I14" t="s">
        <v>1704</v>
      </c>
      <c r="J14" t="s">
        <v>1688</v>
      </c>
      <c r="K14" t="s">
        <v>1686</v>
      </c>
      <c r="L14">
        <v>0</v>
      </c>
      <c r="M14">
        <v>1968586</v>
      </c>
      <c r="N14">
        <v>0</v>
      </c>
      <c r="O14">
        <v>0</v>
      </c>
    </row>
    <row r="15" spans="1:15" x14ac:dyDescent="0.25">
      <c r="A15">
        <v>6</v>
      </c>
      <c r="B15" t="s">
        <v>1684</v>
      </c>
      <c r="C15" t="s">
        <v>1685</v>
      </c>
      <c r="D15">
        <v>4</v>
      </c>
      <c r="E15">
        <v>75187778</v>
      </c>
      <c r="F15" t="s">
        <v>1686</v>
      </c>
      <c r="G15">
        <v>2025</v>
      </c>
      <c r="H15" t="s">
        <v>60</v>
      </c>
      <c r="I15" t="s">
        <v>1710</v>
      </c>
      <c r="J15" t="s">
        <v>1688</v>
      </c>
      <c r="K15" t="s">
        <v>1686</v>
      </c>
      <c r="L15">
        <v>0</v>
      </c>
      <c r="M15">
        <v>75187778</v>
      </c>
      <c r="N15">
        <v>0</v>
      </c>
      <c r="O15">
        <v>0</v>
      </c>
    </row>
    <row r="16" spans="1:15" x14ac:dyDescent="0.25">
      <c r="A16">
        <v>61</v>
      </c>
      <c r="B16" t="s">
        <v>1689</v>
      </c>
      <c r="C16" t="s">
        <v>1690</v>
      </c>
      <c r="D16">
        <v>4</v>
      </c>
      <c r="E16">
        <v>39308772</v>
      </c>
      <c r="F16" t="s">
        <v>1686</v>
      </c>
      <c r="G16">
        <v>2025</v>
      </c>
      <c r="H16" t="s">
        <v>60</v>
      </c>
      <c r="I16" t="s">
        <v>1710</v>
      </c>
      <c r="J16" t="s">
        <v>1688</v>
      </c>
      <c r="K16" t="s">
        <v>1686</v>
      </c>
      <c r="L16">
        <v>0</v>
      </c>
      <c r="M16">
        <v>39308772</v>
      </c>
      <c r="N16">
        <v>0</v>
      </c>
      <c r="O16">
        <v>0</v>
      </c>
    </row>
    <row r="17" spans="1:15" x14ac:dyDescent="0.25">
      <c r="A17">
        <v>319</v>
      </c>
      <c r="B17" t="s">
        <v>1691</v>
      </c>
      <c r="C17" t="s">
        <v>1692</v>
      </c>
      <c r="D17">
        <v>4</v>
      </c>
      <c r="E17">
        <v>29283120</v>
      </c>
      <c r="F17" t="s">
        <v>1686</v>
      </c>
      <c r="G17">
        <v>2025</v>
      </c>
      <c r="H17" t="s">
        <v>60</v>
      </c>
      <c r="I17" t="s">
        <v>1710</v>
      </c>
      <c r="J17" t="s">
        <v>1688</v>
      </c>
      <c r="K17" t="s">
        <v>1686</v>
      </c>
      <c r="L17">
        <v>0</v>
      </c>
      <c r="M17">
        <v>29283120</v>
      </c>
      <c r="N17">
        <v>0</v>
      </c>
      <c r="O17">
        <v>0</v>
      </c>
    </row>
    <row r="18" spans="1:15" x14ac:dyDescent="0.25">
      <c r="A18">
        <v>320</v>
      </c>
      <c r="B18" t="s">
        <v>1702</v>
      </c>
      <c r="C18" t="s">
        <v>1703</v>
      </c>
      <c r="D18">
        <v>4</v>
      </c>
      <c r="E18">
        <v>1028833</v>
      </c>
      <c r="F18" t="s">
        <v>1686</v>
      </c>
      <c r="G18">
        <v>2025</v>
      </c>
      <c r="H18" t="s">
        <v>60</v>
      </c>
      <c r="I18" t="s">
        <v>1710</v>
      </c>
      <c r="J18" t="s">
        <v>1688</v>
      </c>
      <c r="K18" t="s">
        <v>1686</v>
      </c>
      <c r="L18">
        <v>0</v>
      </c>
      <c r="M18">
        <v>1028833</v>
      </c>
      <c r="N18">
        <v>0</v>
      </c>
      <c r="O18">
        <v>0</v>
      </c>
    </row>
    <row r="19" spans="1:15" x14ac:dyDescent="0.25">
      <c r="A19">
        <v>356</v>
      </c>
      <c r="B19" t="s">
        <v>1693</v>
      </c>
      <c r="C19" t="s">
        <v>1694</v>
      </c>
      <c r="D19">
        <v>4</v>
      </c>
      <c r="E19">
        <v>3909762</v>
      </c>
      <c r="F19" t="s">
        <v>1686</v>
      </c>
      <c r="G19">
        <v>2025</v>
      </c>
      <c r="H19" t="s">
        <v>60</v>
      </c>
      <c r="I19" t="s">
        <v>1710</v>
      </c>
      <c r="J19" t="s">
        <v>1688</v>
      </c>
      <c r="K19" t="s">
        <v>1686</v>
      </c>
      <c r="L19">
        <v>0</v>
      </c>
      <c r="M19">
        <v>3909762</v>
      </c>
      <c r="N19">
        <v>0</v>
      </c>
      <c r="O19">
        <v>0</v>
      </c>
    </row>
    <row r="20" spans="1:15" x14ac:dyDescent="0.25">
      <c r="A20">
        <v>381</v>
      </c>
      <c r="B20" t="s">
        <v>1695</v>
      </c>
      <c r="C20" t="s">
        <v>1696</v>
      </c>
      <c r="D20">
        <v>4</v>
      </c>
      <c r="E20">
        <v>19514681</v>
      </c>
      <c r="F20" t="s">
        <v>1686</v>
      </c>
      <c r="G20">
        <v>2025</v>
      </c>
      <c r="H20" t="s">
        <v>60</v>
      </c>
      <c r="I20" t="s">
        <v>1710</v>
      </c>
      <c r="J20" t="s">
        <v>1688</v>
      </c>
      <c r="K20" t="s">
        <v>1686</v>
      </c>
      <c r="L20">
        <v>0</v>
      </c>
      <c r="M20">
        <v>19514681</v>
      </c>
      <c r="N20">
        <v>0</v>
      </c>
      <c r="O20">
        <v>0</v>
      </c>
    </row>
    <row r="21" spans="1:15" x14ac:dyDescent="0.25">
      <c r="A21">
        <v>395</v>
      </c>
      <c r="B21" t="s">
        <v>1705</v>
      </c>
      <c r="C21" t="s">
        <v>1706</v>
      </c>
      <c r="D21">
        <v>4</v>
      </c>
      <c r="E21">
        <v>6023826</v>
      </c>
      <c r="F21" t="s">
        <v>1686</v>
      </c>
      <c r="G21">
        <v>2025</v>
      </c>
      <c r="H21" t="s">
        <v>60</v>
      </c>
      <c r="I21" t="s">
        <v>1710</v>
      </c>
      <c r="J21" t="s">
        <v>1688</v>
      </c>
      <c r="K21" t="s">
        <v>1686</v>
      </c>
      <c r="L21">
        <v>0</v>
      </c>
      <c r="M21">
        <v>6023826</v>
      </c>
      <c r="N21">
        <v>0</v>
      </c>
      <c r="O21">
        <v>0</v>
      </c>
    </row>
    <row r="22" spans="1:15" x14ac:dyDescent="0.25">
      <c r="A22">
        <v>396</v>
      </c>
      <c r="B22" t="s">
        <v>1707</v>
      </c>
      <c r="C22" t="s">
        <v>1706</v>
      </c>
      <c r="D22">
        <v>4</v>
      </c>
      <c r="E22">
        <v>3303451</v>
      </c>
      <c r="F22" t="s">
        <v>1686</v>
      </c>
      <c r="G22">
        <v>2025</v>
      </c>
      <c r="H22" t="s">
        <v>60</v>
      </c>
      <c r="I22" t="s">
        <v>1710</v>
      </c>
      <c r="J22" t="s">
        <v>1688</v>
      </c>
      <c r="K22" t="s">
        <v>1686</v>
      </c>
      <c r="L22">
        <v>0</v>
      </c>
      <c r="M22">
        <v>3303451</v>
      </c>
      <c r="N22">
        <v>0</v>
      </c>
      <c r="O22">
        <v>0</v>
      </c>
    </row>
    <row r="23" spans="1:15" x14ac:dyDescent="0.25">
      <c r="A23">
        <v>412</v>
      </c>
      <c r="B23" t="s">
        <v>1697</v>
      </c>
      <c r="C23" t="s">
        <v>1698</v>
      </c>
      <c r="D23">
        <v>4</v>
      </c>
      <c r="E23">
        <v>12428993</v>
      </c>
      <c r="F23" t="s">
        <v>1686</v>
      </c>
      <c r="G23">
        <v>2025</v>
      </c>
      <c r="H23" t="s">
        <v>60</v>
      </c>
      <c r="I23" t="s">
        <v>1710</v>
      </c>
      <c r="J23" t="s">
        <v>1688</v>
      </c>
      <c r="K23" t="s">
        <v>1686</v>
      </c>
      <c r="L23">
        <v>0</v>
      </c>
      <c r="M23">
        <v>12428993</v>
      </c>
      <c r="N23">
        <v>0</v>
      </c>
      <c r="O23">
        <v>0</v>
      </c>
    </row>
    <row r="24" spans="1:15" x14ac:dyDescent="0.25">
      <c r="A24">
        <v>435</v>
      </c>
      <c r="B24" t="s">
        <v>1699</v>
      </c>
      <c r="C24" t="s">
        <v>1700</v>
      </c>
      <c r="D24">
        <v>4</v>
      </c>
      <c r="E24">
        <v>7108450</v>
      </c>
      <c r="F24" t="s">
        <v>1686</v>
      </c>
      <c r="G24">
        <v>2025</v>
      </c>
      <c r="H24" t="s">
        <v>60</v>
      </c>
      <c r="I24" t="s">
        <v>1710</v>
      </c>
      <c r="J24" t="s">
        <v>1688</v>
      </c>
      <c r="K24" t="s">
        <v>1686</v>
      </c>
      <c r="L24">
        <v>0</v>
      </c>
      <c r="M24">
        <v>7108450</v>
      </c>
      <c r="N24">
        <v>0</v>
      </c>
      <c r="O24">
        <v>0</v>
      </c>
    </row>
    <row r="25" spans="1:15" x14ac:dyDescent="0.25">
      <c r="A25">
        <v>438</v>
      </c>
      <c r="B25" t="s">
        <v>1708</v>
      </c>
      <c r="C25" t="s">
        <v>1709</v>
      </c>
      <c r="D25">
        <v>4</v>
      </c>
      <c r="E25">
        <v>1462811</v>
      </c>
      <c r="F25" t="s">
        <v>1686</v>
      </c>
      <c r="G25">
        <v>2025</v>
      </c>
      <c r="H25" t="s">
        <v>60</v>
      </c>
      <c r="I25" t="s">
        <v>1710</v>
      </c>
      <c r="J25" t="s">
        <v>1688</v>
      </c>
      <c r="K25" t="s">
        <v>1686</v>
      </c>
      <c r="L25">
        <v>0</v>
      </c>
      <c r="M25">
        <v>1462811</v>
      </c>
      <c r="N25">
        <v>0</v>
      </c>
      <c r="O25">
        <v>0</v>
      </c>
    </row>
    <row r="26" spans="1:15" x14ac:dyDescent="0.25">
      <c r="A26">
        <v>320</v>
      </c>
      <c r="B26" t="s">
        <v>1702</v>
      </c>
      <c r="C26" t="s">
        <v>1703</v>
      </c>
      <c r="D26">
        <v>5</v>
      </c>
      <c r="E26">
        <v>6756920</v>
      </c>
      <c r="F26" t="s">
        <v>1686</v>
      </c>
      <c r="G26">
        <v>2025</v>
      </c>
      <c r="H26" t="s">
        <v>56</v>
      </c>
      <c r="I26" t="s">
        <v>1711</v>
      </c>
      <c r="J26" t="s">
        <v>1688</v>
      </c>
      <c r="K26" t="s">
        <v>1686</v>
      </c>
      <c r="L26">
        <v>0</v>
      </c>
      <c r="M26">
        <v>6756920</v>
      </c>
      <c r="N26">
        <v>0</v>
      </c>
      <c r="O26">
        <v>0</v>
      </c>
    </row>
    <row r="27" spans="1:15" x14ac:dyDescent="0.25">
      <c r="A27">
        <v>438</v>
      </c>
      <c r="B27" t="s">
        <v>1708</v>
      </c>
      <c r="C27" t="s">
        <v>1709</v>
      </c>
      <c r="D27">
        <v>5</v>
      </c>
      <c r="E27">
        <v>303259</v>
      </c>
      <c r="F27" t="s">
        <v>1686</v>
      </c>
      <c r="G27">
        <v>2025</v>
      </c>
      <c r="H27" t="s">
        <v>56</v>
      </c>
      <c r="I27" t="s">
        <v>1711</v>
      </c>
      <c r="J27" t="s">
        <v>1688</v>
      </c>
      <c r="K27" t="s">
        <v>1686</v>
      </c>
      <c r="L27">
        <v>0</v>
      </c>
      <c r="M27">
        <v>303259</v>
      </c>
      <c r="N27">
        <v>0</v>
      </c>
      <c r="O27">
        <v>0</v>
      </c>
    </row>
    <row r="28" spans="1:15" x14ac:dyDescent="0.25">
      <c r="A28">
        <v>6</v>
      </c>
      <c r="B28" t="s">
        <v>1684</v>
      </c>
      <c r="C28" t="s">
        <v>1685</v>
      </c>
      <c r="D28">
        <v>6</v>
      </c>
      <c r="E28">
        <v>15448499</v>
      </c>
      <c r="F28" t="s">
        <v>1686</v>
      </c>
      <c r="G28">
        <v>2025</v>
      </c>
      <c r="H28" t="s">
        <v>58</v>
      </c>
      <c r="I28" t="s">
        <v>1712</v>
      </c>
      <c r="J28" t="s">
        <v>1688</v>
      </c>
      <c r="K28" t="s">
        <v>1686</v>
      </c>
      <c r="L28">
        <v>2146024</v>
      </c>
      <c r="M28">
        <v>15448499</v>
      </c>
      <c r="N28">
        <v>0</v>
      </c>
      <c r="O28">
        <v>0</v>
      </c>
    </row>
    <row r="29" spans="1:15" x14ac:dyDescent="0.25">
      <c r="A29">
        <v>61</v>
      </c>
      <c r="B29" t="s">
        <v>1689</v>
      </c>
      <c r="C29" t="s">
        <v>1690</v>
      </c>
      <c r="D29">
        <v>6</v>
      </c>
      <c r="E29">
        <v>9548638</v>
      </c>
      <c r="F29" t="s">
        <v>1686</v>
      </c>
      <c r="G29">
        <v>2025</v>
      </c>
      <c r="H29" t="s">
        <v>58</v>
      </c>
      <c r="I29" t="s">
        <v>1712</v>
      </c>
      <c r="J29" t="s">
        <v>1688</v>
      </c>
      <c r="K29" t="s">
        <v>1686</v>
      </c>
      <c r="L29">
        <v>0</v>
      </c>
      <c r="M29">
        <v>9548638</v>
      </c>
      <c r="N29">
        <v>0</v>
      </c>
      <c r="O29">
        <v>0</v>
      </c>
    </row>
    <row r="30" spans="1:15" x14ac:dyDescent="0.25">
      <c r="A30">
        <v>319</v>
      </c>
      <c r="B30" t="s">
        <v>1691</v>
      </c>
      <c r="C30" t="s">
        <v>1692</v>
      </c>
      <c r="D30">
        <v>6</v>
      </c>
      <c r="E30">
        <v>8141815</v>
      </c>
      <c r="F30" t="s">
        <v>1686</v>
      </c>
      <c r="G30">
        <v>2025</v>
      </c>
      <c r="H30" t="s">
        <v>58</v>
      </c>
      <c r="I30" t="s">
        <v>1712</v>
      </c>
      <c r="J30" t="s">
        <v>1688</v>
      </c>
      <c r="K30" t="s">
        <v>1686</v>
      </c>
      <c r="L30">
        <v>0</v>
      </c>
      <c r="M30">
        <v>8141815</v>
      </c>
      <c r="N30">
        <v>0</v>
      </c>
      <c r="O30">
        <v>0</v>
      </c>
    </row>
    <row r="31" spans="1:15" x14ac:dyDescent="0.25">
      <c r="A31">
        <v>320</v>
      </c>
      <c r="B31" t="s">
        <v>1702</v>
      </c>
      <c r="C31" t="s">
        <v>1703</v>
      </c>
      <c r="D31">
        <v>6</v>
      </c>
      <c r="E31">
        <v>5716067</v>
      </c>
      <c r="F31" t="s">
        <v>1686</v>
      </c>
      <c r="G31">
        <v>2025</v>
      </c>
      <c r="H31" t="s">
        <v>58</v>
      </c>
      <c r="I31" t="s">
        <v>1712</v>
      </c>
      <c r="J31" t="s">
        <v>1688</v>
      </c>
      <c r="K31" t="s">
        <v>1686</v>
      </c>
      <c r="L31">
        <v>0</v>
      </c>
      <c r="M31">
        <v>5716067</v>
      </c>
      <c r="N31">
        <v>0</v>
      </c>
      <c r="O31">
        <v>0</v>
      </c>
    </row>
    <row r="32" spans="1:15" x14ac:dyDescent="0.25">
      <c r="A32">
        <v>356</v>
      </c>
      <c r="B32" t="s">
        <v>1693</v>
      </c>
      <c r="C32" t="s">
        <v>1694</v>
      </c>
      <c r="D32">
        <v>6</v>
      </c>
      <c r="E32">
        <v>803322</v>
      </c>
      <c r="F32" t="s">
        <v>1686</v>
      </c>
      <c r="G32">
        <v>2025</v>
      </c>
      <c r="H32" t="s">
        <v>58</v>
      </c>
      <c r="I32" t="s">
        <v>1712</v>
      </c>
      <c r="J32" t="s">
        <v>1688</v>
      </c>
      <c r="K32" t="s">
        <v>1686</v>
      </c>
      <c r="L32">
        <v>111593</v>
      </c>
      <c r="M32">
        <v>803322</v>
      </c>
      <c r="N32">
        <v>0</v>
      </c>
      <c r="O32">
        <v>0</v>
      </c>
    </row>
    <row r="33" spans="1:15" x14ac:dyDescent="0.25">
      <c r="A33">
        <v>381</v>
      </c>
      <c r="B33" t="s">
        <v>1695</v>
      </c>
      <c r="C33" t="s">
        <v>1696</v>
      </c>
      <c r="D33">
        <v>6</v>
      </c>
      <c r="E33">
        <v>8022329</v>
      </c>
      <c r="F33" t="s">
        <v>1686</v>
      </c>
      <c r="G33">
        <v>2025</v>
      </c>
      <c r="H33" t="s">
        <v>58</v>
      </c>
      <c r="I33" t="s">
        <v>1712</v>
      </c>
      <c r="J33" t="s">
        <v>1688</v>
      </c>
      <c r="K33" t="s">
        <v>1686</v>
      </c>
      <c r="L33">
        <v>0</v>
      </c>
      <c r="M33">
        <v>8022329</v>
      </c>
      <c r="N33">
        <v>0</v>
      </c>
      <c r="O33">
        <v>0</v>
      </c>
    </row>
    <row r="34" spans="1:15" x14ac:dyDescent="0.25">
      <c r="A34">
        <v>395</v>
      </c>
      <c r="B34" t="s">
        <v>1705</v>
      </c>
      <c r="C34" t="s">
        <v>1706</v>
      </c>
      <c r="D34">
        <v>6</v>
      </c>
      <c r="E34">
        <v>8783750</v>
      </c>
      <c r="F34" t="s">
        <v>1686</v>
      </c>
      <c r="G34">
        <v>2025</v>
      </c>
      <c r="H34" t="s">
        <v>58</v>
      </c>
      <c r="I34" t="s">
        <v>1712</v>
      </c>
      <c r="J34" t="s">
        <v>1688</v>
      </c>
      <c r="K34" t="s">
        <v>1686</v>
      </c>
      <c r="L34">
        <v>0</v>
      </c>
      <c r="M34">
        <v>8783750</v>
      </c>
      <c r="N34">
        <v>0</v>
      </c>
      <c r="O34">
        <v>0</v>
      </c>
    </row>
    <row r="35" spans="1:15" x14ac:dyDescent="0.25">
      <c r="A35">
        <v>396</v>
      </c>
      <c r="B35" t="s">
        <v>1707</v>
      </c>
      <c r="C35" t="s">
        <v>1706</v>
      </c>
      <c r="D35">
        <v>6</v>
      </c>
      <c r="E35">
        <v>4786946</v>
      </c>
      <c r="F35" t="s">
        <v>1686</v>
      </c>
      <c r="G35">
        <v>2025</v>
      </c>
      <c r="H35" t="s">
        <v>58</v>
      </c>
      <c r="I35" t="s">
        <v>1712</v>
      </c>
      <c r="J35" t="s">
        <v>1688</v>
      </c>
      <c r="K35" t="s">
        <v>1686</v>
      </c>
      <c r="L35">
        <v>0</v>
      </c>
      <c r="M35">
        <v>4786946</v>
      </c>
      <c r="N35">
        <v>0</v>
      </c>
      <c r="O35">
        <v>0</v>
      </c>
    </row>
    <row r="36" spans="1:15" x14ac:dyDescent="0.25">
      <c r="A36">
        <v>412</v>
      </c>
      <c r="B36" t="s">
        <v>1697</v>
      </c>
      <c r="C36" t="s">
        <v>1698</v>
      </c>
      <c r="D36">
        <v>6</v>
      </c>
      <c r="E36">
        <v>14687101</v>
      </c>
      <c r="F36" t="s">
        <v>1686</v>
      </c>
      <c r="G36">
        <v>2025</v>
      </c>
      <c r="H36" t="s">
        <v>58</v>
      </c>
      <c r="I36" t="s">
        <v>1712</v>
      </c>
      <c r="J36" t="s">
        <v>1688</v>
      </c>
      <c r="K36" t="s">
        <v>1686</v>
      </c>
      <c r="L36">
        <v>0</v>
      </c>
      <c r="M36">
        <v>14687101</v>
      </c>
      <c r="N36">
        <v>0</v>
      </c>
      <c r="O36">
        <v>0</v>
      </c>
    </row>
    <row r="37" spans="1:15" x14ac:dyDescent="0.25">
      <c r="A37">
        <v>435</v>
      </c>
      <c r="B37" t="s">
        <v>1699</v>
      </c>
      <c r="C37" t="s">
        <v>1700</v>
      </c>
      <c r="D37">
        <v>6</v>
      </c>
      <c r="E37">
        <v>16040909</v>
      </c>
      <c r="F37" t="s">
        <v>1686</v>
      </c>
      <c r="G37">
        <v>2025</v>
      </c>
      <c r="H37" t="s">
        <v>58</v>
      </c>
      <c r="I37" t="s">
        <v>1712</v>
      </c>
      <c r="J37" t="s">
        <v>1688</v>
      </c>
      <c r="K37" t="s">
        <v>1686</v>
      </c>
      <c r="L37">
        <v>0</v>
      </c>
      <c r="M37">
        <v>16040909</v>
      </c>
      <c r="N37">
        <v>0</v>
      </c>
      <c r="O37">
        <v>0</v>
      </c>
    </row>
    <row r="38" spans="1:15" x14ac:dyDescent="0.25">
      <c r="A38">
        <v>438</v>
      </c>
      <c r="B38" t="s">
        <v>1708</v>
      </c>
      <c r="C38" t="s">
        <v>1709</v>
      </c>
      <c r="D38">
        <v>6</v>
      </c>
      <c r="E38">
        <v>2092489</v>
      </c>
      <c r="F38" t="s">
        <v>1686</v>
      </c>
      <c r="G38">
        <v>2025</v>
      </c>
      <c r="H38" t="s">
        <v>58</v>
      </c>
      <c r="I38" t="s">
        <v>1712</v>
      </c>
      <c r="J38" t="s">
        <v>1688</v>
      </c>
      <c r="K38" t="s">
        <v>1686</v>
      </c>
      <c r="L38">
        <v>0</v>
      </c>
      <c r="M38">
        <v>2092489</v>
      </c>
      <c r="N38">
        <v>0</v>
      </c>
      <c r="O38">
        <v>0</v>
      </c>
    </row>
    <row r="39" spans="1:15" x14ac:dyDescent="0.25">
      <c r="A39">
        <v>7</v>
      </c>
      <c r="B39" t="s">
        <v>1713</v>
      </c>
      <c r="C39" t="s">
        <v>1714</v>
      </c>
      <c r="D39">
        <v>7</v>
      </c>
      <c r="E39">
        <v>150000000</v>
      </c>
      <c r="F39" t="s">
        <v>883</v>
      </c>
      <c r="G39">
        <v>2025</v>
      </c>
      <c r="H39" t="s">
        <v>54</v>
      </c>
      <c r="I39" t="s">
        <v>1715</v>
      </c>
      <c r="J39" t="s">
        <v>1688</v>
      </c>
      <c r="K39" t="s">
        <v>1686</v>
      </c>
      <c r="L39">
        <v>0</v>
      </c>
      <c r="M39">
        <v>150000000</v>
      </c>
      <c r="N39">
        <v>0</v>
      </c>
      <c r="O39">
        <v>0</v>
      </c>
    </row>
    <row r="40" spans="1:15" x14ac:dyDescent="0.25">
      <c r="A40">
        <v>418</v>
      </c>
      <c r="B40" t="s">
        <v>1716</v>
      </c>
      <c r="C40" t="s">
        <v>1717</v>
      </c>
      <c r="D40">
        <v>7</v>
      </c>
      <c r="E40">
        <v>2480892</v>
      </c>
      <c r="F40" t="s">
        <v>883</v>
      </c>
      <c r="G40">
        <v>2025</v>
      </c>
      <c r="H40" t="s">
        <v>54</v>
      </c>
      <c r="I40" t="s">
        <v>1715</v>
      </c>
      <c r="J40" t="s">
        <v>1688</v>
      </c>
      <c r="K40" t="s">
        <v>1686</v>
      </c>
      <c r="L40">
        <v>0</v>
      </c>
      <c r="M40">
        <v>0</v>
      </c>
      <c r="N40">
        <v>0</v>
      </c>
      <c r="O40">
        <v>2480892</v>
      </c>
    </row>
    <row r="41" spans="1:15" x14ac:dyDescent="0.25">
      <c r="A41">
        <v>419</v>
      </c>
      <c r="B41" t="s">
        <v>1718</v>
      </c>
      <c r="C41" t="s">
        <v>1714</v>
      </c>
      <c r="D41">
        <v>7</v>
      </c>
      <c r="E41">
        <v>3937820</v>
      </c>
      <c r="F41" t="s">
        <v>883</v>
      </c>
      <c r="G41">
        <v>2025</v>
      </c>
      <c r="H41" t="s">
        <v>54</v>
      </c>
      <c r="I41" t="s">
        <v>1715</v>
      </c>
      <c r="J41" t="s">
        <v>1688</v>
      </c>
      <c r="K41" t="s">
        <v>1686</v>
      </c>
      <c r="L41">
        <v>0</v>
      </c>
      <c r="M41">
        <v>3937820</v>
      </c>
      <c r="N41">
        <v>0</v>
      </c>
      <c r="O41">
        <v>0</v>
      </c>
    </row>
    <row r="42" spans="1:15" x14ac:dyDescent="0.25">
      <c r="A42">
        <v>283</v>
      </c>
      <c r="B42" t="s">
        <v>1719</v>
      </c>
      <c r="C42" t="s">
        <v>1720</v>
      </c>
      <c r="D42">
        <v>8</v>
      </c>
      <c r="E42">
        <v>122129600</v>
      </c>
      <c r="F42" t="s">
        <v>1043</v>
      </c>
      <c r="G42">
        <v>2025</v>
      </c>
      <c r="H42" t="s">
        <v>62</v>
      </c>
      <c r="I42" t="s">
        <v>1721</v>
      </c>
      <c r="J42" t="s">
        <v>1688</v>
      </c>
      <c r="K42" t="s">
        <v>1686</v>
      </c>
      <c r="L42">
        <v>0</v>
      </c>
      <c r="M42">
        <v>122129600</v>
      </c>
      <c r="N42">
        <v>0</v>
      </c>
      <c r="O42">
        <v>0</v>
      </c>
    </row>
    <row r="43" spans="1:15" x14ac:dyDescent="0.25">
      <c r="A43">
        <v>386</v>
      </c>
      <c r="B43" t="s">
        <v>1722</v>
      </c>
      <c r="C43" t="s">
        <v>1723</v>
      </c>
      <c r="D43">
        <v>8</v>
      </c>
      <c r="E43">
        <v>120047900</v>
      </c>
      <c r="F43" t="s">
        <v>1043</v>
      </c>
      <c r="G43">
        <v>2025</v>
      </c>
      <c r="H43" t="s">
        <v>62</v>
      </c>
      <c r="I43" t="s">
        <v>1721</v>
      </c>
      <c r="J43" t="s">
        <v>1688</v>
      </c>
      <c r="K43" t="s">
        <v>1686</v>
      </c>
      <c r="L43">
        <v>0</v>
      </c>
      <c r="M43">
        <v>120047900</v>
      </c>
      <c r="N43">
        <v>0</v>
      </c>
      <c r="O43">
        <v>0</v>
      </c>
    </row>
    <row r="44" spans="1:15" x14ac:dyDescent="0.25">
      <c r="A44">
        <v>283</v>
      </c>
      <c r="B44" t="s">
        <v>1719</v>
      </c>
      <c r="C44" t="s">
        <v>1720</v>
      </c>
      <c r="D44">
        <v>9</v>
      </c>
      <c r="E44">
        <v>86510500</v>
      </c>
      <c r="F44" t="s">
        <v>1043</v>
      </c>
      <c r="G44">
        <v>2025</v>
      </c>
      <c r="H44" t="s">
        <v>64</v>
      </c>
      <c r="I44" t="s">
        <v>1724</v>
      </c>
      <c r="J44" t="s">
        <v>1688</v>
      </c>
      <c r="K44" t="s">
        <v>1686</v>
      </c>
      <c r="L44">
        <v>0</v>
      </c>
      <c r="M44">
        <v>86510500</v>
      </c>
      <c r="N44">
        <v>0</v>
      </c>
      <c r="O44">
        <v>0</v>
      </c>
    </row>
    <row r="45" spans="1:15" x14ac:dyDescent="0.25">
      <c r="A45">
        <v>386</v>
      </c>
      <c r="B45" t="s">
        <v>1722</v>
      </c>
      <c r="C45" t="s">
        <v>1723</v>
      </c>
      <c r="D45">
        <v>9</v>
      </c>
      <c r="E45">
        <v>85036700</v>
      </c>
      <c r="F45" t="s">
        <v>1043</v>
      </c>
      <c r="G45">
        <v>2025</v>
      </c>
      <c r="H45" t="s">
        <v>64</v>
      </c>
      <c r="I45" t="s">
        <v>1724</v>
      </c>
      <c r="J45" t="s">
        <v>1688</v>
      </c>
      <c r="K45" t="s">
        <v>1686</v>
      </c>
      <c r="L45">
        <v>0</v>
      </c>
      <c r="M45">
        <v>85036700</v>
      </c>
      <c r="N45">
        <v>0</v>
      </c>
      <c r="O45">
        <v>0</v>
      </c>
    </row>
    <row r="46" spans="1:15" x14ac:dyDescent="0.25">
      <c r="A46">
        <v>302</v>
      </c>
      <c r="B46" t="s">
        <v>1725</v>
      </c>
      <c r="C46" t="s">
        <v>1726</v>
      </c>
      <c r="D46">
        <v>10</v>
      </c>
      <c r="E46">
        <v>57578</v>
      </c>
      <c r="F46" t="s">
        <v>883</v>
      </c>
      <c r="G46">
        <v>2025</v>
      </c>
      <c r="H46" t="s">
        <v>66</v>
      </c>
      <c r="I46" t="s">
        <v>1727</v>
      </c>
      <c r="J46" t="s">
        <v>1688</v>
      </c>
      <c r="K46" t="s">
        <v>1686</v>
      </c>
      <c r="L46">
        <v>0</v>
      </c>
      <c r="M46">
        <v>0</v>
      </c>
      <c r="N46">
        <v>0</v>
      </c>
      <c r="O46">
        <v>57578</v>
      </c>
    </row>
    <row r="47" spans="1:15" x14ac:dyDescent="0.25">
      <c r="A47">
        <v>303</v>
      </c>
      <c r="B47" t="s">
        <v>1728</v>
      </c>
      <c r="C47" t="s">
        <v>1726</v>
      </c>
      <c r="D47">
        <v>10</v>
      </c>
      <c r="E47">
        <v>6909</v>
      </c>
      <c r="F47" t="s">
        <v>883</v>
      </c>
      <c r="G47">
        <v>2025</v>
      </c>
      <c r="H47" t="s">
        <v>66</v>
      </c>
      <c r="I47" t="s">
        <v>1727</v>
      </c>
      <c r="J47" t="s">
        <v>1688</v>
      </c>
      <c r="K47" t="s">
        <v>1686</v>
      </c>
      <c r="L47">
        <v>0</v>
      </c>
      <c r="M47">
        <v>0</v>
      </c>
      <c r="N47">
        <v>0</v>
      </c>
      <c r="O47">
        <v>6909</v>
      </c>
    </row>
    <row r="48" spans="1:15" x14ac:dyDescent="0.25">
      <c r="A48">
        <v>320</v>
      </c>
      <c r="B48" t="s">
        <v>1702</v>
      </c>
      <c r="C48" t="s">
        <v>1703</v>
      </c>
      <c r="D48">
        <v>10</v>
      </c>
      <c r="E48">
        <v>7392070</v>
      </c>
      <c r="F48" t="s">
        <v>1686</v>
      </c>
      <c r="G48">
        <v>2025</v>
      </c>
      <c r="H48" t="s">
        <v>66</v>
      </c>
      <c r="I48" t="s">
        <v>1727</v>
      </c>
      <c r="J48" t="s">
        <v>1688</v>
      </c>
      <c r="K48" t="s">
        <v>1686</v>
      </c>
      <c r="L48">
        <v>0</v>
      </c>
      <c r="M48">
        <v>7392070</v>
      </c>
      <c r="N48">
        <v>0</v>
      </c>
      <c r="O48">
        <v>0</v>
      </c>
    </row>
    <row r="49" spans="1:15" x14ac:dyDescent="0.25">
      <c r="A49">
        <v>322</v>
      </c>
      <c r="B49" t="s">
        <v>1729</v>
      </c>
      <c r="C49" t="s">
        <v>1730</v>
      </c>
      <c r="D49">
        <v>10</v>
      </c>
      <c r="E49">
        <v>57577</v>
      </c>
      <c r="F49" t="s">
        <v>1686</v>
      </c>
      <c r="G49">
        <v>2025</v>
      </c>
      <c r="H49" t="s">
        <v>66</v>
      </c>
      <c r="I49" t="s">
        <v>1727</v>
      </c>
      <c r="J49" t="s">
        <v>1688</v>
      </c>
      <c r="K49" t="s">
        <v>1686</v>
      </c>
      <c r="L49">
        <v>0</v>
      </c>
      <c r="M49">
        <v>57577</v>
      </c>
      <c r="N49">
        <v>0</v>
      </c>
      <c r="O49">
        <v>0</v>
      </c>
    </row>
    <row r="50" spans="1:15" x14ac:dyDescent="0.25">
      <c r="A50">
        <v>334</v>
      </c>
      <c r="B50" t="s">
        <v>1731</v>
      </c>
      <c r="C50" t="s">
        <v>1732</v>
      </c>
      <c r="D50">
        <v>10</v>
      </c>
      <c r="E50">
        <v>58</v>
      </c>
      <c r="F50" t="s">
        <v>1686</v>
      </c>
      <c r="G50">
        <v>2025</v>
      </c>
      <c r="H50" t="s">
        <v>66</v>
      </c>
      <c r="I50" t="s">
        <v>1727</v>
      </c>
      <c r="J50" t="s">
        <v>1688</v>
      </c>
      <c r="K50" t="s">
        <v>1686</v>
      </c>
      <c r="L50">
        <v>0</v>
      </c>
      <c r="M50">
        <v>58</v>
      </c>
      <c r="N50">
        <v>0</v>
      </c>
      <c r="O50">
        <v>0</v>
      </c>
    </row>
    <row r="51" spans="1:15" x14ac:dyDescent="0.25">
      <c r="A51">
        <v>438</v>
      </c>
      <c r="B51" t="s">
        <v>1708</v>
      </c>
      <c r="C51" t="s">
        <v>1709</v>
      </c>
      <c r="D51">
        <v>10</v>
      </c>
      <c r="E51">
        <v>304373</v>
      </c>
      <c r="F51" t="s">
        <v>1686</v>
      </c>
      <c r="G51">
        <v>2025</v>
      </c>
      <c r="H51" t="s">
        <v>66</v>
      </c>
      <c r="I51" t="s">
        <v>1727</v>
      </c>
      <c r="J51" t="s">
        <v>1688</v>
      </c>
      <c r="K51" t="s">
        <v>1686</v>
      </c>
      <c r="L51">
        <v>0</v>
      </c>
      <c r="M51">
        <v>304373</v>
      </c>
      <c r="N51">
        <v>0</v>
      </c>
      <c r="O51">
        <v>0</v>
      </c>
    </row>
    <row r="52" spans="1:15" x14ac:dyDescent="0.25">
      <c r="A52">
        <v>284</v>
      </c>
      <c r="B52" t="s">
        <v>1733</v>
      </c>
      <c r="C52" t="s">
        <v>1734</v>
      </c>
      <c r="D52">
        <v>11</v>
      </c>
      <c r="E52">
        <v>42325100</v>
      </c>
      <c r="F52" t="s">
        <v>1043</v>
      </c>
      <c r="G52">
        <v>2025</v>
      </c>
      <c r="H52" t="s">
        <v>68</v>
      </c>
      <c r="I52" t="s">
        <v>1735</v>
      </c>
      <c r="J52" t="s">
        <v>1688</v>
      </c>
      <c r="K52" t="s">
        <v>1686</v>
      </c>
      <c r="L52">
        <v>0</v>
      </c>
      <c r="M52">
        <v>42325100</v>
      </c>
      <c r="N52">
        <v>0</v>
      </c>
      <c r="O52">
        <v>0</v>
      </c>
    </row>
    <row r="53" spans="1:15" x14ac:dyDescent="0.25">
      <c r="A53">
        <v>387</v>
      </c>
      <c r="B53" t="s">
        <v>1736</v>
      </c>
      <c r="C53" t="s">
        <v>1737</v>
      </c>
      <c r="D53">
        <v>11</v>
      </c>
      <c r="E53">
        <v>40358200</v>
      </c>
      <c r="F53" t="s">
        <v>1043</v>
      </c>
      <c r="G53">
        <v>2025</v>
      </c>
      <c r="H53" t="s">
        <v>68</v>
      </c>
      <c r="I53" t="s">
        <v>1735</v>
      </c>
      <c r="J53" t="s">
        <v>1688</v>
      </c>
      <c r="K53" t="s">
        <v>1686</v>
      </c>
      <c r="L53">
        <v>0</v>
      </c>
      <c r="M53">
        <v>40358200</v>
      </c>
      <c r="N53">
        <v>0</v>
      </c>
      <c r="O53">
        <v>0</v>
      </c>
    </row>
    <row r="54" spans="1:15" x14ac:dyDescent="0.25">
      <c r="A54">
        <v>283</v>
      </c>
      <c r="B54" t="s">
        <v>1719</v>
      </c>
      <c r="C54" t="s">
        <v>1720</v>
      </c>
      <c r="D54">
        <v>12</v>
      </c>
      <c r="E54">
        <v>9804900</v>
      </c>
      <c r="F54" t="s">
        <v>1043</v>
      </c>
      <c r="G54">
        <v>2025</v>
      </c>
      <c r="H54" t="s">
        <v>70</v>
      </c>
      <c r="I54" t="s">
        <v>1738</v>
      </c>
      <c r="J54" t="s">
        <v>1688</v>
      </c>
      <c r="K54" t="s">
        <v>1686</v>
      </c>
      <c r="L54">
        <v>0</v>
      </c>
      <c r="M54">
        <v>9804900</v>
      </c>
      <c r="N54">
        <v>0</v>
      </c>
      <c r="O54">
        <v>0</v>
      </c>
    </row>
    <row r="55" spans="1:15" x14ac:dyDescent="0.25">
      <c r="A55">
        <v>386</v>
      </c>
      <c r="B55" t="s">
        <v>1722</v>
      </c>
      <c r="C55" t="s">
        <v>1723</v>
      </c>
      <c r="D55">
        <v>12</v>
      </c>
      <c r="E55">
        <v>10921400</v>
      </c>
      <c r="F55" t="s">
        <v>1043</v>
      </c>
      <c r="G55">
        <v>2025</v>
      </c>
      <c r="H55" t="s">
        <v>70</v>
      </c>
      <c r="I55" t="s">
        <v>1738</v>
      </c>
      <c r="J55" t="s">
        <v>1688</v>
      </c>
      <c r="K55" t="s">
        <v>1686</v>
      </c>
      <c r="L55">
        <v>0</v>
      </c>
      <c r="M55">
        <v>10921400</v>
      </c>
      <c r="N55">
        <v>0</v>
      </c>
      <c r="O55">
        <v>0</v>
      </c>
    </row>
    <row r="56" spans="1:15" x14ac:dyDescent="0.25">
      <c r="A56">
        <v>284</v>
      </c>
      <c r="B56" t="s">
        <v>1733</v>
      </c>
      <c r="C56" t="s">
        <v>1734</v>
      </c>
      <c r="D56">
        <v>13</v>
      </c>
      <c r="E56">
        <v>31745400</v>
      </c>
      <c r="F56" t="s">
        <v>1043</v>
      </c>
      <c r="G56">
        <v>2025</v>
      </c>
      <c r="H56" t="s">
        <v>72</v>
      </c>
      <c r="I56" t="s">
        <v>1739</v>
      </c>
      <c r="J56" t="s">
        <v>1688</v>
      </c>
      <c r="K56" t="s">
        <v>1686</v>
      </c>
      <c r="L56">
        <v>0</v>
      </c>
      <c r="M56">
        <v>31745400</v>
      </c>
      <c r="N56">
        <v>0</v>
      </c>
      <c r="O56">
        <v>0</v>
      </c>
    </row>
    <row r="57" spans="1:15" x14ac:dyDescent="0.25">
      <c r="A57">
        <v>387</v>
      </c>
      <c r="B57" t="s">
        <v>1736</v>
      </c>
      <c r="C57" t="s">
        <v>1737</v>
      </c>
      <c r="D57">
        <v>13</v>
      </c>
      <c r="E57">
        <v>30270400</v>
      </c>
      <c r="F57" t="s">
        <v>1043</v>
      </c>
      <c r="G57">
        <v>2025</v>
      </c>
      <c r="H57" t="s">
        <v>72</v>
      </c>
      <c r="I57" t="s">
        <v>1739</v>
      </c>
      <c r="J57" t="s">
        <v>1688</v>
      </c>
      <c r="K57" t="s">
        <v>1686</v>
      </c>
      <c r="L57">
        <v>0</v>
      </c>
      <c r="M57">
        <v>30270400</v>
      </c>
      <c r="N57">
        <v>0</v>
      </c>
      <c r="O57">
        <v>0</v>
      </c>
    </row>
    <row r="58" spans="1:15" x14ac:dyDescent="0.25">
      <c r="A58">
        <v>284</v>
      </c>
      <c r="B58" t="s">
        <v>1733</v>
      </c>
      <c r="C58" t="s">
        <v>1734</v>
      </c>
      <c r="D58">
        <v>14</v>
      </c>
      <c r="E58">
        <v>21167300</v>
      </c>
      <c r="F58" t="s">
        <v>1043</v>
      </c>
      <c r="G58">
        <v>2025</v>
      </c>
      <c r="H58" t="s">
        <v>74</v>
      </c>
      <c r="I58" t="s">
        <v>1740</v>
      </c>
      <c r="J58" t="s">
        <v>1688</v>
      </c>
      <c r="K58" t="s">
        <v>1686</v>
      </c>
      <c r="L58">
        <v>0</v>
      </c>
      <c r="M58">
        <v>21167300</v>
      </c>
      <c r="N58">
        <v>0</v>
      </c>
      <c r="O58">
        <v>0</v>
      </c>
    </row>
    <row r="59" spans="1:15" x14ac:dyDescent="0.25">
      <c r="A59">
        <v>387</v>
      </c>
      <c r="B59" t="s">
        <v>1736</v>
      </c>
      <c r="C59" t="s">
        <v>1737</v>
      </c>
      <c r="D59">
        <v>14</v>
      </c>
      <c r="E59">
        <v>20183100</v>
      </c>
      <c r="F59" t="s">
        <v>1043</v>
      </c>
      <c r="G59">
        <v>2025</v>
      </c>
      <c r="H59" t="s">
        <v>74</v>
      </c>
      <c r="I59" t="s">
        <v>1740</v>
      </c>
      <c r="J59" t="s">
        <v>1688</v>
      </c>
      <c r="K59" t="s">
        <v>1686</v>
      </c>
      <c r="L59">
        <v>0</v>
      </c>
      <c r="M59">
        <v>20183100</v>
      </c>
      <c r="N59">
        <v>0</v>
      </c>
      <c r="O59">
        <v>0</v>
      </c>
    </row>
    <row r="60" spans="1:15" x14ac:dyDescent="0.25">
      <c r="A60">
        <v>6</v>
      </c>
      <c r="B60" t="s">
        <v>1684</v>
      </c>
      <c r="C60" t="s">
        <v>1685</v>
      </c>
      <c r="D60">
        <v>15</v>
      </c>
      <c r="E60">
        <v>20061907</v>
      </c>
      <c r="F60" t="s">
        <v>1686</v>
      </c>
      <c r="G60">
        <v>2025</v>
      </c>
      <c r="H60" t="s">
        <v>76</v>
      </c>
      <c r="I60" t="s">
        <v>1741</v>
      </c>
      <c r="J60" t="s">
        <v>1688</v>
      </c>
      <c r="K60" t="s">
        <v>1686</v>
      </c>
      <c r="L60">
        <v>2718297</v>
      </c>
      <c r="M60">
        <v>20061907</v>
      </c>
      <c r="N60">
        <v>0</v>
      </c>
      <c r="O60">
        <v>0</v>
      </c>
    </row>
    <row r="61" spans="1:15" x14ac:dyDescent="0.25">
      <c r="A61">
        <v>61</v>
      </c>
      <c r="B61" t="s">
        <v>1689</v>
      </c>
      <c r="C61" t="s">
        <v>1690</v>
      </c>
      <c r="D61">
        <v>15</v>
      </c>
      <c r="E61">
        <v>12854073</v>
      </c>
      <c r="F61" t="s">
        <v>1686</v>
      </c>
      <c r="G61">
        <v>2025</v>
      </c>
      <c r="H61" t="s">
        <v>76</v>
      </c>
      <c r="I61" t="s">
        <v>1741</v>
      </c>
      <c r="J61" t="s">
        <v>1688</v>
      </c>
      <c r="K61" t="s">
        <v>1686</v>
      </c>
      <c r="L61">
        <v>0</v>
      </c>
      <c r="M61">
        <v>12854073</v>
      </c>
      <c r="N61">
        <v>0</v>
      </c>
      <c r="O61">
        <v>0</v>
      </c>
    </row>
    <row r="62" spans="1:15" x14ac:dyDescent="0.25">
      <c r="A62">
        <v>319</v>
      </c>
      <c r="B62" t="s">
        <v>1691</v>
      </c>
      <c r="C62" t="s">
        <v>1692</v>
      </c>
      <c r="D62">
        <v>15</v>
      </c>
      <c r="E62">
        <v>12165989</v>
      </c>
      <c r="F62" t="s">
        <v>1686</v>
      </c>
      <c r="G62">
        <v>2025</v>
      </c>
      <c r="H62" t="s">
        <v>76</v>
      </c>
      <c r="I62" t="s">
        <v>1741</v>
      </c>
      <c r="J62" t="s">
        <v>1688</v>
      </c>
      <c r="K62" t="s">
        <v>1686</v>
      </c>
      <c r="L62">
        <v>0</v>
      </c>
      <c r="M62">
        <v>12165989</v>
      </c>
      <c r="N62">
        <v>0</v>
      </c>
      <c r="O62">
        <v>0</v>
      </c>
    </row>
    <row r="63" spans="1:15" x14ac:dyDescent="0.25">
      <c r="A63">
        <v>320</v>
      </c>
      <c r="B63" t="s">
        <v>1702</v>
      </c>
      <c r="C63" t="s">
        <v>1703</v>
      </c>
      <c r="D63">
        <v>15</v>
      </c>
      <c r="E63">
        <v>9108903</v>
      </c>
      <c r="F63" t="s">
        <v>1686</v>
      </c>
      <c r="G63">
        <v>2025</v>
      </c>
      <c r="H63" t="s">
        <v>76</v>
      </c>
      <c r="I63" t="s">
        <v>1741</v>
      </c>
      <c r="J63" t="s">
        <v>1688</v>
      </c>
      <c r="K63" t="s">
        <v>1686</v>
      </c>
      <c r="L63">
        <v>0</v>
      </c>
      <c r="M63">
        <v>9108903</v>
      </c>
      <c r="N63">
        <v>0</v>
      </c>
      <c r="O63">
        <v>0</v>
      </c>
    </row>
    <row r="64" spans="1:15" x14ac:dyDescent="0.25">
      <c r="A64">
        <v>356</v>
      </c>
      <c r="B64" t="s">
        <v>1693</v>
      </c>
      <c r="C64" t="s">
        <v>1694</v>
      </c>
      <c r="D64">
        <v>15</v>
      </c>
      <c r="E64">
        <v>1043217</v>
      </c>
      <c r="F64" t="s">
        <v>1686</v>
      </c>
      <c r="G64">
        <v>2025</v>
      </c>
      <c r="H64" t="s">
        <v>76</v>
      </c>
      <c r="I64" t="s">
        <v>1741</v>
      </c>
      <c r="J64" t="s">
        <v>1688</v>
      </c>
      <c r="K64" t="s">
        <v>1686</v>
      </c>
      <c r="L64">
        <v>141351</v>
      </c>
      <c r="M64">
        <v>1043217</v>
      </c>
      <c r="N64">
        <v>0</v>
      </c>
      <c r="O64">
        <v>0</v>
      </c>
    </row>
    <row r="65" spans="1:15" x14ac:dyDescent="0.25">
      <c r="A65">
        <v>381</v>
      </c>
      <c r="B65" t="s">
        <v>1695</v>
      </c>
      <c r="C65" t="s">
        <v>1696</v>
      </c>
      <c r="D65">
        <v>15</v>
      </c>
      <c r="E65">
        <v>13793275</v>
      </c>
      <c r="F65" t="s">
        <v>1686</v>
      </c>
      <c r="G65">
        <v>2025</v>
      </c>
      <c r="H65" t="s">
        <v>76</v>
      </c>
      <c r="I65" t="s">
        <v>1741</v>
      </c>
      <c r="J65" t="s">
        <v>1688</v>
      </c>
      <c r="K65" t="s">
        <v>1686</v>
      </c>
      <c r="L65">
        <v>0</v>
      </c>
      <c r="M65">
        <v>13793275</v>
      </c>
      <c r="N65">
        <v>0</v>
      </c>
      <c r="O65">
        <v>0</v>
      </c>
    </row>
    <row r="66" spans="1:15" x14ac:dyDescent="0.25">
      <c r="A66">
        <v>395</v>
      </c>
      <c r="B66" t="s">
        <v>1705</v>
      </c>
      <c r="C66" t="s">
        <v>1706</v>
      </c>
      <c r="D66">
        <v>15</v>
      </c>
      <c r="E66">
        <v>13932845</v>
      </c>
      <c r="F66" t="s">
        <v>1686</v>
      </c>
      <c r="G66">
        <v>2025</v>
      </c>
      <c r="H66" t="s">
        <v>76</v>
      </c>
      <c r="I66" t="s">
        <v>1741</v>
      </c>
      <c r="J66" t="s">
        <v>1688</v>
      </c>
      <c r="K66" t="s">
        <v>1686</v>
      </c>
      <c r="L66">
        <v>0</v>
      </c>
      <c r="M66">
        <v>13932845</v>
      </c>
      <c r="N66">
        <v>0</v>
      </c>
      <c r="O66">
        <v>0</v>
      </c>
    </row>
    <row r="67" spans="1:15" x14ac:dyDescent="0.25">
      <c r="A67">
        <v>396</v>
      </c>
      <c r="B67" t="s">
        <v>1707</v>
      </c>
      <c r="C67" t="s">
        <v>1706</v>
      </c>
      <c r="D67">
        <v>15</v>
      </c>
      <c r="E67">
        <v>7936252</v>
      </c>
      <c r="F67" t="s">
        <v>1686</v>
      </c>
      <c r="G67">
        <v>2025</v>
      </c>
      <c r="H67" t="s">
        <v>76</v>
      </c>
      <c r="I67" t="s">
        <v>1741</v>
      </c>
      <c r="J67" t="s">
        <v>1688</v>
      </c>
      <c r="K67" t="s">
        <v>1686</v>
      </c>
      <c r="L67">
        <v>0</v>
      </c>
      <c r="M67">
        <v>7936252</v>
      </c>
      <c r="N67">
        <v>0</v>
      </c>
      <c r="O67">
        <v>0</v>
      </c>
    </row>
    <row r="68" spans="1:15" x14ac:dyDescent="0.25">
      <c r="A68">
        <v>412</v>
      </c>
      <c r="B68" t="s">
        <v>1697</v>
      </c>
      <c r="C68" t="s">
        <v>1698</v>
      </c>
      <c r="D68">
        <v>15</v>
      </c>
      <c r="E68">
        <v>20791448</v>
      </c>
      <c r="F68" t="s">
        <v>1686</v>
      </c>
      <c r="G68">
        <v>2025</v>
      </c>
      <c r="H68" t="s">
        <v>76</v>
      </c>
      <c r="I68" t="s">
        <v>1741</v>
      </c>
      <c r="J68" t="s">
        <v>1688</v>
      </c>
      <c r="K68" t="s">
        <v>1686</v>
      </c>
      <c r="L68">
        <v>0</v>
      </c>
      <c r="M68">
        <v>20791448</v>
      </c>
      <c r="N68">
        <v>0</v>
      </c>
      <c r="O68">
        <v>0</v>
      </c>
    </row>
    <row r="69" spans="1:15" x14ac:dyDescent="0.25">
      <c r="A69">
        <v>435</v>
      </c>
      <c r="B69" t="s">
        <v>1699</v>
      </c>
      <c r="C69" t="s">
        <v>1700</v>
      </c>
      <c r="D69">
        <v>15</v>
      </c>
      <c r="E69">
        <v>24753014</v>
      </c>
      <c r="F69" t="s">
        <v>1686</v>
      </c>
      <c r="G69">
        <v>2025</v>
      </c>
      <c r="H69" t="s">
        <v>76</v>
      </c>
      <c r="I69" t="s">
        <v>1741</v>
      </c>
      <c r="J69" t="s">
        <v>1688</v>
      </c>
      <c r="K69" t="s">
        <v>1686</v>
      </c>
      <c r="L69">
        <v>0</v>
      </c>
      <c r="M69">
        <v>24753014</v>
      </c>
      <c r="N69">
        <v>0</v>
      </c>
      <c r="O69">
        <v>0</v>
      </c>
    </row>
    <row r="70" spans="1:15" x14ac:dyDescent="0.25">
      <c r="A70">
        <v>438</v>
      </c>
      <c r="B70" t="s">
        <v>1708</v>
      </c>
      <c r="C70" t="s">
        <v>1709</v>
      </c>
      <c r="D70">
        <v>15</v>
      </c>
      <c r="E70">
        <v>3153896</v>
      </c>
      <c r="F70" t="s">
        <v>1686</v>
      </c>
      <c r="G70">
        <v>2025</v>
      </c>
      <c r="H70" t="s">
        <v>76</v>
      </c>
      <c r="I70" t="s">
        <v>1741</v>
      </c>
      <c r="J70" t="s">
        <v>1688</v>
      </c>
      <c r="K70" t="s">
        <v>1686</v>
      </c>
      <c r="L70">
        <v>0</v>
      </c>
      <c r="M70">
        <v>3153896</v>
      </c>
      <c r="N70">
        <v>0</v>
      </c>
      <c r="O70">
        <v>0</v>
      </c>
    </row>
    <row r="71" spans="1:15" x14ac:dyDescent="0.25">
      <c r="A71">
        <v>6</v>
      </c>
      <c r="B71" t="s">
        <v>1684</v>
      </c>
      <c r="C71" t="s">
        <v>1685</v>
      </c>
      <c r="D71">
        <v>17</v>
      </c>
      <c r="E71">
        <v>1921427</v>
      </c>
      <c r="F71" t="s">
        <v>1686</v>
      </c>
      <c r="G71">
        <v>2025</v>
      </c>
      <c r="H71" t="s">
        <v>80</v>
      </c>
      <c r="I71" t="s">
        <v>1742</v>
      </c>
      <c r="J71" t="s">
        <v>1688</v>
      </c>
      <c r="K71" t="s">
        <v>1686</v>
      </c>
      <c r="L71">
        <v>266906</v>
      </c>
      <c r="M71">
        <v>1921427</v>
      </c>
      <c r="N71">
        <v>0</v>
      </c>
      <c r="O71">
        <v>0</v>
      </c>
    </row>
    <row r="72" spans="1:15" x14ac:dyDescent="0.25">
      <c r="A72">
        <v>61</v>
      </c>
      <c r="B72" t="s">
        <v>1689</v>
      </c>
      <c r="C72" t="s">
        <v>1690</v>
      </c>
      <c r="D72">
        <v>17</v>
      </c>
      <c r="E72">
        <v>1219977</v>
      </c>
      <c r="F72" t="s">
        <v>1686</v>
      </c>
      <c r="G72">
        <v>2025</v>
      </c>
      <c r="H72" t="s">
        <v>80</v>
      </c>
      <c r="I72" t="s">
        <v>1742</v>
      </c>
      <c r="J72" t="s">
        <v>1688</v>
      </c>
      <c r="K72" t="s">
        <v>1686</v>
      </c>
      <c r="L72">
        <v>0</v>
      </c>
      <c r="M72">
        <v>1219977</v>
      </c>
      <c r="N72">
        <v>0</v>
      </c>
      <c r="O72">
        <v>0</v>
      </c>
    </row>
    <row r="73" spans="1:15" x14ac:dyDescent="0.25">
      <c r="A73">
        <v>319</v>
      </c>
      <c r="B73" t="s">
        <v>1691</v>
      </c>
      <c r="C73" t="s">
        <v>1692</v>
      </c>
      <c r="D73">
        <v>17</v>
      </c>
      <c r="E73">
        <v>1016049</v>
      </c>
      <c r="F73" t="s">
        <v>1686</v>
      </c>
      <c r="G73">
        <v>2025</v>
      </c>
      <c r="H73" t="s">
        <v>80</v>
      </c>
      <c r="I73" t="s">
        <v>1742</v>
      </c>
      <c r="J73" t="s">
        <v>1688</v>
      </c>
      <c r="K73" t="s">
        <v>1686</v>
      </c>
      <c r="L73">
        <v>0</v>
      </c>
      <c r="M73">
        <v>1016049</v>
      </c>
      <c r="N73">
        <v>0</v>
      </c>
      <c r="O73">
        <v>0</v>
      </c>
    </row>
    <row r="74" spans="1:15" x14ac:dyDescent="0.25">
      <c r="A74">
        <v>320</v>
      </c>
      <c r="B74" t="s">
        <v>1702</v>
      </c>
      <c r="C74" t="s">
        <v>1703</v>
      </c>
      <c r="D74">
        <v>17</v>
      </c>
      <c r="E74">
        <v>710921</v>
      </c>
      <c r="F74" t="s">
        <v>1686</v>
      </c>
      <c r="G74">
        <v>2025</v>
      </c>
      <c r="H74" t="s">
        <v>80</v>
      </c>
      <c r="I74" t="s">
        <v>1742</v>
      </c>
      <c r="J74" t="s">
        <v>1688</v>
      </c>
      <c r="K74" t="s">
        <v>1686</v>
      </c>
      <c r="L74">
        <v>0</v>
      </c>
      <c r="M74">
        <v>710921</v>
      </c>
      <c r="N74">
        <v>0</v>
      </c>
      <c r="O74">
        <v>0</v>
      </c>
    </row>
    <row r="75" spans="1:15" x14ac:dyDescent="0.25">
      <c r="A75">
        <v>356</v>
      </c>
      <c r="B75" t="s">
        <v>1693</v>
      </c>
      <c r="C75" t="s">
        <v>1694</v>
      </c>
      <c r="D75">
        <v>17</v>
      </c>
      <c r="E75">
        <v>99913</v>
      </c>
      <c r="F75" t="s">
        <v>1686</v>
      </c>
      <c r="G75">
        <v>2025</v>
      </c>
      <c r="H75" t="s">
        <v>80</v>
      </c>
      <c r="I75" t="s">
        <v>1742</v>
      </c>
      <c r="J75" t="s">
        <v>1688</v>
      </c>
      <c r="K75" t="s">
        <v>1686</v>
      </c>
      <c r="L75">
        <v>13879</v>
      </c>
      <c r="M75">
        <v>99913</v>
      </c>
      <c r="N75">
        <v>0</v>
      </c>
      <c r="O75">
        <v>0</v>
      </c>
    </row>
    <row r="76" spans="1:15" x14ac:dyDescent="0.25">
      <c r="A76">
        <v>381</v>
      </c>
      <c r="B76" t="s">
        <v>1695</v>
      </c>
      <c r="C76" t="s">
        <v>1696</v>
      </c>
      <c r="D76">
        <v>17</v>
      </c>
      <c r="E76">
        <v>1011244</v>
      </c>
      <c r="F76" t="s">
        <v>1686</v>
      </c>
      <c r="G76">
        <v>2025</v>
      </c>
      <c r="H76" t="s">
        <v>80</v>
      </c>
      <c r="I76" t="s">
        <v>1742</v>
      </c>
      <c r="J76" t="s">
        <v>1688</v>
      </c>
      <c r="K76" t="s">
        <v>1686</v>
      </c>
      <c r="L76">
        <v>0</v>
      </c>
      <c r="M76">
        <v>1011244</v>
      </c>
      <c r="N76">
        <v>0</v>
      </c>
      <c r="O76">
        <v>0</v>
      </c>
    </row>
    <row r="77" spans="1:15" x14ac:dyDescent="0.25">
      <c r="A77">
        <v>395</v>
      </c>
      <c r="B77" t="s">
        <v>1705</v>
      </c>
      <c r="C77" t="s">
        <v>1706</v>
      </c>
      <c r="D77">
        <v>17</v>
      </c>
      <c r="E77">
        <v>1147395</v>
      </c>
      <c r="F77" t="s">
        <v>1686</v>
      </c>
      <c r="G77">
        <v>2025</v>
      </c>
      <c r="H77" t="s">
        <v>80</v>
      </c>
      <c r="I77" t="s">
        <v>1742</v>
      </c>
      <c r="J77" t="s">
        <v>1688</v>
      </c>
      <c r="K77" t="s">
        <v>1686</v>
      </c>
      <c r="L77">
        <v>0</v>
      </c>
      <c r="M77">
        <v>1147395</v>
      </c>
      <c r="N77">
        <v>0</v>
      </c>
      <c r="O77">
        <v>0</v>
      </c>
    </row>
    <row r="78" spans="1:15" x14ac:dyDescent="0.25">
      <c r="A78">
        <v>396</v>
      </c>
      <c r="B78" t="s">
        <v>1707</v>
      </c>
      <c r="C78" t="s">
        <v>1706</v>
      </c>
      <c r="D78">
        <v>17</v>
      </c>
      <c r="E78">
        <v>629229</v>
      </c>
      <c r="F78" t="s">
        <v>1686</v>
      </c>
      <c r="G78">
        <v>2025</v>
      </c>
      <c r="H78" t="s">
        <v>80</v>
      </c>
      <c r="I78" t="s">
        <v>1742</v>
      </c>
      <c r="J78" t="s">
        <v>1688</v>
      </c>
      <c r="K78" t="s">
        <v>1686</v>
      </c>
      <c r="L78">
        <v>0</v>
      </c>
      <c r="M78">
        <v>629229</v>
      </c>
      <c r="N78">
        <v>0</v>
      </c>
      <c r="O78">
        <v>0</v>
      </c>
    </row>
    <row r="79" spans="1:15" x14ac:dyDescent="0.25">
      <c r="A79">
        <v>412</v>
      </c>
      <c r="B79" t="s">
        <v>1697</v>
      </c>
      <c r="C79" t="s">
        <v>1698</v>
      </c>
      <c r="D79">
        <v>17</v>
      </c>
      <c r="E79">
        <v>1852895</v>
      </c>
      <c r="F79" t="s">
        <v>1686</v>
      </c>
      <c r="G79">
        <v>2025</v>
      </c>
      <c r="H79" t="s">
        <v>80</v>
      </c>
      <c r="I79" t="s">
        <v>1742</v>
      </c>
      <c r="J79" t="s">
        <v>1688</v>
      </c>
      <c r="K79" t="s">
        <v>1686</v>
      </c>
      <c r="L79">
        <v>0</v>
      </c>
      <c r="M79">
        <v>1852895</v>
      </c>
      <c r="N79">
        <v>0</v>
      </c>
      <c r="O79">
        <v>0</v>
      </c>
    </row>
    <row r="80" spans="1:15" x14ac:dyDescent="0.25">
      <c r="A80">
        <v>435</v>
      </c>
      <c r="B80" t="s">
        <v>1699</v>
      </c>
      <c r="C80" t="s">
        <v>1700</v>
      </c>
      <c r="D80">
        <v>17</v>
      </c>
      <c r="E80">
        <v>1985199</v>
      </c>
      <c r="F80" t="s">
        <v>1686</v>
      </c>
      <c r="G80">
        <v>2025</v>
      </c>
      <c r="H80" t="s">
        <v>80</v>
      </c>
      <c r="I80" t="s">
        <v>1742</v>
      </c>
      <c r="J80" t="s">
        <v>1688</v>
      </c>
      <c r="K80" t="s">
        <v>1686</v>
      </c>
      <c r="L80">
        <v>0</v>
      </c>
      <c r="M80">
        <v>1985199</v>
      </c>
      <c r="N80">
        <v>0</v>
      </c>
      <c r="O80">
        <v>0</v>
      </c>
    </row>
    <row r="81" spans="1:15" x14ac:dyDescent="0.25">
      <c r="A81">
        <v>438</v>
      </c>
      <c r="B81" t="s">
        <v>1708</v>
      </c>
      <c r="C81" t="s">
        <v>1709</v>
      </c>
      <c r="D81">
        <v>17</v>
      </c>
      <c r="E81">
        <v>278631</v>
      </c>
      <c r="F81" t="s">
        <v>1686</v>
      </c>
      <c r="G81">
        <v>2025</v>
      </c>
      <c r="H81" t="s">
        <v>80</v>
      </c>
      <c r="I81" t="s">
        <v>1742</v>
      </c>
      <c r="J81" t="s">
        <v>1688</v>
      </c>
      <c r="K81" t="s">
        <v>1686</v>
      </c>
      <c r="L81">
        <v>0</v>
      </c>
      <c r="M81">
        <v>278631</v>
      </c>
      <c r="N81">
        <v>0</v>
      </c>
      <c r="O81">
        <v>0</v>
      </c>
    </row>
    <row r="82" spans="1:15" x14ac:dyDescent="0.25">
      <c r="A82">
        <v>16</v>
      </c>
      <c r="B82" t="s">
        <v>1743</v>
      </c>
      <c r="C82" t="s">
        <v>1744</v>
      </c>
      <c r="D82">
        <v>19</v>
      </c>
      <c r="E82">
        <v>2138626</v>
      </c>
      <c r="F82" t="s">
        <v>883</v>
      </c>
      <c r="G82">
        <v>2025</v>
      </c>
      <c r="H82" t="s">
        <v>84</v>
      </c>
      <c r="I82" t="s">
        <v>1745</v>
      </c>
      <c r="J82" t="s">
        <v>1688</v>
      </c>
      <c r="K82" t="s">
        <v>1686</v>
      </c>
      <c r="L82">
        <v>0</v>
      </c>
      <c r="M82">
        <v>2138626</v>
      </c>
      <c r="N82">
        <v>0</v>
      </c>
      <c r="O82">
        <v>0</v>
      </c>
    </row>
    <row r="83" spans="1:15" x14ac:dyDescent="0.25">
      <c r="A83">
        <v>336</v>
      </c>
      <c r="B83" t="s">
        <v>1746</v>
      </c>
      <c r="C83" t="s">
        <v>1747</v>
      </c>
      <c r="D83">
        <v>19</v>
      </c>
      <c r="E83">
        <v>10606265</v>
      </c>
      <c r="F83" t="s">
        <v>883</v>
      </c>
      <c r="G83">
        <v>2025</v>
      </c>
      <c r="H83" t="s">
        <v>84</v>
      </c>
      <c r="I83" t="s">
        <v>1745</v>
      </c>
      <c r="J83" t="s">
        <v>1688</v>
      </c>
      <c r="K83" t="s">
        <v>1686</v>
      </c>
      <c r="L83">
        <v>0</v>
      </c>
      <c r="M83">
        <v>10606265</v>
      </c>
      <c r="N83">
        <v>0</v>
      </c>
      <c r="O83">
        <v>0</v>
      </c>
    </row>
    <row r="84" spans="1:15" x14ac:dyDescent="0.25">
      <c r="A84">
        <v>337</v>
      </c>
      <c r="B84" t="s">
        <v>1748</v>
      </c>
      <c r="C84" t="s">
        <v>1747</v>
      </c>
      <c r="D84">
        <v>19</v>
      </c>
      <c r="E84">
        <v>3175250</v>
      </c>
      <c r="F84" t="s">
        <v>883</v>
      </c>
      <c r="G84">
        <v>2025</v>
      </c>
      <c r="H84" t="s">
        <v>84</v>
      </c>
      <c r="I84" t="s">
        <v>1745</v>
      </c>
      <c r="J84" t="s">
        <v>1688</v>
      </c>
      <c r="K84" t="s">
        <v>1686</v>
      </c>
      <c r="L84">
        <v>0</v>
      </c>
      <c r="M84">
        <v>3175250</v>
      </c>
      <c r="N84">
        <v>0</v>
      </c>
      <c r="O84">
        <v>0</v>
      </c>
    </row>
    <row r="85" spans="1:15" x14ac:dyDescent="0.25">
      <c r="A85">
        <v>422</v>
      </c>
      <c r="B85" t="s">
        <v>1749</v>
      </c>
      <c r="C85" t="s">
        <v>1750</v>
      </c>
      <c r="D85">
        <v>19</v>
      </c>
      <c r="E85">
        <v>13405762</v>
      </c>
      <c r="F85" t="s">
        <v>883</v>
      </c>
      <c r="G85">
        <v>2025</v>
      </c>
      <c r="H85" t="s">
        <v>84</v>
      </c>
      <c r="I85" t="s">
        <v>1745</v>
      </c>
      <c r="J85" t="s">
        <v>1688</v>
      </c>
      <c r="K85" t="s">
        <v>1686</v>
      </c>
      <c r="L85">
        <v>0</v>
      </c>
      <c r="M85">
        <v>13405762</v>
      </c>
      <c r="N85">
        <v>0</v>
      </c>
      <c r="O85">
        <v>0</v>
      </c>
    </row>
    <row r="86" spans="1:15" x14ac:dyDescent="0.25">
      <c r="A86">
        <v>355</v>
      </c>
      <c r="B86" t="s">
        <v>1751</v>
      </c>
      <c r="C86" t="s">
        <v>1752</v>
      </c>
      <c r="D86">
        <v>20</v>
      </c>
      <c r="E86">
        <v>1200000</v>
      </c>
      <c r="F86" t="s">
        <v>883</v>
      </c>
      <c r="G86">
        <v>2025</v>
      </c>
      <c r="H86" t="s">
        <v>86</v>
      </c>
      <c r="I86" t="s">
        <v>1753</v>
      </c>
      <c r="J86" t="s">
        <v>1688</v>
      </c>
      <c r="K86" t="s">
        <v>1686</v>
      </c>
      <c r="L86">
        <v>0</v>
      </c>
      <c r="M86">
        <v>1200000</v>
      </c>
      <c r="N86">
        <v>0</v>
      </c>
      <c r="O86">
        <v>0</v>
      </c>
    </row>
    <row r="87" spans="1:15" x14ac:dyDescent="0.25">
      <c r="A87">
        <v>420</v>
      </c>
      <c r="B87" t="s">
        <v>1754</v>
      </c>
      <c r="C87" t="s">
        <v>1752</v>
      </c>
      <c r="D87">
        <v>20</v>
      </c>
      <c r="E87">
        <v>1995000</v>
      </c>
      <c r="F87" t="s">
        <v>883</v>
      </c>
      <c r="G87">
        <v>2025</v>
      </c>
      <c r="H87" t="s">
        <v>86</v>
      </c>
      <c r="I87" t="s">
        <v>1753</v>
      </c>
      <c r="J87" t="s">
        <v>1688</v>
      </c>
      <c r="K87" t="s">
        <v>1686</v>
      </c>
      <c r="L87">
        <v>0</v>
      </c>
      <c r="M87">
        <v>1995000</v>
      </c>
      <c r="N87">
        <v>0</v>
      </c>
      <c r="O87">
        <v>0</v>
      </c>
    </row>
    <row r="88" spans="1:15" x14ac:dyDescent="0.25">
      <c r="A88">
        <v>443</v>
      </c>
      <c r="B88" t="s">
        <v>1755</v>
      </c>
      <c r="C88" t="s">
        <v>1752</v>
      </c>
      <c r="D88">
        <v>20</v>
      </c>
      <c r="E88">
        <v>4050000</v>
      </c>
      <c r="F88" t="s">
        <v>883</v>
      </c>
      <c r="G88">
        <v>2025</v>
      </c>
      <c r="H88" t="s">
        <v>86</v>
      </c>
      <c r="I88" t="s">
        <v>1753</v>
      </c>
      <c r="J88" t="s">
        <v>1688</v>
      </c>
      <c r="K88" t="s">
        <v>1686</v>
      </c>
      <c r="L88">
        <v>0</v>
      </c>
      <c r="M88">
        <v>0</v>
      </c>
      <c r="N88">
        <v>0</v>
      </c>
      <c r="O88">
        <v>4050000</v>
      </c>
    </row>
    <row r="89" spans="1:15" x14ac:dyDescent="0.25">
      <c r="A89">
        <v>16</v>
      </c>
      <c r="B89" t="s">
        <v>1743</v>
      </c>
      <c r="C89" t="s">
        <v>1744</v>
      </c>
      <c r="D89">
        <v>23</v>
      </c>
      <c r="E89">
        <v>2450165</v>
      </c>
      <c r="F89" t="s">
        <v>883</v>
      </c>
      <c r="G89">
        <v>2025</v>
      </c>
      <c r="H89" t="s">
        <v>92</v>
      </c>
      <c r="I89" t="s">
        <v>1756</v>
      </c>
      <c r="J89" t="s">
        <v>1688</v>
      </c>
      <c r="K89" t="s">
        <v>1686</v>
      </c>
      <c r="L89">
        <v>0</v>
      </c>
      <c r="M89">
        <v>2450165</v>
      </c>
      <c r="N89">
        <v>0</v>
      </c>
      <c r="O89">
        <v>0</v>
      </c>
    </row>
    <row r="90" spans="1:15" x14ac:dyDescent="0.25">
      <c r="A90">
        <v>335</v>
      </c>
      <c r="B90" t="s">
        <v>1757</v>
      </c>
      <c r="C90" t="s">
        <v>1758</v>
      </c>
      <c r="D90">
        <v>23</v>
      </c>
      <c r="E90">
        <v>4684235</v>
      </c>
      <c r="F90" t="s">
        <v>883</v>
      </c>
      <c r="G90">
        <v>2025</v>
      </c>
      <c r="H90" t="s">
        <v>92</v>
      </c>
      <c r="I90" t="s">
        <v>1756</v>
      </c>
      <c r="J90" t="s">
        <v>1688</v>
      </c>
      <c r="K90" t="s">
        <v>1686</v>
      </c>
      <c r="L90">
        <v>0</v>
      </c>
      <c r="M90">
        <v>4684235</v>
      </c>
      <c r="N90">
        <v>0</v>
      </c>
      <c r="O90">
        <v>0</v>
      </c>
    </row>
    <row r="91" spans="1:15" x14ac:dyDescent="0.25">
      <c r="A91">
        <v>422</v>
      </c>
      <c r="B91" t="s">
        <v>1749</v>
      </c>
      <c r="C91" t="s">
        <v>1750</v>
      </c>
      <c r="D91">
        <v>23</v>
      </c>
      <c r="E91">
        <v>5510522</v>
      </c>
      <c r="F91" t="s">
        <v>883</v>
      </c>
      <c r="G91">
        <v>2025</v>
      </c>
      <c r="H91" t="s">
        <v>92</v>
      </c>
      <c r="I91" t="s">
        <v>1756</v>
      </c>
      <c r="J91" t="s">
        <v>1688</v>
      </c>
      <c r="K91" t="s">
        <v>1686</v>
      </c>
      <c r="L91">
        <v>0</v>
      </c>
      <c r="M91">
        <v>5510522</v>
      </c>
      <c r="N91">
        <v>0</v>
      </c>
      <c r="O91">
        <v>0</v>
      </c>
    </row>
    <row r="92" spans="1:15" x14ac:dyDescent="0.25">
      <c r="A92">
        <v>427</v>
      </c>
      <c r="B92" t="s">
        <v>1759</v>
      </c>
      <c r="C92" t="s">
        <v>1760</v>
      </c>
      <c r="D92">
        <v>23</v>
      </c>
      <c r="E92">
        <v>711750</v>
      </c>
      <c r="F92" t="s">
        <v>883</v>
      </c>
      <c r="G92">
        <v>2025</v>
      </c>
      <c r="H92" t="s">
        <v>92</v>
      </c>
      <c r="I92" t="s">
        <v>1756</v>
      </c>
      <c r="J92" t="s">
        <v>1688</v>
      </c>
      <c r="K92" t="s">
        <v>1686</v>
      </c>
      <c r="L92">
        <v>0</v>
      </c>
      <c r="M92">
        <v>0</v>
      </c>
      <c r="N92">
        <v>0</v>
      </c>
      <c r="O92">
        <v>711750</v>
      </c>
    </row>
    <row r="93" spans="1:15" x14ac:dyDescent="0.25">
      <c r="A93">
        <v>433</v>
      </c>
      <c r="B93" t="s">
        <v>1761</v>
      </c>
      <c r="C93" t="s">
        <v>1762</v>
      </c>
      <c r="D93">
        <v>24</v>
      </c>
      <c r="E93">
        <v>125000000</v>
      </c>
      <c r="F93" t="s">
        <v>883</v>
      </c>
      <c r="G93">
        <v>2025</v>
      </c>
      <c r="H93" t="s">
        <v>126</v>
      </c>
      <c r="I93" t="s">
        <v>1763</v>
      </c>
      <c r="J93" t="s">
        <v>1688</v>
      </c>
      <c r="K93" t="s">
        <v>1686</v>
      </c>
      <c r="L93">
        <v>0</v>
      </c>
      <c r="M93">
        <v>0</v>
      </c>
      <c r="N93">
        <v>0</v>
      </c>
      <c r="O93">
        <v>125000000</v>
      </c>
    </row>
    <row r="94" spans="1:15" x14ac:dyDescent="0.25">
      <c r="A94">
        <v>433</v>
      </c>
      <c r="B94" t="s">
        <v>1761</v>
      </c>
      <c r="C94" t="s">
        <v>1762</v>
      </c>
      <c r="D94">
        <v>25</v>
      </c>
      <c r="E94">
        <v>75000000</v>
      </c>
      <c r="F94" t="s">
        <v>883</v>
      </c>
      <c r="G94">
        <v>2025</v>
      </c>
      <c r="H94" t="s">
        <v>128</v>
      </c>
      <c r="I94" t="s">
        <v>1764</v>
      </c>
      <c r="J94" t="s">
        <v>1688</v>
      </c>
      <c r="K94" t="s">
        <v>1686</v>
      </c>
      <c r="L94">
        <v>0</v>
      </c>
      <c r="M94">
        <v>0</v>
      </c>
      <c r="N94">
        <v>0</v>
      </c>
      <c r="O94">
        <v>75000000</v>
      </c>
    </row>
    <row r="95" spans="1:15" x14ac:dyDescent="0.25">
      <c r="A95">
        <v>10</v>
      </c>
      <c r="B95" t="s">
        <v>1765</v>
      </c>
      <c r="C95" t="s">
        <v>1766</v>
      </c>
      <c r="D95">
        <v>26</v>
      </c>
      <c r="E95">
        <v>17129534</v>
      </c>
      <c r="F95" t="s">
        <v>883</v>
      </c>
      <c r="G95">
        <v>2025</v>
      </c>
      <c r="H95" t="s">
        <v>98</v>
      </c>
      <c r="I95" t="s">
        <v>1767</v>
      </c>
      <c r="J95" t="s">
        <v>1688</v>
      </c>
      <c r="K95" t="s">
        <v>1686</v>
      </c>
      <c r="L95">
        <v>0</v>
      </c>
      <c r="M95">
        <v>2027562</v>
      </c>
      <c r="N95">
        <v>0</v>
      </c>
      <c r="O95">
        <v>15101972</v>
      </c>
    </row>
    <row r="96" spans="1:15" x14ac:dyDescent="0.25">
      <c r="A96">
        <v>9</v>
      </c>
      <c r="B96" t="s">
        <v>1768</v>
      </c>
      <c r="C96" t="s">
        <v>1769</v>
      </c>
      <c r="D96">
        <v>27</v>
      </c>
      <c r="E96">
        <v>200000000</v>
      </c>
      <c r="F96" t="s">
        <v>883</v>
      </c>
      <c r="G96">
        <v>2025</v>
      </c>
      <c r="H96" t="s">
        <v>140</v>
      </c>
      <c r="I96" t="s">
        <v>1770</v>
      </c>
      <c r="J96" t="s">
        <v>1688</v>
      </c>
      <c r="K96" t="s">
        <v>1686</v>
      </c>
      <c r="L96">
        <v>0</v>
      </c>
      <c r="M96">
        <v>75172505</v>
      </c>
      <c r="N96">
        <v>0</v>
      </c>
      <c r="O96">
        <v>124827495</v>
      </c>
    </row>
    <row r="97" spans="1:15" x14ac:dyDescent="0.25">
      <c r="A97">
        <v>341</v>
      </c>
      <c r="B97" t="s">
        <v>1771</v>
      </c>
      <c r="C97" t="s">
        <v>1772</v>
      </c>
      <c r="D97">
        <v>27</v>
      </c>
      <c r="E97">
        <v>200000000</v>
      </c>
      <c r="F97" t="s">
        <v>883</v>
      </c>
      <c r="G97">
        <v>2025</v>
      </c>
      <c r="H97" t="s">
        <v>140</v>
      </c>
      <c r="I97" t="s">
        <v>1770</v>
      </c>
      <c r="J97" t="s">
        <v>1688</v>
      </c>
      <c r="K97" t="s">
        <v>1686</v>
      </c>
      <c r="L97">
        <v>0</v>
      </c>
      <c r="M97">
        <v>0</v>
      </c>
      <c r="N97">
        <v>0</v>
      </c>
      <c r="O97">
        <v>200000000</v>
      </c>
    </row>
    <row r="98" spans="1:15" x14ac:dyDescent="0.25">
      <c r="A98">
        <v>382</v>
      </c>
      <c r="B98" t="s">
        <v>1773</v>
      </c>
      <c r="C98" t="s">
        <v>1774</v>
      </c>
      <c r="D98">
        <v>27</v>
      </c>
      <c r="E98">
        <v>130213545</v>
      </c>
      <c r="F98" t="s">
        <v>1775</v>
      </c>
      <c r="G98">
        <v>2025</v>
      </c>
      <c r="H98" t="s">
        <v>140</v>
      </c>
      <c r="I98" t="s">
        <v>1770</v>
      </c>
      <c r="J98" t="s">
        <v>1688</v>
      </c>
      <c r="K98" t="s">
        <v>1686</v>
      </c>
      <c r="L98">
        <v>0</v>
      </c>
      <c r="M98">
        <v>130213545</v>
      </c>
      <c r="N98">
        <v>0</v>
      </c>
      <c r="O98">
        <v>0</v>
      </c>
    </row>
    <row r="99" spans="1:15" x14ac:dyDescent="0.25">
      <c r="A99">
        <v>10</v>
      </c>
      <c r="B99" t="s">
        <v>1765</v>
      </c>
      <c r="C99" t="s">
        <v>1766</v>
      </c>
      <c r="D99">
        <v>28</v>
      </c>
      <c r="E99">
        <v>25377088</v>
      </c>
      <c r="F99" t="s">
        <v>883</v>
      </c>
      <c r="G99">
        <v>2025</v>
      </c>
      <c r="H99" t="s">
        <v>100</v>
      </c>
      <c r="I99" t="s">
        <v>1776</v>
      </c>
      <c r="J99" t="s">
        <v>1688</v>
      </c>
      <c r="K99" t="s">
        <v>1686</v>
      </c>
      <c r="L99">
        <v>0</v>
      </c>
      <c r="M99">
        <v>3545457</v>
      </c>
      <c r="N99">
        <v>0</v>
      </c>
      <c r="O99">
        <v>21831631</v>
      </c>
    </row>
    <row r="100" spans="1:15" x14ac:dyDescent="0.25">
      <c r="A100">
        <v>10</v>
      </c>
      <c r="B100" t="s">
        <v>1765</v>
      </c>
      <c r="C100" t="s">
        <v>1766</v>
      </c>
      <c r="D100">
        <v>29</v>
      </c>
      <c r="E100">
        <v>1380562</v>
      </c>
      <c r="F100" t="s">
        <v>883</v>
      </c>
      <c r="G100">
        <v>2025</v>
      </c>
      <c r="H100" t="s">
        <v>102</v>
      </c>
      <c r="I100" t="s">
        <v>1777</v>
      </c>
      <c r="J100" t="s">
        <v>1688</v>
      </c>
      <c r="K100" t="s">
        <v>1686</v>
      </c>
      <c r="L100">
        <v>0</v>
      </c>
      <c r="M100">
        <v>115046</v>
      </c>
      <c r="N100">
        <v>0</v>
      </c>
      <c r="O100">
        <v>1265516</v>
      </c>
    </row>
    <row r="101" spans="1:15" x14ac:dyDescent="0.25">
      <c r="A101">
        <v>14</v>
      </c>
      <c r="B101" t="s">
        <v>1778</v>
      </c>
      <c r="C101" t="s">
        <v>1779</v>
      </c>
      <c r="D101">
        <v>30</v>
      </c>
      <c r="E101">
        <v>47866000</v>
      </c>
      <c r="F101" t="s">
        <v>883</v>
      </c>
      <c r="G101">
        <v>2025</v>
      </c>
      <c r="H101" t="s">
        <v>114</v>
      </c>
      <c r="I101" t="s">
        <v>1780</v>
      </c>
      <c r="J101" t="s">
        <v>1688</v>
      </c>
      <c r="K101" t="s">
        <v>1686</v>
      </c>
      <c r="L101">
        <v>0</v>
      </c>
      <c r="M101">
        <v>47866000</v>
      </c>
      <c r="N101">
        <v>0</v>
      </c>
      <c r="O101">
        <v>0</v>
      </c>
    </row>
    <row r="102" spans="1:15" x14ac:dyDescent="0.25">
      <c r="A102">
        <v>15</v>
      </c>
      <c r="B102" t="s">
        <v>1781</v>
      </c>
      <c r="C102" t="s">
        <v>1782</v>
      </c>
      <c r="D102">
        <v>30</v>
      </c>
      <c r="E102">
        <v>47866000</v>
      </c>
      <c r="F102" t="s">
        <v>883</v>
      </c>
      <c r="G102">
        <v>2025</v>
      </c>
      <c r="H102" t="s">
        <v>114</v>
      </c>
      <c r="I102" t="s">
        <v>1780</v>
      </c>
      <c r="J102" t="s">
        <v>1688</v>
      </c>
      <c r="K102" t="s">
        <v>1686</v>
      </c>
      <c r="L102">
        <v>0</v>
      </c>
      <c r="M102">
        <v>47866000</v>
      </c>
      <c r="N102">
        <v>0</v>
      </c>
      <c r="O102">
        <v>0</v>
      </c>
    </row>
    <row r="103" spans="1:15" x14ac:dyDescent="0.25">
      <c r="A103">
        <v>21</v>
      </c>
      <c r="B103" t="s">
        <v>1783</v>
      </c>
      <c r="C103" t="s">
        <v>1784</v>
      </c>
      <c r="D103">
        <v>30</v>
      </c>
      <c r="E103">
        <v>47866000</v>
      </c>
      <c r="F103" t="s">
        <v>883</v>
      </c>
      <c r="G103">
        <v>2025</v>
      </c>
      <c r="H103" t="s">
        <v>114</v>
      </c>
      <c r="I103" t="s">
        <v>1780</v>
      </c>
      <c r="J103" t="s">
        <v>1688</v>
      </c>
      <c r="K103" t="s">
        <v>1686</v>
      </c>
      <c r="L103">
        <v>0</v>
      </c>
      <c r="M103">
        <v>47866000</v>
      </c>
      <c r="N103">
        <v>0</v>
      </c>
      <c r="O103">
        <v>0</v>
      </c>
    </row>
    <row r="104" spans="1:15" x14ac:dyDescent="0.25">
      <c r="A104">
        <v>22</v>
      </c>
      <c r="B104" t="s">
        <v>1785</v>
      </c>
      <c r="C104" t="s">
        <v>1786</v>
      </c>
      <c r="D104">
        <v>30</v>
      </c>
      <c r="E104">
        <v>17095000</v>
      </c>
      <c r="F104" t="s">
        <v>883</v>
      </c>
      <c r="G104">
        <v>2025</v>
      </c>
      <c r="H104" t="s">
        <v>114</v>
      </c>
      <c r="I104" t="s">
        <v>1780</v>
      </c>
      <c r="J104" t="s">
        <v>1688</v>
      </c>
      <c r="K104" t="s">
        <v>1686</v>
      </c>
      <c r="L104">
        <v>0</v>
      </c>
      <c r="M104">
        <v>17095000</v>
      </c>
      <c r="N104">
        <v>0</v>
      </c>
      <c r="O104">
        <v>0</v>
      </c>
    </row>
    <row r="105" spans="1:15" x14ac:dyDescent="0.25">
      <c r="A105">
        <v>23</v>
      </c>
      <c r="B105" t="s">
        <v>1787</v>
      </c>
      <c r="C105" t="s">
        <v>1788</v>
      </c>
      <c r="D105">
        <v>30</v>
      </c>
      <c r="E105">
        <v>17095000</v>
      </c>
      <c r="F105" t="s">
        <v>883</v>
      </c>
      <c r="G105">
        <v>2025</v>
      </c>
      <c r="H105" t="s">
        <v>114</v>
      </c>
      <c r="I105" t="s">
        <v>1780</v>
      </c>
      <c r="J105" t="s">
        <v>1688</v>
      </c>
      <c r="K105" t="s">
        <v>1686</v>
      </c>
      <c r="L105">
        <v>0</v>
      </c>
      <c r="M105">
        <v>17095000</v>
      </c>
      <c r="N105">
        <v>0</v>
      </c>
      <c r="O105">
        <v>0</v>
      </c>
    </row>
    <row r="106" spans="1:15" x14ac:dyDescent="0.25">
      <c r="A106">
        <v>24</v>
      </c>
      <c r="B106" t="s">
        <v>1789</v>
      </c>
      <c r="C106" t="s">
        <v>1790</v>
      </c>
      <c r="D106">
        <v>30</v>
      </c>
      <c r="E106">
        <v>37609000</v>
      </c>
      <c r="F106" t="s">
        <v>883</v>
      </c>
      <c r="G106">
        <v>2025</v>
      </c>
      <c r="H106" t="s">
        <v>114</v>
      </c>
      <c r="I106" t="s">
        <v>1780</v>
      </c>
      <c r="J106" t="s">
        <v>1688</v>
      </c>
      <c r="K106" t="s">
        <v>1686</v>
      </c>
      <c r="L106">
        <v>0</v>
      </c>
      <c r="M106">
        <v>37609000</v>
      </c>
      <c r="N106">
        <v>0</v>
      </c>
      <c r="O106">
        <v>0</v>
      </c>
    </row>
    <row r="107" spans="1:15" x14ac:dyDescent="0.25">
      <c r="A107">
        <v>25</v>
      </c>
      <c r="B107" t="s">
        <v>1791</v>
      </c>
      <c r="C107" t="s">
        <v>1792</v>
      </c>
      <c r="D107">
        <v>30</v>
      </c>
      <c r="E107">
        <v>47866000</v>
      </c>
      <c r="F107" t="s">
        <v>883</v>
      </c>
      <c r="G107">
        <v>2025</v>
      </c>
      <c r="H107" t="s">
        <v>114</v>
      </c>
      <c r="I107" t="s">
        <v>1780</v>
      </c>
      <c r="J107" t="s">
        <v>1688</v>
      </c>
      <c r="K107" t="s">
        <v>1686</v>
      </c>
      <c r="L107">
        <v>0</v>
      </c>
      <c r="M107">
        <v>47866000</v>
      </c>
      <c r="N107">
        <v>0</v>
      </c>
      <c r="O107">
        <v>0</v>
      </c>
    </row>
    <row r="108" spans="1:15" x14ac:dyDescent="0.25">
      <c r="A108">
        <v>27</v>
      </c>
      <c r="B108" t="s">
        <v>1793</v>
      </c>
      <c r="C108" t="s">
        <v>1794</v>
      </c>
      <c r="D108">
        <v>30</v>
      </c>
      <c r="E108">
        <v>37609000</v>
      </c>
      <c r="F108" t="s">
        <v>883</v>
      </c>
      <c r="G108">
        <v>2025</v>
      </c>
      <c r="H108" t="s">
        <v>114</v>
      </c>
      <c r="I108" t="s">
        <v>1780</v>
      </c>
      <c r="J108" t="s">
        <v>1688</v>
      </c>
      <c r="K108" t="s">
        <v>1686</v>
      </c>
      <c r="L108">
        <v>0</v>
      </c>
      <c r="M108">
        <v>37609000</v>
      </c>
      <c r="N108">
        <v>0</v>
      </c>
      <c r="O108">
        <v>0</v>
      </c>
    </row>
    <row r="109" spans="1:15" x14ac:dyDescent="0.25">
      <c r="A109">
        <v>30</v>
      </c>
      <c r="B109" t="s">
        <v>1795</v>
      </c>
      <c r="C109" t="s">
        <v>1796</v>
      </c>
      <c r="D109">
        <v>30</v>
      </c>
      <c r="E109">
        <v>37609000</v>
      </c>
      <c r="F109" t="s">
        <v>883</v>
      </c>
      <c r="G109">
        <v>2025</v>
      </c>
      <c r="H109" t="s">
        <v>114</v>
      </c>
      <c r="I109" t="s">
        <v>1780</v>
      </c>
      <c r="J109" t="s">
        <v>1688</v>
      </c>
      <c r="K109" t="s">
        <v>1686</v>
      </c>
      <c r="L109">
        <v>0</v>
      </c>
      <c r="M109">
        <v>37609000</v>
      </c>
      <c r="N109">
        <v>0</v>
      </c>
      <c r="O109">
        <v>0</v>
      </c>
    </row>
    <row r="110" spans="1:15" x14ac:dyDescent="0.25">
      <c r="A110">
        <v>31</v>
      </c>
      <c r="B110" t="s">
        <v>1797</v>
      </c>
      <c r="C110" t="s">
        <v>1798</v>
      </c>
      <c r="D110">
        <v>30</v>
      </c>
      <c r="E110">
        <v>47866000</v>
      </c>
      <c r="F110" t="s">
        <v>883</v>
      </c>
      <c r="G110">
        <v>2025</v>
      </c>
      <c r="H110" t="s">
        <v>114</v>
      </c>
      <c r="I110" t="s">
        <v>1780</v>
      </c>
      <c r="J110" t="s">
        <v>1688</v>
      </c>
      <c r="K110" t="s">
        <v>1686</v>
      </c>
      <c r="L110">
        <v>0</v>
      </c>
      <c r="M110">
        <v>0</v>
      </c>
      <c r="N110">
        <v>47866000</v>
      </c>
      <c r="O110">
        <v>0</v>
      </c>
    </row>
    <row r="111" spans="1:15" x14ac:dyDescent="0.25">
      <c r="A111">
        <v>32</v>
      </c>
      <c r="B111" t="s">
        <v>1799</v>
      </c>
      <c r="C111" t="s">
        <v>1800</v>
      </c>
      <c r="D111">
        <v>30</v>
      </c>
      <c r="E111">
        <v>37609000</v>
      </c>
      <c r="F111" t="s">
        <v>883</v>
      </c>
      <c r="G111">
        <v>2025</v>
      </c>
      <c r="H111" t="s">
        <v>114</v>
      </c>
      <c r="I111" t="s">
        <v>1780</v>
      </c>
      <c r="J111" t="s">
        <v>1688</v>
      </c>
      <c r="K111" t="s">
        <v>1686</v>
      </c>
      <c r="L111">
        <v>0</v>
      </c>
      <c r="M111">
        <v>37609000</v>
      </c>
      <c r="N111">
        <v>0</v>
      </c>
      <c r="O111">
        <v>0</v>
      </c>
    </row>
    <row r="112" spans="1:15" x14ac:dyDescent="0.25">
      <c r="A112">
        <v>33</v>
      </c>
      <c r="B112" t="s">
        <v>1801</v>
      </c>
      <c r="C112" t="s">
        <v>1802</v>
      </c>
      <c r="D112">
        <v>30</v>
      </c>
      <c r="E112">
        <v>37609000</v>
      </c>
      <c r="F112" t="s">
        <v>883</v>
      </c>
      <c r="G112">
        <v>2025</v>
      </c>
      <c r="H112" t="s">
        <v>114</v>
      </c>
      <c r="I112" t="s">
        <v>1780</v>
      </c>
      <c r="J112" t="s">
        <v>1688</v>
      </c>
      <c r="K112" t="s">
        <v>1686</v>
      </c>
      <c r="L112">
        <v>0</v>
      </c>
      <c r="M112">
        <v>37609000</v>
      </c>
      <c r="N112">
        <v>0</v>
      </c>
      <c r="O112">
        <v>0</v>
      </c>
    </row>
    <row r="113" spans="1:15" x14ac:dyDescent="0.25">
      <c r="A113">
        <v>34</v>
      </c>
      <c r="B113" t="s">
        <v>1803</v>
      </c>
      <c r="C113" t="s">
        <v>1804</v>
      </c>
      <c r="D113">
        <v>30</v>
      </c>
      <c r="E113">
        <v>17095000</v>
      </c>
      <c r="F113" t="s">
        <v>883</v>
      </c>
      <c r="G113">
        <v>2025</v>
      </c>
      <c r="H113" t="s">
        <v>114</v>
      </c>
      <c r="I113" t="s">
        <v>1780</v>
      </c>
      <c r="J113" t="s">
        <v>1688</v>
      </c>
      <c r="K113" t="s">
        <v>1686</v>
      </c>
      <c r="L113">
        <v>0</v>
      </c>
      <c r="M113">
        <v>17095000</v>
      </c>
      <c r="N113">
        <v>0</v>
      </c>
      <c r="O113">
        <v>0</v>
      </c>
    </row>
    <row r="114" spans="1:15" x14ac:dyDescent="0.25">
      <c r="A114">
        <v>35</v>
      </c>
      <c r="B114" t="s">
        <v>1803</v>
      </c>
      <c r="C114" t="s">
        <v>1805</v>
      </c>
      <c r="D114">
        <v>30</v>
      </c>
      <c r="E114">
        <v>37609000</v>
      </c>
      <c r="F114" t="s">
        <v>883</v>
      </c>
      <c r="G114">
        <v>2025</v>
      </c>
      <c r="H114" t="s">
        <v>114</v>
      </c>
      <c r="I114" t="s">
        <v>1780</v>
      </c>
      <c r="J114" t="s">
        <v>1688</v>
      </c>
      <c r="K114" t="s">
        <v>1686</v>
      </c>
      <c r="L114">
        <v>0</v>
      </c>
      <c r="M114">
        <v>0</v>
      </c>
      <c r="N114">
        <v>37609000</v>
      </c>
      <c r="O114">
        <v>0</v>
      </c>
    </row>
    <row r="115" spans="1:15" x14ac:dyDescent="0.25">
      <c r="A115">
        <v>38</v>
      </c>
      <c r="B115" t="s">
        <v>1806</v>
      </c>
      <c r="C115" t="s">
        <v>1807</v>
      </c>
      <c r="D115">
        <v>30</v>
      </c>
      <c r="E115">
        <v>17095000</v>
      </c>
      <c r="F115" t="s">
        <v>883</v>
      </c>
      <c r="G115">
        <v>2025</v>
      </c>
      <c r="H115" t="s">
        <v>114</v>
      </c>
      <c r="I115" t="s">
        <v>1780</v>
      </c>
      <c r="J115" t="s">
        <v>1688</v>
      </c>
      <c r="K115" t="s">
        <v>1686</v>
      </c>
      <c r="L115">
        <v>0</v>
      </c>
      <c r="M115">
        <v>17095000</v>
      </c>
      <c r="N115">
        <v>0</v>
      </c>
      <c r="O115">
        <v>0</v>
      </c>
    </row>
    <row r="116" spans="1:15" x14ac:dyDescent="0.25">
      <c r="A116">
        <v>46</v>
      </c>
      <c r="B116" t="s">
        <v>1808</v>
      </c>
      <c r="C116" t="s">
        <v>1809</v>
      </c>
      <c r="D116">
        <v>30</v>
      </c>
      <c r="E116">
        <v>37609000</v>
      </c>
      <c r="F116" t="s">
        <v>883</v>
      </c>
      <c r="G116">
        <v>2025</v>
      </c>
      <c r="H116" t="s">
        <v>114</v>
      </c>
      <c r="I116" t="s">
        <v>1780</v>
      </c>
      <c r="J116" t="s">
        <v>1688</v>
      </c>
      <c r="K116" t="s">
        <v>1686</v>
      </c>
      <c r="L116">
        <v>0</v>
      </c>
      <c r="M116">
        <v>37609000</v>
      </c>
      <c r="N116">
        <v>0</v>
      </c>
      <c r="O116">
        <v>0</v>
      </c>
    </row>
    <row r="117" spans="1:15" x14ac:dyDescent="0.25">
      <c r="A117">
        <v>55</v>
      </c>
      <c r="B117" t="s">
        <v>1810</v>
      </c>
      <c r="C117" t="s">
        <v>1811</v>
      </c>
      <c r="D117">
        <v>30</v>
      </c>
      <c r="E117">
        <v>37609000</v>
      </c>
      <c r="F117" t="s">
        <v>883</v>
      </c>
      <c r="G117">
        <v>2025</v>
      </c>
      <c r="H117" t="s">
        <v>114</v>
      </c>
      <c r="I117" t="s">
        <v>1780</v>
      </c>
      <c r="J117" t="s">
        <v>1688</v>
      </c>
      <c r="K117" t="s">
        <v>1686</v>
      </c>
      <c r="L117">
        <v>0</v>
      </c>
      <c r="M117">
        <v>37609000</v>
      </c>
      <c r="N117">
        <v>0</v>
      </c>
      <c r="O117">
        <v>0</v>
      </c>
    </row>
    <row r="118" spans="1:15" x14ac:dyDescent="0.25">
      <c r="A118">
        <v>56</v>
      </c>
      <c r="B118" t="s">
        <v>1812</v>
      </c>
      <c r="C118" t="s">
        <v>1813</v>
      </c>
      <c r="D118">
        <v>30</v>
      </c>
      <c r="E118">
        <v>23933000</v>
      </c>
      <c r="F118" t="s">
        <v>883</v>
      </c>
      <c r="G118">
        <v>2025</v>
      </c>
      <c r="H118" t="s">
        <v>114</v>
      </c>
      <c r="I118" t="s">
        <v>1780</v>
      </c>
      <c r="J118" t="s">
        <v>1688</v>
      </c>
      <c r="K118" t="s">
        <v>1686</v>
      </c>
      <c r="L118">
        <v>0</v>
      </c>
      <c r="M118">
        <v>0</v>
      </c>
      <c r="N118">
        <v>23933000</v>
      </c>
      <c r="O118">
        <v>0</v>
      </c>
    </row>
    <row r="119" spans="1:15" x14ac:dyDescent="0.25">
      <c r="A119">
        <v>62</v>
      </c>
      <c r="B119" t="s">
        <v>1814</v>
      </c>
      <c r="C119" t="s">
        <v>1805</v>
      </c>
      <c r="D119">
        <v>30</v>
      </c>
      <c r="E119">
        <v>40609000</v>
      </c>
      <c r="F119" t="s">
        <v>883</v>
      </c>
      <c r="G119">
        <v>2025</v>
      </c>
      <c r="H119" t="s">
        <v>114</v>
      </c>
      <c r="I119" t="s">
        <v>1780</v>
      </c>
      <c r="J119" t="s">
        <v>1688</v>
      </c>
      <c r="K119" t="s">
        <v>1686</v>
      </c>
      <c r="L119">
        <v>0</v>
      </c>
      <c r="M119">
        <v>40609000</v>
      </c>
      <c r="N119">
        <v>0</v>
      </c>
      <c r="O119">
        <v>0</v>
      </c>
    </row>
    <row r="120" spans="1:15" x14ac:dyDescent="0.25">
      <c r="A120">
        <v>285</v>
      </c>
      <c r="B120" t="s">
        <v>1815</v>
      </c>
      <c r="C120" t="s">
        <v>1816</v>
      </c>
      <c r="D120">
        <v>30</v>
      </c>
      <c r="E120">
        <v>37609000</v>
      </c>
      <c r="F120" t="s">
        <v>883</v>
      </c>
      <c r="G120">
        <v>2025</v>
      </c>
      <c r="H120" t="s">
        <v>114</v>
      </c>
      <c r="I120" t="s">
        <v>1780</v>
      </c>
      <c r="J120" t="s">
        <v>1688</v>
      </c>
      <c r="K120" t="s">
        <v>1686</v>
      </c>
      <c r="L120">
        <v>0</v>
      </c>
      <c r="M120">
        <v>37609000</v>
      </c>
      <c r="N120">
        <v>0</v>
      </c>
      <c r="O120">
        <v>0</v>
      </c>
    </row>
    <row r="121" spans="1:15" x14ac:dyDescent="0.25">
      <c r="A121">
        <v>296</v>
      </c>
      <c r="B121" t="s">
        <v>1817</v>
      </c>
      <c r="C121" t="s">
        <v>1818</v>
      </c>
      <c r="D121">
        <v>30</v>
      </c>
      <c r="E121">
        <v>23933000</v>
      </c>
      <c r="F121" t="s">
        <v>883</v>
      </c>
      <c r="G121">
        <v>2025</v>
      </c>
      <c r="H121" t="s">
        <v>114</v>
      </c>
      <c r="I121" t="s">
        <v>1780</v>
      </c>
      <c r="J121" t="s">
        <v>1688</v>
      </c>
      <c r="K121" t="s">
        <v>1686</v>
      </c>
      <c r="L121">
        <v>0</v>
      </c>
      <c r="M121">
        <v>23933000</v>
      </c>
      <c r="N121">
        <v>0</v>
      </c>
      <c r="O121">
        <v>0</v>
      </c>
    </row>
    <row r="122" spans="1:15" x14ac:dyDescent="0.25">
      <c r="A122">
        <v>300</v>
      </c>
      <c r="B122" t="s">
        <v>1819</v>
      </c>
      <c r="C122" t="s">
        <v>1820</v>
      </c>
      <c r="D122">
        <v>30</v>
      </c>
      <c r="E122">
        <v>23933000</v>
      </c>
      <c r="F122" t="s">
        <v>883</v>
      </c>
      <c r="G122">
        <v>2025</v>
      </c>
      <c r="H122" t="s">
        <v>114</v>
      </c>
      <c r="I122" t="s">
        <v>1780</v>
      </c>
      <c r="J122" t="s">
        <v>1688</v>
      </c>
      <c r="K122" t="s">
        <v>1686</v>
      </c>
      <c r="L122">
        <v>0</v>
      </c>
      <c r="M122">
        <v>23933000</v>
      </c>
      <c r="N122">
        <v>0</v>
      </c>
      <c r="O122">
        <v>0</v>
      </c>
    </row>
    <row r="123" spans="1:15" x14ac:dyDescent="0.25">
      <c r="A123">
        <v>301</v>
      </c>
      <c r="B123" t="s">
        <v>1821</v>
      </c>
      <c r="C123" t="s">
        <v>1822</v>
      </c>
      <c r="D123">
        <v>30</v>
      </c>
      <c r="E123">
        <v>17095000</v>
      </c>
      <c r="F123" t="s">
        <v>883</v>
      </c>
      <c r="G123">
        <v>2025</v>
      </c>
      <c r="H123" t="s">
        <v>114</v>
      </c>
      <c r="I123" t="s">
        <v>1780</v>
      </c>
      <c r="J123" t="s">
        <v>1688</v>
      </c>
      <c r="K123" t="s">
        <v>1686</v>
      </c>
      <c r="L123">
        <v>0</v>
      </c>
      <c r="M123">
        <v>17095000</v>
      </c>
      <c r="N123">
        <v>0</v>
      </c>
      <c r="O123">
        <v>0</v>
      </c>
    </row>
    <row r="124" spans="1:15" x14ac:dyDescent="0.25">
      <c r="A124">
        <v>304</v>
      </c>
      <c r="B124" t="s">
        <v>1823</v>
      </c>
      <c r="C124" t="s">
        <v>1824</v>
      </c>
      <c r="D124">
        <v>30</v>
      </c>
      <c r="E124">
        <v>37609000</v>
      </c>
      <c r="F124" t="s">
        <v>883</v>
      </c>
      <c r="G124">
        <v>2025</v>
      </c>
      <c r="H124" t="s">
        <v>114</v>
      </c>
      <c r="I124" t="s">
        <v>1780</v>
      </c>
      <c r="J124" t="s">
        <v>1688</v>
      </c>
      <c r="K124" t="s">
        <v>1686</v>
      </c>
      <c r="L124">
        <v>0</v>
      </c>
      <c r="M124">
        <v>0</v>
      </c>
      <c r="N124">
        <v>0</v>
      </c>
      <c r="O124">
        <v>37609000</v>
      </c>
    </row>
    <row r="125" spans="1:15" x14ac:dyDescent="0.25">
      <c r="A125">
        <v>315</v>
      </c>
      <c r="B125" t="s">
        <v>1825</v>
      </c>
      <c r="C125" t="s">
        <v>1826</v>
      </c>
      <c r="D125">
        <v>30</v>
      </c>
      <c r="E125">
        <v>37609000</v>
      </c>
      <c r="F125" t="s">
        <v>883</v>
      </c>
      <c r="G125">
        <v>2025</v>
      </c>
      <c r="H125" t="s">
        <v>114</v>
      </c>
      <c r="I125" t="s">
        <v>1780</v>
      </c>
      <c r="J125" t="s">
        <v>1688</v>
      </c>
      <c r="K125" t="s">
        <v>1686</v>
      </c>
      <c r="L125">
        <v>0</v>
      </c>
      <c r="M125">
        <v>37609000</v>
      </c>
      <c r="N125">
        <v>0</v>
      </c>
      <c r="O125">
        <v>0</v>
      </c>
    </row>
    <row r="126" spans="1:15" x14ac:dyDescent="0.25">
      <c r="A126">
        <v>340</v>
      </c>
      <c r="B126" t="s">
        <v>1827</v>
      </c>
      <c r="C126" t="s">
        <v>1828</v>
      </c>
      <c r="D126">
        <v>30</v>
      </c>
      <c r="E126">
        <v>73780000</v>
      </c>
      <c r="F126" t="s">
        <v>883</v>
      </c>
      <c r="G126">
        <v>2025</v>
      </c>
      <c r="H126" t="s">
        <v>114</v>
      </c>
      <c r="I126" t="s">
        <v>1780</v>
      </c>
      <c r="J126" t="s">
        <v>1688</v>
      </c>
      <c r="K126" t="s">
        <v>1686</v>
      </c>
      <c r="L126">
        <v>0</v>
      </c>
      <c r="M126">
        <v>73780000</v>
      </c>
      <c r="N126">
        <v>0</v>
      </c>
      <c r="O126">
        <v>0</v>
      </c>
    </row>
    <row r="127" spans="1:15" x14ac:dyDescent="0.25">
      <c r="A127">
        <v>343</v>
      </c>
      <c r="B127" t="s">
        <v>1829</v>
      </c>
      <c r="C127" t="s">
        <v>1830</v>
      </c>
      <c r="D127">
        <v>30</v>
      </c>
      <c r="E127">
        <v>17095000</v>
      </c>
      <c r="F127" t="s">
        <v>883</v>
      </c>
      <c r="G127">
        <v>2025</v>
      </c>
      <c r="H127" t="s">
        <v>114</v>
      </c>
      <c r="I127" t="s">
        <v>1780</v>
      </c>
      <c r="J127" t="s">
        <v>1688</v>
      </c>
      <c r="K127" t="s">
        <v>1686</v>
      </c>
      <c r="L127">
        <v>0</v>
      </c>
      <c r="M127">
        <v>17095000</v>
      </c>
      <c r="N127">
        <v>0</v>
      </c>
      <c r="O127">
        <v>0</v>
      </c>
    </row>
    <row r="128" spans="1:15" x14ac:dyDescent="0.25">
      <c r="A128">
        <v>344</v>
      </c>
      <c r="B128" t="s">
        <v>1831</v>
      </c>
      <c r="C128" t="s">
        <v>1832</v>
      </c>
      <c r="D128">
        <v>30</v>
      </c>
      <c r="E128">
        <v>37609000</v>
      </c>
      <c r="F128" t="s">
        <v>883</v>
      </c>
      <c r="G128">
        <v>2025</v>
      </c>
      <c r="H128" t="s">
        <v>114</v>
      </c>
      <c r="I128" t="s">
        <v>1780</v>
      </c>
      <c r="J128" t="s">
        <v>1688</v>
      </c>
      <c r="K128" t="s">
        <v>1686</v>
      </c>
      <c r="L128">
        <v>0</v>
      </c>
      <c r="M128">
        <v>37609000</v>
      </c>
      <c r="N128">
        <v>0</v>
      </c>
      <c r="O128">
        <v>0</v>
      </c>
    </row>
    <row r="129" spans="1:15" x14ac:dyDescent="0.25">
      <c r="A129">
        <v>345</v>
      </c>
      <c r="B129" t="s">
        <v>1833</v>
      </c>
      <c r="C129" t="s">
        <v>1834</v>
      </c>
      <c r="D129">
        <v>30</v>
      </c>
      <c r="E129">
        <v>10000000</v>
      </c>
      <c r="F129" t="s">
        <v>883</v>
      </c>
      <c r="G129">
        <v>2025</v>
      </c>
      <c r="H129" t="s">
        <v>114</v>
      </c>
      <c r="I129" t="s">
        <v>1780</v>
      </c>
      <c r="J129" t="s">
        <v>1688</v>
      </c>
      <c r="K129" t="s">
        <v>1686</v>
      </c>
      <c r="L129">
        <v>0</v>
      </c>
      <c r="M129">
        <v>0</v>
      </c>
      <c r="N129">
        <v>10000000</v>
      </c>
      <c r="O129">
        <v>0</v>
      </c>
    </row>
    <row r="130" spans="1:15" x14ac:dyDescent="0.25">
      <c r="A130">
        <v>346</v>
      </c>
      <c r="B130" t="s">
        <v>1835</v>
      </c>
      <c r="C130" t="s">
        <v>1828</v>
      </c>
      <c r="D130">
        <v>30</v>
      </c>
      <c r="E130">
        <v>73780000</v>
      </c>
      <c r="F130" t="s">
        <v>883</v>
      </c>
      <c r="G130">
        <v>2025</v>
      </c>
      <c r="H130" t="s">
        <v>114</v>
      </c>
      <c r="I130" t="s">
        <v>1780</v>
      </c>
      <c r="J130" t="s">
        <v>1688</v>
      </c>
      <c r="K130" t="s">
        <v>1686</v>
      </c>
      <c r="L130">
        <v>0</v>
      </c>
      <c r="M130">
        <v>0</v>
      </c>
      <c r="N130">
        <v>0</v>
      </c>
      <c r="O130">
        <v>73780000</v>
      </c>
    </row>
    <row r="131" spans="1:15" x14ac:dyDescent="0.25">
      <c r="A131">
        <v>383</v>
      </c>
      <c r="B131" t="s">
        <v>1836</v>
      </c>
      <c r="C131" t="s">
        <v>1837</v>
      </c>
      <c r="D131">
        <v>30</v>
      </c>
      <c r="E131">
        <v>20000000</v>
      </c>
      <c r="F131" t="s">
        <v>883</v>
      </c>
      <c r="G131">
        <v>2025</v>
      </c>
      <c r="H131" t="s">
        <v>114</v>
      </c>
      <c r="I131" t="s">
        <v>1780</v>
      </c>
      <c r="J131" t="s">
        <v>1688</v>
      </c>
      <c r="K131" t="s">
        <v>1686</v>
      </c>
      <c r="L131">
        <v>0</v>
      </c>
      <c r="M131">
        <v>0</v>
      </c>
      <c r="N131">
        <v>0</v>
      </c>
      <c r="O131">
        <v>20000000</v>
      </c>
    </row>
    <row r="132" spans="1:15" x14ac:dyDescent="0.25">
      <c r="A132">
        <v>385</v>
      </c>
      <c r="B132" t="s">
        <v>1838</v>
      </c>
      <c r="C132" t="s">
        <v>1839</v>
      </c>
      <c r="D132">
        <v>30</v>
      </c>
      <c r="E132">
        <v>23933000</v>
      </c>
      <c r="F132" t="s">
        <v>883</v>
      </c>
      <c r="G132">
        <v>2025</v>
      </c>
      <c r="H132" t="s">
        <v>114</v>
      </c>
      <c r="I132" t="s">
        <v>1780</v>
      </c>
      <c r="J132" t="s">
        <v>1688</v>
      </c>
      <c r="K132" t="s">
        <v>1686</v>
      </c>
      <c r="L132">
        <v>0</v>
      </c>
      <c r="M132">
        <v>23933000</v>
      </c>
      <c r="N132">
        <v>0</v>
      </c>
      <c r="O132">
        <v>0</v>
      </c>
    </row>
    <row r="133" spans="1:15" x14ac:dyDescent="0.25">
      <c r="A133">
        <v>388</v>
      </c>
      <c r="B133" t="s">
        <v>1840</v>
      </c>
      <c r="C133" t="s">
        <v>1841</v>
      </c>
      <c r="D133">
        <v>30</v>
      </c>
      <c r="E133">
        <v>17095000</v>
      </c>
      <c r="F133" t="s">
        <v>883</v>
      </c>
      <c r="G133">
        <v>2025</v>
      </c>
      <c r="H133" t="s">
        <v>114</v>
      </c>
      <c r="I133" t="s">
        <v>1780</v>
      </c>
      <c r="J133" t="s">
        <v>1688</v>
      </c>
      <c r="K133" t="s">
        <v>1686</v>
      </c>
      <c r="L133">
        <v>0</v>
      </c>
      <c r="M133">
        <v>0</v>
      </c>
      <c r="N133">
        <v>0</v>
      </c>
      <c r="O133">
        <v>17095000</v>
      </c>
    </row>
    <row r="134" spans="1:15" x14ac:dyDescent="0.25">
      <c r="A134">
        <v>399</v>
      </c>
      <c r="B134" t="s">
        <v>1842</v>
      </c>
      <c r="C134" t="s">
        <v>1843</v>
      </c>
      <c r="D134">
        <v>30</v>
      </c>
      <c r="E134">
        <v>30000000</v>
      </c>
      <c r="F134" t="s">
        <v>883</v>
      </c>
      <c r="G134">
        <v>2025</v>
      </c>
      <c r="H134" t="s">
        <v>114</v>
      </c>
      <c r="I134" t="s">
        <v>1780</v>
      </c>
      <c r="J134" t="s">
        <v>1688</v>
      </c>
      <c r="K134" t="s">
        <v>1686</v>
      </c>
      <c r="L134">
        <v>0</v>
      </c>
      <c r="M134">
        <v>0</v>
      </c>
      <c r="N134">
        <v>0</v>
      </c>
      <c r="O134">
        <v>30000000</v>
      </c>
    </row>
    <row r="135" spans="1:15" x14ac:dyDescent="0.25">
      <c r="A135">
        <v>400</v>
      </c>
      <c r="B135" t="s">
        <v>1844</v>
      </c>
      <c r="C135" t="s">
        <v>1845</v>
      </c>
      <c r="D135">
        <v>30</v>
      </c>
      <c r="E135">
        <v>17095000</v>
      </c>
      <c r="F135" t="s">
        <v>883</v>
      </c>
      <c r="G135">
        <v>2025</v>
      </c>
      <c r="H135" t="s">
        <v>114</v>
      </c>
      <c r="I135" t="s">
        <v>1780</v>
      </c>
      <c r="J135" t="s">
        <v>1688</v>
      </c>
      <c r="K135" t="s">
        <v>1686</v>
      </c>
      <c r="L135">
        <v>0</v>
      </c>
      <c r="M135">
        <v>17095000</v>
      </c>
      <c r="N135">
        <v>0</v>
      </c>
      <c r="O135">
        <v>0</v>
      </c>
    </row>
    <row r="136" spans="1:15" x14ac:dyDescent="0.25">
      <c r="A136">
        <v>407</v>
      </c>
      <c r="B136" t="s">
        <v>1846</v>
      </c>
      <c r="C136" t="s">
        <v>1847</v>
      </c>
      <c r="D136">
        <v>30</v>
      </c>
      <c r="E136">
        <v>23933000</v>
      </c>
      <c r="F136" t="s">
        <v>883</v>
      </c>
      <c r="G136">
        <v>2025</v>
      </c>
      <c r="H136" t="s">
        <v>114</v>
      </c>
      <c r="I136" t="s">
        <v>1780</v>
      </c>
      <c r="J136" t="s">
        <v>1688</v>
      </c>
      <c r="K136" t="s">
        <v>1686</v>
      </c>
      <c r="L136">
        <v>0</v>
      </c>
      <c r="M136">
        <v>0</v>
      </c>
      <c r="N136">
        <v>0</v>
      </c>
      <c r="O136">
        <v>23933000</v>
      </c>
    </row>
    <row r="137" spans="1:15" x14ac:dyDescent="0.25">
      <c r="A137">
        <v>408</v>
      </c>
      <c r="B137" t="s">
        <v>1848</v>
      </c>
      <c r="C137" t="s">
        <v>1849</v>
      </c>
      <c r="D137">
        <v>30</v>
      </c>
      <c r="E137">
        <v>37609000</v>
      </c>
      <c r="F137" t="s">
        <v>883</v>
      </c>
      <c r="G137">
        <v>2025</v>
      </c>
      <c r="H137" t="s">
        <v>114</v>
      </c>
      <c r="I137" t="s">
        <v>1780</v>
      </c>
      <c r="J137" t="s">
        <v>1688</v>
      </c>
      <c r="K137" t="s">
        <v>1686</v>
      </c>
      <c r="L137">
        <v>0</v>
      </c>
      <c r="M137">
        <v>37609000</v>
      </c>
      <c r="N137">
        <v>0</v>
      </c>
      <c r="O137">
        <v>0</v>
      </c>
    </row>
    <row r="138" spans="1:15" x14ac:dyDescent="0.25">
      <c r="A138">
        <v>425</v>
      </c>
      <c r="B138" t="s">
        <v>1850</v>
      </c>
      <c r="C138" t="s">
        <v>1851</v>
      </c>
      <c r="D138">
        <v>30</v>
      </c>
      <c r="E138">
        <v>1308317705</v>
      </c>
      <c r="F138" t="s">
        <v>883</v>
      </c>
      <c r="G138">
        <v>2025</v>
      </c>
      <c r="H138" t="s">
        <v>114</v>
      </c>
      <c r="I138" t="s">
        <v>1780</v>
      </c>
      <c r="J138" t="s">
        <v>1688</v>
      </c>
      <c r="K138" t="s">
        <v>1686</v>
      </c>
      <c r="L138">
        <v>0</v>
      </c>
      <c r="M138">
        <v>0</v>
      </c>
      <c r="N138">
        <v>0</v>
      </c>
      <c r="O138">
        <v>1308317705</v>
      </c>
    </row>
    <row r="139" spans="1:15" x14ac:dyDescent="0.25">
      <c r="A139">
        <v>433</v>
      </c>
      <c r="B139" t="s">
        <v>1761</v>
      </c>
      <c r="C139" t="s">
        <v>1762</v>
      </c>
      <c r="D139">
        <v>30</v>
      </c>
      <c r="E139">
        <v>840000000</v>
      </c>
      <c r="F139" t="s">
        <v>883</v>
      </c>
      <c r="G139">
        <v>2025</v>
      </c>
      <c r="H139" t="s">
        <v>114</v>
      </c>
      <c r="I139" t="s">
        <v>1780</v>
      </c>
      <c r="J139" t="s">
        <v>1688</v>
      </c>
      <c r="K139" t="s">
        <v>1686</v>
      </c>
      <c r="L139">
        <v>0</v>
      </c>
      <c r="M139">
        <v>0</v>
      </c>
      <c r="N139">
        <v>0</v>
      </c>
      <c r="O139">
        <v>840000000</v>
      </c>
    </row>
    <row r="140" spans="1:15" x14ac:dyDescent="0.25">
      <c r="A140">
        <v>10</v>
      </c>
      <c r="B140" t="s">
        <v>1765</v>
      </c>
      <c r="C140" t="s">
        <v>1766</v>
      </c>
      <c r="D140">
        <v>31</v>
      </c>
      <c r="E140">
        <v>19032816</v>
      </c>
      <c r="F140" t="s">
        <v>883</v>
      </c>
      <c r="G140">
        <v>2025</v>
      </c>
      <c r="H140" t="s">
        <v>104</v>
      </c>
      <c r="I140" t="s">
        <v>1852</v>
      </c>
      <c r="J140" t="s">
        <v>1688</v>
      </c>
      <c r="K140" t="s">
        <v>1686</v>
      </c>
      <c r="L140">
        <v>0</v>
      </c>
      <c r="M140">
        <v>2522343</v>
      </c>
      <c r="N140">
        <v>0</v>
      </c>
      <c r="O140">
        <v>16510473</v>
      </c>
    </row>
    <row r="141" spans="1:15" x14ac:dyDescent="0.25">
      <c r="A141">
        <v>8</v>
      </c>
      <c r="B141" t="s">
        <v>1853</v>
      </c>
      <c r="C141" t="s">
        <v>1854</v>
      </c>
      <c r="D141">
        <v>32</v>
      </c>
      <c r="E141">
        <v>22000000</v>
      </c>
      <c r="F141" t="s">
        <v>883</v>
      </c>
      <c r="G141">
        <v>2025</v>
      </c>
      <c r="H141" t="s">
        <v>144</v>
      </c>
      <c r="I141" t="s">
        <v>1855</v>
      </c>
      <c r="J141" t="s">
        <v>1688</v>
      </c>
      <c r="K141" t="s">
        <v>1686</v>
      </c>
      <c r="L141">
        <v>0</v>
      </c>
      <c r="M141">
        <v>10336066</v>
      </c>
      <c r="N141">
        <v>0</v>
      </c>
      <c r="O141">
        <v>11663934</v>
      </c>
    </row>
    <row r="142" spans="1:15" x14ac:dyDescent="0.25">
      <c r="A142">
        <v>2</v>
      </c>
      <c r="B142" t="s">
        <v>1856</v>
      </c>
      <c r="C142" t="s">
        <v>1857</v>
      </c>
      <c r="D142">
        <v>33</v>
      </c>
      <c r="E142">
        <v>499313250</v>
      </c>
      <c r="F142" t="s">
        <v>883</v>
      </c>
      <c r="G142">
        <v>2025</v>
      </c>
      <c r="H142" t="s">
        <v>147</v>
      </c>
      <c r="I142" t="s">
        <v>1858</v>
      </c>
      <c r="J142" t="s">
        <v>1688</v>
      </c>
      <c r="K142" t="s">
        <v>1686</v>
      </c>
      <c r="L142">
        <v>0</v>
      </c>
      <c r="M142">
        <v>499313250</v>
      </c>
      <c r="N142">
        <v>0</v>
      </c>
      <c r="O142">
        <v>0</v>
      </c>
    </row>
    <row r="143" spans="1:15" x14ac:dyDescent="0.25">
      <c r="A143">
        <v>3</v>
      </c>
      <c r="B143" t="s">
        <v>1859</v>
      </c>
      <c r="C143" t="s">
        <v>1860</v>
      </c>
      <c r="D143">
        <v>33</v>
      </c>
      <c r="E143">
        <v>241791568</v>
      </c>
      <c r="F143" t="s">
        <v>883</v>
      </c>
      <c r="G143">
        <v>2025</v>
      </c>
      <c r="H143" t="s">
        <v>147</v>
      </c>
      <c r="I143" t="s">
        <v>1858</v>
      </c>
      <c r="J143" t="s">
        <v>1688</v>
      </c>
      <c r="K143" t="s">
        <v>1686</v>
      </c>
      <c r="L143">
        <v>0</v>
      </c>
      <c r="M143">
        <v>241791568</v>
      </c>
      <c r="N143">
        <v>0</v>
      </c>
      <c r="O143">
        <v>0</v>
      </c>
    </row>
    <row r="144" spans="1:15" x14ac:dyDescent="0.25">
      <c r="A144">
        <v>409</v>
      </c>
      <c r="B144" t="s">
        <v>1861</v>
      </c>
      <c r="C144" t="s">
        <v>1862</v>
      </c>
      <c r="D144">
        <v>34</v>
      </c>
      <c r="E144">
        <v>500000000</v>
      </c>
      <c r="F144" t="s">
        <v>883</v>
      </c>
      <c r="G144">
        <v>2025</v>
      </c>
      <c r="H144" t="s">
        <v>159</v>
      </c>
      <c r="I144" t="s">
        <v>1863</v>
      </c>
      <c r="J144" t="s">
        <v>1688</v>
      </c>
      <c r="K144" t="s">
        <v>1686</v>
      </c>
      <c r="L144">
        <v>0</v>
      </c>
      <c r="M144">
        <v>0</v>
      </c>
      <c r="N144">
        <v>50000000</v>
      </c>
      <c r="O144">
        <v>450000000</v>
      </c>
    </row>
    <row r="145" spans="1:15" x14ac:dyDescent="0.25">
      <c r="A145">
        <v>6</v>
      </c>
      <c r="B145" t="s">
        <v>1684</v>
      </c>
      <c r="C145" t="s">
        <v>1685</v>
      </c>
      <c r="D145">
        <v>36</v>
      </c>
      <c r="E145">
        <v>779455</v>
      </c>
      <c r="F145" t="s">
        <v>1686</v>
      </c>
      <c r="G145">
        <v>2025</v>
      </c>
      <c r="H145" t="s">
        <v>94</v>
      </c>
      <c r="I145" t="s">
        <v>1864</v>
      </c>
      <c r="J145" t="s">
        <v>1688</v>
      </c>
      <c r="K145" t="s">
        <v>1686</v>
      </c>
      <c r="L145">
        <v>0</v>
      </c>
      <c r="M145">
        <v>779455</v>
      </c>
      <c r="N145">
        <v>0</v>
      </c>
      <c r="O145">
        <v>0</v>
      </c>
    </row>
    <row r="146" spans="1:15" x14ac:dyDescent="0.25">
      <c r="A146">
        <v>61</v>
      </c>
      <c r="B146" t="s">
        <v>1689</v>
      </c>
      <c r="C146" t="s">
        <v>1690</v>
      </c>
      <c r="D146">
        <v>36</v>
      </c>
      <c r="E146">
        <v>2775083</v>
      </c>
      <c r="F146" t="s">
        <v>1686</v>
      </c>
      <c r="G146">
        <v>2025</v>
      </c>
      <c r="H146" t="s">
        <v>94</v>
      </c>
      <c r="I146" t="s">
        <v>1864</v>
      </c>
      <c r="J146" t="s">
        <v>1688</v>
      </c>
      <c r="K146" t="s">
        <v>1686</v>
      </c>
      <c r="L146">
        <v>0</v>
      </c>
      <c r="M146">
        <v>2775083</v>
      </c>
      <c r="N146">
        <v>0</v>
      </c>
      <c r="O146">
        <v>0</v>
      </c>
    </row>
    <row r="147" spans="1:15" x14ac:dyDescent="0.25">
      <c r="A147">
        <v>319</v>
      </c>
      <c r="B147" t="s">
        <v>1691</v>
      </c>
      <c r="C147" t="s">
        <v>1692</v>
      </c>
      <c r="D147">
        <v>36</v>
      </c>
      <c r="E147">
        <v>1732346</v>
      </c>
      <c r="F147" t="s">
        <v>1686</v>
      </c>
      <c r="G147">
        <v>2025</v>
      </c>
      <c r="H147" t="s">
        <v>94</v>
      </c>
      <c r="I147" t="s">
        <v>1864</v>
      </c>
      <c r="J147" t="s">
        <v>1688</v>
      </c>
      <c r="K147" t="s">
        <v>1686</v>
      </c>
      <c r="L147">
        <v>0</v>
      </c>
      <c r="M147">
        <v>1732346</v>
      </c>
      <c r="N147">
        <v>0</v>
      </c>
      <c r="O147">
        <v>0</v>
      </c>
    </row>
    <row r="148" spans="1:15" x14ac:dyDescent="0.25">
      <c r="A148">
        <v>356</v>
      </c>
      <c r="B148" t="s">
        <v>1693</v>
      </c>
      <c r="C148" t="s">
        <v>1694</v>
      </c>
      <c r="D148">
        <v>36</v>
      </c>
      <c r="E148">
        <v>40532</v>
      </c>
      <c r="F148" t="s">
        <v>1686</v>
      </c>
      <c r="G148">
        <v>2025</v>
      </c>
      <c r="H148" t="s">
        <v>94</v>
      </c>
      <c r="I148" t="s">
        <v>1864</v>
      </c>
      <c r="J148" t="s">
        <v>1688</v>
      </c>
      <c r="K148" t="s">
        <v>1686</v>
      </c>
      <c r="L148">
        <v>0</v>
      </c>
      <c r="M148">
        <v>40532</v>
      </c>
      <c r="N148">
        <v>0</v>
      </c>
      <c r="O148">
        <v>0</v>
      </c>
    </row>
    <row r="149" spans="1:15" x14ac:dyDescent="0.25">
      <c r="A149">
        <v>381</v>
      </c>
      <c r="B149" t="s">
        <v>1695</v>
      </c>
      <c r="C149" t="s">
        <v>1696</v>
      </c>
      <c r="D149">
        <v>36</v>
      </c>
      <c r="E149">
        <v>2972486</v>
      </c>
      <c r="F149" t="s">
        <v>1686</v>
      </c>
      <c r="G149">
        <v>2025</v>
      </c>
      <c r="H149" t="s">
        <v>94</v>
      </c>
      <c r="I149" t="s">
        <v>1864</v>
      </c>
      <c r="J149" t="s">
        <v>1688</v>
      </c>
      <c r="K149" t="s">
        <v>1686</v>
      </c>
      <c r="L149">
        <v>0</v>
      </c>
      <c r="M149">
        <v>2972486</v>
      </c>
      <c r="N149">
        <v>0</v>
      </c>
      <c r="O149">
        <v>0</v>
      </c>
    </row>
    <row r="150" spans="1:15" x14ac:dyDescent="0.25">
      <c r="A150">
        <v>412</v>
      </c>
      <c r="B150" t="s">
        <v>1697</v>
      </c>
      <c r="C150" t="s">
        <v>1698</v>
      </c>
      <c r="D150">
        <v>36</v>
      </c>
      <c r="E150">
        <v>2985177</v>
      </c>
      <c r="F150" t="s">
        <v>1686</v>
      </c>
      <c r="G150">
        <v>2025</v>
      </c>
      <c r="H150" t="s">
        <v>94</v>
      </c>
      <c r="I150" t="s">
        <v>1864</v>
      </c>
      <c r="J150" t="s">
        <v>1688</v>
      </c>
      <c r="K150" t="s">
        <v>1686</v>
      </c>
      <c r="L150">
        <v>0</v>
      </c>
      <c r="M150">
        <v>2985177</v>
      </c>
      <c r="N150">
        <v>0</v>
      </c>
      <c r="O150">
        <v>0</v>
      </c>
    </row>
    <row r="151" spans="1:15" x14ac:dyDescent="0.25">
      <c r="A151">
        <v>435</v>
      </c>
      <c r="B151" t="s">
        <v>1699</v>
      </c>
      <c r="C151" t="s">
        <v>1700</v>
      </c>
      <c r="D151">
        <v>36</v>
      </c>
      <c r="E151">
        <v>3300947</v>
      </c>
      <c r="F151" t="s">
        <v>1686</v>
      </c>
      <c r="G151">
        <v>2025</v>
      </c>
      <c r="H151" t="s">
        <v>94</v>
      </c>
      <c r="I151" t="s">
        <v>1864</v>
      </c>
      <c r="J151" t="s">
        <v>1688</v>
      </c>
      <c r="K151" t="s">
        <v>1686</v>
      </c>
      <c r="L151">
        <v>0</v>
      </c>
      <c r="M151">
        <v>3300947</v>
      </c>
      <c r="N151">
        <v>0</v>
      </c>
      <c r="O151">
        <v>0</v>
      </c>
    </row>
    <row r="152" spans="1:15" x14ac:dyDescent="0.25">
      <c r="A152">
        <v>72</v>
      </c>
      <c r="B152" t="s">
        <v>1865</v>
      </c>
      <c r="C152" t="s">
        <v>1866</v>
      </c>
      <c r="D152">
        <v>42</v>
      </c>
      <c r="E152">
        <v>178858369</v>
      </c>
      <c r="F152" t="s">
        <v>883</v>
      </c>
      <c r="G152">
        <v>2025</v>
      </c>
      <c r="H152" t="s">
        <v>118</v>
      </c>
      <c r="I152" t="s">
        <v>1867</v>
      </c>
      <c r="J152" t="s">
        <v>1688</v>
      </c>
      <c r="K152" t="s">
        <v>1686</v>
      </c>
      <c r="L152">
        <v>0</v>
      </c>
      <c r="M152">
        <v>178858369</v>
      </c>
      <c r="N152">
        <v>0</v>
      </c>
      <c r="O152">
        <v>0</v>
      </c>
    </row>
    <row r="153" spans="1:15" x14ac:dyDescent="0.25">
      <c r="A153">
        <v>318</v>
      </c>
      <c r="B153" t="s">
        <v>1868</v>
      </c>
      <c r="C153" t="s">
        <v>1869</v>
      </c>
      <c r="D153">
        <v>43</v>
      </c>
      <c r="E153">
        <v>381599321</v>
      </c>
      <c r="F153" t="s">
        <v>883</v>
      </c>
      <c r="G153">
        <v>2025</v>
      </c>
      <c r="H153" t="s">
        <v>110</v>
      </c>
      <c r="I153" t="s">
        <v>1870</v>
      </c>
      <c r="J153" t="s">
        <v>1688</v>
      </c>
      <c r="K153" t="s">
        <v>1686</v>
      </c>
      <c r="L153">
        <v>0</v>
      </c>
      <c r="M153">
        <v>381599321</v>
      </c>
      <c r="N153">
        <v>0</v>
      </c>
      <c r="O153">
        <v>0</v>
      </c>
    </row>
    <row r="154" spans="1:15" x14ac:dyDescent="0.25">
      <c r="A154">
        <v>314</v>
      </c>
      <c r="B154" t="s">
        <v>1871</v>
      </c>
      <c r="C154" t="s">
        <v>1872</v>
      </c>
      <c r="D154">
        <v>46</v>
      </c>
      <c r="E154">
        <v>90000000</v>
      </c>
      <c r="F154" t="s">
        <v>883</v>
      </c>
      <c r="G154">
        <v>2025</v>
      </c>
      <c r="H154" t="s">
        <v>180</v>
      </c>
      <c r="I154" t="s">
        <v>1873</v>
      </c>
      <c r="J154" t="s">
        <v>1688</v>
      </c>
      <c r="K154" t="s">
        <v>1686</v>
      </c>
      <c r="L154">
        <v>0</v>
      </c>
      <c r="M154">
        <v>90000000</v>
      </c>
      <c r="N154">
        <v>0</v>
      </c>
      <c r="O154">
        <v>0</v>
      </c>
    </row>
    <row r="155" spans="1:15" x14ac:dyDescent="0.25">
      <c r="A155">
        <v>317</v>
      </c>
      <c r="B155" t="s">
        <v>1874</v>
      </c>
      <c r="C155" t="s">
        <v>1875</v>
      </c>
      <c r="D155">
        <v>46</v>
      </c>
      <c r="E155">
        <v>199215295</v>
      </c>
      <c r="F155" t="s">
        <v>883</v>
      </c>
      <c r="G155">
        <v>2025</v>
      </c>
      <c r="H155" t="s">
        <v>180</v>
      </c>
      <c r="I155" t="s">
        <v>1873</v>
      </c>
      <c r="J155" t="s">
        <v>1688</v>
      </c>
      <c r="K155" t="s">
        <v>1686</v>
      </c>
      <c r="L155">
        <v>0</v>
      </c>
      <c r="M155">
        <v>199215295</v>
      </c>
      <c r="N155">
        <v>0</v>
      </c>
      <c r="O155">
        <v>0</v>
      </c>
    </row>
    <row r="156" spans="1:15" x14ac:dyDescent="0.25">
      <c r="A156">
        <v>57</v>
      </c>
      <c r="B156" t="s">
        <v>1876</v>
      </c>
      <c r="C156" t="s">
        <v>1877</v>
      </c>
      <c r="D156">
        <v>47</v>
      </c>
      <c r="E156">
        <v>55661320</v>
      </c>
      <c r="F156" t="s">
        <v>883</v>
      </c>
      <c r="G156">
        <v>2025</v>
      </c>
      <c r="H156" t="s">
        <v>225</v>
      </c>
      <c r="I156" t="s">
        <v>1878</v>
      </c>
      <c r="J156" t="s">
        <v>1688</v>
      </c>
      <c r="K156" t="s">
        <v>1686</v>
      </c>
      <c r="L156">
        <v>0</v>
      </c>
      <c r="M156">
        <v>55661320</v>
      </c>
      <c r="N156">
        <v>0</v>
      </c>
      <c r="O156">
        <v>0</v>
      </c>
    </row>
    <row r="157" spans="1:15" x14ac:dyDescent="0.25">
      <c r="A157">
        <v>58</v>
      </c>
      <c r="B157" t="s">
        <v>1879</v>
      </c>
      <c r="C157" t="s">
        <v>1880</v>
      </c>
      <c r="D157">
        <v>47</v>
      </c>
      <c r="E157">
        <v>55661320</v>
      </c>
      <c r="F157" t="s">
        <v>883</v>
      </c>
      <c r="G157">
        <v>2025</v>
      </c>
      <c r="H157" t="s">
        <v>225</v>
      </c>
      <c r="I157" t="s">
        <v>1878</v>
      </c>
      <c r="J157" t="s">
        <v>1688</v>
      </c>
      <c r="K157" t="s">
        <v>1686</v>
      </c>
      <c r="L157">
        <v>0</v>
      </c>
      <c r="M157">
        <v>55661320</v>
      </c>
      <c r="N157">
        <v>0</v>
      </c>
      <c r="O157">
        <v>0</v>
      </c>
    </row>
    <row r="158" spans="1:15" x14ac:dyDescent="0.25">
      <c r="A158">
        <v>404</v>
      </c>
      <c r="B158" t="s">
        <v>1881</v>
      </c>
      <c r="C158" t="s">
        <v>1882</v>
      </c>
      <c r="D158">
        <v>47</v>
      </c>
      <c r="E158">
        <v>10436602</v>
      </c>
      <c r="F158" t="s">
        <v>883</v>
      </c>
      <c r="G158">
        <v>2025</v>
      </c>
      <c r="H158" t="s">
        <v>225</v>
      </c>
      <c r="I158" t="s">
        <v>1878</v>
      </c>
      <c r="J158" t="s">
        <v>1688</v>
      </c>
      <c r="K158" t="s">
        <v>1686</v>
      </c>
      <c r="L158">
        <v>0</v>
      </c>
      <c r="M158">
        <v>10436552</v>
      </c>
      <c r="N158">
        <v>0</v>
      </c>
      <c r="O158">
        <v>50</v>
      </c>
    </row>
    <row r="159" spans="1:15" x14ac:dyDescent="0.25">
      <c r="A159">
        <v>59</v>
      </c>
      <c r="B159" t="s">
        <v>1883</v>
      </c>
      <c r="C159" t="s">
        <v>1884</v>
      </c>
      <c r="D159">
        <v>49</v>
      </c>
      <c r="E159">
        <v>55661320</v>
      </c>
      <c r="F159" t="s">
        <v>883</v>
      </c>
      <c r="G159">
        <v>2025</v>
      </c>
      <c r="H159" t="s">
        <v>234</v>
      </c>
      <c r="I159" t="s">
        <v>1885</v>
      </c>
      <c r="J159" t="s">
        <v>1688</v>
      </c>
      <c r="K159" t="s">
        <v>1686</v>
      </c>
      <c r="L159">
        <v>0</v>
      </c>
      <c r="M159">
        <v>55661320</v>
      </c>
      <c r="N159">
        <v>0</v>
      </c>
      <c r="O159">
        <v>0</v>
      </c>
    </row>
    <row r="160" spans="1:15" x14ac:dyDescent="0.25">
      <c r="A160">
        <v>60</v>
      </c>
      <c r="B160" t="s">
        <v>1883</v>
      </c>
      <c r="C160" t="s">
        <v>1886</v>
      </c>
      <c r="D160">
        <v>49</v>
      </c>
      <c r="E160">
        <v>70841680</v>
      </c>
      <c r="F160" t="s">
        <v>883</v>
      </c>
      <c r="G160">
        <v>2025</v>
      </c>
      <c r="H160" t="s">
        <v>234</v>
      </c>
      <c r="I160" t="s">
        <v>1885</v>
      </c>
      <c r="J160" t="s">
        <v>1688</v>
      </c>
      <c r="K160" t="s">
        <v>1686</v>
      </c>
      <c r="L160">
        <v>0</v>
      </c>
      <c r="M160">
        <v>70841680</v>
      </c>
      <c r="N160">
        <v>0</v>
      </c>
      <c r="O160">
        <v>0</v>
      </c>
    </row>
    <row r="161" spans="1:15" x14ac:dyDescent="0.25">
      <c r="A161">
        <v>404</v>
      </c>
      <c r="B161" t="s">
        <v>1881</v>
      </c>
      <c r="C161" t="s">
        <v>1882</v>
      </c>
      <c r="D161">
        <v>49</v>
      </c>
      <c r="E161">
        <v>27172448</v>
      </c>
      <c r="F161" t="s">
        <v>883</v>
      </c>
      <c r="G161">
        <v>2025</v>
      </c>
      <c r="H161" t="s">
        <v>234</v>
      </c>
      <c r="I161" t="s">
        <v>1885</v>
      </c>
      <c r="J161" t="s">
        <v>1688</v>
      </c>
      <c r="K161" t="s">
        <v>1686</v>
      </c>
      <c r="L161">
        <v>0</v>
      </c>
      <c r="M161">
        <v>27172448</v>
      </c>
      <c r="N161">
        <v>0</v>
      </c>
      <c r="O161">
        <v>0</v>
      </c>
    </row>
    <row r="162" spans="1:15" x14ac:dyDescent="0.25">
      <c r="A162">
        <v>11</v>
      </c>
      <c r="B162" t="s">
        <v>1887</v>
      </c>
      <c r="C162" t="s">
        <v>1888</v>
      </c>
      <c r="D162">
        <v>50</v>
      </c>
      <c r="E162">
        <v>20244709</v>
      </c>
      <c r="F162" t="s">
        <v>883</v>
      </c>
      <c r="G162">
        <v>2025</v>
      </c>
      <c r="H162" t="s">
        <v>680</v>
      </c>
      <c r="I162" t="s">
        <v>1889</v>
      </c>
      <c r="J162" t="s">
        <v>1688</v>
      </c>
      <c r="K162" t="s">
        <v>1686</v>
      </c>
      <c r="L162">
        <v>0</v>
      </c>
      <c r="M162">
        <v>20103720</v>
      </c>
      <c r="N162">
        <v>0</v>
      </c>
      <c r="O162">
        <v>140989</v>
      </c>
    </row>
    <row r="163" spans="1:15" x14ac:dyDescent="0.25">
      <c r="A163">
        <v>12</v>
      </c>
      <c r="B163" t="s">
        <v>1890</v>
      </c>
      <c r="C163" t="s">
        <v>1891</v>
      </c>
      <c r="D163">
        <v>50</v>
      </c>
      <c r="E163">
        <v>34797836</v>
      </c>
      <c r="F163" t="s">
        <v>883</v>
      </c>
      <c r="G163">
        <v>2025</v>
      </c>
      <c r="H163" t="s">
        <v>680</v>
      </c>
      <c r="I163" t="s">
        <v>1889</v>
      </c>
      <c r="J163" t="s">
        <v>1688</v>
      </c>
      <c r="K163" t="s">
        <v>1686</v>
      </c>
      <c r="L163">
        <v>0</v>
      </c>
      <c r="M163">
        <v>34600280</v>
      </c>
      <c r="N163">
        <v>0</v>
      </c>
      <c r="O163">
        <v>197556</v>
      </c>
    </row>
    <row r="164" spans="1:15" x14ac:dyDescent="0.25">
      <c r="A164">
        <v>13</v>
      </c>
      <c r="B164" t="s">
        <v>1890</v>
      </c>
      <c r="C164" t="s">
        <v>1892</v>
      </c>
      <c r="D164">
        <v>50</v>
      </c>
      <c r="E164">
        <v>20587840</v>
      </c>
      <c r="F164" t="s">
        <v>883</v>
      </c>
      <c r="G164">
        <v>2025</v>
      </c>
      <c r="H164" t="s">
        <v>680</v>
      </c>
      <c r="I164" t="s">
        <v>1889</v>
      </c>
      <c r="J164" t="s">
        <v>1688</v>
      </c>
      <c r="K164" t="s">
        <v>1686</v>
      </c>
      <c r="L164">
        <v>0</v>
      </c>
      <c r="M164">
        <v>0</v>
      </c>
      <c r="N164">
        <v>0</v>
      </c>
      <c r="O164">
        <v>20587840</v>
      </c>
    </row>
    <row r="165" spans="1:15" x14ac:dyDescent="0.25">
      <c r="A165">
        <v>63</v>
      </c>
      <c r="B165" t="s">
        <v>1893</v>
      </c>
      <c r="C165" t="s">
        <v>1894</v>
      </c>
      <c r="D165">
        <v>50</v>
      </c>
      <c r="E165">
        <v>235516324</v>
      </c>
      <c r="F165" t="s">
        <v>883</v>
      </c>
      <c r="G165">
        <v>2025</v>
      </c>
      <c r="H165" t="s">
        <v>680</v>
      </c>
      <c r="I165" t="s">
        <v>1889</v>
      </c>
      <c r="J165" t="s">
        <v>1688</v>
      </c>
      <c r="K165" t="s">
        <v>1686</v>
      </c>
      <c r="L165">
        <v>0</v>
      </c>
      <c r="M165">
        <v>0</v>
      </c>
      <c r="N165">
        <v>235516324</v>
      </c>
      <c r="O165">
        <v>0</v>
      </c>
    </row>
    <row r="166" spans="1:15" x14ac:dyDescent="0.25">
      <c r="A166">
        <v>64</v>
      </c>
      <c r="B166" t="s">
        <v>1895</v>
      </c>
      <c r="C166" t="s">
        <v>1896</v>
      </c>
      <c r="D166">
        <v>50</v>
      </c>
      <c r="E166">
        <v>177246765</v>
      </c>
      <c r="F166" t="s">
        <v>883</v>
      </c>
      <c r="G166">
        <v>2025</v>
      </c>
      <c r="H166" t="s">
        <v>680</v>
      </c>
      <c r="I166" t="s">
        <v>1889</v>
      </c>
      <c r="J166" t="s">
        <v>1688</v>
      </c>
      <c r="K166" t="s">
        <v>1686</v>
      </c>
      <c r="L166">
        <v>0</v>
      </c>
      <c r="M166">
        <v>176682395</v>
      </c>
      <c r="N166">
        <v>0</v>
      </c>
      <c r="O166">
        <v>564370</v>
      </c>
    </row>
    <row r="167" spans="1:15" x14ac:dyDescent="0.25">
      <c r="A167">
        <v>65</v>
      </c>
      <c r="B167" t="s">
        <v>1897</v>
      </c>
      <c r="C167" t="s">
        <v>1898</v>
      </c>
      <c r="D167">
        <v>50</v>
      </c>
      <c r="E167">
        <v>43109912</v>
      </c>
      <c r="F167" t="s">
        <v>883</v>
      </c>
      <c r="G167">
        <v>2025</v>
      </c>
      <c r="H167" t="s">
        <v>680</v>
      </c>
      <c r="I167" t="s">
        <v>1889</v>
      </c>
      <c r="J167" t="s">
        <v>1688</v>
      </c>
      <c r="K167" t="s">
        <v>1686</v>
      </c>
      <c r="L167">
        <v>0</v>
      </c>
      <c r="M167">
        <v>43109912</v>
      </c>
      <c r="N167">
        <v>0</v>
      </c>
      <c r="O167">
        <v>0</v>
      </c>
    </row>
    <row r="168" spans="1:15" x14ac:dyDescent="0.25">
      <c r="A168">
        <v>305</v>
      </c>
      <c r="B168" t="s">
        <v>1899</v>
      </c>
      <c r="C168" t="s">
        <v>1900</v>
      </c>
      <c r="D168">
        <v>50</v>
      </c>
      <c r="E168">
        <v>233927178</v>
      </c>
      <c r="F168" t="s">
        <v>883</v>
      </c>
      <c r="G168">
        <v>2025</v>
      </c>
      <c r="H168" t="s">
        <v>680</v>
      </c>
      <c r="I168" t="s">
        <v>1889</v>
      </c>
      <c r="J168" t="s">
        <v>1688</v>
      </c>
      <c r="K168" t="s">
        <v>1686</v>
      </c>
      <c r="L168">
        <v>0</v>
      </c>
      <c r="M168">
        <v>233927172</v>
      </c>
      <c r="N168">
        <v>0</v>
      </c>
      <c r="O168">
        <v>6</v>
      </c>
    </row>
    <row r="169" spans="1:15" x14ac:dyDescent="0.25">
      <c r="A169">
        <v>316</v>
      </c>
      <c r="B169" t="s">
        <v>1901</v>
      </c>
      <c r="C169" t="s">
        <v>1902</v>
      </c>
      <c r="D169">
        <v>50</v>
      </c>
      <c r="E169">
        <v>34600280</v>
      </c>
      <c r="F169" t="s">
        <v>883</v>
      </c>
      <c r="G169">
        <v>2025</v>
      </c>
      <c r="H169" t="s">
        <v>680</v>
      </c>
      <c r="I169" t="s">
        <v>1889</v>
      </c>
      <c r="J169" t="s">
        <v>1688</v>
      </c>
      <c r="K169" t="s">
        <v>1686</v>
      </c>
      <c r="L169">
        <v>0</v>
      </c>
      <c r="M169">
        <v>34600280</v>
      </c>
      <c r="N169">
        <v>0</v>
      </c>
      <c r="O169">
        <v>0</v>
      </c>
    </row>
    <row r="170" spans="1:15" x14ac:dyDescent="0.25">
      <c r="A170">
        <v>384</v>
      </c>
      <c r="B170" t="s">
        <v>1838</v>
      </c>
      <c r="C170" t="s">
        <v>1903</v>
      </c>
      <c r="D170">
        <v>50</v>
      </c>
      <c r="E170">
        <v>34600280</v>
      </c>
      <c r="F170" t="s">
        <v>883</v>
      </c>
      <c r="G170">
        <v>2025</v>
      </c>
      <c r="H170" t="s">
        <v>680</v>
      </c>
      <c r="I170" t="s">
        <v>1889</v>
      </c>
      <c r="J170" t="s">
        <v>1688</v>
      </c>
      <c r="K170" t="s">
        <v>1686</v>
      </c>
      <c r="L170">
        <v>0</v>
      </c>
      <c r="M170">
        <v>34600280</v>
      </c>
      <c r="N170">
        <v>0</v>
      </c>
      <c r="O170">
        <v>0</v>
      </c>
    </row>
    <row r="171" spans="1:15" x14ac:dyDescent="0.25">
      <c r="A171">
        <v>389</v>
      </c>
      <c r="B171" t="s">
        <v>1904</v>
      </c>
      <c r="C171" t="s">
        <v>1905</v>
      </c>
      <c r="D171">
        <v>50</v>
      </c>
      <c r="E171">
        <v>52385167</v>
      </c>
      <c r="F171" t="s">
        <v>883</v>
      </c>
      <c r="G171">
        <v>2025</v>
      </c>
      <c r="H171" t="s">
        <v>680</v>
      </c>
      <c r="I171" t="s">
        <v>1889</v>
      </c>
      <c r="J171" t="s">
        <v>1688</v>
      </c>
      <c r="K171" t="s">
        <v>1686</v>
      </c>
      <c r="L171">
        <v>0</v>
      </c>
      <c r="M171">
        <v>52151147</v>
      </c>
      <c r="N171">
        <v>0</v>
      </c>
      <c r="O171">
        <v>234020</v>
      </c>
    </row>
    <row r="172" spans="1:15" x14ac:dyDescent="0.25">
      <c r="A172">
        <v>421</v>
      </c>
      <c r="B172" t="s">
        <v>1906</v>
      </c>
      <c r="C172" t="s">
        <v>1907</v>
      </c>
      <c r="D172">
        <v>50</v>
      </c>
      <c r="E172">
        <v>40000000</v>
      </c>
      <c r="F172" t="s">
        <v>883</v>
      </c>
      <c r="G172">
        <v>2025</v>
      </c>
      <c r="H172" t="s">
        <v>680</v>
      </c>
      <c r="I172" t="s">
        <v>1889</v>
      </c>
      <c r="J172" t="s">
        <v>1688</v>
      </c>
      <c r="K172" t="s">
        <v>1686</v>
      </c>
      <c r="L172">
        <v>0</v>
      </c>
      <c r="M172">
        <v>0</v>
      </c>
      <c r="N172">
        <v>0</v>
      </c>
      <c r="O172">
        <v>40000000</v>
      </c>
    </row>
    <row r="173" spans="1:15" x14ac:dyDescent="0.25">
      <c r="A173">
        <v>426</v>
      </c>
      <c r="B173" t="s">
        <v>1908</v>
      </c>
      <c r="C173" t="s">
        <v>1909</v>
      </c>
      <c r="D173">
        <v>50</v>
      </c>
      <c r="E173">
        <v>40000000</v>
      </c>
      <c r="F173" t="s">
        <v>883</v>
      </c>
      <c r="G173">
        <v>2025</v>
      </c>
      <c r="H173" t="s">
        <v>680</v>
      </c>
      <c r="I173" t="s">
        <v>1889</v>
      </c>
      <c r="J173" t="s">
        <v>1688</v>
      </c>
      <c r="K173" t="s">
        <v>1686</v>
      </c>
      <c r="L173">
        <v>0</v>
      </c>
      <c r="M173">
        <v>0</v>
      </c>
      <c r="N173">
        <v>40000000</v>
      </c>
      <c r="O173">
        <v>0</v>
      </c>
    </row>
    <row r="174" spans="1:15" x14ac:dyDescent="0.25">
      <c r="A174">
        <v>434</v>
      </c>
      <c r="B174" t="s">
        <v>1910</v>
      </c>
      <c r="C174" t="s">
        <v>1911</v>
      </c>
      <c r="D174">
        <v>50</v>
      </c>
      <c r="E174">
        <v>35000000</v>
      </c>
      <c r="F174" t="s">
        <v>883</v>
      </c>
      <c r="G174">
        <v>2025</v>
      </c>
      <c r="H174" t="s">
        <v>680</v>
      </c>
      <c r="I174" t="s">
        <v>1889</v>
      </c>
      <c r="J174" t="s">
        <v>1688</v>
      </c>
      <c r="K174" t="s">
        <v>1686</v>
      </c>
      <c r="L174">
        <v>0</v>
      </c>
      <c r="M174">
        <v>0</v>
      </c>
      <c r="N174">
        <v>0</v>
      </c>
      <c r="O174">
        <v>35000000</v>
      </c>
    </row>
    <row r="175" spans="1:15" x14ac:dyDescent="0.25">
      <c r="A175">
        <v>1</v>
      </c>
      <c r="B175" t="s">
        <v>1912</v>
      </c>
      <c r="C175" t="s">
        <v>1913</v>
      </c>
      <c r="D175">
        <v>51</v>
      </c>
      <c r="E175">
        <v>81847907</v>
      </c>
      <c r="F175" t="s">
        <v>883</v>
      </c>
      <c r="G175">
        <v>2025</v>
      </c>
      <c r="H175" t="s">
        <v>698</v>
      </c>
      <c r="I175" t="s">
        <v>1914</v>
      </c>
      <c r="J175" t="s">
        <v>1688</v>
      </c>
      <c r="K175" t="s">
        <v>1686</v>
      </c>
      <c r="L175">
        <v>0</v>
      </c>
      <c r="M175">
        <v>80272162</v>
      </c>
      <c r="N175">
        <v>0</v>
      </c>
      <c r="O175">
        <v>1575745</v>
      </c>
    </row>
    <row r="176" spans="1:15" x14ac:dyDescent="0.25">
      <c r="A176">
        <v>4</v>
      </c>
      <c r="B176" t="s">
        <v>1915</v>
      </c>
      <c r="C176" t="s">
        <v>1916</v>
      </c>
      <c r="D176">
        <v>51</v>
      </c>
      <c r="E176">
        <v>41481095</v>
      </c>
      <c r="F176" t="s">
        <v>883</v>
      </c>
      <c r="G176">
        <v>2025</v>
      </c>
      <c r="H176" t="s">
        <v>698</v>
      </c>
      <c r="I176" t="s">
        <v>1914</v>
      </c>
      <c r="J176" t="s">
        <v>1688</v>
      </c>
      <c r="K176" t="s">
        <v>1686</v>
      </c>
      <c r="L176">
        <v>0</v>
      </c>
      <c r="M176">
        <v>0</v>
      </c>
      <c r="N176">
        <v>41481095</v>
      </c>
      <c r="O176">
        <v>0</v>
      </c>
    </row>
    <row r="177" spans="1:15" x14ac:dyDescent="0.25">
      <c r="A177">
        <v>5</v>
      </c>
      <c r="B177" t="s">
        <v>1917</v>
      </c>
      <c r="C177" t="s">
        <v>1918</v>
      </c>
      <c r="D177">
        <v>51</v>
      </c>
      <c r="E177">
        <v>41481095</v>
      </c>
      <c r="F177" t="s">
        <v>883</v>
      </c>
      <c r="G177">
        <v>2025</v>
      </c>
      <c r="H177" t="s">
        <v>698</v>
      </c>
      <c r="I177" t="s">
        <v>1914</v>
      </c>
      <c r="J177" t="s">
        <v>1688</v>
      </c>
      <c r="K177" t="s">
        <v>1686</v>
      </c>
      <c r="L177">
        <v>0</v>
      </c>
      <c r="M177">
        <v>41481095</v>
      </c>
      <c r="N177">
        <v>0</v>
      </c>
      <c r="O177">
        <v>0</v>
      </c>
    </row>
    <row r="178" spans="1:15" x14ac:dyDescent="0.25">
      <c r="A178">
        <v>36</v>
      </c>
      <c r="B178" t="s">
        <v>1919</v>
      </c>
      <c r="C178" t="s">
        <v>1920</v>
      </c>
      <c r="D178">
        <v>54</v>
      </c>
      <c r="E178">
        <v>42609000</v>
      </c>
      <c r="F178" t="s">
        <v>883</v>
      </c>
      <c r="G178">
        <v>2025</v>
      </c>
      <c r="H178" t="s">
        <v>207</v>
      </c>
      <c r="I178" t="s">
        <v>1921</v>
      </c>
      <c r="J178" t="s">
        <v>1688</v>
      </c>
      <c r="K178" t="s">
        <v>1686</v>
      </c>
      <c r="L178">
        <v>0</v>
      </c>
      <c r="M178">
        <v>42609000</v>
      </c>
      <c r="N178">
        <v>0</v>
      </c>
      <c r="O178">
        <v>0</v>
      </c>
    </row>
    <row r="179" spans="1:15" x14ac:dyDescent="0.25">
      <c r="A179">
        <v>37</v>
      </c>
      <c r="B179" t="s">
        <v>1919</v>
      </c>
      <c r="C179" t="s">
        <v>1922</v>
      </c>
      <c r="D179">
        <v>54</v>
      </c>
      <c r="E179">
        <v>20514000</v>
      </c>
      <c r="F179" t="s">
        <v>883</v>
      </c>
      <c r="G179">
        <v>2025</v>
      </c>
      <c r="H179" t="s">
        <v>207</v>
      </c>
      <c r="I179" t="s">
        <v>1921</v>
      </c>
      <c r="J179" t="s">
        <v>1688</v>
      </c>
      <c r="K179" t="s">
        <v>1686</v>
      </c>
      <c r="L179">
        <v>0</v>
      </c>
      <c r="M179">
        <v>20514000</v>
      </c>
      <c r="N179">
        <v>0</v>
      </c>
      <c r="O179">
        <v>0</v>
      </c>
    </row>
    <row r="180" spans="1:15" x14ac:dyDescent="0.25">
      <c r="A180">
        <v>349</v>
      </c>
      <c r="B180" t="s">
        <v>1923</v>
      </c>
      <c r="C180" t="s">
        <v>1924</v>
      </c>
      <c r="D180">
        <v>54</v>
      </c>
      <c r="E180">
        <v>75218000</v>
      </c>
      <c r="F180" t="s">
        <v>883</v>
      </c>
      <c r="G180">
        <v>2025</v>
      </c>
      <c r="H180" t="s">
        <v>207</v>
      </c>
      <c r="I180" t="s">
        <v>1921</v>
      </c>
      <c r="J180" t="s">
        <v>1688</v>
      </c>
      <c r="K180" t="s">
        <v>1686</v>
      </c>
      <c r="L180">
        <v>0</v>
      </c>
      <c r="M180">
        <v>75218000</v>
      </c>
      <c r="N180">
        <v>0</v>
      </c>
      <c r="O180">
        <v>0</v>
      </c>
    </row>
    <row r="181" spans="1:15" x14ac:dyDescent="0.25">
      <c r="A181">
        <v>423</v>
      </c>
      <c r="B181" t="s">
        <v>1925</v>
      </c>
      <c r="C181" t="s">
        <v>1926</v>
      </c>
      <c r="D181">
        <v>54</v>
      </c>
      <c r="E181">
        <v>97499603</v>
      </c>
      <c r="F181" t="s">
        <v>883</v>
      </c>
      <c r="G181">
        <v>2025</v>
      </c>
      <c r="H181" t="s">
        <v>207</v>
      </c>
      <c r="I181" t="s">
        <v>1921</v>
      </c>
      <c r="J181" t="s">
        <v>1688</v>
      </c>
      <c r="K181" t="s">
        <v>1686</v>
      </c>
      <c r="L181">
        <v>0</v>
      </c>
      <c r="M181">
        <v>0</v>
      </c>
      <c r="N181">
        <v>0</v>
      </c>
      <c r="O181">
        <v>97499603</v>
      </c>
    </row>
    <row r="182" spans="1:15" x14ac:dyDescent="0.25">
      <c r="A182">
        <v>29</v>
      </c>
      <c r="B182" t="s">
        <v>1927</v>
      </c>
      <c r="C182" t="s">
        <v>1928</v>
      </c>
      <c r="D182">
        <v>55</v>
      </c>
      <c r="E182">
        <v>50000000</v>
      </c>
      <c r="F182" t="s">
        <v>883</v>
      </c>
      <c r="G182">
        <v>2025</v>
      </c>
      <c r="H182" t="s">
        <v>166</v>
      </c>
      <c r="I182" t="s">
        <v>1929</v>
      </c>
      <c r="J182" t="s">
        <v>1688</v>
      </c>
      <c r="K182" t="s">
        <v>1686</v>
      </c>
      <c r="L182">
        <v>0</v>
      </c>
      <c r="M182">
        <v>50000000</v>
      </c>
      <c r="N182">
        <v>0</v>
      </c>
      <c r="O182">
        <v>0</v>
      </c>
    </row>
    <row r="183" spans="1:15" x14ac:dyDescent="0.25">
      <c r="A183">
        <v>331</v>
      </c>
      <c r="B183" t="s">
        <v>1930</v>
      </c>
      <c r="C183" t="s">
        <v>1931</v>
      </c>
      <c r="D183">
        <v>55</v>
      </c>
      <c r="E183">
        <v>1000000000</v>
      </c>
      <c r="F183" t="s">
        <v>883</v>
      </c>
      <c r="G183">
        <v>2025</v>
      </c>
      <c r="H183" t="s">
        <v>166</v>
      </c>
      <c r="I183" t="s">
        <v>1929</v>
      </c>
      <c r="J183" t="s">
        <v>1688</v>
      </c>
      <c r="K183" t="s">
        <v>1686</v>
      </c>
      <c r="L183">
        <v>0</v>
      </c>
      <c r="M183">
        <v>1000000000</v>
      </c>
      <c r="N183">
        <v>0</v>
      </c>
      <c r="O183">
        <v>0</v>
      </c>
    </row>
    <row r="184" spans="1:15" x14ac:dyDescent="0.25">
      <c r="A184">
        <v>415</v>
      </c>
      <c r="B184" t="s">
        <v>1932</v>
      </c>
      <c r="C184" t="s">
        <v>1933</v>
      </c>
      <c r="D184">
        <v>55</v>
      </c>
      <c r="E184">
        <v>428268255</v>
      </c>
      <c r="F184" t="s">
        <v>883</v>
      </c>
      <c r="G184">
        <v>2025</v>
      </c>
      <c r="H184" t="s">
        <v>166</v>
      </c>
      <c r="I184" t="s">
        <v>1929</v>
      </c>
      <c r="J184" t="s">
        <v>1688</v>
      </c>
      <c r="K184" t="s">
        <v>1686</v>
      </c>
      <c r="L184">
        <v>0</v>
      </c>
      <c r="M184">
        <v>0</v>
      </c>
      <c r="N184">
        <v>0</v>
      </c>
      <c r="O184">
        <v>428268255</v>
      </c>
    </row>
    <row r="185" spans="1:15" x14ac:dyDescent="0.25">
      <c r="A185">
        <v>17</v>
      </c>
      <c r="B185" t="s">
        <v>1934</v>
      </c>
      <c r="C185" t="s">
        <v>1935</v>
      </c>
      <c r="D185">
        <v>56</v>
      </c>
      <c r="E185">
        <v>12285606</v>
      </c>
      <c r="F185" t="s">
        <v>1936</v>
      </c>
      <c r="G185">
        <v>2025</v>
      </c>
      <c r="H185" t="s">
        <v>400</v>
      </c>
      <c r="I185" t="s">
        <v>1937</v>
      </c>
      <c r="J185" t="s">
        <v>1688</v>
      </c>
      <c r="K185" t="s">
        <v>1686</v>
      </c>
      <c r="L185">
        <v>0</v>
      </c>
      <c r="M185">
        <v>12285606</v>
      </c>
      <c r="N185">
        <v>0</v>
      </c>
      <c r="O185">
        <v>0</v>
      </c>
    </row>
    <row r="186" spans="1:15" x14ac:dyDescent="0.25">
      <c r="A186">
        <v>18</v>
      </c>
      <c r="B186" t="s">
        <v>1938</v>
      </c>
      <c r="C186" t="s">
        <v>1939</v>
      </c>
      <c r="D186">
        <v>56</v>
      </c>
      <c r="E186">
        <v>19305954</v>
      </c>
      <c r="F186" t="s">
        <v>1936</v>
      </c>
      <c r="G186">
        <v>2025</v>
      </c>
      <c r="H186" t="s">
        <v>400</v>
      </c>
      <c r="I186" t="s">
        <v>1937</v>
      </c>
      <c r="J186" t="s">
        <v>1688</v>
      </c>
      <c r="K186" t="s">
        <v>1686</v>
      </c>
      <c r="L186">
        <v>0</v>
      </c>
      <c r="M186">
        <v>19305954</v>
      </c>
      <c r="N186">
        <v>0</v>
      </c>
      <c r="O186">
        <v>0</v>
      </c>
    </row>
    <row r="187" spans="1:15" x14ac:dyDescent="0.25">
      <c r="A187">
        <v>19</v>
      </c>
      <c r="B187" t="s">
        <v>1940</v>
      </c>
      <c r="C187" t="s">
        <v>1941</v>
      </c>
      <c r="D187">
        <v>56</v>
      </c>
      <c r="E187">
        <v>24571214</v>
      </c>
      <c r="F187" t="s">
        <v>1936</v>
      </c>
      <c r="G187">
        <v>2025</v>
      </c>
      <c r="H187" t="s">
        <v>400</v>
      </c>
      <c r="I187" t="s">
        <v>1937</v>
      </c>
      <c r="J187" t="s">
        <v>1688</v>
      </c>
      <c r="K187" t="s">
        <v>1686</v>
      </c>
      <c r="L187">
        <v>0</v>
      </c>
      <c r="M187">
        <v>24571214</v>
      </c>
      <c r="N187">
        <v>0</v>
      </c>
      <c r="O187">
        <v>0</v>
      </c>
    </row>
    <row r="188" spans="1:15" x14ac:dyDescent="0.25">
      <c r="A188">
        <v>20</v>
      </c>
      <c r="B188" t="s">
        <v>1942</v>
      </c>
      <c r="C188" t="s">
        <v>1943</v>
      </c>
      <c r="D188">
        <v>56</v>
      </c>
      <c r="E188">
        <v>24571214</v>
      </c>
      <c r="F188" t="s">
        <v>1936</v>
      </c>
      <c r="G188">
        <v>2025</v>
      </c>
      <c r="H188" t="s">
        <v>400</v>
      </c>
      <c r="I188" t="s">
        <v>1937</v>
      </c>
      <c r="J188" t="s">
        <v>1688</v>
      </c>
      <c r="K188" t="s">
        <v>1686</v>
      </c>
      <c r="L188">
        <v>0</v>
      </c>
      <c r="M188">
        <v>24571214</v>
      </c>
      <c r="N188">
        <v>0</v>
      </c>
      <c r="O188">
        <v>0</v>
      </c>
    </row>
    <row r="189" spans="1:15" x14ac:dyDescent="0.25">
      <c r="A189">
        <v>66</v>
      </c>
      <c r="B189" t="s">
        <v>1944</v>
      </c>
      <c r="C189" t="s">
        <v>1945</v>
      </c>
      <c r="D189">
        <v>56</v>
      </c>
      <c r="E189">
        <v>37609000</v>
      </c>
      <c r="F189" t="s">
        <v>1936</v>
      </c>
      <c r="G189">
        <v>2025</v>
      </c>
      <c r="H189" t="s">
        <v>400</v>
      </c>
      <c r="I189" t="s">
        <v>1937</v>
      </c>
      <c r="J189" t="s">
        <v>1688</v>
      </c>
      <c r="K189" t="s">
        <v>1686</v>
      </c>
      <c r="L189">
        <v>0</v>
      </c>
      <c r="M189">
        <v>37609000</v>
      </c>
      <c r="N189">
        <v>0</v>
      </c>
      <c r="O189">
        <v>0</v>
      </c>
    </row>
    <row r="190" spans="1:15" x14ac:dyDescent="0.25">
      <c r="A190">
        <v>67</v>
      </c>
      <c r="B190" t="s">
        <v>1946</v>
      </c>
      <c r="C190" t="s">
        <v>1947</v>
      </c>
      <c r="D190">
        <v>56</v>
      </c>
      <c r="E190">
        <v>37609000</v>
      </c>
      <c r="F190" t="s">
        <v>1936</v>
      </c>
      <c r="G190">
        <v>2025</v>
      </c>
      <c r="H190" t="s">
        <v>400</v>
      </c>
      <c r="I190" t="s">
        <v>1937</v>
      </c>
      <c r="J190" t="s">
        <v>1688</v>
      </c>
      <c r="K190" t="s">
        <v>1686</v>
      </c>
      <c r="L190">
        <v>0</v>
      </c>
      <c r="M190">
        <v>37609000</v>
      </c>
      <c r="N190">
        <v>0</v>
      </c>
      <c r="O190">
        <v>0</v>
      </c>
    </row>
    <row r="191" spans="1:15" x14ac:dyDescent="0.25">
      <c r="A191">
        <v>68</v>
      </c>
      <c r="B191" t="s">
        <v>1948</v>
      </c>
      <c r="C191" t="s">
        <v>1949</v>
      </c>
      <c r="D191">
        <v>56</v>
      </c>
      <c r="E191">
        <v>37609000</v>
      </c>
      <c r="F191" t="s">
        <v>1936</v>
      </c>
      <c r="G191">
        <v>2025</v>
      </c>
      <c r="H191" t="s">
        <v>400</v>
      </c>
      <c r="I191" t="s">
        <v>1937</v>
      </c>
      <c r="J191" t="s">
        <v>1688</v>
      </c>
      <c r="K191" t="s">
        <v>1686</v>
      </c>
      <c r="L191">
        <v>0</v>
      </c>
      <c r="M191">
        <v>37609000</v>
      </c>
      <c r="N191">
        <v>0</v>
      </c>
      <c r="O191">
        <v>0</v>
      </c>
    </row>
    <row r="192" spans="1:15" x14ac:dyDescent="0.25">
      <c r="A192">
        <v>297</v>
      </c>
      <c r="B192" t="s">
        <v>1950</v>
      </c>
      <c r="C192" t="s">
        <v>1951</v>
      </c>
      <c r="D192">
        <v>56</v>
      </c>
      <c r="E192">
        <v>38292800</v>
      </c>
      <c r="F192" t="s">
        <v>1936</v>
      </c>
      <c r="G192">
        <v>2025</v>
      </c>
      <c r="H192" t="s">
        <v>400</v>
      </c>
      <c r="I192" t="s">
        <v>1937</v>
      </c>
      <c r="J192" t="s">
        <v>1688</v>
      </c>
      <c r="K192" t="s">
        <v>1686</v>
      </c>
      <c r="L192">
        <v>0</v>
      </c>
      <c r="M192">
        <v>38292800</v>
      </c>
      <c r="N192">
        <v>0</v>
      </c>
      <c r="O192">
        <v>0</v>
      </c>
    </row>
    <row r="193" spans="1:15" x14ac:dyDescent="0.25">
      <c r="A193">
        <v>350</v>
      </c>
      <c r="B193" t="s">
        <v>1952</v>
      </c>
      <c r="C193" t="s">
        <v>1953</v>
      </c>
      <c r="D193">
        <v>56</v>
      </c>
      <c r="E193">
        <v>37609000</v>
      </c>
      <c r="F193" t="s">
        <v>1936</v>
      </c>
      <c r="G193">
        <v>2025</v>
      </c>
      <c r="H193" t="s">
        <v>400</v>
      </c>
      <c r="I193" t="s">
        <v>1937</v>
      </c>
      <c r="J193" t="s">
        <v>1688</v>
      </c>
      <c r="K193" t="s">
        <v>1686</v>
      </c>
      <c r="L193">
        <v>0</v>
      </c>
      <c r="M193">
        <v>37609000</v>
      </c>
      <c r="N193">
        <v>0</v>
      </c>
      <c r="O193">
        <v>0</v>
      </c>
    </row>
    <row r="194" spans="1:15" x14ac:dyDescent="0.25">
      <c r="A194">
        <v>352</v>
      </c>
      <c r="B194" t="s">
        <v>1954</v>
      </c>
      <c r="C194" t="s">
        <v>1955</v>
      </c>
      <c r="D194">
        <v>56</v>
      </c>
      <c r="E194">
        <v>15043600</v>
      </c>
      <c r="F194" t="s">
        <v>1936</v>
      </c>
      <c r="G194">
        <v>2025</v>
      </c>
      <c r="H194" t="s">
        <v>400</v>
      </c>
      <c r="I194" t="s">
        <v>1937</v>
      </c>
      <c r="J194" t="s">
        <v>1688</v>
      </c>
      <c r="K194" t="s">
        <v>1686</v>
      </c>
      <c r="L194">
        <v>0</v>
      </c>
      <c r="M194">
        <v>15043600</v>
      </c>
      <c r="N194">
        <v>0</v>
      </c>
      <c r="O194">
        <v>0</v>
      </c>
    </row>
    <row r="195" spans="1:15" x14ac:dyDescent="0.25">
      <c r="A195">
        <v>397</v>
      </c>
      <c r="B195" t="s">
        <v>1956</v>
      </c>
      <c r="C195" t="s">
        <v>1957</v>
      </c>
      <c r="D195">
        <v>56</v>
      </c>
      <c r="E195">
        <v>9000000</v>
      </c>
      <c r="F195" t="s">
        <v>1936</v>
      </c>
      <c r="G195">
        <v>2025</v>
      </c>
      <c r="H195" t="s">
        <v>400</v>
      </c>
      <c r="I195" t="s">
        <v>1937</v>
      </c>
      <c r="J195" t="s">
        <v>1688</v>
      </c>
      <c r="K195" t="s">
        <v>1686</v>
      </c>
      <c r="L195">
        <v>0</v>
      </c>
      <c r="M195">
        <v>9000000</v>
      </c>
      <c r="N195">
        <v>0</v>
      </c>
      <c r="O195">
        <v>0</v>
      </c>
    </row>
    <row r="196" spans="1:15" x14ac:dyDescent="0.25">
      <c r="A196">
        <v>392</v>
      </c>
      <c r="B196" t="s">
        <v>1958</v>
      </c>
      <c r="C196" t="s">
        <v>1959</v>
      </c>
      <c r="D196">
        <v>57</v>
      </c>
      <c r="E196">
        <v>200000000</v>
      </c>
      <c r="F196" t="s">
        <v>1936</v>
      </c>
      <c r="G196">
        <v>2025</v>
      </c>
      <c r="H196" t="s">
        <v>363</v>
      </c>
      <c r="I196" t="s">
        <v>1960</v>
      </c>
      <c r="J196" t="s">
        <v>1688</v>
      </c>
      <c r="K196" t="s">
        <v>1686</v>
      </c>
      <c r="L196">
        <v>0</v>
      </c>
      <c r="M196">
        <v>200000000</v>
      </c>
      <c r="N196">
        <v>0</v>
      </c>
      <c r="O196">
        <v>0</v>
      </c>
    </row>
    <row r="197" spans="1:15" x14ac:dyDescent="0.25">
      <c r="A197">
        <v>393</v>
      </c>
      <c r="B197" t="s">
        <v>1961</v>
      </c>
      <c r="C197" t="s">
        <v>1962</v>
      </c>
      <c r="D197">
        <v>57</v>
      </c>
      <c r="E197">
        <v>120000000</v>
      </c>
      <c r="F197" t="s">
        <v>1936</v>
      </c>
      <c r="G197">
        <v>2025</v>
      </c>
      <c r="H197" t="s">
        <v>363</v>
      </c>
      <c r="I197" t="s">
        <v>1960</v>
      </c>
      <c r="J197" t="s">
        <v>1688</v>
      </c>
      <c r="K197" t="s">
        <v>1686</v>
      </c>
      <c r="L197">
        <v>0</v>
      </c>
      <c r="M197">
        <v>120000000</v>
      </c>
      <c r="N197">
        <v>0</v>
      </c>
      <c r="O197">
        <v>0</v>
      </c>
    </row>
    <row r="198" spans="1:15" x14ac:dyDescent="0.25">
      <c r="A198">
        <v>394</v>
      </c>
      <c r="B198" t="s">
        <v>1963</v>
      </c>
      <c r="C198" t="s">
        <v>1964</v>
      </c>
      <c r="D198">
        <v>57</v>
      </c>
      <c r="E198">
        <v>150000000</v>
      </c>
      <c r="F198" t="s">
        <v>1936</v>
      </c>
      <c r="G198">
        <v>2025</v>
      </c>
      <c r="H198" t="s">
        <v>363</v>
      </c>
      <c r="I198" t="s">
        <v>1960</v>
      </c>
      <c r="J198" t="s">
        <v>1688</v>
      </c>
      <c r="K198" t="s">
        <v>1686</v>
      </c>
      <c r="L198">
        <v>0</v>
      </c>
      <c r="M198">
        <v>150000000</v>
      </c>
      <c r="N198">
        <v>0</v>
      </c>
      <c r="O198">
        <v>0</v>
      </c>
    </row>
    <row r="199" spans="1:15" x14ac:dyDescent="0.25">
      <c r="A199">
        <v>398</v>
      </c>
      <c r="B199" t="s">
        <v>1965</v>
      </c>
      <c r="C199" t="s">
        <v>1966</v>
      </c>
      <c r="D199">
        <v>57</v>
      </c>
      <c r="E199">
        <v>120000000</v>
      </c>
      <c r="F199" t="s">
        <v>1936</v>
      </c>
      <c r="G199">
        <v>2025</v>
      </c>
      <c r="H199" t="s">
        <v>363</v>
      </c>
      <c r="I199" t="s">
        <v>1960</v>
      </c>
      <c r="J199" t="s">
        <v>1688</v>
      </c>
      <c r="K199" t="s">
        <v>1686</v>
      </c>
      <c r="L199">
        <v>0</v>
      </c>
      <c r="M199">
        <v>0</v>
      </c>
      <c r="N199">
        <v>0</v>
      </c>
      <c r="O199">
        <v>120000000</v>
      </c>
    </row>
    <row r="200" spans="1:15" x14ac:dyDescent="0.25">
      <c r="A200">
        <v>439</v>
      </c>
      <c r="B200" t="s">
        <v>1967</v>
      </c>
      <c r="C200" t="s">
        <v>1968</v>
      </c>
      <c r="D200">
        <v>57</v>
      </c>
      <c r="E200">
        <v>60000000</v>
      </c>
      <c r="F200" t="s">
        <v>1936</v>
      </c>
      <c r="G200">
        <v>2025</v>
      </c>
      <c r="H200" t="s">
        <v>363</v>
      </c>
      <c r="I200" t="s">
        <v>1960</v>
      </c>
      <c r="J200" t="s">
        <v>1688</v>
      </c>
      <c r="K200" t="s">
        <v>1686</v>
      </c>
      <c r="L200">
        <v>0</v>
      </c>
      <c r="M200">
        <v>0</v>
      </c>
      <c r="N200">
        <v>0</v>
      </c>
      <c r="O200">
        <v>60000000</v>
      </c>
    </row>
    <row r="201" spans="1:15" x14ac:dyDescent="0.25">
      <c r="A201">
        <v>442</v>
      </c>
      <c r="B201" t="s">
        <v>1969</v>
      </c>
      <c r="C201" t="s">
        <v>1970</v>
      </c>
      <c r="D201">
        <v>57</v>
      </c>
      <c r="E201">
        <v>80000000</v>
      </c>
      <c r="F201" t="s">
        <v>1936</v>
      </c>
      <c r="G201">
        <v>2025</v>
      </c>
      <c r="H201" t="s">
        <v>363</v>
      </c>
      <c r="I201" t="s">
        <v>1960</v>
      </c>
      <c r="J201" t="s">
        <v>1688</v>
      </c>
      <c r="K201" t="s">
        <v>1686</v>
      </c>
      <c r="L201">
        <v>0</v>
      </c>
      <c r="M201">
        <v>0</v>
      </c>
      <c r="N201">
        <v>0</v>
      </c>
      <c r="O201">
        <v>80000000</v>
      </c>
    </row>
    <row r="202" spans="1:15" x14ac:dyDescent="0.25">
      <c r="A202">
        <v>445</v>
      </c>
      <c r="B202" t="s">
        <v>1971</v>
      </c>
      <c r="C202" t="s">
        <v>1972</v>
      </c>
      <c r="D202">
        <v>57</v>
      </c>
      <c r="E202">
        <v>60000000</v>
      </c>
      <c r="F202" t="s">
        <v>1936</v>
      </c>
      <c r="G202">
        <v>2025</v>
      </c>
      <c r="H202" t="s">
        <v>363</v>
      </c>
      <c r="I202" t="s">
        <v>1960</v>
      </c>
      <c r="J202" t="s">
        <v>1688</v>
      </c>
      <c r="K202" t="s">
        <v>1686</v>
      </c>
      <c r="L202">
        <v>0</v>
      </c>
      <c r="M202">
        <v>0</v>
      </c>
      <c r="N202">
        <v>0</v>
      </c>
      <c r="O202">
        <v>60000000</v>
      </c>
    </row>
    <row r="203" spans="1:15" x14ac:dyDescent="0.25">
      <c r="A203">
        <v>439</v>
      </c>
      <c r="B203" t="s">
        <v>1967</v>
      </c>
      <c r="C203" t="s">
        <v>1968</v>
      </c>
      <c r="D203">
        <v>100</v>
      </c>
      <c r="E203">
        <v>140000000</v>
      </c>
      <c r="F203" t="s">
        <v>1936</v>
      </c>
      <c r="G203">
        <v>2025</v>
      </c>
      <c r="H203" t="s">
        <v>362</v>
      </c>
      <c r="I203" t="s">
        <v>1973</v>
      </c>
      <c r="J203" t="s">
        <v>1688</v>
      </c>
      <c r="K203" t="s">
        <v>1686</v>
      </c>
      <c r="L203">
        <v>0</v>
      </c>
      <c r="M203">
        <v>0</v>
      </c>
      <c r="N203">
        <v>0</v>
      </c>
      <c r="O203">
        <v>140000000</v>
      </c>
    </row>
    <row r="204" spans="1:15" x14ac:dyDescent="0.25">
      <c r="A204">
        <v>440</v>
      </c>
      <c r="B204" t="s">
        <v>1974</v>
      </c>
      <c r="C204" t="s">
        <v>1975</v>
      </c>
      <c r="D204">
        <v>100</v>
      </c>
      <c r="E204">
        <v>210000000</v>
      </c>
      <c r="F204" t="s">
        <v>1936</v>
      </c>
      <c r="G204">
        <v>2025</v>
      </c>
      <c r="H204" t="s">
        <v>362</v>
      </c>
      <c r="I204" t="s">
        <v>1973</v>
      </c>
      <c r="J204" t="s">
        <v>1688</v>
      </c>
      <c r="K204" t="s">
        <v>1686</v>
      </c>
      <c r="L204">
        <v>0</v>
      </c>
      <c r="M204">
        <v>0</v>
      </c>
      <c r="N204">
        <v>0</v>
      </c>
      <c r="O204">
        <v>210000000</v>
      </c>
    </row>
    <row r="205" spans="1:15" x14ac:dyDescent="0.25">
      <c r="A205">
        <v>441</v>
      </c>
      <c r="B205" t="s">
        <v>1976</v>
      </c>
      <c r="C205" t="s">
        <v>1977</v>
      </c>
      <c r="D205">
        <v>100</v>
      </c>
      <c r="E205">
        <v>170000000</v>
      </c>
      <c r="F205" t="s">
        <v>1936</v>
      </c>
      <c r="G205">
        <v>2025</v>
      </c>
      <c r="H205" t="s">
        <v>362</v>
      </c>
      <c r="I205" t="s">
        <v>1973</v>
      </c>
      <c r="J205" t="s">
        <v>1688</v>
      </c>
      <c r="K205" t="s">
        <v>1686</v>
      </c>
      <c r="L205">
        <v>0</v>
      </c>
      <c r="M205">
        <v>0</v>
      </c>
      <c r="N205">
        <v>0</v>
      </c>
      <c r="O205">
        <v>170000000</v>
      </c>
    </row>
    <row r="206" spans="1:15" x14ac:dyDescent="0.25">
      <c r="A206">
        <v>442</v>
      </c>
      <c r="B206" t="s">
        <v>1969</v>
      </c>
      <c r="C206" t="s">
        <v>1970</v>
      </c>
      <c r="D206">
        <v>100</v>
      </c>
      <c r="E206">
        <v>40000000</v>
      </c>
      <c r="F206" t="s">
        <v>1936</v>
      </c>
      <c r="G206">
        <v>2025</v>
      </c>
      <c r="H206" t="s">
        <v>362</v>
      </c>
      <c r="I206" t="s">
        <v>1973</v>
      </c>
      <c r="J206" t="s">
        <v>1688</v>
      </c>
      <c r="K206" t="s">
        <v>1686</v>
      </c>
      <c r="L206">
        <v>0</v>
      </c>
      <c r="M206">
        <v>0</v>
      </c>
      <c r="N206">
        <v>0</v>
      </c>
      <c r="O206">
        <v>40000000</v>
      </c>
    </row>
    <row r="207" spans="1:15" x14ac:dyDescent="0.25">
      <c r="A207">
        <v>445</v>
      </c>
      <c r="B207" t="s">
        <v>1971</v>
      </c>
      <c r="C207" t="s">
        <v>1972</v>
      </c>
      <c r="D207">
        <v>100</v>
      </c>
      <c r="E207">
        <v>140000000</v>
      </c>
      <c r="F207" t="s">
        <v>1936</v>
      </c>
      <c r="G207">
        <v>2025</v>
      </c>
      <c r="H207" t="s">
        <v>362</v>
      </c>
      <c r="I207" t="s">
        <v>1973</v>
      </c>
      <c r="J207" t="s">
        <v>1688</v>
      </c>
      <c r="K207" t="s">
        <v>1686</v>
      </c>
      <c r="L207">
        <v>0</v>
      </c>
      <c r="M207">
        <v>0</v>
      </c>
      <c r="N207">
        <v>0</v>
      </c>
      <c r="O207">
        <v>140000000</v>
      </c>
    </row>
    <row r="208" spans="1:15" x14ac:dyDescent="0.25">
      <c r="A208">
        <v>289</v>
      </c>
      <c r="B208" t="s">
        <v>1978</v>
      </c>
      <c r="C208" t="s">
        <v>1979</v>
      </c>
      <c r="D208">
        <v>59</v>
      </c>
      <c r="E208">
        <v>60174400</v>
      </c>
      <c r="F208" t="s">
        <v>1936</v>
      </c>
      <c r="G208">
        <v>2025</v>
      </c>
      <c r="H208" t="s">
        <v>420</v>
      </c>
      <c r="I208" t="s">
        <v>1980</v>
      </c>
      <c r="J208" t="s">
        <v>1688</v>
      </c>
      <c r="K208" t="s">
        <v>1686</v>
      </c>
      <c r="L208">
        <v>0</v>
      </c>
      <c r="M208">
        <v>60174400</v>
      </c>
      <c r="N208">
        <v>0</v>
      </c>
      <c r="O208">
        <v>0</v>
      </c>
    </row>
    <row r="209" spans="1:15" x14ac:dyDescent="0.25">
      <c r="A209">
        <v>290</v>
      </c>
      <c r="B209" t="s">
        <v>1981</v>
      </c>
      <c r="C209" t="s">
        <v>1982</v>
      </c>
      <c r="D209">
        <v>60</v>
      </c>
      <c r="E209">
        <v>60174400</v>
      </c>
      <c r="F209" t="s">
        <v>1936</v>
      </c>
      <c r="G209">
        <v>2025</v>
      </c>
      <c r="H209" t="s">
        <v>433</v>
      </c>
      <c r="I209" t="s">
        <v>1983</v>
      </c>
      <c r="J209" t="s">
        <v>1688</v>
      </c>
      <c r="K209" t="s">
        <v>1686</v>
      </c>
      <c r="L209">
        <v>0</v>
      </c>
      <c r="M209">
        <v>60174400</v>
      </c>
      <c r="N209">
        <v>0</v>
      </c>
      <c r="O209">
        <v>0</v>
      </c>
    </row>
    <row r="210" spans="1:15" x14ac:dyDescent="0.25">
      <c r="A210">
        <v>323</v>
      </c>
      <c r="B210" t="s">
        <v>1984</v>
      </c>
      <c r="C210" t="s">
        <v>1985</v>
      </c>
      <c r="D210">
        <v>60</v>
      </c>
      <c r="E210">
        <v>60174400</v>
      </c>
      <c r="F210" t="s">
        <v>1936</v>
      </c>
      <c r="G210">
        <v>2025</v>
      </c>
      <c r="H210" t="s">
        <v>433</v>
      </c>
      <c r="I210" t="s">
        <v>1983</v>
      </c>
      <c r="J210" t="s">
        <v>1688</v>
      </c>
      <c r="K210" t="s">
        <v>1686</v>
      </c>
      <c r="L210">
        <v>0</v>
      </c>
      <c r="M210">
        <v>60174400</v>
      </c>
      <c r="N210">
        <v>0</v>
      </c>
      <c r="O210">
        <v>0</v>
      </c>
    </row>
    <row r="211" spans="1:15" x14ac:dyDescent="0.25">
      <c r="A211">
        <v>324</v>
      </c>
      <c r="B211" t="s">
        <v>1986</v>
      </c>
      <c r="C211" t="s">
        <v>1987</v>
      </c>
      <c r="D211">
        <v>60</v>
      </c>
      <c r="E211">
        <v>60174400</v>
      </c>
      <c r="F211" t="s">
        <v>1936</v>
      </c>
      <c r="G211">
        <v>2025</v>
      </c>
      <c r="H211" t="s">
        <v>433</v>
      </c>
      <c r="I211" t="s">
        <v>1983</v>
      </c>
      <c r="J211" t="s">
        <v>1688</v>
      </c>
      <c r="K211" t="s">
        <v>1686</v>
      </c>
      <c r="L211">
        <v>0</v>
      </c>
      <c r="M211">
        <v>60174400</v>
      </c>
      <c r="N211">
        <v>0</v>
      </c>
      <c r="O211">
        <v>0</v>
      </c>
    </row>
    <row r="212" spans="1:15" x14ac:dyDescent="0.25">
      <c r="A212">
        <v>327</v>
      </c>
      <c r="B212" t="s">
        <v>1988</v>
      </c>
      <c r="C212" t="s">
        <v>1989</v>
      </c>
      <c r="D212">
        <v>60</v>
      </c>
      <c r="E212">
        <v>32822400</v>
      </c>
      <c r="F212" t="s">
        <v>1936</v>
      </c>
      <c r="G212">
        <v>2025</v>
      </c>
      <c r="H212" t="s">
        <v>433</v>
      </c>
      <c r="I212" t="s">
        <v>1983</v>
      </c>
      <c r="J212" t="s">
        <v>1688</v>
      </c>
      <c r="K212" t="s">
        <v>1686</v>
      </c>
      <c r="L212">
        <v>0</v>
      </c>
      <c r="M212">
        <v>32822400</v>
      </c>
      <c r="N212">
        <v>0</v>
      </c>
      <c r="O212">
        <v>0</v>
      </c>
    </row>
    <row r="213" spans="1:15" x14ac:dyDescent="0.25">
      <c r="A213">
        <v>328</v>
      </c>
      <c r="B213" t="s">
        <v>1990</v>
      </c>
      <c r="C213" t="s">
        <v>1991</v>
      </c>
      <c r="D213">
        <v>60</v>
      </c>
      <c r="E213">
        <v>60174400</v>
      </c>
      <c r="F213" t="s">
        <v>1936</v>
      </c>
      <c r="G213">
        <v>2025</v>
      </c>
      <c r="H213" t="s">
        <v>433</v>
      </c>
      <c r="I213" t="s">
        <v>1983</v>
      </c>
      <c r="J213" t="s">
        <v>1688</v>
      </c>
      <c r="K213" t="s">
        <v>1686</v>
      </c>
      <c r="L213">
        <v>0</v>
      </c>
      <c r="M213">
        <v>60174400</v>
      </c>
      <c r="N213">
        <v>0</v>
      </c>
      <c r="O213">
        <v>0</v>
      </c>
    </row>
    <row r="214" spans="1:15" x14ac:dyDescent="0.25">
      <c r="A214">
        <v>329</v>
      </c>
      <c r="B214" t="s">
        <v>1992</v>
      </c>
      <c r="C214" t="s">
        <v>1993</v>
      </c>
      <c r="D214">
        <v>60</v>
      </c>
      <c r="E214">
        <v>32822400</v>
      </c>
      <c r="F214" t="s">
        <v>1936</v>
      </c>
      <c r="G214">
        <v>2025</v>
      </c>
      <c r="H214" t="s">
        <v>433</v>
      </c>
      <c r="I214" t="s">
        <v>1983</v>
      </c>
      <c r="J214" t="s">
        <v>1688</v>
      </c>
      <c r="K214" t="s">
        <v>1686</v>
      </c>
      <c r="L214">
        <v>0</v>
      </c>
      <c r="M214">
        <v>32822400</v>
      </c>
      <c r="N214">
        <v>0</v>
      </c>
      <c r="O214">
        <v>0</v>
      </c>
    </row>
    <row r="215" spans="1:15" x14ac:dyDescent="0.25">
      <c r="A215">
        <v>373</v>
      </c>
      <c r="B215" t="s">
        <v>1994</v>
      </c>
      <c r="C215" t="s">
        <v>1995</v>
      </c>
      <c r="D215">
        <v>60</v>
      </c>
      <c r="E215">
        <v>60174400</v>
      </c>
      <c r="F215" t="s">
        <v>1936</v>
      </c>
      <c r="G215">
        <v>2025</v>
      </c>
      <c r="H215" t="s">
        <v>433</v>
      </c>
      <c r="I215" t="s">
        <v>1983</v>
      </c>
      <c r="J215" t="s">
        <v>1688</v>
      </c>
      <c r="K215" t="s">
        <v>1686</v>
      </c>
      <c r="L215">
        <v>0</v>
      </c>
      <c r="M215">
        <v>60174400</v>
      </c>
      <c r="N215">
        <v>0</v>
      </c>
      <c r="O215">
        <v>0</v>
      </c>
    </row>
    <row r="216" spans="1:15" x14ac:dyDescent="0.25">
      <c r="A216">
        <v>374</v>
      </c>
      <c r="B216" t="s">
        <v>1996</v>
      </c>
      <c r="C216" t="s">
        <v>1997</v>
      </c>
      <c r="D216">
        <v>60</v>
      </c>
      <c r="E216">
        <v>36138024</v>
      </c>
      <c r="F216" t="s">
        <v>1936</v>
      </c>
      <c r="G216">
        <v>2025</v>
      </c>
      <c r="H216" t="s">
        <v>433</v>
      </c>
      <c r="I216" t="s">
        <v>1983</v>
      </c>
      <c r="J216" t="s">
        <v>1688</v>
      </c>
      <c r="K216" t="s">
        <v>1686</v>
      </c>
      <c r="L216">
        <v>0</v>
      </c>
      <c r="M216">
        <v>36138024</v>
      </c>
      <c r="N216">
        <v>0</v>
      </c>
      <c r="O216">
        <v>0</v>
      </c>
    </row>
    <row r="217" spans="1:15" x14ac:dyDescent="0.25">
      <c r="A217">
        <v>375</v>
      </c>
      <c r="B217" t="s">
        <v>1998</v>
      </c>
      <c r="C217" t="s">
        <v>1999</v>
      </c>
      <c r="D217">
        <v>60</v>
      </c>
      <c r="E217">
        <v>60174400</v>
      </c>
      <c r="F217" t="s">
        <v>1936</v>
      </c>
      <c r="G217">
        <v>2025</v>
      </c>
      <c r="H217" t="s">
        <v>433</v>
      </c>
      <c r="I217" t="s">
        <v>1983</v>
      </c>
      <c r="J217" t="s">
        <v>1688</v>
      </c>
      <c r="K217" t="s">
        <v>1686</v>
      </c>
      <c r="L217">
        <v>0</v>
      </c>
      <c r="M217">
        <v>60174400</v>
      </c>
      <c r="N217">
        <v>0</v>
      </c>
      <c r="O217">
        <v>0</v>
      </c>
    </row>
    <row r="218" spans="1:15" x14ac:dyDescent="0.25">
      <c r="A218">
        <v>376</v>
      </c>
      <c r="B218" t="s">
        <v>2000</v>
      </c>
      <c r="C218" t="s">
        <v>2001</v>
      </c>
      <c r="D218">
        <v>60</v>
      </c>
      <c r="E218">
        <v>39413544</v>
      </c>
      <c r="F218" t="s">
        <v>1936</v>
      </c>
      <c r="G218">
        <v>2025</v>
      </c>
      <c r="H218" t="s">
        <v>433</v>
      </c>
      <c r="I218" t="s">
        <v>1983</v>
      </c>
      <c r="J218" t="s">
        <v>1688</v>
      </c>
      <c r="K218" t="s">
        <v>1686</v>
      </c>
      <c r="L218">
        <v>0</v>
      </c>
      <c r="M218">
        <v>39413514</v>
      </c>
      <c r="N218">
        <v>0</v>
      </c>
      <c r="O218">
        <v>30</v>
      </c>
    </row>
    <row r="219" spans="1:15" x14ac:dyDescent="0.25">
      <c r="A219">
        <v>377</v>
      </c>
      <c r="B219" t="s">
        <v>2002</v>
      </c>
      <c r="C219" t="s">
        <v>2003</v>
      </c>
      <c r="D219">
        <v>60</v>
      </c>
      <c r="E219">
        <v>60174400</v>
      </c>
      <c r="F219" t="s">
        <v>1936</v>
      </c>
      <c r="G219">
        <v>2025</v>
      </c>
      <c r="H219" t="s">
        <v>433</v>
      </c>
      <c r="I219" t="s">
        <v>1983</v>
      </c>
      <c r="J219" t="s">
        <v>1688</v>
      </c>
      <c r="K219" t="s">
        <v>1686</v>
      </c>
      <c r="L219">
        <v>0</v>
      </c>
      <c r="M219">
        <v>60174400</v>
      </c>
      <c r="N219">
        <v>0</v>
      </c>
      <c r="O219">
        <v>0</v>
      </c>
    </row>
    <row r="220" spans="1:15" x14ac:dyDescent="0.25">
      <c r="A220">
        <v>378</v>
      </c>
      <c r="B220" t="s">
        <v>2004</v>
      </c>
      <c r="C220" t="s">
        <v>2005</v>
      </c>
      <c r="D220">
        <v>60</v>
      </c>
      <c r="E220">
        <v>32822400</v>
      </c>
      <c r="F220" t="s">
        <v>1936</v>
      </c>
      <c r="G220">
        <v>2025</v>
      </c>
      <c r="H220" t="s">
        <v>433</v>
      </c>
      <c r="I220" t="s">
        <v>1983</v>
      </c>
      <c r="J220" t="s">
        <v>1688</v>
      </c>
      <c r="K220" t="s">
        <v>1686</v>
      </c>
      <c r="L220">
        <v>0</v>
      </c>
      <c r="M220">
        <v>0</v>
      </c>
      <c r="N220">
        <v>32822400</v>
      </c>
      <c r="O220">
        <v>0</v>
      </c>
    </row>
    <row r="221" spans="1:15" x14ac:dyDescent="0.25">
      <c r="A221">
        <v>379</v>
      </c>
      <c r="B221" t="s">
        <v>2006</v>
      </c>
      <c r="C221" t="s">
        <v>2007</v>
      </c>
      <c r="D221">
        <v>60</v>
      </c>
      <c r="E221">
        <v>60174400</v>
      </c>
      <c r="F221" t="s">
        <v>1936</v>
      </c>
      <c r="G221">
        <v>2025</v>
      </c>
      <c r="H221" t="s">
        <v>433</v>
      </c>
      <c r="I221" t="s">
        <v>1983</v>
      </c>
      <c r="J221" t="s">
        <v>1688</v>
      </c>
      <c r="K221" t="s">
        <v>1686</v>
      </c>
      <c r="L221">
        <v>0</v>
      </c>
      <c r="M221">
        <v>60174400</v>
      </c>
      <c r="N221">
        <v>0</v>
      </c>
      <c r="O221">
        <v>0</v>
      </c>
    </row>
    <row r="222" spans="1:15" x14ac:dyDescent="0.25">
      <c r="A222">
        <v>401</v>
      </c>
      <c r="B222" t="s">
        <v>2008</v>
      </c>
      <c r="C222" t="s">
        <v>2009</v>
      </c>
      <c r="D222">
        <v>60</v>
      </c>
      <c r="E222">
        <v>32822400</v>
      </c>
      <c r="F222" t="s">
        <v>1936</v>
      </c>
      <c r="G222">
        <v>2025</v>
      </c>
      <c r="H222" t="s">
        <v>433</v>
      </c>
      <c r="I222" t="s">
        <v>1983</v>
      </c>
      <c r="J222" t="s">
        <v>1688</v>
      </c>
      <c r="K222" t="s">
        <v>1686</v>
      </c>
      <c r="L222">
        <v>0</v>
      </c>
      <c r="M222">
        <v>32822400</v>
      </c>
      <c r="N222">
        <v>0</v>
      </c>
      <c r="O222">
        <v>0</v>
      </c>
    </row>
    <row r="223" spans="1:15" x14ac:dyDescent="0.25">
      <c r="A223">
        <v>402</v>
      </c>
      <c r="B223" t="s">
        <v>2010</v>
      </c>
      <c r="C223" t="s">
        <v>2011</v>
      </c>
      <c r="D223">
        <v>60</v>
      </c>
      <c r="E223">
        <v>71206373</v>
      </c>
      <c r="F223" t="s">
        <v>1936</v>
      </c>
      <c r="G223">
        <v>2025</v>
      </c>
      <c r="H223" t="s">
        <v>433</v>
      </c>
      <c r="I223" t="s">
        <v>1983</v>
      </c>
      <c r="J223" t="s">
        <v>1688</v>
      </c>
      <c r="K223" t="s">
        <v>1686</v>
      </c>
      <c r="L223">
        <v>0</v>
      </c>
      <c r="M223">
        <v>71206373</v>
      </c>
      <c r="N223">
        <v>0</v>
      </c>
      <c r="O223">
        <v>0</v>
      </c>
    </row>
    <row r="224" spans="1:15" x14ac:dyDescent="0.25">
      <c r="A224">
        <v>403</v>
      </c>
      <c r="B224" t="s">
        <v>2012</v>
      </c>
      <c r="C224" t="s">
        <v>2013</v>
      </c>
      <c r="D224">
        <v>60</v>
      </c>
      <c r="E224">
        <v>71206373</v>
      </c>
      <c r="F224" t="s">
        <v>1936</v>
      </c>
      <c r="G224">
        <v>2025</v>
      </c>
      <c r="H224" t="s">
        <v>433</v>
      </c>
      <c r="I224" t="s">
        <v>1983</v>
      </c>
      <c r="J224" t="s">
        <v>1688</v>
      </c>
      <c r="K224" t="s">
        <v>1686</v>
      </c>
      <c r="L224">
        <v>0</v>
      </c>
      <c r="M224">
        <v>71206373</v>
      </c>
      <c r="N224">
        <v>0</v>
      </c>
      <c r="O224">
        <v>0</v>
      </c>
    </row>
    <row r="225" spans="1:15" x14ac:dyDescent="0.25">
      <c r="A225">
        <v>416</v>
      </c>
      <c r="B225" t="s">
        <v>2014</v>
      </c>
      <c r="C225" t="s">
        <v>2015</v>
      </c>
      <c r="D225">
        <v>60</v>
      </c>
      <c r="E225">
        <v>98626293</v>
      </c>
      <c r="F225" t="s">
        <v>1936</v>
      </c>
      <c r="G225">
        <v>2025</v>
      </c>
      <c r="H225" t="s">
        <v>433</v>
      </c>
      <c r="I225" t="s">
        <v>1983</v>
      </c>
      <c r="J225" t="s">
        <v>1688</v>
      </c>
      <c r="K225" t="s">
        <v>1686</v>
      </c>
      <c r="L225">
        <v>0</v>
      </c>
      <c r="M225">
        <v>98626293</v>
      </c>
      <c r="N225">
        <v>0</v>
      </c>
      <c r="O225">
        <v>0</v>
      </c>
    </row>
    <row r="226" spans="1:15" x14ac:dyDescent="0.25">
      <c r="A226">
        <v>268</v>
      </c>
      <c r="B226" t="s">
        <v>2016</v>
      </c>
      <c r="C226" t="s">
        <v>2017</v>
      </c>
      <c r="D226">
        <v>61</v>
      </c>
      <c r="E226">
        <v>61147776</v>
      </c>
      <c r="F226" t="s">
        <v>1936</v>
      </c>
      <c r="G226">
        <v>2025</v>
      </c>
      <c r="H226" t="s">
        <v>634</v>
      </c>
      <c r="I226" t="s">
        <v>2018</v>
      </c>
      <c r="J226" t="s">
        <v>1688</v>
      </c>
      <c r="K226" t="s">
        <v>1686</v>
      </c>
      <c r="L226">
        <v>0</v>
      </c>
      <c r="M226">
        <v>61147776</v>
      </c>
      <c r="N226">
        <v>0</v>
      </c>
      <c r="O226">
        <v>0</v>
      </c>
    </row>
    <row r="227" spans="1:15" x14ac:dyDescent="0.25">
      <c r="A227">
        <v>269</v>
      </c>
      <c r="B227" t="s">
        <v>2016</v>
      </c>
      <c r="C227" t="s">
        <v>2019</v>
      </c>
      <c r="D227">
        <v>61</v>
      </c>
      <c r="E227">
        <v>40747479</v>
      </c>
      <c r="F227" t="s">
        <v>1936</v>
      </c>
      <c r="G227">
        <v>2025</v>
      </c>
      <c r="H227" t="s">
        <v>634</v>
      </c>
      <c r="I227" t="s">
        <v>2018</v>
      </c>
      <c r="J227" t="s">
        <v>1688</v>
      </c>
      <c r="K227" t="s">
        <v>1686</v>
      </c>
      <c r="L227">
        <v>0</v>
      </c>
      <c r="M227">
        <v>40747479</v>
      </c>
      <c r="N227">
        <v>0</v>
      </c>
      <c r="O227">
        <v>0</v>
      </c>
    </row>
    <row r="228" spans="1:15" x14ac:dyDescent="0.25">
      <c r="A228">
        <v>270</v>
      </c>
      <c r="B228" t="s">
        <v>2016</v>
      </c>
      <c r="C228" t="s">
        <v>2020</v>
      </c>
      <c r="D228">
        <v>61</v>
      </c>
      <c r="E228">
        <v>26545593</v>
      </c>
      <c r="F228" t="s">
        <v>1936</v>
      </c>
      <c r="G228">
        <v>2025</v>
      </c>
      <c r="H228" t="s">
        <v>634</v>
      </c>
      <c r="I228" t="s">
        <v>2018</v>
      </c>
      <c r="J228" t="s">
        <v>1688</v>
      </c>
      <c r="K228" t="s">
        <v>1686</v>
      </c>
      <c r="L228">
        <v>0</v>
      </c>
      <c r="M228">
        <v>26545593</v>
      </c>
      <c r="N228">
        <v>0</v>
      </c>
      <c r="O228">
        <v>0</v>
      </c>
    </row>
    <row r="229" spans="1:15" x14ac:dyDescent="0.25">
      <c r="A229">
        <v>271</v>
      </c>
      <c r="B229" t="s">
        <v>2016</v>
      </c>
      <c r="C229" t="s">
        <v>2021</v>
      </c>
      <c r="D229">
        <v>61</v>
      </c>
      <c r="E229">
        <v>40747479</v>
      </c>
      <c r="F229" t="s">
        <v>1936</v>
      </c>
      <c r="G229">
        <v>2025</v>
      </c>
      <c r="H229" t="s">
        <v>634</v>
      </c>
      <c r="I229" t="s">
        <v>2018</v>
      </c>
      <c r="J229" t="s">
        <v>1688</v>
      </c>
      <c r="K229" t="s">
        <v>1686</v>
      </c>
      <c r="L229">
        <v>0</v>
      </c>
      <c r="M229">
        <v>40747479</v>
      </c>
      <c r="N229">
        <v>0</v>
      </c>
      <c r="O229">
        <v>0</v>
      </c>
    </row>
    <row r="230" spans="1:15" x14ac:dyDescent="0.25">
      <c r="A230">
        <v>272</v>
      </c>
      <c r="B230" t="s">
        <v>2016</v>
      </c>
      <c r="C230" t="s">
        <v>2022</v>
      </c>
      <c r="D230">
        <v>61</v>
      </c>
      <c r="E230">
        <v>61147776</v>
      </c>
      <c r="F230" t="s">
        <v>1936</v>
      </c>
      <c r="G230">
        <v>2025</v>
      </c>
      <c r="H230" t="s">
        <v>634</v>
      </c>
      <c r="I230" t="s">
        <v>2018</v>
      </c>
      <c r="J230" t="s">
        <v>1688</v>
      </c>
      <c r="K230" t="s">
        <v>1686</v>
      </c>
      <c r="L230">
        <v>0</v>
      </c>
      <c r="M230">
        <v>61147776</v>
      </c>
      <c r="N230">
        <v>0</v>
      </c>
      <c r="O230">
        <v>0</v>
      </c>
    </row>
    <row r="231" spans="1:15" x14ac:dyDescent="0.25">
      <c r="A231">
        <v>273</v>
      </c>
      <c r="B231" t="s">
        <v>2016</v>
      </c>
      <c r="C231" t="s">
        <v>2023</v>
      </c>
      <c r="D231">
        <v>61</v>
      </c>
      <c r="E231">
        <v>61147776</v>
      </c>
      <c r="F231" t="s">
        <v>1936</v>
      </c>
      <c r="G231">
        <v>2025</v>
      </c>
      <c r="H231" t="s">
        <v>634</v>
      </c>
      <c r="I231" t="s">
        <v>2018</v>
      </c>
      <c r="J231" t="s">
        <v>1688</v>
      </c>
      <c r="K231" t="s">
        <v>1686</v>
      </c>
      <c r="L231">
        <v>0</v>
      </c>
      <c r="M231">
        <v>61147776</v>
      </c>
      <c r="N231">
        <v>0</v>
      </c>
      <c r="O231">
        <v>0</v>
      </c>
    </row>
    <row r="232" spans="1:15" x14ac:dyDescent="0.25">
      <c r="A232">
        <v>274</v>
      </c>
      <c r="B232" t="s">
        <v>2016</v>
      </c>
      <c r="C232" t="s">
        <v>2024</v>
      </c>
      <c r="D232">
        <v>61</v>
      </c>
      <c r="E232">
        <v>26545593</v>
      </c>
      <c r="F232" t="s">
        <v>1936</v>
      </c>
      <c r="G232">
        <v>2025</v>
      </c>
      <c r="H232" t="s">
        <v>634</v>
      </c>
      <c r="I232" t="s">
        <v>2018</v>
      </c>
      <c r="J232" t="s">
        <v>1688</v>
      </c>
      <c r="K232" t="s">
        <v>1686</v>
      </c>
      <c r="L232">
        <v>0</v>
      </c>
      <c r="M232">
        <v>25100935</v>
      </c>
      <c r="N232">
        <v>0</v>
      </c>
      <c r="O232">
        <v>1444658</v>
      </c>
    </row>
    <row r="233" spans="1:15" x14ac:dyDescent="0.25">
      <c r="A233">
        <v>275</v>
      </c>
      <c r="B233" t="s">
        <v>2016</v>
      </c>
      <c r="C233" t="s">
        <v>2025</v>
      </c>
      <c r="D233">
        <v>61</v>
      </c>
      <c r="E233">
        <v>26545593</v>
      </c>
      <c r="F233" t="s">
        <v>1936</v>
      </c>
      <c r="G233">
        <v>2025</v>
      </c>
      <c r="H233" t="s">
        <v>634</v>
      </c>
      <c r="I233" t="s">
        <v>2018</v>
      </c>
      <c r="J233" t="s">
        <v>1688</v>
      </c>
      <c r="K233" t="s">
        <v>1686</v>
      </c>
      <c r="L233">
        <v>0</v>
      </c>
      <c r="M233">
        <v>0</v>
      </c>
      <c r="N233">
        <v>0</v>
      </c>
      <c r="O233">
        <v>26545593</v>
      </c>
    </row>
    <row r="234" spans="1:15" x14ac:dyDescent="0.25">
      <c r="A234">
        <v>276</v>
      </c>
      <c r="B234" t="s">
        <v>2016</v>
      </c>
      <c r="C234" t="s">
        <v>2026</v>
      </c>
      <c r="D234">
        <v>61</v>
      </c>
      <c r="E234">
        <v>81536206</v>
      </c>
      <c r="F234" t="s">
        <v>1936</v>
      </c>
      <c r="G234">
        <v>2025</v>
      </c>
      <c r="H234" t="s">
        <v>634</v>
      </c>
      <c r="I234" t="s">
        <v>2018</v>
      </c>
      <c r="J234" t="s">
        <v>1688</v>
      </c>
      <c r="K234" t="s">
        <v>1686</v>
      </c>
      <c r="L234">
        <v>0</v>
      </c>
      <c r="M234">
        <v>81536206</v>
      </c>
      <c r="N234">
        <v>0</v>
      </c>
      <c r="O234">
        <v>0</v>
      </c>
    </row>
    <row r="235" spans="1:15" x14ac:dyDescent="0.25">
      <c r="A235">
        <v>277</v>
      </c>
      <c r="B235" t="s">
        <v>2016</v>
      </c>
      <c r="C235" t="s">
        <v>2027</v>
      </c>
      <c r="D235">
        <v>61</v>
      </c>
      <c r="E235">
        <v>26545593</v>
      </c>
      <c r="F235" t="s">
        <v>1936</v>
      </c>
      <c r="G235">
        <v>2025</v>
      </c>
      <c r="H235" t="s">
        <v>634</v>
      </c>
      <c r="I235" t="s">
        <v>2018</v>
      </c>
      <c r="J235" t="s">
        <v>1688</v>
      </c>
      <c r="K235" t="s">
        <v>1686</v>
      </c>
      <c r="L235">
        <v>0</v>
      </c>
      <c r="M235">
        <v>26545593</v>
      </c>
      <c r="N235">
        <v>0</v>
      </c>
      <c r="O235">
        <v>0</v>
      </c>
    </row>
    <row r="236" spans="1:15" x14ac:dyDescent="0.25">
      <c r="A236">
        <v>278</v>
      </c>
      <c r="B236" t="s">
        <v>2016</v>
      </c>
      <c r="C236" t="s">
        <v>2028</v>
      </c>
      <c r="D236">
        <v>61</v>
      </c>
      <c r="E236">
        <v>40747479</v>
      </c>
      <c r="F236" t="s">
        <v>1936</v>
      </c>
      <c r="G236">
        <v>2025</v>
      </c>
      <c r="H236" t="s">
        <v>634</v>
      </c>
      <c r="I236" t="s">
        <v>2018</v>
      </c>
      <c r="J236" t="s">
        <v>1688</v>
      </c>
      <c r="K236" t="s">
        <v>1686</v>
      </c>
      <c r="L236">
        <v>0</v>
      </c>
      <c r="M236">
        <v>40747479</v>
      </c>
      <c r="N236">
        <v>0</v>
      </c>
      <c r="O236">
        <v>0</v>
      </c>
    </row>
    <row r="237" spans="1:15" x14ac:dyDescent="0.25">
      <c r="A237">
        <v>279</v>
      </c>
      <c r="B237" t="s">
        <v>2016</v>
      </c>
      <c r="C237" t="s">
        <v>2029</v>
      </c>
      <c r="D237">
        <v>61</v>
      </c>
      <c r="E237">
        <v>71344176</v>
      </c>
      <c r="F237" t="s">
        <v>1936</v>
      </c>
      <c r="G237">
        <v>2025</v>
      </c>
      <c r="H237" t="s">
        <v>634</v>
      </c>
      <c r="I237" t="s">
        <v>2018</v>
      </c>
      <c r="J237" t="s">
        <v>1688</v>
      </c>
      <c r="K237" t="s">
        <v>1686</v>
      </c>
      <c r="L237">
        <v>0</v>
      </c>
      <c r="M237">
        <v>71344176</v>
      </c>
      <c r="N237">
        <v>0</v>
      </c>
      <c r="O237">
        <v>0</v>
      </c>
    </row>
    <row r="238" spans="1:15" x14ac:dyDescent="0.25">
      <c r="A238">
        <v>280</v>
      </c>
      <c r="B238" t="s">
        <v>2016</v>
      </c>
      <c r="C238" t="s">
        <v>2030</v>
      </c>
      <c r="D238">
        <v>61</v>
      </c>
      <c r="E238">
        <v>40747479</v>
      </c>
      <c r="F238" t="s">
        <v>1936</v>
      </c>
      <c r="G238">
        <v>2025</v>
      </c>
      <c r="H238" t="s">
        <v>634</v>
      </c>
      <c r="I238" t="s">
        <v>2018</v>
      </c>
      <c r="J238" t="s">
        <v>1688</v>
      </c>
      <c r="K238" t="s">
        <v>1686</v>
      </c>
      <c r="L238">
        <v>0</v>
      </c>
      <c r="M238">
        <v>40747479</v>
      </c>
      <c r="N238">
        <v>0</v>
      </c>
      <c r="O238">
        <v>0</v>
      </c>
    </row>
    <row r="239" spans="1:15" x14ac:dyDescent="0.25">
      <c r="A239">
        <v>281</v>
      </c>
      <c r="B239" t="s">
        <v>2016</v>
      </c>
      <c r="C239" t="s">
        <v>2031</v>
      </c>
      <c r="D239">
        <v>61</v>
      </c>
      <c r="E239">
        <v>50609170</v>
      </c>
      <c r="F239" t="s">
        <v>1936</v>
      </c>
      <c r="G239">
        <v>2025</v>
      </c>
      <c r="H239" t="s">
        <v>634</v>
      </c>
      <c r="I239" t="s">
        <v>2018</v>
      </c>
      <c r="J239" t="s">
        <v>1688</v>
      </c>
      <c r="K239" t="s">
        <v>1686</v>
      </c>
      <c r="L239">
        <v>0</v>
      </c>
      <c r="M239">
        <v>50609170</v>
      </c>
      <c r="N239">
        <v>0</v>
      </c>
      <c r="O239">
        <v>0</v>
      </c>
    </row>
    <row r="240" spans="1:15" x14ac:dyDescent="0.25">
      <c r="A240">
        <v>298</v>
      </c>
      <c r="B240" t="s">
        <v>2032</v>
      </c>
      <c r="C240" t="s">
        <v>2033</v>
      </c>
      <c r="D240">
        <v>61</v>
      </c>
      <c r="E240">
        <v>75218000</v>
      </c>
      <c r="F240" t="s">
        <v>1936</v>
      </c>
      <c r="G240">
        <v>2025</v>
      </c>
      <c r="H240" t="s">
        <v>634</v>
      </c>
      <c r="I240" t="s">
        <v>2018</v>
      </c>
      <c r="J240" t="s">
        <v>1688</v>
      </c>
      <c r="K240" t="s">
        <v>1686</v>
      </c>
      <c r="L240">
        <v>0</v>
      </c>
      <c r="M240">
        <v>75218000</v>
      </c>
      <c r="N240">
        <v>0</v>
      </c>
      <c r="O240">
        <v>0</v>
      </c>
    </row>
    <row r="241" spans="1:15" x14ac:dyDescent="0.25">
      <c r="A241">
        <v>321</v>
      </c>
      <c r="B241" t="s">
        <v>2034</v>
      </c>
      <c r="C241" t="s">
        <v>2035</v>
      </c>
      <c r="D241">
        <v>61</v>
      </c>
      <c r="E241">
        <v>95732000</v>
      </c>
      <c r="F241" t="s">
        <v>1936</v>
      </c>
      <c r="G241">
        <v>2025</v>
      </c>
      <c r="H241" t="s">
        <v>634</v>
      </c>
      <c r="I241" t="s">
        <v>2018</v>
      </c>
      <c r="J241" t="s">
        <v>1688</v>
      </c>
      <c r="K241" t="s">
        <v>1686</v>
      </c>
      <c r="L241">
        <v>0</v>
      </c>
      <c r="M241">
        <v>95732000</v>
      </c>
      <c r="N241">
        <v>0</v>
      </c>
      <c r="O241">
        <v>0</v>
      </c>
    </row>
    <row r="242" spans="1:15" x14ac:dyDescent="0.25">
      <c r="A242">
        <v>360</v>
      </c>
      <c r="B242" t="s">
        <v>2036</v>
      </c>
      <c r="C242" t="s">
        <v>2037</v>
      </c>
      <c r="D242">
        <v>61</v>
      </c>
      <c r="E242">
        <v>38529929</v>
      </c>
      <c r="F242" t="s">
        <v>1936</v>
      </c>
      <c r="G242">
        <v>2025</v>
      </c>
      <c r="H242" t="s">
        <v>634</v>
      </c>
      <c r="I242" t="s">
        <v>2018</v>
      </c>
      <c r="J242" t="s">
        <v>1688</v>
      </c>
      <c r="K242" t="s">
        <v>1686</v>
      </c>
      <c r="L242">
        <v>0</v>
      </c>
      <c r="M242">
        <v>38529929</v>
      </c>
      <c r="N242">
        <v>0</v>
      </c>
      <c r="O242">
        <v>0</v>
      </c>
    </row>
    <row r="243" spans="1:15" x14ac:dyDescent="0.25">
      <c r="A243">
        <v>361</v>
      </c>
      <c r="B243" t="s">
        <v>2038</v>
      </c>
      <c r="C243" t="s">
        <v>2039</v>
      </c>
      <c r="D243">
        <v>61</v>
      </c>
      <c r="E243">
        <v>47854929</v>
      </c>
      <c r="F243" t="s">
        <v>1936</v>
      </c>
      <c r="G243">
        <v>2025</v>
      </c>
      <c r="H243" t="s">
        <v>634</v>
      </c>
      <c r="I243" t="s">
        <v>2018</v>
      </c>
      <c r="J243" t="s">
        <v>1688</v>
      </c>
      <c r="K243" t="s">
        <v>1686</v>
      </c>
      <c r="L243">
        <v>0</v>
      </c>
      <c r="M243">
        <v>47854929</v>
      </c>
      <c r="N243">
        <v>0</v>
      </c>
      <c r="O243">
        <v>0</v>
      </c>
    </row>
    <row r="244" spans="1:15" x14ac:dyDescent="0.25">
      <c r="A244">
        <v>362</v>
      </c>
      <c r="B244" t="s">
        <v>2040</v>
      </c>
      <c r="C244" t="s">
        <v>2041</v>
      </c>
      <c r="D244">
        <v>61</v>
      </c>
      <c r="E244">
        <v>47854929</v>
      </c>
      <c r="F244" t="s">
        <v>1936</v>
      </c>
      <c r="G244">
        <v>2025</v>
      </c>
      <c r="H244" t="s">
        <v>634</v>
      </c>
      <c r="I244" t="s">
        <v>2018</v>
      </c>
      <c r="J244" t="s">
        <v>1688</v>
      </c>
      <c r="K244" t="s">
        <v>1686</v>
      </c>
      <c r="L244">
        <v>0</v>
      </c>
      <c r="M244">
        <v>47854929</v>
      </c>
      <c r="N244">
        <v>0</v>
      </c>
      <c r="O244">
        <v>0</v>
      </c>
    </row>
    <row r="245" spans="1:15" x14ac:dyDescent="0.25">
      <c r="A245">
        <v>363</v>
      </c>
      <c r="B245" t="s">
        <v>2042</v>
      </c>
      <c r="C245" t="s">
        <v>2043</v>
      </c>
      <c r="D245">
        <v>61</v>
      </c>
      <c r="E245">
        <v>25100935</v>
      </c>
      <c r="F245" t="s">
        <v>1936</v>
      </c>
      <c r="G245">
        <v>2025</v>
      </c>
      <c r="H245" t="s">
        <v>634</v>
      </c>
      <c r="I245" t="s">
        <v>2018</v>
      </c>
      <c r="J245" t="s">
        <v>1688</v>
      </c>
      <c r="K245" t="s">
        <v>1686</v>
      </c>
      <c r="L245">
        <v>0</v>
      </c>
      <c r="M245">
        <v>25100935</v>
      </c>
      <c r="N245">
        <v>0</v>
      </c>
      <c r="O245">
        <v>0</v>
      </c>
    </row>
    <row r="246" spans="1:15" x14ac:dyDescent="0.25">
      <c r="A246">
        <v>364</v>
      </c>
      <c r="B246" t="s">
        <v>2044</v>
      </c>
      <c r="C246" t="s">
        <v>2045</v>
      </c>
      <c r="D246">
        <v>61</v>
      </c>
      <c r="E246">
        <v>57820006</v>
      </c>
      <c r="F246" t="s">
        <v>1936</v>
      </c>
      <c r="G246">
        <v>2025</v>
      </c>
      <c r="H246" t="s">
        <v>634</v>
      </c>
      <c r="I246" t="s">
        <v>2018</v>
      </c>
      <c r="J246" t="s">
        <v>1688</v>
      </c>
      <c r="K246" t="s">
        <v>1686</v>
      </c>
      <c r="L246">
        <v>0</v>
      </c>
      <c r="M246">
        <v>57820006</v>
      </c>
      <c r="N246">
        <v>0</v>
      </c>
      <c r="O246">
        <v>0</v>
      </c>
    </row>
    <row r="247" spans="1:15" x14ac:dyDescent="0.25">
      <c r="A247">
        <v>365</v>
      </c>
      <c r="B247" t="s">
        <v>2046</v>
      </c>
      <c r="C247" t="s">
        <v>2047</v>
      </c>
      <c r="D247">
        <v>61</v>
      </c>
      <c r="E247">
        <v>38529929</v>
      </c>
      <c r="F247" t="s">
        <v>1936</v>
      </c>
      <c r="G247">
        <v>2025</v>
      </c>
      <c r="H247" t="s">
        <v>634</v>
      </c>
      <c r="I247" t="s">
        <v>2018</v>
      </c>
      <c r="J247" t="s">
        <v>1688</v>
      </c>
      <c r="K247" t="s">
        <v>1686</v>
      </c>
      <c r="L247">
        <v>0</v>
      </c>
      <c r="M247">
        <v>38529929</v>
      </c>
      <c r="N247">
        <v>0</v>
      </c>
      <c r="O247">
        <v>0</v>
      </c>
    </row>
    <row r="248" spans="1:15" x14ac:dyDescent="0.25">
      <c r="A248">
        <v>366</v>
      </c>
      <c r="B248" t="s">
        <v>2048</v>
      </c>
      <c r="C248" t="s">
        <v>2049</v>
      </c>
      <c r="D248">
        <v>61</v>
      </c>
      <c r="E248">
        <v>47854929</v>
      </c>
      <c r="F248" t="s">
        <v>1936</v>
      </c>
      <c r="G248">
        <v>2025</v>
      </c>
      <c r="H248" t="s">
        <v>634</v>
      </c>
      <c r="I248" t="s">
        <v>2018</v>
      </c>
      <c r="J248" t="s">
        <v>1688</v>
      </c>
      <c r="K248" t="s">
        <v>1686</v>
      </c>
      <c r="L248">
        <v>0</v>
      </c>
      <c r="M248">
        <v>47854929</v>
      </c>
      <c r="N248">
        <v>0</v>
      </c>
      <c r="O248">
        <v>0</v>
      </c>
    </row>
    <row r="249" spans="1:15" x14ac:dyDescent="0.25">
      <c r="A249">
        <v>367</v>
      </c>
      <c r="B249" t="s">
        <v>2050</v>
      </c>
      <c r="C249" t="s">
        <v>2051</v>
      </c>
      <c r="D249">
        <v>61</v>
      </c>
      <c r="E249">
        <v>25100935</v>
      </c>
      <c r="F249" t="s">
        <v>1936</v>
      </c>
      <c r="G249">
        <v>2025</v>
      </c>
      <c r="H249" t="s">
        <v>634</v>
      </c>
      <c r="I249" t="s">
        <v>2018</v>
      </c>
      <c r="J249" t="s">
        <v>1688</v>
      </c>
      <c r="K249" t="s">
        <v>1686</v>
      </c>
      <c r="L249">
        <v>0</v>
      </c>
      <c r="M249">
        <v>25100935</v>
      </c>
      <c r="N249">
        <v>0</v>
      </c>
      <c r="O249">
        <v>0</v>
      </c>
    </row>
    <row r="250" spans="1:15" x14ac:dyDescent="0.25">
      <c r="A250">
        <v>368</v>
      </c>
      <c r="B250" t="s">
        <v>2052</v>
      </c>
      <c r="C250" t="s">
        <v>2053</v>
      </c>
      <c r="D250">
        <v>61</v>
      </c>
      <c r="E250">
        <v>38529929</v>
      </c>
      <c r="F250" t="s">
        <v>1936</v>
      </c>
      <c r="G250">
        <v>2025</v>
      </c>
      <c r="H250" t="s">
        <v>634</v>
      </c>
      <c r="I250" t="s">
        <v>2018</v>
      </c>
      <c r="J250" t="s">
        <v>1688</v>
      </c>
      <c r="K250" t="s">
        <v>1686</v>
      </c>
      <c r="L250">
        <v>0</v>
      </c>
      <c r="M250">
        <v>0</v>
      </c>
      <c r="N250">
        <v>0</v>
      </c>
      <c r="O250">
        <v>38529929</v>
      </c>
    </row>
    <row r="251" spans="1:15" x14ac:dyDescent="0.25">
      <c r="A251">
        <v>369</v>
      </c>
      <c r="B251" t="s">
        <v>2054</v>
      </c>
      <c r="C251" t="s">
        <v>2055</v>
      </c>
      <c r="D251">
        <v>61</v>
      </c>
      <c r="E251">
        <v>38529929</v>
      </c>
      <c r="F251" t="s">
        <v>1936</v>
      </c>
      <c r="G251">
        <v>2025</v>
      </c>
      <c r="H251" t="s">
        <v>634</v>
      </c>
      <c r="I251" t="s">
        <v>2018</v>
      </c>
      <c r="J251" t="s">
        <v>1688</v>
      </c>
      <c r="K251" t="s">
        <v>1686</v>
      </c>
      <c r="L251">
        <v>0</v>
      </c>
      <c r="M251">
        <v>38529929</v>
      </c>
      <c r="N251">
        <v>0</v>
      </c>
      <c r="O251">
        <v>0</v>
      </c>
    </row>
    <row r="252" spans="1:15" x14ac:dyDescent="0.25">
      <c r="A252">
        <v>370</v>
      </c>
      <c r="B252" t="s">
        <v>2056</v>
      </c>
      <c r="C252" t="s">
        <v>2057</v>
      </c>
      <c r="D252">
        <v>61</v>
      </c>
      <c r="E252">
        <v>47854929</v>
      </c>
      <c r="F252" t="s">
        <v>1936</v>
      </c>
      <c r="G252">
        <v>2025</v>
      </c>
      <c r="H252" t="s">
        <v>634</v>
      </c>
      <c r="I252" t="s">
        <v>2018</v>
      </c>
      <c r="J252" t="s">
        <v>1688</v>
      </c>
      <c r="K252" t="s">
        <v>1686</v>
      </c>
      <c r="L252">
        <v>0</v>
      </c>
      <c r="M252">
        <v>47854929</v>
      </c>
      <c r="N252">
        <v>0</v>
      </c>
      <c r="O252">
        <v>0</v>
      </c>
    </row>
    <row r="253" spans="1:15" x14ac:dyDescent="0.25">
      <c r="A253">
        <v>371</v>
      </c>
      <c r="B253" t="s">
        <v>2058</v>
      </c>
      <c r="C253" t="s">
        <v>2059</v>
      </c>
      <c r="D253">
        <v>61</v>
      </c>
      <c r="E253">
        <v>25100935</v>
      </c>
      <c r="F253" t="s">
        <v>1936</v>
      </c>
      <c r="G253">
        <v>2025</v>
      </c>
      <c r="H253" t="s">
        <v>634</v>
      </c>
      <c r="I253" t="s">
        <v>2018</v>
      </c>
      <c r="J253" t="s">
        <v>1688</v>
      </c>
      <c r="K253" t="s">
        <v>1686</v>
      </c>
      <c r="L253">
        <v>0</v>
      </c>
      <c r="M253">
        <v>25100935</v>
      </c>
      <c r="N253">
        <v>0</v>
      </c>
      <c r="O253">
        <v>0</v>
      </c>
    </row>
    <row r="254" spans="1:15" x14ac:dyDescent="0.25">
      <c r="A254">
        <v>372</v>
      </c>
      <c r="B254" t="s">
        <v>2060</v>
      </c>
      <c r="C254" t="s">
        <v>2061</v>
      </c>
      <c r="D254">
        <v>61</v>
      </c>
      <c r="E254">
        <v>57820006</v>
      </c>
      <c r="F254" t="s">
        <v>1936</v>
      </c>
      <c r="G254">
        <v>2025</v>
      </c>
      <c r="H254" t="s">
        <v>634</v>
      </c>
      <c r="I254" t="s">
        <v>2018</v>
      </c>
      <c r="J254" t="s">
        <v>1688</v>
      </c>
      <c r="K254" t="s">
        <v>1686</v>
      </c>
      <c r="L254">
        <v>0</v>
      </c>
      <c r="M254">
        <v>57820006</v>
      </c>
      <c r="N254">
        <v>0</v>
      </c>
      <c r="O254">
        <v>0</v>
      </c>
    </row>
    <row r="255" spans="1:15" x14ac:dyDescent="0.25">
      <c r="A255">
        <v>424</v>
      </c>
      <c r="B255" t="s">
        <v>2062</v>
      </c>
      <c r="C255" t="s">
        <v>2063</v>
      </c>
      <c r="D255">
        <v>61</v>
      </c>
      <c r="E255">
        <v>11618077</v>
      </c>
      <c r="F255" t="s">
        <v>1936</v>
      </c>
      <c r="G255">
        <v>2025</v>
      </c>
      <c r="H255" t="s">
        <v>634</v>
      </c>
      <c r="I255" t="s">
        <v>2018</v>
      </c>
      <c r="J255" t="s">
        <v>1688</v>
      </c>
      <c r="K255" t="s">
        <v>1686</v>
      </c>
      <c r="L255">
        <v>0</v>
      </c>
      <c r="M255">
        <v>11618077</v>
      </c>
      <c r="N255">
        <v>0</v>
      </c>
      <c r="O255">
        <v>0</v>
      </c>
    </row>
    <row r="256" spans="1:15" x14ac:dyDescent="0.25">
      <c r="A256">
        <v>88</v>
      </c>
      <c r="B256" t="s">
        <v>2064</v>
      </c>
      <c r="C256" t="s">
        <v>2065</v>
      </c>
      <c r="D256">
        <v>62</v>
      </c>
      <c r="E256">
        <v>61147776</v>
      </c>
      <c r="F256" t="s">
        <v>1936</v>
      </c>
      <c r="G256">
        <v>2025</v>
      </c>
      <c r="H256" t="s">
        <v>452</v>
      </c>
      <c r="I256" t="s">
        <v>2018</v>
      </c>
      <c r="J256" t="s">
        <v>1688</v>
      </c>
      <c r="K256" t="s">
        <v>1686</v>
      </c>
      <c r="L256">
        <v>0</v>
      </c>
      <c r="M256">
        <v>61147776</v>
      </c>
      <c r="N256">
        <v>0</v>
      </c>
      <c r="O256">
        <v>0</v>
      </c>
    </row>
    <row r="257" spans="1:15" x14ac:dyDescent="0.25">
      <c r="A257">
        <v>89</v>
      </c>
      <c r="B257" t="s">
        <v>2064</v>
      </c>
      <c r="C257" t="s">
        <v>2066</v>
      </c>
      <c r="D257">
        <v>62</v>
      </c>
      <c r="E257">
        <v>50609170</v>
      </c>
      <c r="F257" t="s">
        <v>1936</v>
      </c>
      <c r="G257">
        <v>2025</v>
      </c>
      <c r="H257" t="s">
        <v>452</v>
      </c>
      <c r="I257" t="s">
        <v>2018</v>
      </c>
      <c r="J257" t="s">
        <v>1688</v>
      </c>
      <c r="K257" t="s">
        <v>1686</v>
      </c>
      <c r="L257">
        <v>0</v>
      </c>
      <c r="M257">
        <v>50609170</v>
      </c>
      <c r="N257">
        <v>0</v>
      </c>
      <c r="O257">
        <v>0</v>
      </c>
    </row>
    <row r="258" spans="1:15" x14ac:dyDescent="0.25">
      <c r="A258">
        <v>90</v>
      </c>
      <c r="B258" t="s">
        <v>2064</v>
      </c>
      <c r="C258" t="s">
        <v>2067</v>
      </c>
      <c r="D258">
        <v>62</v>
      </c>
      <c r="E258">
        <v>40747479</v>
      </c>
      <c r="F258" t="s">
        <v>1936</v>
      </c>
      <c r="G258">
        <v>2025</v>
      </c>
      <c r="H258" t="s">
        <v>452</v>
      </c>
      <c r="I258" t="s">
        <v>2018</v>
      </c>
      <c r="J258" t="s">
        <v>1688</v>
      </c>
      <c r="K258" t="s">
        <v>1686</v>
      </c>
      <c r="L258">
        <v>0</v>
      </c>
      <c r="M258">
        <v>40747479</v>
      </c>
      <c r="N258">
        <v>0</v>
      </c>
      <c r="O258">
        <v>0</v>
      </c>
    </row>
    <row r="259" spans="1:15" x14ac:dyDescent="0.25">
      <c r="A259">
        <v>91</v>
      </c>
      <c r="B259" t="s">
        <v>2064</v>
      </c>
      <c r="C259" t="s">
        <v>2068</v>
      </c>
      <c r="D259">
        <v>62</v>
      </c>
      <c r="E259">
        <v>40747479</v>
      </c>
      <c r="F259" t="s">
        <v>1936</v>
      </c>
      <c r="G259">
        <v>2025</v>
      </c>
      <c r="H259" t="s">
        <v>452</v>
      </c>
      <c r="I259" t="s">
        <v>2018</v>
      </c>
      <c r="J259" t="s">
        <v>1688</v>
      </c>
      <c r="K259" t="s">
        <v>1686</v>
      </c>
      <c r="L259">
        <v>0</v>
      </c>
      <c r="M259">
        <v>40747479</v>
      </c>
      <c r="N259">
        <v>0</v>
      </c>
      <c r="O259">
        <v>0</v>
      </c>
    </row>
    <row r="260" spans="1:15" x14ac:dyDescent="0.25">
      <c r="A260">
        <v>92</v>
      </c>
      <c r="B260" t="s">
        <v>2064</v>
      </c>
      <c r="C260" t="s">
        <v>2069</v>
      </c>
      <c r="D260">
        <v>62</v>
      </c>
      <c r="E260">
        <v>40747479</v>
      </c>
      <c r="F260" t="s">
        <v>1936</v>
      </c>
      <c r="G260">
        <v>2025</v>
      </c>
      <c r="H260" t="s">
        <v>452</v>
      </c>
      <c r="I260" t="s">
        <v>2018</v>
      </c>
      <c r="J260" t="s">
        <v>1688</v>
      </c>
      <c r="K260" t="s">
        <v>1686</v>
      </c>
      <c r="L260">
        <v>0</v>
      </c>
      <c r="M260">
        <v>38529929</v>
      </c>
      <c r="N260">
        <v>0</v>
      </c>
      <c r="O260">
        <v>2217550</v>
      </c>
    </row>
    <row r="261" spans="1:15" x14ac:dyDescent="0.25">
      <c r="A261">
        <v>93</v>
      </c>
      <c r="B261" t="s">
        <v>2064</v>
      </c>
      <c r="C261" t="s">
        <v>2070</v>
      </c>
      <c r="D261">
        <v>62</v>
      </c>
      <c r="E261">
        <v>50609170</v>
      </c>
      <c r="F261" t="s">
        <v>1936</v>
      </c>
      <c r="G261">
        <v>2025</v>
      </c>
      <c r="H261" t="s">
        <v>452</v>
      </c>
      <c r="I261" t="s">
        <v>2018</v>
      </c>
      <c r="J261" t="s">
        <v>1688</v>
      </c>
      <c r="K261" t="s">
        <v>1686</v>
      </c>
      <c r="L261">
        <v>0</v>
      </c>
      <c r="M261">
        <v>50609170</v>
      </c>
      <c r="N261">
        <v>0</v>
      </c>
      <c r="O261">
        <v>0</v>
      </c>
    </row>
    <row r="262" spans="1:15" x14ac:dyDescent="0.25">
      <c r="A262">
        <v>94</v>
      </c>
      <c r="B262" t="s">
        <v>2064</v>
      </c>
      <c r="C262" t="s">
        <v>2071</v>
      </c>
      <c r="D262">
        <v>62</v>
      </c>
      <c r="E262">
        <v>40747479</v>
      </c>
      <c r="F262" t="s">
        <v>1936</v>
      </c>
      <c r="G262">
        <v>2025</v>
      </c>
      <c r="H262" t="s">
        <v>452</v>
      </c>
      <c r="I262" t="s">
        <v>2018</v>
      </c>
      <c r="J262" t="s">
        <v>1688</v>
      </c>
      <c r="K262" t="s">
        <v>1686</v>
      </c>
      <c r="L262">
        <v>0</v>
      </c>
      <c r="M262">
        <v>40557199</v>
      </c>
      <c r="N262">
        <v>0</v>
      </c>
      <c r="O262">
        <v>190280</v>
      </c>
    </row>
    <row r="263" spans="1:15" x14ac:dyDescent="0.25">
      <c r="A263">
        <v>95</v>
      </c>
      <c r="B263" t="s">
        <v>2064</v>
      </c>
      <c r="C263" t="s">
        <v>2072</v>
      </c>
      <c r="D263">
        <v>62</v>
      </c>
      <c r="E263">
        <v>50609170</v>
      </c>
      <c r="F263" t="s">
        <v>1936</v>
      </c>
      <c r="G263">
        <v>2025</v>
      </c>
      <c r="H263" t="s">
        <v>452</v>
      </c>
      <c r="I263" t="s">
        <v>2018</v>
      </c>
      <c r="J263" t="s">
        <v>1688</v>
      </c>
      <c r="K263" t="s">
        <v>1686</v>
      </c>
      <c r="L263">
        <v>0</v>
      </c>
      <c r="M263">
        <v>50540509</v>
      </c>
      <c r="N263">
        <v>0</v>
      </c>
      <c r="O263">
        <v>68661</v>
      </c>
    </row>
    <row r="264" spans="1:15" x14ac:dyDescent="0.25">
      <c r="A264">
        <v>96</v>
      </c>
      <c r="B264" t="s">
        <v>2064</v>
      </c>
      <c r="C264" t="s">
        <v>2073</v>
      </c>
      <c r="D264">
        <v>62</v>
      </c>
      <c r="E264">
        <v>71344176</v>
      </c>
      <c r="F264" t="s">
        <v>1936</v>
      </c>
      <c r="G264">
        <v>2025</v>
      </c>
      <c r="H264" t="s">
        <v>452</v>
      </c>
      <c r="I264" t="s">
        <v>2018</v>
      </c>
      <c r="J264" t="s">
        <v>1688</v>
      </c>
      <c r="K264" t="s">
        <v>1686</v>
      </c>
      <c r="L264">
        <v>0</v>
      </c>
      <c r="M264">
        <v>71344176</v>
      </c>
      <c r="N264">
        <v>0</v>
      </c>
      <c r="O264">
        <v>0</v>
      </c>
    </row>
    <row r="265" spans="1:15" x14ac:dyDescent="0.25">
      <c r="A265">
        <v>97</v>
      </c>
      <c r="B265" t="s">
        <v>2064</v>
      </c>
      <c r="C265" t="s">
        <v>2074</v>
      </c>
      <c r="D265">
        <v>62</v>
      </c>
      <c r="E265">
        <v>61147776</v>
      </c>
      <c r="F265" t="s">
        <v>1936</v>
      </c>
      <c r="G265">
        <v>2025</v>
      </c>
      <c r="H265" t="s">
        <v>452</v>
      </c>
      <c r="I265" t="s">
        <v>2018</v>
      </c>
      <c r="J265" t="s">
        <v>1688</v>
      </c>
      <c r="K265" t="s">
        <v>1686</v>
      </c>
      <c r="L265">
        <v>0</v>
      </c>
      <c r="M265">
        <v>61147776</v>
      </c>
      <c r="N265">
        <v>0</v>
      </c>
      <c r="O265">
        <v>0</v>
      </c>
    </row>
    <row r="266" spans="1:15" x14ac:dyDescent="0.25">
      <c r="A266">
        <v>98</v>
      </c>
      <c r="B266" t="s">
        <v>2064</v>
      </c>
      <c r="C266" t="s">
        <v>2075</v>
      </c>
      <c r="D266">
        <v>62</v>
      </c>
      <c r="E266">
        <v>61147776</v>
      </c>
      <c r="F266" t="s">
        <v>1936</v>
      </c>
      <c r="G266">
        <v>2025</v>
      </c>
      <c r="H266" t="s">
        <v>452</v>
      </c>
      <c r="I266" t="s">
        <v>2018</v>
      </c>
      <c r="J266" t="s">
        <v>1688</v>
      </c>
      <c r="K266" t="s">
        <v>1686</v>
      </c>
      <c r="L266">
        <v>0</v>
      </c>
      <c r="M266">
        <v>61147776</v>
      </c>
      <c r="N266">
        <v>0</v>
      </c>
      <c r="O266">
        <v>0</v>
      </c>
    </row>
    <row r="267" spans="1:15" x14ac:dyDescent="0.25">
      <c r="A267">
        <v>99</v>
      </c>
      <c r="B267" t="s">
        <v>2064</v>
      </c>
      <c r="C267" t="s">
        <v>2076</v>
      </c>
      <c r="D267">
        <v>62</v>
      </c>
      <c r="E267">
        <v>40747479</v>
      </c>
      <c r="F267" t="s">
        <v>1936</v>
      </c>
      <c r="G267">
        <v>2025</v>
      </c>
      <c r="H267" t="s">
        <v>452</v>
      </c>
      <c r="I267" t="s">
        <v>2018</v>
      </c>
      <c r="J267" t="s">
        <v>1688</v>
      </c>
      <c r="K267" t="s">
        <v>1686</v>
      </c>
      <c r="L267">
        <v>0</v>
      </c>
      <c r="M267">
        <v>40747479</v>
      </c>
      <c r="N267">
        <v>0</v>
      </c>
      <c r="O267">
        <v>0</v>
      </c>
    </row>
    <row r="268" spans="1:15" x14ac:dyDescent="0.25">
      <c r="A268">
        <v>100</v>
      </c>
      <c r="B268" t="s">
        <v>2064</v>
      </c>
      <c r="C268" t="s">
        <v>2077</v>
      </c>
      <c r="D268">
        <v>62</v>
      </c>
      <c r="E268">
        <v>40747479</v>
      </c>
      <c r="F268" t="s">
        <v>1936</v>
      </c>
      <c r="G268">
        <v>2025</v>
      </c>
      <c r="H268" t="s">
        <v>452</v>
      </c>
      <c r="I268" t="s">
        <v>2018</v>
      </c>
      <c r="J268" t="s">
        <v>1688</v>
      </c>
      <c r="K268" t="s">
        <v>1686</v>
      </c>
      <c r="L268">
        <v>0</v>
      </c>
      <c r="M268">
        <v>40747479</v>
      </c>
      <c r="N268">
        <v>0</v>
      </c>
      <c r="O268">
        <v>0</v>
      </c>
    </row>
    <row r="269" spans="1:15" x14ac:dyDescent="0.25">
      <c r="A269">
        <v>101</v>
      </c>
      <c r="B269" t="s">
        <v>2064</v>
      </c>
      <c r="C269" t="s">
        <v>2078</v>
      </c>
      <c r="D269">
        <v>62</v>
      </c>
      <c r="E269">
        <v>61147776</v>
      </c>
      <c r="F269" t="s">
        <v>1936</v>
      </c>
      <c r="G269">
        <v>2025</v>
      </c>
      <c r="H269" t="s">
        <v>452</v>
      </c>
      <c r="I269" t="s">
        <v>2018</v>
      </c>
      <c r="J269" t="s">
        <v>1688</v>
      </c>
      <c r="K269" t="s">
        <v>1686</v>
      </c>
      <c r="L269">
        <v>0</v>
      </c>
      <c r="M269">
        <v>61147776</v>
      </c>
      <c r="N269">
        <v>0</v>
      </c>
      <c r="O269">
        <v>0</v>
      </c>
    </row>
    <row r="270" spans="1:15" x14ac:dyDescent="0.25">
      <c r="A270">
        <v>102</v>
      </c>
      <c r="B270" t="s">
        <v>2064</v>
      </c>
      <c r="C270" t="s">
        <v>2079</v>
      </c>
      <c r="D270">
        <v>62</v>
      </c>
      <c r="E270">
        <v>50609170</v>
      </c>
      <c r="F270" t="s">
        <v>1936</v>
      </c>
      <c r="G270">
        <v>2025</v>
      </c>
      <c r="H270" t="s">
        <v>452</v>
      </c>
      <c r="I270" t="s">
        <v>2018</v>
      </c>
      <c r="J270" t="s">
        <v>1688</v>
      </c>
      <c r="K270" t="s">
        <v>1686</v>
      </c>
      <c r="L270">
        <v>0</v>
      </c>
      <c r="M270">
        <v>50609170</v>
      </c>
      <c r="N270">
        <v>0</v>
      </c>
      <c r="O270">
        <v>0</v>
      </c>
    </row>
    <row r="271" spans="1:15" x14ac:dyDescent="0.25">
      <c r="A271">
        <v>103</v>
      </c>
      <c r="B271" t="s">
        <v>2064</v>
      </c>
      <c r="C271" t="s">
        <v>2080</v>
      </c>
      <c r="D271">
        <v>62</v>
      </c>
      <c r="E271">
        <v>50609170</v>
      </c>
      <c r="F271" t="s">
        <v>1936</v>
      </c>
      <c r="G271">
        <v>2025</v>
      </c>
      <c r="H271" t="s">
        <v>452</v>
      </c>
      <c r="I271" t="s">
        <v>2018</v>
      </c>
      <c r="J271" t="s">
        <v>1688</v>
      </c>
      <c r="K271" t="s">
        <v>1686</v>
      </c>
      <c r="L271">
        <v>0</v>
      </c>
      <c r="M271">
        <v>47854929</v>
      </c>
      <c r="N271">
        <v>0</v>
      </c>
      <c r="O271">
        <v>2754241</v>
      </c>
    </row>
    <row r="272" spans="1:15" x14ac:dyDescent="0.25">
      <c r="A272">
        <v>104</v>
      </c>
      <c r="B272" t="s">
        <v>2064</v>
      </c>
      <c r="C272" t="s">
        <v>2081</v>
      </c>
      <c r="D272">
        <v>62</v>
      </c>
      <c r="E272">
        <v>50609170</v>
      </c>
      <c r="F272" t="s">
        <v>1936</v>
      </c>
      <c r="G272">
        <v>2025</v>
      </c>
      <c r="H272" t="s">
        <v>452</v>
      </c>
      <c r="I272" t="s">
        <v>2018</v>
      </c>
      <c r="J272" t="s">
        <v>1688</v>
      </c>
      <c r="K272" t="s">
        <v>1686</v>
      </c>
      <c r="L272">
        <v>0</v>
      </c>
      <c r="M272">
        <v>50609170</v>
      </c>
      <c r="N272">
        <v>0</v>
      </c>
      <c r="O272">
        <v>0</v>
      </c>
    </row>
    <row r="273" spans="1:15" x14ac:dyDescent="0.25">
      <c r="A273">
        <v>105</v>
      </c>
      <c r="B273" t="s">
        <v>2082</v>
      </c>
      <c r="C273" t="s">
        <v>2083</v>
      </c>
      <c r="D273">
        <v>62</v>
      </c>
      <c r="E273">
        <v>50609170</v>
      </c>
      <c r="F273" t="s">
        <v>1936</v>
      </c>
      <c r="G273">
        <v>2025</v>
      </c>
      <c r="H273" t="s">
        <v>452</v>
      </c>
      <c r="I273" t="s">
        <v>2018</v>
      </c>
      <c r="J273" t="s">
        <v>1688</v>
      </c>
      <c r="K273" t="s">
        <v>1686</v>
      </c>
      <c r="L273">
        <v>0</v>
      </c>
      <c r="M273">
        <v>50609170</v>
      </c>
      <c r="N273">
        <v>0</v>
      </c>
      <c r="O273">
        <v>0</v>
      </c>
    </row>
    <row r="274" spans="1:15" x14ac:dyDescent="0.25">
      <c r="A274">
        <v>106</v>
      </c>
      <c r="B274" t="s">
        <v>2082</v>
      </c>
      <c r="C274" t="s">
        <v>2084</v>
      </c>
      <c r="D274">
        <v>62</v>
      </c>
      <c r="E274">
        <v>81536206</v>
      </c>
      <c r="F274" t="s">
        <v>1936</v>
      </c>
      <c r="G274">
        <v>2025</v>
      </c>
      <c r="H274" t="s">
        <v>452</v>
      </c>
      <c r="I274" t="s">
        <v>2018</v>
      </c>
      <c r="J274" t="s">
        <v>1688</v>
      </c>
      <c r="K274" t="s">
        <v>1686</v>
      </c>
      <c r="L274">
        <v>0</v>
      </c>
      <c r="M274">
        <v>81536206</v>
      </c>
      <c r="N274">
        <v>0</v>
      </c>
      <c r="O274">
        <v>0</v>
      </c>
    </row>
    <row r="275" spans="1:15" x14ac:dyDescent="0.25">
      <c r="A275">
        <v>107</v>
      </c>
      <c r="B275" t="s">
        <v>2082</v>
      </c>
      <c r="C275" t="s">
        <v>2085</v>
      </c>
      <c r="D275">
        <v>62</v>
      </c>
      <c r="E275">
        <v>50609170</v>
      </c>
      <c r="F275" t="s">
        <v>1936</v>
      </c>
      <c r="G275">
        <v>2025</v>
      </c>
      <c r="H275" t="s">
        <v>452</v>
      </c>
      <c r="I275" t="s">
        <v>2018</v>
      </c>
      <c r="J275" t="s">
        <v>1688</v>
      </c>
      <c r="K275" t="s">
        <v>1686</v>
      </c>
      <c r="L275">
        <v>0</v>
      </c>
      <c r="M275">
        <v>50609170</v>
      </c>
      <c r="N275">
        <v>0</v>
      </c>
      <c r="O275">
        <v>0</v>
      </c>
    </row>
    <row r="276" spans="1:15" x14ac:dyDescent="0.25">
      <c r="A276">
        <v>108</v>
      </c>
      <c r="B276" t="s">
        <v>2082</v>
      </c>
      <c r="C276" t="s">
        <v>2086</v>
      </c>
      <c r="D276">
        <v>62</v>
      </c>
      <c r="E276">
        <v>40747479</v>
      </c>
      <c r="F276" t="s">
        <v>1936</v>
      </c>
      <c r="G276">
        <v>2025</v>
      </c>
      <c r="H276" t="s">
        <v>452</v>
      </c>
      <c r="I276" t="s">
        <v>2018</v>
      </c>
      <c r="J276" t="s">
        <v>1688</v>
      </c>
      <c r="K276" t="s">
        <v>1686</v>
      </c>
      <c r="L276">
        <v>0</v>
      </c>
      <c r="M276">
        <v>40747479</v>
      </c>
      <c r="N276">
        <v>0</v>
      </c>
      <c r="O276">
        <v>0</v>
      </c>
    </row>
    <row r="277" spans="1:15" x14ac:dyDescent="0.25">
      <c r="A277">
        <v>109</v>
      </c>
      <c r="B277" t="s">
        <v>2082</v>
      </c>
      <c r="C277" t="s">
        <v>2087</v>
      </c>
      <c r="D277">
        <v>62</v>
      </c>
      <c r="E277">
        <v>61147776</v>
      </c>
      <c r="F277" t="s">
        <v>1936</v>
      </c>
      <c r="G277">
        <v>2025</v>
      </c>
      <c r="H277" t="s">
        <v>452</v>
      </c>
      <c r="I277" t="s">
        <v>2018</v>
      </c>
      <c r="J277" t="s">
        <v>1688</v>
      </c>
      <c r="K277" t="s">
        <v>1686</v>
      </c>
      <c r="L277">
        <v>0</v>
      </c>
      <c r="M277">
        <v>61147776</v>
      </c>
      <c r="N277">
        <v>0</v>
      </c>
      <c r="O277">
        <v>0</v>
      </c>
    </row>
    <row r="278" spans="1:15" x14ac:dyDescent="0.25">
      <c r="A278">
        <v>110</v>
      </c>
      <c r="B278" t="s">
        <v>2082</v>
      </c>
      <c r="C278" t="s">
        <v>2088</v>
      </c>
      <c r="D278">
        <v>62</v>
      </c>
      <c r="E278">
        <v>61147776</v>
      </c>
      <c r="F278" t="s">
        <v>1936</v>
      </c>
      <c r="G278">
        <v>2025</v>
      </c>
      <c r="H278" t="s">
        <v>452</v>
      </c>
      <c r="I278" t="s">
        <v>2018</v>
      </c>
      <c r="J278" t="s">
        <v>1688</v>
      </c>
      <c r="K278" t="s">
        <v>1686</v>
      </c>
      <c r="L278">
        <v>0</v>
      </c>
      <c r="M278">
        <v>61147776</v>
      </c>
      <c r="N278">
        <v>0</v>
      </c>
      <c r="O278">
        <v>0</v>
      </c>
    </row>
    <row r="279" spans="1:15" x14ac:dyDescent="0.25">
      <c r="A279">
        <v>111</v>
      </c>
      <c r="B279" t="s">
        <v>2082</v>
      </c>
      <c r="C279" t="s">
        <v>2089</v>
      </c>
      <c r="D279">
        <v>62</v>
      </c>
      <c r="E279">
        <v>71344176</v>
      </c>
      <c r="F279" t="s">
        <v>1936</v>
      </c>
      <c r="G279">
        <v>2025</v>
      </c>
      <c r="H279" t="s">
        <v>452</v>
      </c>
      <c r="I279" t="s">
        <v>2018</v>
      </c>
      <c r="J279" t="s">
        <v>1688</v>
      </c>
      <c r="K279" t="s">
        <v>1686</v>
      </c>
      <c r="L279">
        <v>0</v>
      </c>
      <c r="M279">
        <v>71344176</v>
      </c>
      <c r="N279">
        <v>0</v>
      </c>
      <c r="O279">
        <v>0</v>
      </c>
    </row>
    <row r="280" spans="1:15" x14ac:dyDescent="0.25">
      <c r="A280">
        <v>112</v>
      </c>
      <c r="B280" t="s">
        <v>2082</v>
      </c>
      <c r="C280" t="s">
        <v>2090</v>
      </c>
      <c r="D280">
        <v>62</v>
      </c>
      <c r="E280">
        <v>50609170</v>
      </c>
      <c r="F280" t="s">
        <v>1936</v>
      </c>
      <c r="G280">
        <v>2025</v>
      </c>
      <c r="H280" t="s">
        <v>452</v>
      </c>
      <c r="I280" t="s">
        <v>2018</v>
      </c>
      <c r="J280" t="s">
        <v>1688</v>
      </c>
      <c r="K280" t="s">
        <v>1686</v>
      </c>
      <c r="L280">
        <v>0</v>
      </c>
      <c r="M280">
        <v>50609170</v>
      </c>
      <c r="N280">
        <v>0</v>
      </c>
      <c r="O280">
        <v>0</v>
      </c>
    </row>
    <row r="281" spans="1:15" x14ac:dyDescent="0.25">
      <c r="A281">
        <v>113</v>
      </c>
      <c r="B281" t="s">
        <v>2082</v>
      </c>
      <c r="C281" t="s">
        <v>2091</v>
      </c>
      <c r="D281">
        <v>62</v>
      </c>
      <c r="E281">
        <v>50609170</v>
      </c>
      <c r="F281" t="s">
        <v>1936</v>
      </c>
      <c r="G281">
        <v>2025</v>
      </c>
      <c r="H281" t="s">
        <v>452</v>
      </c>
      <c r="I281" t="s">
        <v>2018</v>
      </c>
      <c r="J281" t="s">
        <v>1688</v>
      </c>
      <c r="K281" t="s">
        <v>1686</v>
      </c>
      <c r="L281">
        <v>0</v>
      </c>
      <c r="M281">
        <v>50609170</v>
      </c>
      <c r="N281">
        <v>0</v>
      </c>
      <c r="O281">
        <v>0</v>
      </c>
    </row>
    <row r="282" spans="1:15" x14ac:dyDescent="0.25">
      <c r="A282">
        <v>114</v>
      </c>
      <c r="B282" t="s">
        <v>2082</v>
      </c>
      <c r="C282" t="s">
        <v>2092</v>
      </c>
      <c r="D282">
        <v>62</v>
      </c>
      <c r="E282">
        <v>40747479</v>
      </c>
      <c r="F282" t="s">
        <v>1936</v>
      </c>
      <c r="G282">
        <v>2025</v>
      </c>
      <c r="H282" t="s">
        <v>452</v>
      </c>
      <c r="I282" t="s">
        <v>2018</v>
      </c>
      <c r="J282" t="s">
        <v>1688</v>
      </c>
      <c r="K282" t="s">
        <v>1686</v>
      </c>
      <c r="L282">
        <v>0</v>
      </c>
      <c r="M282">
        <v>40747479</v>
      </c>
      <c r="N282">
        <v>0</v>
      </c>
      <c r="O282">
        <v>0</v>
      </c>
    </row>
    <row r="283" spans="1:15" x14ac:dyDescent="0.25">
      <c r="A283">
        <v>115</v>
      </c>
      <c r="B283" t="s">
        <v>2082</v>
      </c>
      <c r="C283" t="s">
        <v>2093</v>
      </c>
      <c r="D283">
        <v>62</v>
      </c>
      <c r="E283">
        <v>32653744</v>
      </c>
      <c r="F283" t="s">
        <v>1936</v>
      </c>
      <c r="G283">
        <v>2025</v>
      </c>
      <c r="H283" t="s">
        <v>452</v>
      </c>
      <c r="I283" t="s">
        <v>2018</v>
      </c>
      <c r="J283" t="s">
        <v>1688</v>
      </c>
      <c r="K283" t="s">
        <v>1686</v>
      </c>
      <c r="L283">
        <v>0</v>
      </c>
      <c r="M283">
        <v>32653744</v>
      </c>
      <c r="N283">
        <v>0</v>
      </c>
      <c r="O283">
        <v>0</v>
      </c>
    </row>
    <row r="284" spans="1:15" x14ac:dyDescent="0.25">
      <c r="A284">
        <v>116</v>
      </c>
      <c r="B284" t="s">
        <v>2082</v>
      </c>
      <c r="C284" t="s">
        <v>2094</v>
      </c>
      <c r="D284">
        <v>62</v>
      </c>
      <c r="E284">
        <v>61147776</v>
      </c>
      <c r="F284" t="s">
        <v>1936</v>
      </c>
      <c r="G284">
        <v>2025</v>
      </c>
      <c r="H284" t="s">
        <v>452</v>
      </c>
      <c r="I284" t="s">
        <v>2018</v>
      </c>
      <c r="J284" t="s">
        <v>1688</v>
      </c>
      <c r="K284" t="s">
        <v>1686</v>
      </c>
      <c r="L284">
        <v>0</v>
      </c>
      <c r="M284">
        <v>61147776</v>
      </c>
      <c r="N284">
        <v>0</v>
      </c>
      <c r="O284">
        <v>0</v>
      </c>
    </row>
    <row r="285" spans="1:15" x14ac:dyDescent="0.25">
      <c r="A285">
        <v>117</v>
      </c>
      <c r="B285" t="s">
        <v>2082</v>
      </c>
      <c r="C285" t="s">
        <v>2095</v>
      </c>
      <c r="D285">
        <v>62</v>
      </c>
      <c r="E285">
        <v>40747479</v>
      </c>
      <c r="F285" t="s">
        <v>1936</v>
      </c>
      <c r="G285">
        <v>2025</v>
      </c>
      <c r="H285" t="s">
        <v>452</v>
      </c>
      <c r="I285" t="s">
        <v>2018</v>
      </c>
      <c r="J285" t="s">
        <v>1688</v>
      </c>
      <c r="K285" t="s">
        <v>1686</v>
      </c>
      <c r="L285">
        <v>0</v>
      </c>
      <c r="M285">
        <v>40747479</v>
      </c>
      <c r="N285">
        <v>0</v>
      </c>
      <c r="O285">
        <v>0</v>
      </c>
    </row>
    <row r="286" spans="1:15" x14ac:dyDescent="0.25">
      <c r="A286">
        <v>118</v>
      </c>
      <c r="B286" t="s">
        <v>2082</v>
      </c>
      <c r="C286" t="s">
        <v>2096</v>
      </c>
      <c r="D286">
        <v>62</v>
      </c>
      <c r="E286">
        <v>81536206</v>
      </c>
      <c r="F286" t="s">
        <v>1936</v>
      </c>
      <c r="G286">
        <v>2025</v>
      </c>
      <c r="H286" t="s">
        <v>452</v>
      </c>
      <c r="I286" t="s">
        <v>2018</v>
      </c>
      <c r="J286" t="s">
        <v>1688</v>
      </c>
      <c r="K286" t="s">
        <v>1686</v>
      </c>
      <c r="L286">
        <v>0</v>
      </c>
      <c r="M286">
        <v>81536206</v>
      </c>
      <c r="N286">
        <v>0</v>
      </c>
      <c r="O286">
        <v>0</v>
      </c>
    </row>
    <row r="287" spans="1:15" x14ac:dyDescent="0.25">
      <c r="A287">
        <v>119</v>
      </c>
      <c r="B287" t="s">
        <v>2082</v>
      </c>
      <c r="C287" t="s">
        <v>2097</v>
      </c>
      <c r="D287">
        <v>62</v>
      </c>
      <c r="E287">
        <v>61147776</v>
      </c>
      <c r="F287" t="s">
        <v>1936</v>
      </c>
      <c r="G287">
        <v>2025</v>
      </c>
      <c r="H287" t="s">
        <v>452</v>
      </c>
      <c r="I287" t="s">
        <v>2018</v>
      </c>
      <c r="J287" t="s">
        <v>1688</v>
      </c>
      <c r="K287" t="s">
        <v>1686</v>
      </c>
      <c r="L287">
        <v>0</v>
      </c>
      <c r="M287">
        <v>61147776</v>
      </c>
      <c r="N287">
        <v>0</v>
      </c>
      <c r="O287">
        <v>0</v>
      </c>
    </row>
    <row r="288" spans="1:15" x14ac:dyDescent="0.25">
      <c r="A288">
        <v>120</v>
      </c>
      <c r="B288" t="s">
        <v>2082</v>
      </c>
      <c r="C288" t="s">
        <v>2098</v>
      </c>
      <c r="D288">
        <v>62</v>
      </c>
      <c r="E288">
        <v>50609170</v>
      </c>
      <c r="F288" t="s">
        <v>1936</v>
      </c>
      <c r="G288">
        <v>2025</v>
      </c>
      <c r="H288" t="s">
        <v>452</v>
      </c>
      <c r="I288" t="s">
        <v>2018</v>
      </c>
      <c r="J288" t="s">
        <v>1688</v>
      </c>
      <c r="K288" t="s">
        <v>1686</v>
      </c>
      <c r="L288">
        <v>0</v>
      </c>
      <c r="M288">
        <v>47854929</v>
      </c>
      <c r="N288">
        <v>0</v>
      </c>
      <c r="O288">
        <v>2754241</v>
      </c>
    </row>
    <row r="289" spans="1:15" x14ac:dyDescent="0.25">
      <c r="A289">
        <v>121</v>
      </c>
      <c r="B289" t="s">
        <v>2082</v>
      </c>
      <c r="C289" t="s">
        <v>2099</v>
      </c>
      <c r="D289">
        <v>62</v>
      </c>
      <c r="E289">
        <v>61147776</v>
      </c>
      <c r="F289" t="s">
        <v>1936</v>
      </c>
      <c r="G289">
        <v>2025</v>
      </c>
      <c r="H289" t="s">
        <v>452</v>
      </c>
      <c r="I289" t="s">
        <v>2018</v>
      </c>
      <c r="J289" t="s">
        <v>1688</v>
      </c>
      <c r="K289" t="s">
        <v>1686</v>
      </c>
      <c r="L289">
        <v>0</v>
      </c>
      <c r="M289">
        <v>61147776</v>
      </c>
      <c r="N289">
        <v>0</v>
      </c>
      <c r="O289">
        <v>0</v>
      </c>
    </row>
    <row r="290" spans="1:15" x14ac:dyDescent="0.25">
      <c r="A290">
        <v>122</v>
      </c>
      <c r="B290" t="s">
        <v>2082</v>
      </c>
      <c r="C290" t="s">
        <v>2100</v>
      </c>
      <c r="D290">
        <v>62</v>
      </c>
      <c r="E290">
        <v>50609170</v>
      </c>
      <c r="F290" t="s">
        <v>1936</v>
      </c>
      <c r="G290">
        <v>2025</v>
      </c>
      <c r="H290" t="s">
        <v>452</v>
      </c>
      <c r="I290" t="s">
        <v>2018</v>
      </c>
      <c r="J290" t="s">
        <v>1688</v>
      </c>
      <c r="K290" t="s">
        <v>1686</v>
      </c>
      <c r="L290">
        <v>0</v>
      </c>
      <c r="M290">
        <v>47854929</v>
      </c>
      <c r="N290">
        <v>0</v>
      </c>
      <c r="O290">
        <v>2754241</v>
      </c>
    </row>
    <row r="291" spans="1:15" x14ac:dyDescent="0.25">
      <c r="A291">
        <v>123</v>
      </c>
      <c r="B291" t="s">
        <v>2082</v>
      </c>
      <c r="C291" t="s">
        <v>2101</v>
      </c>
      <c r="D291">
        <v>62</v>
      </c>
      <c r="E291">
        <v>94982227</v>
      </c>
      <c r="F291" t="s">
        <v>1936</v>
      </c>
      <c r="G291">
        <v>2025</v>
      </c>
      <c r="H291" t="s">
        <v>452</v>
      </c>
      <c r="I291" t="s">
        <v>2018</v>
      </c>
      <c r="J291" t="s">
        <v>1688</v>
      </c>
      <c r="K291" t="s">
        <v>1686</v>
      </c>
      <c r="L291">
        <v>0</v>
      </c>
      <c r="M291">
        <v>94982227</v>
      </c>
      <c r="N291">
        <v>0</v>
      </c>
      <c r="O291">
        <v>0</v>
      </c>
    </row>
    <row r="292" spans="1:15" x14ac:dyDescent="0.25">
      <c r="A292">
        <v>124</v>
      </c>
      <c r="B292" t="s">
        <v>2082</v>
      </c>
      <c r="C292" t="s">
        <v>2102</v>
      </c>
      <c r="D292">
        <v>62</v>
      </c>
      <c r="E292">
        <v>17601802</v>
      </c>
      <c r="F292" t="s">
        <v>1936</v>
      </c>
      <c r="G292">
        <v>2025</v>
      </c>
      <c r="H292" t="s">
        <v>452</v>
      </c>
      <c r="I292" t="s">
        <v>2018</v>
      </c>
      <c r="J292" t="s">
        <v>1688</v>
      </c>
      <c r="K292" t="s">
        <v>1686</v>
      </c>
      <c r="L292">
        <v>0</v>
      </c>
      <c r="M292">
        <v>17601802</v>
      </c>
      <c r="N292">
        <v>0</v>
      </c>
      <c r="O292">
        <v>0</v>
      </c>
    </row>
    <row r="293" spans="1:15" x14ac:dyDescent="0.25">
      <c r="A293">
        <v>125</v>
      </c>
      <c r="B293" t="s">
        <v>2103</v>
      </c>
      <c r="C293" t="s">
        <v>2104</v>
      </c>
      <c r="D293">
        <v>62</v>
      </c>
      <c r="E293">
        <v>61147776</v>
      </c>
      <c r="F293" t="s">
        <v>1936</v>
      </c>
      <c r="G293">
        <v>2025</v>
      </c>
      <c r="H293" t="s">
        <v>452</v>
      </c>
      <c r="I293" t="s">
        <v>2018</v>
      </c>
      <c r="J293" t="s">
        <v>1688</v>
      </c>
      <c r="K293" t="s">
        <v>1686</v>
      </c>
      <c r="L293">
        <v>0</v>
      </c>
      <c r="M293">
        <v>61147776</v>
      </c>
      <c r="N293">
        <v>0</v>
      </c>
      <c r="O293">
        <v>0</v>
      </c>
    </row>
    <row r="294" spans="1:15" x14ac:dyDescent="0.25">
      <c r="A294">
        <v>126</v>
      </c>
      <c r="B294" t="s">
        <v>2103</v>
      </c>
      <c r="C294" t="s">
        <v>2105</v>
      </c>
      <c r="D294">
        <v>62</v>
      </c>
      <c r="E294">
        <v>50609170</v>
      </c>
      <c r="F294" t="s">
        <v>1936</v>
      </c>
      <c r="G294">
        <v>2025</v>
      </c>
      <c r="H294" t="s">
        <v>452</v>
      </c>
      <c r="I294" t="s">
        <v>2018</v>
      </c>
      <c r="J294" t="s">
        <v>1688</v>
      </c>
      <c r="K294" t="s">
        <v>1686</v>
      </c>
      <c r="L294">
        <v>0</v>
      </c>
      <c r="M294">
        <v>50609170</v>
      </c>
      <c r="N294">
        <v>0</v>
      </c>
      <c r="O294">
        <v>0</v>
      </c>
    </row>
    <row r="295" spans="1:15" x14ac:dyDescent="0.25">
      <c r="A295">
        <v>127</v>
      </c>
      <c r="B295" t="s">
        <v>2103</v>
      </c>
      <c r="C295" t="s">
        <v>2106</v>
      </c>
      <c r="D295">
        <v>62</v>
      </c>
      <c r="E295">
        <v>40747479</v>
      </c>
      <c r="F295" t="s">
        <v>1936</v>
      </c>
      <c r="G295">
        <v>2025</v>
      </c>
      <c r="H295" t="s">
        <v>452</v>
      </c>
      <c r="I295" t="s">
        <v>2018</v>
      </c>
      <c r="J295" t="s">
        <v>1688</v>
      </c>
      <c r="K295" t="s">
        <v>1686</v>
      </c>
      <c r="L295">
        <v>0</v>
      </c>
      <c r="M295">
        <v>40747479</v>
      </c>
      <c r="N295">
        <v>0</v>
      </c>
      <c r="O295">
        <v>0</v>
      </c>
    </row>
    <row r="296" spans="1:15" x14ac:dyDescent="0.25">
      <c r="A296">
        <v>128</v>
      </c>
      <c r="B296" t="s">
        <v>2103</v>
      </c>
      <c r="C296" t="s">
        <v>2107</v>
      </c>
      <c r="D296">
        <v>62</v>
      </c>
      <c r="E296">
        <v>26545593</v>
      </c>
      <c r="F296" t="s">
        <v>1936</v>
      </c>
      <c r="G296">
        <v>2025</v>
      </c>
      <c r="H296" t="s">
        <v>452</v>
      </c>
      <c r="I296" t="s">
        <v>2018</v>
      </c>
      <c r="J296" t="s">
        <v>1688</v>
      </c>
      <c r="K296" t="s">
        <v>1686</v>
      </c>
      <c r="L296">
        <v>0</v>
      </c>
      <c r="M296">
        <v>25100935</v>
      </c>
      <c r="N296">
        <v>0</v>
      </c>
      <c r="O296">
        <v>1444658</v>
      </c>
    </row>
    <row r="297" spans="1:15" x14ac:dyDescent="0.25">
      <c r="A297">
        <v>129</v>
      </c>
      <c r="B297" t="s">
        <v>2103</v>
      </c>
      <c r="C297" t="s">
        <v>2108</v>
      </c>
      <c r="D297">
        <v>62</v>
      </c>
      <c r="E297">
        <v>50609170</v>
      </c>
      <c r="F297" t="s">
        <v>1936</v>
      </c>
      <c r="G297">
        <v>2025</v>
      </c>
      <c r="H297" t="s">
        <v>452</v>
      </c>
      <c r="I297" t="s">
        <v>2018</v>
      </c>
      <c r="J297" t="s">
        <v>1688</v>
      </c>
      <c r="K297" t="s">
        <v>1686</v>
      </c>
      <c r="L297">
        <v>0</v>
      </c>
      <c r="M297">
        <v>50609170</v>
      </c>
      <c r="N297">
        <v>0</v>
      </c>
      <c r="O297">
        <v>0</v>
      </c>
    </row>
    <row r="298" spans="1:15" x14ac:dyDescent="0.25">
      <c r="A298">
        <v>130</v>
      </c>
      <c r="B298" t="s">
        <v>2103</v>
      </c>
      <c r="C298" t="s">
        <v>2109</v>
      </c>
      <c r="D298">
        <v>62</v>
      </c>
      <c r="E298">
        <v>50609170</v>
      </c>
      <c r="F298" t="s">
        <v>1936</v>
      </c>
      <c r="G298">
        <v>2025</v>
      </c>
      <c r="H298" t="s">
        <v>452</v>
      </c>
      <c r="I298" t="s">
        <v>2018</v>
      </c>
      <c r="J298" t="s">
        <v>1688</v>
      </c>
      <c r="K298" t="s">
        <v>1686</v>
      </c>
      <c r="L298">
        <v>0</v>
      </c>
      <c r="M298">
        <v>50609170</v>
      </c>
      <c r="N298">
        <v>0</v>
      </c>
      <c r="O298">
        <v>0</v>
      </c>
    </row>
    <row r="299" spans="1:15" x14ac:dyDescent="0.25">
      <c r="A299">
        <v>131</v>
      </c>
      <c r="B299" t="s">
        <v>2103</v>
      </c>
      <c r="C299" t="s">
        <v>2110</v>
      </c>
      <c r="D299">
        <v>62</v>
      </c>
      <c r="E299">
        <v>50609170</v>
      </c>
      <c r="F299" t="s">
        <v>1936</v>
      </c>
      <c r="G299">
        <v>2025</v>
      </c>
      <c r="H299" t="s">
        <v>452</v>
      </c>
      <c r="I299" t="s">
        <v>2018</v>
      </c>
      <c r="J299" t="s">
        <v>1688</v>
      </c>
      <c r="K299" t="s">
        <v>1686</v>
      </c>
      <c r="L299">
        <v>0</v>
      </c>
      <c r="M299">
        <v>47854929</v>
      </c>
      <c r="N299">
        <v>0</v>
      </c>
      <c r="O299">
        <v>2754241</v>
      </c>
    </row>
    <row r="300" spans="1:15" x14ac:dyDescent="0.25">
      <c r="A300">
        <v>132</v>
      </c>
      <c r="B300" t="s">
        <v>2103</v>
      </c>
      <c r="C300" t="s">
        <v>2111</v>
      </c>
      <c r="D300">
        <v>62</v>
      </c>
      <c r="E300">
        <v>50609170</v>
      </c>
      <c r="F300" t="s">
        <v>1936</v>
      </c>
      <c r="G300">
        <v>2025</v>
      </c>
      <c r="H300" t="s">
        <v>452</v>
      </c>
      <c r="I300" t="s">
        <v>2018</v>
      </c>
      <c r="J300" t="s">
        <v>1688</v>
      </c>
      <c r="K300" t="s">
        <v>1686</v>
      </c>
      <c r="L300">
        <v>0</v>
      </c>
      <c r="M300">
        <v>50609170</v>
      </c>
      <c r="N300">
        <v>0</v>
      </c>
      <c r="O300">
        <v>0</v>
      </c>
    </row>
    <row r="301" spans="1:15" x14ac:dyDescent="0.25">
      <c r="A301">
        <v>133</v>
      </c>
      <c r="B301" t="s">
        <v>2103</v>
      </c>
      <c r="C301" t="s">
        <v>2112</v>
      </c>
      <c r="D301">
        <v>62</v>
      </c>
      <c r="E301">
        <v>61147776</v>
      </c>
      <c r="F301" t="s">
        <v>1936</v>
      </c>
      <c r="G301">
        <v>2025</v>
      </c>
      <c r="H301" t="s">
        <v>452</v>
      </c>
      <c r="I301" t="s">
        <v>2018</v>
      </c>
      <c r="J301" t="s">
        <v>1688</v>
      </c>
      <c r="K301" t="s">
        <v>1686</v>
      </c>
      <c r="L301">
        <v>0</v>
      </c>
      <c r="M301">
        <v>61147776</v>
      </c>
      <c r="N301">
        <v>0</v>
      </c>
      <c r="O301">
        <v>0</v>
      </c>
    </row>
    <row r="302" spans="1:15" x14ac:dyDescent="0.25">
      <c r="A302">
        <v>134</v>
      </c>
      <c r="B302" t="s">
        <v>2103</v>
      </c>
      <c r="C302" t="s">
        <v>2113</v>
      </c>
      <c r="D302">
        <v>62</v>
      </c>
      <c r="E302">
        <v>94982227</v>
      </c>
      <c r="F302" t="s">
        <v>1936</v>
      </c>
      <c r="G302">
        <v>2025</v>
      </c>
      <c r="H302" t="s">
        <v>452</v>
      </c>
      <c r="I302" t="s">
        <v>2018</v>
      </c>
      <c r="J302" t="s">
        <v>1688</v>
      </c>
      <c r="K302" t="s">
        <v>1686</v>
      </c>
      <c r="L302">
        <v>0</v>
      </c>
      <c r="M302">
        <v>94982227</v>
      </c>
      <c r="N302">
        <v>0</v>
      </c>
      <c r="O302">
        <v>0</v>
      </c>
    </row>
    <row r="303" spans="1:15" x14ac:dyDescent="0.25">
      <c r="A303">
        <v>135</v>
      </c>
      <c r="B303" t="s">
        <v>2103</v>
      </c>
      <c r="C303" t="s">
        <v>2114</v>
      </c>
      <c r="D303">
        <v>62</v>
      </c>
      <c r="E303">
        <v>40747479</v>
      </c>
      <c r="F303" t="s">
        <v>1936</v>
      </c>
      <c r="G303">
        <v>2025</v>
      </c>
      <c r="H303" t="s">
        <v>452</v>
      </c>
      <c r="I303" t="s">
        <v>2018</v>
      </c>
      <c r="J303" t="s">
        <v>1688</v>
      </c>
      <c r="K303" t="s">
        <v>1686</v>
      </c>
      <c r="L303">
        <v>0</v>
      </c>
      <c r="M303">
        <v>40747479</v>
      </c>
      <c r="N303">
        <v>0</v>
      </c>
      <c r="O303">
        <v>0</v>
      </c>
    </row>
    <row r="304" spans="1:15" x14ac:dyDescent="0.25">
      <c r="A304">
        <v>136</v>
      </c>
      <c r="B304" t="s">
        <v>2103</v>
      </c>
      <c r="C304" t="s">
        <v>2115</v>
      </c>
      <c r="D304">
        <v>62</v>
      </c>
      <c r="E304">
        <v>26545593</v>
      </c>
      <c r="F304" t="s">
        <v>1936</v>
      </c>
      <c r="G304">
        <v>2025</v>
      </c>
      <c r="H304" t="s">
        <v>452</v>
      </c>
      <c r="I304" t="s">
        <v>2018</v>
      </c>
      <c r="J304" t="s">
        <v>1688</v>
      </c>
      <c r="K304" t="s">
        <v>1686</v>
      </c>
      <c r="L304">
        <v>0</v>
      </c>
      <c r="M304">
        <v>26545593</v>
      </c>
      <c r="N304">
        <v>0</v>
      </c>
      <c r="O304">
        <v>0</v>
      </c>
    </row>
    <row r="305" spans="1:15" x14ac:dyDescent="0.25">
      <c r="A305">
        <v>137</v>
      </c>
      <c r="B305" t="s">
        <v>2103</v>
      </c>
      <c r="C305" t="s">
        <v>2116</v>
      </c>
      <c r="D305">
        <v>62</v>
      </c>
      <c r="E305">
        <v>61147776</v>
      </c>
      <c r="F305" t="s">
        <v>1936</v>
      </c>
      <c r="G305">
        <v>2025</v>
      </c>
      <c r="H305" t="s">
        <v>452</v>
      </c>
      <c r="I305" t="s">
        <v>2018</v>
      </c>
      <c r="J305" t="s">
        <v>1688</v>
      </c>
      <c r="K305" t="s">
        <v>1686</v>
      </c>
      <c r="L305">
        <v>0</v>
      </c>
      <c r="M305">
        <v>61147776</v>
      </c>
      <c r="N305">
        <v>0</v>
      </c>
      <c r="O305">
        <v>0</v>
      </c>
    </row>
    <row r="306" spans="1:15" x14ac:dyDescent="0.25">
      <c r="A306">
        <v>138</v>
      </c>
      <c r="B306" t="s">
        <v>2103</v>
      </c>
      <c r="C306" t="s">
        <v>2117</v>
      </c>
      <c r="D306">
        <v>62</v>
      </c>
      <c r="E306">
        <v>26545593</v>
      </c>
      <c r="F306" t="s">
        <v>1936</v>
      </c>
      <c r="G306">
        <v>2025</v>
      </c>
      <c r="H306" t="s">
        <v>452</v>
      </c>
      <c r="I306" t="s">
        <v>2018</v>
      </c>
      <c r="J306" t="s">
        <v>1688</v>
      </c>
      <c r="K306" t="s">
        <v>1686</v>
      </c>
      <c r="L306">
        <v>0</v>
      </c>
      <c r="M306">
        <v>26545593</v>
      </c>
      <c r="N306">
        <v>0</v>
      </c>
      <c r="O306">
        <v>0</v>
      </c>
    </row>
    <row r="307" spans="1:15" x14ac:dyDescent="0.25">
      <c r="A307">
        <v>139</v>
      </c>
      <c r="B307" t="s">
        <v>2103</v>
      </c>
      <c r="C307" t="s">
        <v>2118</v>
      </c>
      <c r="D307">
        <v>62</v>
      </c>
      <c r="E307">
        <v>50609170</v>
      </c>
      <c r="F307" t="s">
        <v>1936</v>
      </c>
      <c r="G307">
        <v>2025</v>
      </c>
      <c r="H307" t="s">
        <v>452</v>
      </c>
      <c r="I307" t="s">
        <v>2018</v>
      </c>
      <c r="J307" t="s">
        <v>1688</v>
      </c>
      <c r="K307" t="s">
        <v>1686</v>
      </c>
      <c r="L307">
        <v>0</v>
      </c>
      <c r="M307">
        <v>50609170</v>
      </c>
      <c r="N307">
        <v>0</v>
      </c>
      <c r="O307">
        <v>0</v>
      </c>
    </row>
    <row r="308" spans="1:15" x14ac:dyDescent="0.25">
      <c r="A308">
        <v>140</v>
      </c>
      <c r="B308" t="s">
        <v>2103</v>
      </c>
      <c r="C308" t="s">
        <v>2119</v>
      </c>
      <c r="D308">
        <v>62</v>
      </c>
      <c r="E308">
        <v>26545593</v>
      </c>
      <c r="F308" t="s">
        <v>1936</v>
      </c>
      <c r="G308">
        <v>2025</v>
      </c>
      <c r="H308" t="s">
        <v>452</v>
      </c>
      <c r="I308" t="s">
        <v>2018</v>
      </c>
      <c r="J308" t="s">
        <v>1688</v>
      </c>
      <c r="K308" t="s">
        <v>1686</v>
      </c>
      <c r="L308">
        <v>0</v>
      </c>
      <c r="M308">
        <v>26545593</v>
      </c>
      <c r="N308">
        <v>0</v>
      </c>
      <c r="O308">
        <v>0</v>
      </c>
    </row>
    <row r="309" spans="1:15" x14ac:dyDescent="0.25">
      <c r="A309">
        <v>141</v>
      </c>
      <c r="B309" t="s">
        <v>2103</v>
      </c>
      <c r="C309" t="s">
        <v>2120</v>
      </c>
      <c r="D309">
        <v>62</v>
      </c>
      <c r="E309">
        <v>26545593</v>
      </c>
      <c r="F309" t="s">
        <v>1936</v>
      </c>
      <c r="G309">
        <v>2025</v>
      </c>
      <c r="H309" t="s">
        <v>452</v>
      </c>
      <c r="I309" t="s">
        <v>2018</v>
      </c>
      <c r="J309" t="s">
        <v>1688</v>
      </c>
      <c r="K309" t="s">
        <v>1686</v>
      </c>
      <c r="L309">
        <v>0</v>
      </c>
      <c r="M309">
        <v>26545593</v>
      </c>
      <c r="N309">
        <v>0</v>
      </c>
      <c r="O309">
        <v>0</v>
      </c>
    </row>
    <row r="310" spans="1:15" x14ac:dyDescent="0.25">
      <c r="A310">
        <v>142</v>
      </c>
      <c r="B310" t="s">
        <v>2103</v>
      </c>
      <c r="C310" t="s">
        <v>2121</v>
      </c>
      <c r="D310">
        <v>62</v>
      </c>
      <c r="E310">
        <v>40747479</v>
      </c>
      <c r="F310" t="s">
        <v>1936</v>
      </c>
      <c r="G310">
        <v>2025</v>
      </c>
      <c r="H310" t="s">
        <v>452</v>
      </c>
      <c r="I310" t="s">
        <v>2018</v>
      </c>
      <c r="J310" t="s">
        <v>1688</v>
      </c>
      <c r="K310" t="s">
        <v>1686</v>
      </c>
      <c r="L310">
        <v>0</v>
      </c>
      <c r="M310">
        <v>40747479</v>
      </c>
      <c r="N310">
        <v>0</v>
      </c>
      <c r="O310">
        <v>0</v>
      </c>
    </row>
    <row r="311" spans="1:15" x14ac:dyDescent="0.25">
      <c r="A311">
        <v>143</v>
      </c>
      <c r="B311" t="s">
        <v>2103</v>
      </c>
      <c r="C311" t="s">
        <v>2122</v>
      </c>
      <c r="D311">
        <v>62</v>
      </c>
      <c r="E311">
        <v>81536206</v>
      </c>
      <c r="F311" t="s">
        <v>1936</v>
      </c>
      <c r="G311">
        <v>2025</v>
      </c>
      <c r="H311" t="s">
        <v>452</v>
      </c>
      <c r="I311" t="s">
        <v>2018</v>
      </c>
      <c r="J311" t="s">
        <v>1688</v>
      </c>
      <c r="K311" t="s">
        <v>1686</v>
      </c>
      <c r="L311">
        <v>0</v>
      </c>
      <c r="M311">
        <v>0</v>
      </c>
      <c r="N311">
        <v>0</v>
      </c>
      <c r="O311">
        <v>81536206</v>
      </c>
    </row>
    <row r="312" spans="1:15" x14ac:dyDescent="0.25">
      <c r="A312">
        <v>144</v>
      </c>
      <c r="B312" t="s">
        <v>2103</v>
      </c>
      <c r="C312" t="s">
        <v>2123</v>
      </c>
      <c r="D312">
        <v>62</v>
      </c>
      <c r="E312">
        <v>40747479</v>
      </c>
      <c r="F312" t="s">
        <v>1936</v>
      </c>
      <c r="G312">
        <v>2025</v>
      </c>
      <c r="H312" t="s">
        <v>452</v>
      </c>
      <c r="I312" t="s">
        <v>2018</v>
      </c>
      <c r="J312" t="s">
        <v>1688</v>
      </c>
      <c r="K312" t="s">
        <v>1686</v>
      </c>
      <c r="L312">
        <v>0</v>
      </c>
      <c r="M312">
        <v>38529929</v>
      </c>
      <c r="N312">
        <v>0</v>
      </c>
      <c r="O312">
        <v>2217550</v>
      </c>
    </row>
    <row r="313" spans="1:15" x14ac:dyDescent="0.25">
      <c r="A313">
        <v>145</v>
      </c>
      <c r="B313" t="s">
        <v>2124</v>
      </c>
      <c r="C313" t="s">
        <v>2125</v>
      </c>
      <c r="D313">
        <v>62</v>
      </c>
      <c r="E313">
        <v>40747479</v>
      </c>
      <c r="F313" t="s">
        <v>1936</v>
      </c>
      <c r="G313">
        <v>2025</v>
      </c>
      <c r="H313" t="s">
        <v>452</v>
      </c>
      <c r="I313" t="s">
        <v>2018</v>
      </c>
      <c r="J313" t="s">
        <v>1688</v>
      </c>
      <c r="K313" t="s">
        <v>1686</v>
      </c>
      <c r="L313">
        <v>0</v>
      </c>
      <c r="M313">
        <v>38529929</v>
      </c>
      <c r="N313">
        <v>0</v>
      </c>
      <c r="O313">
        <v>2217550</v>
      </c>
    </row>
    <row r="314" spans="1:15" x14ac:dyDescent="0.25">
      <c r="A314">
        <v>146</v>
      </c>
      <c r="B314" t="s">
        <v>2124</v>
      </c>
      <c r="C314" t="s">
        <v>2126</v>
      </c>
      <c r="D314">
        <v>62</v>
      </c>
      <c r="E314">
        <v>40747479</v>
      </c>
      <c r="F314" t="s">
        <v>1936</v>
      </c>
      <c r="G314">
        <v>2025</v>
      </c>
      <c r="H314" t="s">
        <v>452</v>
      </c>
      <c r="I314" t="s">
        <v>2018</v>
      </c>
      <c r="J314" t="s">
        <v>1688</v>
      </c>
      <c r="K314" t="s">
        <v>1686</v>
      </c>
      <c r="L314">
        <v>0</v>
      </c>
      <c r="M314">
        <v>40747479</v>
      </c>
      <c r="N314">
        <v>0</v>
      </c>
      <c r="O314">
        <v>0</v>
      </c>
    </row>
    <row r="315" spans="1:15" x14ac:dyDescent="0.25">
      <c r="A315">
        <v>147</v>
      </c>
      <c r="B315" t="s">
        <v>2124</v>
      </c>
      <c r="C315" t="s">
        <v>2127</v>
      </c>
      <c r="D315">
        <v>62</v>
      </c>
      <c r="E315">
        <v>81536206</v>
      </c>
      <c r="F315" t="s">
        <v>1936</v>
      </c>
      <c r="G315">
        <v>2025</v>
      </c>
      <c r="H315" t="s">
        <v>452</v>
      </c>
      <c r="I315" t="s">
        <v>2018</v>
      </c>
      <c r="J315" t="s">
        <v>1688</v>
      </c>
      <c r="K315" t="s">
        <v>1686</v>
      </c>
      <c r="L315">
        <v>0</v>
      </c>
      <c r="M315">
        <v>81536206</v>
      </c>
      <c r="N315">
        <v>0</v>
      </c>
      <c r="O315">
        <v>0</v>
      </c>
    </row>
    <row r="316" spans="1:15" x14ac:dyDescent="0.25">
      <c r="A316">
        <v>148</v>
      </c>
      <c r="B316" t="s">
        <v>2124</v>
      </c>
      <c r="C316" t="s">
        <v>2128</v>
      </c>
      <c r="D316">
        <v>62</v>
      </c>
      <c r="E316">
        <v>40747479</v>
      </c>
      <c r="F316" t="s">
        <v>1936</v>
      </c>
      <c r="G316">
        <v>2025</v>
      </c>
      <c r="H316" t="s">
        <v>452</v>
      </c>
      <c r="I316" t="s">
        <v>2018</v>
      </c>
      <c r="J316" t="s">
        <v>1688</v>
      </c>
      <c r="K316" t="s">
        <v>1686</v>
      </c>
      <c r="L316">
        <v>0</v>
      </c>
      <c r="M316">
        <v>40747479</v>
      </c>
      <c r="N316">
        <v>0</v>
      </c>
      <c r="O316">
        <v>0</v>
      </c>
    </row>
    <row r="317" spans="1:15" x14ac:dyDescent="0.25">
      <c r="A317">
        <v>149</v>
      </c>
      <c r="B317" t="s">
        <v>2129</v>
      </c>
      <c r="C317" t="s">
        <v>2130</v>
      </c>
      <c r="D317">
        <v>62</v>
      </c>
      <c r="E317">
        <v>50609170</v>
      </c>
      <c r="F317" t="s">
        <v>1936</v>
      </c>
      <c r="G317">
        <v>2025</v>
      </c>
      <c r="H317" t="s">
        <v>452</v>
      </c>
      <c r="I317" t="s">
        <v>2018</v>
      </c>
      <c r="J317" t="s">
        <v>1688</v>
      </c>
      <c r="K317" t="s">
        <v>1686</v>
      </c>
      <c r="L317">
        <v>0</v>
      </c>
      <c r="M317">
        <v>50609170</v>
      </c>
      <c r="N317">
        <v>0</v>
      </c>
      <c r="O317">
        <v>0</v>
      </c>
    </row>
    <row r="318" spans="1:15" x14ac:dyDescent="0.25">
      <c r="A318">
        <v>150</v>
      </c>
      <c r="B318" t="s">
        <v>2129</v>
      </c>
      <c r="C318" t="s">
        <v>2131</v>
      </c>
      <c r="D318">
        <v>62</v>
      </c>
      <c r="E318">
        <v>40747479</v>
      </c>
      <c r="F318" t="s">
        <v>1936</v>
      </c>
      <c r="G318">
        <v>2025</v>
      </c>
      <c r="H318" t="s">
        <v>452</v>
      </c>
      <c r="I318" t="s">
        <v>2018</v>
      </c>
      <c r="J318" t="s">
        <v>1688</v>
      </c>
      <c r="K318" t="s">
        <v>1686</v>
      </c>
      <c r="L318">
        <v>0</v>
      </c>
      <c r="M318">
        <v>40747479</v>
      </c>
      <c r="N318">
        <v>0</v>
      </c>
      <c r="O318">
        <v>0</v>
      </c>
    </row>
    <row r="319" spans="1:15" x14ac:dyDescent="0.25">
      <c r="A319">
        <v>151</v>
      </c>
      <c r="B319" t="s">
        <v>2129</v>
      </c>
      <c r="C319" t="s">
        <v>2132</v>
      </c>
      <c r="D319">
        <v>62</v>
      </c>
      <c r="E319">
        <v>40747479</v>
      </c>
      <c r="F319" t="s">
        <v>1936</v>
      </c>
      <c r="G319">
        <v>2025</v>
      </c>
      <c r="H319" t="s">
        <v>452</v>
      </c>
      <c r="I319" t="s">
        <v>2018</v>
      </c>
      <c r="J319" t="s">
        <v>1688</v>
      </c>
      <c r="K319" t="s">
        <v>1686</v>
      </c>
      <c r="L319">
        <v>0</v>
      </c>
      <c r="M319">
        <v>40747479</v>
      </c>
      <c r="N319">
        <v>0</v>
      </c>
      <c r="O319">
        <v>0</v>
      </c>
    </row>
    <row r="320" spans="1:15" x14ac:dyDescent="0.25">
      <c r="A320">
        <v>152</v>
      </c>
      <c r="B320" t="s">
        <v>2129</v>
      </c>
      <c r="C320" t="s">
        <v>2133</v>
      </c>
      <c r="D320">
        <v>62</v>
      </c>
      <c r="E320">
        <v>26545593</v>
      </c>
      <c r="F320" t="s">
        <v>1936</v>
      </c>
      <c r="G320">
        <v>2025</v>
      </c>
      <c r="H320" t="s">
        <v>452</v>
      </c>
      <c r="I320" t="s">
        <v>2018</v>
      </c>
      <c r="J320" t="s">
        <v>1688</v>
      </c>
      <c r="K320" t="s">
        <v>1686</v>
      </c>
      <c r="L320">
        <v>0</v>
      </c>
      <c r="M320">
        <v>26545593</v>
      </c>
      <c r="N320">
        <v>0</v>
      </c>
      <c r="O320">
        <v>0</v>
      </c>
    </row>
    <row r="321" spans="1:15" x14ac:dyDescent="0.25">
      <c r="A321">
        <v>153</v>
      </c>
      <c r="B321" t="s">
        <v>2129</v>
      </c>
      <c r="C321" t="s">
        <v>2134</v>
      </c>
      <c r="D321">
        <v>62</v>
      </c>
      <c r="E321">
        <v>26545593</v>
      </c>
      <c r="F321" t="s">
        <v>1936</v>
      </c>
      <c r="G321">
        <v>2025</v>
      </c>
      <c r="H321" t="s">
        <v>452</v>
      </c>
      <c r="I321" t="s">
        <v>2018</v>
      </c>
      <c r="J321" t="s">
        <v>1688</v>
      </c>
      <c r="K321" t="s">
        <v>1686</v>
      </c>
      <c r="L321">
        <v>0</v>
      </c>
      <c r="M321">
        <v>26545593</v>
      </c>
      <c r="N321">
        <v>0</v>
      </c>
      <c r="O321">
        <v>0</v>
      </c>
    </row>
    <row r="322" spans="1:15" x14ac:dyDescent="0.25">
      <c r="A322">
        <v>154</v>
      </c>
      <c r="B322" t="s">
        <v>2129</v>
      </c>
      <c r="C322" t="s">
        <v>2135</v>
      </c>
      <c r="D322">
        <v>62</v>
      </c>
      <c r="E322">
        <v>61147776</v>
      </c>
      <c r="F322" t="s">
        <v>1936</v>
      </c>
      <c r="G322">
        <v>2025</v>
      </c>
      <c r="H322" t="s">
        <v>452</v>
      </c>
      <c r="I322" t="s">
        <v>2018</v>
      </c>
      <c r="J322" t="s">
        <v>1688</v>
      </c>
      <c r="K322" t="s">
        <v>1686</v>
      </c>
      <c r="L322">
        <v>0</v>
      </c>
      <c r="M322">
        <v>61147776</v>
      </c>
      <c r="N322">
        <v>0</v>
      </c>
      <c r="O322">
        <v>0</v>
      </c>
    </row>
    <row r="323" spans="1:15" x14ac:dyDescent="0.25">
      <c r="A323">
        <v>155</v>
      </c>
      <c r="B323" t="s">
        <v>2129</v>
      </c>
      <c r="C323" t="s">
        <v>2136</v>
      </c>
      <c r="D323">
        <v>62</v>
      </c>
      <c r="E323">
        <v>61147776</v>
      </c>
      <c r="F323" t="s">
        <v>1936</v>
      </c>
      <c r="G323">
        <v>2025</v>
      </c>
      <c r="H323" t="s">
        <v>452</v>
      </c>
      <c r="I323" t="s">
        <v>2018</v>
      </c>
      <c r="J323" t="s">
        <v>1688</v>
      </c>
      <c r="K323" t="s">
        <v>1686</v>
      </c>
      <c r="L323">
        <v>0</v>
      </c>
      <c r="M323">
        <v>61147776</v>
      </c>
      <c r="N323">
        <v>0</v>
      </c>
      <c r="O323">
        <v>0</v>
      </c>
    </row>
    <row r="324" spans="1:15" x14ac:dyDescent="0.25">
      <c r="A324">
        <v>156</v>
      </c>
      <c r="B324" t="s">
        <v>2129</v>
      </c>
      <c r="C324" t="s">
        <v>2137</v>
      </c>
      <c r="D324">
        <v>62</v>
      </c>
      <c r="E324">
        <v>50609170</v>
      </c>
      <c r="F324" t="s">
        <v>1936</v>
      </c>
      <c r="G324">
        <v>2025</v>
      </c>
      <c r="H324" t="s">
        <v>452</v>
      </c>
      <c r="I324" t="s">
        <v>2018</v>
      </c>
      <c r="J324" t="s">
        <v>1688</v>
      </c>
      <c r="K324" t="s">
        <v>1686</v>
      </c>
      <c r="L324">
        <v>0</v>
      </c>
      <c r="M324">
        <v>50609170</v>
      </c>
      <c r="N324">
        <v>0</v>
      </c>
      <c r="O324">
        <v>0</v>
      </c>
    </row>
    <row r="325" spans="1:15" x14ac:dyDescent="0.25">
      <c r="A325">
        <v>157</v>
      </c>
      <c r="B325" t="s">
        <v>2129</v>
      </c>
      <c r="C325" t="s">
        <v>2138</v>
      </c>
      <c r="D325">
        <v>62</v>
      </c>
      <c r="E325">
        <v>40747479</v>
      </c>
      <c r="F325" t="s">
        <v>1936</v>
      </c>
      <c r="G325">
        <v>2025</v>
      </c>
      <c r="H325" t="s">
        <v>452</v>
      </c>
      <c r="I325" t="s">
        <v>2018</v>
      </c>
      <c r="J325" t="s">
        <v>1688</v>
      </c>
      <c r="K325" t="s">
        <v>1686</v>
      </c>
      <c r="L325">
        <v>0</v>
      </c>
      <c r="M325">
        <v>40747479</v>
      </c>
      <c r="N325">
        <v>0</v>
      </c>
      <c r="O325">
        <v>0</v>
      </c>
    </row>
    <row r="326" spans="1:15" x14ac:dyDescent="0.25">
      <c r="A326">
        <v>158</v>
      </c>
      <c r="B326" t="s">
        <v>2129</v>
      </c>
      <c r="C326" t="s">
        <v>2139</v>
      </c>
      <c r="D326">
        <v>62</v>
      </c>
      <c r="E326">
        <v>26545593</v>
      </c>
      <c r="F326" t="s">
        <v>1936</v>
      </c>
      <c r="G326">
        <v>2025</v>
      </c>
      <c r="H326" t="s">
        <v>452</v>
      </c>
      <c r="I326" t="s">
        <v>2018</v>
      </c>
      <c r="J326" t="s">
        <v>1688</v>
      </c>
      <c r="K326" t="s">
        <v>1686</v>
      </c>
      <c r="L326">
        <v>0</v>
      </c>
      <c r="M326">
        <v>10925227</v>
      </c>
      <c r="N326">
        <v>0</v>
      </c>
      <c r="O326">
        <v>15620366</v>
      </c>
    </row>
    <row r="327" spans="1:15" x14ac:dyDescent="0.25">
      <c r="A327">
        <v>159</v>
      </c>
      <c r="B327" t="s">
        <v>2129</v>
      </c>
      <c r="C327" t="s">
        <v>2140</v>
      </c>
      <c r="D327">
        <v>62</v>
      </c>
      <c r="E327">
        <v>50609170</v>
      </c>
      <c r="F327" t="s">
        <v>1936</v>
      </c>
      <c r="G327">
        <v>2025</v>
      </c>
      <c r="H327" t="s">
        <v>452</v>
      </c>
      <c r="I327" t="s">
        <v>2018</v>
      </c>
      <c r="J327" t="s">
        <v>1688</v>
      </c>
      <c r="K327" t="s">
        <v>1686</v>
      </c>
      <c r="L327">
        <v>0</v>
      </c>
      <c r="M327">
        <v>50609170</v>
      </c>
      <c r="N327">
        <v>0</v>
      </c>
      <c r="O327">
        <v>0</v>
      </c>
    </row>
    <row r="328" spans="1:15" x14ac:dyDescent="0.25">
      <c r="A328">
        <v>160</v>
      </c>
      <c r="B328" t="s">
        <v>2129</v>
      </c>
      <c r="C328" t="s">
        <v>2141</v>
      </c>
      <c r="D328">
        <v>62</v>
      </c>
      <c r="E328">
        <v>50609170</v>
      </c>
      <c r="F328" t="s">
        <v>1936</v>
      </c>
      <c r="G328">
        <v>2025</v>
      </c>
      <c r="H328" t="s">
        <v>452</v>
      </c>
      <c r="I328" t="s">
        <v>2018</v>
      </c>
      <c r="J328" t="s">
        <v>1688</v>
      </c>
      <c r="K328" t="s">
        <v>1686</v>
      </c>
      <c r="L328">
        <v>0</v>
      </c>
      <c r="M328">
        <v>50609170</v>
      </c>
      <c r="N328">
        <v>0</v>
      </c>
      <c r="O328">
        <v>0</v>
      </c>
    </row>
    <row r="329" spans="1:15" x14ac:dyDescent="0.25">
      <c r="A329">
        <v>161</v>
      </c>
      <c r="B329" t="s">
        <v>2129</v>
      </c>
      <c r="C329" t="s">
        <v>2142</v>
      </c>
      <c r="D329">
        <v>62</v>
      </c>
      <c r="E329">
        <v>26545593</v>
      </c>
      <c r="F329" t="s">
        <v>1936</v>
      </c>
      <c r="G329">
        <v>2025</v>
      </c>
      <c r="H329" t="s">
        <v>452</v>
      </c>
      <c r="I329" t="s">
        <v>2018</v>
      </c>
      <c r="J329" t="s">
        <v>1688</v>
      </c>
      <c r="K329" t="s">
        <v>1686</v>
      </c>
      <c r="L329">
        <v>0</v>
      </c>
      <c r="M329">
        <v>25100935</v>
      </c>
      <c r="N329">
        <v>0</v>
      </c>
      <c r="O329">
        <v>1444658</v>
      </c>
    </row>
    <row r="330" spans="1:15" x14ac:dyDescent="0.25">
      <c r="A330">
        <v>162</v>
      </c>
      <c r="B330" t="s">
        <v>2129</v>
      </c>
      <c r="C330" t="s">
        <v>2143</v>
      </c>
      <c r="D330">
        <v>62</v>
      </c>
      <c r="E330">
        <v>50609170</v>
      </c>
      <c r="F330" t="s">
        <v>1936</v>
      </c>
      <c r="G330">
        <v>2025</v>
      </c>
      <c r="H330" t="s">
        <v>452</v>
      </c>
      <c r="I330" t="s">
        <v>2018</v>
      </c>
      <c r="J330" t="s">
        <v>1688</v>
      </c>
      <c r="K330" t="s">
        <v>1686</v>
      </c>
      <c r="L330">
        <v>0</v>
      </c>
      <c r="M330">
        <v>50609170</v>
      </c>
      <c r="N330">
        <v>0</v>
      </c>
      <c r="O330">
        <v>0</v>
      </c>
    </row>
    <row r="331" spans="1:15" x14ac:dyDescent="0.25">
      <c r="A331">
        <v>163</v>
      </c>
      <c r="B331" t="s">
        <v>2129</v>
      </c>
      <c r="C331" t="s">
        <v>2144</v>
      </c>
      <c r="D331">
        <v>62</v>
      </c>
      <c r="E331">
        <v>50609170</v>
      </c>
      <c r="F331" t="s">
        <v>1936</v>
      </c>
      <c r="G331">
        <v>2025</v>
      </c>
      <c r="H331" t="s">
        <v>452</v>
      </c>
      <c r="I331" t="s">
        <v>2018</v>
      </c>
      <c r="J331" t="s">
        <v>1688</v>
      </c>
      <c r="K331" t="s">
        <v>1686</v>
      </c>
      <c r="L331">
        <v>0</v>
      </c>
      <c r="M331">
        <v>50609170</v>
      </c>
      <c r="N331">
        <v>0</v>
      </c>
      <c r="O331">
        <v>0</v>
      </c>
    </row>
    <row r="332" spans="1:15" x14ac:dyDescent="0.25">
      <c r="A332">
        <v>164</v>
      </c>
      <c r="B332" t="s">
        <v>2129</v>
      </c>
      <c r="C332" t="s">
        <v>2145</v>
      </c>
      <c r="D332">
        <v>62</v>
      </c>
      <c r="E332">
        <v>61147776</v>
      </c>
      <c r="F332" t="s">
        <v>1936</v>
      </c>
      <c r="G332">
        <v>2025</v>
      </c>
      <c r="H332" t="s">
        <v>452</v>
      </c>
      <c r="I332" t="s">
        <v>2018</v>
      </c>
      <c r="J332" t="s">
        <v>1688</v>
      </c>
      <c r="K332" t="s">
        <v>1686</v>
      </c>
      <c r="L332">
        <v>0</v>
      </c>
      <c r="M332">
        <v>61147776</v>
      </c>
      <c r="N332">
        <v>0</v>
      </c>
      <c r="O332">
        <v>0</v>
      </c>
    </row>
    <row r="333" spans="1:15" x14ac:dyDescent="0.25">
      <c r="A333">
        <v>165</v>
      </c>
      <c r="B333" t="s">
        <v>2129</v>
      </c>
      <c r="C333" t="s">
        <v>2146</v>
      </c>
      <c r="D333">
        <v>62</v>
      </c>
      <c r="E333">
        <v>61147776</v>
      </c>
      <c r="F333" t="s">
        <v>1936</v>
      </c>
      <c r="G333">
        <v>2025</v>
      </c>
      <c r="H333" t="s">
        <v>452</v>
      </c>
      <c r="I333" t="s">
        <v>2018</v>
      </c>
      <c r="J333" t="s">
        <v>1688</v>
      </c>
      <c r="K333" t="s">
        <v>1686</v>
      </c>
      <c r="L333">
        <v>0</v>
      </c>
      <c r="M333">
        <v>61147776</v>
      </c>
      <c r="N333">
        <v>0</v>
      </c>
      <c r="O333">
        <v>0</v>
      </c>
    </row>
    <row r="334" spans="1:15" x14ac:dyDescent="0.25">
      <c r="A334">
        <v>166</v>
      </c>
      <c r="B334" t="s">
        <v>2129</v>
      </c>
      <c r="C334" t="s">
        <v>2147</v>
      </c>
      <c r="D334">
        <v>62</v>
      </c>
      <c r="E334">
        <v>40747479</v>
      </c>
      <c r="F334" t="s">
        <v>1936</v>
      </c>
      <c r="G334">
        <v>2025</v>
      </c>
      <c r="H334" t="s">
        <v>452</v>
      </c>
      <c r="I334" t="s">
        <v>2018</v>
      </c>
      <c r="J334" t="s">
        <v>1688</v>
      </c>
      <c r="K334" t="s">
        <v>1686</v>
      </c>
      <c r="L334">
        <v>0</v>
      </c>
      <c r="M334">
        <v>40747479</v>
      </c>
      <c r="N334">
        <v>0</v>
      </c>
      <c r="O334">
        <v>0</v>
      </c>
    </row>
    <row r="335" spans="1:15" x14ac:dyDescent="0.25">
      <c r="A335">
        <v>167</v>
      </c>
      <c r="B335" t="s">
        <v>2129</v>
      </c>
      <c r="C335" t="s">
        <v>2148</v>
      </c>
      <c r="D335">
        <v>62</v>
      </c>
      <c r="E335">
        <v>50609170</v>
      </c>
      <c r="F335" t="s">
        <v>1936</v>
      </c>
      <c r="G335">
        <v>2025</v>
      </c>
      <c r="H335" t="s">
        <v>452</v>
      </c>
      <c r="I335" t="s">
        <v>2018</v>
      </c>
      <c r="J335" t="s">
        <v>1688</v>
      </c>
      <c r="K335" t="s">
        <v>1686</v>
      </c>
      <c r="L335">
        <v>0</v>
      </c>
      <c r="M335">
        <v>50609170</v>
      </c>
      <c r="N335">
        <v>0</v>
      </c>
      <c r="O335">
        <v>0</v>
      </c>
    </row>
    <row r="336" spans="1:15" x14ac:dyDescent="0.25">
      <c r="A336">
        <v>168</v>
      </c>
      <c r="B336" t="s">
        <v>2129</v>
      </c>
      <c r="C336" t="s">
        <v>2149</v>
      </c>
      <c r="D336">
        <v>62</v>
      </c>
      <c r="E336">
        <v>26545593</v>
      </c>
      <c r="F336" t="s">
        <v>1936</v>
      </c>
      <c r="G336">
        <v>2025</v>
      </c>
      <c r="H336" t="s">
        <v>452</v>
      </c>
      <c r="I336" t="s">
        <v>2018</v>
      </c>
      <c r="J336" t="s">
        <v>1688</v>
      </c>
      <c r="K336" t="s">
        <v>1686</v>
      </c>
      <c r="L336">
        <v>0</v>
      </c>
      <c r="M336">
        <v>26545593</v>
      </c>
      <c r="N336">
        <v>0</v>
      </c>
      <c r="O336">
        <v>0</v>
      </c>
    </row>
    <row r="337" spans="1:15" x14ac:dyDescent="0.25">
      <c r="A337">
        <v>169</v>
      </c>
      <c r="B337" t="s">
        <v>2129</v>
      </c>
      <c r="C337" t="s">
        <v>2150</v>
      </c>
      <c r="D337">
        <v>62</v>
      </c>
      <c r="E337">
        <v>26545593</v>
      </c>
      <c r="F337" t="s">
        <v>1936</v>
      </c>
      <c r="G337">
        <v>2025</v>
      </c>
      <c r="H337" t="s">
        <v>452</v>
      </c>
      <c r="I337" t="s">
        <v>2018</v>
      </c>
      <c r="J337" t="s">
        <v>1688</v>
      </c>
      <c r="K337" t="s">
        <v>1686</v>
      </c>
      <c r="L337">
        <v>0</v>
      </c>
      <c r="M337">
        <v>25100935</v>
      </c>
      <c r="N337">
        <v>0</v>
      </c>
      <c r="O337">
        <v>1444658</v>
      </c>
    </row>
    <row r="338" spans="1:15" x14ac:dyDescent="0.25">
      <c r="A338">
        <v>170</v>
      </c>
      <c r="B338" t="s">
        <v>2129</v>
      </c>
      <c r="C338" t="s">
        <v>2151</v>
      </c>
      <c r="D338">
        <v>62</v>
      </c>
      <c r="E338">
        <v>26545593</v>
      </c>
      <c r="F338" t="s">
        <v>1936</v>
      </c>
      <c r="G338">
        <v>2025</v>
      </c>
      <c r="H338" t="s">
        <v>452</v>
      </c>
      <c r="I338" t="s">
        <v>2018</v>
      </c>
      <c r="J338" t="s">
        <v>1688</v>
      </c>
      <c r="K338" t="s">
        <v>1686</v>
      </c>
      <c r="L338">
        <v>0</v>
      </c>
      <c r="M338">
        <v>26545593</v>
      </c>
      <c r="N338">
        <v>0</v>
      </c>
      <c r="O338">
        <v>0</v>
      </c>
    </row>
    <row r="339" spans="1:15" x14ac:dyDescent="0.25">
      <c r="A339">
        <v>171</v>
      </c>
      <c r="B339" t="s">
        <v>2129</v>
      </c>
      <c r="C339" t="s">
        <v>2152</v>
      </c>
      <c r="D339">
        <v>62</v>
      </c>
      <c r="E339">
        <v>26545593</v>
      </c>
      <c r="F339" t="s">
        <v>1936</v>
      </c>
      <c r="G339">
        <v>2025</v>
      </c>
      <c r="H339" t="s">
        <v>452</v>
      </c>
      <c r="I339" t="s">
        <v>2018</v>
      </c>
      <c r="J339" t="s">
        <v>1688</v>
      </c>
      <c r="K339" t="s">
        <v>1686</v>
      </c>
      <c r="L339">
        <v>0</v>
      </c>
      <c r="M339">
        <v>26545593</v>
      </c>
      <c r="N339">
        <v>0</v>
      </c>
      <c r="O339">
        <v>0</v>
      </c>
    </row>
    <row r="340" spans="1:15" x14ac:dyDescent="0.25">
      <c r="A340">
        <v>172</v>
      </c>
      <c r="B340" t="s">
        <v>2129</v>
      </c>
      <c r="C340" t="s">
        <v>2153</v>
      </c>
      <c r="D340">
        <v>62</v>
      </c>
      <c r="E340">
        <v>50609170</v>
      </c>
      <c r="F340" t="s">
        <v>1936</v>
      </c>
      <c r="G340">
        <v>2025</v>
      </c>
      <c r="H340" t="s">
        <v>452</v>
      </c>
      <c r="I340" t="s">
        <v>2018</v>
      </c>
      <c r="J340" t="s">
        <v>1688</v>
      </c>
      <c r="K340" t="s">
        <v>1686</v>
      </c>
      <c r="L340">
        <v>0</v>
      </c>
      <c r="M340">
        <v>50609170</v>
      </c>
      <c r="N340">
        <v>0</v>
      </c>
      <c r="O340">
        <v>0</v>
      </c>
    </row>
    <row r="341" spans="1:15" x14ac:dyDescent="0.25">
      <c r="A341">
        <v>173</v>
      </c>
      <c r="B341" t="s">
        <v>2129</v>
      </c>
      <c r="C341" t="s">
        <v>2154</v>
      </c>
      <c r="D341">
        <v>62</v>
      </c>
      <c r="E341">
        <v>26545593</v>
      </c>
      <c r="F341" t="s">
        <v>1936</v>
      </c>
      <c r="G341">
        <v>2025</v>
      </c>
      <c r="H341" t="s">
        <v>452</v>
      </c>
      <c r="I341" t="s">
        <v>2018</v>
      </c>
      <c r="J341" t="s">
        <v>1688</v>
      </c>
      <c r="K341" t="s">
        <v>1686</v>
      </c>
      <c r="L341">
        <v>0</v>
      </c>
      <c r="M341">
        <v>26545593</v>
      </c>
      <c r="N341">
        <v>0</v>
      </c>
      <c r="O341">
        <v>0</v>
      </c>
    </row>
    <row r="342" spans="1:15" x14ac:dyDescent="0.25">
      <c r="A342">
        <v>174</v>
      </c>
      <c r="B342" t="s">
        <v>2129</v>
      </c>
      <c r="C342" t="s">
        <v>2155</v>
      </c>
      <c r="D342">
        <v>62</v>
      </c>
      <c r="E342">
        <v>40747479</v>
      </c>
      <c r="F342" t="s">
        <v>1936</v>
      </c>
      <c r="G342">
        <v>2025</v>
      </c>
      <c r="H342" t="s">
        <v>452</v>
      </c>
      <c r="I342" t="s">
        <v>2018</v>
      </c>
      <c r="J342" t="s">
        <v>1688</v>
      </c>
      <c r="K342" t="s">
        <v>1686</v>
      </c>
      <c r="L342">
        <v>0</v>
      </c>
      <c r="M342">
        <v>38529929</v>
      </c>
      <c r="N342">
        <v>0</v>
      </c>
      <c r="O342">
        <v>2217550</v>
      </c>
    </row>
    <row r="343" spans="1:15" x14ac:dyDescent="0.25">
      <c r="A343">
        <v>175</v>
      </c>
      <c r="B343" t="s">
        <v>2156</v>
      </c>
      <c r="C343" t="s">
        <v>2157</v>
      </c>
      <c r="D343">
        <v>62</v>
      </c>
      <c r="E343">
        <v>40747479</v>
      </c>
      <c r="F343" t="s">
        <v>1936</v>
      </c>
      <c r="G343">
        <v>2025</v>
      </c>
      <c r="H343" t="s">
        <v>452</v>
      </c>
      <c r="I343" t="s">
        <v>2018</v>
      </c>
      <c r="J343" t="s">
        <v>1688</v>
      </c>
      <c r="K343" t="s">
        <v>1686</v>
      </c>
      <c r="L343">
        <v>0</v>
      </c>
      <c r="M343">
        <v>40747479</v>
      </c>
      <c r="N343">
        <v>0</v>
      </c>
      <c r="O343">
        <v>0</v>
      </c>
    </row>
    <row r="344" spans="1:15" x14ac:dyDescent="0.25">
      <c r="A344">
        <v>176</v>
      </c>
      <c r="B344" t="s">
        <v>2156</v>
      </c>
      <c r="C344" t="s">
        <v>2158</v>
      </c>
      <c r="D344">
        <v>62</v>
      </c>
      <c r="E344">
        <v>40747479</v>
      </c>
      <c r="F344" t="s">
        <v>1936</v>
      </c>
      <c r="G344">
        <v>2025</v>
      </c>
      <c r="H344" t="s">
        <v>452</v>
      </c>
      <c r="I344" t="s">
        <v>2018</v>
      </c>
      <c r="J344" t="s">
        <v>1688</v>
      </c>
      <c r="K344" t="s">
        <v>1686</v>
      </c>
      <c r="L344">
        <v>0</v>
      </c>
      <c r="M344">
        <v>40747479</v>
      </c>
      <c r="N344">
        <v>0</v>
      </c>
      <c r="O344">
        <v>0</v>
      </c>
    </row>
    <row r="345" spans="1:15" x14ac:dyDescent="0.25">
      <c r="A345">
        <v>177</v>
      </c>
      <c r="B345" t="s">
        <v>2156</v>
      </c>
      <c r="C345" t="s">
        <v>2159</v>
      </c>
      <c r="D345">
        <v>62</v>
      </c>
      <c r="E345">
        <v>26545593</v>
      </c>
      <c r="F345" t="s">
        <v>1936</v>
      </c>
      <c r="G345">
        <v>2025</v>
      </c>
      <c r="H345" t="s">
        <v>452</v>
      </c>
      <c r="I345" t="s">
        <v>2018</v>
      </c>
      <c r="J345" t="s">
        <v>1688</v>
      </c>
      <c r="K345" t="s">
        <v>1686</v>
      </c>
      <c r="L345">
        <v>0</v>
      </c>
      <c r="M345">
        <v>26545593</v>
      </c>
      <c r="N345">
        <v>0</v>
      </c>
      <c r="O345">
        <v>0</v>
      </c>
    </row>
    <row r="346" spans="1:15" x14ac:dyDescent="0.25">
      <c r="A346">
        <v>178</v>
      </c>
      <c r="B346" t="s">
        <v>2160</v>
      </c>
      <c r="C346" t="s">
        <v>2161</v>
      </c>
      <c r="D346">
        <v>62</v>
      </c>
      <c r="E346">
        <v>40747479</v>
      </c>
      <c r="F346" t="s">
        <v>1936</v>
      </c>
      <c r="G346">
        <v>2025</v>
      </c>
      <c r="H346" t="s">
        <v>452</v>
      </c>
      <c r="I346" t="s">
        <v>2018</v>
      </c>
      <c r="J346" t="s">
        <v>1688</v>
      </c>
      <c r="K346" t="s">
        <v>1686</v>
      </c>
      <c r="L346">
        <v>0</v>
      </c>
      <c r="M346">
        <v>40747479</v>
      </c>
      <c r="N346">
        <v>0</v>
      </c>
      <c r="O346">
        <v>0</v>
      </c>
    </row>
    <row r="347" spans="1:15" x14ac:dyDescent="0.25">
      <c r="A347">
        <v>179</v>
      </c>
      <c r="B347" t="s">
        <v>2160</v>
      </c>
      <c r="C347" t="s">
        <v>2162</v>
      </c>
      <c r="D347">
        <v>62</v>
      </c>
      <c r="E347">
        <v>40747479</v>
      </c>
      <c r="F347" t="s">
        <v>1936</v>
      </c>
      <c r="G347">
        <v>2025</v>
      </c>
      <c r="H347" t="s">
        <v>452</v>
      </c>
      <c r="I347" t="s">
        <v>2018</v>
      </c>
      <c r="J347" t="s">
        <v>1688</v>
      </c>
      <c r="K347" t="s">
        <v>1686</v>
      </c>
      <c r="L347">
        <v>0</v>
      </c>
      <c r="M347">
        <v>40747479</v>
      </c>
      <c r="N347">
        <v>0</v>
      </c>
      <c r="O347">
        <v>0</v>
      </c>
    </row>
    <row r="348" spans="1:15" x14ac:dyDescent="0.25">
      <c r="A348">
        <v>180</v>
      </c>
      <c r="B348" t="s">
        <v>2160</v>
      </c>
      <c r="C348" t="s">
        <v>2163</v>
      </c>
      <c r="D348">
        <v>62</v>
      </c>
      <c r="E348">
        <v>26545593</v>
      </c>
      <c r="F348" t="s">
        <v>1936</v>
      </c>
      <c r="G348">
        <v>2025</v>
      </c>
      <c r="H348" t="s">
        <v>452</v>
      </c>
      <c r="I348" t="s">
        <v>2018</v>
      </c>
      <c r="J348" t="s">
        <v>1688</v>
      </c>
      <c r="K348" t="s">
        <v>1686</v>
      </c>
      <c r="L348">
        <v>0</v>
      </c>
      <c r="M348">
        <v>25100935</v>
      </c>
      <c r="N348">
        <v>0</v>
      </c>
      <c r="O348">
        <v>1444658</v>
      </c>
    </row>
    <row r="349" spans="1:15" x14ac:dyDescent="0.25">
      <c r="A349">
        <v>181</v>
      </c>
      <c r="B349" t="s">
        <v>2160</v>
      </c>
      <c r="C349" t="s">
        <v>2164</v>
      </c>
      <c r="D349">
        <v>62</v>
      </c>
      <c r="E349">
        <v>26545593</v>
      </c>
      <c r="F349" t="s">
        <v>1936</v>
      </c>
      <c r="G349">
        <v>2025</v>
      </c>
      <c r="H349" t="s">
        <v>452</v>
      </c>
      <c r="I349" t="s">
        <v>2018</v>
      </c>
      <c r="J349" t="s">
        <v>1688</v>
      </c>
      <c r="K349" t="s">
        <v>1686</v>
      </c>
      <c r="L349">
        <v>0</v>
      </c>
      <c r="M349">
        <v>25100935</v>
      </c>
      <c r="N349">
        <v>0</v>
      </c>
      <c r="O349">
        <v>1444658</v>
      </c>
    </row>
    <row r="350" spans="1:15" x14ac:dyDescent="0.25">
      <c r="A350">
        <v>182</v>
      </c>
      <c r="B350" t="s">
        <v>2160</v>
      </c>
      <c r="C350" t="s">
        <v>2165</v>
      </c>
      <c r="D350">
        <v>62</v>
      </c>
      <c r="E350">
        <v>50609170</v>
      </c>
      <c r="F350" t="s">
        <v>1936</v>
      </c>
      <c r="G350">
        <v>2025</v>
      </c>
      <c r="H350" t="s">
        <v>452</v>
      </c>
      <c r="I350" t="s">
        <v>2018</v>
      </c>
      <c r="J350" t="s">
        <v>1688</v>
      </c>
      <c r="K350" t="s">
        <v>1686</v>
      </c>
      <c r="L350">
        <v>0</v>
      </c>
      <c r="M350">
        <v>50609170</v>
      </c>
      <c r="N350">
        <v>0</v>
      </c>
      <c r="O350">
        <v>0</v>
      </c>
    </row>
    <row r="351" spans="1:15" x14ac:dyDescent="0.25">
      <c r="A351">
        <v>183</v>
      </c>
      <c r="B351" t="s">
        <v>2160</v>
      </c>
      <c r="C351" t="s">
        <v>2166</v>
      </c>
      <c r="D351">
        <v>62</v>
      </c>
      <c r="E351">
        <v>40747479</v>
      </c>
      <c r="F351" t="s">
        <v>1936</v>
      </c>
      <c r="G351">
        <v>2025</v>
      </c>
      <c r="H351" t="s">
        <v>452</v>
      </c>
      <c r="I351" t="s">
        <v>2018</v>
      </c>
      <c r="J351" t="s">
        <v>1688</v>
      </c>
      <c r="K351" t="s">
        <v>1686</v>
      </c>
      <c r="L351">
        <v>0</v>
      </c>
      <c r="M351">
        <v>40747479</v>
      </c>
      <c r="N351">
        <v>0</v>
      </c>
      <c r="O351">
        <v>0</v>
      </c>
    </row>
    <row r="352" spans="1:15" x14ac:dyDescent="0.25">
      <c r="A352">
        <v>184</v>
      </c>
      <c r="B352" t="s">
        <v>2160</v>
      </c>
      <c r="C352" t="s">
        <v>2167</v>
      </c>
      <c r="D352">
        <v>62</v>
      </c>
      <c r="E352">
        <v>50609170</v>
      </c>
      <c r="F352" t="s">
        <v>1936</v>
      </c>
      <c r="G352">
        <v>2025</v>
      </c>
      <c r="H352" t="s">
        <v>452</v>
      </c>
      <c r="I352" t="s">
        <v>2018</v>
      </c>
      <c r="J352" t="s">
        <v>1688</v>
      </c>
      <c r="K352" t="s">
        <v>1686</v>
      </c>
      <c r="L352">
        <v>0</v>
      </c>
      <c r="M352">
        <v>47854929</v>
      </c>
      <c r="N352">
        <v>0</v>
      </c>
      <c r="O352">
        <v>2754241</v>
      </c>
    </row>
    <row r="353" spans="1:15" x14ac:dyDescent="0.25">
      <c r="A353">
        <v>185</v>
      </c>
      <c r="B353" t="s">
        <v>2160</v>
      </c>
      <c r="C353" t="s">
        <v>2168</v>
      </c>
      <c r="D353">
        <v>62</v>
      </c>
      <c r="E353">
        <v>61147776</v>
      </c>
      <c r="F353" t="s">
        <v>1936</v>
      </c>
      <c r="G353">
        <v>2025</v>
      </c>
      <c r="H353" t="s">
        <v>452</v>
      </c>
      <c r="I353" t="s">
        <v>2018</v>
      </c>
      <c r="J353" t="s">
        <v>1688</v>
      </c>
      <c r="K353" t="s">
        <v>1686</v>
      </c>
      <c r="L353">
        <v>0</v>
      </c>
      <c r="M353">
        <v>61147776</v>
      </c>
      <c r="N353">
        <v>0</v>
      </c>
      <c r="O353">
        <v>0</v>
      </c>
    </row>
    <row r="354" spans="1:15" x14ac:dyDescent="0.25">
      <c r="A354">
        <v>186</v>
      </c>
      <c r="B354" t="s">
        <v>2160</v>
      </c>
      <c r="C354" t="s">
        <v>2169</v>
      </c>
      <c r="D354">
        <v>62</v>
      </c>
      <c r="E354">
        <v>40747479</v>
      </c>
      <c r="F354" t="s">
        <v>1936</v>
      </c>
      <c r="G354">
        <v>2025</v>
      </c>
      <c r="H354" t="s">
        <v>452</v>
      </c>
      <c r="I354" t="s">
        <v>2018</v>
      </c>
      <c r="J354" t="s">
        <v>1688</v>
      </c>
      <c r="K354" t="s">
        <v>1686</v>
      </c>
      <c r="L354">
        <v>0</v>
      </c>
      <c r="M354">
        <v>40747479</v>
      </c>
      <c r="N354">
        <v>0</v>
      </c>
      <c r="O354">
        <v>0</v>
      </c>
    </row>
    <row r="355" spans="1:15" x14ac:dyDescent="0.25">
      <c r="A355">
        <v>187</v>
      </c>
      <c r="B355" t="s">
        <v>2160</v>
      </c>
      <c r="C355" t="s">
        <v>2170</v>
      </c>
      <c r="D355">
        <v>62</v>
      </c>
      <c r="E355">
        <v>40747479</v>
      </c>
      <c r="F355" t="s">
        <v>1936</v>
      </c>
      <c r="G355">
        <v>2025</v>
      </c>
      <c r="H355" t="s">
        <v>452</v>
      </c>
      <c r="I355" t="s">
        <v>2018</v>
      </c>
      <c r="J355" t="s">
        <v>1688</v>
      </c>
      <c r="K355" t="s">
        <v>1686</v>
      </c>
      <c r="L355">
        <v>0</v>
      </c>
      <c r="M355">
        <v>40747479</v>
      </c>
      <c r="N355">
        <v>0</v>
      </c>
      <c r="O355">
        <v>0</v>
      </c>
    </row>
    <row r="356" spans="1:15" x14ac:dyDescent="0.25">
      <c r="A356">
        <v>188</v>
      </c>
      <c r="B356" t="s">
        <v>2160</v>
      </c>
      <c r="C356" t="s">
        <v>2171</v>
      </c>
      <c r="D356">
        <v>62</v>
      </c>
      <c r="E356">
        <v>40747479</v>
      </c>
      <c r="F356" t="s">
        <v>1936</v>
      </c>
      <c r="G356">
        <v>2025</v>
      </c>
      <c r="H356" t="s">
        <v>452</v>
      </c>
      <c r="I356" t="s">
        <v>2018</v>
      </c>
      <c r="J356" t="s">
        <v>1688</v>
      </c>
      <c r="K356" t="s">
        <v>1686</v>
      </c>
      <c r="L356">
        <v>0</v>
      </c>
      <c r="M356">
        <v>40747479</v>
      </c>
      <c r="N356">
        <v>0</v>
      </c>
      <c r="O356">
        <v>0</v>
      </c>
    </row>
    <row r="357" spans="1:15" x14ac:dyDescent="0.25">
      <c r="A357">
        <v>189</v>
      </c>
      <c r="B357" t="s">
        <v>2160</v>
      </c>
      <c r="C357" t="s">
        <v>2172</v>
      </c>
      <c r="D357">
        <v>62</v>
      </c>
      <c r="E357">
        <v>50609170</v>
      </c>
      <c r="F357" t="s">
        <v>1936</v>
      </c>
      <c r="G357">
        <v>2025</v>
      </c>
      <c r="H357" t="s">
        <v>452</v>
      </c>
      <c r="I357" t="s">
        <v>2018</v>
      </c>
      <c r="J357" t="s">
        <v>1688</v>
      </c>
      <c r="K357" t="s">
        <v>1686</v>
      </c>
      <c r="L357">
        <v>0</v>
      </c>
      <c r="M357">
        <v>47854929</v>
      </c>
      <c r="N357">
        <v>0</v>
      </c>
      <c r="O357">
        <v>2754241</v>
      </c>
    </row>
    <row r="358" spans="1:15" x14ac:dyDescent="0.25">
      <c r="A358">
        <v>190</v>
      </c>
      <c r="B358" t="s">
        <v>2160</v>
      </c>
      <c r="C358" t="s">
        <v>2173</v>
      </c>
      <c r="D358">
        <v>62</v>
      </c>
      <c r="E358">
        <v>40747479</v>
      </c>
      <c r="F358" t="s">
        <v>1936</v>
      </c>
      <c r="G358">
        <v>2025</v>
      </c>
      <c r="H358" t="s">
        <v>452</v>
      </c>
      <c r="I358" t="s">
        <v>2018</v>
      </c>
      <c r="J358" t="s">
        <v>1688</v>
      </c>
      <c r="K358" t="s">
        <v>1686</v>
      </c>
      <c r="L358">
        <v>0</v>
      </c>
      <c r="M358">
        <v>40747479</v>
      </c>
      <c r="N358">
        <v>0</v>
      </c>
      <c r="O358">
        <v>0</v>
      </c>
    </row>
    <row r="359" spans="1:15" x14ac:dyDescent="0.25">
      <c r="A359">
        <v>191</v>
      </c>
      <c r="B359" t="s">
        <v>2160</v>
      </c>
      <c r="C359" t="s">
        <v>2174</v>
      </c>
      <c r="D359">
        <v>62</v>
      </c>
      <c r="E359">
        <v>40747479</v>
      </c>
      <c r="F359" t="s">
        <v>1936</v>
      </c>
      <c r="G359">
        <v>2025</v>
      </c>
      <c r="H359" t="s">
        <v>452</v>
      </c>
      <c r="I359" t="s">
        <v>2018</v>
      </c>
      <c r="J359" t="s">
        <v>1688</v>
      </c>
      <c r="K359" t="s">
        <v>1686</v>
      </c>
      <c r="L359">
        <v>0</v>
      </c>
      <c r="M359">
        <v>40747479</v>
      </c>
      <c r="N359">
        <v>0</v>
      </c>
      <c r="O359">
        <v>0</v>
      </c>
    </row>
    <row r="360" spans="1:15" x14ac:dyDescent="0.25">
      <c r="A360">
        <v>192</v>
      </c>
      <c r="B360" t="s">
        <v>2160</v>
      </c>
      <c r="C360" t="s">
        <v>2175</v>
      </c>
      <c r="D360">
        <v>62</v>
      </c>
      <c r="E360">
        <v>40747479</v>
      </c>
      <c r="F360" t="s">
        <v>1936</v>
      </c>
      <c r="G360">
        <v>2025</v>
      </c>
      <c r="H360" t="s">
        <v>452</v>
      </c>
      <c r="I360" t="s">
        <v>2018</v>
      </c>
      <c r="J360" t="s">
        <v>1688</v>
      </c>
      <c r="K360" t="s">
        <v>1686</v>
      </c>
      <c r="L360">
        <v>0</v>
      </c>
      <c r="M360">
        <v>40747479</v>
      </c>
      <c r="N360">
        <v>0</v>
      </c>
      <c r="O360">
        <v>0</v>
      </c>
    </row>
    <row r="361" spans="1:15" x14ac:dyDescent="0.25">
      <c r="A361">
        <v>193</v>
      </c>
      <c r="B361" t="s">
        <v>2160</v>
      </c>
      <c r="C361" t="s">
        <v>2176</v>
      </c>
      <c r="D361">
        <v>62</v>
      </c>
      <c r="E361">
        <v>40747479</v>
      </c>
      <c r="F361" t="s">
        <v>1936</v>
      </c>
      <c r="G361">
        <v>2025</v>
      </c>
      <c r="H361" t="s">
        <v>452</v>
      </c>
      <c r="I361" t="s">
        <v>2018</v>
      </c>
      <c r="J361" t="s">
        <v>1688</v>
      </c>
      <c r="K361" t="s">
        <v>1686</v>
      </c>
      <c r="L361">
        <v>0</v>
      </c>
      <c r="M361">
        <v>40747479</v>
      </c>
      <c r="N361">
        <v>0</v>
      </c>
      <c r="O361">
        <v>0</v>
      </c>
    </row>
    <row r="362" spans="1:15" x14ac:dyDescent="0.25">
      <c r="A362">
        <v>194</v>
      </c>
      <c r="B362" t="s">
        <v>2160</v>
      </c>
      <c r="C362" t="s">
        <v>2177</v>
      </c>
      <c r="D362">
        <v>62</v>
      </c>
      <c r="E362">
        <v>26545593</v>
      </c>
      <c r="F362" t="s">
        <v>1936</v>
      </c>
      <c r="G362">
        <v>2025</v>
      </c>
      <c r="H362" t="s">
        <v>452</v>
      </c>
      <c r="I362" t="s">
        <v>2018</v>
      </c>
      <c r="J362" t="s">
        <v>1688</v>
      </c>
      <c r="K362" t="s">
        <v>1686</v>
      </c>
      <c r="L362">
        <v>0</v>
      </c>
      <c r="M362">
        <v>26545593</v>
      </c>
      <c r="N362">
        <v>0</v>
      </c>
      <c r="O362">
        <v>0</v>
      </c>
    </row>
    <row r="363" spans="1:15" x14ac:dyDescent="0.25">
      <c r="A363">
        <v>195</v>
      </c>
      <c r="B363" t="s">
        <v>2160</v>
      </c>
      <c r="C363" t="s">
        <v>2178</v>
      </c>
      <c r="D363">
        <v>62</v>
      </c>
      <c r="E363">
        <v>40747479</v>
      </c>
      <c r="F363" t="s">
        <v>1936</v>
      </c>
      <c r="G363">
        <v>2025</v>
      </c>
      <c r="H363" t="s">
        <v>452</v>
      </c>
      <c r="I363" t="s">
        <v>2018</v>
      </c>
      <c r="J363" t="s">
        <v>1688</v>
      </c>
      <c r="K363" t="s">
        <v>1686</v>
      </c>
      <c r="L363">
        <v>0</v>
      </c>
      <c r="M363">
        <v>40747479</v>
      </c>
      <c r="N363">
        <v>0</v>
      </c>
      <c r="O363">
        <v>0</v>
      </c>
    </row>
    <row r="364" spans="1:15" x14ac:dyDescent="0.25">
      <c r="A364">
        <v>196</v>
      </c>
      <c r="B364" t="s">
        <v>2160</v>
      </c>
      <c r="C364" t="s">
        <v>2179</v>
      </c>
      <c r="D364">
        <v>62</v>
      </c>
      <c r="E364">
        <v>50609170</v>
      </c>
      <c r="F364" t="s">
        <v>1936</v>
      </c>
      <c r="G364">
        <v>2025</v>
      </c>
      <c r="H364" t="s">
        <v>452</v>
      </c>
      <c r="I364" t="s">
        <v>2018</v>
      </c>
      <c r="J364" t="s">
        <v>1688</v>
      </c>
      <c r="K364" t="s">
        <v>1686</v>
      </c>
      <c r="L364">
        <v>0</v>
      </c>
      <c r="M364">
        <v>50609170</v>
      </c>
      <c r="N364">
        <v>0</v>
      </c>
      <c r="O364">
        <v>0</v>
      </c>
    </row>
    <row r="365" spans="1:15" x14ac:dyDescent="0.25">
      <c r="A365">
        <v>197</v>
      </c>
      <c r="B365" t="s">
        <v>2160</v>
      </c>
      <c r="C365" t="s">
        <v>2180</v>
      </c>
      <c r="D365">
        <v>62</v>
      </c>
      <c r="E365">
        <v>40747479</v>
      </c>
      <c r="F365" t="s">
        <v>1936</v>
      </c>
      <c r="G365">
        <v>2025</v>
      </c>
      <c r="H365" t="s">
        <v>452</v>
      </c>
      <c r="I365" t="s">
        <v>2018</v>
      </c>
      <c r="J365" t="s">
        <v>1688</v>
      </c>
      <c r="K365" t="s">
        <v>1686</v>
      </c>
      <c r="L365">
        <v>0</v>
      </c>
      <c r="M365">
        <v>40747479</v>
      </c>
      <c r="N365">
        <v>0</v>
      </c>
      <c r="O365">
        <v>0</v>
      </c>
    </row>
    <row r="366" spans="1:15" x14ac:dyDescent="0.25">
      <c r="A366">
        <v>198</v>
      </c>
      <c r="B366" t="s">
        <v>2160</v>
      </c>
      <c r="C366" t="s">
        <v>2181</v>
      </c>
      <c r="D366">
        <v>62</v>
      </c>
      <c r="E366">
        <v>50609170</v>
      </c>
      <c r="F366" t="s">
        <v>1936</v>
      </c>
      <c r="G366">
        <v>2025</v>
      </c>
      <c r="H366" t="s">
        <v>452</v>
      </c>
      <c r="I366" t="s">
        <v>2018</v>
      </c>
      <c r="J366" t="s">
        <v>1688</v>
      </c>
      <c r="K366" t="s">
        <v>1686</v>
      </c>
      <c r="L366">
        <v>0</v>
      </c>
      <c r="M366">
        <v>50609170</v>
      </c>
      <c r="N366">
        <v>0</v>
      </c>
      <c r="O366">
        <v>0</v>
      </c>
    </row>
    <row r="367" spans="1:15" x14ac:dyDescent="0.25">
      <c r="A367">
        <v>199</v>
      </c>
      <c r="B367" t="s">
        <v>2160</v>
      </c>
      <c r="C367" t="s">
        <v>2182</v>
      </c>
      <c r="D367">
        <v>62</v>
      </c>
      <c r="E367">
        <v>61147776</v>
      </c>
      <c r="F367" t="s">
        <v>1936</v>
      </c>
      <c r="G367">
        <v>2025</v>
      </c>
      <c r="H367" t="s">
        <v>452</v>
      </c>
      <c r="I367" t="s">
        <v>2018</v>
      </c>
      <c r="J367" t="s">
        <v>1688</v>
      </c>
      <c r="K367" t="s">
        <v>1686</v>
      </c>
      <c r="L367">
        <v>0</v>
      </c>
      <c r="M367">
        <v>61147776</v>
      </c>
      <c r="N367">
        <v>0</v>
      </c>
      <c r="O367">
        <v>0</v>
      </c>
    </row>
    <row r="368" spans="1:15" x14ac:dyDescent="0.25">
      <c r="A368">
        <v>200</v>
      </c>
      <c r="B368" t="s">
        <v>2160</v>
      </c>
      <c r="C368" t="s">
        <v>2183</v>
      </c>
      <c r="D368">
        <v>62</v>
      </c>
      <c r="E368">
        <v>61147776</v>
      </c>
      <c r="F368" t="s">
        <v>1936</v>
      </c>
      <c r="G368">
        <v>2025</v>
      </c>
      <c r="H368" t="s">
        <v>452</v>
      </c>
      <c r="I368" t="s">
        <v>2018</v>
      </c>
      <c r="J368" t="s">
        <v>1688</v>
      </c>
      <c r="K368" t="s">
        <v>1686</v>
      </c>
      <c r="L368">
        <v>0</v>
      </c>
      <c r="M368">
        <v>61147776</v>
      </c>
      <c r="N368">
        <v>0</v>
      </c>
      <c r="O368">
        <v>0</v>
      </c>
    </row>
    <row r="369" spans="1:15" x14ac:dyDescent="0.25">
      <c r="A369">
        <v>201</v>
      </c>
      <c r="B369" t="s">
        <v>2160</v>
      </c>
      <c r="C369" t="s">
        <v>2184</v>
      </c>
      <c r="D369">
        <v>62</v>
      </c>
      <c r="E369">
        <v>40747479</v>
      </c>
      <c r="F369" t="s">
        <v>1936</v>
      </c>
      <c r="G369">
        <v>2025</v>
      </c>
      <c r="H369" t="s">
        <v>452</v>
      </c>
      <c r="I369" t="s">
        <v>2018</v>
      </c>
      <c r="J369" t="s">
        <v>1688</v>
      </c>
      <c r="K369" t="s">
        <v>1686</v>
      </c>
      <c r="L369">
        <v>0</v>
      </c>
      <c r="M369">
        <v>38529929</v>
      </c>
      <c r="N369">
        <v>0</v>
      </c>
      <c r="O369">
        <v>2217550</v>
      </c>
    </row>
    <row r="370" spans="1:15" x14ac:dyDescent="0.25">
      <c r="A370">
        <v>202</v>
      </c>
      <c r="B370" t="s">
        <v>2160</v>
      </c>
      <c r="C370" t="s">
        <v>2185</v>
      </c>
      <c r="D370">
        <v>62</v>
      </c>
      <c r="E370">
        <v>40747479</v>
      </c>
      <c r="F370" t="s">
        <v>1936</v>
      </c>
      <c r="G370">
        <v>2025</v>
      </c>
      <c r="H370" t="s">
        <v>452</v>
      </c>
      <c r="I370" t="s">
        <v>2018</v>
      </c>
      <c r="J370" t="s">
        <v>1688</v>
      </c>
      <c r="K370" t="s">
        <v>1686</v>
      </c>
      <c r="L370">
        <v>0</v>
      </c>
      <c r="M370">
        <v>40747479</v>
      </c>
      <c r="N370">
        <v>0</v>
      </c>
      <c r="O370">
        <v>0</v>
      </c>
    </row>
    <row r="371" spans="1:15" x14ac:dyDescent="0.25">
      <c r="A371">
        <v>203</v>
      </c>
      <c r="B371" t="s">
        <v>2160</v>
      </c>
      <c r="C371" t="s">
        <v>2186</v>
      </c>
      <c r="D371">
        <v>62</v>
      </c>
      <c r="E371">
        <v>40747479</v>
      </c>
      <c r="F371" t="s">
        <v>1936</v>
      </c>
      <c r="G371">
        <v>2025</v>
      </c>
      <c r="H371" t="s">
        <v>452</v>
      </c>
      <c r="I371" t="s">
        <v>2018</v>
      </c>
      <c r="J371" t="s">
        <v>1688</v>
      </c>
      <c r="K371" t="s">
        <v>1686</v>
      </c>
      <c r="L371">
        <v>0</v>
      </c>
      <c r="M371">
        <v>40747479</v>
      </c>
      <c r="N371">
        <v>0</v>
      </c>
      <c r="O371">
        <v>0</v>
      </c>
    </row>
    <row r="372" spans="1:15" x14ac:dyDescent="0.25">
      <c r="A372">
        <v>204</v>
      </c>
      <c r="B372" t="s">
        <v>2160</v>
      </c>
      <c r="C372" t="s">
        <v>2187</v>
      </c>
      <c r="D372">
        <v>62</v>
      </c>
      <c r="E372">
        <v>26545593</v>
      </c>
      <c r="F372" t="s">
        <v>1936</v>
      </c>
      <c r="G372">
        <v>2025</v>
      </c>
      <c r="H372" t="s">
        <v>452</v>
      </c>
      <c r="I372" t="s">
        <v>2018</v>
      </c>
      <c r="J372" t="s">
        <v>1688</v>
      </c>
      <c r="K372" t="s">
        <v>1686</v>
      </c>
      <c r="L372">
        <v>0</v>
      </c>
      <c r="M372">
        <v>26545593</v>
      </c>
      <c r="N372">
        <v>0</v>
      </c>
      <c r="O372">
        <v>0</v>
      </c>
    </row>
    <row r="373" spans="1:15" x14ac:dyDescent="0.25">
      <c r="A373">
        <v>205</v>
      </c>
      <c r="B373" t="s">
        <v>2160</v>
      </c>
      <c r="C373" t="s">
        <v>2188</v>
      </c>
      <c r="D373">
        <v>62</v>
      </c>
      <c r="E373">
        <v>40747479</v>
      </c>
      <c r="F373" t="s">
        <v>1936</v>
      </c>
      <c r="G373">
        <v>2025</v>
      </c>
      <c r="H373" t="s">
        <v>452</v>
      </c>
      <c r="I373" t="s">
        <v>2018</v>
      </c>
      <c r="J373" t="s">
        <v>1688</v>
      </c>
      <c r="K373" t="s">
        <v>1686</v>
      </c>
      <c r="L373">
        <v>0</v>
      </c>
      <c r="M373">
        <v>38529929</v>
      </c>
      <c r="N373">
        <v>0</v>
      </c>
      <c r="O373">
        <v>2217550</v>
      </c>
    </row>
    <row r="374" spans="1:15" x14ac:dyDescent="0.25">
      <c r="A374">
        <v>206</v>
      </c>
      <c r="B374" t="s">
        <v>2160</v>
      </c>
      <c r="C374" t="s">
        <v>2189</v>
      </c>
      <c r="D374">
        <v>62</v>
      </c>
      <c r="E374">
        <v>26545593</v>
      </c>
      <c r="F374" t="s">
        <v>1936</v>
      </c>
      <c r="G374">
        <v>2025</v>
      </c>
      <c r="H374" t="s">
        <v>452</v>
      </c>
      <c r="I374" t="s">
        <v>2018</v>
      </c>
      <c r="J374" t="s">
        <v>1688</v>
      </c>
      <c r="K374" t="s">
        <v>1686</v>
      </c>
      <c r="L374">
        <v>0</v>
      </c>
      <c r="M374">
        <v>26545593</v>
      </c>
      <c r="N374">
        <v>0</v>
      </c>
      <c r="O374">
        <v>0</v>
      </c>
    </row>
    <row r="375" spans="1:15" x14ac:dyDescent="0.25">
      <c r="A375">
        <v>207</v>
      </c>
      <c r="B375" t="s">
        <v>2160</v>
      </c>
      <c r="C375" t="s">
        <v>2190</v>
      </c>
      <c r="D375">
        <v>62</v>
      </c>
      <c r="E375">
        <v>50609170</v>
      </c>
      <c r="F375" t="s">
        <v>1936</v>
      </c>
      <c r="G375">
        <v>2025</v>
      </c>
      <c r="H375" t="s">
        <v>452</v>
      </c>
      <c r="I375" t="s">
        <v>2018</v>
      </c>
      <c r="J375" t="s">
        <v>1688</v>
      </c>
      <c r="K375" t="s">
        <v>1686</v>
      </c>
      <c r="L375">
        <v>0</v>
      </c>
      <c r="M375">
        <v>50609170</v>
      </c>
      <c r="N375">
        <v>0</v>
      </c>
      <c r="O375">
        <v>0</v>
      </c>
    </row>
    <row r="376" spans="1:15" x14ac:dyDescent="0.25">
      <c r="A376">
        <v>208</v>
      </c>
      <c r="B376" t="s">
        <v>2160</v>
      </c>
      <c r="C376" t="s">
        <v>2191</v>
      </c>
      <c r="D376">
        <v>62</v>
      </c>
      <c r="E376">
        <v>50609170</v>
      </c>
      <c r="F376" t="s">
        <v>1936</v>
      </c>
      <c r="G376">
        <v>2025</v>
      </c>
      <c r="H376" t="s">
        <v>452</v>
      </c>
      <c r="I376" t="s">
        <v>2018</v>
      </c>
      <c r="J376" t="s">
        <v>1688</v>
      </c>
      <c r="K376" t="s">
        <v>1686</v>
      </c>
      <c r="L376">
        <v>0</v>
      </c>
      <c r="M376">
        <v>50609170</v>
      </c>
      <c r="N376">
        <v>0</v>
      </c>
      <c r="O376">
        <v>0</v>
      </c>
    </row>
    <row r="377" spans="1:15" x14ac:dyDescent="0.25">
      <c r="A377">
        <v>209</v>
      </c>
      <c r="B377" t="s">
        <v>2160</v>
      </c>
      <c r="C377" t="s">
        <v>2192</v>
      </c>
      <c r="D377">
        <v>62</v>
      </c>
      <c r="E377">
        <v>50609170</v>
      </c>
      <c r="F377" t="s">
        <v>1936</v>
      </c>
      <c r="G377">
        <v>2025</v>
      </c>
      <c r="H377" t="s">
        <v>452</v>
      </c>
      <c r="I377" t="s">
        <v>2018</v>
      </c>
      <c r="J377" t="s">
        <v>1688</v>
      </c>
      <c r="K377" t="s">
        <v>1686</v>
      </c>
      <c r="L377">
        <v>0</v>
      </c>
      <c r="M377">
        <v>50609170</v>
      </c>
      <c r="N377">
        <v>0</v>
      </c>
      <c r="O377">
        <v>0</v>
      </c>
    </row>
    <row r="378" spans="1:15" x14ac:dyDescent="0.25">
      <c r="A378">
        <v>210</v>
      </c>
      <c r="B378" t="s">
        <v>2160</v>
      </c>
      <c r="C378" t="s">
        <v>2193</v>
      </c>
      <c r="D378">
        <v>62</v>
      </c>
      <c r="E378">
        <v>50609170</v>
      </c>
      <c r="F378" t="s">
        <v>1936</v>
      </c>
      <c r="G378">
        <v>2025</v>
      </c>
      <c r="H378" t="s">
        <v>452</v>
      </c>
      <c r="I378" t="s">
        <v>2018</v>
      </c>
      <c r="J378" t="s">
        <v>1688</v>
      </c>
      <c r="K378" t="s">
        <v>1686</v>
      </c>
      <c r="L378">
        <v>0</v>
      </c>
      <c r="M378">
        <v>50609170</v>
      </c>
      <c r="N378">
        <v>0</v>
      </c>
      <c r="O378">
        <v>0</v>
      </c>
    </row>
    <row r="379" spans="1:15" x14ac:dyDescent="0.25">
      <c r="A379">
        <v>211</v>
      </c>
      <c r="B379" t="s">
        <v>2160</v>
      </c>
      <c r="C379" t="s">
        <v>2194</v>
      </c>
      <c r="D379">
        <v>62</v>
      </c>
      <c r="E379">
        <v>26545593</v>
      </c>
      <c r="F379" t="s">
        <v>1936</v>
      </c>
      <c r="G379">
        <v>2025</v>
      </c>
      <c r="H379" t="s">
        <v>452</v>
      </c>
      <c r="I379" t="s">
        <v>2018</v>
      </c>
      <c r="J379" t="s">
        <v>1688</v>
      </c>
      <c r="K379" t="s">
        <v>1686</v>
      </c>
      <c r="L379">
        <v>0</v>
      </c>
      <c r="M379">
        <v>0</v>
      </c>
      <c r="N379">
        <v>0</v>
      </c>
      <c r="O379">
        <v>26545593</v>
      </c>
    </row>
    <row r="380" spans="1:15" x14ac:dyDescent="0.25">
      <c r="A380">
        <v>212</v>
      </c>
      <c r="B380" t="s">
        <v>2160</v>
      </c>
      <c r="C380" t="s">
        <v>2195</v>
      </c>
      <c r="D380">
        <v>62</v>
      </c>
      <c r="E380">
        <v>61147776</v>
      </c>
      <c r="F380" t="s">
        <v>1936</v>
      </c>
      <c r="G380">
        <v>2025</v>
      </c>
      <c r="H380" t="s">
        <v>452</v>
      </c>
      <c r="I380" t="s">
        <v>2018</v>
      </c>
      <c r="J380" t="s">
        <v>1688</v>
      </c>
      <c r="K380" t="s">
        <v>1686</v>
      </c>
      <c r="L380">
        <v>0</v>
      </c>
      <c r="M380">
        <v>61147776</v>
      </c>
      <c r="N380">
        <v>0</v>
      </c>
      <c r="O380">
        <v>0</v>
      </c>
    </row>
    <row r="381" spans="1:15" x14ac:dyDescent="0.25">
      <c r="A381">
        <v>213</v>
      </c>
      <c r="B381" t="s">
        <v>2160</v>
      </c>
      <c r="C381" t="s">
        <v>2196</v>
      </c>
      <c r="D381">
        <v>62</v>
      </c>
      <c r="E381">
        <v>61147776</v>
      </c>
      <c r="F381" t="s">
        <v>1936</v>
      </c>
      <c r="G381">
        <v>2025</v>
      </c>
      <c r="H381" t="s">
        <v>452</v>
      </c>
      <c r="I381" t="s">
        <v>2018</v>
      </c>
      <c r="J381" t="s">
        <v>1688</v>
      </c>
      <c r="K381" t="s">
        <v>1686</v>
      </c>
      <c r="L381">
        <v>0</v>
      </c>
      <c r="M381">
        <v>61147776</v>
      </c>
      <c r="N381">
        <v>0</v>
      </c>
      <c r="O381">
        <v>0</v>
      </c>
    </row>
    <row r="382" spans="1:15" x14ac:dyDescent="0.25">
      <c r="A382">
        <v>214</v>
      </c>
      <c r="B382" t="s">
        <v>2160</v>
      </c>
      <c r="C382" t="s">
        <v>2197</v>
      </c>
      <c r="D382">
        <v>62</v>
      </c>
      <c r="E382">
        <v>61147776</v>
      </c>
      <c r="F382" t="s">
        <v>1936</v>
      </c>
      <c r="G382">
        <v>2025</v>
      </c>
      <c r="H382" t="s">
        <v>452</v>
      </c>
      <c r="I382" t="s">
        <v>2018</v>
      </c>
      <c r="J382" t="s">
        <v>1688</v>
      </c>
      <c r="K382" t="s">
        <v>1686</v>
      </c>
      <c r="L382">
        <v>0</v>
      </c>
      <c r="M382">
        <v>61147776</v>
      </c>
      <c r="N382">
        <v>0</v>
      </c>
      <c r="O382">
        <v>0</v>
      </c>
    </row>
    <row r="383" spans="1:15" x14ac:dyDescent="0.25">
      <c r="A383">
        <v>215</v>
      </c>
      <c r="B383" t="s">
        <v>2160</v>
      </c>
      <c r="C383" t="s">
        <v>2198</v>
      </c>
      <c r="D383">
        <v>62</v>
      </c>
      <c r="E383">
        <v>26545593</v>
      </c>
      <c r="F383" t="s">
        <v>1936</v>
      </c>
      <c r="G383">
        <v>2025</v>
      </c>
      <c r="H383" t="s">
        <v>452</v>
      </c>
      <c r="I383" t="s">
        <v>2018</v>
      </c>
      <c r="J383" t="s">
        <v>1688</v>
      </c>
      <c r="K383" t="s">
        <v>1686</v>
      </c>
      <c r="L383">
        <v>0</v>
      </c>
      <c r="M383">
        <v>25100935</v>
      </c>
      <c r="N383">
        <v>0</v>
      </c>
      <c r="O383">
        <v>1444658</v>
      </c>
    </row>
    <row r="384" spans="1:15" x14ac:dyDescent="0.25">
      <c r="A384">
        <v>216</v>
      </c>
      <c r="B384" t="s">
        <v>2160</v>
      </c>
      <c r="C384" t="s">
        <v>2199</v>
      </c>
      <c r="D384">
        <v>62</v>
      </c>
      <c r="E384">
        <v>61147776</v>
      </c>
      <c r="F384" t="s">
        <v>1936</v>
      </c>
      <c r="G384">
        <v>2025</v>
      </c>
      <c r="H384" t="s">
        <v>452</v>
      </c>
      <c r="I384" t="s">
        <v>2018</v>
      </c>
      <c r="J384" t="s">
        <v>1688</v>
      </c>
      <c r="K384" t="s">
        <v>1686</v>
      </c>
      <c r="L384">
        <v>0</v>
      </c>
      <c r="M384">
        <v>57820006</v>
      </c>
      <c r="N384">
        <v>0</v>
      </c>
      <c r="O384">
        <v>3327770</v>
      </c>
    </row>
    <row r="385" spans="1:15" x14ac:dyDescent="0.25">
      <c r="A385">
        <v>217</v>
      </c>
      <c r="B385" t="s">
        <v>2160</v>
      </c>
      <c r="C385" t="s">
        <v>2200</v>
      </c>
      <c r="D385">
        <v>62</v>
      </c>
      <c r="E385">
        <v>71344176</v>
      </c>
      <c r="F385" t="s">
        <v>1936</v>
      </c>
      <c r="G385">
        <v>2025</v>
      </c>
      <c r="H385" t="s">
        <v>452</v>
      </c>
      <c r="I385" t="s">
        <v>2018</v>
      </c>
      <c r="J385" t="s">
        <v>1688</v>
      </c>
      <c r="K385" t="s">
        <v>1686</v>
      </c>
      <c r="L385">
        <v>0</v>
      </c>
      <c r="M385">
        <v>67461500</v>
      </c>
      <c r="N385">
        <v>0</v>
      </c>
      <c r="O385">
        <v>3882676</v>
      </c>
    </row>
    <row r="386" spans="1:15" x14ac:dyDescent="0.25">
      <c r="A386">
        <v>218</v>
      </c>
      <c r="B386" t="s">
        <v>2160</v>
      </c>
      <c r="C386" t="s">
        <v>2201</v>
      </c>
      <c r="D386">
        <v>62</v>
      </c>
      <c r="E386">
        <v>61147776</v>
      </c>
      <c r="F386" t="s">
        <v>1936</v>
      </c>
      <c r="G386">
        <v>2025</v>
      </c>
      <c r="H386" t="s">
        <v>452</v>
      </c>
      <c r="I386" t="s">
        <v>2018</v>
      </c>
      <c r="J386" t="s">
        <v>1688</v>
      </c>
      <c r="K386" t="s">
        <v>1686</v>
      </c>
      <c r="L386">
        <v>0</v>
      </c>
      <c r="M386">
        <v>61147776</v>
      </c>
      <c r="N386">
        <v>0</v>
      </c>
      <c r="O386">
        <v>0</v>
      </c>
    </row>
    <row r="387" spans="1:15" x14ac:dyDescent="0.25">
      <c r="A387">
        <v>219</v>
      </c>
      <c r="B387" t="s">
        <v>2160</v>
      </c>
      <c r="C387" t="s">
        <v>2202</v>
      </c>
      <c r="D387">
        <v>62</v>
      </c>
      <c r="E387">
        <v>81536206</v>
      </c>
      <c r="F387" t="s">
        <v>1936</v>
      </c>
      <c r="G387">
        <v>2025</v>
      </c>
      <c r="H387" t="s">
        <v>452</v>
      </c>
      <c r="I387" t="s">
        <v>2018</v>
      </c>
      <c r="J387" t="s">
        <v>1688</v>
      </c>
      <c r="K387" t="s">
        <v>1686</v>
      </c>
      <c r="L387">
        <v>0</v>
      </c>
      <c r="M387">
        <v>77098861</v>
      </c>
      <c r="N387">
        <v>0</v>
      </c>
      <c r="O387">
        <v>4437345</v>
      </c>
    </row>
    <row r="388" spans="1:15" x14ac:dyDescent="0.25">
      <c r="A388">
        <v>220</v>
      </c>
      <c r="B388" t="s">
        <v>2160</v>
      </c>
      <c r="C388" t="s">
        <v>2203</v>
      </c>
      <c r="D388">
        <v>62</v>
      </c>
      <c r="E388">
        <v>61147776</v>
      </c>
      <c r="F388" t="s">
        <v>1936</v>
      </c>
      <c r="G388">
        <v>2025</v>
      </c>
      <c r="H388" t="s">
        <v>452</v>
      </c>
      <c r="I388" t="s">
        <v>2018</v>
      </c>
      <c r="J388" t="s">
        <v>1688</v>
      </c>
      <c r="K388" t="s">
        <v>1686</v>
      </c>
      <c r="L388">
        <v>0</v>
      </c>
      <c r="M388">
        <v>61147776</v>
      </c>
      <c r="N388">
        <v>0</v>
      </c>
      <c r="O388">
        <v>0</v>
      </c>
    </row>
    <row r="389" spans="1:15" x14ac:dyDescent="0.25">
      <c r="A389">
        <v>221</v>
      </c>
      <c r="B389" t="s">
        <v>2160</v>
      </c>
      <c r="C389" t="s">
        <v>2204</v>
      </c>
      <c r="D389">
        <v>62</v>
      </c>
      <c r="E389">
        <v>26545593</v>
      </c>
      <c r="F389" t="s">
        <v>1936</v>
      </c>
      <c r="G389">
        <v>2025</v>
      </c>
      <c r="H389" t="s">
        <v>452</v>
      </c>
      <c r="I389" t="s">
        <v>2018</v>
      </c>
      <c r="J389" t="s">
        <v>1688</v>
      </c>
      <c r="K389" t="s">
        <v>1686</v>
      </c>
      <c r="L389">
        <v>0</v>
      </c>
      <c r="M389">
        <v>25100935</v>
      </c>
      <c r="N389">
        <v>0</v>
      </c>
      <c r="O389">
        <v>1444658</v>
      </c>
    </row>
    <row r="390" spans="1:15" x14ac:dyDescent="0.25">
      <c r="A390">
        <v>222</v>
      </c>
      <c r="B390" t="s">
        <v>2160</v>
      </c>
      <c r="C390" t="s">
        <v>2205</v>
      </c>
      <c r="D390">
        <v>62</v>
      </c>
      <c r="E390">
        <v>61147776</v>
      </c>
      <c r="F390" t="s">
        <v>1936</v>
      </c>
      <c r="G390">
        <v>2025</v>
      </c>
      <c r="H390" t="s">
        <v>452</v>
      </c>
      <c r="I390" t="s">
        <v>2018</v>
      </c>
      <c r="J390" t="s">
        <v>1688</v>
      </c>
      <c r="K390" t="s">
        <v>1686</v>
      </c>
      <c r="L390">
        <v>0</v>
      </c>
      <c r="M390">
        <v>61147776</v>
      </c>
      <c r="N390">
        <v>0</v>
      </c>
      <c r="O390">
        <v>0</v>
      </c>
    </row>
    <row r="391" spans="1:15" x14ac:dyDescent="0.25">
      <c r="A391">
        <v>223</v>
      </c>
      <c r="B391" t="s">
        <v>2160</v>
      </c>
      <c r="C391" t="s">
        <v>2206</v>
      </c>
      <c r="D391">
        <v>62</v>
      </c>
      <c r="E391">
        <v>50609170</v>
      </c>
      <c r="F391" t="s">
        <v>1936</v>
      </c>
      <c r="G391">
        <v>2025</v>
      </c>
      <c r="H391" t="s">
        <v>452</v>
      </c>
      <c r="I391" t="s">
        <v>2018</v>
      </c>
      <c r="J391" t="s">
        <v>1688</v>
      </c>
      <c r="K391" t="s">
        <v>1686</v>
      </c>
      <c r="L391">
        <v>0</v>
      </c>
      <c r="M391">
        <v>50609170</v>
      </c>
      <c r="N391">
        <v>0</v>
      </c>
      <c r="O391">
        <v>0</v>
      </c>
    </row>
    <row r="392" spans="1:15" x14ac:dyDescent="0.25">
      <c r="A392">
        <v>224</v>
      </c>
      <c r="B392" t="s">
        <v>2207</v>
      </c>
      <c r="C392" t="s">
        <v>2208</v>
      </c>
      <c r="D392">
        <v>62</v>
      </c>
      <c r="E392">
        <v>61147776</v>
      </c>
      <c r="F392" t="s">
        <v>1936</v>
      </c>
      <c r="G392">
        <v>2025</v>
      </c>
      <c r="H392" t="s">
        <v>452</v>
      </c>
      <c r="I392" t="s">
        <v>2018</v>
      </c>
      <c r="J392" t="s">
        <v>1688</v>
      </c>
      <c r="K392" t="s">
        <v>1686</v>
      </c>
      <c r="L392">
        <v>0</v>
      </c>
      <c r="M392">
        <v>61147776</v>
      </c>
      <c r="N392">
        <v>0</v>
      </c>
      <c r="O392">
        <v>0</v>
      </c>
    </row>
    <row r="393" spans="1:15" x14ac:dyDescent="0.25">
      <c r="A393">
        <v>225</v>
      </c>
      <c r="B393" t="s">
        <v>2207</v>
      </c>
      <c r="C393" t="s">
        <v>2209</v>
      </c>
      <c r="D393">
        <v>62</v>
      </c>
      <c r="E393">
        <v>81536206</v>
      </c>
      <c r="F393" t="s">
        <v>1936</v>
      </c>
      <c r="G393">
        <v>2025</v>
      </c>
      <c r="H393" t="s">
        <v>452</v>
      </c>
      <c r="I393" t="s">
        <v>2018</v>
      </c>
      <c r="J393" t="s">
        <v>1688</v>
      </c>
      <c r="K393" t="s">
        <v>1686</v>
      </c>
      <c r="L393">
        <v>0</v>
      </c>
      <c r="M393">
        <v>77098861</v>
      </c>
      <c r="N393">
        <v>0</v>
      </c>
      <c r="O393">
        <v>4437345</v>
      </c>
    </row>
    <row r="394" spans="1:15" x14ac:dyDescent="0.25">
      <c r="A394">
        <v>226</v>
      </c>
      <c r="B394" t="s">
        <v>2207</v>
      </c>
      <c r="C394" t="s">
        <v>2210</v>
      </c>
      <c r="D394">
        <v>62</v>
      </c>
      <c r="E394">
        <v>81536206</v>
      </c>
      <c r="F394" t="s">
        <v>1936</v>
      </c>
      <c r="G394">
        <v>2025</v>
      </c>
      <c r="H394" t="s">
        <v>452</v>
      </c>
      <c r="I394" t="s">
        <v>2018</v>
      </c>
      <c r="J394" t="s">
        <v>1688</v>
      </c>
      <c r="K394" t="s">
        <v>1686</v>
      </c>
      <c r="L394">
        <v>0</v>
      </c>
      <c r="M394">
        <v>81536206</v>
      </c>
      <c r="N394">
        <v>0</v>
      </c>
      <c r="O394">
        <v>0</v>
      </c>
    </row>
    <row r="395" spans="1:15" x14ac:dyDescent="0.25">
      <c r="A395">
        <v>227</v>
      </c>
      <c r="B395" t="s">
        <v>2207</v>
      </c>
      <c r="C395" t="s">
        <v>2211</v>
      </c>
      <c r="D395">
        <v>62</v>
      </c>
      <c r="E395">
        <v>50609170</v>
      </c>
      <c r="F395" t="s">
        <v>1936</v>
      </c>
      <c r="G395">
        <v>2025</v>
      </c>
      <c r="H395" t="s">
        <v>452</v>
      </c>
      <c r="I395" t="s">
        <v>2018</v>
      </c>
      <c r="J395" t="s">
        <v>1688</v>
      </c>
      <c r="K395" t="s">
        <v>1686</v>
      </c>
      <c r="L395">
        <v>0</v>
      </c>
      <c r="M395">
        <v>50609170</v>
      </c>
      <c r="N395">
        <v>0</v>
      </c>
      <c r="O395">
        <v>0</v>
      </c>
    </row>
    <row r="396" spans="1:15" x14ac:dyDescent="0.25">
      <c r="A396">
        <v>228</v>
      </c>
      <c r="B396" t="s">
        <v>2207</v>
      </c>
      <c r="C396" t="s">
        <v>2212</v>
      </c>
      <c r="D396">
        <v>62</v>
      </c>
      <c r="E396">
        <v>50609170</v>
      </c>
      <c r="F396" t="s">
        <v>1936</v>
      </c>
      <c r="G396">
        <v>2025</v>
      </c>
      <c r="H396" t="s">
        <v>452</v>
      </c>
      <c r="I396" t="s">
        <v>2018</v>
      </c>
      <c r="J396" t="s">
        <v>1688</v>
      </c>
      <c r="K396" t="s">
        <v>1686</v>
      </c>
      <c r="L396">
        <v>0</v>
      </c>
      <c r="M396">
        <v>50609170</v>
      </c>
      <c r="N396">
        <v>0</v>
      </c>
      <c r="O396">
        <v>0</v>
      </c>
    </row>
    <row r="397" spans="1:15" x14ac:dyDescent="0.25">
      <c r="A397">
        <v>229</v>
      </c>
      <c r="B397" t="s">
        <v>2207</v>
      </c>
      <c r="C397" t="s">
        <v>2213</v>
      </c>
      <c r="D397">
        <v>62</v>
      </c>
      <c r="E397">
        <v>50609170</v>
      </c>
      <c r="F397" t="s">
        <v>1936</v>
      </c>
      <c r="G397">
        <v>2025</v>
      </c>
      <c r="H397" t="s">
        <v>452</v>
      </c>
      <c r="I397" t="s">
        <v>2018</v>
      </c>
      <c r="J397" t="s">
        <v>1688</v>
      </c>
      <c r="K397" t="s">
        <v>1686</v>
      </c>
      <c r="L397">
        <v>0</v>
      </c>
      <c r="M397">
        <v>50609170</v>
      </c>
      <c r="N397">
        <v>0</v>
      </c>
      <c r="O397">
        <v>0</v>
      </c>
    </row>
    <row r="398" spans="1:15" x14ac:dyDescent="0.25">
      <c r="A398">
        <v>230</v>
      </c>
      <c r="B398" t="s">
        <v>2207</v>
      </c>
      <c r="C398" t="s">
        <v>2214</v>
      </c>
      <c r="D398">
        <v>62</v>
      </c>
      <c r="E398">
        <v>50609170</v>
      </c>
      <c r="F398" t="s">
        <v>1936</v>
      </c>
      <c r="G398">
        <v>2025</v>
      </c>
      <c r="H398" t="s">
        <v>452</v>
      </c>
      <c r="I398" t="s">
        <v>2018</v>
      </c>
      <c r="J398" t="s">
        <v>1688</v>
      </c>
      <c r="K398" t="s">
        <v>1686</v>
      </c>
      <c r="L398">
        <v>0</v>
      </c>
      <c r="M398">
        <v>50609170</v>
      </c>
      <c r="N398">
        <v>0</v>
      </c>
      <c r="O398">
        <v>0</v>
      </c>
    </row>
    <row r="399" spans="1:15" x14ac:dyDescent="0.25">
      <c r="A399">
        <v>231</v>
      </c>
      <c r="B399" t="s">
        <v>2207</v>
      </c>
      <c r="C399" t="s">
        <v>2215</v>
      </c>
      <c r="D399">
        <v>62</v>
      </c>
      <c r="E399">
        <v>50609170</v>
      </c>
      <c r="F399" t="s">
        <v>1936</v>
      </c>
      <c r="G399">
        <v>2025</v>
      </c>
      <c r="H399" t="s">
        <v>452</v>
      </c>
      <c r="I399" t="s">
        <v>2018</v>
      </c>
      <c r="J399" t="s">
        <v>1688</v>
      </c>
      <c r="K399" t="s">
        <v>1686</v>
      </c>
      <c r="L399">
        <v>0</v>
      </c>
      <c r="M399">
        <v>50609170</v>
      </c>
      <c r="N399">
        <v>0</v>
      </c>
      <c r="O399">
        <v>0</v>
      </c>
    </row>
    <row r="400" spans="1:15" x14ac:dyDescent="0.25">
      <c r="A400">
        <v>232</v>
      </c>
      <c r="B400" t="s">
        <v>2207</v>
      </c>
      <c r="C400" t="s">
        <v>2216</v>
      </c>
      <c r="D400">
        <v>62</v>
      </c>
      <c r="E400">
        <v>101543523</v>
      </c>
      <c r="F400" t="s">
        <v>1936</v>
      </c>
      <c r="G400">
        <v>2025</v>
      </c>
      <c r="H400" t="s">
        <v>452</v>
      </c>
      <c r="I400" t="s">
        <v>2018</v>
      </c>
      <c r="J400" t="s">
        <v>1688</v>
      </c>
      <c r="K400" t="s">
        <v>1686</v>
      </c>
      <c r="L400">
        <v>0</v>
      </c>
      <c r="M400">
        <v>101543523</v>
      </c>
      <c r="N400">
        <v>0</v>
      </c>
      <c r="O400">
        <v>0</v>
      </c>
    </row>
    <row r="401" spans="1:15" x14ac:dyDescent="0.25">
      <c r="A401">
        <v>233</v>
      </c>
      <c r="B401" t="s">
        <v>2217</v>
      </c>
      <c r="C401" t="s">
        <v>2218</v>
      </c>
      <c r="D401">
        <v>62</v>
      </c>
      <c r="E401">
        <v>61147776</v>
      </c>
      <c r="F401" t="s">
        <v>1936</v>
      </c>
      <c r="G401">
        <v>2025</v>
      </c>
      <c r="H401" t="s">
        <v>452</v>
      </c>
      <c r="I401" t="s">
        <v>2018</v>
      </c>
      <c r="J401" t="s">
        <v>1688</v>
      </c>
      <c r="K401" t="s">
        <v>1686</v>
      </c>
      <c r="L401">
        <v>0</v>
      </c>
      <c r="M401">
        <v>57820006</v>
      </c>
      <c r="N401">
        <v>0</v>
      </c>
      <c r="O401">
        <v>3327770</v>
      </c>
    </row>
    <row r="402" spans="1:15" x14ac:dyDescent="0.25">
      <c r="A402">
        <v>234</v>
      </c>
      <c r="B402" t="s">
        <v>2217</v>
      </c>
      <c r="C402" t="s">
        <v>2219</v>
      </c>
      <c r="D402">
        <v>62</v>
      </c>
      <c r="E402">
        <v>26545593</v>
      </c>
      <c r="F402" t="s">
        <v>1936</v>
      </c>
      <c r="G402">
        <v>2025</v>
      </c>
      <c r="H402" t="s">
        <v>452</v>
      </c>
      <c r="I402" t="s">
        <v>2018</v>
      </c>
      <c r="J402" t="s">
        <v>1688</v>
      </c>
      <c r="K402" t="s">
        <v>1686</v>
      </c>
      <c r="L402">
        <v>0</v>
      </c>
      <c r="M402">
        <v>26545593</v>
      </c>
      <c r="N402">
        <v>0</v>
      </c>
      <c r="O402">
        <v>0</v>
      </c>
    </row>
    <row r="403" spans="1:15" x14ac:dyDescent="0.25">
      <c r="A403">
        <v>235</v>
      </c>
      <c r="B403" t="s">
        <v>2217</v>
      </c>
      <c r="C403" t="s">
        <v>2220</v>
      </c>
      <c r="D403">
        <v>62</v>
      </c>
      <c r="E403">
        <v>26545593</v>
      </c>
      <c r="F403" t="s">
        <v>1936</v>
      </c>
      <c r="G403">
        <v>2025</v>
      </c>
      <c r="H403" t="s">
        <v>452</v>
      </c>
      <c r="I403" t="s">
        <v>2018</v>
      </c>
      <c r="J403" t="s">
        <v>1688</v>
      </c>
      <c r="K403" t="s">
        <v>1686</v>
      </c>
      <c r="L403">
        <v>0</v>
      </c>
      <c r="M403">
        <v>26545593</v>
      </c>
      <c r="N403">
        <v>0</v>
      </c>
      <c r="O403">
        <v>0</v>
      </c>
    </row>
    <row r="404" spans="1:15" x14ac:dyDescent="0.25">
      <c r="A404">
        <v>236</v>
      </c>
      <c r="B404" t="s">
        <v>2217</v>
      </c>
      <c r="C404" t="s">
        <v>2221</v>
      </c>
      <c r="D404">
        <v>62</v>
      </c>
      <c r="E404">
        <v>50609170</v>
      </c>
      <c r="F404" t="s">
        <v>1936</v>
      </c>
      <c r="G404">
        <v>2025</v>
      </c>
      <c r="H404" t="s">
        <v>452</v>
      </c>
      <c r="I404" t="s">
        <v>2018</v>
      </c>
      <c r="J404" t="s">
        <v>1688</v>
      </c>
      <c r="K404" t="s">
        <v>1686</v>
      </c>
      <c r="L404">
        <v>0</v>
      </c>
      <c r="M404">
        <v>50609170</v>
      </c>
      <c r="N404">
        <v>0</v>
      </c>
      <c r="O404">
        <v>0</v>
      </c>
    </row>
    <row r="405" spans="1:15" x14ac:dyDescent="0.25">
      <c r="A405">
        <v>237</v>
      </c>
      <c r="B405" t="s">
        <v>2217</v>
      </c>
      <c r="C405" t="s">
        <v>2222</v>
      </c>
      <c r="D405">
        <v>62</v>
      </c>
      <c r="E405">
        <v>61147776</v>
      </c>
      <c r="F405" t="s">
        <v>1936</v>
      </c>
      <c r="G405">
        <v>2025</v>
      </c>
      <c r="H405" t="s">
        <v>452</v>
      </c>
      <c r="I405" t="s">
        <v>2018</v>
      </c>
      <c r="J405" t="s">
        <v>1688</v>
      </c>
      <c r="K405" t="s">
        <v>1686</v>
      </c>
      <c r="L405">
        <v>0</v>
      </c>
      <c r="M405">
        <v>61147776</v>
      </c>
      <c r="N405">
        <v>0</v>
      </c>
      <c r="O405">
        <v>0</v>
      </c>
    </row>
    <row r="406" spans="1:15" x14ac:dyDescent="0.25">
      <c r="A406">
        <v>238</v>
      </c>
      <c r="B406" t="s">
        <v>2217</v>
      </c>
      <c r="C406" t="s">
        <v>2223</v>
      </c>
      <c r="D406">
        <v>62</v>
      </c>
      <c r="E406">
        <v>61147776</v>
      </c>
      <c r="F406" t="s">
        <v>1936</v>
      </c>
      <c r="G406">
        <v>2025</v>
      </c>
      <c r="H406" t="s">
        <v>452</v>
      </c>
      <c r="I406" t="s">
        <v>2018</v>
      </c>
      <c r="J406" t="s">
        <v>1688</v>
      </c>
      <c r="K406" t="s">
        <v>1686</v>
      </c>
      <c r="L406">
        <v>0</v>
      </c>
      <c r="M406">
        <v>61147776</v>
      </c>
      <c r="N406">
        <v>0</v>
      </c>
      <c r="O406">
        <v>0</v>
      </c>
    </row>
    <row r="407" spans="1:15" x14ac:dyDescent="0.25">
      <c r="A407">
        <v>239</v>
      </c>
      <c r="B407" t="s">
        <v>2217</v>
      </c>
      <c r="C407" t="s">
        <v>2224</v>
      </c>
      <c r="D407">
        <v>62</v>
      </c>
      <c r="E407">
        <v>26545593</v>
      </c>
      <c r="F407" t="s">
        <v>1936</v>
      </c>
      <c r="G407">
        <v>2025</v>
      </c>
      <c r="H407" t="s">
        <v>452</v>
      </c>
      <c r="I407" t="s">
        <v>2018</v>
      </c>
      <c r="J407" t="s">
        <v>1688</v>
      </c>
      <c r="K407" t="s">
        <v>1686</v>
      </c>
      <c r="L407">
        <v>0</v>
      </c>
      <c r="M407">
        <v>26545593</v>
      </c>
      <c r="N407">
        <v>0</v>
      </c>
      <c r="O407">
        <v>0</v>
      </c>
    </row>
    <row r="408" spans="1:15" x14ac:dyDescent="0.25">
      <c r="A408">
        <v>240</v>
      </c>
      <c r="B408" t="s">
        <v>2217</v>
      </c>
      <c r="C408" t="s">
        <v>2225</v>
      </c>
      <c r="D408">
        <v>62</v>
      </c>
      <c r="E408">
        <v>40747479</v>
      </c>
      <c r="F408" t="s">
        <v>1936</v>
      </c>
      <c r="G408">
        <v>2025</v>
      </c>
      <c r="H408" t="s">
        <v>452</v>
      </c>
      <c r="I408" t="s">
        <v>2018</v>
      </c>
      <c r="J408" t="s">
        <v>1688</v>
      </c>
      <c r="K408" t="s">
        <v>1686</v>
      </c>
      <c r="L408">
        <v>0</v>
      </c>
      <c r="M408">
        <v>40747479</v>
      </c>
      <c r="N408">
        <v>0</v>
      </c>
      <c r="O408">
        <v>0</v>
      </c>
    </row>
    <row r="409" spans="1:15" x14ac:dyDescent="0.25">
      <c r="A409">
        <v>241</v>
      </c>
      <c r="B409" t="s">
        <v>2217</v>
      </c>
      <c r="C409" t="s">
        <v>2226</v>
      </c>
      <c r="D409">
        <v>62</v>
      </c>
      <c r="E409">
        <v>26545593</v>
      </c>
      <c r="F409" t="s">
        <v>1936</v>
      </c>
      <c r="G409">
        <v>2025</v>
      </c>
      <c r="H409" t="s">
        <v>452</v>
      </c>
      <c r="I409" t="s">
        <v>2018</v>
      </c>
      <c r="J409" t="s">
        <v>1688</v>
      </c>
      <c r="K409" t="s">
        <v>1686</v>
      </c>
      <c r="L409">
        <v>0</v>
      </c>
      <c r="M409">
        <v>26545593</v>
      </c>
      <c r="N409">
        <v>0</v>
      </c>
      <c r="O409">
        <v>0</v>
      </c>
    </row>
    <row r="410" spans="1:15" x14ac:dyDescent="0.25">
      <c r="A410">
        <v>242</v>
      </c>
      <c r="B410" t="s">
        <v>2217</v>
      </c>
      <c r="C410" t="s">
        <v>2227</v>
      </c>
      <c r="D410">
        <v>62</v>
      </c>
      <c r="E410">
        <v>81536206</v>
      </c>
      <c r="F410" t="s">
        <v>1936</v>
      </c>
      <c r="G410">
        <v>2025</v>
      </c>
      <c r="H410" t="s">
        <v>452</v>
      </c>
      <c r="I410" t="s">
        <v>2018</v>
      </c>
      <c r="J410" t="s">
        <v>1688</v>
      </c>
      <c r="K410" t="s">
        <v>1686</v>
      </c>
      <c r="L410">
        <v>0</v>
      </c>
      <c r="M410">
        <v>81536206</v>
      </c>
      <c r="N410">
        <v>0</v>
      </c>
      <c r="O410">
        <v>0</v>
      </c>
    </row>
    <row r="411" spans="1:15" x14ac:dyDescent="0.25">
      <c r="A411">
        <v>243</v>
      </c>
      <c r="B411" t="s">
        <v>2217</v>
      </c>
      <c r="C411" t="s">
        <v>2228</v>
      </c>
      <c r="D411">
        <v>62</v>
      </c>
      <c r="E411">
        <v>71344176</v>
      </c>
      <c r="F411" t="s">
        <v>1936</v>
      </c>
      <c r="G411">
        <v>2025</v>
      </c>
      <c r="H411" t="s">
        <v>452</v>
      </c>
      <c r="I411" t="s">
        <v>2018</v>
      </c>
      <c r="J411" t="s">
        <v>1688</v>
      </c>
      <c r="K411" t="s">
        <v>1686</v>
      </c>
      <c r="L411">
        <v>0</v>
      </c>
      <c r="M411">
        <v>71344176</v>
      </c>
      <c r="N411">
        <v>0</v>
      </c>
      <c r="O411">
        <v>0</v>
      </c>
    </row>
    <row r="412" spans="1:15" x14ac:dyDescent="0.25">
      <c r="A412">
        <v>244</v>
      </c>
      <c r="B412" t="s">
        <v>2217</v>
      </c>
      <c r="C412" t="s">
        <v>2229</v>
      </c>
      <c r="D412">
        <v>62</v>
      </c>
      <c r="E412">
        <v>50609170</v>
      </c>
      <c r="F412" t="s">
        <v>1936</v>
      </c>
      <c r="G412">
        <v>2025</v>
      </c>
      <c r="H412" t="s">
        <v>452</v>
      </c>
      <c r="I412" t="s">
        <v>2018</v>
      </c>
      <c r="J412" t="s">
        <v>1688</v>
      </c>
      <c r="K412" t="s">
        <v>1686</v>
      </c>
      <c r="L412">
        <v>0</v>
      </c>
      <c r="M412">
        <v>50609170</v>
      </c>
      <c r="N412">
        <v>0</v>
      </c>
      <c r="O412">
        <v>0</v>
      </c>
    </row>
    <row r="413" spans="1:15" x14ac:dyDescent="0.25">
      <c r="A413">
        <v>245</v>
      </c>
      <c r="B413" t="s">
        <v>2217</v>
      </c>
      <c r="C413" t="s">
        <v>2230</v>
      </c>
      <c r="D413">
        <v>62</v>
      </c>
      <c r="E413">
        <v>40747479</v>
      </c>
      <c r="F413" t="s">
        <v>1936</v>
      </c>
      <c r="G413">
        <v>2025</v>
      </c>
      <c r="H413" t="s">
        <v>452</v>
      </c>
      <c r="I413" t="s">
        <v>2018</v>
      </c>
      <c r="J413" t="s">
        <v>1688</v>
      </c>
      <c r="K413" t="s">
        <v>1686</v>
      </c>
      <c r="L413">
        <v>0</v>
      </c>
      <c r="M413">
        <v>40747479</v>
      </c>
      <c r="N413">
        <v>0</v>
      </c>
      <c r="O413">
        <v>0</v>
      </c>
    </row>
    <row r="414" spans="1:15" x14ac:dyDescent="0.25">
      <c r="A414">
        <v>246</v>
      </c>
      <c r="B414" t="s">
        <v>2217</v>
      </c>
      <c r="C414" t="s">
        <v>2231</v>
      </c>
      <c r="D414">
        <v>62</v>
      </c>
      <c r="E414">
        <v>40747479</v>
      </c>
      <c r="F414" t="s">
        <v>1936</v>
      </c>
      <c r="G414">
        <v>2025</v>
      </c>
      <c r="H414" t="s">
        <v>452</v>
      </c>
      <c r="I414" t="s">
        <v>2018</v>
      </c>
      <c r="J414" t="s">
        <v>1688</v>
      </c>
      <c r="K414" t="s">
        <v>1686</v>
      </c>
      <c r="L414">
        <v>0</v>
      </c>
      <c r="M414">
        <v>40747479</v>
      </c>
      <c r="N414">
        <v>0</v>
      </c>
      <c r="O414">
        <v>0</v>
      </c>
    </row>
    <row r="415" spans="1:15" x14ac:dyDescent="0.25">
      <c r="A415">
        <v>247</v>
      </c>
      <c r="B415" t="s">
        <v>2217</v>
      </c>
      <c r="C415" t="s">
        <v>2232</v>
      </c>
      <c r="D415">
        <v>62</v>
      </c>
      <c r="E415">
        <v>26545593</v>
      </c>
      <c r="F415" t="s">
        <v>1936</v>
      </c>
      <c r="G415">
        <v>2025</v>
      </c>
      <c r="H415" t="s">
        <v>452</v>
      </c>
      <c r="I415" t="s">
        <v>2018</v>
      </c>
      <c r="J415" t="s">
        <v>1688</v>
      </c>
      <c r="K415" t="s">
        <v>1686</v>
      </c>
      <c r="L415">
        <v>0</v>
      </c>
      <c r="M415">
        <v>25100935</v>
      </c>
      <c r="N415">
        <v>0</v>
      </c>
      <c r="O415">
        <v>1444658</v>
      </c>
    </row>
    <row r="416" spans="1:15" x14ac:dyDescent="0.25">
      <c r="A416">
        <v>248</v>
      </c>
      <c r="B416" t="s">
        <v>2217</v>
      </c>
      <c r="C416" t="s">
        <v>2233</v>
      </c>
      <c r="D416">
        <v>62</v>
      </c>
      <c r="E416">
        <v>26545593</v>
      </c>
      <c r="F416" t="s">
        <v>1936</v>
      </c>
      <c r="G416">
        <v>2025</v>
      </c>
      <c r="H416" t="s">
        <v>452</v>
      </c>
      <c r="I416" t="s">
        <v>2018</v>
      </c>
      <c r="J416" t="s">
        <v>1688</v>
      </c>
      <c r="K416" t="s">
        <v>1686</v>
      </c>
      <c r="L416">
        <v>0</v>
      </c>
      <c r="M416">
        <v>26545593</v>
      </c>
      <c r="N416">
        <v>0</v>
      </c>
      <c r="O416">
        <v>0</v>
      </c>
    </row>
    <row r="417" spans="1:15" x14ac:dyDescent="0.25">
      <c r="A417">
        <v>249</v>
      </c>
      <c r="B417" t="s">
        <v>2217</v>
      </c>
      <c r="C417" t="s">
        <v>2234</v>
      </c>
      <c r="D417">
        <v>62</v>
      </c>
      <c r="E417">
        <v>26545593</v>
      </c>
      <c r="F417" t="s">
        <v>1936</v>
      </c>
      <c r="G417">
        <v>2025</v>
      </c>
      <c r="H417" t="s">
        <v>452</v>
      </c>
      <c r="I417" t="s">
        <v>2018</v>
      </c>
      <c r="J417" t="s">
        <v>1688</v>
      </c>
      <c r="K417" t="s">
        <v>1686</v>
      </c>
      <c r="L417">
        <v>0</v>
      </c>
      <c r="M417">
        <v>26545593</v>
      </c>
      <c r="N417">
        <v>0</v>
      </c>
      <c r="O417">
        <v>0</v>
      </c>
    </row>
    <row r="418" spans="1:15" x14ac:dyDescent="0.25">
      <c r="A418">
        <v>250</v>
      </c>
      <c r="B418" t="s">
        <v>2217</v>
      </c>
      <c r="C418" t="s">
        <v>2235</v>
      </c>
      <c r="D418">
        <v>62</v>
      </c>
      <c r="E418">
        <v>61147776</v>
      </c>
      <c r="F418" t="s">
        <v>1936</v>
      </c>
      <c r="G418">
        <v>2025</v>
      </c>
      <c r="H418" t="s">
        <v>452</v>
      </c>
      <c r="I418" t="s">
        <v>2018</v>
      </c>
      <c r="J418" t="s">
        <v>1688</v>
      </c>
      <c r="K418" t="s">
        <v>1686</v>
      </c>
      <c r="L418">
        <v>0</v>
      </c>
      <c r="M418">
        <v>61147776</v>
      </c>
      <c r="N418">
        <v>0</v>
      </c>
      <c r="O418">
        <v>0</v>
      </c>
    </row>
    <row r="419" spans="1:15" x14ac:dyDescent="0.25">
      <c r="A419">
        <v>251</v>
      </c>
      <c r="B419" t="s">
        <v>2217</v>
      </c>
      <c r="C419" t="s">
        <v>2236</v>
      </c>
      <c r="D419">
        <v>62</v>
      </c>
      <c r="E419">
        <v>50609170</v>
      </c>
      <c r="F419" t="s">
        <v>1936</v>
      </c>
      <c r="G419">
        <v>2025</v>
      </c>
      <c r="H419" t="s">
        <v>452</v>
      </c>
      <c r="I419" t="s">
        <v>2018</v>
      </c>
      <c r="J419" t="s">
        <v>1688</v>
      </c>
      <c r="K419" t="s">
        <v>1686</v>
      </c>
      <c r="L419">
        <v>0</v>
      </c>
      <c r="M419">
        <v>50609170</v>
      </c>
      <c r="N419">
        <v>0</v>
      </c>
      <c r="O419">
        <v>0</v>
      </c>
    </row>
    <row r="420" spans="1:15" x14ac:dyDescent="0.25">
      <c r="A420">
        <v>252</v>
      </c>
      <c r="B420" t="s">
        <v>2217</v>
      </c>
      <c r="C420" t="s">
        <v>2237</v>
      </c>
      <c r="D420">
        <v>62</v>
      </c>
      <c r="E420">
        <v>61147776</v>
      </c>
      <c r="F420" t="s">
        <v>1936</v>
      </c>
      <c r="G420">
        <v>2025</v>
      </c>
      <c r="H420" t="s">
        <v>452</v>
      </c>
      <c r="I420" t="s">
        <v>2018</v>
      </c>
      <c r="J420" t="s">
        <v>1688</v>
      </c>
      <c r="K420" t="s">
        <v>1686</v>
      </c>
      <c r="L420">
        <v>0</v>
      </c>
      <c r="M420">
        <v>61147776</v>
      </c>
      <c r="N420">
        <v>0</v>
      </c>
      <c r="O420">
        <v>0</v>
      </c>
    </row>
    <row r="421" spans="1:15" x14ac:dyDescent="0.25">
      <c r="A421">
        <v>253</v>
      </c>
      <c r="B421" t="s">
        <v>2217</v>
      </c>
      <c r="C421" t="s">
        <v>2238</v>
      </c>
      <c r="D421">
        <v>62</v>
      </c>
      <c r="E421">
        <v>61147776</v>
      </c>
      <c r="F421" t="s">
        <v>1936</v>
      </c>
      <c r="G421">
        <v>2025</v>
      </c>
      <c r="H421" t="s">
        <v>452</v>
      </c>
      <c r="I421" t="s">
        <v>2018</v>
      </c>
      <c r="J421" t="s">
        <v>1688</v>
      </c>
      <c r="K421" t="s">
        <v>1686</v>
      </c>
      <c r="L421">
        <v>0</v>
      </c>
      <c r="M421">
        <v>61147776</v>
      </c>
      <c r="N421">
        <v>0</v>
      </c>
      <c r="O421">
        <v>0</v>
      </c>
    </row>
    <row r="422" spans="1:15" x14ac:dyDescent="0.25">
      <c r="A422">
        <v>254</v>
      </c>
      <c r="B422" t="s">
        <v>2217</v>
      </c>
      <c r="C422" t="s">
        <v>2239</v>
      </c>
      <c r="D422">
        <v>62</v>
      </c>
      <c r="E422">
        <v>26545593</v>
      </c>
      <c r="F422" t="s">
        <v>1936</v>
      </c>
      <c r="G422">
        <v>2025</v>
      </c>
      <c r="H422" t="s">
        <v>452</v>
      </c>
      <c r="I422" t="s">
        <v>2018</v>
      </c>
      <c r="J422" t="s">
        <v>1688</v>
      </c>
      <c r="K422" t="s">
        <v>1686</v>
      </c>
      <c r="L422">
        <v>0</v>
      </c>
      <c r="M422">
        <v>0</v>
      </c>
      <c r="N422">
        <v>0</v>
      </c>
      <c r="O422">
        <v>26545593</v>
      </c>
    </row>
    <row r="423" spans="1:15" x14ac:dyDescent="0.25">
      <c r="A423">
        <v>255</v>
      </c>
      <c r="B423" t="s">
        <v>2217</v>
      </c>
      <c r="C423" t="s">
        <v>2240</v>
      </c>
      <c r="D423">
        <v>62</v>
      </c>
      <c r="E423">
        <v>40747479</v>
      </c>
      <c r="F423" t="s">
        <v>1936</v>
      </c>
      <c r="G423">
        <v>2025</v>
      </c>
      <c r="H423" t="s">
        <v>452</v>
      </c>
      <c r="I423" t="s">
        <v>2018</v>
      </c>
      <c r="J423" t="s">
        <v>1688</v>
      </c>
      <c r="K423" t="s">
        <v>1686</v>
      </c>
      <c r="L423">
        <v>0</v>
      </c>
      <c r="M423">
        <v>40747479</v>
      </c>
      <c r="N423">
        <v>0</v>
      </c>
      <c r="O423">
        <v>0</v>
      </c>
    </row>
    <row r="424" spans="1:15" x14ac:dyDescent="0.25">
      <c r="A424">
        <v>256</v>
      </c>
      <c r="B424" t="s">
        <v>2217</v>
      </c>
      <c r="C424" t="s">
        <v>2241</v>
      </c>
      <c r="D424">
        <v>62</v>
      </c>
      <c r="E424">
        <v>50609170</v>
      </c>
      <c r="F424" t="s">
        <v>1936</v>
      </c>
      <c r="G424">
        <v>2025</v>
      </c>
      <c r="H424" t="s">
        <v>452</v>
      </c>
      <c r="I424" t="s">
        <v>2018</v>
      </c>
      <c r="J424" t="s">
        <v>1688</v>
      </c>
      <c r="K424" t="s">
        <v>1686</v>
      </c>
      <c r="L424">
        <v>0</v>
      </c>
      <c r="M424">
        <v>50609170</v>
      </c>
      <c r="N424">
        <v>0</v>
      </c>
      <c r="O424">
        <v>0</v>
      </c>
    </row>
    <row r="425" spans="1:15" x14ac:dyDescent="0.25">
      <c r="A425">
        <v>257</v>
      </c>
      <c r="B425" t="s">
        <v>2217</v>
      </c>
      <c r="C425" t="s">
        <v>2242</v>
      </c>
      <c r="D425">
        <v>62</v>
      </c>
      <c r="E425">
        <v>40747479</v>
      </c>
      <c r="F425" t="s">
        <v>1936</v>
      </c>
      <c r="G425">
        <v>2025</v>
      </c>
      <c r="H425" t="s">
        <v>452</v>
      </c>
      <c r="I425" t="s">
        <v>2018</v>
      </c>
      <c r="J425" t="s">
        <v>1688</v>
      </c>
      <c r="K425" t="s">
        <v>1686</v>
      </c>
      <c r="L425">
        <v>0</v>
      </c>
      <c r="M425">
        <v>40747479</v>
      </c>
      <c r="N425">
        <v>0</v>
      </c>
      <c r="O425">
        <v>0</v>
      </c>
    </row>
    <row r="426" spans="1:15" x14ac:dyDescent="0.25">
      <c r="A426">
        <v>258</v>
      </c>
      <c r="B426" t="s">
        <v>2217</v>
      </c>
      <c r="C426" t="s">
        <v>2243</v>
      </c>
      <c r="D426">
        <v>62</v>
      </c>
      <c r="E426">
        <v>61147776</v>
      </c>
      <c r="F426" t="s">
        <v>1936</v>
      </c>
      <c r="G426">
        <v>2025</v>
      </c>
      <c r="H426" t="s">
        <v>452</v>
      </c>
      <c r="I426" t="s">
        <v>2018</v>
      </c>
      <c r="J426" t="s">
        <v>1688</v>
      </c>
      <c r="K426" t="s">
        <v>1686</v>
      </c>
      <c r="L426">
        <v>0</v>
      </c>
      <c r="M426">
        <v>61147776</v>
      </c>
      <c r="N426">
        <v>0</v>
      </c>
      <c r="O426">
        <v>0</v>
      </c>
    </row>
    <row r="427" spans="1:15" x14ac:dyDescent="0.25">
      <c r="A427">
        <v>259</v>
      </c>
      <c r="B427" t="s">
        <v>2217</v>
      </c>
      <c r="C427" t="s">
        <v>2244</v>
      </c>
      <c r="D427">
        <v>62</v>
      </c>
      <c r="E427">
        <v>81536206</v>
      </c>
      <c r="F427" t="s">
        <v>1936</v>
      </c>
      <c r="G427">
        <v>2025</v>
      </c>
      <c r="H427" t="s">
        <v>452</v>
      </c>
      <c r="I427" t="s">
        <v>2018</v>
      </c>
      <c r="J427" t="s">
        <v>1688</v>
      </c>
      <c r="K427" t="s">
        <v>1686</v>
      </c>
      <c r="L427">
        <v>0</v>
      </c>
      <c r="M427">
        <v>81536206</v>
      </c>
      <c r="N427">
        <v>0</v>
      </c>
      <c r="O427">
        <v>0</v>
      </c>
    </row>
    <row r="428" spans="1:15" x14ac:dyDescent="0.25">
      <c r="A428">
        <v>260</v>
      </c>
      <c r="B428" t="s">
        <v>2217</v>
      </c>
      <c r="C428" t="s">
        <v>2245</v>
      </c>
      <c r="D428">
        <v>62</v>
      </c>
      <c r="E428">
        <v>50609170</v>
      </c>
      <c r="F428" t="s">
        <v>1936</v>
      </c>
      <c r="G428">
        <v>2025</v>
      </c>
      <c r="H428" t="s">
        <v>452</v>
      </c>
      <c r="I428" t="s">
        <v>2018</v>
      </c>
      <c r="J428" t="s">
        <v>1688</v>
      </c>
      <c r="K428" t="s">
        <v>1686</v>
      </c>
      <c r="L428">
        <v>0</v>
      </c>
      <c r="M428">
        <v>50609170</v>
      </c>
      <c r="N428">
        <v>0</v>
      </c>
      <c r="O428">
        <v>0</v>
      </c>
    </row>
    <row r="429" spans="1:15" x14ac:dyDescent="0.25">
      <c r="A429">
        <v>261</v>
      </c>
      <c r="B429" t="s">
        <v>2217</v>
      </c>
      <c r="C429" t="s">
        <v>2246</v>
      </c>
      <c r="D429">
        <v>62</v>
      </c>
      <c r="E429">
        <v>40747479</v>
      </c>
      <c r="F429" t="s">
        <v>1936</v>
      </c>
      <c r="G429">
        <v>2025</v>
      </c>
      <c r="H429" t="s">
        <v>452</v>
      </c>
      <c r="I429" t="s">
        <v>2018</v>
      </c>
      <c r="J429" t="s">
        <v>1688</v>
      </c>
      <c r="K429" t="s">
        <v>1686</v>
      </c>
      <c r="L429">
        <v>0</v>
      </c>
      <c r="M429">
        <v>40747479</v>
      </c>
      <c r="N429">
        <v>0</v>
      </c>
      <c r="O429">
        <v>0</v>
      </c>
    </row>
    <row r="430" spans="1:15" x14ac:dyDescent="0.25">
      <c r="A430">
        <v>262</v>
      </c>
      <c r="B430" t="s">
        <v>2217</v>
      </c>
      <c r="C430" t="s">
        <v>2247</v>
      </c>
      <c r="D430">
        <v>62</v>
      </c>
      <c r="E430">
        <v>81536206</v>
      </c>
      <c r="F430" t="s">
        <v>1936</v>
      </c>
      <c r="G430">
        <v>2025</v>
      </c>
      <c r="H430" t="s">
        <v>452</v>
      </c>
      <c r="I430" t="s">
        <v>2018</v>
      </c>
      <c r="J430" t="s">
        <v>1688</v>
      </c>
      <c r="K430" t="s">
        <v>1686</v>
      </c>
      <c r="L430">
        <v>0</v>
      </c>
      <c r="M430">
        <v>0</v>
      </c>
      <c r="N430">
        <v>0</v>
      </c>
      <c r="O430">
        <v>81536206</v>
      </c>
    </row>
    <row r="431" spans="1:15" x14ac:dyDescent="0.25">
      <c r="A431">
        <v>263</v>
      </c>
      <c r="B431" t="s">
        <v>2217</v>
      </c>
      <c r="C431" t="s">
        <v>2248</v>
      </c>
      <c r="D431">
        <v>62</v>
      </c>
      <c r="E431">
        <v>26545593</v>
      </c>
      <c r="F431" t="s">
        <v>1936</v>
      </c>
      <c r="G431">
        <v>2025</v>
      </c>
      <c r="H431" t="s">
        <v>452</v>
      </c>
      <c r="I431" t="s">
        <v>2018</v>
      </c>
      <c r="J431" t="s">
        <v>1688</v>
      </c>
      <c r="K431" t="s">
        <v>1686</v>
      </c>
      <c r="L431">
        <v>0</v>
      </c>
      <c r="M431">
        <v>26545593</v>
      </c>
      <c r="N431">
        <v>0</v>
      </c>
      <c r="O431">
        <v>0</v>
      </c>
    </row>
    <row r="432" spans="1:15" x14ac:dyDescent="0.25">
      <c r="A432">
        <v>264</v>
      </c>
      <c r="B432" t="s">
        <v>2016</v>
      </c>
      <c r="C432" t="s">
        <v>2249</v>
      </c>
      <c r="D432">
        <v>62</v>
      </c>
      <c r="E432">
        <v>40747479</v>
      </c>
      <c r="F432" t="s">
        <v>1936</v>
      </c>
      <c r="G432">
        <v>2025</v>
      </c>
      <c r="H432" t="s">
        <v>452</v>
      </c>
      <c r="I432" t="s">
        <v>2018</v>
      </c>
      <c r="J432" t="s">
        <v>1688</v>
      </c>
      <c r="K432" t="s">
        <v>1686</v>
      </c>
      <c r="L432">
        <v>0</v>
      </c>
      <c r="M432">
        <v>40747479</v>
      </c>
      <c r="N432">
        <v>0</v>
      </c>
      <c r="O432">
        <v>0</v>
      </c>
    </row>
    <row r="433" spans="1:15" x14ac:dyDescent="0.25">
      <c r="A433">
        <v>265</v>
      </c>
      <c r="B433" t="s">
        <v>2016</v>
      </c>
      <c r="C433" t="s">
        <v>2250</v>
      </c>
      <c r="D433">
        <v>62</v>
      </c>
      <c r="E433">
        <v>40747479</v>
      </c>
      <c r="F433" t="s">
        <v>1936</v>
      </c>
      <c r="G433">
        <v>2025</v>
      </c>
      <c r="H433" t="s">
        <v>452</v>
      </c>
      <c r="I433" t="s">
        <v>2018</v>
      </c>
      <c r="J433" t="s">
        <v>1688</v>
      </c>
      <c r="K433" t="s">
        <v>1686</v>
      </c>
      <c r="L433">
        <v>0</v>
      </c>
      <c r="M433">
        <v>25100935</v>
      </c>
      <c r="N433">
        <v>0</v>
      </c>
      <c r="O433">
        <v>15646544</v>
      </c>
    </row>
    <row r="434" spans="1:15" x14ac:dyDescent="0.25">
      <c r="A434">
        <v>266</v>
      </c>
      <c r="B434" t="s">
        <v>2016</v>
      </c>
      <c r="C434" t="s">
        <v>2251</v>
      </c>
      <c r="D434">
        <v>62</v>
      </c>
      <c r="E434">
        <v>26545593</v>
      </c>
      <c r="F434" t="s">
        <v>1936</v>
      </c>
      <c r="G434">
        <v>2025</v>
      </c>
      <c r="H434" t="s">
        <v>452</v>
      </c>
      <c r="I434" t="s">
        <v>2018</v>
      </c>
      <c r="J434" t="s">
        <v>1688</v>
      </c>
      <c r="K434" t="s">
        <v>1686</v>
      </c>
      <c r="L434">
        <v>0</v>
      </c>
      <c r="M434">
        <v>25100935</v>
      </c>
      <c r="N434">
        <v>0</v>
      </c>
      <c r="O434">
        <v>1444658</v>
      </c>
    </row>
    <row r="435" spans="1:15" x14ac:dyDescent="0.25">
      <c r="A435">
        <v>267</v>
      </c>
      <c r="B435" t="s">
        <v>2016</v>
      </c>
      <c r="C435" t="s">
        <v>2252</v>
      </c>
      <c r="D435">
        <v>62</v>
      </c>
      <c r="E435">
        <v>50609170</v>
      </c>
      <c r="F435" t="s">
        <v>1936</v>
      </c>
      <c r="G435">
        <v>2025</v>
      </c>
      <c r="H435" t="s">
        <v>452</v>
      </c>
      <c r="I435" t="s">
        <v>2018</v>
      </c>
      <c r="J435" t="s">
        <v>1688</v>
      </c>
      <c r="K435" t="s">
        <v>1686</v>
      </c>
      <c r="L435">
        <v>0</v>
      </c>
      <c r="M435">
        <v>50540509</v>
      </c>
      <c r="N435">
        <v>0</v>
      </c>
      <c r="O435">
        <v>68661</v>
      </c>
    </row>
    <row r="436" spans="1:15" x14ac:dyDescent="0.25">
      <c r="A436">
        <v>282</v>
      </c>
      <c r="B436" t="s">
        <v>2253</v>
      </c>
      <c r="C436" t="s">
        <v>2254</v>
      </c>
      <c r="D436">
        <v>62</v>
      </c>
      <c r="E436">
        <v>26545593</v>
      </c>
      <c r="F436" t="s">
        <v>1936</v>
      </c>
      <c r="G436">
        <v>2025</v>
      </c>
      <c r="H436" t="s">
        <v>452</v>
      </c>
      <c r="I436" t="s">
        <v>2018</v>
      </c>
      <c r="J436" t="s">
        <v>1688</v>
      </c>
      <c r="K436" t="s">
        <v>1686</v>
      </c>
      <c r="L436">
        <v>0</v>
      </c>
      <c r="M436">
        <v>25100935</v>
      </c>
      <c r="N436">
        <v>0</v>
      </c>
      <c r="O436">
        <v>1444658</v>
      </c>
    </row>
    <row r="437" spans="1:15" x14ac:dyDescent="0.25">
      <c r="A437">
        <v>405</v>
      </c>
      <c r="B437" t="s">
        <v>2255</v>
      </c>
      <c r="C437" t="s">
        <v>2256</v>
      </c>
      <c r="D437">
        <v>96</v>
      </c>
      <c r="E437">
        <v>378296597</v>
      </c>
      <c r="F437" t="s">
        <v>1936</v>
      </c>
      <c r="G437">
        <v>2025</v>
      </c>
      <c r="H437" t="s">
        <v>789</v>
      </c>
      <c r="I437" t="s">
        <v>2257</v>
      </c>
      <c r="J437" t="s">
        <v>1688</v>
      </c>
      <c r="K437" t="s">
        <v>1686</v>
      </c>
      <c r="L437">
        <v>0</v>
      </c>
      <c r="M437">
        <v>374364222</v>
      </c>
      <c r="N437">
        <v>0</v>
      </c>
      <c r="O437">
        <v>3932375</v>
      </c>
    </row>
    <row r="438" spans="1:15" x14ac:dyDescent="0.25">
      <c r="A438">
        <v>69</v>
      </c>
      <c r="B438" t="s">
        <v>2258</v>
      </c>
      <c r="C438" t="s">
        <v>2259</v>
      </c>
      <c r="D438">
        <v>63</v>
      </c>
      <c r="E438">
        <v>47860000</v>
      </c>
      <c r="F438" t="s">
        <v>1936</v>
      </c>
      <c r="G438">
        <v>2025</v>
      </c>
      <c r="H438" t="s">
        <v>668</v>
      </c>
      <c r="I438" t="s">
        <v>2260</v>
      </c>
      <c r="J438" t="s">
        <v>1688</v>
      </c>
      <c r="K438" t="s">
        <v>1686</v>
      </c>
      <c r="L438">
        <v>0</v>
      </c>
      <c r="M438">
        <v>47706447</v>
      </c>
      <c r="N438">
        <v>0</v>
      </c>
      <c r="O438">
        <v>153553</v>
      </c>
    </row>
    <row r="439" spans="1:15" x14ac:dyDescent="0.25">
      <c r="A439">
        <v>70</v>
      </c>
      <c r="B439" t="s">
        <v>2258</v>
      </c>
      <c r="C439" t="s">
        <v>2261</v>
      </c>
      <c r="D439">
        <v>63</v>
      </c>
      <c r="E439">
        <v>41028000</v>
      </c>
      <c r="F439" t="s">
        <v>1936</v>
      </c>
      <c r="G439">
        <v>2025</v>
      </c>
      <c r="H439" t="s">
        <v>668</v>
      </c>
      <c r="I439" t="s">
        <v>2260</v>
      </c>
      <c r="J439" t="s">
        <v>1688</v>
      </c>
      <c r="K439" t="s">
        <v>1686</v>
      </c>
      <c r="L439">
        <v>0</v>
      </c>
      <c r="M439">
        <v>41028000</v>
      </c>
      <c r="N439">
        <v>0</v>
      </c>
      <c r="O439">
        <v>0</v>
      </c>
    </row>
    <row r="440" spans="1:15" x14ac:dyDescent="0.25">
      <c r="A440">
        <v>326</v>
      </c>
      <c r="B440" t="s">
        <v>2262</v>
      </c>
      <c r="C440" t="s">
        <v>2263</v>
      </c>
      <c r="D440">
        <v>63</v>
      </c>
      <c r="E440">
        <v>34190000</v>
      </c>
      <c r="F440" t="s">
        <v>1936</v>
      </c>
      <c r="G440">
        <v>2025</v>
      </c>
      <c r="H440" t="s">
        <v>668</v>
      </c>
      <c r="I440" t="s">
        <v>2260</v>
      </c>
      <c r="J440" t="s">
        <v>1688</v>
      </c>
      <c r="K440" t="s">
        <v>1686</v>
      </c>
      <c r="L440">
        <v>0</v>
      </c>
      <c r="M440">
        <v>32366533</v>
      </c>
      <c r="N440">
        <v>0</v>
      </c>
      <c r="O440">
        <v>1823467</v>
      </c>
    </row>
    <row r="441" spans="1:15" x14ac:dyDescent="0.25">
      <c r="A441">
        <v>417</v>
      </c>
      <c r="B441" t="s">
        <v>2264</v>
      </c>
      <c r="C441" t="s">
        <v>2265</v>
      </c>
      <c r="D441">
        <v>63</v>
      </c>
      <c r="E441">
        <v>14245834</v>
      </c>
      <c r="F441" t="s">
        <v>1936</v>
      </c>
      <c r="G441">
        <v>2025</v>
      </c>
      <c r="H441" t="s">
        <v>668</v>
      </c>
      <c r="I441" t="s">
        <v>2260</v>
      </c>
      <c r="J441" t="s">
        <v>1688</v>
      </c>
      <c r="K441" t="s">
        <v>1686</v>
      </c>
      <c r="L441">
        <v>0</v>
      </c>
      <c r="M441">
        <v>14245834</v>
      </c>
      <c r="N441">
        <v>0</v>
      </c>
      <c r="O441">
        <v>0</v>
      </c>
    </row>
    <row r="442" spans="1:15" x14ac:dyDescent="0.25">
      <c r="A442">
        <v>306</v>
      </c>
      <c r="B442" t="s">
        <v>2266</v>
      </c>
      <c r="C442" t="s">
        <v>2267</v>
      </c>
      <c r="D442">
        <v>64</v>
      </c>
      <c r="E442">
        <v>75218000</v>
      </c>
      <c r="F442" t="s">
        <v>1936</v>
      </c>
      <c r="G442">
        <v>2025</v>
      </c>
      <c r="H442" t="s">
        <v>672</v>
      </c>
      <c r="I442" t="s">
        <v>2268</v>
      </c>
      <c r="J442" t="s">
        <v>1688</v>
      </c>
      <c r="K442" t="s">
        <v>1686</v>
      </c>
      <c r="L442">
        <v>0</v>
      </c>
      <c r="M442">
        <v>75218000</v>
      </c>
      <c r="N442">
        <v>0</v>
      </c>
      <c r="O442">
        <v>0</v>
      </c>
    </row>
    <row r="443" spans="1:15" x14ac:dyDescent="0.25">
      <c r="A443">
        <v>358</v>
      </c>
      <c r="B443" t="s">
        <v>2269</v>
      </c>
      <c r="C443" t="s">
        <v>2270</v>
      </c>
      <c r="D443">
        <v>65</v>
      </c>
      <c r="E443">
        <v>240000000</v>
      </c>
      <c r="F443" t="s">
        <v>1936</v>
      </c>
      <c r="G443">
        <v>2025</v>
      </c>
      <c r="H443" t="s">
        <v>662</v>
      </c>
      <c r="I443" t="s">
        <v>2271</v>
      </c>
      <c r="J443" t="s">
        <v>1688</v>
      </c>
      <c r="K443" t="s">
        <v>1686</v>
      </c>
      <c r="L443">
        <v>0</v>
      </c>
      <c r="M443">
        <v>229600000</v>
      </c>
      <c r="N443">
        <v>10400000</v>
      </c>
      <c r="O443">
        <v>0</v>
      </c>
    </row>
    <row r="444" spans="1:15" x14ac:dyDescent="0.25">
      <c r="A444">
        <v>359</v>
      </c>
      <c r="B444" t="s">
        <v>2272</v>
      </c>
      <c r="C444" t="s">
        <v>2273</v>
      </c>
      <c r="D444">
        <v>65</v>
      </c>
      <c r="E444">
        <v>240000000</v>
      </c>
      <c r="F444" t="s">
        <v>1936</v>
      </c>
      <c r="G444">
        <v>2025</v>
      </c>
      <c r="H444" t="s">
        <v>662</v>
      </c>
      <c r="I444" t="s">
        <v>2271</v>
      </c>
      <c r="J444" t="s">
        <v>1688</v>
      </c>
      <c r="K444" t="s">
        <v>1686</v>
      </c>
      <c r="L444">
        <v>0</v>
      </c>
      <c r="M444">
        <v>238600000</v>
      </c>
      <c r="N444">
        <v>1400000</v>
      </c>
      <c r="O444">
        <v>0</v>
      </c>
    </row>
    <row r="445" spans="1:15" x14ac:dyDescent="0.25">
      <c r="A445">
        <v>405</v>
      </c>
      <c r="B445" t="s">
        <v>2255</v>
      </c>
      <c r="C445" t="s">
        <v>2256</v>
      </c>
      <c r="D445">
        <v>65</v>
      </c>
      <c r="E445">
        <v>803226153</v>
      </c>
      <c r="F445" t="s">
        <v>1936</v>
      </c>
      <c r="G445">
        <v>2025</v>
      </c>
      <c r="H445" t="s">
        <v>662</v>
      </c>
      <c r="I445" t="s">
        <v>2271</v>
      </c>
      <c r="J445" t="s">
        <v>1688</v>
      </c>
      <c r="K445" t="s">
        <v>1686</v>
      </c>
      <c r="L445">
        <v>0</v>
      </c>
      <c r="M445">
        <v>803226153</v>
      </c>
      <c r="N445">
        <v>0</v>
      </c>
      <c r="O445">
        <v>0</v>
      </c>
    </row>
    <row r="446" spans="1:15" x14ac:dyDescent="0.25">
      <c r="A446">
        <v>406</v>
      </c>
      <c r="B446" t="s">
        <v>2255</v>
      </c>
      <c r="C446" t="s">
        <v>2256</v>
      </c>
      <c r="D446">
        <v>65</v>
      </c>
      <c r="E446">
        <v>1223160125</v>
      </c>
      <c r="F446" t="s">
        <v>1936</v>
      </c>
      <c r="G446">
        <v>2025</v>
      </c>
      <c r="H446" t="s">
        <v>662</v>
      </c>
      <c r="I446" t="s">
        <v>2271</v>
      </c>
      <c r="J446" t="s">
        <v>1688</v>
      </c>
      <c r="K446" t="s">
        <v>1686</v>
      </c>
      <c r="L446">
        <v>0</v>
      </c>
      <c r="M446">
        <v>1218160125</v>
      </c>
      <c r="N446">
        <v>0</v>
      </c>
      <c r="O446">
        <v>5000000</v>
      </c>
    </row>
    <row r="447" spans="1:15" x14ac:dyDescent="0.25">
      <c r="A447">
        <v>413</v>
      </c>
      <c r="B447" t="s">
        <v>2274</v>
      </c>
      <c r="C447" t="s">
        <v>2256</v>
      </c>
      <c r="D447">
        <v>65</v>
      </c>
      <c r="E447">
        <v>99999980</v>
      </c>
      <c r="F447" t="s">
        <v>1936</v>
      </c>
      <c r="G447">
        <v>2025</v>
      </c>
      <c r="H447" t="s">
        <v>662</v>
      </c>
      <c r="I447" t="s">
        <v>2271</v>
      </c>
      <c r="J447" t="s">
        <v>1688</v>
      </c>
      <c r="K447" t="s">
        <v>1686</v>
      </c>
      <c r="L447">
        <v>0</v>
      </c>
      <c r="M447">
        <v>0</v>
      </c>
      <c r="N447">
        <v>99999980</v>
      </c>
      <c r="O447">
        <v>0</v>
      </c>
    </row>
    <row r="448" spans="1:15" x14ac:dyDescent="0.25">
      <c r="A448">
        <v>414</v>
      </c>
      <c r="B448" t="s">
        <v>2275</v>
      </c>
      <c r="C448" t="s">
        <v>2256</v>
      </c>
      <c r="D448">
        <v>65</v>
      </c>
      <c r="E448">
        <v>9999980</v>
      </c>
      <c r="F448" t="s">
        <v>1936</v>
      </c>
      <c r="G448">
        <v>2025</v>
      </c>
      <c r="H448" t="s">
        <v>662</v>
      </c>
      <c r="I448" t="s">
        <v>2271</v>
      </c>
      <c r="J448" t="s">
        <v>1688</v>
      </c>
      <c r="K448" t="s">
        <v>1686</v>
      </c>
      <c r="L448">
        <v>0</v>
      </c>
      <c r="M448">
        <v>9999980</v>
      </c>
      <c r="N448">
        <v>0</v>
      </c>
      <c r="O448">
        <v>0</v>
      </c>
    </row>
    <row r="449" spans="1:15" x14ac:dyDescent="0.25">
      <c r="A449">
        <v>428</v>
      </c>
      <c r="B449" t="s">
        <v>2276</v>
      </c>
      <c r="C449" t="s">
        <v>2256</v>
      </c>
      <c r="D449">
        <v>65</v>
      </c>
      <c r="E449">
        <v>2000000</v>
      </c>
      <c r="F449" t="s">
        <v>1936</v>
      </c>
      <c r="G449">
        <v>2025</v>
      </c>
      <c r="H449" t="s">
        <v>662</v>
      </c>
      <c r="I449" t="s">
        <v>2271</v>
      </c>
      <c r="J449" t="s">
        <v>1688</v>
      </c>
      <c r="K449" t="s">
        <v>1686</v>
      </c>
      <c r="L449">
        <v>0</v>
      </c>
      <c r="M449">
        <v>0</v>
      </c>
      <c r="N449">
        <v>2000000</v>
      </c>
      <c r="O449">
        <v>0</v>
      </c>
    </row>
    <row r="450" spans="1:15" x14ac:dyDescent="0.25">
      <c r="A450">
        <v>432</v>
      </c>
      <c r="B450" t="s">
        <v>2277</v>
      </c>
      <c r="C450" t="s">
        <v>2256</v>
      </c>
      <c r="D450">
        <v>65</v>
      </c>
      <c r="E450">
        <v>2879900</v>
      </c>
      <c r="F450" t="s">
        <v>1936</v>
      </c>
      <c r="G450">
        <v>2025</v>
      </c>
      <c r="H450" t="s">
        <v>662</v>
      </c>
      <c r="I450" t="s">
        <v>2271</v>
      </c>
      <c r="J450" t="s">
        <v>1688</v>
      </c>
      <c r="K450" t="s">
        <v>1686</v>
      </c>
      <c r="L450">
        <v>0</v>
      </c>
      <c r="M450">
        <v>2879900</v>
      </c>
      <c r="N450">
        <v>0</v>
      </c>
      <c r="O450">
        <v>0</v>
      </c>
    </row>
    <row r="451" spans="1:15" x14ac:dyDescent="0.25">
      <c r="A451">
        <v>436</v>
      </c>
      <c r="B451" t="s">
        <v>2278</v>
      </c>
      <c r="C451" t="s">
        <v>2256</v>
      </c>
      <c r="D451">
        <v>65</v>
      </c>
      <c r="E451">
        <v>15000000</v>
      </c>
      <c r="F451" t="s">
        <v>1936</v>
      </c>
      <c r="G451">
        <v>2025</v>
      </c>
      <c r="H451" t="s">
        <v>662</v>
      </c>
      <c r="I451" t="s">
        <v>2271</v>
      </c>
      <c r="J451" t="s">
        <v>1688</v>
      </c>
      <c r="K451" t="s">
        <v>1686</v>
      </c>
      <c r="L451">
        <v>0</v>
      </c>
      <c r="M451">
        <v>0</v>
      </c>
      <c r="N451">
        <v>0</v>
      </c>
      <c r="O451">
        <v>15000000</v>
      </c>
    </row>
    <row r="452" spans="1:15" x14ac:dyDescent="0.25">
      <c r="A452">
        <v>437</v>
      </c>
      <c r="B452" t="s">
        <v>2278</v>
      </c>
      <c r="C452" t="s">
        <v>2256</v>
      </c>
      <c r="D452">
        <v>65</v>
      </c>
      <c r="E452">
        <v>10000000</v>
      </c>
      <c r="F452" t="s">
        <v>1936</v>
      </c>
      <c r="G452">
        <v>2025</v>
      </c>
      <c r="H452" t="s">
        <v>662</v>
      </c>
      <c r="I452" t="s">
        <v>2271</v>
      </c>
      <c r="J452" t="s">
        <v>1688</v>
      </c>
      <c r="K452" t="s">
        <v>1686</v>
      </c>
      <c r="L452">
        <v>0</v>
      </c>
      <c r="M452">
        <v>0</v>
      </c>
      <c r="N452">
        <v>0</v>
      </c>
      <c r="O452">
        <v>10000000</v>
      </c>
    </row>
    <row r="453" spans="1:15" x14ac:dyDescent="0.25">
      <c r="A453">
        <v>444</v>
      </c>
      <c r="B453" t="s">
        <v>2279</v>
      </c>
      <c r="C453" t="s">
        <v>2270</v>
      </c>
      <c r="D453">
        <v>65</v>
      </c>
      <c r="E453">
        <v>50000000</v>
      </c>
      <c r="F453" t="s">
        <v>1936</v>
      </c>
      <c r="G453">
        <v>2025</v>
      </c>
      <c r="H453" t="s">
        <v>662</v>
      </c>
      <c r="I453" t="s">
        <v>2271</v>
      </c>
      <c r="J453" t="s">
        <v>1688</v>
      </c>
      <c r="K453" t="s">
        <v>1686</v>
      </c>
      <c r="L453">
        <v>0</v>
      </c>
      <c r="M453">
        <v>0</v>
      </c>
      <c r="N453">
        <v>0</v>
      </c>
      <c r="O453">
        <v>50000000</v>
      </c>
    </row>
    <row r="454" spans="1:15" x14ac:dyDescent="0.25">
      <c r="A454">
        <v>444</v>
      </c>
      <c r="B454" t="s">
        <v>2279</v>
      </c>
      <c r="C454" t="s">
        <v>2270</v>
      </c>
      <c r="D454">
        <v>103</v>
      </c>
      <c r="E454">
        <v>185000000</v>
      </c>
      <c r="F454" t="s">
        <v>1936</v>
      </c>
      <c r="G454">
        <v>2025</v>
      </c>
      <c r="H454" t="s">
        <v>663</v>
      </c>
      <c r="I454" t="s">
        <v>2280</v>
      </c>
      <c r="J454" t="s">
        <v>1688</v>
      </c>
      <c r="K454" t="s">
        <v>1686</v>
      </c>
      <c r="L454">
        <v>0</v>
      </c>
      <c r="M454">
        <v>0</v>
      </c>
      <c r="N454">
        <v>0</v>
      </c>
      <c r="O454">
        <v>185000000</v>
      </c>
    </row>
    <row r="455" spans="1:15" x14ac:dyDescent="0.25">
      <c r="A455">
        <v>17</v>
      </c>
      <c r="B455" t="s">
        <v>1934</v>
      </c>
      <c r="C455" t="s">
        <v>1935</v>
      </c>
      <c r="D455">
        <v>66</v>
      </c>
      <c r="E455">
        <v>12285607</v>
      </c>
      <c r="F455" t="s">
        <v>1936</v>
      </c>
      <c r="G455">
        <v>2025</v>
      </c>
      <c r="H455" t="s">
        <v>398</v>
      </c>
      <c r="I455" t="s">
        <v>2281</v>
      </c>
      <c r="J455" t="s">
        <v>1688</v>
      </c>
      <c r="K455" t="s">
        <v>1686</v>
      </c>
      <c r="L455">
        <v>0</v>
      </c>
      <c r="M455">
        <v>12285607</v>
      </c>
      <c r="N455">
        <v>0</v>
      </c>
      <c r="O455">
        <v>0</v>
      </c>
    </row>
    <row r="456" spans="1:15" x14ac:dyDescent="0.25">
      <c r="A456">
        <v>19</v>
      </c>
      <c r="B456" t="s">
        <v>1940</v>
      </c>
      <c r="C456" t="s">
        <v>1941</v>
      </c>
      <c r="D456">
        <v>66</v>
      </c>
      <c r="E456">
        <v>24571213</v>
      </c>
      <c r="F456" t="s">
        <v>1936</v>
      </c>
      <c r="G456">
        <v>2025</v>
      </c>
      <c r="H456" t="s">
        <v>398</v>
      </c>
      <c r="I456" t="s">
        <v>2281</v>
      </c>
      <c r="J456" t="s">
        <v>1688</v>
      </c>
      <c r="K456" t="s">
        <v>1686</v>
      </c>
      <c r="L456">
        <v>0</v>
      </c>
      <c r="M456">
        <v>24571213</v>
      </c>
      <c r="N456">
        <v>0</v>
      </c>
      <c r="O456">
        <v>0</v>
      </c>
    </row>
    <row r="457" spans="1:15" x14ac:dyDescent="0.25">
      <c r="A457">
        <v>20</v>
      </c>
      <c r="B457" t="s">
        <v>1942</v>
      </c>
      <c r="C457" t="s">
        <v>1943</v>
      </c>
      <c r="D457">
        <v>66</v>
      </c>
      <c r="E457">
        <v>24571213</v>
      </c>
      <c r="F457" t="s">
        <v>1936</v>
      </c>
      <c r="G457">
        <v>2025</v>
      </c>
      <c r="H457" t="s">
        <v>398</v>
      </c>
      <c r="I457" t="s">
        <v>2281</v>
      </c>
      <c r="J457" t="s">
        <v>1688</v>
      </c>
      <c r="K457" t="s">
        <v>1686</v>
      </c>
      <c r="L457">
        <v>0</v>
      </c>
      <c r="M457">
        <v>24571213</v>
      </c>
      <c r="N457">
        <v>0</v>
      </c>
      <c r="O457">
        <v>0</v>
      </c>
    </row>
    <row r="458" spans="1:15" x14ac:dyDescent="0.25">
      <c r="A458">
        <v>66</v>
      </c>
      <c r="B458" t="s">
        <v>1944</v>
      </c>
      <c r="C458" t="s">
        <v>1945</v>
      </c>
      <c r="D458">
        <v>66</v>
      </c>
      <c r="E458">
        <v>37609000</v>
      </c>
      <c r="F458" t="s">
        <v>1936</v>
      </c>
      <c r="G458">
        <v>2025</v>
      </c>
      <c r="H458" t="s">
        <v>398</v>
      </c>
      <c r="I458" t="s">
        <v>2281</v>
      </c>
      <c r="J458" t="s">
        <v>1688</v>
      </c>
      <c r="K458" t="s">
        <v>1686</v>
      </c>
      <c r="L458">
        <v>0</v>
      </c>
      <c r="M458">
        <v>37609000</v>
      </c>
      <c r="N458">
        <v>0</v>
      </c>
      <c r="O458">
        <v>0</v>
      </c>
    </row>
    <row r="459" spans="1:15" x14ac:dyDescent="0.25">
      <c r="A459">
        <v>297</v>
      </c>
      <c r="B459" t="s">
        <v>1950</v>
      </c>
      <c r="C459" t="s">
        <v>1951</v>
      </c>
      <c r="D459">
        <v>66</v>
      </c>
      <c r="E459">
        <v>38292800</v>
      </c>
      <c r="F459" t="s">
        <v>1936</v>
      </c>
      <c r="G459">
        <v>2025</v>
      </c>
      <c r="H459" t="s">
        <v>398</v>
      </c>
      <c r="I459" t="s">
        <v>2281</v>
      </c>
      <c r="J459" t="s">
        <v>1688</v>
      </c>
      <c r="K459" t="s">
        <v>1686</v>
      </c>
      <c r="L459">
        <v>0</v>
      </c>
      <c r="M459">
        <v>38292800</v>
      </c>
      <c r="N459">
        <v>0</v>
      </c>
      <c r="O459">
        <v>0</v>
      </c>
    </row>
    <row r="460" spans="1:15" x14ac:dyDescent="0.25">
      <c r="A460">
        <v>351</v>
      </c>
      <c r="B460" t="s">
        <v>2282</v>
      </c>
      <c r="C460" t="s">
        <v>2283</v>
      </c>
      <c r="D460">
        <v>66</v>
      </c>
      <c r="E460">
        <v>47866000</v>
      </c>
      <c r="F460" t="s">
        <v>1936</v>
      </c>
      <c r="G460">
        <v>2025</v>
      </c>
      <c r="H460" t="s">
        <v>398</v>
      </c>
      <c r="I460" t="s">
        <v>2281</v>
      </c>
      <c r="J460" t="s">
        <v>1688</v>
      </c>
      <c r="K460" t="s">
        <v>1686</v>
      </c>
      <c r="L460">
        <v>0</v>
      </c>
      <c r="M460">
        <v>45313147</v>
      </c>
      <c r="N460">
        <v>0</v>
      </c>
      <c r="O460">
        <v>2552853</v>
      </c>
    </row>
    <row r="461" spans="1:15" x14ac:dyDescent="0.25">
      <c r="A461">
        <v>352</v>
      </c>
      <c r="B461" t="s">
        <v>1954</v>
      </c>
      <c r="C461" t="s">
        <v>1955</v>
      </c>
      <c r="D461">
        <v>66</v>
      </c>
      <c r="E461">
        <v>15043600</v>
      </c>
      <c r="F461" t="s">
        <v>1936</v>
      </c>
      <c r="G461">
        <v>2025</v>
      </c>
      <c r="H461" t="s">
        <v>398</v>
      </c>
      <c r="I461" t="s">
        <v>2281</v>
      </c>
      <c r="J461" t="s">
        <v>1688</v>
      </c>
      <c r="K461" t="s">
        <v>1686</v>
      </c>
      <c r="L461">
        <v>0</v>
      </c>
      <c r="M461">
        <v>15043600</v>
      </c>
      <c r="N461">
        <v>0</v>
      </c>
      <c r="O461">
        <v>0</v>
      </c>
    </row>
    <row r="462" spans="1:15" x14ac:dyDescent="0.25">
      <c r="A462">
        <v>357</v>
      </c>
      <c r="B462" t="s">
        <v>2284</v>
      </c>
      <c r="C462" t="s">
        <v>2285</v>
      </c>
      <c r="D462">
        <v>66</v>
      </c>
      <c r="E462">
        <v>34190000</v>
      </c>
      <c r="F462" t="s">
        <v>1936</v>
      </c>
      <c r="G462">
        <v>2025</v>
      </c>
      <c r="H462" t="s">
        <v>398</v>
      </c>
      <c r="I462" t="s">
        <v>2281</v>
      </c>
      <c r="J462" t="s">
        <v>1688</v>
      </c>
      <c r="K462" t="s">
        <v>1686</v>
      </c>
      <c r="L462">
        <v>0</v>
      </c>
      <c r="M462">
        <v>34190000</v>
      </c>
      <c r="N462">
        <v>0</v>
      </c>
      <c r="O462">
        <v>0</v>
      </c>
    </row>
    <row r="463" spans="1:15" x14ac:dyDescent="0.25">
      <c r="A463">
        <v>397</v>
      </c>
      <c r="B463" t="s">
        <v>1956</v>
      </c>
      <c r="C463" t="s">
        <v>1957</v>
      </c>
      <c r="D463">
        <v>66</v>
      </c>
      <c r="E463">
        <v>9000000</v>
      </c>
      <c r="F463" t="s">
        <v>1936</v>
      </c>
      <c r="G463">
        <v>2025</v>
      </c>
      <c r="H463" t="s">
        <v>398</v>
      </c>
      <c r="I463" t="s">
        <v>2281</v>
      </c>
      <c r="J463" t="s">
        <v>1688</v>
      </c>
      <c r="K463" t="s">
        <v>1686</v>
      </c>
      <c r="L463">
        <v>0</v>
      </c>
      <c r="M463">
        <v>9000000</v>
      </c>
      <c r="N463">
        <v>0</v>
      </c>
      <c r="O463">
        <v>0</v>
      </c>
    </row>
    <row r="464" spans="1:15" x14ac:dyDescent="0.25">
      <c r="A464">
        <v>417</v>
      </c>
      <c r="B464" t="s">
        <v>2264</v>
      </c>
      <c r="C464" t="s">
        <v>2265</v>
      </c>
      <c r="D464">
        <v>66</v>
      </c>
      <c r="E464">
        <v>14245833</v>
      </c>
      <c r="F464" t="s">
        <v>1936</v>
      </c>
      <c r="G464">
        <v>2025</v>
      </c>
      <c r="H464" t="s">
        <v>398</v>
      </c>
      <c r="I464" t="s">
        <v>2281</v>
      </c>
      <c r="J464" t="s">
        <v>1688</v>
      </c>
      <c r="K464" t="s">
        <v>1686</v>
      </c>
      <c r="L464">
        <v>0</v>
      </c>
      <c r="M464">
        <v>14245833</v>
      </c>
      <c r="N464">
        <v>0</v>
      </c>
      <c r="O464">
        <v>0</v>
      </c>
    </row>
    <row r="465" spans="1:15" x14ac:dyDescent="0.25">
      <c r="A465">
        <v>18</v>
      </c>
      <c r="B465" t="s">
        <v>1938</v>
      </c>
      <c r="C465" t="s">
        <v>1939</v>
      </c>
      <c r="D465">
        <v>68</v>
      </c>
      <c r="E465">
        <v>19305953</v>
      </c>
      <c r="F465" t="s">
        <v>1936</v>
      </c>
      <c r="G465">
        <v>2025</v>
      </c>
      <c r="H465" t="s">
        <v>406</v>
      </c>
      <c r="I465" t="s">
        <v>2281</v>
      </c>
      <c r="J465" t="s">
        <v>1688</v>
      </c>
      <c r="K465" t="s">
        <v>1686</v>
      </c>
      <c r="L465">
        <v>0</v>
      </c>
      <c r="M465">
        <v>19305953</v>
      </c>
      <c r="N465">
        <v>0</v>
      </c>
      <c r="O465">
        <v>0</v>
      </c>
    </row>
    <row r="466" spans="1:15" x14ac:dyDescent="0.25">
      <c r="A466">
        <v>67</v>
      </c>
      <c r="B466" t="s">
        <v>1946</v>
      </c>
      <c r="C466" t="s">
        <v>1947</v>
      </c>
      <c r="D466">
        <v>68</v>
      </c>
      <c r="E466">
        <v>37609000</v>
      </c>
      <c r="F466" t="s">
        <v>1936</v>
      </c>
      <c r="G466">
        <v>2025</v>
      </c>
      <c r="H466" t="s">
        <v>406</v>
      </c>
      <c r="I466" t="s">
        <v>2281</v>
      </c>
      <c r="J466" t="s">
        <v>1688</v>
      </c>
      <c r="K466" t="s">
        <v>1686</v>
      </c>
      <c r="L466">
        <v>0</v>
      </c>
      <c r="M466">
        <v>37609000</v>
      </c>
      <c r="N466">
        <v>0</v>
      </c>
      <c r="O466">
        <v>0</v>
      </c>
    </row>
    <row r="467" spans="1:15" x14ac:dyDescent="0.25">
      <c r="A467">
        <v>68</v>
      </c>
      <c r="B467" t="s">
        <v>1948</v>
      </c>
      <c r="C467" t="s">
        <v>1949</v>
      </c>
      <c r="D467">
        <v>68</v>
      </c>
      <c r="E467">
        <v>37609000</v>
      </c>
      <c r="F467" t="s">
        <v>1936</v>
      </c>
      <c r="G467">
        <v>2025</v>
      </c>
      <c r="H467" t="s">
        <v>406</v>
      </c>
      <c r="I467" t="s">
        <v>2281</v>
      </c>
      <c r="J467" t="s">
        <v>1688</v>
      </c>
      <c r="K467" t="s">
        <v>1686</v>
      </c>
      <c r="L467">
        <v>0</v>
      </c>
      <c r="M467">
        <v>37609000</v>
      </c>
      <c r="N467">
        <v>0</v>
      </c>
      <c r="O467">
        <v>0</v>
      </c>
    </row>
    <row r="468" spans="1:15" x14ac:dyDescent="0.25">
      <c r="A468">
        <v>325</v>
      </c>
      <c r="B468" t="s">
        <v>2286</v>
      </c>
      <c r="C468" t="s">
        <v>2287</v>
      </c>
      <c r="D468">
        <v>68</v>
      </c>
      <c r="E468">
        <v>34190000</v>
      </c>
      <c r="F468" t="s">
        <v>1936</v>
      </c>
      <c r="G468">
        <v>2025</v>
      </c>
      <c r="H468" t="s">
        <v>406</v>
      </c>
      <c r="I468" t="s">
        <v>2281</v>
      </c>
      <c r="J468" t="s">
        <v>1688</v>
      </c>
      <c r="K468" t="s">
        <v>1686</v>
      </c>
      <c r="L468">
        <v>0</v>
      </c>
      <c r="M468">
        <v>32366533</v>
      </c>
      <c r="N468">
        <v>0</v>
      </c>
      <c r="O468">
        <v>1823467</v>
      </c>
    </row>
    <row r="469" spans="1:15" x14ac:dyDescent="0.25">
      <c r="A469">
        <v>350</v>
      </c>
      <c r="B469" t="s">
        <v>1952</v>
      </c>
      <c r="C469" t="s">
        <v>1953</v>
      </c>
      <c r="D469">
        <v>68</v>
      </c>
      <c r="E469">
        <v>37609000</v>
      </c>
      <c r="F469" t="s">
        <v>1936</v>
      </c>
      <c r="G469">
        <v>2025</v>
      </c>
      <c r="H469" t="s">
        <v>406</v>
      </c>
      <c r="I469" t="s">
        <v>2281</v>
      </c>
      <c r="J469" t="s">
        <v>1688</v>
      </c>
      <c r="K469" t="s">
        <v>1686</v>
      </c>
      <c r="L469">
        <v>0</v>
      </c>
      <c r="M469">
        <v>37609000</v>
      </c>
      <c r="N469">
        <v>0</v>
      </c>
      <c r="O469">
        <v>0</v>
      </c>
    </row>
    <row r="470" spans="1:15" x14ac:dyDescent="0.25">
      <c r="A470">
        <v>45</v>
      </c>
      <c r="B470" t="s">
        <v>2288</v>
      </c>
      <c r="C470" t="s">
        <v>2289</v>
      </c>
      <c r="D470">
        <v>70</v>
      </c>
      <c r="E470">
        <v>17117120</v>
      </c>
      <c r="F470" t="s">
        <v>1775</v>
      </c>
      <c r="G470">
        <v>2025</v>
      </c>
      <c r="H470" t="s">
        <v>266</v>
      </c>
      <c r="I470" t="s">
        <v>2290</v>
      </c>
      <c r="J470" t="s">
        <v>1688</v>
      </c>
      <c r="K470" t="s">
        <v>1686</v>
      </c>
      <c r="L470">
        <v>0</v>
      </c>
      <c r="M470">
        <v>17117120</v>
      </c>
      <c r="N470">
        <v>0</v>
      </c>
      <c r="O470">
        <v>0</v>
      </c>
    </row>
    <row r="471" spans="1:15" x14ac:dyDescent="0.25">
      <c r="A471">
        <v>47</v>
      </c>
      <c r="B471" t="s">
        <v>2291</v>
      </c>
      <c r="C471" t="s">
        <v>2292</v>
      </c>
      <c r="D471">
        <v>70</v>
      </c>
      <c r="E471">
        <v>12034880</v>
      </c>
      <c r="F471" t="s">
        <v>1775</v>
      </c>
      <c r="G471">
        <v>2025</v>
      </c>
      <c r="H471" t="s">
        <v>266</v>
      </c>
      <c r="I471" t="s">
        <v>2290</v>
      </c>
      <c r="J471" t="s">
        <v>1688</v>
      </c>
      <c r="K471" t="s">
        <v>1686</v>
      </c>
      <c r="L471">
        <v>0</v>
      </c>
      <c r="M471">
        <v>12034880</v>
      </c>
      <c r="N471">
        <v>0</v>
      </c>
      <c r="O471">
        <v>0</v>
      </c>
    </row>
    <row r="472" spans="1:15" x14ac:dyDescent="0.25">
      <c r="A472">
        <v>48</v>
      </c>
      <c r="B472" t="s">
        <v>2293</v>
      </c>
      <c r="C472" t="s">
        <v>2294</v>
      </c>
      <c r="D472">
        <v>70</v>
      </c>
      <c r="E472">
        <v>12034880</v>
      </c>
      <c r="F472" t="s">
        <v>1775</v>
      </c>
      <c r="G472">
        <v>2025</v>
      </c>
      <c r="H472" t="s">
        <v>266</v>
      </c>
      <c r="I472" t="s">
        <v>2290</v>
      </c>
      <c r="J472" t="s">
        <v>1688</v>
      </c>
      <c r="K472" t="s">
        <v>1686</v>
      </c>
      <c r="L472">
        <v>0</v>
      </c>
      <c r="M472">
        <v>12034880</v>
      </c>
      <c r="N472">
        <v>0</v>
      </c>
      <c r="O472">
        <v>0</v>
      </c>
    </row>
    <row r="473" spans="1:15" x14ac:dyDescent="0.25">
      <c r="A473">
        <v>49</v>
      </c>
      <c r="B473" t="s">
        <v>2295</v>
      </c>
      <c r="C473" t="s">
        <v>2296</v>
      </c>
      <c r="D473">
        <v>70</v>
      </c>
      <c r="E473">
        <v>11034880</v>
      </c>
      <c r="F473" t="s">
        <v>1775</v>
      </c>
      <c r="G473">
        <v>2025</v>
      </c>
      <c r="H473" t="s">
        <v>266</v>
      </c>
      <c r="I473" t="s">
        <v>2290</v>
      </c>
      <c r="J473" t="s">
        <v>1688</v>
      </c>
      <c r="K473" t="s">
        <v>1686</v>
      </c>
      <c r="L473">
        <v>0</v>
      </c>
      <c r="M473">
        <v>11034880</v>
      </c>
      <c r="N473">
        <v>0</v>
      </c>
      <c r="O473">
        <v>0</v>
      </c>
    </row>
    <row r="474" spans="1:15" x14ac:dyDescent="0.25">
      <c r="A474">
        <v>50</v>
      </c>
      <c r="B474" t="s">
        <v>2297</v>
      </c>
      <c r="C474" t="s">
        <v>2298</v>
      </c>
      <c r="D474">
        <v>70</v>
      </c>
      <c r="E474">
        <v>13834880</v>
      </c>
      <c r="F474" t="s">
        <v>1775</v>
      </c>
      <c r="G474">
        <v>2025</v>
      </c>
      <c r="H474" t="s">
        <v>266</v>
      </c>
      <c r="I474" t="s">
        <v>2290</v>
      </c>
      <c r="J474" t="s">
        <v>1688</v>
      </c>
      <c r="K474" t="s">
        <v>1686</v>
      </c>
      <c r="L474">
        <v>0</v>
      </c>
      <c r="M474">
        <v>13834880</v>
      </c>
      <c r="N474">
        <v>0</v>
      </c>
      <c r="O474">
        <v>0</v>
      </c>
    </row>
    <row r="475" spans="1:15" x14ac:dyDescent="0.25">
      <c r="A475">
        <v>51</v>
      </c>
      <c r="B475" t="s">
        <v>2299</v>
      </c>
      <c r="C475" t="s">
        <v>2300</v>
      </c>
      <c r="D475">
        <v>70</v>
      </c>
      <c r="E475">
        <v>12034880</v>
      </c>
      <c r="F475" t="s">
        <v>1775</v>
      </c>
      <c r="G475">
        <v>2025</v>
      </c>
      <c r="H475" t="s">
        <v>266</v>
      </c>
      <c r="I475" t="s">
        <v>2290</v>
      </c>
      <c r="J475" t="s">
        <v>1688</v>
      </c>
      <c r="K475" t="s">
        <v>1686</v>
      </c>
      <c r="L475">
        <v>0</v>
      </c>
      <c r="M475">
        <v>12034880</v>
      </c>
      <c r="N475">
        <v>0</v>
      </c>
      <c r="O475">
        <v>0</v>
      </c>
    </row>
    <row r="476" spans="1:15" x14ac:dyDescent="0.25">
      <c r="A476">
        <v>52</v>
      </c>
      <c r="B476" t="s">
        <v>2301</v>
      </c>
      <c r="C476" t="s">
        <v>2302</v>
      </c>
      <c r="D476">
        <v>70</v>
      </c>
      <c r="E476">
        <v>7270400</v>
      </c>
      <c r="F476" t="s">
        <v>1775</v>
      </c>
      <c r="G476">
        <v>2025</v>
      </c>
      <c r="H476" t="s">
        <v>266</v>
      </c>
      <c r="I476" t="s">
        <v>2290</v>
      </c>
      <c r="J476" t="s">
        <v>1688</v>
      </c>
      <c r="K476" t="s">
        <v>1686</v>
      </c>
      <c r="L476">
        <v>0</v>
      </c>
      <c r="M476">
        <v>7270400</v>
      </c>
      <c r="N476">
        <v>0</v>
      </c>
      <c r="O476">
        <v>0</v>
      </c>
    </row>
    <row r="477" spans="1:15" x14ac:dyDescent="0.25">
      <c r="A477">
        <v>53</v>
      </c>
      <c r="B477" t="s">
        <v>2303</v>
      </c>
      <c r="C477" t="s">
        <v>2304</v>
      </c>
      <c r="D477">
        <v>70</v>
      </c>
      <c r="E477">
        <v>12034880</v>
      </c>
      <c r="F477" t="s">
        <v>1775</v>
      </c>
      <c r="G477">
        <v>2025</v>
      </c>
      <c r="H477" t="s">
        <v>266</v>
      </c>
      <c r="I477" t="s">
        <v>2290</v>
      </c>
      <c r="J477" t="s">
        <v>1688</v>
      </c>
      <c r="K477" t="s">
        <v>1686</v>
      </c>
      <c r="L477">
        <v>0</v>
      </c>
      <c r="M477">
        <v>12034880</v>
      </c>
      <c r="N477">
        <v>0</v>
      </c>
      <c r="O477">
        <v>0</v>
      </c>
    </row>
    <row r="478" spans="1:15" x14ac:dyDescent="0.25">
      <c r="A478">
        <v>295</v>
      </c>
      <c r="B478" t="s">
        <v>2305</v>
      </c>
      <c r="C478" t="s">
        <v>2306</v>
      </c>
      <c r="D478">
        <v>70</v>
      </c>
      <c r="E478">
        <v>18293600</v>
      </c>
      <c r="F478" t="s">
        <v>1775</v>
      </c>
      <c r="G478">
        <v>2025</v>
      </c>
      <c r="H478" t="s">
        <v>266</v>
      </c>
      <c r="I478" t="s">
        <v>2290</v>
      </c>
      <c r="J478" t="s">
        <v>1688</v>
      </c>
      <c r="K478" t="s">
        <v>1686</v>
      </c>
      <c r="L478">
        <v>0</v>
      </c>
      <c r="M478">
        <v>18293600</v>
      </c>
      <c r="N478">
        <v>0</v>
      </c>
      <c r="O478">
        <v>0</v>
      </c>
    </row>
    <row r="479" spans="1:15" x14ac:dyDescent="0.25">
      <c r="A479">
        <v>299</v>
      </c>
      <c r="B479" t="s">
        <v>2307</v>
      </c>
      <c r="C479" t="s">
        <v>2308</v>
      </c>
      <c r="D479">
        <v>70</v>
      </c>
      <c r="E479">
        <v>15317120</v>
      </c>
      <c r="F479" t="s">
        <v>1775</v>
      </c>
      <c r="G479">
        <v>2025</v>
      </c>
      <c r="H479" t="s">
        <v>266</v>
      </c>
      <c r="I479" t="s">
        <v>2290</v>
      </c>
      <c r="J479" t="s">
        <v>1688</v>
      </c>
      <c r="K479" t="s">
        <v>1686</v>
      </c>
      <c r="L479">
        <v>0</v>
      </c>
      <c r="M479">
        <v>15317120</v>
      </c>
      <c r="N479">
        <v>0</v>
      </c>
      <c r="O479">
        <v>0</v>
      </c>
    </row>
    <row r="480" spans="1:15" x14ac:dyDescent="0.25">
      <c r="A480">
        <v>286</v>
      </c>
      <c r="B480" t="s">
        <v>2309</v>
      </c>
      <c r="C480" t="s">
        <v>2310</v>
      </c>
      <c r="D480">
        <v>71</v>
      </c>
      <c r="E480">
        <v>83968000</v>
      </c>
      <c r="F480" t="s">
        <v>1775</v>
      </c>
      <c r="G480">
        <v>2025</v>
      </c>
      <c r="H480" t="s">
        <v>296</v>
      </c>
      <c r="I480" t="s">
        <v>2311</v>
      </c>
      <c r="J480" t="s">
        <v>1688</v>
      </c>
      <c r="K480" t="s">
        <v>1686</v>
      </c>
      <c r="L480">
        <v>0</v>
      </c>
      <c r="M480">
        <v>83968000</v>
      </c>
      <c r="N480">
        <v>0</v>
      </c>
      <c r="O480">
        <v>0</v>
      </c>
    </row>
    <row r="481" spans="1:15" x14ac:dyDescent="0.25">
      <c r="A481">
        <v>287</v>
      </c>
      <c r="B481" t="s">
        <v>2312</v>
      </c>
      <c r="C481" t="s">
        <v>2313</v>
      </c>
      <c r="D481">
        <v>71</v>
      </c>
      <c r="E481">
        <v>83968000</v>
      </c>
      <c r="F481" t="s">
        <v>1775</v>
      </c>
      <c r="G481">
        <v>2025</v>
      </c>
      <c r="H481" t="s">
        <v>296</v>
      </c>
      <c r="I481" t="s">
        <v>2311</v>
      </c>
      <c r="J481" t="s">
        <v>1688</v>
      </c>
      <c r="K481" t="s">
        <v>1686</v>
      </c>
      <c r="L481">
        <v>0</v>
      </c>
      <c r="M481">
        <v>83968000</v>
      </c>
      <c r="N481">
        <v>0</v>
      </c>
      <c r="O481">
        <v>0</v>
      </c>
    </row>
    <row r="482" spans="1:15" x14ac:dyDescent="0.25">
      <c r="A482">
        <v>291</v>
      </c>
      <c r="B482" t="s">
        <v>2314</v>
      </c>
      <c r="C482" t="s">
        <v>2315</v>
      </c>
      <c r="D482">
        <v>71</v>
      </c>
      <c r="E482">
        <v>83968000</v>
      </c>
      <c r="F482" t="s">
        <v>1775</v>
      </c>
      <c r="G482">
        <v>2025</v>
      </c>
      <c r="H482" t="s">
        <v>296</v>
      </c>
      <c r="I482" t="s">
        <v>2311</v>
      </c>
      <c r="J482" t="s">
        <v>1688</v>
      </c>
      <c r="K482" t="s">
        <v>1686</v>
      </c>
      <c r="L482">
        <v>0</v>
      </c>
      <c r="M482">
        <v>83968000</v>
      </c>
      <c r="N482">
        <v>0</v>
      </c>
      <c r="O482">
        <v>0</v>
      </c>
    </row>
    <row r="483" spans="1:15" x14ac:dyDescent="0.25">
      <c r="A483">
        <v>292</v>
      </c>
      <c r="B483" t="s">
        <v>2316</v>
      </c>
      <c r="C483" t="s">
        <v>2317</v>
      </c>
      <c r="D483">
        <v>71</v>
      </c>
      <c r="E483">
        <v>42940000</v>
      </c>
      <c r="F483" t="s">
        <v>1775</v>
      </c>
      <c r="G483">
        <v>2025</v>
      </c>
      <c r="H483" t="s">
        <v>296</v>
      </c>
      <c r="I483" t="s">
        <v>2311</v>
      </c>
      <c r="J483" t="s">
        <v>1688</v>
      </c>
      <c r="K483" t="s">
        <v>1686</v>
      </c>
      <c r="L483">
        <v>0</v>
      </c>
      <c r="M483">
        <v>42940000</v>
      </c>
      <c r="N483">
        <v>0</v>
      </c>
      <c r="O483">
        <v>0</v>
      </c>
    </row>
    <row r="484" spans="1:15" x14ac:dyDescent="0.25">
      <c r="A484">
        <v>293</v>
      </c>
      <c r="B484" t="s">
        <v>2318</v>
      </c>
      <c r="C484" t="s">
        <v>2319</v>
      </c>
      <c r="D484">
        <v>71</v>
      </c>
      <c r="E484">
        <v>85218000</v>
      </c>
      <c r="F484" t="s">
        <v>1775</v>
      </c>
      <c r="G484">
        <v>2025</v>
      </c>
      <c r="H484" t="s">
        <v>296</v>
      </c>
      <c r="I484" t="s">
        <v>2311</v>
      </c>
      <c r="J484" t="s">
        <v>1688</v>
      </c>
      <c r="K484" t="s">
        <v>1686</v>
      </c>
      <c r="L484">
        <v>0</v>
      </c>
      <c r="M484">
        <v>83968000</v>
      </c>
      <c r="N484">
        <v>0</v>
      </c>
      <c r="O484">
        <v>1250000</v>
      </c>
    </row>
    <row r="485" spans="1:15" x14ac:dyDescent="0.25">
      <c r="A485">
        <v>294</v>
      </c>
      <c r="B485" t="s">
        <v>2320</v>
      </c>
      <c r="C485" t="s">
        <v>2321</v>
      </c>
      <c r="D485">
        <v>71</v>
      </c>
      <c r="E485">
        <v>85218000</v>
      </c>
      <c r="F485" t="s">
        <v>1775</v>
      </c>
      <c r="G485">
        <v>2025</v>
      </c>
      <c r="H485" t="s">
        <v>296</v>
      </c>
      <c r="I485" t="s">
        <v>2311</v>
      </c>
      <c r="J485" t="s">
        <v>1688</v>
      </c>
      <c r="K485" t="s">
        <v>1686</v>
      </c>
      <c r="L485">
        <v>0</v>
      </c>
      <c r="M485">
        <v>85218000</v>
      </c>
      <c r="N485">
        <v>0</v>
      </c>
      <c r="O485">
        <v>0</v>
      </c>
    </row>
    <row r="486" spans="1:15" x14ac:dyDescent="0.25">
      <c r="A486">
        <v>311</v>
      </c>
      <c r="B486" t="s">
        <v>2322</v>
      </c>
      <c r="C486" t="s">
        <v>2323</v>
      </c>
      <c r="D486">
        <v>71</v>
      </c>
      <c r="E486">
        <v>25565400</v>
      </c>
      <c r="F486" t="s">
        <v>1775</v>
      </c>
      <c r="G486">
        <v>2025</v>
      </c>
      <c r="H486" t="s">
        <v>296</v>
      </c>
      <c r="I486" t="s">
        <v>2311</v>
      </c>
      <c r="J486" t="s">
        <v>1688</v>
      </c>
      <c r="K486" t="s">
        <v>1686</v>
      </c>
      <c r="L486">
        <v>0</v>
      </c>
      <c r="M486">
        <v>25565400</v>
      </c>
      <c r="N486">
        <v>0</v>
      </c>
      <c r="O486">
        <v>0</v>
      </c>
    </row>
    <row r="487" spans="1:15" x14ac:dyDescent="0.25">
      <c r="A487">
        <v>347</v>
      </c>
      <c r="B487" t="s">
        <v>2324</v>
      </c>
      <c r="C487" t="s">
        <v>2325</v>
      </c>
      <c r="D487">
        <v>71</v>
      </c>
      <c r="E487">
        <v>67112743</v>
      </c>
      <c r="F487" t="s">
        <v>1775</v>
      </c>
      <c r="G487">
        <v>2025</v>
      </c>
      <c r="H487" t="s">
        <v>296</v>
      </c>
      <c r="I487" t="s">
        <v>2311</v>
      </c>
      <c r="J487" t="s">
        <v>1688</v>
      </c>
      <c r="K487" t="s">
        <v>1686</v>
      </c>
      <c r="L487">
        <v>0</v>
      </c>
      <c r="M487">
        <v>67112743</v>
      </c>
      <c r="N487">
        <v>0</v>
      </c>
      <c r="O487">
        <v>0</v>
      </c>
    </row>
    <row r="488" spans="1:15" x14ac:dyDescent="0.25">
      <c r="A488">
        <v>348</v>
      </c>
      <c r="B488" t="s">
        <v>2326</v>
      </c>
      <c r="C488" t="s">
        <v>2327</v>
      </c>
      <c r="D488">
        <v>71</v>
      </c>
      <c r="E488">
        <v>44190000</v>
      </c>
      <c r="F488" t="s">
        <v>1775</v>
      </c>
      <c r="G488">
        <v>2025</v>
      </c>
      <c r="H488" t="s">
        <v>296</v>
      </c>
      <c r="I488" t="s">
        <v>2311</v>
      </c>
      <c r="J488" t="s">
        <v>1688</v>
      </c>
      <c r="K488" t="s">
        <v>1686</v>
      </c>
      <c r="L488">
        <v>0</v>
      </c>
      <c r="M488">
        <v>44190000</v>
      </c>
      <c r="N488">
        <v>0</v>
      </c>
      <c r="O488">
        <v>0</v>
      </c>
    </row>
    <row r="489" spans="1:15" x14ac:dyDescent="0.25">
      <c r="A489">
        <v>354</v>
      </c>
      <c r="B489" t="s">
        <v>2328</v>
      </c>
      <c r="C489" t="s">
        <v>2329</v>
      </c>
      <c r="D489">
        <v>71</v>
      </c>
      <c r="E489">
        <v>44190000</v>
      </c>
      <c r="F489" t="s">
        <v>1775</v>
      </c>
      <c r="G489">
        <v>2025</v>
      </c>
      <c r="H489" t="s">
        <v>296</v>
      </c>
      <c r="I489" t="s">
        <v>2311</v>
      </c>
      <c r="J489" t="s">
        <v>1688</v>
      </c>
      <c r="K489" t="s">
        <v>1686</v>
      </c>
      <c r="L489">
        <v>0</v>
      </c>
      <c r="M489">
        <v>44190000</v>
      </c>
      <c r="N489">
        <v>0</v>
      </c>
      <c r="O489">
        <v>0</v>
      </c>
    </row>
    <row r="490" spans="1:15" x14ac:dyDescent="0.25">
      <c r="A490">
        <v>382</v>
      </c>
      <c r="B490" t="s">
        <v>1773</v>
      </c>
      <c r="C490" t="s">
        <v>1774</v>
      </c>
      <c r="D490">
        <v>72</v>
      </c>
      <c r="E490">
        <v>132000000</v>
      </c>
      <c r="F490" t="s">
        <v>1775</v>
      </c>
      <c r="G490">
        <v>2025</v>
      </c>
      <c r="H490" t="s">
        <v>769</v>
      </c>
      <c r="I490" t="s">
        <v>2330</v>
      </c>
      <c r="J490" t="s">
        <v>1688</v>
      </c>
      <c r="K490" t="s">
        <v>1686</v>
      </c>
      <c r="L490">
        <v>0</v>
      </c>
      <c r="M490">
        <v>132000000</v>
      </c>
      <c r="N490">
        <v>0</v>
      </c>
      <c r="O490">
        <v>0</v>
      </c>
    </row>
    <row r="491" spans="1:15" x14ac:dyDescent="0.25">
      <c r="A491">
        <v>78</v>
      </c>
      <c r="B491" t="s">
        <v>2331</v>
      </c>
      <c r="C491" t="s">
        <v>2332</v>
      </c>
      <c r="D491">
        <v>73</v>
      </c>
      <c r="E491">
        <v>85218000</v>
      </c>
      <c r="F491" t="s">
        <v>1775</v>
      </c>
      <c r="G491">
        <v>2025</v>
      </c>
      <c r="H491" t="s">
        <v>284</v>
      </c>
      <c r="I491" t="s">
        <v>2333</v>
      </c>
      <c r="J491" t="s">
        <v>1688</v>
      </c>
      <c r="K491" t="s">
        <v>1686</v>
      </c>
      <c r="L491">
        <v>0</v>
      </c>
      <c r="M491">
        <v>85218000</v>
      </c>
      <c r="N491">
        <v>0</v>
      </c>
      <c r="O491">
        <v>0</v>
      </c>
    </row>
    <row r="492" spans="1:15" x14ac:dyDescent="0.25">
      <c r="A492">
        <v>79</v>
      </c>
      <c r="B492" t="s">
        <v>2334</v>
      </c>
      <c r="C492" t="s">
        <v>2335</v>
      </c>
      <c r="D492">
        <v>73</v>
      </c>
      <c r="E492">
        <v>108232000</v>
      </c>
      <c r="F492" t="s">
        <v>1775</v>
      </c>
      <c r="G492">
        <v>2025</v>
      </c>
      <c r="H492" t="s">
        <v>284</v>
      </c>
      <c r="I492" t="s">
        <v>2333</v>
      </c>
      <c r="J492" t="s">
        <v>1688</v>
      </c>
      <c r="K492" t="s">
        <v>1686</v>
      </c>
      <c r="L492">
        <v>0</v>
      </c>
      <c r="M492">
        <v>0</v>
      </c>
      <c r="N492">
        <v>0</v>
      </c>
      <c r="O492">
        <v>108232000</v>
      </c>
    </row>
    <row r="493" spans="1:15" x14ac:dyDescent="0.25">
      <c r="A493">
        <v>80</v>
      </c>
      <c r="B493" t="s">
        <v>2336</v>
      </c>
      <c r="C493" t="s">
        <v>2337</v>
      </c>
      <c r="D493">
        <v>73</v>
      </c>
      <c r="E493">
        <v>83968000</v>
      </c>
      <c r="F493" t="s">
        <v>1775</v>
      </c>
      <c r="G493">
        <v>2025</v>
      </c>
      <c r="H493" t="s">
        <v>284</v>
      </c>
      <c r="I493" t="s">
        <v>2333</v>
      </c>
      <c r="J493" t="s">
        <v>1688</v>
      </c>
      <c r="K493" t="s">
        <v>1686</v>
      </c>
      <c r="L493">
        <v>0</v>
      </c>
      <c r="M493">
        <v>83968000</v>
      </c>
      <c r="N493">
        <v>0</v>
      </c>
      <c r="O493">
        <v>0</v>
      </c>
    </row>
    <row r="494" spans="1:15" x14ac:dyDescent="0.25">
      <c r="A494">
        <v>81</v>
      </c>
      <c r="B494" t="s">
        <v>2338</v>
      </c>
      <c r="C494" t="s">
        <v>2339</v>
      </c>
      <c r="D494">
        <v>73</v>
      </c>
      <c r="E494">
        <v>42940000</v>
      </c>
      <c r="F494" t="s">
        <v>1775</v>
      </c>
      <c r="G494">
        <v>2025</v>
      </c>
      <c r="H494" t="s">
        <v>284</v>
      </c>
      <c r="I494" t="s">
        <v>2333</v>
      </c>
      <c r="J494" t="s">
        <v>1688</v>
      </c>
      <c r="K494" t="s">
        <v>1686</v>
      </c>
      <c r="L494">
        <v>0</v>
      </c>
      <c r="M494">
        <v>42940000</v>
      </c>
      <c r="N494">
        <v>0</v>
      </c>
      <c r="O494">
        <v>0</v>
      </c>
    </row>
    <row r="495" spans="1:15" x14ac:dyDescent="0.25">
      <c r="A495">
        <v>312</v>
      </c>
      <c r="B495" t="s">
        <v>2340</v>
      </c>
      <c r="C495" t="s">
        <v>2341</v>
      </c>
      <c r="D495">
        <v>73</v>
      </c>
      <c r="E495">
        <v>83968000</v>
      </c>
      <c r="F495" t="s">
        <v>1775</v>
      </c>
      <c r="G495">
        <v>2025</v>
      </c>
      <c r="H495" t="s">
        <v>284</v>
      </c>
      <c r="I495" t="s">
        <v>2333</v>
      </c>
      <c r="J495" t="s">
        <v>1688</v>
      </c>
      <c r="K495" t="s">
        <v>1686</v>
      </c>
      <c r="L495">
        <v>0</v>
      </c>
      <c r="M495">
        <v>83968000</v>
      </c>
      <c r="N495">
        <v>0</v>
      </c>
      <c r="O495">
        <v>0</v>
      </c>
    </row>
    <row r="496" spans="1:15" x14ac:dyDescent="0.25">
      <c r="A496">
        <v>339</v>
      </c>
      <c r="B496" t="s">
        <v>2342</v>
      </c>
      <c r="C496" t="s">
        <v>2343</v>
      </c>
      <c r="D496">
        <v>73</v>
      </c>
      <c r="E496">
        <v>100000000</v>
      </c>
      <c r="F496" t="s">
        <v>1775</v>
      </c>
      <c r="G496">
        <v>2025</v>
      </c>
      <c r="H496" t="s">
        <v>284</v>
      </c>
      <c r="I496" t="s">
        <v>2333</v>
      </c>
      <c r="J496" t="s">
        <v>1688</v>
      </c>
      <c r="K496" t="s">
        <v>1686</v>
      </c>
      <c r="L496">
        <v>0</v>
      </c>
      <c r="M496">
        <v>0</v>
      </c>
      <c r="N496">
        <v>0</v>
      </c>
      <c r="O496">
        <v>100000000</v>
      </c>
    </row>
    <row r="497" spans="1:15" x14ac:dyDescent="0.25">
      <c r="A497">
        <v>347</v>
      </c>
      <c r="B497" t="s">
        <v>2324</v>
      </c>
      <c r="C497" t="s">
        <v>2325</v>
      </c>
      <c r="D497">
        <v>73</v>
      </c>
      <c r="E497">
        <v>16855257</v>
      </c>
      <c r="F497" t="s">
        <v>1775</v>
      </c>
      <c r="G497">
        <v>2025</v>
      </c>
      <c r="H497" t="s">
        <v>284</v>
      </c>
      <c r="I497" t="s">
        <v>2333</v>
      </c>
      <c r="J497" t="s">
        <v>1688</v>
      </c>
      <c r="K497" t="s">
        <v>1686</v>
      </c>
      <c r="L497">
        <v>0</v>
      </c>
      <c r="M497">
        <v>16855257</v>
      </c>
      <c r="N497">
        <v>0</v>
      </c>
      <c r="O497">
        <v>0</v>
      </c>
    </row>
    <row r="498" spans="1:15" x14ac:dyDescent="0.25">
      <c r="A498">
        <v>353</v>
      </c>
      <c r="B498" t="s">
        <v>2344</v>
      </c>
      <c r="C498" t="s">
        <v>2345</v>
      </c>
      <c r="D498">
        <v>73</v>
      </c>
      <c r="E498">
        <v>50000000</v>
      </c>
      <c r="F498" t="s">
        <v>1775</v>
      </c>
      <c r="G498">
        <v>2025</v>
      </c>
      <c r="H498" t="s">
        <v>284</v>
      </c>
      <c r="I498" t="s">
        <v>2333</v>
      </c>
      <c r="J498" t="s">
        <v>1688</v>
      </c>
      <c r="K498" t="s">
        <v>1686</v>
      </c>
      <c r="L498">
        <v>0</v>
      </c>
      <c r="M498">
        <v>0</v>
      </c>
      <c r="N498">
        <v>0</v>
      </c>
      <c r="O498">
        <v>50000000</v>
      </c>
    </row>
    <row r="499" spans="1:15" x14ac:dyDescent="0.25">
      <c r="A499">
        <v>380</v>
      </c>
      <c r="B499" t="s">
        <v>2346</v>
      </c>
      <c r="C499" t="s">
        <v>2347</v>
      </c>
      <c r="D499">
        <v>73</v>
      </c>
      <c r="E499">
        <v>80957100</v>
      </c>
      <c r="F499" t="s">
        <v>1775</v>
      </c>
      <c r="G499">
        <v>2025</v>
      </c>
      <c r="H499" t="s">
        <v>284</v>
      </c>
      <c r="I499" t="s">
        <v>2333</v>
      </c>
      <c r="J499" t="s">
        <v>1688</v>
      </c>
      <c r="K499" t="s">
        <v>1686</v>
      </c>
      <c r="L499">
        <v>0</v>
      </c>
      <c r="M499">
        <v>80457100</v>
      </c>
      <c r="N499">
        <v>0</v>
      </c>
      <c r="O499">
        <v>500000</v>
      </c>
    </row>
    <row r="500" spans="1:15" x14ac:dyDescent="0.25">
      <c r="A500">
        <v>390</v>
      </c>
      <c r="B500" t="s">
        <v>1904</v>
      </c>
      <c r="C500" t="s">
        <v>2348</v>
      </c>
      <c r="D500">
        <v>73</v>
      </c>
      <c r="E500">
        <v>38646000</v>
      </c>
      <c r="F500" t="s">
        <v>1775</v>
      </c>
      <c r="G500">
        <v>2025</v>
      </c>
      <c r="H500" t="s">
        <v>284</v>
      </c>
      <c r="I500" t="s">
        <v>2333</v>
      </c>
      <c r="J500" t="s">
        <v>1688</v>
      </c>
      <c r="K500" t="s">
        <v>1686</v>
      </c>
      <c r="L500">
        <v>0</v>
      </c>
      <c r="M500">
        <v>38646000</v>
      </c>
      <c r="N500">
        <v>0</v>
      </c>
      <c r="O500">
        <v>0</v>
      </c>
    </row>
    <row r="501" spans="1:15" x14ac:dyDescent="0.25">
      <c r="A501">
        <v>411</v>
      </c>
      <c r="B501" t="s">
        <v>2349</v>
      </c>
      <c r="C501" t="s">
        <v>2350</v>
      </c>
      <c r="D501">
        <v>73</v>
      </c>
      <c r="E501">
        <v>90040000</v>
      </c>
      <c r="F501" t="s">
        <v>1775</v>
      </c>
      <c r="G501">
        <v>2025</v>
      </c>
      <c r="H501" t="s">
        <v>284</v>
      </c>
      <c r="I501" t="s">
        <v>2333</v>
      </c>
      <c r="J501" t="s">
        <v>1688</v>
      </c>
      <c r="K501" t="s">
        <v>1686</v>
      </c>
      <c r="L501">
        <v>0</v>
      </c>
      <c r="M501">
        <v>90040000</v>
      </c>
      <c r="N501">
        <v>0</v>
      </c>
      <c r="O501">
        <v>0</v>
      </c>
    </row>
    <row r="502" spans="1:15" x14ac:dyDescent="0.25">
      <c r="A502">
        <v>431</v>
      </c>
      <c r="B502" t="s">
        <v>2351</v>
      </c>
      <c r="C502" t="s">
        <v>2352</v>
      </c>
      <c r="D502">
        <v>73</v>
      </c>
      <c r="E502">
        <v>38646000</v>
      </c>
      <c r="F502" t="s">
        <v>1775</v>
      </c>
      <c r="G502">
        <v>2025</v>
      </c>
      <c r="H502" t="s">
        <v>284</v>
      </c>
      <c r="I502" t="s">
        <v>2333</v>
      </c>
      <c r="J502" t="s">
        <v>1688</v>
      </c>
      <c r="K502" t="s">
        <v>1686</v>
      </c>
      <c r="L502">
        <v>0</v>
      </c>
      <c r="M502">
        <v>0</v>
      </c>
      <c r="N502">
        <v>0</v>
      </c>
      <c r="O502">
        <v>38646000</v>
      </c>
    </row>
    <row r="503" spans="1:15" x14ac:dyDescent="0.25">
      <c r="A503">
        <v>45</v>
      </c>
      <c r="B503" t="s">
        <v>2288</v>
      </c>
      <c r="C503" t="s">
        <v>2289</v>
      </c>
      <c r="D503">
        <v>74</v>
      </c>
      <c r="E503">
        <v>17117120</v>
      </c>
      <c r="F503" t="s">
        <v>1775</v>
      </c>
      <c r="G503">
        <v>2025</v>
      </c>
      <c r="H503" t="s">
        <v>268</v>
      </c>
      <c r="I503" t="s">
        <v>2353</v>
      </c>
      <c r="J503" t="s">
        <v>1688</v>
      </c>
      <c r="K503" t="s">
        <v>1686</v>
      </c>
      <c r="L503">
        <v>0</v>
      </c>
      <c r="M503">
        <v>17117120</v>
      </c>
      <c r="N503">
        <v>0</v>
      </c>
      <c r="O503">
        <v>0</v>
      </c>
    </row>
    <row r="504" spans="1:15" x14ac:dyDescent="0.25">
      <c r="A504">
        <v>47</v>
      </c>
      <c r="B504" t="s">
        <v>2291</v>
      </c>
      <c r="C504" t="s">
        <v>2292</v>
      </c>
      <c r="D504">
        <v>74</v>
      </c>
      <c r="E504">
        <v>12034880</v>
      </c>
      <c r="F504" t="s">
        <v>1775</v>
      </c>
      <c r="G504">
        <v>2025</v>
      </c>
      <c r="H504" t="s">
        <v>268</v>
      </c>
      <c r="I504" t="s">
        <v>2353</v>
      </c>
      <c r="J504" t="s">
        <v>1688</v>
      </c>
      <c r="K504" t="s">
        <v>1686</v>
      </c>
      <c r="L504">
        <v>0</v>
      </c>
      <c r="M504">
        <v>12034880</v>
      </c>
      <c r="N504">
        <v>0</v>
      </c>
      <c r="O504">
        <v>0</v>
      </c>
    </row>
    <row r="505" spans="1:15" x14ac:dyDescent="0.25">
      <c r="A505">
        <v>48</v>
      </c>
      <c r="B505" t="s">
        <v>2293</v>
      </c>
      <c r="C505" t="s">
        <v>2294</v>
      </c>
      <c r="D505">
        <v>74</v>
      </c>
      <c r="E505">
        <v>12034880</v>
      </c>
      <c r="F505" t="s">
        <v>1775</v>
      </c>
      <c r="G505">
        <v>2025</v>
      </c>
      <c r="H505" t="s">
        <v>268</v>
      </c>
      <c r="I505" t="s">
        <v>2353</v>
      </c>
      <c r="J505" t="s">
        <v>1688</v>
      </c>
      <c r="K505" t="s">
        <v>1686</v>
      </c>
      <c r="L505">
        <v>0</v>
      </c>
      <c r="M505">
        <v>12034880</v>
      </c>
      <c r="N505">
        <v>0</v>
      </c>
      <c r="O505">
        <v>0</v>
      </c>
    </row>
    <row r="506" spans="1:15" x14ac:dyDescent="0.25">
      <c r="A506">
        <v>49</v>
      </c>
      <c r="B506" t="s">
        <v>2295</v>
      </c>
      <c r="C506" t="s">
        <v>2296</v>
      </c>
      <c r="D506">
        <v>74</v>
      </c>
      <c r="E506">
        <v>11034880</v>
      </c>
      <c r="F506" t="s">
        <v>1775</v>
      </c>
      <c r="G506">
        <v>2025</v>
      </c>
      <c r="H506" t="s">
        <v>268</v>
      </c>
      <c r="I506" t="s">
        <v>2353</v>
      </c>
      <c r="J506" t="s">
        <v>1688</v>
      </c>
      <c r="K506" t="s">
        <v>1686</v>
      </c>
      <c r="L506">
        <v>0</v>
      </c>
      <c r="M506">
        <v>11034880</v>
      </c>
      <c r="N506">
        <v>0</v>
      </c>
      <c r="O506">
        <v>0</v>
      </c>
    </row>
    <row r="507" spans="1:15" x14ac:dyDescent="0.25">
      <c r="A507">
        <v>50</v>
      </c>
      <c r="B507" t="s">
        <v>2297</v>
      </c>
      <c r="C507" t="s">
        <v>2298</v>
      </c>
      <c r="D507">
        <v>74</v>
      </c>
      <c r="E507">
        <v>13834880</v>
      </c>
      <c r="F507" t="s">
        <v>1775</v>
      </c>
      <c r="G507">
        <v>2025</v>
      </c>
      <c r="H507" t="s">
        <v>268</v>
      </c>
      <c r="I507" t="s">
        <v>2353</v>
      </c>
      <c r="J507" t="s">
        <v>1688</v>
      </c>
      <c r="K507" t="s">
        <v>1686</v>
      </c>
      <c r="L507">
        <v>0</v>
      </c>
      <c r="M507">
        <v>13834880</v>
      </c>
      <c r="N507">
        <v>0</v>
      </c>
      <c r="O507">
        <v>0</v>
      </c>
    </row>
    <row r="508" spans="1:15" x14ac:dyDescent="0.25">
      <c r="A508">
        <v>51</v>
      </c>
      <c r="B508" t="s">
        <v>2299</v>
      </c>
      <c r="C508" t="s">
        <v>2300</v>
      </c>
      <c r="D508">
        <v>74</v>
      </c>
      <c r="E508">
        <v>12034880</v>
      </c>
      <c r="F508" t="s">
        <v>1775</v>
      </c>
      <c r="G508">
        <v>2025</v>
      </c>
      <c r="H508" t="s">
        <v>268</v>
      </c>
      <c r="I508" t="s">
        <v>2353</v>
      </c>
      <c r="J508" t="s">
        <v>1688</v>
      </c>
      <c r="K508" t="s">
        <v>1686</v>
      </c>
      <c r="L508">
        <v>0</v>
      </c>
      <c r="M508">
        <v>12034880</v>
      </c>
      <c r="N508">
        <v>0</v>
      </c>
      <c r="O508">
        <v>0</v>
      </c>
    </row>
    <row r="509" spans="1:15" x14ac:dyDescent="0.25">
      <c r="A509">
        <v>52</v>
      </c>
      <c r="B509" t="s">
        <v>2301</v>
      </c>
      <c r="C509" t="s">
        <v>2302</v>
      </c>
      <c r="D509">
        <v>74</v>
      </c>
      <c r="E509">
        <v>7270400</v>
      </c>
      <c r="F509" t="s">
        <v>1775</v>
      </c>
      <c r="G509">
        <v>2025</v>
      </c>
      <c r="H509" t="s">
        <v>268</v>
      </c>
      <c r="I509" t="s">
        <v>2353</v>
      </c>
      <c r="J509" t="s">
        <v>1688</v>
      </c>
      <c r="K509" t="s">
        <v>1686</v>
      </c>
      <c r="L509">
        <v>0</v>
      </c>
      <c r="M509">
        <v>7270400</v>
      </c>
      <c r="N509">
        <v>0</v>
      </c>
      <c r="O509">
        <v>0</v>
      </c>
    </row>
    <row r="510" spans="1:15" x14ac:dyDescent="0.25">
      <c r="A510">
        <v>53</v>
      </c>
      <c r="B510" t="s">
        <v>2303</v>
      </c>
      <c r="C510" t="s">
        <v>2304</v>
      </c>
      <c r="D510">
        <v>74</v>
      </c>
      <c r="E510">
        <v>12034880</v>
      </c>
      <c r="F510" t="s">
        <v>1775</v>
      </c>
      <c r="G510">
        <v>2025</v>
      </c>
      <c r="H510" t="s">
        <v>268</v>
      </c>
      <c r="I510" t="s">
        <v>2353</v>
      </c>
      <c r="J510" t="s">
        <v>1688</v>
      </c>
      <c r="K510" t="s">
        <v>1686</v>
      </c>
      <c r="L510">
        <v>0</v>
      </c>
      <c r="M510">
        <v>12034880</v>
      </c>
      <c r="N510">
        <v>0</v>
      </c>
      <c r="O510">
        <v>0</v>
      </c>
    </row>
    <row r="511" spans="1:15" x14ac:dyDescent="0.25">
      <c r="A511">
        <v>295</v>
      </c>
      <c r="B511" t="s">
        <v>2305</v>
      </c>
      <c r="C511" t="s">
        <v>2306</v>
      </c>
      <c r="D511">
        <v>74</v>
      </c>
      <c r="E511">
        <v>18293600</v>
      </c>
      <c r="F511" t="s">
        <v>1775</v>
      </c>
      <c r="G511">
        <v>2025</v>
      </c>
      <c r="H511" t="s">
        <v>268</v>
      </c>
      <c r="I511" t="s">
        <v>2353</v>
      </c>
      <c r="J511" t="s">
        <v>1688</v>
      </c>
      <c r="K511" t="s">
        <v>1686</v>
      </c>
      <c r="L511">
        <v>0</v>
      </c>
      <c r="M511">
        <v>18293600</v>
      </c>
      <c r="N511">
        <v>0</v>
      </c>
      <c r="O511">
        <v>0</v>
      </c>
    </row>
    <row r="512" spans="1:15" x14ac:dyDescent="0.25">
      <c r="A512">
        <v>299</v>
      </c>
      <c r="B512" t="s">
        <v>2307</v>
      </c>
      <c r="C512" t="s">
        <v>2308</v>
      </c>
      <c r="D512">
        <v>74</v>
      </c>
      <c r="E512">
        <v>15317120</v>
      </c>
      <c r="F512" t="s">
        <v>1775</v>
      </c>
      <c r="G512">
        <v>2025</v>
      </c>
      <c r="H512" t="s">
        <v>268</v>
      </c>
      <c r="I512" t="s">
        <v>2353</v>
      </c>
      <c r="J512" t="s">
        <v>1688</v>
      </c>
      <c r="K512" t="s">
        <v>1686</v>
      </c>
      <c r="L512">
        <v>0</v>
      </c>
      <c r="M512">
        <v>15317120</v>
      </c>
      <c r="N512">
        <v>0</v>
      </c>
      <c r="O512">
        <v>0</v>
      </c>
    </row>
    <row r="513" spans="1:15" x14ac:dyDescent="0.25">
      <c r="A513">
        <v>77</v>
      </c>
      <c r="B513" t="s">
        <v>2354</v>
      </c>
      <c r="C513" t="s">
        <v>2355</v>
      </c>
      <c r="D513">
        <v>75</v>
      </c>
      <c r="E513">
        <v>56616000</v>
      </c>
      <c r="F513" t="s">
        <v>1775</v>
      </c>
      <c r="G513">
        <v>2025</v>
      </c>
      <c r="H513" t="s">
        <v>306</v>
      </c>
      <c r="I513" t="s">
        <v>2356</v>
      </c>
      <c r="J513" t="s">
        <v>1688</v>
      </c>
      <c r="K513" t="s">
        <v>1686</v>
      </c>
      <c r="L513">
        <v>0</v>
      </c>
      <c r="M513">
        <v>56616000</v>
      </c>
      <c r="N513">
        <v>0</v>
      </c>
      <c r="O513">
        <v>0</v>
      </c>
    </row>
    <row r="514" spans="1:15" x14ac:dyDescent="0.25">
      <c r="A514">
        <v>382</v>
      </c>
      <c r="B514" t="s">
        <v>1773</v>
      </c>
      <c r="C514" t="s">
        <v>1774</v>
      </c>
      <c r="D514">
        <v>77</v>
      </c>
      <c r="E514">
        <v>16217719</v>
      </c>
      <c r="F514" t="s">
        <v>1775</v>
      </c>
      <c r="G514">
        <v>2025</v>
      </c>
      <c r="H514" t="s">
        <v>771</v>
      </c>
      <c r="I514" t="s">
        <v>2357</v>
      </c>
      <c r="J514" t="s">
        <v>1688</v>
      </c>
      <c r="K514" t="s">
        <v>1686</v>
      </c>
      <c r="L514">
        <v>0</v>
      </c>
      <c r="M514">
        <v>16217719</v>
      </c>
      <c r="N514">
        <v>0</v>
      </c>
      <c r="O514">
        <v>0</v>
      </c>
    </row>
    <row r="515" spans="1:15" x14ac:dyDescent="0.25">
      <c r="A515">
        <v>45</v>
      </c>
      <c r="B515" t="s">
        <v>2288</v>
      </c>
      <c r="C515" t="s">
        <v>2289</v>
      </c>
      <c r="D515">
        <v>78</v>
      </c>
      <c r="E515">
        <v>17117120</v>
      </c>
      <c r="F515" t="s">
        <v>1775</v>
      </c>
      <c r="G515">
        <v>2025</v>
      </c>
      <c r="H515" t="s">
        <v>270</v>
      </c>
      <c r="I515" t="s">
        <v>2358</v>
      </c>
      <c r="J515" t="s">
        <v>1688</v>
      </c>
      <c r="K515" t="s">
        <v>1686</v>
      </c>
      <c r="L515">
        <v>0</v>
      </c>
      <c r="M515">
        <v>17117120</v>
      </c>
      <c r="N515">
        <v>0</v>
      </c>
      <c r="O515">
        <v>0</v>
      </c>
    </row>
    <row r="516" spans="1:15" x14ac:dyDescent="0.25">
      <c r="A516">
        <v>47</v>
      </c>
      <c r="B516" t="s">
        <v>2291</v>
      </c>
      <c r="C516" t="s">
        <v>2292</v>
      </c>
      <c r="D516">
        <v>78</v>
      </c>
      <c r="E516">
        <v>12034880</v>
      </c>
      <c r="F516" t="s">
        <v>1775</v>
      </c>
      <c r="G516">
        <v>2025</v>
      </c>
      <c r="H516" t="s">
        <v>270</v>
      </c>
      <c r="I516" t="s">
        <v>2358</v>
      </c>
      <c r="J516" t="s">
        <v>1688</v>
      </c>
      <c r="K516" t="s">
        <v>1686</v>
      </c>
      <c r="L516">
        <v>0</v>
      </c>
      <c r="M516">
        <v>12034880</v>
      </c>
      <c r="N516">
        <v>0</v>
      </c>
      <c r="O516">
        <v>0</v>
      </c>
    </row>
    <row r="517" spans="1:15" x14ac:dyDescent="0.25">
      <c r="A517">
        <v>48</v>
      </c>
      <c r="B517" t="s">
        <v>2293</v>
      </c>
      <c r="C517" t="s">
        <v>2294</v>
      </c>
      <c r="D517">
        <v>78</v>
      </c>
      <c r="E517">
        <v>12034880</v>
      </c>
      <c r="F517" t="s">
        <v>1775</v>
      </c>
      <c r="G517">
        <v>2025</v>
      </c>
      <c r="H517" t="s">
        <v>270</v>
      </c>
      <c r="I517" t="s">
        <v>2358</v>
      </c>
      <c r="J517" t="s">
        <v>1688</v>
      </c>
      <c r="K517" t="s">
        <v>1686</v>
      </c>
      <c r="L517">
        <v>0</v>
      </c>
      <c r="M517">
        <v>12034880</v>
      </c>
      <c r="N517">
        <v>0</v>
      </c>
      <c r="O517">
        <v>0</v>
      </c>
    </row>
    <row r="518" spans="1:15" x14ac:dyDescent="0.25">
      <c r="A518">
        <v>49</v>
      </c>
      <c r="B518" t="s">
        <v>2295</v>
      </c>
      <c r="C518" t="s">
        <v>2296</v>
      </c>
      <c r="D518">
        <v>78</v>
      </c>
      <c r="E518">
        <v>11034880</v>
      </c>
      <c r="F518" t="s">
        <v>1775</v>
      </c>
      <c r="G518">
        <v>2025</v>
      </c>
      <c r="H518" t="s">
        <v>270</v>
      </c>
      <c r="I518" t="s">
        <v>2358</v>
      </c>
      <c r="J518" t="s">
        <v>1688</v>
      </c>
      <c r="K518" t="s">
        <v>1686</v>
      </c>
      <c r="L518">
        <v>0</v>
      </c>
      <c r="M518">
        <v>11034880</v>
      </c>
      <c r="N518">
        <v>0</v>
      </c>
      <c r="O518">
        <v>0</v>
      </c>
    </row>
    <row r="519" spans="1:15" x14ac:dyDescent="0.25">
      <c r="A519">
        <v>50</v>
      </c>
      <c r="B519" t="s">
        <v>2297</v>
      </c>
      <c r="C519" t="s">
        <v>2298</v>
      </c>
      <c r="D519">
        <v>78</v>
      </c>
      <c r="E519">
        <v>13834880</v>
      </c>
      <c r="F519" t="s">
        <v>1775</v>
      </c>
      <c r="G519">
        <v>2025</v>
      </c>
      <c r="H519" t="s">
        <v>270</v>
      </c>
      <c r="I519" t="s">
        <v>2358</v>
      </c>
      <c r="J519" t="s">
        <v>1688</v>
      </c>
      <c r="K519" t="s">
        <v>1686</v>
      </c>
      <c r="L519">
        <v>0</v>
      </c>
      <c r="M519">
        <v>13834880</v>
      </c>
      <c r="N519">
        <v>0</v>
      </c>
      <c r="O519">
        <v>0</v>
      </c>
    </row>
    <row r="520" spans="1:15" x14ac:dyDescent="0.25">
      <c r="A520">
        <v>51</v>
      </c>
      <c r="B520" t="s">
        <v>2299</v>
      </c>
      <c r="C520" t="s">
        <v>2300</v>
      </c>
      <c r="D520">
        <v>78</v>
      </c>
      <c r="E520">
        <v>12034880</v>
      </c>
      <c r="F520" t="s">
        <v>1775</v>
      </c>
      <c r="G520">
        <v>2025</v>
      </c>
      <c r="H520" t="s">
        <v>270</v>
      </c>
      <c r="I520" t="s">
        <v>2358</v>
      </c>
      <c r="J520" t="s">
        <v>1688</v>
      </c>
      <c r="K520" t="s">
        <v>1686</v>
      </c>
      <c r="L520">
        <v>0</v>
      </c>
      <c r="M520">
        <v>12034880</v>
      </c>
      <c r="N520">
        <v>0</v>
      </c>
      <c r="O520">
        <v>0</v>
      </c>
    </row>
    <row r="521" spans="1:15" x14ac:dyDescent="0.25">
      <c r="A521">
        <v>52</v>
      </c>
      <c r="B521" t="s">
        <v>2301</v>
      </c>
      <c r="C521" t="s">
        <v>2302</v>
      </c>
      <c r="D521">
        <v>78</v>
      </c>
      <c r="E521">
        <v>7270400</v>
      </c>
      <c r="F521" t="s">
        <v>1775</v>
      </c>
      <c r="G521">
        <v>2025</v>
      </c>
      <c r="H521" t="s">
        <v>270</v>
      </c>
      <c r="I521" t="s">
        <v>2358</v>
      </c>
      <c r="J521" t="s">
        <v>1688</v>
      </c>
      <c r="K521" t="s">
        <v>1686</v>
      </c>
      <c r="L521">
        <v>0</v>
      </c>
      <c r="M521">
        <v>7270400</v>
      </c>
      <c r="N521">
        <v>0</v>
      </c>
      <c r="O521">
        <v>0</v>
      </c>
    </row>
    <row r="522" spans="1:15" x14ac:dyDescent="0.25">
      <c r="A522">
        <v>53</v>
      </c>
      <c r="B522" t="s">
        <v>2303</v>
      </c>
      <c r="C522" t="s">
        <v>2304</v>
      </c>
      <c r="D522">
        <v>78</v>
      </c>
      <c r="E522">
        <v>12034880</v>
      </c>
      <c r="F522" t="s">
        <v>1775</v>
      </c>
      <c r="G522">
        <v>2025</v>
      </c>
      <c r="H522" t="s">
        <v>270</v>
      </c>
      <c r="I522" t="s">
        <v>2358</v>
      </c>
      <c r="J522" t="s">
        <v>1688</v>
      </c>
      <c r="K522" t="s">
        <v>1686</v>
      </c>
      <c r="L522">
        <v>0</v>
      </c>
      <c r="M522">
        <v>12034880</v>
      </c>
      <c r="N522">
        <v>0</v>
      </c>
      <c r="O522">
        <v>0</v>
      </c>
    </row>
    <row r="523" spans="1:15" x14ac:dyDescent="0.25">
      <c r="A523">
        <v>295</v>
      </c>
      <c r="B523" t="s">
        <v>2305</v>
      </c>
      <c r="C523" t="s">
        <v>2306</v>
      </c>
      <c r="D523">
        <v>78</v>
      </c>
      <c r="E523">
        <v>18293600</v>
      </c>
      <c r="F523" t="s">
        <v>1775</v>
      </c>
      <c r="G523">
        <v>2025</v>
      </c>
      <c r="H523" t="s">
        <v>270</v>
      </c>
      <c r="I523" t="s">
        <v>2358</v>
      </c>
      <c r="J523" t="s">
        <v>1688</v>
      </c>
      <c r="K523" t="s">
        <v>1686</v>
      </c>
      <c r="L523">
        <v>0</v>
      </c>
      <c r="M523">
        <v>18293600</v>
      </c>
      <c r="N523">
        <v>0</v>
      </c>
      <c r="O523">
        <v>0</v>
      </c>
    </row>
    <row r="524" spans="1:15" x14ac:dyDescent="0.25">
      <c r="A524">
        <v>299</v>
      </c>
      <c r="B524" t="s">
        <v>2307</v>
      </c>
      <c r="C524" t="s">
        <v>2308</v>
      </c>
      <c r="D524">
        <v>78</v>
      </c>
      <c r="E524">
        <v>15317120</v>
      </c>
      <c r="F524" t="s">
        <v>1775</v>
      </c>
      <c r="G524">
        <v>2025</v>
      </c>
      <c r="H524" t="s">
        <v>270</v>
      </c>
      <c r="I524" t="s">
        <v>2358</v>
      </c>
      <c r="J524" t="s">
        <v>1688</v>
      </c>
      <c r="K524" t="s">
        <v>1686</v>
      </c>
      <c r="L524">
        <v>0</v>
      </c>
      <c r="M524">
        <v>15317120</v>
      </c>
      <c r="N524">
        <v>0</v>
      </c>
      <c r="O524">
        <v>0</v>
      </c>
    </row>
    <row r="525" spans="1:15" x14ac:dyDescent="0.25">
      <c r="A525">
        <v>74</v>
      </c>
      <c r="B525" t="s">
        <v>2359</v>
      </c>
      <c r="C525" t="s">
        <v>2360</v>
      </c>
      <c r="D525">
        <v>79</v>
      </c>
      <c r="E525">
        <v>85843000</v>
      </c>
      <c r="F525" t="s">
        <v>1775</v>
      </c>
      <c r="G525">
        <v>2025</v>
      </c>
      <c r="H525" t="s">
        <v>308</v>
      </c>
      <c r="I525" t="s">
        <v>2361</v>
      </c>
      <c r="J525" t="s">
        <v>1688</v>
      </c>
      <c r="K525" t="s">
        <v>1686</v>
      </c>
      <c r="L525">
        <v>0</v>
      </c>
      <c r="M525">
        <v>85843000</v>
      </c>
      <c r="N525">
        <v>0</v>
      </c>
      <c r="O525">
        <v>0</v>
      </c>
    </row>
    <row r="526" spans="1:15" x14ac:dyDescent="0.25">
      <c r="A526">
        <v>75</v>
      </c>
      <c r="B526" t="s">
        <v>2362</v>
      </c>
      <c r="C526" t="s">
        <v>2363</v>
      </c>
      <c r="D526">
        <v>79</v>
      </c>
      <c r="E526">
        <v>85843000</v>
      </c>
      <c r="F526" t="s">
        <v>1775</v>
      </c>
      <c r="G526">
        <v>2025</v>
      </c>
      <c r="H526" t="s">
        <v>308</v>
      </c>
      <c r="I526" t="s">
        <v>2361</v>
      </c>
      <c r="J526" t="s">
        <v>1688</v>
      </c>
      <c r="K526" t="s">
        <v>1686</v>
      </c>
      <c r="L526">
        <v>0</v>
      </c>
      <c r="M526">
        <v>85843000</v>
      </c>
      <c r="N526">
        <v>0</v>
      </c>
      <c r="O526">
        <v>0</v>
      </c>
    </row>
    <row r="527" spans="1:15" x14ac:dyDescent="0.25">
      <c r="A527">
        <v>76</v>
      </c>
      <c r="B527" t="s">
        <v>2364</v>
      </c>
      <c r="C527" t="s">
        <v>2365</v>
      </c>
      <c r="D527">
        <v>79</v>
      </c>
      <c r="E527">
        <v>87093000</v>
      </c>
      <c r="F527" t="s">
        <v>1775</v>
      </c>
      <c r="G527">
        <v>2025</v>
      </c>
      <c r="H527" t="s">
        <v>308</v>
      </c>
      <c r="I527" t="s">
        <v>2361</v>
      </c>
      <c r="J527" t="s">
        <v>1688</v>
      </c>
      <c r="K527" t="s">
        <v>1686</v>
      </c>
      <c r="L527">
        <v>0</v>
      </c>
      <c r="M527">
        <v>87093000</v>
      </c>
      <c r="N527">
        <v>0</v>
      </c>
      <c r="O527">
        <v>0</v>
      </c>
    </row>
    <row r="528" spans="1:15" x14ac:dyDescent="0.25">
      <c r="A528">
        <v>310</v>
      </c>
      <c r="B528" t="s">
        <v>2366</v>
      </c>
      <c r="C528" t="s">
        <v>2367</v>
      </c>
      <c r="D528">
        <v>79</v>
      </c>
      <c r="E528">
        <v>85843000</v>
      </c>
      <c r="F528" t="s">
        <v>1775</v>
      </c>
      <c r="G528">
        <v>2025</v>
      </c>
      <c r="H528" t="s">
        <v>308</v>
      </c>
      <c r="I528" t="s">
        <v>2361</v>
      </c>
      <c r="J528" t="s">
        <v>1688</v>
      </c>
      <c r="K528" t="s">
        <v>1686</v>
      </c>
      <c r="L528">
        <v>0</v>
      </c>
      <c r="M528">
        <v>85843000</v>
      </c>
      <c r="N528">
        <v>0</v>
      </c>
      <c r="O528">
        <v>0</v>
      </c>
    </row>
    <row r="529" spans="1:15" x14ac:dyDescent="0.25">
      <c r="A529">
        <v>330</v>
      </c>
      <c r="B529" t="s">
        <v>2368</v>
      </c>
      <c r="C529" t="s">
        <v>2369</v>
      </c>
      <c r="D529">
        <v>79</v>
      </c>
      <c r="E529">
        <v>222478000</v>
      </c>
      <c r="F529" t="s">
        <v>1775</v>
      </c>
      <c r="G529">
        <v>2025</v>
      </c>
      <c r="H529" t="s">
        <v>308</v>
      </c>
      <c r="I529" t="s">
        <v>2361</v>
      </c>
      <c r="J529" t="s">
        <v>1688</v>
      </c>
      <c r="K529" t="s">
        <v>1686</v>
      </c>
      <c r="L529">
        <v>0</v>
      </c>
      <c r="M529">
        <v>222478000</v>
      </c>
      <c r="N529">
        <v>0</v>
      </c>
      <c r="O529">
        <v>0</v>
      </c>
    </row>
    <row r="530" spans="1:15" x14ac:dyDescent="0.25">
      <c r="A530">
        <v>332</v>
      </c>
      <c r="B530" t="s">
        <v>2370</v>
      </c>
      <c r="C530" t="s">
        <v>2371</v>
      </c>
      <c r="D530">
        <v>79</v>
      </c>
      <c r="E530">
        <v>129600000</v>
      </c>
      <c r="F530" t="s">
        <v>1775</v>
      </c>
      <c r="G530">
        <v>2025</v>
      </c>
      <c r="H530" t="s">
        <v>308</v>
      </c>
      <c r="I530" t="s">
        <v>2361</v>
      </c>
      <c r="J530" t="s">
        <v>1688</v>
      </c>
      <c r="K530" t="s">
        <v>1686</v>
      </c>
      <c r="L530">
        <v>0</v>
      </c>
      <c r="M530">
        <v>129600000</v>
      </c>
      <c r="N530">
        <v>0</v>
      </c>
      <c r="O530">
        <v>0</v>
      </c>
    </row>
    <row r="531" spans="1:15" x14ac:dyDescent="0.25">
      <c r="A531">
        <v>333</v>
      </c>
      <c r="B531" t="s">
        <v>2372</v>
      </c>
      <c r="C531" t="s">
        <v>2373</v>
      </c>
      <c r="D531">
        <v>79</v>
      </c>
      <c r="E531">
        <v>88935122</v>
      </c>
      <c r="F531" t="s">
        <v>1775</v>
      </c>
      <c r="G531">
        <v>2025</v>
      </c>
      <c r="H531" t="s">
        <v>308</v>
      </c>
      <c r="I531" t="s">
        <v>2361</v>
      </c>
      <c r="J531" t="s">
        <v>1688</v>
      </c>
      <c r="K531" t="s">
        <v>1686</v>
      </c>
      <c r="L531">
        <v>0</v>
      </c>
      <c r="M531">
        <v>88935122</v>
      </c>
      <c r="N531">
        <v>0</v>
      </c>
      <c r="O531">
        <v>0</v>
      </c>
    </row>
    <row r="532" spans="1:15" x14ac:dyDescent="0.25">
      <c r="A532">
        <v>382</v>
      </c>
      <c r="B532" t="s">
        <v>1773</v>
      </c>
      <c r="C532" t="s">
        <v>1774</v>
      </c>
      <c r="D532">
        <v>80</v>
      </c>
      <c r="E532">
        <v>306983638</v>
      </c>
      <c r="F532" t="s">
        <v>1775</v>
      </c>
      <c r="G532">
        <v>2025</v>
      </c>
      <c r="H532" t="s">
        <v>773</v>
      </c>
      <c r="I532" t="s">
        <v>2374</v>
      </c>
      <c r="J532" t="s">
        <v>1688</v>
      </c>
      <c r="K532" t="s">
        <v>1686</v>
      </c>
      <c r="L532">
        <v>0</v>
      </c>
      <c r="M532">
        <v>306983638</v>
      </c>
      <c r="N532">
        <v>0</v>
      </c>
      <c r="O532">
        <v>0</v>
      </c>
    </row>
    <row r="533" spans="1:15" x14ac:dyDescent="0.25">
      <c r="A533">
        <v>45</v>
      </c>
      <c r="B533" t="s">
        <v>2288</v>
      </c>
      <c r="C533" t="s">
        <v>2289</v>
      </c>
      <c r="D533">
        <v>81</v>
      </c>
      <c r="E533">
        <v>17117120</v>
      </c>
      <c r="F533" t="s">
        <v>1775</v>
      </c>
      <c r="G533">
        <v>2025</v>
      </c>
      <c r="H533" t="s">
        <v>272</v>
      </c>
      <c r="I533" t="s">
        <v>2375</v>
      </c>
      <c r="J533" t="s">
        <v>1688</v>
      </c>
      <c r="K533" t="s">
        <v>1686</v>
      </c>
      <c r="L533">
        <v>0</v>
      </c>
      <c r="M533">
        <v>17117120</v>
      </c>
      <c r="N533">
        <v>0</v>
      </c>
      <c r="O533">
        <v>0</v>
      </c>
    </row>
    <row r="534" spans="1:15" x14ac:dyDescent="0.25">
      <c r="A534">
        <v>47</v>
      </c>
      <c r="B534" t="s">
        <v>2291</v>
      </c>
      <c r="C534" t="s">
        <v>2292</v>
      </c>
      <c r="D534">
        <v>81</v>
      </c>
      <c r="E534">
        <v>12034880</v>
      </c>
      <c r="F534" t="s">
        <v>1775</v>
      </c>
      <c r="G534">
        <v>2025</v>
      </c>
      <c r="H534" t="s">
        <v>272</v>
      </c>
      <c r="I534" t="s">
        <v>2375</v>
      </c>
      <c r="J534" t="s">
        <v>1688</v>
      </c>
      <c r="K534" t="s">
        <v>1686</v>
      </c>
      <c r="L534">
        <v>0</v>
      </c>
      <c r="M534">
        <v>12034880</v>
      </c>
      <c r="N534">
        <v>0</v>
      </c>
      <c r="O534">
        <v>0</v>
      </c>
    </row>
    <row r="535" spans="1:15" x14ac:dyDescent="0.25">
      <c r="A535">
        <v>48</v>
      </c>
      <c r="B535" t="s">
        <v>2293</v>
      </c>
      <c r="C535" t="s">
        <v>2294</v>
      </c>
      <c r="D535">
        <v>81</v>
      </c>
      <c r="E535">
        <v>12034880</v>
      </c>
      <c r="F535" t="s">
        <v>1775</v>
      </c>
      <c r="G535">
        <v>2025</v>
      </c>
      <c r="H535" t="s">
        <v>272</v>
      </c>
      <c r="I535" t="s">
        <v>2375</v>
      </c>
      <c r="J535" t="s">
        <v>1688</v>
      </c>
      <c r="K535" t="s">
        <v>1686</v>
      </c>
      <c r="L535">
        <v>0</v>
      </c>
      <c r="M535">
        <v>12034880</v>
      </c>
      <c r="N535">
        <v>0</v>
      </c>
      <c r="O535">
        <v>0</v>
      </c>
    </row>
    <row r="536" spans="1:15" x14ac:dyDescent="0.25">
      <c r="A536">
        <v>49</v>
      </c>
      <c r="B536" t="s">
        <v>2295</v>
      </c>
      <c r="C536" t="s">
        <v>2296</v>
      </c>
      <c r="D536">
        <v>81</v>
      </c>
      <c r="E536">
        <v>11034880</v>
      </c>
      <c r="F536" t="s">
        <v>1775</v>
      </c>
      <c r="G536">
        <v>2025</v>
      </c>
      <c r="H536" t="s">
        <v>272</v>
      </c>
      <c r="I536" t="s">
        <v>2375</v>
      </c>
      <c r="J536" t="s">
        <v>1688</v>
      </c>
      <c r="K536" t="s">
        <v>1686</v>
      </c>
      <c r="L536">
        <v>0</v>
      </c>
      <c r="M536">
        <v>11034880</v>
      </c>
      <c r="N536">
        <v>0</v>
      </c>
      <c r="O536">
        <v>0</v>
      </c>
    </row>
    <row r="537" spans="1:15" x14ac:dyDescent="0.25">
      <c r="A537">
        <v>50</v>
      </c>
      <c r="B537" t="s">
        <v>2297</v>
      </c>
      <c r="C537" t="s">
        <v>2298</v>
      </c>
      <c r="D537">
        <v>81</v>
      </c>
      <c r="E537">
        <v>13834880</v>
      </c>
      <c r="F537" t="s">
        <v>1775</v>
      </c>
      <c r="G537">
        <v>2025</v>
      </c>
      <c r="H537" t="s">
        <v>272</v>
      </c>
      <c r="I537" t="s">
        <v>2375</v>
      </c>
      <c r="J537" t="s">
        <v>1688</v>
      </c>
      <c r="K537" t="s">
        <v>1686</v>
      </c>
      <c r="L537">
        <v>0</v>
      </c>
      <c r="M537">
        <v>13834880</v>
      </c>
      <c r="N537">
        <v>0</v>
      </c>
      <c r="O537">
        <v>0</v>
      </c>
    </row>
    <row r="538" spans="1:15" x14ac:dyDescent="0.25">
      <c r="A538">
        <v>51</v>
      </c>
      <c r="B538" t="s">
        <v>2299</v>
      </c>
      <c r="C538" t="s">
        <v>2300</v>
      </c>
      <c r="D538">
        <v>81</v>
      </c>
      <c r="E538">
        <v>12034880</v>
      </c>
      <c r="F538" t="s">
        <v>1775</v>
      </c>
      <c r="G538">
        <v>2025</v>
      </c>
      <c r="H538" t="s">
        <v>272</v>
      </c>
      <c r="I538" t="s">
        <v>2375</v>
      </c>
      <c r="J538" t="s">
        <v>1688</v>
      </c>
      <c r="K538" t="s">
        <v>1686</v>
      </c>
      <c r="L538">
        <v>0</v>
      </c>
      <c r="M538">
        <v>12034880</v>
      </c>
      <c r="N538">
        <v>0</v>
      </c>
      <c r="O538">
        <v>0</v>
      </c>
    </row>
    <row r="539" spans="1:15" x14ac:dyDescent="0.25">
      <c r="A539">
        <v>52</v>
      </c>
      <c r="B539" t="s">
        <v>2301</v>
      </c>
      <c r="C539" t="s">
        <v>2302</v>
      </c>
      <c r="D539">
        <v>81</v>
      </c>
      <c r="E539">
        <v>7270400</v>
      </c>
      <c r="F539" t="s">
        <v>1775</v>
      </c>
      <c r="G539">
        <v>2025</v>
      </c>
      <c r="H539" t="s">
        <v>272</v>
      </c>
      <c r="I539" t="s">
        <v>2375</v>
      </c>
      <c r="J539" t="s">
        <v>1688</v>
      </c>
      <c r="K539" t="s">
        <v>1686</v>
      </c>
      <c r="L539">
        <v>0</v>
      </c>
      <c r="M539">
        <v>7270400</v>
      </c>
      <c r="N539">
        <v>0</v>
      </c>
      <c r="O539">
        <v>0</v>
      </c>
    </row>
    <row r="540" spans="1:15" x14ac:dyDescent="0.25">
      <c r="A540">
        <v>53</v>
      </c>
      <c r="B540" t="s">
        <v>2303</v>
      </c>
      <c r="C540" t="s">
        <v>2304</v>
      </c>
      <c r="D540">
        <v>81</v>
      </c>
      <c r="E540">
        <v>12034880</v>
      </c>
      <c r="F540" t="s">
        <v>1775</v>
      </c>
      <c r="G540">
        <v>2025</v>
      </c>
      <c r="H540" t="s">
        <v>272</v>
      </c>
      <c r="I540" t="s">
        <v>2375</v>
      </c>
      <c r="J540" t="s">
        <v>1688</v>
      </c>
      <c r="K540" t="s">
        <v>1686</v>
      </c>
      <c r="L540">
        <v>0</v>
      </c>
      <c r="M540">
        <v>12034880</v>
      </c>
      <c r="N540">
        <v>0</v>
      </c>
      <c r="O540">
        <v>0</v>
      </c>
    </row>
    <row r="541" spans="1:15" x14ac:dyDescent="0.25">
      <c r="A541">
        <v>295</v>
      </c>
      <c r="B541" t="s">
        <v>2305</v>
      </c>
      <c r="C541" t="s">
        <v>2306</v>
      </c>
      <c r="D541">
        <v>81</v>
      </c>
      <c r="E541">
        <v>18293600</v>
      </c>
      <c r="F541" t="s">
        <v>1775</v>
      </c>
      <c r="G541">
        <v>2025</v>
      </c>
      <c r="H541" t="s">
        <v>272</v>
      </c>
      <c r="I541" t="s">
        <v>2375</v>
      </c>
      <c r="J541" t="s">
        <v>1688</v>
      </c>
      <c r="K541" t="s">
        <v>1686</v>
      </c>
      <c r="L541">
        <v>0</v>
      </c>
      <c r="M541">
        <v>18293600</v>
      </c>
      <c r="N541">
        <v>0</v>
      </c>
      <c r="O541">
        <v>0</v>
      </c>
    </row>
    <row r="542" spans="1:15" x14ac:dyDescent="0.25">
      <c r="A542">
        <v>299</v>
      </c>
      <c r="B542" t="s">
        <v>2307</v>
      </c>
      <c r="C542" t="s">
        <v>2308</v>
      </c>
      <c r="D542">
        <v>81</v>
      </c>
      <c r="E542">
        <v>15317120</v>
      </c>
      <c r="F542" t="s">
        <v>1775</v>
      </c>
      <c r="G542">
        <v>2025</v>
      </c>
      <c r="H542" t="s">
        <v>272</v>
      </c>
      <c r="I542" t="s">
        <v>2375</v>
      </c>
      <c r="J542" t="s">
        <v>1688</v>
      </c>
      <c r="K542" t="s">
        <v>1686</v>
      </c>
      <c r="L542">
        <v>0</v>
      </c>
      <c r="M542">
        <v>15317120</v>
      </c>
      <c r="N542">
        <v>0</v>
      </c>
      <c r="O542">
        <v>0</v>
      </c>
    </row>
    <row r="543" spans="1:15" x14ac:dyDescent="0.25">
      <c r="A543">
        <v>73</v>
      </c>
      <c r="B543" t="s">
        <v>2376</v>
      </c>
      <c r="C543" t="s">
        <v>2377</v>
      </c>
      <c r="D543">
        <v>82</v>
      </c>
      <c r="E543">
        <v>44190000</v>
      </c>
      <c r="F543" t="s">
        <v>1775</v>
      </c>
      <c r="G543">
        <v>2025</v>
      </c>
      <c r="H543" t="s">
        <v>315</v>
      </c>
      <c r="I543" t="s">
        <v>2378</v>
      </c>
      <c r="J543" t="s">
        <v>1688</v>
      </c>
      <c r="K543" t="s">
        <v>1686</v>
      </c>
      <c r="L543">
        <v>0</v>
      </c>
      <c r="M543">
        <v>44190000</v>
      </c>
      <c r="N543">
        <v>0</v>
      </c>
      <c r="O543">
        <v>0</v>
      </c>
    </row>
    <row r="544" spans="1:15" x14ac:dyDescent="0.25">
      <c r="A544">
        <v>82</v>
      </c>
      <c r="B544" t="s">
        <v>2379</v>
      </c>
      <c r="C544" t="s">
        <v>2380</v>
      </c>
      <c r="D544">
        <v>82</v>
      </c>
      <c r="E544">
        <v>93968000</v>
      </c>
      <c r="F544" t="s">
        <v>1775</v>
      </c>
      <c r="G544">
        <v>2025</v>
      </c>
      <c r="H544" t="s">
        <v>315</v>
      </c>
      <c r="I544" t="s">
        <v>2378</v>
      </c>
      <c r="J544" t="s">
        <v>1688</v>
      </c>
      <c r="K544" t="s">
        <v>1686</v>
      </c>
      <c r="L544">
        <v>0</v>
      </c>
      <c r="M544">
        <v>93968000</v>
      </c>
      <c r="N544">
        <v>0</v>
      </c>
      <c r="O544">
        <v>0</v>
      </c>
    </row>
    <row r="545" spans="1:15" x14ac:dyDescent="0.25">
      <c r="A545">
        <v>83</v>
      </c>
      <c r="B545" t="s">
        <v>2381</v>
      </c>
      <c r="C545" t="s">
        <v>2382</v>
      </c>
      <c r="D545">
        <v>82</v>
      </c>
      <c r="E545">
        <v>93968000</v>
      </c>
      <c r="F545" t="s">
        <v>1775</v>
      </c>
      <c r="G545">
        <v>2025</v>
      </c>
      <c r="H545" t="s">
        <v>315</v>
      </c>
      <c r="I545" t="s">
        <v>2378</v>
      </c>
      <c r="J545" t="s">
        <v>1688</v>
      </c>
      <c r="K545" t="s">
        <v>1686</v>
      </c>
      <c r="L545">
        <v>0</v>
      </c>
      <c r="M545">
        <v>93968000</v>
      </c>
      <c r="N545">
        <v>0</v>
      </c>
      <c r="O545">
        <v>0</v>
      </c>
    </row>
    <row r="546" spans="1:15" x14ac:dyDescent="0.25">
      <c r="A546">
        <v>84</v>
      </c>
      <c r="B546" t="s">
        <v>2383</v>
      </c>
      <c r="C546" t="s">
        <v>2384</v>
      </c>
      <c r="D546">
        <v>82</v>
      </c>
      <c r="E546">
        <v>93968000</v>
      </c>
      <c r="F546" t="s">
        <v>1775</v>
      </c>
      <c r="G546">
        <v>2025</v>
      </c>
      <c r="H546" t="s">
        <v>315</v>
      </c>
      <c r="I546" t="s">
        <v>2378</v>
      </c>
      <c r="J546" t="s">
        <v>1688</v>
      </c>
      <c r="K546" t="s">
        <v>1686</v>
      </c>
      <c r="L546">
        <v>0</v>
      </c>
      <c r="M546">
        <v>93968000</v>
      </c>
      <c r="N546">
        <v>0</v>
      </c>
      <c r="O546">
        <v>0</v>
      </c>
    </row>
    <row r="547" spans="1:15" x14ac:dyDescent="0.25">
      <c r="A547">
        <v>85</v>
      </c>
      <c r="B547" t="s">
        <v>2385</v>
      </c>
      <c r="C547" t="s">
        <v>2386</v>
      </c>
      <c r="D547">
        <v>82</v>
      </c>
      <c r="E547">
        <v>93968000</v>
      </c>
      <c r="F547" t="s">
        <v>1775</v>
      </c>
      <c r="G547">
        <v>2025</v>
      </c>
      <c r="H547" t="s">
        <v>315</v>
      </c>
      <c r="I547" t="s">
        <v>2378</v>
      </c>
      <c r="J547" t="s">
        <v>1688</v>
      </c>
      <c r="K547" t="s">
        <v>1686</v>
      </c>
      <c r="L547">
        <v>0</v>
      </c>
      <c r="M547">
        <v>93968000</v>
      </c>
      <c r="N547">
        <v>0</v>
      </c>
      <c r="O547">
        <v>0</v>
      </c>
    </row>
    <row r="548" spans="1:15" x14ac:dyDescent="0.25">
      <c r="A548">
        <v>86</v>
      </c>
      <c r="B548" t="s">
        <v>2387</v>
      </c>
      <c r="C548" t="s">
        <v>2388</v>
      </c>
      <c r="D548">
        <v>82</v>
      </c>
      <c r="E548">
        <v>44190000</v>
      </c>
      <c r="F548" t="s">
        <v>1775</v>
      </c>
      <c r="G548">
        <v>2025</v>
      </c>
      <c r="H548" t="s">
        <v>315</v>
      </c>
      <c r="I548" t="s">
        <v>2378</v>
      </c>
      <c r="J548" t="s">
        <v>1688</v>
      </c>
      <c r="K548" t="s">
        <v>1686</v>
      </c>
      <c r="L548">
        <v>0</v>
      </c>
      <c r="M548">
        <v>44190000</v>
      </c>
      <c r="N548">
        <v>0</v>
      </c>
      <c r="O548">
        <v>0</v>
      </c>
    </row>
    <row r="549" spans="1:15" x14ac:dyDescent="0.25">
      <c r="A549">
        <v>87</v>
      </c>
      <c r="B549" t="s">
        <v>2389</v>
      </c>
      <c r="C549" t="s">
        <v>2390</v>
      </c>
      <c r="D549">
        <v>82</v>
      </c>
      <c r="E549">
        <v>44190000</v>
      </c>
      <c r="F549" t="s">
        <v>1775</v>
      </c>
      <c r="G549">
        <v>2025</v>
      </c>
      <c r="H549" t="s">
        <v>315</v>
      </c>
      <c r="I549" t="s">
        <v>2378</v>
      </c>
      <c r="J549" t="s">
        <v>1688</v>
      </c>
      <c r="K549" t="s">
        <v>1686</v>
      </c>
      <c r="L549">
        <v>0</v>
      </c>
      <c r="M549">
        <v>44190000</v>
      </c>
      <c r="N549">
        <v>0</v>
      </c>
      <c r="O549">
        <v>0</v>
      </c>
    </row>
    <row r="550" spans="1:15" x14ac:dyDescent="0.25">
      <c r="A550">
        <v>288</v>
      </c>
      <c r="B550" t="s">
        <v>2391</v>
      </c>
      <c r="C550" t="s">
        <v>2392</v>
      </c>
      <c r="D550">
        <v>82</v>
      </c>
      <c r="E550">
        <v>87718000</v>
      </c>
      <c r="F550" t="s">
        <v>1775</v>
      </c>
      <c r="G550">
        <v>2025</v>
      </c>
      <c r="H550" t="s">
        <v>315</v>
      </c>
      <c r="I550" t="s">
        <v>2378</v>
      </c>
      <c r="J550" t="s">
        <v>1688</v>
      </c>
      <c r="K550" t="s">
        <v>1686</v>
      </c>
      <c r="L550">
        <v>0</v>
      </c>
      <c r="M550">
        <v>87718000</v>
      </c>
      <c r="N550">
        <v>0</v>
      </c>
      <c r="O550">
        <v>0</v>
      </c>
    </row>
    <row r="551" spans="1:15" x14ac:dyDescent="0.25">
      <c r="A551">
        <v>307</v>
      </c>
      <c r="B551" t="s">
        <v>2393</v>
      </c>
      <c r="C551" t="s">
        <v>2394</v>
      </c>
      <c r="D551">
        <v>82</v>
      </c>
      <c r="E551">
        <v>105732000</v>
      </c>
      <c r="F551" t="s">
        <v>1775</v>
      </c>
      <c r="G551">
        <v>2025</v>
      </c>
      <c r="H551" t="s">
        <v>315</v>
      </c>
      <c r="I551" t="s">
        <v>2378</v>
      </c>
      <c r="J551" t="s">
        <v>1688</v>
      </c>
      <c r="K551" t="s">
        <v>1686</v>
      </c>
      <c r="L551">
        <v>0</v>
      </c>
      <c r="M551">
        <v>105732000</v>
      </c>
      <c r="N551">
        <v>0</v>
      </c>
      <c r="O551">
        <v>0</v>
      </c>
    </row>
    <row r="552" spans="1:15" x14ac:dyDescent="0.25">
      <c r="A552">
        <v>308</v>
      </c>
      <c r="B552" t="s">
        <v>2395</v>
      </c>
      <c r="C552" t="s">
        <v>2396</v>
      </c>
      <c r="D552">
        <v>82</v>
      </c>
      <c r="E552">
        <v>87218000</v>
      </c>
      <c r="F552" t="s">
        <v>1775</v>
      </c>
      <c r="G552">
        <v>2025</v>
      </c>
      <c r="H552" t="s">
        <v>315</v>
      </c>
      <c r="I552" t="s">
        <v>2378</v>
      </c>
      <c r="J552" t="s">
        <v>1688</v>
      </c>
      <c r="K552" t="s">
        <v>1686</v>
      </c>
      <c r="L552">
        <v>0</v>
      </c>
      <c r="M552">
        <v>87218000</v>
      </c>
      <c r="N552">
        <v>0</v>
      </c>
      <c r="O552">
        <v>0</v>
      </c>
    </row>
    <row r="553" spans="1:15" x14ac:dyDescent="0.25">
      <c r="A553">
        <v>309</v>
      </c>
      <c r="B553" t="s">
        <v>2397</v>
      </c>
      <c r="C553" t="s">
        <v>2398</v>
      </c>
      <c r="D553">
        <v>82</v>
      </c>
      <c r="E553">
        <v>114482000</v>
      </c>
      <c r="F553" t="s">
        <v>1775</v>
      </c>
      <c r="G553">
        <v>2025</v>
      </c>
      <c r="H553" t="s">
        <v>315</v>
      </c>
      <c r="I553" t="s">
        <v>2378</v>
      </c>
      <c r="J553" t="s">
        <v>1688</v>
      </c>
      <c r="K553" t="s">
        <v>1686</v>
      </c>
      <c r="L553">
        <v>0</v>
      </c>
      <c r="M553">
        <v>114482000</v>
      </c>
      <c r="N553">
        <v>0</v>
      </c>
      <c r="O553">
        <v>0</v>
      </c>
    </row>
    <row r="554" spans="1:15" x14ac:dyDescent="0.25">
      <c r="A554">
        <v>311</v>
      </c>
      <c r="B554" t="s">
        <v>2322</v>
      </c>
      <c r="C554" t="s">
        <v>2323</v>
      </c>
      <c r="D554">
        <v>82</v>
      </c>
      <c r="E554">
        <v>59652600</v>
      </c>
      <c r="F554" t="s">
        <v>1775</v>
      </c>
      <c r="G554">
        <v>2025</v>
      </c>
      <c r="H554" t="s">
        <v>315</v>
      </c>
      <c r="I554" t="s">
        <v>2378</v>
      </c>
      <c r="J554" t="s">
        <v>1688</v>
      </c>
      <c r="K554" t="s">
        <v>1686</v>
      </c>
      <c r="L554">
        <v>0</v>
      </c>
      <c r="M554">
        <v>59652600</v>
      </c>
      <c r="N554">
        <v>0</v>
      </c>
      <c r="O554">
        <v>0</v>
      </c>
    </row>
    <row r="555" spans="1:15" x14ac:dyDescent="0.25">
      <c r="A555">
        <v>313</v>
      </c>
      <c r="B555" t="s">
        <v>2399</v>
      </c>
      <c r="C555" t="s">
        <v>2400</v>
      </c>
      <c r="D555">
        <v>82</v>
      </c>
      <c r="E555">
        <v>83218000</v>
      </c>
      <c r="F555" t="s">
        <v>1775</v>
      </c>
      <c r="G555">
        <v>2025</v>
      </c>
      <c r="H555" t="s">
        <v>315</v>
      </c>
      <c r="I555" t="s">
        <v>2378</v>
      </c>
      <c r="J555" t="s">
        <v>1688</v>
      </c>
      <c r="K555" t="s">
        <v>1686</v>
      </c>
      <c r="L555">
        <v>0</v>
      </c>
      <c r="M555">
        <v>83218000</v>
      </c>
      <c r="N555">
        <v>0</v>
      </c>
      <c r="O555">
        <v>0</v>
      </c>
    </row>
    <row r="556" spans="1:15" x14ac:dyDescent="0.25">
      <c r="A556">
        <v>391</v>
      </c>
      <c r="B556" t="s">
        <v>1904</v>
      </c>
      <c r="C556" t="s">
        <v>2401</v>
      </c>
      <c r="D556">
        <v>82</v>
      </c>
      <c r="E556">
        <v>500000000</v>
      </c>
      <c r="F556" t="s">
        <v>1775</v>
      </c>
      <c r="G556">
        <v>2025</v>
      </c>
      <c r="H556" t="s">
        <v>315</v>
      </c>
      <c r="I556" t="s">
        <v>2378</v>
      </c>
      <c r="J556" t="s">
        <v>1688</v>
      </c>
      <c r="K556" t="s">
        <v>1686</v>
      </c>
      <c r="L556">
        <v>0</v>
      </c>
      <c r="M556">
        <v>500000000</v>
      </c>
      <c r="N556">
        <v>0</v>
      </c>
      <c r="O556">
        <v>0</v>
      </c>
    </row>
    <row r="557" spans="1:15" x14ac:dyDescent="0.25">
      <c r="A557">
        <v>429</v>
      </c>
      <c r="B557" t="s">
        <v>2402</v>
      </c>
      <c r="C557" t="s">
        <v>2403</v>
      </c>
      <c r="D557">
        <v>82</v>
      </c>
      <c r="E557">
        <v>39771000</v>
      </c>
      <c r="F557" t="s">
        <v>1775</v>
      </c>
      <c r="G557">
        <v>2025</v>
      </c>
      <c r="H557" t="s">
        <v>315</v>
      </c>
      <c r="I557" t="s">
        <v>2378</v>
      </c>
      <c r="J557" t="s">
        <v>1688</v>
      </c>
      <c r="K557" t="s">
        <v>1686</v>
      </c>
      <c r="L557">
        <v>0</v>
      </c>
      <c r="M557">
        <v>0</v>
      </c>
      <c r="N557">
        <v>0</v>
      </c>
      <c r="O557">
        <v>39771000</v>
      </c>
    </row>
    <row r="558" spans="1:15" x14ac:dyDescent="0.25">
      <c r="A558">
        <v>430</v>
      </c>
      <c r="B558" t="s">
        <v>2404</v>
      </c>
      <c r="C558" t="s">
        <v>2405</v>
      </c>
      <c r="D558">
        <v>82</v>
      </c>
      <c r="E558">
        <v>39771000</v>
      </c>
      <c r="F558" t="s">
        <v>1775</v>
      </c>
      <c r="G558">
        <v>2025</v>
      </c>
      <c r="H558" t="s">
        <v>315</v>
      </c>
      <c r="I558" t="s">
        <v>2378</v>
      </c>
      <c r="J558" t="s">
        <v>1688</v>
      </c>
      <c r="K558" t="s">
        <v>1686</v>
      </c>
      <c r="L558">
        <v>0</v>
      </c>
      <c r="M558">
        <v>0</v>
      </c>
      <c r="N558">
        <v>0</v>
      </c>
      <c r="O558">
        <v>39771000</v>
      </c>
    </row>
    <row r="559" spans="1:15" x14ac:dyDescent="0.25">
      <c r="A559">
        <v>54</v>
      </c>
      <c r="B559" t="s">
        <v>2406</v>
      </c>
      <c r="C559" t="s">
        <v>2407</v>
      </c>
      <c r="D559">
        <v>83</v>
      </c>
      <c r="E559">
        <v>237637776</v>
      </c>
      <c r="F559" t="s">
        <v>1775</v>
      </c>
      <c r="G559">
        <v>2025</v>
      </c>
      <c r="H559" t="s">
        <v>317</v>
      </c>
      <c r="I559" t="s">
        <v>2378</v>
      </c>
      <c r="J559" t="s">
        <v>1688</v>
      </c>
      <c r="K559" t="s">
        <v>1686</v>
      </c>
      <c r="L559">
        <v>0</v>
      </c>
      <c r="M559">
        <v>0</v>
      </c>
      <c r="N559">
        <v>0</v>
      </c>
      <c r="O559">
        <v>237637776</v>
      </c>
    </row>
    <row r="560" spans="1:15" x14ac:dyDescent="0.25">
      <c r="A560">
        <v>45</v>
      </c>
      <c r="B560" t="s">
        <v>2288</v>
      </c>
      <c r="C560" t="s">
        <v>2289</v>
      </c>
      <c r="D560">
        <v>85</v>
      </c>
      <c r="E560">
        <v>17117120</v>
      </c>
      <c r="F560" t="s">
        <v>1775</v>
      </c>
      <c r="G560">
        <v>2025</v>
      </c>
      <c r="H560" t="s">
        <v>274</v>
      </c>
      <c r="I560" t="s">
        <v>2408</v>
      </c>
      <c r="J560" t="s">
        <v>1688</v>
      </c>
      <c r="K560" t="s">
        <v>1686</v>
      </c>
      <c r="L560">
        <v>0</v>
      </c>
      <c r="M560">
        <v>17117120</v>
      </c>
      <c r="N560">
        <v>0</v>
      </c>
      <c r="O560">
        <v>0</v>
      </c>
    </row>
    <row r="561" spans="1:15" x14ac:dyDescent="0.25">
      <c r="A561">
        <v>47</v>
      </c>
      <c r="B561" t="s">
        <v>2291</v>
      </c>
      <c r="C561" t="s">
        <v>2292</v>
      </c>
      <c r="D561">
        <v>85</v>
      </c>
      <c r="E561">
        <v>12034880</v>
      </c>
      <c r="F561" t="s">
        <v>1775</v>
      </c>
      <c r="G561">
        <v>2025</v>
      </c>
      <c r="H561" t="s">
        <v>274</v>
      </c>
      <c r="I561" t="s">
        <v>2408</v>
      </c>
      <c r="J561" t="s">
        <v>1688</v>
      </c>
      <c r="K561" t="s">
        <v>1686</v>
      </c>
      <c r="L561">
        <v>0</v>
      </c>
      <c r="M561">
        <v>12034880</v>
      </c>
      <c r="N561">
        <v>0</v>
      </c>
      <c r="O561">
        <v>0</v>
      </c>
    </row>
    <row r="562" spans="1:15" x14ac:dyDescent="0.25">
      <c r="A562">
        <v>48</v>
      </c>
      <c r="B562" t="s">
        <v>2293</v>
      </c>
      <c r="C562" t="s">
        <v>2294</v>
      </c>
      <c r="D562">
        <v>85</v>
      </c>
      <c r="E562">
        <v>12034880</v>
      </c>
      <c r="F562" t="s">
        <v>1775</v>
      </c>
      <c r="G562">
        <v>2025</v>
      </c>
      <c r="H562" t="s">
        <v>274</v>
      </c>
      <c r="I562" t="s">
        <v>2408</v>
      </c>
      <c r="J562" t="s">
        <v>1688</v>
      </c>
      <c r="K562" t="s">
        <v>1686</v>
      </c>
      <c r="L562">
        <v>0</v>
      </c>
      <c r="M562">
        <v>12034880</v>
      </c>
      <c r="N562">
        <v>0</v>
      </c>
      <c r="O562">
        <v>0</v>
      </c>
    </row>
    <row r="563" spans="1:15" x14ac:dyDescent="0.25">
      <c r="A563">
        <v>49</v>
      </c>
      <c r="B563" t="s">
        <v>2295</v>
      </c>
      <c r="C563" t="s">
        <v>2296</v>
      </c>
      <c r="D563">
        <v>85</v>
      </c>
      <c r="E563">
        <v>16034880</v>
      </c>
      <c r="F563" t="s">
        <v>1775</v>
      </c>
      <c r="G563">
        <v>2025</v>
      </c>
      <c r="H563" t="s">
        <v>274</v>
      </c>
      <c r="I563" t="s">
        <v>2408</v>
      </c>
      <c r="J563" t="s">
        <v>1688</v>
      </c>
      <c r="K563" t="s">
        <v>1686</v>
      </c>
      <c r="L563">
        <v>0</v>
      </c>
      <c r="M563">
        <v>16034880</v>
      </c>
      <c r="N563">
        <v>0</v>
      </c>
      <c r="O563">
        <v>0</v>
      </c>
    </row>
    <row r="564" spans="1:15" x14ac:dyDescent="0.25">
      <c r="A564">
        <v>50</v>
      </c>
      <c r="B564" t="s">
        <v>2297</v>
      </c>
      <c r="C564" t="s">
        <v>2298</v>
      </c>
      <c r="D564">
        <v>85</v>
      </c>
      <c r="E564">
        <v>13834880</v>
      </c>
      <c r="F564" t="s">
        <v>1775</v>
      </c>
      <c r="G564">
        <v>2025</v>
      </c>
      <c r="H564" t="s">
        <v>274</v>
      </c>
      <c r="I564" t="s">
        <v>2408</v>
      </c>
      <c r="J564" t="s">
        <v>1688</v>
      </c>
      <c r="K564" t="s">
        <v>1686</v>
      </c>
      <c r="L564">
        <v>0</v>
      </c>
      <c r="M564">
        <v>13834880</v>
      </c>
      <c r="N564">
        <v>0</v>
      </c>
      <c r="O564">
        <v>0</v>
      </c>
    </row>
    <row r="565" spans="1:15" x14ac:dyDescent="0.25">
      <c r="A565">
        <v>51</v>
      </c>
      <c r="B565" t="s">
        <v>2299</v>
      </c>
      <c r="C565" t="s">
        <v>2300</v>
      </c>
      <c r="D565">
        <v>85</v>
      </c>
      <c r="E565">
        <v>12034880</v>
      </c>
      <c r="F565" t="s">
        <v>1775</v>
      </c>
      <c r="G565">
        <v>2025</v>
      </c>
      <c r="H565" t="s">
        <v>274</v>
      </c>
      <c r="I565" t="s">
        <v>2408</v>
      </c>
      <c r="J565" t="s">
        <v>1688</v>
      </c>
      <c r="K565" t="s">
        <v>1686</v>
      </c>
      <c r="L565">
        <v>0</v>
      </c>
      <c r="M565">
        <v>12034880</v>
      </c>
      <c r="N565">
        <v>0</v>
      </c>
      <c r="O565">
        <v>0</v>
      </c>
    </row>
    <row r="566" spans="1:15" x14ac:dyDescent="0.25">
      <c r="A566">
        <v>52</v>
      </c>
      <c r="B566" t="s">
        <v>2301</v>
      </c>
      <c r="C566" t="s">
        <v>2302</v>
      </c>
      <c r="D566">
        <v>85</v>
      </c>
      <c r="E566">
        <v>7270400</v>
      </c>
      <c r="F566" t="s">
        <v>1775</v>
      </c>
      <c r="G566">
        <v>2025</v>
      </c>
      <c r="H566" t="s">
        <v>274</v>
      </c>
      <c r="I566" t="s">
        <v>2408</v>
      </c>
      <c r="J566" t="s">
        <v>1688</v>
      </c>
      <c r="K566" t="s">
        <v>1686</v>
      </c>
      <c r="L566">
        <v>0</v>
      </c>
      <c r="M566">
        <v>7270400</v>
      </c>
      <c r="N566">
        <v>0</v>
      </c>
      <c r="O566">
        <v>0</v>
      </c>
    </row>
    <row r="567" spans="1:15" x14ac:dyDescent="0.25">
      <c r="A567">
        <v>53</v>
      </c>
      <c r="B567" t="s">
        <v>2303</v>
      </c>
      <c r="C567" t="s">
        <v>2304</v>
      </c>
      <c r="D567">
        <v>85</v>
      </c>
      <c r="E567">
        <v>12034880</v>
      </c>
      <c r="F567" t="s">
        <v>1775</v>
      </c>
      <c r="G567">
        <v>2025</v>
      </c>
      <c r="H567" t="s">
        <v>274</v>
      </c>
      <c r="I567" t="s">
        <v>2408</v>
      </c>
      <c r="J567" t="s">
        <v>1688</v>
      </c>
      <c r="K567" t="s">
        <v>1686</v>
      </c>
      <c r="L567">
        <v>0</v>
      </c>
      <c r="M567">
        <v>12034880</v>
      </c>
      <c r="N567">
        <v>0</v>
      </c>
      <c r="O567">
        <v>0</v>
      </c>
    </row>
    <row r="568" spans="1:15" x14ac:dyDescent="0.25">
      <c r="A568">
        <v>295</v>
      </c>
      <c r="B568" t="s">
        <v>2305</v>
      </c>
      <c r="C568" t="s">
        <v>2306</v>
      </c>
      <c r="D568">
        <v>85</v>
      </c>
      <c r="E568">
        <v>18293600</v>
      </c>
      <c r="F568" t="s">
        <v>1775</v>
      </c>
      <c r="G568">
        <v>2025</v>
      </c>
      <c r="H568" t="s">
        <v>274</v>
      </c>
      <c r="I568" t="s">
        <v>2408</v>
      </c>
      <c r="J568" t="s">
        <v>1688</v>
      </c>
      <c r="K568" t="s">
        <v>1686</v>
      </c>
      <c r="L568">
        <v>0</v>
      </c>
      <c r="M568">
        <v>18293600</v>
      </c>
      <c r="N568">
        <v>0</v>
      </c>
      <c r="O568">
        <v>0</v>
      </c>
    </row>
    <row r="569" spans="1:15" x14ac:dyDescent="0.25">
      <c r="A569">
        <v>299</v>
      </c>
      <c r="B569" t="s">
        <v>2307</v>
      </c>
      <c r="C569" t="s">
        <v>2308</v>
      </c>
      <c r="D569">
        <v>85</v>
      </c>
      <c r="E569">
        <v>15317120</v>
      </c>
      <c r="F569" t="s">
        <v>1775</v>
      </c>
      <c r="G569">
        <v>2025</v>
      </c>
      <c r="H569" t="s">
        <v>274</v>
      </c>
      <c r="I569" t="s">
        <v>2408</v>
      </c>
      <c r="J569" t="s">
        <v>1688</v>
      </c>
      <c r="K569" t="s">
        <v>1686</v>
      </c>
      <c r="L569">
        <v>0</v>
      </c>
      <c r="M569">
        <v>15317120</v>
      </c>
      <c r="N569">
        <v>0</v>
      </c>
      <c r="O569">
        <v>0</v>
      </c>
    </row>
    <row r="570" spans="1:15" x14ac:dyDescent="0.25">
      <c r="A570">
        <v>26</v>
      </c>
      <c r="B570" t="s">
        <v>2409</v>
      </c>
      <c r="C570" t="s">
        <v>2410</v>
      </c>
      <c r="D570">
        <v>87</v>
      </c>
      <c r="E570">
        <v>50418853</v>
      </c>
      <c r="F570" t="s">
        <v>2411</v>
      </c>
      <c r="G570">
        <v>2025</v>
      </c>
      <c r="H570" t="s">
        <v>249</v>
      </c>
      <c r="I570" t="s">
        <v>2412</v>
      </c>
      <c r="J570" t="s">
        <v>1688</v>
      </c>
      <c r="K570" t="s">
        <v>1686</v>
      </c>
      <c r="L570">
        <v>0</v>
      </c>
      <c r="M570">
        <v>50099747</v>
      </c>
      <c r="N570">
        <v>0</v>
      </c>
      <c r="O570">
        <v>319106</v>
      </c>
    </row>
    <row r="571" spans="1:15" x14ac:dyDescent="0.25">
      <c r="A571">
        <v>43</v>
      </c>
      <c r="B571" t="s">
        <v>2413</v>
      </c>
      <c r="C571" t="s">
        <v>2414</v>
      </c>
      <c r="D571">
        <v>87</v>
      </c>
      <c r="E571">
        <v>39614813</v>
      </c>
      <c r="F571" t="s">
        <v>2411</v>
      </c>
      <c r="G571">
        <v>2025</v>
      </c>
      <c r="H571" t="s">
        <v>249</v>
      </c>
      <c r="I571" t="s">
        <v>2412</v>
      </c>
      <c r="J571" t="s">
        <v>1688</v>
      </c>
      <c r="K571" t="s">
        <v>1686</v>
      </c>
      <c r="L571">
        <v>0</v>
      </c>
      <c r="M571">
        <v>39614813</v>
      </c>
      <c r="N571">
        <v>0</v>
      </c>
      <c r="O571">
        <v>0</v>
      </c>
    </row>
    <row r="572" spans="1:15" x14ac:dyDescent="0.25">
      <c r="A572">
        <v>71</v>
      </c>
      <c r="B572" t="s">
        <v>2415</v>
      </c>
      <c r="C572" t="s">
        <v>2416</v>
      </c>
      <c r="D572">
        <v>87</v>
      </c>
      <c r="E572">
        <v>76585600</v>
      </c>
      <c r="F572" t="s">
        <v>2411</v>
      </c>
      <c r="G572">
        <v>2025</v>
      </c>
      <c r="H572" t="s">
        <v>249</v>
      </c>
      <c r="I572" t="s">
        <v>2412</v>
      </c>
      <c r="J572" t="s">
        <v>1688</v>
      </c>
      <c r="K572" t="s">
        <v>1686</v>
      </c>
      <c r="L572">
        <v>0</v>
      </c>
      <c r="M572">
        <v>76585600</v>
      </c>
      <c r="N572">
        <v>0</v>
      </c>
      <c r="O572">
        <v>0</v>
      </c>
    </row>
    <row r="573" spans="1:15" x14ac:dyDescent="0.25">
      <c r="A573">
        <v>338</v>
      </c>
      <c r="B573" t="s">
        <v>2417</v>
      </c>
      <c r="C573" t="s">
        <v>2418</v>
      </c>
      <c r="D573">
        <v>87</v>
      </c>
      <c r="E573">
        <v>37609000</v>
      </c>
      <c r="F573" t="s">
        <v>2411</v>
      </c>
      <c r="G573">
        <v>2025</v>
      </c>
      <c r="H573" t="s">
        <v>249</v>
      </c>
      <c r="I573" t="s">
        <v>2412</v>
      </c>
      <c r="J573" t="s">
        <v>1688</v>
      </c>
      <c r="K573" t="s">
        <v>1686</v>
      </c>
      <c r="L573">
        <v>0</v>
      </c>
      <c r="M573">
        <v>37609000</v>
      </c>
      <c r="N573">
        <v>0</v>
      </c>
      <c r="O573">
        <v>0</v>
      </c>
    </row>
    <row r="574" spans="1:15" x14ac:dyDescent="0.25">
      <c r="A574">
        <v>342</v>
      </c>
      <c r="B574" t="s">
        <v>2419</v>
      </c>
      <c r="C574" t="s">
        <v>2420</v>
      </c>
      <c r="D574">
        <v>89</v>
      </c>
      <c r="E574">
        <v>374209826</v>
      </c>
      <c r="F574" t="s">
        <v>2411</v>
      </c>
      <c r="G574">
        <v>2025</v>
      </c>
      <c r="H574" t="s">
        <v>242</v>
      </c>
      <c r="I574" t="s">
        <v>2421</v>
      </c>
      <c r="J574" t="s">
        <v>1688</v>
      </c>
      <c r="K574" t="s">
        <v>1686</v>
      </c>
      <c r="L574">
        <v>0</v>
      </c>
      <c r="M574">
        <v>0</v>
      </c>
      <c r="N574">
        <v>0</v>
      </c>
      <c r="O574">
        <v>374209826</v>
      </c>
    </row>
    <row r="575" spans="1:15" x14ac:dyDescent="0.25">
      <c r="A575">
        <v>382</v>
      </c>
      <c r="B575" t="s">
        <v>1773</v>
      </c>
      <c r="C575" t="s">
        <v>1774</v>
      </c>
      <c r="D575">
        <v>94</v>
      </c>
      <c r="E575">
        <v>302240700</v>
      </c>
      <c r="F575" t="s">
        <v>1775</v>
      </c>
      <c r="G575">
        <v>2025</v>
      </c>
      <c r="H575" t="s">
        <v>766</v>
      </c>
      <c r="I575" t="s">
        <v>2422</v>
      </c>
      <c r="J575" t="s">
        <v>1688</v>
      </c>
      <c r="K575" t="s">
        <v>1686</v>
      </c>
      <c r="L575">
        <v>0</v>
      </c>
      <c r="M575">
        <v>302240700</v>
      </c>
      <c r="N575">
        <v>0</v>
      </c>
      <c r="O575">
        <v>0</v>
      </c>
    </row>
    <row r="576" spans="1:15" x14ac:dyDescent="0.25">
      <c r="A576">
        <v>410</v>
      </c>
      <c r="B576" t="s">
        <v>2423</v>
      </c>
      <c r="C576" t="s">
        <v>2424</v>
      </c>
      <c r="D576">
        <v>90</v>
      </c>
      <c r="E576">
        <v>4043676</v>
      </c>
      <c r="F576" t="s">
        <v>2411</v>
      </c>
      <c r="G576">
        <v>2025</v>
      </c>
      <c r="H576" t="s">
        <v>247</v>
      </c>
      <c r="I576" t="s">
        <v>2412</v>
      </c>
      <c r="J576" t="s">
        <v>1688</v>
      </c>
      <c r="K576" t="s">
        <v>1686</v>
      </c>
      <c r="L576">
        <v>0</v>
      </c>
      <c r="M576">
        <v>0</v>
      </c>
      <c r="N576">
        <v>0</v>
      </c>
      <c r="O576">
        <v>4043676</v>
      </c>
    </row>
    <row r="577" spans="1:15" x14ac:dyDescent="0.25">
      <c r="A577">
        <v>28</v>
      </c>
      <c r="B577" t="s">
        <v>2425</v>
      </c>
      <c r="C577" t="s">
        <v>2426</v>
      </c>
      <c r="D577">
        <v>92</v>
      </c>
      <c r="E577">
        <v>39614813</v>
      </c>
      <c r="F577" t="s">
        <v>2411</v>
      </c>
      <c r="G577">
        <v>2025</v>
      </c>
      <c r="H577" t="s">
        <v>259</v>
      </c>
      <c r="I577" t="s">
        <v>2427</v>
      </c>
      <c r="J577" t="s">
        <v>1688</v>
      </c>
      <c r="K577" t="s">
        <v>1686</v>
      </c>
      <c r="L577">
        <v>0</v>
      </c>
      <c r="M577">
        <v>39614813</v>
      </c>
      <c r="N577">
        <v>0</v>
      </c>
      <c r="O577">
        <v>0</v>
      </c>
    </row>
    <row r="578" spans="1:15" x14ac:dyDescent="0.25">
      <c r="A578">
        <v>39</v>
      </c>
      <c r="B578" t="s">
        <v>2428</v>
      </c>
      <c r="C578" t="s">
        <v>2429</v>
      </c>
      <c r="D578">
        <v>92</v>
      </c>
      <c r="E578">
        <v>39614813</v>
      </c>
      <c r="F578" t="s">
        <v>2411</v>
      </c>
      <c r="G578">
        <v>2025</v>
      </c>
      <c r="H578" t="s">
        <v>259</v>
      </c>
      <c r="I578" t="s">
        <v>2427</v>
      </c>
      <c r="J578" t="s">
        <v>1688</v>
      </c>
      <c r="K578" t="s">
        <v>1686</v>
      </c>
      <c r="L578">
        <v>0</v>
      </c>
      <c r="M578">
        <v>39614813</v>
      </c>
      <c r="N578">
        <v>0</v>
      </c>
      <c r="O578">
        <v>0</v>
      </c>
    </row>
    <row r="579" spans="1:15" x14ac:dyDescent="0.25">
      <c r="A579">
        <v>40</v>
      </c>
      <c r="B579" t="s">
        <v>2430</v>
      </c>
      <c r="C579" t="s">
        <v>2431</v>
      </c>
      <c r="D579">
        <v>92</v>
      </c>
      <c r="E579">
        <v>39614813</v>
      </c>
      <c r="F579" t="s">
        <v>2411</v>
      </c>
      <c r="G579">
        <v>2025</v>
      </c>
      <c r="H579" t="s">
        <v>259</v>
      </c>
      <c r="I579" t="s">
        <v>2427</v>
      </c>
      <c r="J579" t="s">
        <v>1688</v>
      </c>
      <c r="K579" t="s">
        <v>1686</v>
      </c>
      <c r="L579">
        <v>0</v>
      </c>
      <c r="M579">
        <v>39614813</v>
      </c>
      <c r="N579">
        <v>0</v>
      </c>
      <c r="O579">
        <v>0</v>
      </c>
    </row>
    <row r="580" spans="1:15" x14ac:dyDescent="0.25">
      <c r="A580">
        <v>41</v>
      </c>
      <c r="B580" t="s">
        <v>2432</v>
      </c>
      <c r="C580" t="s">
        <v>2433</v>
      </c>
      <c r="D580">
        <v>92</v>
      </c>
      <c r="E580">
        <v>39614813</v>
      </c>
      <c r="F580" t="s">
        <v>2411</v>
      </c>
      <c r="G580">
        <v>2025</v>
      </c>
      <c r="H580" t="s">
        <v>259</v>
      </c>
      <c r="I580" t="s">
        <v>2427</v>
      </c>
      <c r="J580" t="s">
        <v>1688</v>
      </c>
      <c r="K580" t="s">
        <v>1686</v>
      </c>
      <c r="L580">
        <v>0</v>
      </c>
      <c r="M580">
        <v>39614813</v>
      </c>
      <c r="N580">
        <v>0</v>
      </c>
      <c r="O580">
        <v>0</v>
      </c>
    </row>
    <row r="581" spans="1:15" x14ac:dyDescent="0.25">
      <c r="A581">
        <v>42</v>
      </c>
      <c r="B581" t="s">
        <v>2434</v>
      </c>
      <c r="C581" t="s">
        <v>2435</v>
      </c>
      <c r="D581">
        <v>92</v>
      </c>
      <c r="E581">
        <v>39614813</v>
      </c>
      <c r="F581" t="s">
        <v>2411</v>
      </c>
      <c r="G581">
        <v>2025</v>
      </c>
      <c r="H581" t="s">
        <v>259</v>
      </c>
      <c r="I581" t="s">
        <v>2427</v>
      </c>
      <c r="J581" t="s">
        <v>1688</v>
      </c>
      <c r="K581" t="s">
        <v>1686</v>
      </c>
      <c r="L581">
        <v>0</v>
      </c>
      <c r="M581">
        <v>39614813</v>
      </c>
      <c r="N581">
        <v>0</v>
      </c>
      <c r="O581">
        <v>0</v>
      </c>
    </row>
    <row r="582" spans="1:15" x14ac:dyDescent="0.25">
      <c r="A582">
        <v>44</v>
      </c>
      <c r="B582" t="s">
        <v>2436</v>
      </c>
      <c r="C582" t="s">
        <v>2437</v>
      </c>
      <c r="D582">
        <v>92</v>
      </c>
      <c r="E582">
        <v>39614813</v>
      </c>
      <c r="F582" t="s">
        <v>2411</v>
      </c>
      <c r="G582">
        <v>2025</v>
      </c>
      <c r="H582" t="s">
        <v>259</v>
      </c>
      <c r="I582" t="s">
        <v>2427</v>
      </c>
      <c r="J582" t="s">
        <v>1688</v>
      </c>
      <c r="K582" t="s">
        <v>1686</v>
      </c>
      <c r="L582">
        <v>0</v>
      </c>
      <c r="M582">
        <v>39614813</v>
      </c>
      <c r="N582">
        <v>0</v>
      </c>
      <c r="O582">
        <v>0</v>
      </c>
    </row>
  </sheetData>
  <pageMargins left="0.7" right="0.7" top="0.75" bottom="0.75" header="0.3" footer="0.3"/>
  <pageSetup orientation="portrait"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AE847"/>
  <sheetViews>
    <sheetView topLeftCell="J1" workbookViewId="0">
      <selection activeCell="O14" sqref="O14"/>
    </sheetView>
  </sheetViews>
  <sheetFormatPr baseColWidth="10" defaultColWidth="9.140625" defaultRowHeight="15" x14ac:dyDescent="0.25"/>
  <cols>
    <col min="1" max="1" width="12.7109375" style="28" customWidth="1"/>
    <col min="2" max="2" width="14" style="28" customWidth="1"/>
    <col min="3" max="3" width="13.140625" style="28" customWidth="1"/>
    <col min="4" max="4" width="14.140625" style="28" customWidth="1"/>
    <col min="5" max="5" width="13.28515625" style="28" customWidth="1"/>
    <col min="6" max="6" width="23.7109375" style="28" customWidth="1"/>
    <col min="7" max="7" width="21.5703125" style="28" customWidth="1"/>
    <col min="8" max="8" width="15.42578125" style="28" customWidth="1"/>
    <col min="9" max="9" width="22.7109375" style="28" customWidth="1"/>
    <col min="10" max="10" width="18.85546875" style="28" customWidth="1"/>
    <col min="11" max="11" width="16.7109375" style="28" customWidth="1"/>
    <col min="12" max="12" width="21" style="28" customWidth="1"/>
    <col min="13" max="13" width="24" style="28" customWidth="1"/>
    <col min="14" max="14" width="17" style="28" customWidth="1"/>
    <col min="15" max="15" width="23.42578125" style="28" customWidth="1"/>
    <col min="16" max="16" width="9.7109375" style="28" customWidth="1"/>
    <col min="17" max="17" width="19.7109375" style="28" customWidth="1"/>
    <col min="18" max="18" width="21" style="28" customWidth="1"/>
    <col min="19" max="19" width="19.140625" style="28" customWidth="1"/>
    <col min="20" max="20" width="19.42578125" style="28" customWidth="1"/>
    <col min="21" max="21" width="25.28515625" style="28" customWidth="1"/>
    <col min="22" max="22" width="26.140625" style="28" customWidth="1"/>
    <col min="23" max="23" width="27.85546875" style="28" customWidth="1"/>
    <col min="24" max="24" width="18.85546875" style="28" customWidth="1"/>
    <col min="25" max="25" width="21.85546875" style="28" customWidth="1"/>
    <col min="26" max="26" width="15.140625" style="28" customWidth="1"/>
    <col min="27" max="27" width="9.140625" style="28"/>
    <col min="28" max="28" width="11.7109375" style="28" customWidth="1"/>
    <col min="29" max="29" width="9.42578125" style="28" customWidth="1"/>
    <col min="30" max="30" width="11.85546875" style="28" bestFit="1" customWidth="1"/>
    <col min="31" max="16384" width="9.140625" style="28"/>
  </cols>
  <sheetData>
    <row r="1" spans="1:31" x14ac:dyDescent="0.25">
      <c r="A1" s="34" t="s">
        <v>2438</v>
      </c>
      <c r="B1" s="34" t="s">
        <v>2439</v>
      </c>
      <c r="C1" s="34" t="s">
        <v>2440</v>
      </c>
      <c r="D1" s="34" t="s">
        <v>2441</v>
      </c>
      <c r="E1" s="34" t="s">
        <v>2442</v>
      </c>
      <c r="F1" s="34" t="s">
        <v>2443</v>
      </c>
      <c r="G1" s="34" t="s">
        <v>2444</v>
      </c>
      <c r="H1" s="34" t="s">
        <v>2445</v>
      </c>
      <c r="I1" s="34" t="s">
        <v>2446</v>
      </c>
      <c r="J1" s="34" t="s">
        <v>2447</v>
      </c>
      <c r="K1" s="34" t="s">
        <v>2448</v>
      </c>
      <c r="L1" s="34" t="s">
        <v>2449</v>
      </c>
      <c r="M1" s="34" t="s">
        <v>2450</v>
      </c>
      <c r="N1" s="34" t="s">
        <v>2451</v>
      </c>
      <c r="O1" s="34" t="s">
        <v>2452</v>
      </c>
      <c r="P1" s="34" t="s">
        <v>2453</v>
      </c>
      <c r="Q1" s="34" t="s">
        <v>2454</v>
      </c>
      <c r="R1" s="34" t="s">
        <v>2455</v>
      </c>
      <c r="S1" s="34" t="s">
        <v>2456</v>
      </c>
      <c r="T1" s="34" t="s">
        <v>2457</v>
      </c>
      <c r="U1" s="34" t="s">
        <v>2458</v>
      </c>
      <c r="V1" s="34" t="s">
        <v>2459</v>
      </c>
      <c r="W1" s="34" t="s">
        <v>2460</v>
      </c>
      <c r="X1" s="34" t="s">
        <v>2461</v>
      </c>
      <c r="Y1" s="34" t="s">
        <v>2462</v>
      </c>
      <c r="Z1" s="34" t="s">
        <v>2463</v>
      </c>
      <c r="AA1" s="34" t="s">
        <v>2464</v>
      </c>
      <c r="AB1" s="34" t="s">
        <v>2465</v>
      </c>
      <c r="AC1" s="34" t="s">
        <v>2466</v>
      </c>
      <c r="AD1" s="28" t="s">
        <v>2467</v>
      </c>
      <c r="AE1" s="33" t="s">
        <v>871</v>
      </c>
    </row>
    <row r="2" spans="1:31" x14ac:dyDescent="0.25">
      <c r="A2"/>
      <c r="B2"/>
      <c r="C2"/>
      <c r="D2"/>
      <c r="E2"/>
      <c r="F2"/>
      <c r="G2"/>
      <c r="H2"/>
      <c r="I2"/>
      <c r="J2"/>
      <c r="K2"/>
      <c r="L2"/>
      <c r="M2"/>
      <c r="N2"/>
      <c r="O2"/>
      <c r="P2"/>
      <c r="Q2"/>
      <c r="R2"/>
      <c r="S2"/>
      <c r="T2"/>
      <c r="U2"/>
      <c r="V2"/>
      <c r="W2"/>
      <c r="X2"/>
      <c r="Y2"/>
      <c r="Z2"/>
      <c r="AA2"/>
      <c r="AB2"/>
      <c r="AC2"/>
    </row>
    <row r="3" spans="1:31" x14ac:dyDescent="0.25">
      <c r="A3"/>
      <c r="B3"/>
      <c r="C3"/>
      <c r="D3"/>
      <c r="E3"/>
      <c r="F3"/>
      <c r="G3"/>
      <c r="H3"/>
      <c r="I3"/>
      <c r="J3"/>
      <c r="K3"/>
      <c r="L3"/>
      <c r="M3"/>
      <c r="N3"/>
      <c r="O3"/>
      <c r="P3"/>
      <c r="Q3"/>
      <c r="R3"/>
      <c r="S3"/>
      <c r="T3"/>
      <c r="U3"/>
      <c r="V3"/>
      <c r="W3"/>
      <c r="X3"/>
      <c r="Y3"/>
      <c r="Z3"/>
      <c r="AA3"/>
      <c r="AB3"/>
      <c r="AC3"/>
    </row>
    <row r="4" spans="1:31" x14ac:dyDescent="0.25">
      <c r="A4"/>
      <c r="B4"/>
      <c r="C4"/>
      <c r="D4"/>
      <c r="E4"/>
      <c r="F4"/>
      <c r="G4"/>
      <c r="H4"/>
      <c r="I4"/>
      <c r="J4"/>
      <c r="K4"/>
      <c r="L4"/>
      <c r="M4"/>
      <c r="N4"/>
      <c r="O4"/>
      <c r="P4"/>
      <c r="Q4"/>
      <c r="R4"/>
      <c r="S4"/>
      <c r="T4"/>
      <c r="U4"/>
      <c r="V4"/>
      <c r="W4"/>
      <c r="X4"/>
      <c r="Y4"/>
      <c r="Z4"/>
      <c r="AA4"/>
      <c r="AB4"/>
      <c r="AC4"/>
    </row>
    <row r="5" spans="1:31" x14ac:dyDescent="0.25">
      <c r="A5"/>
      <c r="B5"/>
      <c r="C5"/>
      <c r="D5"/>
      <c r="E5"/>
      <c r="F5"/>
      <c r="G5"/>
      <c r="H5"/>
      <c r="I5"/>
      <c r="J5"/>
      <c r="K5"/>
      <c r="L5"/>
      <c r="M5"/>
      <c r="N5"/>
      <c r="O5"/>
      <c r="P5"/>
      <c r="Q5"/>
      <c r="R5"/>
      <c r="S5"/>
      <c r="T5"/>
      <c r="U5"/>
      <c r="V5"/>
      <c r="W5"/>
      <c r="X5"/>
      <c r="Y5"/>
      <c r="Z5"/>
      <c r="AA5"/>
      <c r="AB5"/>
      <c r="AC5"/>
    </row>
    <row r="6" spans="1:31" x14ac:dyDescent="0.25">
      <c r="A6"/>
      <c r="B6"/>
      <c r="C6"/>
      <c r="D6"/>
      <c r="E6"/>
      <c r="F6"/>
      <c r="G6"/>
      <c r="H6"/>
      <c r="I6"/>
      <c r="J6"/>
      <c r="K6"/>
      <c r="L6"/>
      <c r="M6"/>
      <c r="N6"/>
      <c r="O6"/>
      <c r="P6"/>
      <c r="Q6"/>
      <c r="R6"/>
      <c r="S6"/>
      <c r="T6"/>
      <c r="U6"/>
      <c r="V6"/>
      <c r="W6"/>
      <c r="X6"/>
      <c r="Y6"/>
      <c r="Z6"/>
      <c r="AA6"/>
      <c r="AB6"/>
      <c r="AC6"/>
    </row>
    <row r="7" spans="1:31" x14ac:dyDescent="0.25">
      <c r="A7"/>
      <c r="B7"/>
      <c r="C7"/>
      <c r="D7"/>
      <c r="E7"/>
      <c r="F7"/>
      <c r="G7"/>
      <c r="H7"/>
      <c r="I7"/>
      <c r="J7"/>
      <c r="K7"/>
      <c r="L7"/>
      <c r="M7"/>
      <c r="N7"/>
      <c r="O7"/>
      <c r="P7"/>
      <c r="Q7"/>
      <c r="R7"/>
      <c r="S7"/>
      <c r="T7"/>
      <c r="U7"/>
      <c r="V7"/>
      <c r="W7"/>
      <c r="X7"/>
      <c r="Y7"/>
      <c r="Z7"/>
      <c r="AA7"/>
      <c r="AB7"/>
      <c r="AC7"/>
    </row>
    <row r="8" spans="1:31" x14ac:dyDescent="0.25">
      <c r="A8"/>
      <c r="B8"/>
      <c r="C8"/>
      <c r="D8"/>
      <c r="E8"/>
      <c r="F8"/>
      <c r="G8"/>
      <c r="H8"/>
      <c r="I8"/>
      <c r="J8"/>
      <c r="K8"/>
      <c r="L8"/>
      <c r="M8"/>
      <c r="N8"/>
      <c r="O8"/>
      <c r="P8"/>
      <c r="Q8"/>
      <c r="R8"/>
      <c r="S8"/>
      <c r="T8"/>
      <c r="U8"/>
      <c r="V8"/>
      <c r="W8"/>
      <c r="X8"/>
      <c r="Y8"/>
      <c r="Z8"/>
      <c r="AA8"/>
      <c r="AB8"/>
      <c r="AC8"/>
    </row>
    <row r="9" spans="1:31" x14ac:dyDescent="0.25">
      <c r="A9"/>
      <c r="B9"/>
      <c r="C9"/>
      <c r="D9"/>
      <c r="E9"/>
      <c r="F9"/>
      <c r="G9"/>
      <c r="H9"/>
      <c r="I9"/>
      <c r="J9"/>
      <c r="K9"/>
      <c r="L9"/>
      <c r="M9"/>
      <c r="N9"/>
      <c r="O9"/>
      <c r="P9"/>
      <c r="Q9"/>
      <c r="R9"/>
      <c r="S9"/>
      <c r="T9"/>
      <c r="U9"/>
      <c r="V9"/>
      <c r="W9"/>
      <c r="X9"/>
      <c r="Y9"/>
      <c r="Z9"/>
      <c r="AA9"/>
      <c r="AB9"/>
      <c r="AC9"/>
    </row>
    <row r="10" spans="1:31" x14ac:dyDescent="0.25">
      <c r="A10"/>
      <c r="B10"/>
      <c r="C10"/>
      <c r="D10"/>
      <c r="E10"/>
      <c r="F10"/>
      <c r="G10"/>
      <c r="H10"/>
      <c r="I10"/>
      <c r="J10"/>
      <c r="K10"/>
      <c r="L10"/>
      <c r="M10"/>
      <c r="N10"/>
      <c r="O10"/>
      <c r="P10"/>
      <c r="Q10"/>
      <c r="R10"/>
      <c r="S10"/>
      <c r="T10"/>
      <c r="U10"/>
      <c r="V10"/>
      <c r="W10"/>
      <c r="X10"/>
      <c r="Y10"/>
      <c r="Z10"/>
      <c r="AA10"/>
      <c r="AB10"/>
      <c r="AC10"/>
    </row>
    <row r="11" spans="1:31" x14ac:dyDescent="0.25">
      <c r="A11"/>
      <c r="B11"/>
      <c r="C11"/>
      <c r="D11"/>
      <c r="E11"/>
      <c r="F11"/>
      <c r="G11"/>
      <c r="H11"/>
      <c r="I11"/>
      <c r="J11"/>
      <c r="K11"/>
      <c r="L11"/>
      <c r="M11"/>
      <c r="N11"/>
      <c r="O11"/>
      <c r="P11"/>
      <c r="Q11"/>
      <c r="R11"/>
      <c r="S11"/>
      <c r="T11"/>
      <c r="U11"/>
      <c r="V11"/>
      <c r="W11"/>
      <c r="X11"/>
      <c r="Y11"/>
      <c r="Z11"/>
      <c r="AA11"/>
      <c r="AB11"/>
      <c r="AC11"/>
    </row>
    <row r="12" spans="1:31" x14ac:dyDescent="0.25">
      <c r="A12"/>
      <c r="B12"/>
      <c r="C12"/>
      <c r="D12"/>
      <c r="E12"/>
      <c r="F12"/>
      <c r="G12"/>
      <c r="H12"/>
      <c r="I12"/>
      <c r="J12"/>
      <c r="K12"/>
      <c r="L12"/>
      <c r="M12"/>
      <c r="N12"/>
      <c r="O12"/>
      <c r="P12"/>
      <c r="Q12"/>
      <c r="R12"/>
      <c r="S12"/>
      <c r="T12"/>
      <c r="U12"/>
      <c r="V12"/>
      <c r="W12"/>
      <c r="X12"/>
      <c r="Y12"/>
      <c r="Z12"/>
      <c r="AA12"/>
      <c r="AB12"/>
      <c r="AC12"/>
    </row>
    <row r="13" spans="1:31" x14ac:dyDescent="0.25">
      <c r="A13"/>
      <c r="B13"/>
      <c r="C13"/>
      <c r="D13"/>
      <c r="E13"/>
      <c r="F13"/>
      <c r="G13"/>
      <c r="H13"/>
      <c r="I13"/>
      <c r="J13"/>
      <c r="K13"/>
      <c r="L13"/>
      <c r="M13"/>
      <c r="N13"/>
      <c r="O13"/>
      <c r="P13"/>
      <c r="Q13"/>
      <c r="R13"/>
      <c r="S13"/>
      <c r="T13"/>
      <c r="U13"/>
      <c r="V13"/>
      <c r="W13"/>
      <c r="X13"/>
      <c r="Y13"/>
      <c r="Z13"/>
      <c r="AA13"/>
      <c r="AB13"/>
      <c r="AC13"/>
    </row>
    <row r="14" spans="1:31" x14ac:dyDescent="0.25">
      <c r="A14"/>
      <c r="B14"/>
      <c r="C14"/>
      <c r="D14"/>
      <c r="E14"/>
      <c r="F14"/>
      <c r="G14"/>
      <c r="H14"/>
      <c r="I14"/>
      <c r="J14"/>
      <c r="K14"/>
      <c r="L14"/>
      <c r="M14"/>
      <c r="N14"/>
      <c r="O14"/>
      <c r="P14"/>
      <c r="Q14"/>
      <c r="R14"/>
      <c r="S14"/>
      <c r="T14"/>
      <c r="U14"/>
      <c r="V14"/>
      <c r="W14"/>
      <c r="X14"/>
      <c r="Y14"/>
      <c r="Z14"/>
      <c r="AA14"/>
      <c r="AB14"/>
      <c r="AC14"/>
    </row>
    <row r="15" spans="1:31" x14ac:dyDescent="0.25">
      <c r="A15"/>
      <c r="B15"/>
      <c r="C15"/>
      <c r="D15"/>
      <c r="E15"/>
      <c r="F15"/>
      <c r="G15"/>
      <c r="H15"/>
      <c r="I15"/>
      <c r="J15"/>
      <c r="K15"/>
      <c r="L15"/>
      <c r="M15"/>
      <c r="N15"/>
      <c r="O15"/>
      <c r="P15"/>
      <c r="Q15"/>
      <c r="R15"/>
      <c r="S15"/>
      <c r="T15"/>
      <c r="U15"/>
      <c r="V15"/>
      <c r="W15"/>
      <c r="X15"/>
      <c r="Y15"/>
      <c r="Z15"/>
      <c r="AA15"/>
      <c r="AB15"/>
      <c r="AC15"/>
    </row>
    <row r="16" spans="1:31" x14ac:dyDescent="0.25">
      <c r="A16"/>
      <c r="B16"/>
      <c r="C16"/>
      <c r="D16"/>
      <c r="E16"/>
      <c r="F16"/>
      <c r="G16"/>
      <c r="H16"/>
      <c r="I16"/>
      <c r="J16"/>
      <c r="K16"/>
      <c r="L16"/>
      <c r="M16"/>
      <c r="N16"/>
      <c r="O16"/>
      <c r="P16"/>
      <c r="Q16"/>
      <c r="R16"/>
      <c r="S16"/>
      <c r="T16"/>
      <c r="U16"/>
      <c r="V16"/>
      <c r="W16"/>
      <c r="X16"/>
      <c r="Y16"/>
      <c r="Z16"/>
      <c r="AA16"/>
      <c r="AB16"/>
      <c r="AC16"/>
    </row>
    <row r="17" spans="1:29" x14ac:dyDescent="0.25">
      <c r="A17"/>
      <c r="B17"/>
      <c r="C17"/>
      <c r="D17"/>
      <c r="E17"/>
      <c r="F17"/>
      <c r="G17"/>
      <c r="H17"/>
      <c r="I17"/>
      <c r="J17"/>
      <c r="K17"/>
      <c r="L17"/>
      <c r="M17"/>
      <c r="N17"/>
      <c r="O17"/>
      <c r="P17"/>
      <c r="Q17"/>
      <c r="R17"/>
      <c r="S17"/>
      <c r="T17"/>
      <c r="U17"/>
      <c r="V17"/>
      <c r="W17"/>
      <c r="X17"/>
      <c r="Y17"/>
      <c r="Z17"/>
      <c r="AA17"/>
      <c r="AB17"/>
      <c r="AC17"/>
    </row>
    <row r="18" spans="1:29" x14ac:dyDescent="0.25">
      <c r="A18"/>
      <c r="B18"/>
      <c r="C18"/>
      <c r="D18"/>
      <c r="E18"/>
      <c r="F18"/>
      <c r="G18"/>
      <c r="H18"/>
      <c r="I18"/>
      <c r="J18"/>
      <c r="K18"/>
      <c r="L18"/>
      <c r="M18"/>
      <c r="N18"/>
      <c r="O18"/>
      <c r="P18"/>
      <c r="Q18"/>
      <c r="R18"/>
      <c r="S18"/>
      <c r="T18"/>
      <c r="U18"/>
      <c r="V18"/>
      <c r="W18"/>
      <c r="X18"/>
      <c r="Y18"/>
      <c r="Z18"/>
      <c r="AA18"/>
      <c r="AB18"/>
      <c r="AC18"/>
    </row>
    <row r="19" spans="1:29" x14ac:dyDescent="0.25">
      <c r="A19"/>
      <c r="B19"/>
      <c r="C19"/>
      <c r="D19"/>
      <c r="E19"/>
      <c r="F19"/>
      <c r="G19"/>
      <c r="H19"/>
      <c r="I19"/>
      <c r="J19"/>
      <c r="K19"/>
      <c r="L19"/>
      <c r="M19"/>
      <c r="N19"/>
      <c r="O19"/>
      <c r="P19"/>
      <c r="Q19"/>
      <c r="R19"/>
      <c r="S19"/>
      <c r="T19"/>
      <c r="U19"/>
      <c r="V19"/>
      <c r="W19"/>
      <c r="X19"/>
      <c r="Y19"/>
      <c r="Z19"/>
      <c r="AA19"/>
      <c r="AB19"/>
      <c r="AC19"/>
    </row>
    <row r="20" spans="1:29" x14ac:dyDescent="0.25">
      <c r="A20"/>
      <c r="B20"/>
      <c r="C20"/>
      <c r="D20"/>
      <c r="E20"/>
      <c r="F20"/>
      <c r="G20"/>
      <c r="H20"/>
      <c r="I20"/>
      <c r="J20"/>
      <c r="K20"/>
      <c r="L20"/>
      <c r="M20"/>
      <c r="N20"/>
      <c r="O20"/>
      <c r="P20"/>
      <c r="Q20"/>
      <c r="R20"/>
      <c r="S20"/>
      <c r="T20"/>
      <c r="U20"/>
      <c r="V20"/>
      <c r="W20"/>
      <c r="X20"/>
      <c r="Y20"/>
      <c r="Z20"/>
      <c r="AA20"/>
      <c r="AB20"/>
      <c r="AC20"/>
    </row>
    <row r="21" spans="1:29" x14ac:dyDescent="0.25">
      <c r="A21"/>
      <c r="B21"/>
      <c r="C21"/>
      <c r="D21"/>
      <c r="E21"/>
      <c r="F21"/>
      <c r="G21"/>
      <c r="H21"/>
      <c r="I21"/>
      <c r="J21"/>
      <c r="K21"/>
      <c r="L21"/>
      <c r="M21"/>
      <c r="N21"/>
      <c r="O21"/>
      <c r="P21"/>
      <c r="Q21"/>
      <c r="R21"/>
      <c r="S21"/>
      <c r="T21"/>
      <c r="U21"/>
      <c r="V21"/>
      <c r="W21"/>
      <c r="X21"/>
      <c r="Y21"/>
      <c r="Z21"/>
      <c r="AA21"/>
      <c r="AB21"/>
      <c r="AC21"/>
    </row>
    <row r="22" spans="1:29" x14ac:dyDescent="0.25">
      <c r="A22"/>
      <c r="B22"/>
      <c r="C22"/>
      <c r="D22"/>
      <c r="E22"/>
      <c r="F22"/>
      <c r="G22"/>
      <c r="H22"/>
      <c r="I22"/>
      <c r="J22"/>
      <c r="K22"/>
      <c r="L22"/>
      <c r="M22"/>
      <c r="N22"/>
      <c r="O22"/>
      <c r="P22"/>
      <c r="Q22"/>
      <c r="R22"/>
      <c r="S22"/>
      <c r="T22"/>
      <c r="U22"/>
      <c r="V22"/>
      <c r="W22"/>
      <c r="X22"/>
      <c r="Y22"/>
      <c r="Z22"/>
      <c r="AA22"/>
      <c r="AB22"/>
      <c r="AC22"/>
    </row>
    <row r="23" spans="1:29" x14ac:dyDescent="0.25">
      <c r="A23"/>
      <c r="B23"/>
      <c r="C23"/>
      <c r="D23"/>
      <c r="E23"/>
      <c r="F23"/>
      <c r="G23"/>
      <c r="H23"/>
      <c r="I23"/>
      <c r="J23"/>
      <c r="K23"/>
      <c r="L23"/>
      <c r="M23"/>
      <c r="N23"/>
      <c r="O23"/>
      <c r="P23"/>
      <c r="Q23"/>
      <c r="R23"/>
      <c r="S23"/>
      <c r="T23"/>
      <c r="U23"/>
      <c r="V23"/>
      <c r="W23"/>
      <c r="X23"/>
      <c r="Y23"/>
      <c r="Z23"/>
      <c r="AA23"/>
      <c r="AB23"/>
      <c r="AC23"/>
    </row>
    <row r="24" spans="1:29" x14ac:dyDescent="0.25">
      <c r="A24"/>
      <c r="B24"/>
      <c r="C24"/>
      <c r="D24"/>
      <c r="E24"/>
      <c r="F24"/>
      <c r="G24"/>
      <c r="H24"/>
      <c r="I24"/>
      <c r="J24"/>
      <c r="K24"/>
      <c r="L24"/>
      <c r="M24"/>
      <c r="N24"/>
      <c r="O24"/>
      <c r="P24"/>
      <c r="Q24"/>
      <c r="R24"/>
      <c r="S24"/>
      <c r="T24"/>
      <c r="U24"/>
      <c r="V24"/>
      <c r="W24"/>
      <c r="X24"/>
      <c r="Y24"/>
      <c r="Z24"/>
      <c r="AA24"/>
      <c r="AB24"/>
      <c r="AC24"/>
    </row>
    <row r="25" spans="1:29" x14ac:dyDescent="0.25">
      <c r="A25"/>
      <c r="B25"/>
      <c r="C25"/>
      <c r="D25"/>
      <c r="E25"/>
      <c r="F25"/>
      <c r="G25"/>
      <c r="H25"/>
      <c r="I25"/>
      <c r="J25"/>
      <c r="K25"/>
      <c r="L25"/>
      <c r="M25"/>
      <c r="N25"/>
      <c r="O25"/>
      <c r="P25"/>
      <c r="Q25"/>
      <c r="R25"/>
      <c r="S25"/>
      <c r="T25"/>
      <c r="U25"/>
      <c r="V25"/>
      <c r="W25"/>
      <c r="X25"/>
      <c r="Y25"/>
      <c r="Z25"/>
      <c r="AA25"/>
      <c r="AB25"/>
      <c r="AC25"/>
    </row>
    <row r="26" spans="1:29" x14ac:dyDescent="0.25">
      <c r="A26"/>
      <c r="B26"/>
      <c r="C26"/>
      <c r="D26"/>
      <c r="E26"/>
      <c r="F26"/>
      <c r="G26"/>
      <c r="H26"/>
      <c r="I26"/>
      <c r="J26"/>
      <c r="K26"/>
      <c r="L26"/>
      <c r="M26"/>
      <c r="N26"/>
      <c r="O26"/>
      <c r="P26"/>
      <c r="Q26"/>
      <c r="R26"/>
      <c r="S26"/>
      <c r="T26"/>
      <c r="U26"/>
      <c r="V26"/>
      <c r="W26"/>
      <c r="X26"/>
      <c r="Y26"/>
      <c r="Z26"/>
      <c r="AA26"/>
      <c r="AB26"/>
      <c r="AC26"/>
    </row>
    <row r="27" spans="1:29" x14ac:dyDescent="0.25">
      <c r="A27"/>
      <c r="B27"/>
      <c r="C27"/>
      <c r="D27"/>
      <c r="E27"/>
      <c r="F27"/>
      <c r="G27"/>
      <c r="H27"/>
      <c r="I27"/>
      <c r="J27"/>
      <c r="K27"/>
      <c r="L27"/>
      <c r="M27"/>
      <c r="N27"/>
      <c r="O27"/>
      <c r="P27"/>
      <c r="Q27"/>
      <c r="R27"/>
      <c r="S27"/>
      <c r="T27"/>
      <c r="U27"/>
      <c r="V27"/>
      <c r="W27"/>
      <c r="X27"/>
      <c r="Y27"/>
      <c r="Z27"/>
      <c r="AA27"/>
      <c r="AB27"/>
      <c r="AC27"/>
    </row>
    <row r="28" spans="1:29" x14ac:dyDescent="0.25">
      <c r="A28"/>
      <c r="B28"/>
      <c r="C28"/>
      <c r="D28"/>
      <c r="E28"/>
      <c r="F28"/>
      <c r="G28"/>
      <c r="H28"/>
      <c r="I28"/>
      <c r="J28"/>
      <c r="K28"/>
      <c r="L28"/>
      <c r="M28"/>
      <c r="N28"/>
      <c r="O28"/>
      <c r="P28"/>
      <c r="Q28"/>
      <c r="R28"/>
      <c r="S28"/>
      <c r="T28"/>
      <c r="U28"/>
      <c r="V28"/>
      <c r="W28"/>
      <c r="X28"/>
      <c r="Y28"/>
      <c r="Z28"/>
      <c r="AA28"/>
      <c r="AB28"/>
      <c r="AC28"/>
    </row>
    <row r="29" spans="1:29" x14ac:dyDescent="0.25">
      <c r="A29"/>
      <c r="B29"/>
      <c r="C29"/>
      <c r="D29"/>
      <c r="E29"/>
      <c r="F29"/>
      <c r="G29"/>
      <c r="H29"/>
      <c r="I29"/>
      <c r="J29"/>
      <c r="K29"/>
      <c r="L29"/>
      <c r="M29"/>
      <c r="N29"/>
      <c r="O29"/>
      <c r="P29"/>
      <c r="Q29"/>
      <c r="R29"/>
      <c r="S29"/>
      <c r="T29"/>
      <c r="U29"/>
      <c r="V29"/>
      <c r="W29"/>
      <c r="X29"/>
      <c r="Y29"/>
      <c r="Z29"/>
      <c r="AA29"/>
      <c r="AB29"/>
      <c r="AC29"/>
    </row>
    <row r="30" spans="1:29" x14ac:dyDescent="0.25">
      <c r="A30"/>
      <c r="B30"/>
      <c r="C30"/>
      <c r="D30"/>
      <c r="E30"/>
      <c r="F30"/>
      <c r="G30"/>
      <c r="H30"/>
      <c r="I30"/>
      <c r="J30"/>
      <c r="K30"/>
      <c r="L30"/>
      <c r="M30"/>
      <c r="N30"/>
      <c r="O30"/>
      <c r="P30"/>
      <c r="Q30"/>
      <c r="R30"/>
      <c r="S30"/>
      <c r="T30"/>
      <c r="U30"/>
      <c r="V30"/>
      <c r="W30"/>
      <c r="X30"/>
      <c r="Y30"/>
      <c r="Z30"/>
      <c r="AA30"/>
      <c r="AB30"/>
      <c r="AC30"/>
    </row>
    <row r="31" spans="1:29" x14ac:dyDescent="0.25">
      <c r="A31"/>
      <c r="B31"/>
      <c r="C31"/>
      <c r="D31"/>
      <c r="E31"/>
      <c r="F31"/>
      <c r="G31"/>
      <c r="H31"/>
      <c r="I31"/>
      <c r="J31"/>
      <c r="K31"/>
      <c r="L31"/>
      <c r="M31"/>
      <c r="N31"/>
      <c r="O31"/>
      <c r="P31"/>
      <c r="Q31"/>
      <c r="R31"/>
      <c r="S31"/>
      <c r="T31"/>
      <c r="U31"/>
      <c r="V31"/>
      <c r="W31"/>
      <c r="X31"/>
      <c r="Y31"/>
      <c r="Z31"/>
      <c r="AA31"/>
      <c r="AB31"/>
      <c r="AC31"/>
    </row>
    <row r="32" spans="1:29" x14ac:dyDescent="0.25">
      <c r="A32"/>
      <c r="B32"/>
      <c r="C32"/>
      <c r="D32"/>
      <c r="E32"/>
      <c r="F32"/>
      <c r="G32"/>
      <c r="H32"/>
      <c r="I32"/>
      <c r="J32"/>
      <c r="K32"/>
      <c r="L32"/>
      <c r="M32"/>
      <c r="N32"/>
      <c r="O32"/>
      <c r="P32"/>
      <c r="Q32"/>
      <c r="R32"/>
      <c r="S32"/>
      <c r="T32"/>
      <c r="U32"/>
      <c r="V32"/>
      <c r="W32"/>
      <c r="X32"/>
      <c r="Y32"/>
      <c r="Z32"/>
      <c r="AA32"/>
      <c r="AB32"/>
      <c r="AC32"/>
    </row>
    <row r="33" spans="1:29" x14ac:dyDescent="0.25">
      <c r="A33"/>
      <c r="B33"/>
      <c r="C33"/>
      <c r="D33"/>
      <c r="E33"/>
      <c r="F33"/>
      <c r="G33"/>
      <c r="H33"/>
      <c r="I33"/>
      <c r="J33"/>
      <c r="K33"/>
      <c r="L33"/>
      <c r="M33"/>
      <c r="N33"/>
      <c r="O33"/>
      <c r="P33"/>
      <c r="Q33"/>
      <c r="R33"/>
      <c r="S33"/>
      <c r="T33"/>
      <c r="U33"/>
      <c r="V33"/>
      <c r="W33"/>
      <c r="X33"/>
      <c r="Y33"/>
      <c r="Z33"/>
      <c r="AA33"/>
      <c r="AB33"/>
      <c r="AC33"/>
    </row>
    <row r="34" spans="1:29" x14ac:dyDescent="0.25">
      <c r="A34"/>
      <c r="B34"/>
      <c r="C34"/>
      <c r="D34"/>
      <c r="E34"/>
      <c r="F34"/>
      <c r="G34"/>
      <c r="H34"/>
      <c r="I34"/>
      <c r="J34"/>
      <c r="K34"/>
      <c r="L34"/>
      <c r="M34"/>
      <c r="N34"/>
      <c r="O34"/>
      <c r="P34"/>
      <c r="Q34"/>
      <c r="R34"/>
      <c r="S34"/>
      <c r="T34"/>
      <c r="U34"/>
      <c r="V34"/>
      <c r="W34"/>
      <c r="X34"/>
      <c r="Y34"/>
      <c r="Z34"/>
      <c r="AA34"/>
      <c r="AB34"/>
      <c r="AC34"/>
    </row>
    <row r="35" spans="1:29" x14ac:dyDescent="0.25">
      <c r="A35"/>
      <c r="B35"/>
      <c r="C35"/>
      <c r="D35"/>
      <c r="E35"/>
      <c r="F35"/>
      <c r="G35"/>
      <c r="H35"/>
      <c r="I35"/>
      <c r="J35"/>
      <c r="K35"/>
      <c r="L35"/>
      <c r="M35"/>
      <c r="N35"/>
      <c r="O35"/>
      <c r="P35"/>
      <c r="Q35"/>
      <c r="R35"/>
      <c r="S35"/>
      <c r="T35"/>
      <c r="U35"/>
      <c r="V35"/>
      <c r="W35"/>
      <c r="X35"/>
      <c r="Y35"/>
      <c r="Z35"/>
      <c r="AA35"/>
      <c r="AB35"/>
      <c r="AC35"/>
    </row>
    <row r="36" spans="1:29" x14ac:dyDescent="0.25">
      <c r="A36"/>
      <c r="B36"/>
      <c r="C36"/>
      <c r="D36"/>
      <c r="E36"/>
      <c r="F36"/>
      <c r="G36"/>
      <c r="H36"/>
      <c r="I36"/>
      <c r="J36"/>
      <c r="K36"/>
      <c r="L36"/>
      <c r="M36"/>
      <c r="N36"/>
      <c r="O36"/>
      <c r="P36"/>
      <c r="Q36"/>
      <c r="R36"/>
      <c r="S36"/>
      <c r="T36"/>
      <c r="U36"/>
      <c r="V36"/>
      <c r="W36"/>
      <c r="X36"/>
      <c r="Y36"/>
      <c r="Z36"/>
      <c r="AA36"/>
      <c r="AB36"/>
      <c r="AC36"/>
    </row>
    <row r="37" spans="1:29" x14ac:dyDescent="0.25">
      <c r="A37"/>
      <c r="B37"/>
      <c r="C37"/>
      <c r="D37"/>
      <c r="E37"/>
      <c r="F37"/>
      <c r="G37"/>
      <c r="H37"/>
      <c r="I37"/>
      <c r="J37"/>
      <c r="K37"/>
      <c r="L37"/>
      <c r="M37"/>
      <c r="N37"/>
      <c r="O37"/>
      <c r="P37"/>
      <c r="Q37"/>
      <c r="R37"/>
      <c r="S37"/>
      <c r="T37"/>
      <c r="U37"/>
      <c r="V37"/>
      <c r="W37"/>
      <c r="X37"/>
      <c r="Y37"/>
      <c r="Z37"/>
      <c r="AA37"/>
      <c r="AB37"/>
      <c r="AC37"/>
    </row>
    <row r="38" spans="1:29" x14ac:dyDescent="0.25">
      <c r="A38"/>
      <c r="B38"/>
      <c r="C38"/>
      <c r="D38"/>
      <c r="E38"/>
      <c r="F38"/>
      <c r="G38"/>
      <c r="H38"/>
      <c r="I38"/>
      <c r="J38"/>
      <c r="K38"/>
      <c r="L38"/>
      <c r="M38"/>
      <c r="N38"/>
      <c r="O38"/>
      <c r="P38"/>
      <c r="Q38"/>
      <c r="R38"/>
      <c r="S38"/>
      <c r="T38"/>
      <c r="U38"/>
      <c r="V38"/>
      <c r="W38"/>
      <c r="X38"/>
      <c r="Y38"/>
      <c r="Z38"/>
      <c r="AA38"/>
      <c r="AB38"/>
      <c r="AC38"/>
    </row>
    <row r="39" spans="1:29" x14ac:dyDescent="0.25">
      <c r="A39"/>
      <c r="B39"/>
      <c r="C39"/>
      <c r="D39"/>
      <c r="E39"/>
      <c r="F39"/>
      <c r="G39"/>
      <c r="H39"/>
      <c r="I39"/>
      <c r="J39"/>
      <c r="K39"/>
      <c r="L39"/>
      <c r="M39"/>
      <c r="N39"/>
      <c r="O39"/>
      <c r="P39"/>
      <c r="Q39"/>
      <c r="R39"/>
      <c r="S39"/>
      <c r="T39"/>
      <c r="U39"/>
      <c r="V39"/>
      <c r="W39"/>
      <c r="X39"/>
      <c r="Y39"/>
      <c r="Z39"/>
      <c r="AA39"/>
      <c r="AB39"/>
      <c r="AC39"/>
    </row>
    <row r="40" spans="1:29" x14ac:dyDescent="0.25">
      <c r="A40"/>
      <c r="B40"/>
      <c r="C40"/>
      <c r="D40"/>
      <c r="E40"/>
      <c r="F40"/>
      <c r="G40"/>
      <c r="H40"/>
      <c r="I40"/>
      <c r="J40"/>
      <c r="K40"/>
      <c r="L40"/>
      <c r="M40"/>
      <c r="N40"/>
      <c r="O40"/>
      <c r="P40"/>
      <c r="Q40"/>
      <c r="R40"/>
      <c r="S40"/>
      <c r="T40"/>
      <c r="U40"/>
      <c r="V40"/>
      <c r="W40"/>
      <c r="X40"/>
      <c r="Y40"/>
      <c r="Z40"/>
      <c r="AA40"/>
      <c r="AB40"/>
      <c r="AC40"/>
    </row>
    <row r="41" spans="1:29" x14ac:dyDescent="0.25">
      <c r="A41"/>
      <c r="B41"/>
      <c r="C41"/>
      <c r="D41"/>
      <c r="E41"/>
      <c r="F41"/>
      <c r="G41"/>
      <c r="H41"/>
      <c r="I41"/>
      <c r="J41"/>
      <c r="K41"/>
      <c r="L41"/>
      <c r="M41"/>
      <c r="N41"/>
      <c r="O41"/>
      <c r="P41"/>
      <c r="Q41"/>
      <c r="R41"/>
      <c r="S41"/>
      <c r="T41"/>
      <c r="U41"/>
      <c r="V41"/>
      <c r="W41"/>
      <c r="X41"/>
      <c r="Y41"/>
      <c r="Z41"/>
      <c r="AA41"/>
      <c r="AB41"/>
      <c r="AC41"/>
    </row>
    <row r="42" spans="1:29" x14ac:dyDescent="0.25">
      <c r="A42"/>
      <c r="B42"/>
      <c r="C42"/>
      <c r="D42"/>
      <c r="E42"/>
      <c r="F42"/>
      <c r="G42"/>
      <c r="H42"/>
      <c r="I42"/>
      <c r="J42"/>
      <c r="K42"/>
      <c r="L42"/>
      <c r="M42"/>
      <c r="N42"/>
      <c r="O42"/>
      <c r="P42"/>
      <c r="Q42"/>
      <c r="R42"/>
      <c r="S42"/>
      <c r="T42"/>
      <c r="U42"/>
      <c r="V42"/>
      <c r="W42"/>
      <c r="X42"/>
      <c r="Y42"/>
      <c r="Z42"/>
      <c r="AA42"/>
      <c r="AB42"/>
      <c r="AC42"/>
    </row>
    <row r="43" spans="1:29" x14ac:dyDescent="0.25">
      <c r="A43"/>
      <c r="B43"/>
      <c r="C43"/>
      <c r="D43"/>
      <c r="E43"/>
      <c r="F43"/>
      <c r="G43"/>
      <c r="H43"/>
      <c r="I43"/>
      <c r="J43"/>
      <c r="K43"/>
      <c r="L43"/>
      <c r="M43"/>
      <c r="N43"/>
      <c r="O43"/>
      <c r="P43"/>
      <c r="Q43"/>
      <c r="R43"/>
      <c r="S43"/>
      <c r="T43"/>
      <c r="U43"/>
      <c r="V43"/>
      <c r="W43"/>
      <c r="X43"/>
      <c r="Y43"/>
      <c r="Z43"/>
      <c r="AA43"/>
      <c r="AB43"/>
      <c r="AC43"/>
    </row>
    <row r="44" spans="1:29" x14ac:dyDescent="0.25">
      <c r="A44"/>
      <c r="B44"/>
      <c r="C44"/>
      <c r="D44"/>
      <c r="E44"/>
      <c r="F44"/>
      <c r="G44"/>
      <c r="H44"/>
      <c r="I44"/>
      <c r="J44"/>
      <c r="K44"/>
      <c r="L44"/>
      <c r="M44"/>
      <c r="N44"/>
      <c r="O44"/>
      <c r="P44"/>
      <c r="Q44"/>
      <c r="R44"/>
      <c r="S44"/>
      <c r="T44"/>
      <c r="U44"/>
      <c r="V44"/>
      <c r="W44"/>
      <c r="X44"/>
      <c r="Y44"/>
      <c r="Z44"/>
      <c r="AA44"/>
      <c r="AB44"/>
      <c r="AC44"/>
    </row>
    <row r="45" spans="1:29" x14ac:dyDescent="0.25">
      <c r="A45"/>
      <c r="B45"/>
      <c r="C45"/>
      <c r="D45"/>
      <c r="E45"/>
      <c r="F45"/>
      <c r="G45"/>
      <c r="H45"/>
      <c r="I45"/>
      <c r="J45"/>
      <c r="K45"/>
      <c r="L45"/>
      <c r="M45"/>
      <c r="N45"/>
      <c r="O45"/>
      <c r="P45"/>
      <c r="Q45"/>
      <c r="R45"/>
      <c r="S45"/>
      <c r="T45"/>
      <c r="U45"/>
      <c r="V45"/>
      <c r="W45"/>
      <c r="X45"/>
      <c r="Y45"/>
      <c r="Z45"/>
      <c r="AA45"/>
      <c r="AB45"/>
      <c r="AC45"/>
    </row>
    <row r="46" spans="1:29" x14ac:dyDescent="0.25">
      <c r="A46"/>
      <c r="B46"/>
      <c r="C46"/>
      <c r="D46"/>
      <c r="E46"/>
      <c r="F46"/>
      <c r="G46"/>
      <c r="H46"/>
      <c r="I46"/>
      <c r="J46"/>
      <c r="K46"/>
      <c r="L46"/>
      <c r="M46"/>
      <c r="N46"/>
      <c r="O46"/>
      <c r="P46"/>
      <c r="Q46"/>
      <c r="R46"/>
      <c r="S46"/>
      <c r="T46"/>
      <c r="U46"/>
      <c r="V46"/>
      <c r="W46"/>
      <c r="X46"/>
      <c r="Y46"/>
      <c r="Z46"/>
      <c r="AA46"/>
      <c r="AB46"/>
      <c r="AC46"/>
    </row>
    <row r="47" spans="1:29" x14ac:dyDescent="0.25">
      <c r="A47"/>
      <c r="B47"/>
      <c r="C47"/>
      <c r="D47"/>
      <c r="E47"/>
      <c r="F47"/>
      <c r="G47"/>
      <c r="H47"/>
      <c r="I47"/>
      <c r="J47"/>
      <c r="K47"/>
      <c r="L47"/>
      <c r="M47"/>
      <c r="N47"/>
      <c r="O47"/>
      <c r="P47"/>
      <c r="Q47"/>
      <c r="R47"/>
      <c r="S47"/>
      <c r="T47"/>
      <c r="U47"/>
      <c r="V47"/>
      <c r="W47"/>
      <c r="X47"/>
      <c r="Y47"/>
      <c r="Z47"/>
      <c r="AA47"/>
      <c r="AB47"/>
      <c r="AC47"/>
    </row>
    <row r="48" spans="1:29" x14ac:dyDescent="0.25">
      <c r="A48"/>
      <c r="B48"/>
      <c r="C48"/>
      <c r="D48"/>
      <c r="E48"/>
      <c r="F48"/>
      <c r="G48"/>
      <c r="H48"/>
      <c r="I48"/>
      <c r="J48"/>
      <c r="K48"/>
      <c r="L48"/>
      <c r="M48"/>
      <c r="N48"/>
      <c r="O48"/>
      <c r="P48"/>
      <c r="Q48"/>
      <c r="R48"/>
      <c r="S48"/>
      <c r="T48"/>
      <c r="U48"/>
      <c r="V48"/>
      <c r="W48"/>
      <c r="X48"/>
      <c r="Y48"/>
      <c r="Z48"/>
      <c r="AA48"/>
      <c r="AB48"/>
      <c r="AC48"/>
    </row>
    <row r="49" spans="1:29" x14ac:dyDescent="0.25">
      <c r="A49"/>
      <c r="B49"/>
      <c r="C49"/>
      <c r="D49"/>
      <c r="E49"/>
      <c r="F49"/>
      <c r="G49"/>
      <c r="H49"/>
      <c r="I49"/>
      <c r="J49"/>
      <c r="K49"/>
      <c r="L49"/>
      <c r="M49"/>
      <c r="N49"/>
      <c r="O49"/>
      <c r="P49"/>
      <c r="Q49"/>
      <c r="R49"/>
      <c r="S49"/>
      <c r="T49"/>
      <c r="U49"/>
      <c r="V49"/>
      <c r="W49"/>
      <c r="X49"/>
      <c r="Y49"/>
      <c r="Z49"/>
      <c r="AA49"/>
      <c r="AB49"/>
      <c r="AC49"/>
    </row>
    <row r="50" spans="1:29" x14ac:dyDescent="0.25">
      <c r="A50"/>
      <c r="B50"/>
      <c r="C50"/>
      <c r="D50"/>
      <c r="E50"/>
      <c r="F50"/>
      <c r="G50"/>
      <c r="H50"/>
      <c r="I50"/>
      <c r="J50"/>
      <c r="K50"/>
      <c r="L50"/>
      <c r="M50"/>
      <c r="N50"/>
      <c r="O50"/>
      <c r="P50"/>
      <c r="Q50"/>
      <c r="R50"/>
      <c r="S50"/>
      <c r="T50"/>
      <c r="U50"/>
      <c r="V50"/>
      <c r="W50"/>
      <c r="X50"/>
      <c r="Y50"/>
      <c r="Z50"/>
      <c r="AA50"/>
      <c r="AB50"/>
      <c r="AC50"/>
    </row>
    <row r="51" spans="1:29" x14ac:dyDescent="0.25">
      <c r="A51"/>
      <c r="B51"/>
      <c r="C51"/>
      <c r="D51"/>
      <c r="E51"/>
      <c r="F51"/>
      <c r="G51"/>
      <c r="H51"/>
      <c r="I51"/>
      <c r="J51"/>
      <c r="K51"/>
      <c r="L51"/>
      <c r="M51"/>
      <c r="N51"/>
      <c r="O51"/>
      <c r="P51"/>
      <c r="Q51"/>
      <c r="R51"/>
      <c r="S51"/>
      <c r="T51"/>
      <c r="U51"/>
      <c r="V51"/>
      <c r="W51"/>
      <c r="X51"/>
      <c r="Y51"/>
      <c r="Z51"/>
      <c r="AA51"/>
      <c r="AB51"/>
      <c r="AC51"/>
    </row>
    <row r="52" spans="1:29" x14ac:dyDescent="0.25">
      <c r="A52"/>
      <c r="B52"/>
      <c r="C52"/>
      <c r="D52"/>
      <c r="E52"/>
      <c r="F52"/>
      <c r="G52"/>
      <c r="H52"/>
      <c r="I52"/>
      <c r="J52"/>
      <c r="K52"/>
      <c r="L52"/>
      <c r="M52"/>
      <c r="N52"/>
      <c r="O52"/>
      <c r="P52"/>
      <c r="Q52"/>
      <c r="R52"/>
      <c r="S52"/>
      <c r="T52"/>
      <c r="U52"/>
      <c r="V52"/>
      <c r="W52"/>
      <c r="X52"/>
      <c r="Y52"/>
      <c r="Z52"/>
      <c r="AA52"/>
      <c r="AB52"/>
      <c r="AC52"/>
    </row>
    <row r="53" spans="1:29" x14ac:dyDescent="0.25">
      <c r="A53"/>
      <c r="B53"/>
      <c r="C53"/>
      <c r="D53"/>
      <c r="E53"/>
      <c r="F53"/>
      <c r="G53"/>
      <c r="H53"/>
      <c r="I53"/>
      <c r="J53"/>
      <c r="K53"/>
      <c r="L53"/>
      <c r="M53"/>
      <c r="N53"/>
      <c r="O53"/>
      <c r="P53"/>
      <c r="Q53"/>
      <c r="R53"/>
      <c r="S53"/>
      <c r="T53"/>
      <c r="U53"/>
      <c r="V53"/>
      <c r="W53"/>
      <c r="X53"/>
      <c r="Y53"/>
      <c r="Z53"/>
      <c r="AA53"/>
      <c r="AB53"/>
      <c r="AC53"/>
    </row>
    <row r="54" spans="1:29" x14ac:dyDescent="0.25">
      <c r="A54"/>
      <c r="B54"/>
      <c r="C54"/>
      <c r="D54"/>
      <c r="E54"/>
      <c r="F54"/>
      <c r="G54"/>
      <c r="H54"/>
      <c r="I54"/>
      <c r="J54"/>
      <c r="K54"/>
      <c r="L54"/>
      <c r="M54"/>
      <c r="N54"/>
      <c r="O54"/>
      <c r="P54"/>
      <c r="Q54"/>
      <c r="R54"/>
      <c r="S54"/>
      <c r="T54"/>
      <c r="U54"/>
      <c r="V54"/>
      <c r="W54"/>
      <c r="X54"/>
      <c r="Y54"/>
      <c r="Z54"/>
      <c r="AA54"/>
      <c r="AB54"/>
      <c r="AC54"/>
    </row>
    <row r="55" spans="1:29" x14ac:dyDescent="0.25">
      <c r="A55"/>
      <c r="B55"/>
      <c r="C55"/>
      <c r="D55"/>
      <c r="E55"/>
      <c r="F55"/>
      <c r="G55"/>
      <c r="H55"/>
      <c r="I55"/>
      <c r="J55"/>
      <c r="K55"/>
      <c r="L55"/>
      <c r="M55"/>
      <c r="N55"/>
      <c r="O55"/>
      <c r="P55"/>
      <c r="Q55"/>
      <c r="R55"/>
      <c r="S55"/>
      <c r="T55"/>
      <c r="U55"/>
      <c r="V55"/>
      <c r="W55"/>
      <c r="X55"/>
      <c r="Y55"/>
      <c r="Z55"/>
      <c r="AA55"/>
      <c r="AB55"/>
      <c r="AC55"/>
    </row>
    <row r="56" spans="1:29" x14ac:dyDescent="0.25">
      <c r="A56"/>
      <c r="B56"/>
      <c r="C56"/>
      <c r="D56"/>
      <c r="E56"/>
      <c r="F56"/>
      <c r="G56"/>
      <c r="H56"/>
      <c r="I56"/>
      <c r="J56"/>
      <c r="K56"/>
      <c r="L56"/>
      <c r="M56"/>
      <c r="N56"/>
      <c r="O56"/>
      <c r="P56"/>
      <c r="Q56"/>
      <c r="R56"/>
      <c r="S56"/>
      <c r="T56"/>
      <c r="U56"/>
      <c r="V56"/>
      <c r="W56"/>
      <c r="X56"/>
      <c r="Y56"/>
      <c r="Z56"/>
      <c r="AA56"/>
      <c r="AB56"/>
      <c r="AC56"/>
    </row>
    <row r="57" spans="1:29" x14ac:dyDescent="0.25">
      <c r="A57"/>
      <c r="B57"/>
      <c r="C57"/>
      <c r="D57"/>
      <c r="E57"/>
      <c r="F57"/>
      <c r="G57"/>
      <c r="H57"/>
      <c r="I57"/>
      <c r="J57"/>
      <c r="K57"/>
      <c r="L57"/>
      <c r="M57"/>
      <c r="N57"/>
      <c r="O57"/>
      <c r="P57"/>
      <c r="Q57"/>
      <c r="R57"/>
      <c r="S57"/>
      <c r="T57"/>
      <c r="U57"/>
      <c r="V57"/>
      <c r="W57"/>
      <c r="X57"/>
      <c r="Y57"/>
      <c r="Z57"/>
      <c r="AA57"/>
      <c r="AB57"/>
      <c r="AC57"/>
    </row>
    <row r="58" spans="1:29" x14ac:dyDescent="0.25">
      <c r="A58"/>
      <c r="B58"/>
      <c r="C58"/>
      <c r="D58"/>
      <c r="E58"/>
      <c r="F58"/>
      <c r="G58"/>
      <c r="H58"/>
      <c r="I58"/>
      <c r="J58"/>
      <c r="K58"/>
      <c r="L58"/>
      <c r="M58"/>
      <c r="N58"/>
      <c r="O58"/>
      <c r="P58"/>
      <c r="Q58"/>
      <c r="R58"/>
      <c r="S58"/>
      <c r="T58"/>
      <c r="U58"/>
      <c r="V58"/>
      <c r="W58"/>
      <c r="X58"/>
      <c r="Y58"/>
      <c r="Z58"/>
      <c r="AA58"/>
      <c r="AB58"/>
      <c r="AC58"/>
    </row>
    <row r="59" spans="1:29" x14ac:dyDescent="0.25">
      <c r="A59"/>
      <c r="B59"/>
      <c r="C59"/>
      <c r="D59"/>
      <c r="E59"/>
      <c r="F59"/>
      <c r="G59"/>
      <c r="H59"/>
      <c r="I59"/>
      <c r="J59"/>
      <c r="K59"/>
      <c r="L59"/>
      <c r="M59"/>
      <c r="N59"/>
      <c r="O59"/>
      <c r="P59"/>
      <c r="Q59"/>
      <c r="R59"/>
      <c r="S59"/>
      <c r="T59"/>
      <c r="U59"/>
      <c r="V59"/>
      <c r="W59"/>
      <c r="X59"/>
      <c r="Y59"/>
      <c r="Z59"/>
      <c r="AA59"/>
      <c r="AB59"/>
      <c r="AC59"/>
    </row>
    <row r="60" spans="1:29" x14ac:dyDescent="0.25">
      <c r="A60"/>
      <c r="B60"/>
      <c r="C60"/>
      <c r="D60"/>
      <c r="E60"/>
      <c r="F60"/>
      <c r="G60"/>
      <c r="H60"/>
      <c r="I60"/>
      <c r="J60"/>
      <c r="K60"/>
      <c r="L60"/>
      <c r="M60"/>
      <c r="N60"/>
      <c r="O60"/>
      <c r="P60"/>
      <c r="Q60"/>
      <c r="R60"/>
      <c r="S60"/>
      <c r="T60"/>
      <c r="U60"/>
      <c r="V60"/>
      <c r="W60"/>
      <c r="X60"/>
      <c r="Y60"/>
      <c r="Z60"/>
      <c r="AA60"/>
      <c r="AB60"/>
      <c r="AC60"/>
    </row>
    <row r="61" spans="1:29" x14ac:dyDescent="0.25">
      <c r="A61"/>
      <c r="B61"/>
      <c r="C61"/>
      <c r="D61"/>
      <c r="E61"/>
      <c r="F61"/>
      <c r="G61"/>
      <c r="H61"/>
      <c r="I61"/>
      <c r="J61"/>
      <c r="K61"/>
      <c r="L61"/>
      <c r="M61"/>
      <c r="N61"/>
      <c r="O61"/>
      <c r="P61"/>
      <c r="Q61"/>
      <c r="R61"/>
      <c r="S61"/>
      <c r="T61"/>
      <c r="U61"/>
      <c r="V61"/>
      <c r="W61"/>
      <c r="X61"/>
      <c r="Y61"/>
      <c r="Z61"/>
      <c r="AA61"/>
      <c r="AB61"/>
      <c r="AC61"/>
    </row>
    <row r="62" spans="1:29" x14ac:dyDescent="0.25">
      <c r="A62"/>
      <c r="B62"/>
      <c r="C62"/>
      <c r="D62"/>
      <c r="E62"/>
      <c r="F62"/>
      <c r="G62"/>
      <c r="H62"/>
      <c r="I62"/>
      <c r="J62"/>
      <c r="K62"/>
      <c r="L62"/>
      <c r="M62"/>
      <c r="N62"/>
      <c r="O62"/>
      <c r="P62"/>
      <c r="Q62"/>
      <c r="R62"/>
      <c r="S62"/>
      <c r="T62"/>
      <c r="U62"/>
      <c r="V62"/>
      <c r="W62"/>
      <c r="X62"/>
      <c r="Y62"/>
      <c r="Z62"/>
      <c r="AA62"/>
      <c r="AB62"/>
      <c r="AC62"/>
    </row>
    <row r="63" spans="1:29" x14ac:dyDescent="0.25">
      <c r="A63"/>
      <c r="B63"/>
      <c r="C63"/>
      <c r="D63"/>
      <c r="E63"/>
      <c r="F63"/>
      <c r="G63"/>
      <c r="H63"/>
      <c r="I63"/>
      <c r="J63"/>
      <c r="K63"/>
      <c r="L63"/>
      <c r="M63"/>
      <c r="N63"/>
      <c r="O63"/>
      <c r="P63"/>
      <c r="Q63"/>
      <c r="R63"/>
      <c r="S63"/>
      <c r="T63"/>
      <c r="U63"/>
      <c r="V63"/>
      <c r="W63"/>
      <c r="X63"/>
      <c r="Y63"/>
      <c r="Z63"/>
      <c r="AA63"/>
      <c r="AB63"/>
      <c r="AC63"/>
    </row>
    <row r="64" spans="1:29" x14ac:dyDescent="0.25">
      <c r="A64"/>
      <c r="B64"/>
      <c r="C64"/>
      <c r="D64"/>
      <c r="E64"/>
      <c r="F64"/>
      <c r="G64"/>
      <c r="H64"/>
      <c r="I64"/>
      <c r="J64"/>
      <c r="K64"/>
      <c r="L64"/>
      <c r="M64"/>
      <c r="N64"/>
      <c r="O64"/>
      <c r="P64"/>
      <c r="Q64"/>
      <c r="R64"/>
      <c r="S64"/>
      <c r="T64"/>
      <c r="U64"/>
      <c r="V64"/>
      <c r="W64"/>
      <c r="X64"/>
      <c r="Y64"/>
      <c r="Z64"/>
      <c r="AA64"/>
      <c r="AB64"/>
      <c r="AC64"/>
    </row>
    <row r="65" spans="1:29" x14ac:dyDescent="0.25">
      <c r="A65"/>
      <c r="B65"/>
      <c r="C65"/>
      <c r="D65"/>
      <c r="E65"/>
      <c r="F65"/>
      <c r="G65"/>
      <c r="H65"/>
      <c r="I65"/>
      <c r="J65"/>
      <c r="K65"/>
      <c r="L65"/>
      <c r="M65"/>
      <c r="N65"/>
      <c r="O65"/>
      <c r="P65"/>
      <c r="Q65"/>
      <c r="R65"/>
      <c r="S65"/>
      <c r="T65"/>
      <c r="U65"/>
      <c r="V65"/>
      <c r="W65"/>
      <c r="X65"/>
      <c r="Y65"/>
      <c r="Z65"/>
      <c r="AA65"/>
      <c r="AB65"/>
      <c r="AC65"/>
    </row>
    <row r="66" spans="1:29" x14ac:dyDescent="0.25">
      <c r="A66"/>
      <c r="B66"/>
      <c r="C66"/>
      <c r="D66"/>
      <c r="E66"/>
      <c r="F66"/>
      <c r="G66"/>
      <c r="H66"/>
      <c r="I66"/>
      <c r="J66"/>
      <c r="K66"/>
      <c r="L66"/>
      <c r="M66"/>
      <c r="N66"/>
      <c r="O66"/>
      <c r="P66"/>
      <c r="Q66"/>
      <c r="R66"/>
      <c r="S66"/>
      <c r="T66"/>
      <c r="U66"/>
      <c r="V66"/>
      <c r="W66"/>
      <c r="X66"/>
      <c r="Y66"/>
      <c r="Z66"/>
      <c r="AA66"/>
      <c r="AB66"/>
      <c r="AC66"/>
    </row>
    <row r="67" spans="1:29" x14ac:dyDescent="0.25">
      <c r="A67"/>
      <c r="B67"/>
      <c r="C67"/>
      <c r="D67"/>
      <c r="E67"/>
      <c r="F67"/>
      <c r="G67"/>
      <c r="H67"/>
      <c r="I67"/>
      <c r="J67"/>
      <c r="K67"/>
      <c r="L67"/>
      <c r="M67"/>
      <c r="N67"/>
      <c r="O67"/>
      <c r="P67"/>
      <c r="Q67"/>
      <c r="R67"/>
      <c r="S67"/>
      <c r="T67"/>
      <c r="U67"/>
      <c r="V67"/>
      <c r="W67"/>
      <c r="X67"/>
      <c r="Y67"/>
      <c r="Z67"/>
      <c r="AA67"/>
      <c r="AB67"/>
      <c r="AC67"/>
    </row>
    <row r="68" spans="1:29" x14ac:dyDescent="0.25">
      <c r="A68"/>
      <c r="B68"/>
      <c r="C68"/>
      <c r="D68"/>
      <c r="E68"/>
      <c r="F68"/>
      <c r="G68"/>
      <c r="H68"/>
      <c r="I68"/>
      <c r="J68"/>
      <c r="K68"/>
      <c r="L68"/>
      <c r="M68"/>
      <c r="N68"/>
      <c r="O68"/>
      <c r="P68"/>
      <c r="Q68"/>
      <c r="R68"/>
      <c r="S68"/>
      <c r="T68"/>
      <c r="U68"/>
      <c r="V68"/>
      <c r="W68"/>
      <c r="X68"/>
      <c r="Y68"/>
      <c r="Z68"/>
      <c r="AA68"/>
      <c r="AB68"/>
      <c r="AC68"/>
    </row>
    <row r="69" spans="1:29" x14ac:dyDescent="0.25">
      <c r="A69"/>
      <c r="B69"/>
      <c r="C69"/>
      <c r="D69"/>
      <c r="E69"/>
      <c r="F69"/>
      <c r="G69"/>
      <c r="H69"/>
      <c r="I69"/>
      <c r="J69"/>
      <c r="K69"/>
      <c r="L69"/>
      <c r="M69"/>
      <c r="N69"/>
      <c r="O69"/>
      <c r="P69"/>
      <c r="Q69"/>
      <c r="R69"/>
      <c r="S69"/>
      <c r="T69"/>
      <c r="U69"/>
      <c r="V69"/>
      <c r="W69"/>
      <c r="X69"/>
      <c r="Y69"/>
      <c r="Z69"/>
      <c r="AA69"/>
      <c r="AB69"/>
      <c r="AC69"/>
    </row>
    <row r="70" spans="1:29" x14ac:dyDescent="0.25">
      <c r="A70"/>
      <c r="B70"/>
      <c r="C70"/>
      <c r="D70"/>
      <c r="E70"/>
      <c r="F70"/>
      <c r="G70"/>
      <c r="H70"/>
      <c r="I70"/>
      <c r="J70"/>
      <c r="K70"/>
      <c r="L70"/>
      <c r="M70"/>
      <c r="N70"/>
      <c r="O70"/>
      <c r="P70"/>
      <c r="Q70"/>
      <c r="R70"/>
      <c r="S70"/>
      <c r="T70"/>
      <c r="U70"/>
      <c r="V70"/>
      <c r="W70"/>
      <c r="X70"/>
      <c r="Y70"/>
      <c r="Z70"/>
      <c r="AA70"/>
      <c r="AB70"/>
      <c r="AC70"/>
    </row>
    <row r="71" spans="1:29" x14ac:dyDescent="0.25">
      <c r="A71"/>
      <c r="B71"/>
      <c r="C71"/>
      <c r="D71"/>
      <c r="E71"/>
      <c r="F71"/>
      <c r="G71"/>
      <c r="H71"/>
      <c r="I71"/>
      <c r="J71"/>
      <c r="K71"/>
      <c r="L71"/>
      <c r="M71"/>
      <c r="N71"/>
      <c r="O71"/>
      <c r="P71"/>
      <c r="Q71"/>
      <c r="R71"/>
      <c r="S71"/>
      <c r="T71"/>
      <c r="U71"/>
      <c r="V71"/>
      <c r="W71"/>
      <c r="X71"/>
      <c r="Y71"/>
      <c r="Z71"/>
      <c r="AA71"/>
      <c r="AB71"/>
      <c r="AC71"/>
    </row>
    <row r="72" spans="1:29" x14ac:dyDescent="0.25">
      <c r="A72"/>
      <c r="B72"/>
      <c r="C72"/>
      <c r="D72"/>
      <c r="E72"/>
      <c r="F72"/>
      <c r="G72"/>
      <c r="H72"/>
      <c r="I72"/>
      <c r="J72"/>
      <c r="K72"/>
      <c r="L72"/>
      <c r="M72"/>
      <c r="N72"/>
      <c r="O72"/>
      <c r="P72"/>
      <c r="Q72"/>
      <c r="R72"/>
      <c r="S72"/>
      <c r="T72"/>
      <c r="U72"/>
      <c r="V72"/>
      <c r="W72"/>
      <c r="X72"/>
      <c r="Y72"/>
      <c r="Z72"/>
      <c r="AA72"/>
      <c r="AB72"/>
      <c r="AC72"/>
    </row>
    <row r="73" spans="1:29" x14ac:dyDescent="0.25">
      <c r="A73"/>
      <c r="B73"/>
      <c r="C73"/>
      <c r="D73"/>
      <c r="E73"/>
      <c r="F73"/>
      <c r="G73"/>
      <c r="H73"/>
      <c r="I73"/>
      <c r="J73"/>
      <c r="K73"/>
      <c r="L73"/>
      <c r="M73"/>
      <c r="N73"/>
      <c r="O73"/>
      <c r="P73"/>
      <c r="Q73"/>
      <c r="R73"/>
      <c r="S73"/>
      <c r="T73"/>
      <c r="U73"/>
      <c r="V73"/>
      <c r="W73"/>
      <c r="X73"/>
      <c r="Y73"/>
      <c r="Z73"/>
      <c r="AA73"/>
      <c r="AB73"/>
      <c r="AC73"/>
    </row>
    <row r="74" spans="1:29" x14ac:dyDescent="0.25">
      <c r="A74"/>
      <c r="B74"/>
      <c r="C74"/>
      <c r="D74"/>
      <c r="E74"/>
      <c r="F74"/>
      <c r="G74"/>
      <c r="H74"/>
      <c r="I74"/>
      <c r="J74"/>
      <c r="K74"/>
      <c r="L74"/>
      <c r="M74"/>
      <c r="N74"/>
      <c r="O74"/>
      <c r="P74"/>
      <c r="Q74"/>
      <c r="R74"/>
      <c r="S74"/>
      <c r="T74"/>
      <c r="U74"/>
      <c r="V74"/>
      <c r="W74"/>
      <c r="X74"/>
      <c r="Y74"/>
      <c r="Z74"/>
      <c r="AA74"/>
      <c r="AB74"/>
      <c r="AC74"/>
    </row>
    <row r="75" spans="1:29" x14ac:dyDescent="0.25">
      <c r="A75"/>
      <c r="B75"/>
      <c r="C75"/>
      <c r="D75"/>
      <c r="E75"/>
      <c r="F75"/>
      <c r="G75"/>
      <c r="H75"/>
      <c r="I75"/>
      <c r="J75"/>
      <c r="K75"/>
      <c r="L75"/>
      <c r="M75"/>
      <c r="N75"/>
      <c r="O75"/>
      <c r="P75"/>
      <c r="Q75"/>
      <c r="R75"/>
      <c r="S75"/>
      <c r="T75"/>
      <c r="U75"/>
      <c r="V75"/>
      <c r="W75"/>
      <c r="X75"/>
      <c r="Y75"/>
      <c r="Z75"/>
      <c r="AA75"/>
      <c r="AB75"/>
      <c r="AC75"/>
    </row>
    <row r="76" spans="1:29" x14ac:dyDescent="0.25">
      <c r="A76"/>
      <c r="B76"/>
      <c r="C76"/>
      <c r="D76"/>
      <c r="E76"/>
      <c r="F76"/>
      <c r="G76"/>
      <c r="H76"/>
      <c r="I76"/>
      <c r="J76"/>
      <c r="K76"/>
      <c r="L76"/>
      <c r="M76"/>
      <c r="N76"/>
      <c r="O76"/>
      <c r="P76"/>
      <c r="Q76"/>
      <c r="R76"/>
      <c r="S76"/>
      <c r="T76"/>
      <c r="U76"/>
      <c r="V76"/>
      <c r="W76"/>
      <c r="X76"/>
      <c r="Y76"/>
      <c r="Z76"/>
      <c r="AA76"/>
      <c r="AB76"/>
      <c r="AC76"/>
    </row>
    <row r="77" spans="1:29" x14ac:dyDescent="0.25">
      <c r="A77"/>
      <c r="B77"/>
      <c r="C77"/>
      <c r="D77"/>
      <c r="E77"/>
      <c r="F77"/>
      <c r="G77"/>
      <c r="H77"/>
      <c r="I77"/>
      <c r="J77"/>
      <c r="K77"/>
      <c r="L77"/>
      <c r="M77"/>
      <c r="N77"/>
      <c r="O77"/>
      <c r="P77"/>
      <c r="Q77"/>
      <c r="R77"/>
      <c r="S77"/>
      <c r="T77"/>
      <c r="U77"/>
      <c r="V77"/>
      <c r="W77"/>
      <c r="X77"/>
      <c r="Y77"/>
      <c r="Z77"/>
      <c r="AA77"/>
      <c r="AB77"/>
      <c r="AC77"/>
    </row>
    <row r="78" spans="1:29" x14ac:dyDescent="0.25">
      <c r="A78"/>
      <c r="B78"/>
      <c r="C78"/>
      <c r="D78"/>
      <c r="E78"/>
      <c r="F78"/>
      <c r="G78"/>
      <c r="H78"/>
      <c r="I78"/>
      <c r="J78"/>
      <c r="K78"/>
      <c r="L78"/>
      <c r="M78"/>
      <c r="N78"/>
      <c r="O78"/>
      <c r="P78"/>
      <c r="Q78"/>
      <c r="R78"/>
      <c r="S78"/>
      <c r="T78"/>
      <c r="U78"/>
      <c r="V78"/>
      <c r="W78"/>
      <c r="X78"/>
      <c r="Y78"/>
      <c r="Z78"/>
      <c r="AA78"/>
      <c r="AB78"/>
      <c r="AC78"/>
    </row>
    <row r="79" spans="1:29" x14ac:dyDescent="0.25">
      <c r="A79"/>
      <c r="B79"/>
      <c r="C79"/>
      <c r="D79"/>
      <c r="E79"/>
      <c r="F79"/>
      <c r="G79"/>
      <c r="H79"/>
      <c r="I79"/>
      <c r="J79"/>
      <c r="K79"/>
      <c r="L79"/>
      <c r="M79"/>
      <c r="N79"/>
      <c r="O79"/>
      <c r="P79"/>
      <c r="Q79"/>
      <c r="R79"/>
      <c r="S79"/>
      <c r="T79"/>
      <c r="U79"/>
      <c r="V79"/>
      <c r="W79"/>
      <c r="X79"/>
      <c r="Y79"/>
      <c r="Z79"/>
      <c r="AA79"/>
      <c r="AB79"/>
      <c r="AC79"/>
    </row>
    <row r="80" spans="1:29" x14ac:dyDescent="0.25">
      <c r="A80"/>
      <c r="B80"/>
      <c r="C80"/>
      <c r="D80"/>
      <c r="E80"/>
      <c r="F80"/>
      <c r="G80"/>
      <c r="H80"/>
      <c r="I80"/>
      <c r="J80"/>
      <c r="K80"/>
      <c r="L80"/>
      <c r="M80"/>
      <c r="N80"/>
      <c r="O80"/>
      <c r="P80"/>
      <c r="Q80"/>
      <c r="R80"/>
      <c r="S80"/>
      <c r="T80"/>
      <c r="U80"/>
      <c r="V80"/>
      <c r="W80"/>
      <c r="X80"/>
      <c r="Y80"/>
      <c r="Z80"/>
      <c r="AA80"/>
      <c r="AB80"/>
      <c r="AC80"/>
    </row>
    <row r="81" spans="1:29" x14ac:dyDescent="0.25">
      <c r="A81"/>
      <c r="B81"/>
      <c r="C81"/>
      <c r="D81"/>
      <c r="E81"/>
      <c r="F81"/>
      <c r="G81"/>
      <c r="H81"/>
      <c r="I81"/>
      <c r="J81"/>
      <c r="K81"/>
      <c r="L81"/>
      <c r="M81"/>
      <c r="N81"/>
      <c r="O81"/>
      <c r="P81"/>
      <c r="Q81"/>
      <c r="R81"/>
      <c r="S81"/>
      <c r="T81"/>
      <c r="U81"/>
      <c r="V81"/>
      <c r="W81"/>
      <c r="X81"/>
      <c r="Y81"/>
      <c r="Z81"/>
      <c r="AA81"/>
      <c r="AB81"/>
      <c r="AC81"/>
    </row>
    <row r="82" spans="1:29" x14ac:dyDescent="0.25">
      <c r="A82"/>
      <c r="B82"/>
      <c r="C82"/>
      <c r="D82"/>
      <c r="E82"/>
      <c r="F82"/>
      <c r="G82"/>
      <c r="H82"/>
      <c r="I82"/>
      <c r="J82"/>
      <c r="K82"/>
      <c r="L82"/>
      <c r="M82"/>
      <c r="N82"/>
      <c r="O82"/>
      <c r="P82"/>
      <c r="Q82"/>
      <c r="R82"/>
      <c r="S82"/>
      <c r="T82"/>
      <c r="U82"/>
      <c r="V82"/>
      <c r="W82"/>
      <c r="X82"/>
      <c r="Y82"/>
      <c r="Z82"/>
      <c r="AA82"/>
      <c r="AB82"/>
      <c r="AC82"/>
    </row>
    <row r="83" spans="1:29" x14ac:dyDescent="0.25">
      <c r="A83"/>
      <c r="B83"/>
      <c r="C83"/>
      <c r="D83"/>
      <c r="E83"/>
      <c r="F83"/>
      <c r="G83"/>
      <c r="H83"/>
      <c r="I83"/>
      <c r="J83"/>
      <c r="K83"/>
      <c r="L83"/>
      <c r="M83"/>
      <c r="N83"/>
      <c r="O83"/>
      <c r="P83"/>
      <c r="Q83"/>
      <c r="R83"/>
      <c r="S83"/>
      <c r="T83"/>
      <c r="U83"/>
      <c r="V83"/>
      <c r="W83"/>
      <c r="X83"/>
      <c r="Y83"/>
      <c r="Z83"/>
      <c r="AA83"/>
      <c r="AB83"/>
      <c r="AC83"/>
    </row>
    <row r="84" spans="1:29" x14ac:dyDescent="0.25">
      <c r="A84"/>
      <c r="B84"/>
      <c r="C84"/>
      <c r="D84"/>
      <c r="E84"/>
      <c r="F84"/>
      <c r="G84"/>
      <c r="H84"/>
      <c r="I84"/>
      <c r="J84"/>
      <c r="K84"/>
      <c r="L84"/>
      <c r="M84"/>
      <c r="N84"/>
      <c r="O84"/>
      <c r="P84"/>
      <c r="Q84"/>
      <c r="R84"/>
      <c r="S84"/>
      <c r="T84"/>
      <c r="U84"/>
      <c r="V84"/>
      <c r="W84"/>
      <c r="X84"/>
      <c r="Y84"/>
      <c r="Z84"/>
      <c r="AA84"/>
      <c r="AB84"/>
      <c r="AC84"/>
    </row>
    <row r="85" spans="1:29" x14ac:dyDescent="0.25">
      <c r="A85"/>
      <c r="B85"/>
      <c r="C85"/>
      <c r="D85"/>
      <c r="E85"/>
      <c r="F85"/>
      <c r="G85"/>
      <c r="H85"/>
      <c r="I85"/>
      <c r="J85"/>
      <c r="K85"/>
      <c r="L85"/>
      <c r="M85"/>
      <c r="N85"/>
      <c r="O85"/>
      <c r="P85"/>
      <c r="Q85"/>
      <c r="R85"/>
      <c r="S85"/>
      <c r="T85"/>
      <c r="U85"/>
      <c r="V85"/>
      <c r="W85"/>
      <c r="X85"/>
      <c r="Y85"/>
      <c r="Z85"/>
      <c r="AA85"/>
      <c r="AB85"/>
      <c r="AC85"/>
    </row>
    <row r="86" spans="1:29" x14ac:dyDescent="0.25">
      <c r="A86"/>
      <c r="B86"/>
      <c r="C86"/>
      <c r="D86"/>
      <c r="E86"/>
      <c r="F86"/>
      <c r="G86"/>
      <c r="H86"/>
      <c r="I86"/>
      <c r="J86"/>
      <c r="K86"/>
      <c r="L86"/>
      <c r="M86"/>
      <c r="N86"/>
      <c r="O86"/>
      <c r="P86"/>
      <c r="Q86"/>
      <c r="R86"/>
      <c r="S86"/>
      <c r="T86"/>
      <c r="U86"/>
      <c r="V86"/>
      <c r="W86"/>
      <c r="X86"/>
      <c r="Y86"/>
      <c r="Z86"/>
      <c r="AA86"/>
      <c r="AB86"/>
      <c r="AC86"/>
    </row>
    <row r="87" spans="1:29" x14ac:dyDescent="0.25">
      <c r="A87"/>
      <c r="B87"/>
      <c r="C87"/>
      <c r="D87"/>
      <c r="E87"/>
      <c r="F87"/>
      <c r="G87"/>
      <c r="H87"/>
      <c r="I87"/>
      <c r="J87"/>
      <c r="K87"/>
      <c r="L87"/>
      <c r="M87"/>
      <c r="N87"/>
      <c r="O87"/>
      <c r="P87"/>
      <c r="Q87"/>
      <c r="R87"/>
      <c r="S87"/>
      <c r="T87"/>
      <c r="U87"/>
      <c r="V87"/>
      <c r="W87"/>
      <c r="X87"/>
      <c r="Y87"/>
      <c r="Z87"/>
      <c r="AA87"/>
      <c r="AB87"/>
      <c r="AC87"/>
    </row>
    <row r="88" spans="1:29" x14ac:dyDescent="0.25">
      <c r="A88"/>
      <c r="B88"/>
      <c r="C88"/>
      <c r="D88"/>
      <c r="E88"/>
      <c r="F88"/>
      <c r="G88"/>
      <c r="H88"/>
      <c r="I88"/>
      <c r="J88"/>
      <c r="K88"/>
      <c r="L88"/>
      <c r="M88"/>
      <c r="N88"/>
      <c r="O88"/>
      <c r="P88"/>
      <c r="Q88"/>
      <c r="R88"/>
      <c r="S88"/>
      <c r="T88"/>
      <c r="U88"/>
      <c r="V88"/>
      <c r="W88"/>
      <c r="X88"/>
      <c r="Y88"/>
      <c r="Z88"/>
      <c r="AA88"/>
      <c r="AB88"/>
      <c r="AC88"/>
    </row>
    <row r="89" spans="1:29" x14ac:dyDescent="0.25">
      <c r="A89"/>
      <c r="B89"/>
      <c r="C89"/>
      <c r="D89"/>
      <c r="E89"/>
      <c r="F89"/>
      <c r="G89"/>
      <c r="H89"/>
      <c r="I89"/>
      <c r="J89"/>
      <c r="K89"/>
      <c r="L89"/>
      <c r="M89"/>
      <c r="N89"/>
      <c r="O89"/>
      <c r="P89"/>
      <c r="Q89"/>
      <c r="R89"/>
      <c r="S89"/>
      <c r="T89"/>
      <c r="U89"/>
      <c r="V89"/>
      <c r="W89"/>
      <c r="X89"/>
      <c r="Y89"/>
      <c r="Z89"/>
      <c r="AA89"/>
      <c r="AB89"/>
      <c r="AC89"/>
    </row>
    <row r="90" spans="1:29" x14ac:dyDescent="0.25">
      <c r="A90"/>
      <c r="B90"/>
      <c r="C90"/>
      <c r="D90"/>
      <c r="E90"/>
      <c r="F90"/>
      <c r="G90"/>
      <c r="H90"/>
      <c r="I90"/>
      <c r="J90"/>
      <c r="K90"/>
      <c r="L90"/>
      <c r="M90"/>
      <c r="N90"/>
      <c r="O90"/>
      <c r="P90"/>
      <c r="Q90"/>
      <c r="R90"/>
      <c r="S90"/>
      <c r="T90"/>
      <c r="U90"/>
      <c r="V90"/>
      <c r="W90"/>
      <c r="X90"/>
      <c r="Y90"/>
      <c r="Z90"/>
      <c r="AA90"/>
      <c r="AB90"/>
      <c r="AC90"/>
    </row>
    <row r="91" spans="1:29" x14ac:dyDescent="0.25">
      <c r="A91"/>
      <c r="B91"/>
      <c r="C91"/>
      <c r="D91"/>
      <c r="E91"/>
      <c r="F91"/>
      <c r="G91"/>
      <c r="H91"/>
      <c r="I91"/>
      <c r="J91"/>
      <c r="K91"/>
      <c r="L91"/>
      <c r="M91"/>
      <c r="N91"/>
      <c r="O91"/>
      <c r="P91"/>
      <c r="Q91"/>
      <c r="R91"/>
      <c r="S91"/>
      <c r="T91"/>
      <c r="U91"/>
      <c r="V91"/>
      <c r="W91"/>
      <c r="X91"/>
      <c r="Y91"/>
      <c r="Z91"/>
      <c r="AA91"/>
      <c r="AB91"/>
      <c r="AC91"/>
    </row>
    <row r="92" spans="1:29" x14ac:dyDescent="0.25">
      <c r="A92"/>
      <c r="B92"/>
      <c r="C92"/>
      <c r="D92"/>
      <c r="E92"/>
      <c r="F92"/>
      <c r="G92"/>
      <c r="H92"/>
      <c r="I92"/>
      <c r="J92"/>
      <c r="K92"/>
      <c r="L92"/>
      <c r="M92"/>
      <c r="N92"/>
      <c r="O92"/>
      <c r="P92"/>
      <c r="Q92"/>
      <c r="R92"/>
      <c r="S92"/>
      <c r="T92"/>
      <c r="U92"/>
      <c r="V92"/>
      <c r="W92"/>
      <c r="X92"/>
      <c r="Y92"/>
      <c r="Z92"/>
      <c r="AA92"/>
      <c r="AB92"/>
      <c r="AC92"/>
    </row>
    <row r="93" spans="1:29" x14ac:dyDescent="0.25">
      <c r="A93"/>
      <c r="B93"/>
      <c r="C93"/>
      <c r="D93"/>
      <c r="E93"/>
      <c r="F93"/>
      <c r="G93"/>
      <c r="H93"/>
      <c r="I93"/>
      <c r="J93"/>
      <c r="K93"/>
      <c r="L93"/>
      <c r="M93"/>
      <c r="N93"/>
      <c r="O93"/>
      <c r="P93"/>
      <c r="Q93"/>
      <c r="R93"/>
      <c r="S93"/>
      <c r="T93"/>
      <c r="U93"/>
      <c r="V93"/>
      <c r="W93"/>
      <c r="X93"/>
      <c r="Y93"/>
      <c r="Z93"/>
      <c r="AA93"/>
      <c r="AB93"/>
      <c r="AC93"/>
    </row>
    <row r="94" spans="1:29" x14ac:dyDescent="0.25">
      <c r="A94"/>
      <c r="B94"/>
      <c r="C94"/>
      <c r="D94"/>
      <c r="E94"/>
      <c r="F94"/>
      <c r="G94"/>
      <c r="H94"/>
      <c r="I94"/>
      <c r="J94"/>
      <c r="K94"/>
      <c r="L94"/>
      <c r="M94"/>
      <c r="N94"/>
      <c r="O94"/>
      <c r="P94"/>
      <c r="Q94"/>
      <c r="R94"/>
      <c r="S94"/>
      <c r="T94"/>
      <c r="U94"/>
      <c r="V94"/>
      <c r="W94"/>
      <c r="X94"/>
      <c r="Y94"/>
      <c r="Z94"/>
      <c r="AA94"/>
      <c r="AB94"/>
      <c r="AC94"/>
    </row>
    <row r="95" spans="1:29" x14ac:dyDescent="0.25">
      <c r="A95"/>
      <c r="B95"/>
      <c r="C95"/>
      <c r="D95"/>
      <c r="E95"/>
      <c r="F95"/>
      <c r="G95"/>
      <c r="H95"/>
      <c r="I95"/>
      <c r="J95"/>
      <c r="K95"/>
      <c r="L95"/>
      <c r="M95"/>
      <c r="N95"/>
      <c r="O95"/>
      <c r="P95"/>
      <c r="Q95"/>
      <c r="R95"/>
      <c r="S95"/>
      <c r="T95"/>
      <c r="U95"/>
      <c r="V95"/>
      <c r="W95"/>
      <c r="X95"/>
      <c r="Y95"/>
      <c r="Z95"/>
      <c r="AA95"/>
      <c r="AB95"/>
      <c r="AC95"/>
    </row>
    <row r="96" spans="1:29" x14ac:dyDescent="0.25">
      <c r="A96"/>
      <c r="B96"/>
      <c r="C96"/>
      <c r="D96"/>
      <c r="E96"/>
      <c r="F96"/>
      <c r="G96"/>
      <c r="H96"/>
      <c r="I96"/>
      <c r="J96"/>
      <c r="K96"/>
      <c r="L96"/>
      <c r="M96"/>
      <c r="N96"/>
      <c r="O96"/>
      <c r="P96"/>
      <c r="Q96"/>
      <c r="R96"/>
      <c r="S96"/>
      <c r="T96"/>
      <c r="U96"/>
      <c r="V96"/>
      <c r="W96"/>
      <c r="X96"/>
      <c r="Y96"/>
      <c r="Z96"/>
      <c r="AA96"/>
      <c r="AB96"/>
      <c r="AC96"/>
    </row>
    <row r="97" spans="1:29" x14ac:dyDescent="0.25">
      <c r="A97"/>
      <c r="B97"/>
      <c r="C97"/>
      <c r="D97"/>
      <c r="E97"/>
      <c r="F97"/>
      <c r="G97"/>
      <c r="H97"/>
      <c r="I97"/>
      <c r="J97"/>
      <c r="K97"/>
      <c r="L97"/>
      <c r="M97"/>
      <c r="N97"/>
      <c r="O97"/>
      <c r="P97"/>
      <c r="Q97"/>
      <c r="R97"/>
      <c r="S97"/>
      <c r="T97"/>
      <c r="U97"/>
      <c r="V97"/>
      <c r="W97"/>
      <c r="X97"/>
      <c r="Y97"/>
      <c r="Z97"/>
      <c r="AA97"/>
      <c r="AB97"/>
      <c r="AC97"/>
    </row>
    <row r="98" spans="1:29" x14ac:dyDescent="0.25">
      <c r="A98"/>
      <c r="B98"/>
      <c r="C98"/>
      <c r="D98"/>
      <c r="E98"/>
      <c r="F98"/>
      <c r="G98"/>
      <c r="H98"/>
      <c r="I98"/>
      <c r="J98"/>
      <c r="K98"/>
      <c r="L98"/>
      <c r="M98"/>
      <c r="N98"/>
      <c r="O98"/>
      <c r="P98"/>
      <c r="Q98"/>
      <c r="R98"/>
      <c r="S98"/>
      <c r="T98"/>
      <c r="U98"/>
      <c r="V98"/>
      <c r="W98"/>
      <c r="X98"/>
      <c r="Y98"/>
      <c r="Z98"/>
      <c r="AA98"/>
      <c r="AB98"/>
      <c r="AC98"/>
    </row>
    <row r="99" spans="1:29" x14ac:dyDescent="0.25">
      <c r="A99"/>
      <c r="B99"/>
      <c r="C99"/>
      <c r="D99"/>
      <c r="E99"/>
      <c r="F99"/>
      <c r="G99"/>
      <c r="H99"/>
      <c r="I99"/>
      <c r="J99"/>
      <c r="K99"/>
      <c r="L99"/>
      <c r="M99"/>
      <c r="N99"/>
      <c r="O99"/>
      <c r="P99"/>
      <c r="Q99"/>
      <c r="R99"/>
      <c r="S99"/>
      <c r="T99"/>
      <c r="U99"/>
      <c r="V99"/>
      <c r="W99"/>
      <c r="X99"/>
      <c r="Y99"/>
      <c r="Z99"/>
      <c r="AA99"/>
      <c r="AB99"/>
      <c r="AC99"/>
    </row>
    <row r="100" spans="1:29" x14ac:dyDescent="0.25">
      <c r="A100"/>
      <c r="B100"/>
      <c r="C100"/>
      <c r="D100"/>
      <c r="E100"/>
      <c r="F100"/>
      <c r="G100"/>
      <c r="H100"/>
      <c r="I100"/>
      <c r="J100"/>
      <c r="K100"/>
      <c r="L100"/>
      <c r="M100"/>
      <c r="N100"/>
      <c r="O100"/>
      <c r="P100"/>
      <c r="Q100"/>
      <c r="R100"/>
      <c r="S100"/>
      <c r="T100"/>
      <c r="U100"/>
      <c r="V100"/>
      <c r="W100"/>
      <c r="X100"/>
      <c r="Y100"/>
      <c r="Z100"/>
      <c r="AA100"/>
      <c r="AB100"/>
      <c r="AC100"/>
    </row>
    <row r="101" spans="1:29" x14ac:dyDescent="0.25">
      <c r="A101"/>
      <c r="B101"/>
      <c r="C101"/>
      <c r="D101"/>
      <c r="E101"/>
      <c r="F101"/>
      <c r="G101"/>
      <c r="H101"/>
      <c r="I101"/>
      <c r="J101"/>
      <c r="K101"/>
      <c r="L101"/>
      <c r="M101"/>
      <c r="N101"/>
      <c r="O101"/>
      <c r="P101"/>
      <c r="Q101"/>
      <c r="R101"/>
      <c r="S101"/>
      <c r="T101"/>
      <c r="U101"/>
      <c r="V101"/>
      <c r="W101"/>
      <c r="X101"/>
      <c r="Y101"/>
      <c r="Z101"/>
      <c r="AA101"/>
      <c r="AB101"/>
      <c r="AC101"/>
    </row>
    <row r="102" spans="1:29" x14ac:dyDescent="0.25">
      <c r="A102"/>
      <c r="B102"/>
      <c r="C102"/>
      <c r="D102"/>
      <c r="E102"/>
      <c r="F102"/>
      <c r="G102"/>
      <c r="H102"/>
      <c r="I102"/>
      <c r="J102"/>
      <c r="K102"/>
      <c r="L102"/>
      <c r="M102"/>
      <c r="N102"/>
      <c r="O102"/>
      <c r="P102"/>
      <c r="Q102"/>
      <c r="R102"/>
      <c r="S102"/>
      <c r="T102"/>
      <c r="U102"/>
      <c r="V102"/>
      <c r="W102"/>
      <c r="X102"/>
      <c r="Y102"/>
      <c r="Z102"/>
      <c r="AA102"/>
      <c r="AB102"/>
      <c r="AC102"/>
    </row>
    <row r="103" spans="1:29" x14ac:dyDescent="0.25">
      <c r="A103"/>
      <c r="B103"/>
      <c r="C103"/>
      <c r="D103"/>
      <c r="E103"/>
      <c r="F103"/>
      <c r="G103"/>
      <c r="H103"/>
      <c r="I103"/>
      <c r="J103"/>
      <c r="K103"/>
      <c r="L103"/>
      <c r="M103"/>
      <c r="N103"/>
      <c r="O103"/>
      <c r="P103"/>
      <c r="Q103"/>
      <c r="R103"/>
      <c r="S103"/>
      <c r="T103"/>
      <c r="U103"/>
      <c r="V103"/>
      <c r="W103"/>
      <c r="X103"/>
      <c r="Y103"/>
      <c r="Z103"/>
      <c r="AA103"/>
      <c r="AB103"/>
      <c r="AC103"/>
    </row>
    <row r="104" spans="1:29" x14ac:dyDescent="0.25">
      <c r="A104"/>
      <c r="B104"/>
      <c r="C104"/>
      <c r="D104"/>
      <c r="E104"/>
      <c r="F104"/>
      <c r="G104"/>
      <c r="H104"/>
      <c r="I104"/>
      <c r="J104"/>
      <c r="K104"/>
      <c r="L104"/>
      <c r="M104"/>
      <c r="N104"/>
      <c r="O104"/>
      <c r="P104"/>
      <c r="Q104"/>
      <c r="R104"/>
      <c r="S104"/>
      <c r="T104"/>
      <c r="U104"/>
      <c r="V104"/>
      <c r="W104"/>
      <c r="X104"/>
      <c r="Y104"/>
      <c r="Z104"/>
      <c r="AA104"/>
      <c r="AB104"/>
      <c r="AC104"/>
    </row>
    <row r="105" spans="1:29" x14ac:dyDescent="0.25">
      <c r="A105"/>
      <c r="B105"/>
      <c r="C105"/>
      <c r="D105"/>
      <c r="E105"/>
      <c r="F105"/>
      <c r="G105"/>
      <c r="H105"/>
      <c r="I105"/>
      <c r="J105"/>
      <c r="K105"/>
      <c r="L105"/>
      <c r="M105"/>
      <c r="N105"/>
      <c r="O105"/>
      <c r="P105"/>
      <c r="Q105"/>
      <c r="R105"/>
      <c r="S105"/>
      <c r="T105"/>
      <c r="U105"/>
      <c r="V105"/>
      <c r="W105"/>
      <c r="X105"/>
      <c r="Y105"/>
      <c r="Z105"/>
      <c r="AA105"/>
      <c r="AB105"/>
      <c r="AC105"/>
    </row>
    <row r="106" spans="1:29" x14ac:dyDescent="0.25">
      <c r="A106"/>
      <c r="B106"/>
      <c r="C106"/>
      <c r="D106"/>
      <c r="E106"/>
      <c r="F106"/>
      <c r="G106"/>
      <c r="H106"/>
      <c r="I106"/>
      <c r="J106"/>
      <c r="K106"/>
      <c r="L106"/>
      <c r="M106"/>
      <c r="N106"/>
      <c r="O106"/>
      <c r="P106"/>
      <c r="Q106"/>
      <c r="R106"/>
      <c r="S106"/>
      <c r="T106"/>
      <c r="U106"/>
      <c r="V106"/>
      <c r="W106"/>
      <c r="X106"/>
      <c r="Y106"/>
      <c r="Z106"/>
      <c r="AA106"/>
      <c r="AB106"/>
      <c r="AC106"/>
    </row>
    <row r="107" spans="1:29" x14ac:dyDescent="0.25">
      <c r="A107"/>
      <c r="B107"/>
      <c r="C107"/>
      <c r="D107"/>
      <c r="E107"/>
      <c r="F107"/>
      <c r="G107"/>
      <c r="H107"/>
      <c r="I107"/>
      <c r="J107"/>
      <c r="K107"/>
      <c r="L107"/>
      <c r="M107"/>
      <c r="N107"/>
      <c r="O107"/>
      <c r="P107"/>
      <c r="Q107"/>
      <c r="R107"/>
      <c r="S107"/>
      <c r="T107"/>
      <c r="U107"/>
      <c r="V107"/>
      <c r="W107"/>
      <c r="X107"/>
      <c r="Y107"/>
      <c r="Z107"/>
      <c r="AA107"/>
      <c r="AB107"/>
      <c r="AC107"/>
    </row>
    <row r="108" spans="1:29" x14ac:dyDescent="0.25">
      <c r="A108"/>
      <c r="B108"/>
      <c r="C108"/>
      <c r="D108"/>
      <c r="E108"/>
      <c r="F108"/>
      <c r="G108"/>
      <c r="H108"/>
      <c r="I108"/>
      <c r="J108"/>
      <c r="K108"/>
      <c r="L108"/>
      <c r="M108"/>
      <c r="N108"/>
      <c r="O108"/>
      <c r="P108"/>
      <c r="Q108"/>
      <c r="R108"/>
      <c r="S108"/>
      <c r="T108"/>
      <c r="U108"/>
      <c r="V108"/>
      <c r="W108"/>
      <c r="X108"/>
      <c r="Y108"/>
      <c r="Z108"/>
      <c r="AA108"/>
      <c r="AB108"/>
      <c r="AC108"/>
    </row>
    <row r="109" spans="1:29" x14ac:dyDescent="0.25">
      <c r="A109"/>
      <c r="B109"/>
      <c r="C109"/>
      <c r="D109"/>
      <c r="E109"/>
      <c r="F109"/>
      <c r="G109"/>
      <c r="H109"/>
      <c r="I109"/>
      <c r="J109"/>
      <c r="K109"/>
      <c r="L109"/>
      <c r="M109"/>
      <c r="N109"/>
      <c r="O109"/>
      <c r="P109"/>
      <c r="Q109"/>
      <c r="R109"/>
      <c r="S109"/>
      <c r="T109"/>
      <c r="U109"/>
      <c r="V109"/>
      <c r="W109"/>
      <c r="X109"/>
      <c r="Y109"/>
      <c r="Z109"/>
      <c r="AA109"/>
      <c r="AB109"/>
      <c r="AC109"/>
    </row>
    <row r="110" spans="1:29" x14ac:dyDescent="0.25">
      <c r="A110"/>
      <c r="B110"/>
      <c r="C110"/>
      <c r="D110"/>
      <c r="E110"/>
      <c r="F110"/>
      <c r="G110"/>
      <c r="H110"/>
      <c r="I110"/>
      <c r="J110"/>
      <c r="K110"/>
      <c r="L110"/>
      <c r="M110"/>
      <c r="N110"/>
      <c r="O110"/>
      <c r="P110"/>
      <c r="Q110"/>
      <c r="R110"/>
      <c r="S110"/>
      <c r="T110"/>
      <c r="U110"/>
      <c r="V110"/>
      <c r="W110"/>
      <c r="X110"/>
      <c r="Y110"/>
      <c r="Z110"/>
      <c r="AA110"/>
      <c r="AB110"/>
      <c r="AC110"/>
    </row>
    <row r="111" spans="1:29" x14ac:dyDescent="0.25">
      <c r="A111"/>
      <c r="B111"/>
      <c r="C111"/>
      <c r="D111"/>
      <c r="E111"/>
      <c r="F111"/>
      <c r="G111"/>
      <c r="H111"/>
      <c r="I111"/>
      <c r="J111"/>
      <c r="K111"/>
      <c r="L111"/>
      <c r="M111"/>
      <c r="N111"/>
      <c r="O111"/>
      <c r="P111"/>
      <c r="Q111"/>
      <c r="R111"/>
      <c r="S111"/>
      <c r="T111"/>
      <c r="U111"/>
      <c r="V111"/>
      <c r="W111"/>
      <c r="X111"/>
      <c r="Y111"/>
      <c r="Z111"/>
      <c r="AA111"/>
      <c r="AB111"/>
      <c r="AC111"/>
    </row>
    <row r="112" spans="1:29" x14ac:dyDescent="0.25">
      <c r="A112"/>
      <c r="B112"/>
      <c r="C112"/>
      <c r="D112"/>
      <c r="E112"/>
      <c r="F112"/>
      <c r="G112"/>
      <c r="H112"/>
      <c r="I112"/>
      <c r="J112"/>
      <c r="K112"/>
      <c r="L112"/>
      <c r="M112"/>
      <c r="N112"/>
      <c r="O112"/>
      <c r="P112"/>
      <c r="Q112"/>
      <c r="R112"/>
      <c r="S112"/>
      <c r="T112"/>
      <c r="U112"/>
      <c r="V112"/>
      <c r="W112"/>
      <c r="X112"/>
      <c r="Y112"/>
      <c r="Z112"/>
      <c r="AA112"/>
      <c r="AB112"/>
      <c r="AC112"/>
    </row>
    <row r="113" spans="1:29" x14ac:dyDescent="0.25">
      <c r="A113"/>
      <c r="B113"/>
      <c r="C113"/>
      <c r="D113"/>
      <c r="E113"/>
      <c r="F113"/>
      <c r="G113"/>
      <c r="H113"/>
      <c r="I113"/>
      <c r="J113"/>
      <c r="K113"/>
      <c r="L113"/>
      <c r="M113"/>
      <c r="N113"/>
      <c r="O113"/>
      <c r="P113"/>
      <c r="Q113"/>
      <c r="R113"/>
      <c r="S113"/>
      <c r="T113"/>
      <c r="U113"/>
      <c r="V113"/>
      <c r="W113"/>
      <c r="X113"/>
      <c r="Y113"/>
      <c r="Z113"/>
      <c r="AA113"/>
      <c r="AB113"/>
      <c r="AC113"/>
    </row>
    <row r="114" spans="1:29" x14ac:dyDescent="0.25">
      <c r="A114"/>
      <c r="B114"/>
      <c r="C114"/>
      <c r="D114"/>
      <c r="E114"/>
      <c r="F114"/>
      <c r="G114"/>
      <c r="H114"/>
      <c r="I114"/>
      <c r="J114"/>
      <c r="K114"/>
      <c r="L114"/>
      <c r="M114"/>
      <c r="N114"/>
      <c r="O114"/>
      <c r="P114"/>
      <c r="Q114"/>
      <c r="R114"/>
      <c r="S114"/>
      <c r="T114"/>
      <c r="U114"/>
      <c r="V114"/>
      <c r="W114"/>
      <c r="X114"/>
      <c r="Y114"/>
      <c r="Z114"/>
      <c r="AA114"/>
      <c r="AB114"/>
      <c r="AC114"/>
    </row>
    <row r="115" spans="1:29" x14ac:dyDescent="0.25">
      <c r="A115"/>
      <c r="B115"/>
      <c r="C115"/>
      <c r="D115"/>
      <c r="E115"/>
      <c r="F115"/>
      <c r="G115"/>
      <c r="H115"/>
      <c r="I115"/>
      <c r="J115"/>
      <c r="K115"/>
      <c r="L115"/>
      <c r="M115"/>
      <c r="N115"/>
      <c r="O115"/>
      <c r="P115"/>
      <c r="Q115"/>
      <c r="R115"/>
      <c r="S115"/>
      <c r="T115"/>
      <c r="U115"/>
      <c r="V115"/>
      <c r="W115"/>
      <c r="X115"/>
      <c r="Y115"/>
      <c r="Z115"/>
      <c r="AA115"/>
      <c r="AB115"/>
      <c r="AC115"/>
    </row>
    <row r="116" spans="1:29" x14ac:dyDescent="0.25">
      <c r="A116"/>
      <c r="B116"/>
      <c r="C116"/>
      <c r="D116"/>
      <c r="E116"/>
      <c r="F116"/>
      <c r="G116"/>
      <c r="H116"/>
      <c r="I116"/>
      <c r="J116"/>
      <c r="K116"/>
      <c r="L116"/>
      <c r="M116"/>
      <c r="N116"/>
      <c r="O116"/>
      <c r="P116"/>
      <c r="Q116"/>
      <c r="R116"/>
      <c r="S116"/>
      <c r="T116"/>
      <c r="U116"/>
      <c r="V116"/>
      <c r="W116"/>
      <c r="X116"/>
      <c r="Y116"/>
      <c r="Z116"/>
      <c r="AA116"/>
      <c r="AB116"/>
      <c r="AC116"/>
    </row>
    <row r="117" spans="1:29" x14ac:dyDescent="0.25">
      <c r="A117"/>
      <c r="B117"/>
      <c r="C117"/>
      <c r="D117"/>
      <c r="E117"/>
      <c r="F117"/>
      <c r="G117"/>
      <c r="H117"/>
      <c r="I117"/>
      <c r="J117"/>
      <c r="K117"/>
      <c r="L117"/>
      <c r="M117"/>
      <c r="N117"/>
      <c r="O117"/>
      <c r="P117"/>
      <c r="Q117"/>
      <c r="R117"/>
      <c r="S117"/>
      <c r="T117"/>
      <c r="U117"/>
      <c r="V117"/>
      <c r="W117"/>
      <c r="X117"/>
      <c r="Y117"/>
      <c r="Z117"/>
      <c r="AA117"/>
      <c r="AB117"/>
      <c r="AC117"/>
    </row>
    <row r="118" spans="1:29" x14ac:dyDescent="0.25">
      <c r="A118"/>
      <c r="B118"/>
      <c r="C118"/>
      <c r="D118"/>
      <c r="E118"/>
      <c r="F118"/>
      <c r="G118"/>
      <c r="H118"/>
      <c r="I118"/>
      <c r="J118"/>
      <c r="K118"/>
      <c r="L118"/>
      <c r="M118"/>
      <c r="N118"/>
      <c r="O118"/>
      <c r="P118"/>
      <c r="Q118"/>
      <c r="R118"/>
      <c r="S118"/>
      <c r="T118"/>
      <c r="U118"/>
      <c r="V118"/>
      <c r="W118"/>
      <c r="X118"/>
      <c r="Y118"/>
      <c r="Z118"/>
      <c r="AA118"/>
      <c r="AB118"/>
      <c r="AC118"/>
    </row>
    <row r="119" spans="1:29" x14ac:dyDescent="0.25">
      <c r="A119"/>
      <c r="B119"/>
      <c r="C119"/>
      <c r="D119"/>
      <c r="E119"/>
      <c r="F119"/>
      <c r="G119"/>
      <c r="H119"/>
      <c r="I119"/>
      <c r="J119"/>
      <c r="K119"/>
      <c r="L119"/>
      <c r="M119"/>
      <c r="N119"/>
      <c r="O119"/>
      <c r="P119"/>
      <c r="Q119"/>
      <c r="R119"/>
      <c r="S119"/>
      <c r="T119"/>
      <c r="U119"/>
      <c r="V119"/>
      <c r="W119"/>
      <c r="X119"/>
      <c r="Y119"/>
      <c r="Z119"/>
      <c r="AA119"/>
      <c r="AB119"/>
      <c r="AC119"/>
    </row>
    <row r="120" spans="1:29" x14ac:dyDescent="0.25">
      <c r="A120"/>
      <c r="B120"/>
      <c r="C120"/>
      <c r="D120"/>
      <c r="E120"/>
      <c r="F120"/>
      <c r="G120"/>
      <c r="H120"/>
      <c r="I120"/>
      <c r="J120"/>
      <c r="K120"/>
      <c r="L120"/>
      <c r="M120"/>
      <c r="N120"/>
      <c r="O120"/>
      <c r="P120"/>
      <c r="Q120"/>
      <c r="R120"/>
      <c r="S120"/>
      <c r="T120"/>
      <c r="U120"/>
      <c r="V120"/>
      <c r="W120"/>
      <c r="X120"/>
      <c r="Y120"/>
      <c r="Z120"/>
      <c r="AA120"/>
      <c r="AB120"/>
      <c r="AC120"/>
    </row>
    <row r="121" spans="1:29" x14ac:dyDescent="0.25">
      <c r="A121"/>
      <c r="B121"/>
      <c r="C121"/>
      <c r="D121"/>
      <c r="E121"/>
      <c r="F121"/>
      <c r="G121"/>
      <c r="H121"/>
      <c r="I121"/>
      <c r="J121"/>
      <c r="K121"/>
      <c r="L121"/>
      <c r="M121"/>
      <c r="N121"/>
      <c r="O121"/>
      <c r="P121"/>
      <c r="Q121"/>
      <c r="R121"/>
      <c r="S121"/>
      <c r="T121"/>
      <c r="U121"/>
      <c r="V121"/>
      <c r="W121"/>
      <c r="X121"/>
      <c r="Y121"/>
      <c r="Z121"/>
      <c r="AA121"/>
      <c r="AB121"/>
      <c r="AC121"/>
    </row>
    <row r="122" spans="1:29" x14ac:dyDescent="0.25">
      <c r="A122"/>
      <c r="B122"/>
      <c r="C122"/>
      <c r="D122"/>
      <c r="E122"/>
      <c r="F122"/>
      <c r="G122"/>
      <c r="H122"/>
      <c r="I122"/>
      <c r="J122"/>
      <c r="K122"/>
      <c r="L122"/>
      <c r="M122"/>
      <c r="N122"/>
      <c r="O122"/>
      <c r="P122"/>
      <c r="Q122"/>
      <c r="R122"/>
      <c r="S122"/>
      <c r="T122"/>
      <c r="U122"/>
      <c r="V122"/>
      <c r="W122"/>
      <c r="X122"/>
      <c r="Y122"/>
      <c r="Z122"/>
      <c r="AA122"/>
      <c r="AB122"/>
      <c r="AC122"/>
    </row>
    <row r="123" spans="1:29" x14ac:dyDescent="0.25">
      <c r="A123"/>
      <c r="B123"/>
      <c r="C123"/>
      <c r="D123"/>
      <c r="E123"/>
      <c r="F123"/>
      <c r="G123"/>
      <c r="H123"/>
      <c r="I123"/>
      <c r="J123"/>
      <c r="K123"/>
      <c r="L123"/>
      <c r="M123"/>
      <c r="N123"/>
      <c r="O123"/>
      <c r="P123"/>
      <c r="Q123"/>
      <c r="R123"/>
      <c r="S123"/>
      <c r="T123"/>
      <c r="U123"/>
      <c r="V123"/>
      <c r="W123"/>
      <c r="X123"/>
      <c r="Y123"/>
      <c r="Z123"/>
      <c r="AA123"/>
      <c r="AB123"/>
      <c r="AC123"/>
    </row>
    <row r="124" spans="1:29" x14ac:dyDescent="0.25">
      <c r="A124"/>
      <c r="B124"/>
      <c r="C124"/>
      <c r="D124"/>
      <c r="E124"/>
      <c r="F124"/>
      <c r="G124"/>
      <c r="H124"/>
      <c r="I124"/>
      <c r="J124"/>
      <c r="K124"/>
      <c r="L124"/>
      <c r="M124"/>
      <c r="N124"/>
      <c r="O124"/>
      <c r="P124"/>
      <c r="Q124"/>
      <c r="R124"/>
      <c r="S124"/>
      <c r="T124"/>
      <c r="U124"/>
      <c r="V124"/>
      <c r="W124"/>
      <c r="X124"/>
      <c r="Y124"/>
      <c r="Z124"/>
      <c r="AA124"/>
      <c r="AB124"/>
      <c r="AC124"/>
    </row>
    <row r="125" spans="1:29" x14ac:dyDescent="0.25">
      <c r="A125"/>
      <c r="B125"/>
      <c r="C125"/>
      <c r="D125"/>
      <c r="E125"/>
      <c r="F125"/>
      <c r="G125"/>
      <c r="H125"/>
      <c r="I125"/>
      <c r="J125"/>
      <c r="K125"/>
      <c r="L125"/>
      <c r="M125"/>
      <c r="N125"/>
      <c r="O125"/>
      <c r="P125"/>
      <c r="Q125"/>
      <c r="R125"/>
      <c r="S125"/>
      <c r="T125"/>
      <c r="U125"/>
      <c r="V125"/>
      <c r="W125"/>
      <c r="X125"/>
      <c r="Y125"/>
      <c r="Z125"/>
      <c r="AA125"/>
      <c r="AB125"/>
      <c r="AC125"/>
    </row>
    <row r="126" spans="1:29" x14ac:dyDescent="0.25">
      <c r="A126"/>
      <c r="B126"/>
      <c r="C126"/>
      <c r="D126"/>
      <c r="E126"/>
      <c r="F126"/>
      <c r="G126"/>
      <c r="H126"/>
      <c r="I126"/>
      <c r="J126"/>
      <c r="K126"/>
      <c r="L126"/>
      <c r="M126"/>
      <c r="N126"/>
      <c r="O126"/>
      <c r="P126"/>
      <c r="Q126"/>
      <c r="R126"/>
      <c r="S126"/>
      <c r="T126"/>
      <c r="U126"/>
      <c r="V126"/>
      <c r="W126"/>
      <c r="X126"/>
      <c r="Y126"/>
      <c r="Z126"/>
      <c r="AA126"/>
      <c r="AB126"/>
      <c r="AC126"/>
    </row>
    <row r="127" spans="1:29" x14ac:dyDescent="0.25">
      <c r="A127"/>
      <c r="B127"/>
      <c r="C127"/>
      <c r="D127"/>
      <c r="E127"/>
      <c r="F127"/>
      <c r="G127"/>
      <c r="H127"/>
      <c r="I127"/>
      <c r="J127"/>
      <c r="K127"/>
      <c r="L127"/>
      <c r="M127"/>
      <c r="N127"/>
      <c r="O127"/>
      <c r="P127"/>
      <c r="Q127"/>
      <c r="R127"/>
      <c r="S127"/>
      <c r="T127"/>
      <c r="U127"/>
      <c r="V127"/>
      <c r="W127"/>
      <c r="X127"/>
      <c r="Y127"/>
      <c r="Z127"/>
      <c r="AA127"/>
      <c r="AB127"/>
      <c r="AC127"/>
    </row>
    <row r="128" spans="1:29" x14ac:dyDescent="0.25">
      <c r="A128"/>
      <c r="B128"/>
      <c r="C128"/>
      <c r="D128"/>
      <c r="E128"/>
      <c r="F128"/>
      <c r="G128"/>
      <c r="H128"/>
      <c r="I128"/>
      <c r="J128"/>
      <c r="K128"/>
      <c r="L128"/>
      <c r="M128"/>
      <c r="N128"/>
      <c r="O128"/>
      <c r="P128"/>
      <c r="Q128"/>
      <c r="R128"/>
      <c r="S128"/>
      <c r="T128"/>
      <c r="U128"/>
      <c r="V128"/>
      <c r="W128"/>
      <c r="X128"/>
      <c r="Y128"/>
      <c r="Z128"/>
      <c r="AA128"/>
      <c r="AB128"/>
      <c r="AC128"/>
    </row>
    <row r="129" spans="1:29" x14ac:dyDescent="0.25">
      <c r="A129"/>
      <c r="B129"/>
      <c r="C129"/>
      <c r="D129"/>
      <c r="E129"/>
      <c r="F129"/>
      <c r="G129"/>
      <c r="H129"/>
      <c r="I129"/>
      <c r="J129"/>
      <c r="K129"/>
      <c r="L129"/>
      <c r="M129"/>
      <c r="N129"/>
      <c r="O129"/>
      <c r="P129"/>
      <c r="Q129"/>
      <c r="R129"/>
      <c r="S129"/>
      <c r="T129"/>
      <c r="U129"/>
      <c r="V129"/>
      <c r="W129"/>
      <c r="X129"/>
      <c r="Y129"/>
      <c r="Z129"/>
      <c r="AA129"/>
      <c r="AB129"/>
      <c r="AC129"/>
    </row>
    <row r="130" spans="1:29" x14ac:dyDescent="0.25">
      <c r="A130"/>
      <c r="B130"/>
      <c r="C130"/>
      <c r="D130"/>
      <c r="E130"/>
      <c r="F130"/>
      <c r="G130"/>
      <c r="H130"/>
      <c r="I130"/>
      <c r="J130"/>
      <c r="K130"/>
      <c r="L130"/>
      <c r="M130"/>
      <c r="N130"/>
      <c r="O130"/>
      <c r="P130"/>
      <c r="Q130"/>
      <c r="R130"/>
      <c r="S130"/>
      <c r="T130"/>
      <c r="U130"/>
      <c r="V130"/>
      <c r="W130"/>
      <c r="X130"/>
      <c r="Y130"/>
      <c r="Z130"/>
      <c r="AA130"/>
      <c r="AB130"/>
      <c r="AC130"/>
    </row>
    <row r="131" spans="1:29" x14ac:dyDescent="0.25">
      <c r="A131"/>
      <c r="B131"/>
      <c r="C131"/>
      <c r="D131"/>
      <c r="E131"/>
      <c r="F131"/>
      <c r="G131"/>
      <c r="H131"/>
      <c r="I131"/>
      <c r="J131"/>
      <c r="K131"/>
      <c r="L131"/>
      <c r="M131"/>
      <c r="N131"/>
      <c r="O131"/>
      <c r="P131"/>
      <c r="Q131"/>
      <c r="R131"/>
      <c r="S131"/>
      <c r="T131"/>
      <c r="U131"/>
      <c r="V131"/>
      <c r="W131"/>
      <c r="X131"/>
      <c r="Y131"/>
      <c r="Z131"/>
      <c r="AA131"/>
      <c r="AB131"/>
      <c r="AC131"/>
    </row>
    <row r="132" spans="1:29" x14ac:dyDescent="0.25">
      <c r="A132"/>
      <c r="B132"/>
      <c r="C132"/>
      <c r="D132"/>
      <c r="E132"/>
      <c r="F132"/>
      <c r="G132"/>
      <c r="H132"/>
      <c r="I132"/>
      <c r="J132"/>
      <c r="K132"/>
      <c r="L132"/>
      <c r="M132"/>
      <c r="N132"/>
      <c r="O132"/>
      <c r="P132"/>
      <c r="Q132"/>
      <c r="R132"/>
      <c r="S132"/>
      <c r="T132"/>
      <c r="U132"/>
      <c r="V132"/>
      <c r="W132"/>
      <c r="X132"/>
      <c r="Y132"/>
      <c r="Z132"/>
      <c r="AA132"/>
      <c r="AB132"/>
      <c r="AC132"/>
    </row>
    <row r="133" spans="1:29" x14ac:dyDescent="0.25">
      <c r="A133"/>
      <c r="B133"/>
      <c r="C133"/>
      <c r="D133"/>
      <c r="E133"/>
      <c r="F133"/>
      <c r="G133"/>
      <c r="H133"/>
      <c r="I133"/>
      <c r="J133"/>
      <c r="K133"/>
      <c r="L133"/>
      <c r="M133"/>
      <c r="N133"/>
      <c r="O133"/>
      <c r="P133"/>
      <c r="Q133"/>
      <c r="R133"/>
      <c r="S133"/>
      <c r="T133"/>
      <c r="U133"/>
      <c r="V133"/>
      <c r="W133"/>
      <c r="X133"/>
      <c r="Y133"/>
      <c r="Z133"/>
      <c r="AA133"/>
      <c r="AB133"/>
      <c r="AC133"/>
    </row>
    <row r="134" spans="1:29" x14ac:dyDescent="0.25">
      <c r="A134"/>
      <c r="B134"/>
      <c r="C134"/>
      <c r="D134"/>
      <c r="E134"/>
      <c r="F134"/>
      <c r="G134"/>
      <c r="H134"/>
      <c r="I134"/>
      <c r="J134"/>
      <c r="K134"/>
      <c r="L134"/>
      <c r="M134"/>
      <c r="N134"/>
      <c r="O134"/>
      <c r="P134"/>
      <c r="Q134"/>
      <c r="R134"/>
      <c r="S134"/>
      <c r="T134"/>
      <c r="U134"/>
      <c r="V134"/>
      <c r="W134"/>
      <c r="X134"/>
      <c r="Y134"/>
      <c r="Z134"/>
      <c r="AA134"/>
      <c r="AB134"/>
      <c r="AC134"/>
    </row>
    <row r="135" spans="1:29" x14ac:dyDescent="0.25">
      <c r="A135"/>
      <c r="B135"/>
      <c r="C135"/>
      <c r="D135"/>
      <c r="E135"/>
      <c r="F135"/>
      <c r="G135"/>
      <c r="H135"/>
      <c r="I135"/>
      <c r="J135"/>
      <c r="K135"/>
      <c r="L135"/>
      <c r="M135"/>
      <c r="N135"/>
      <c r="O135"/>
      <c r="P135"/>
      <c r="Q135"/>
      <c r="R135"/>
      <c r="S135"/>
      <c r="T135"/>
      <c r="U135"/>
      <c r="V135"/>
      <c r="W135"/>
      <c r="X135"/>
      <c r="Y135"/>
      <c r="Z135"/>
      <c r="AA135"/>
      <c r="AB135"/>
      <c r="AC135"/>
    </row>
    <row r="136" spans="1:29" x14ac:dyDescent="0.25">
      <c r="A136"/>
      <c r="B136"/>
      <c r="C136"/>
      <c r="D136"/>
      <c r="E136"/>
      <c r="F136"/>
      <c r="G136"/>
      <c r="H136"/>
      <c r="I136"/>
      <c r="J136"/>
      <c r="K136"/>
      <c r="L136"/>
      <c r="M136"/>
      <c r="N136"/>
      <c r="O136"/>
      <c r="P136"/>
      <c r="Q136"/>
      <c r="R136"/>
      <c r="S136"/>
      <c r="T136"/>
      <c r="U136"/>
      <c r="V136"/>
      <c r="W136"/>
      <c r="X136"/>
      <c r="Y136"/>
      <c r="Z136"/>
      <c r="AA136"/>
      <c r="AB136"/>
      <c r="AC136"/>
    </row>
    <row r="137" spans="1:29" x14ac:dyDescent="0.25">
      <c r="A137"/>
      <c r="B137"/>
      <c r="C137"/>
      <c r="D137"/>
      <c r="E137"/>
      <c r="F137"/>
      <c r="G137"/>
      <c r="H137"/>
      <c r="I137"/>
      <c r="J137"/>
      <c r="K137"/>
      <c r="L137"/>
      <c r="M137"/>
      <c r="N137"/>
      <c r="O137"/>
      <c r="P137"/>
      <c r="Q137"/>
      <c r="R137"/>
      <c r="S137"/>
      <c r="T137"/>
      <c r="U137"/>
      <c r="V137"/>
      <c r="W137"/>
      <c r="X137"/>
      <c r="Y137"/>
      <c r="Z137"/>
      <c r="AA137"/>
      <c r="AB137"/>
      <c r="AC137"/>
    </row>
    <row r="138" spans="1:29" x14ac:dyDescent="0.25">
      <c r="A138"/>
      <c r="B138"/>
      <c r="C138"/>
      <c r="D138"/>
      <c r="E138"/>
      <c r="F138"/>
      <c r="G138"/>
      <c r="H138"/>
      <c r="I138"/>
      <c r="J138"/>
      <c r="K138"/>
      <c r="L138"/>
      <c r="M138"/>
      <c r="N138"/>
      <c r="O138"/>
      <c r="P138"/>
      <c r="Q138"/>
      <c r="R138"/>
      <c r="S138"/>
      <c r="T138"/>
      <c r="U138"/>
      <c r="V138"/>
      <c r="W138"/>
      <c r="X138"/>
      <c r="Y138"/>
      <c r="Z138"/>
      <c r="AA138"/>
      <c r="AB138"/>
      <c r="AC138"/>
    </row>
    <row r="139" spans="1:29" x14ac:dyDescent="0.25">
      <c r="A139"/>
      <c r="B139"/>
      <c r="C139"/>
      <c r="D139"/>
      <c r="E139"/>
      <c r="F139"/>
      <c r="G139"/>
      <c r="H139"/>
      <c r="I139"/>
      <c r="J139"/>
      <c r="K139"/>
      <c r="L139"/>
      <c r="M139"/>
      <c r="N139"/>
      <c r="O139"/>
      <c r="P139"/>
      <c r="Q139"/>
      <c r="R139"/>
      <c r="S139"/>
      <c r="T139"/>
      <c r="U139"/>
      <c r="V139"/>
      <c r="W139"/>
      <c r="X139"/>
      <c r="Y139"/>
      <c r="Z139"/>
      <c r="AA139"/>
      <c r="AB139"/>
      <c r="AC139"/>
    </row>
    <row r="140" spans="1:29" x14ac:dyDescent="0.25">
      <c r="A140"/>
      <c r="B140"/>
      <c r="C140"/>
      <c r="D140"/>
      <c r="E140"/>
      <c r="F140"/>
      <c r="G140"/>
      <c r="H140"/>
      <c r="I140"/>
      <c r="J140"/>
      <c r="K140"/>
      <c r="L140"/>
      <c r="M140"/>
      <c r="N140"/>
      <c r="O140"/>
      <c r="P140"/>
      <c r="Q140"/>
      <c r="R140"/>
      <c r="S140"/>
      <c r="T140"/>
      <c r="U140"/>
      <c r="V140"/>
      <c r="W140"/>
      <c r="X140"/>
      <c r="Y140"/>
      <c r="Z140"/>
      <c r="AA140"/>
      <c r="AB140"/>
      <c r="AC140"/>
    </row>
    <row r="141" spans="1:29" x14ac:dyDescent="0.25">
      <c r="A141"/>
      <c r="B141"/>
      <c r="C141"/>
      <c r="D141"/>
      <c r="E141"/>
      <c r="F141"/>
      <c r="G141"/>
      <c r="H141"/>
      <c r="I141"/>
      <c r="J141"/>
      <c r="K141"/>
      <c r="L141"/>
      <c r="M141"/>
      <c r="N141"/>
      <c r="O141"/>
      <c r="P141"/>
      <c r="Q141"/>
      <c r="R141"/>
      <c r="S141"/>
      <c r="T141"/>
      <c r="U141"/>
      <c r="V141"/>
      <c r="W141"/>
      <c r="X141"/>
      <c r="Y141"/>
      <c r="Z141"/>
      <c r="AA141"/>
      <c r="AB141"/>
      <c r="AC141"/>
    </row>
    <row r="142" spans="1:29" x14ac:dyDescent="0.25">
      <c r="A142"/>
      <c r="B142"/>
      <c r="C142"/>
      <c r="D142"/>
      <c r="E142"/>
      <c r="F142"/>
      <c r="G142"/>
      <c r="H142"/>
      <c r="I142"/>
      <c r="J142"/>
      <c r="K142"/>
      <c r="L142"/>
      <c r="M142"/>
      <c r="N142"/>
      <c r="O142"/>
      <c r="P142"/>
      <c r="Q142"/>
      <c r="R142"/>
      <c r="S142"/>
      <c r="T142"/>
      <c r="U142"/>
      <c r="V142"/>
      <c r="W142"/>
      <c r="X142"/>
      <c r="Y142"/>
      <c r="Z142"/>
      <c r="AA142"/>
      <c r="AB142"/>
      <c r="AC142"/>
    </row>
    <row r="143" spans="1:29" x14ac:dyDescent="0.25">
      <c r="A143"/>
      <c r="B143"/>
      <c r="C143"/>
      <c r="D143"/>
      <c r="E143"/>
      <c r="F143"/>
      <c r="G143"/>
      <c r="H143"/>
      <c r="I143"/>
      <c r="J143"/>
      <c r="K143"/>
      <c r="L143"/>
      <c r="M143"/>
      <c r="N143"/>
      <c r="O143"/>
      <c r="P143"/>
      <c r="Q143"/>
      <c r="R143"/>
      <c r="S143"/>
      <c r="T143"/>
      <c r="U143"/>
      <c r="V143"/>
      <c r="W143"/>
      <c r="X143"/>
      <c r="Y143"/>
      <c r="Z143"/>
      <c r="AA143"/>
      <c r="AB143"/>
      <c r="AC143"/>
    </row>
    <row r="144" spans="1:29" x14ac:dyDescent="0.25">
      <c r="A144"/>
      <c r="B144"/>
      <c r="C144"/>
      <c r="D144"/>
      <c r="E144"/>
      <c r="F144"/>
      <c r="G144"/>
      <c r="H144"/>
      <c r="I144"/>
      <c r="J144"/>
      <c r="K144"/>
      <c r="L144"/>
      <c r="M144"/>
      <c r="N144"/>
      <c r="O144"/>
      <c r="P144"/>
      <c r="Q144"/>
      <c r="R144"/>
      <c r="S144"/>
      <c r="T144"/>
      <c r="U144"/>
      <c r="V144"/>
      <c r="W144"/>
      <c r="X144"/>
      <c r="Y144"/>
      <c r="Z144"/>
      <c r="AA144"/>
      <c r="AB144"/>
      <c r="AC144"/>
    </row>
    <row r="145" spans="1:29" x14ac:dyDescent="0.25">
      <c r="A145"/>
      <c r="B145"/>
      <c r="C145"/>
      <c r="D145"/>
      <c r="E145"/>
      <c r="F145"/>
      <c r="G145"/>
      <c r="H145"/>
      <c r="I145"/>
      <c r="J145"/>
      <c r="K145"/>
      <c r="L145"/>
      <c r="M145"/>
      <c r="N145"/>
      <c r="O145"/>
      <c r="P145"/>
      <c r="Q145"/>
      <c r="R145"/>
      <c r="S145"/>
      <c r="T145"/>
      <c r="U145"/>
      <c r="V145"/>
      <c r="W145"/>
      <c r="X145"/>
      <c r="Y145"/>
      <c r="Z145"/>
      <c r="AA145"/>
      <c r="AB145"/>
      <c r="AC145"/>
    </row>
    <row r="146" spans="1:29" x14ac:dyDescent="0.25">
      <c r="A146"/>
      <c r="B146"/>
      <c r="C146"/>
      <c r="D146"/>
      <c r="E146"/>
      <c r="F146"/>
      <c r="G146"/>
      <c r="H146"/>
      <c r="I146"/>
      <c r="J146"/>
      <c r="K146"/>
      <c r="L146"/>
      <c r="M146"/>
      <c r="N146"/>
      <c r="O146"/>
      <c r="P146"/>
      <c r="Q146"/>
      <c r="R146"/>
      <c r="S146"/>
      <c r="T146"/>
      <c r="U146"/>
      <c r="V146"/>
      <c r="W146"/>
      <c r="X146"/>
      <c r="Y146"/>
      <c r="Z146"/>
      <c r="AA146"/>
      <c r="AB146"/>
      <c r="AC146"/>
    </row>
    <row r="147" spans="1:29" x14ac:dyDescent="0.25">
      <c r="A147"/>
      <c r="B147"/>
      <c r="C147"/>
      <c r="D147"/>
      <c r="E147"/>
      <c r="F147"/>
      <c r="G147"/>
      <c r="H147"/>
      <c r="I147"/>
      <c r="J147"/>
      <c r="K147"/>
      <c r="L147"/>
      <c r="M147"/>
      <c r="N147"/>
      <c r="O147"/>
      <c r="P147"/>
      <c r="Q147"/>
      <c r="R147"/>
      <c r="S147"/>
      <c r="T147"/>
      <c r="U147"/>
      <c r="V147"/>
      <c r="W147"/>
      <c r="X147"/>
      <c r="Y147"/>
      <c r="Z147"/>
      <c r="AA147"/>
      <c r="AB147"/>
      <c r="AC147"/>
    </row>
    <row r="148" spans="1:29" x14ac:dyDescent="0.25">
      <c r="A148"/>
      <c r="B148"/>
      <c r="C148"/>
      <c r="D148"/>
      <c r="E148"/>
      <c r="F148"/>
      <c r="G148"/>
      <c r="H148"/>
      <c r="I148"/>
      <c r="J148"/>
      <c r="K148"/>
      <c r="L148"/>
      <c r="M148"/>
      <c r="N148"/>
      <c r="O148"/>
      <c r="P148"/>
      <c r="Q148"/>
      <c r="R148"/>
      <c r="S148"/>
      <c r="T148"/>
      <c r="U148"/>
      <c r="V148"/>
      <c r="W148"/>
      <c r="X148"/>
      <c r="Y148"/>
      <c r="Z148"/>
      <c r="AA148"/>
      <c r="AB148"/>
      <c r="AC148"/>
    </row>
    <row r="149" spans="1:29" x14ac:dyDescent="0.25">
      <c r="A149"/>
      <c r="B149"/>
      <c r="C149"/>
      <c r="D149"/>
      <c r="E149"/>
      <c r="F149"/>
      <c r="G149"/>
      <c r="H149"/>
      <c r="I149"/>
      <c r="J149"/>
      <c r="K149"/>
      <c r="L149"/>
      <c r="M149"/>
      <c r="N149"/>
      <c r="O149"/>
      <c r="P149"/>
      <c r="Q149"/>
      <c r="R149"/>
      <c r="S149"/>
      <c r="T149"/>
      <c r="U149"/>
      <c r="V149"/>
      <c r="W149"/>
      <c r="X149"/>
      <c r="Y149"/>
      <c r="Z149"/>
      <c r="AA149"/>
      <c r="AB149"/>
      <c r="AC149"/>
    </row>
    <row r="150" spans="1:29" x14ac:dyDescent="0.25">
      <c r="A150"/>
      <c r="B150"/>
      <c r="C150"/>
      <c r="D150"/>
      <c r="E150"/>
      <c r="F150"/>
      <c r="G150"/>
      <c r="H150"/>
      <c r="I150"/>
      <c r="J150"/>
      <c r="K150"/>
      <c r="L150"/>
      <c r="M150"/>
      <c r="N150"/>
      <c r="O150"/>
      <c r="P150"/>
      <c r="Q150"/>
      <c r="R150"/>
      <c r="S150"/>
      <c r="T150"/>
      <c r="U150"/>
      <c r="V150"/>
      <c r="W150"/>
      <c r="X150"/>
      <c r="Y150"/>
      <c r="Z150"/>
      <c r="AA150"/>
      <c r="AB150"/>
      <c r="AC150"/>
    </row>
    <row r="151" spans="1:29" x14ac:dyDescent="0.25">
      <c r="A151"/>
      <c r="B151"/>
      <c r="C151"/>
      <c r="D151"/>
      <c r="E151"/>
      <c r="F151"/>
      <c r="G151"/>
      <c r="H151"/>
      <c r="I151"/>
      <c r="J151"/>
      <c r="K151"/>
      <c r="L151"/>
      <c r="M151"/>
      <c r="N151"/>
      <c r="O151"/>
      <c r="P151"/>
      <c r="Q151"/>
      <c r="R151"/>
      <c r="S151"/>
      <c r="T151"/>
      <c r="U151"/>
      <c r="V151"/>
      <c r="W151"/>
      <c r="X151"/>
      <c r="Y151"/>
      <c r="Z151"/>
      <c r="AA151"/>
      <c r="AB151"/>
      <c r="AC151"/>
    </row>
    <row r="152" spans="1:29" x14ac:dyDescent="0.25">
      <c r="A152"/>
      <c r="B152"/>
      <c r="C152"/>
      <c r="D152"/>
      <c r="E152"/>
      <c r="F152"/>
      <c r="G152"/>
      <c r="H152"/>
      <c r="I152"/>
      <c r="J152"/>
      <c r="K152"/>
      <c r="L152"/>
      <c r="M152"/>
      <c r="N152"/>
      <c r="O152"/>
      <c r="P152"/>
      <c r="Q152"/>
      <c r="R152"/>
      <c r="S152"/>
      <c r="T152"/>
      <c r="U152"/>
      <c r="V152"/>
      <c r="W152"/>
      <c r="X152"/>
      <c r="Y152"/>
      <c r="Z152"/>
      <c r="AA152"/>
      <c r="AB152"/>
      <c r="AC152"/>
    </row>
    <row r="153" spans="1:29" x14ac:dyDescent="0.25">
      <c r="A153"/>
      <c r="B153"/>
      <c r="C153"/>
      <c r="D153"/>
      <c r="E153"/>
      <c r="F153"/>
      <c r="G153"/>
      <c r="H153"/>
      <c r="I153"/>
      <c r="J153"/>
      <c r="K153"/>
      <c r="L153"/>
      <c r="M153"/>
      <c r="N153"/>
      <c r="O153"/>
      <c r="P153"/>
      <c r="Q153"/>
      <c r="R153"/>
      <c r="S153"/>
      <c r="T153"/>
      <c r="U153"/>
      <c r="V153"/>
      <c r="W153"/>
      <c r="X153"/>
      <c r="Y153"/>
      <c r="Z153"/>
      <c r="AA153"/>
      <c r="AB153"/>
      <c r="AC153"/>
    </row>
    <row r="154" spans="1:29" x14ac:dyDescent="0.25">
      <c r="A154"/>
      <c r="B154"/>
      <c r="C154"/>
      <c r="D154"/>
      <c r="E154"/>
      <c r="F154"/>
      <c r="G154"/>
      <c r="H154"/>
      <c r="I154"/>
      <c r="J154"/>
      <c r="K154"/>
      <c r="L154"/>
      <c r="M154"/>
      <c r="N154"/>
      <c r="O154"/>
      <c r="P154"/>
      <c r="Q154"/>
      <c r="R154"/>
      <c r="S154"/>
      <c r="T154"/>
      <c r="U154"/>
      <c r="V154"/>
      <c r="W154"/>
      <c r="X154"/>
      <c r="Y154"/>
      <c r="Z154"/>
      <c r="AA154"/>
      <c r="AB154"/>
      <c r="AC154"/>
    </row>
    <row r="155" spans="1:29" x14ac:dyDescent="0.25">
      <c r="A155"/>
      <c r="B155"/>
      <c r="C155"/>
      <c r="D155"/>
      <c r="E155"/>
      <c r="F155"/>
      <c r="G155"/>
      <c r="H155"/>
      <c r="I155"/>
      <c r="J155"/>
      <c r="K155"/>
      <c r="L155"/>
      <c r="M155"/>
      <c r="N155"/>
      <c r="O155"/>
      <c r="P155"/>
      <c r="Q155"/>
      <c r="R155"/>
      <c r="S155"/>
      <c r="T155"/>
      <c r="U155"/>
      <c r="V155"/>
      <c r="W155"/>
      <c r="X155"/>
      <c r="Y155"/>
      <c r="Z155"/>
      <c r="AA155"/>
      <c r="AB155"/>
      <c r="AC155"/>
    </row>
    <row r="156" spans="1:29" x14ac:dyDescent="0.25">
      <c r="A156"/>
      <c r="B156"/>
      <c r="C156"/>
      <c r="D156"/>
      <c r="E156"/>
      <c r="F156"/>
      <c r="G156"/>
      <c r="H156"/>
      <c r="I156"/>
      <c r="J156"/>
      <c r="K156"/>
      <c r="L156"/>
      <c r="M156"/>
      <c r="N156"/>
      <c r="O156"/>
      <c r="P156"/>
      <c r="Q156"/>
      <c r="R156"/>
      <c r="S156"/>
      <c r="T156"/>
      <c r="U156"/>
      <c r="V156"/>
      <c r="W156"/>
      <c r="X156"/>
      <c r="Y156"/>
      <c r="Z156"/>
      <c r="AA156"/>
      <c r="AB156"/>
      <c r="AC156"/>
    </row>
    <row r="157" spans="1:29" x14ac:dyDescent="0.25">
      <c r="A157"/>
      <c r="B157"/>
      <c r="C157"/>
      <c r="D157"/>
      <c r="E157"/>
      <c r="F157"/>
      <c r="G157"/>
      <c r="H157"/>
      <c r="I157"/>
      <c r="J157"/>
      <c r="K157"/>
      <c r="L157"/>
      <c r="M157"/>
      <c r="N157"/>
      <c r="O157"/>
      <c r="P157"/>
      <c r="Q157"/>
      <c r="R157"/>
      <c r="S157"/>
      <c r="T157"/>
      <c r="U157"/>
      <c r="V157"/>
      <c r="W157"/>
      <c r="X157"/>
      <c r="Y157"/>
      <c r="Z157"/>
      <c r="AA157"/>
      <c r="AB157"/>
      <c r="AC157"/>
    </row>
    <row r="158" spans="1:29" x14ac:dyDescent="0.25">
      <c r="A158"/>
      <c r="B158"/>
      <c r="C158"/>
      <c r="D158"/>
      <c r="E158"/>
      <c r="F158"/>
      <c r="G158"/>
      <c r="H158"/>
      <c r="I158"/>
      <c r="J158"/>
      <c r="K158"/>
      <c r="L158"/>
      <c r="M158"/>
      <c r="N158"/>
      <c r="O158"/>
      <c r="P158"/>
      <c r="Q158"/>
      <c r="R158"/>
      <c r="S158"/>
      <c r="T158"/>
      <c r="U158"/>
      <c r="V158"/>
      <c r="W158"/>
      <c r="X158"/>
      <c r="Y158"/>
      <c r="Z158"/>
      <c r="AA158"/>
      <c r="AB158"/>
      <c r="AC158"/>
    </row>
    <row r="159" spans="1:29" x14ac:dyDescent="0.25">
      <c r="A159"/>
      <c r="B159"/>
      <c r="C159"/>
      <c r="D159"/>
      <c r="E159"/>
      <c r="F159"/>
      <c r="G159"/>
      <c r="H159"/>
      <c r="I159"/>
      <c r="J159"/>
      <c r="K159"/>
      <c r="L159"/>
      <c r="M159"/>
      <c r="N159"/>
      <c r="O159"/>
      <c r="P159"/>
      <c r="Q159"/>
      <c r="R159"/>
      <c r="S159"/>
      <c r="T159"/>
      <c r="U159"/>
      <c r="V159"/>
      <c r="W159"/>
      <c r="X159"/>
      <c r="Y159"/>
      <c r="Z159"/>
      <c r="AA159"/>
      <c r="AB159"/>
      <c r="AC159"/>
    </row>
    <row r="160" spans="1:29" x14ac:dyDescent="0.25">
      <c r="A160"/>
      <c r="B160"/>
      <c r="C160"/>
      <c r="D160"/>
      <c r="E160"/>
      <c r="F160"/>
      <c r="G160"/>
      <c r="H160"/>
      <c r="I160"/>
      <c r="J160"/>
      <c r="K160"/>
      <c r="L160"/>
      <c r="M160"/>
      <c r="N160"/>
      <c r="O160"/>
      <c r="P160"/>
      <c r="Q160"/>
      <c r="R160"/>
      <c r="S160"/>
      <c r="T160"/>
      <c r="U160"/>
      <c r="V160"/>
      <c r="W160"/>
      <c r="X160"/>
      <c r="Y160"/>
      <c r="Z160"/>
      <c r="AA160"/>
      <c r="AB160"/>
      <c r="AC160"/>
    </row>
    <row r="161" spans="1:29" x14ac:dyDescent="0.25">
      <c r="A161"/>
      <c r="B161"/>
      <c r="C161"/>
      <c r="D161"/>
      <c r="E161"/>
      <c r="F161"/>
      <c r="G161"/>
      <c r="H161"/>
      <c r="I161"/>
      <c r="J161"/>
      <c r="K161"/>
      <c r="L161"/>
      <c r="M161"/>
      <c r="N161"/>
      <c r="O161"/>
      <c r="P161"/>
      <c r="Q161"/>
      <c r="R161"/>
      <c r="S161"/>
      <c r="T161"/>
      <c r="U161"/>
      <c r="V161"/>
      <c r="W161"/>
      <c r="X161"/>
      <c r="Y161"/>
      <c r="Z161"/>
      <c r="AA161"/>
      <c r="AB161"/>
      <c r="AC161"/>
    </row>
    <row r="162" spans="1:29" x14ac:dyDescent="0.25">
      <c r="A162"/>
      <c r="B162"/>
      <c r="C162"/>
      <c r="D162"/>
      <c r="E162"/>
      <c r="F162"/>
      <c r="G162"/>
      <c r="H162"/>
      <c r="I162"/>
      <c r="J162"/>
      <c r="K162"/>
      <c r="L162"/>
      <c r="M162"/>
      <c r="N162"/>
      <c r="O162"/>
      <c r="P162"/>
      <c r="Q162"/>
      <c r="R162"/>
      <c r="S162"/>
      <c r="T162"/>
      <c r="U162"/>
      <c r="V162"/>
      <c r="W162"/>
      <c r="X162"/>
      <c r="Y162"/>
      <c r="Z162"/>
      <c r="AA162"/>
      <c r="AB162"/>
      <c r="AC162"/>
    </row>
    <row r="163" spans="1:29" x14ac:dyDescent="0.25">
      <c r="A163"/>
      <c r="B163"/>
      <c r="C163"/>
      <c r="D163"/>
      <c r="E163"/>
      <c r="F163"/>
      <c r="G163"/>
      <c r="H163"/>
      <c r="I163"/>
      <c r="J163"/>
      <c r="K163"/>
      <c r="L163"/>
      <c r="M163"/>
      <c r="N163"/>
      <c r="O163"/>
      <c r="P163"/>
      <c r="Q163"/>
      <c r="R163"/>
      <c r="S163"/>
      <c r="T163"/>
      <c r="U163"/>
      <c r="V163"/>
      <c r="W163"/>
      <c r="X163"/>
      <c r="Y163"/>
      <c r="Z163"/>
      <c r="AA163"/>
      <c r="AB163"/>
      <c r="AC163"/>
    </row>
    <row r="164" spans="1:29" x14ac:dyDescent="0.25">
      <c r="A164"/>
      <c r="B164"/>
      <c r="C164"/>
      <c r="D164"/>
      <c r="E164"/>
      <c r="F164"/>
      <c r="G164"/>
      <c r="H164"/>
      <c r="I164"/>
      <c r="J164"/>
      <c r="K164"/>
      <c r="L164"/>
      <c r="M164"/>
      <c r="N164"/>
      <c r="O164"/>
      <c r="P164"/>
      <c r="Q164"/>
      <c r="R164"/>
      <c r="S164"/>
      <c r="T164"/>
      <c r="U164"/>
      <c r="V164"/>
      <c r="W164"/>
      <c r="X164"/>
      <c r="Y164"/>
      <c r="Z164"/>
      <c r="AA164"/>
      <c r="AB164"/>
      <c r="AC164"/>
    </row>
    <row r="165" spans="1:29" x14ac:dyDescent="0.25">
      <c r="A165"/>
      <c r="B165"/>
      <c r="C165"/>
      <c r="D165"/>
      <c r="E165"/>
      <c r="F165"/>
      <c r="G165"/>
      <c r="H165"/>
      <c r="I165"/>
      <c r="J165"/>
      <c r="K165"/>
      <c r="L165"/>
      <c r="M165"/>
      <c r="N165"/>
      <c r="O165"/>
      <c r="P165"/>
      <c r="Q165"/>
      <c r="R165"/>
      <c r="S165"/>
      <c r="T165"/>
      <c r="U165"/>
      <c r="V165"/>
      <c r="W165"/>
      <c r="X165"/>
      <c r="Y165"/>
      <c r="Z165"/>
      <c r="AA165"/>
      <c r="AB165"/>
      <c r="AC165"/>
    </row>
    <row r="166" spans="1:29" x14ac:dyDescent="0.25">
      <c r="A166"/>
      <c r="B166"/>
      <c r="C166"/>
      <c r="D166"/>
      <c r="E166"/>
      <c r="F166"/>
      <c r="G166"/>
      <c r="H166"/>
      <c r="I166"/>
      <c r="J166"/>
      <c r="K166"/>
      <c r="L166"/>
      <c r="M166"/>
      <c r="N166"/>
      <c r="O166"/>
      <c r="P166"/>
      <c r="Q166"/>
      <c r="R166"/>
      <c r="S166"/>
      <c r="T166"/>
      <c r="U166"/>
      <c r="V166"/>
      <c r="W166"/>
      <c r="X166"/>
      <c r="Y166"/>
      <c r="Z166"/>
      <c r="AA166"/>
      <c r="AB166"/>
      <c r="AC166"/>
    </row>
    <row r="167" spans="1:29" x14ac:dyDescent="0.25">
      <c r="A167"/>
      <c r="B167"/>
      <c r="C167"/>
      <c r="D167"/>
      <c r="E167"/>
      <c r="F167"/>
      <c r="G167"/>
      <c r="H167"/>
      <c r="I167"/>
      <c r="J167"/>
      <c r="K167"/>
      <c r="L167"/>
      <c r="M167"/>
      <c r="N167"/>
      <c r="O167"/>
      <c r="P167"/>
      <c r="Q167"/>
      <c r="R167"/>
      <c r="S167"/>
      <c r="T167"/>
      <c r="U167"/>
      <c r="V167"/>
      <c r="W167"/>
      <c r="X167"/>
      <c r="Y167"/>
      <c r="Z167"/>
      <c r="AA167"/>
      <c r="AB167"/>
      <c r="AC167"/>
    </row>
    <row r="168" spans="1:29" x14ac:dyDescent="0.25">
      <c r="A168"/>
      <c r="B168"/>
      <c r="C168"/>
      <c r="D168"/>
      <c r="E168"/>
      <c r="F168"/>
      <c r="G168"/>
      <c r="H168"/>
      <c r="I168"/>
      <c r="J168"/>
      <c r="K168"/>
      <c r="L168"/>
      <c r="M168"/>
      <c r="N168"/>
      <c r="O168"/>
      <c r="P168"/>
      <c r="Q168"/>
      <c r="R168"/>
      <c r="S168"/>
      <c r="T168"/>
      <c r="U168"/>
      <c r="V168"/>
      <c r="W168"/>
      <c r="X168"/>
      <c r="Y168"/>
      <c r="Z168"/>
      <c r="AA168"/>
      <c r="AB168"/>
      <c r="AC168"/>
    </row>
    <row r="169" spans="1:29" x14ac:dyDescent="0.25">
      <c r="A169"/>
      <c r="B169"/>
      <c r="C169"/>
      <c r="D169"/>
      <c r="E169"/>
      <c r="F169"/>
      <c r="G169"/>
      <c r="H169"/>
      <c r="I169"/>
      <c r="J169"/>
      <c r="K169"/>
      <c r="L169"/>
      <c r="M169"/>
      <c r="N169"/>
      <c r="O169"/>
      <c r="P169"/>
      <c r="Q169"/>
      <c r="R169"/>
      <c r="S169"/>
      <c r="T169"/>
      <c r="U169"/>
      <c r="V169"/>
      <c r="W169"/>
      <c r="X169"/>
      <c r="Y169"/>
      <c r="Z169"/>
      <c r="AA169"/>
      <c r="AB169"/>
      <c r="AC169"/>
    </row>
    <row r="170" spans="1:29" x14ac:dyDescent="0.25">
      <c r="A170"/>
      <c r="B170"/>
      <c r="C170"/>
      <c r="D170"/>
      <c r="E170"/>
      <c r="F170"/>
      <c r="G170"/>
      <c r="H170"/>
      <c r="I170"/>
      <c r="J170"/>
      <c r="K170"/>
      <c r="L170"/>
      <c r="M170"/>
      <c r="N170"/>
      <c r="O170"/>
      <c r="P170"/>
      <c r="Q170"/>
      <c r="R170"/>
      <c r="S170"/>
      <c r="T170"/>
      <c r="U170"/>
      <c r="V170"/>
      <c r="W170"/>
      <c r="X170"/>
      <c r="Y170"/>
      <c r="Z170"/>
      <c r="AA170"/>
      <c r="AB170"/>
      <c r="AC170"/>
    </row>
    <row r="171" spans="1:29" x14ac:dyDescent="0.25">
      <c r="A171"/>
      <c r="B171"/>
      <c r="C171"/>
      <c r="D171"/>
      <c r="E171"/>
      <c r="F171"/>
      <c r="G171"/>
      <c r="H171"/>
      <c r="I171"/>
      <c r="J171"/>
      <c r="K171"/>
      <c r="L171"/>
      <c r="M171"/>
      <c r="N171"/>
      <c r="O171"/>
      <c r="P171"/>
      <c r="Q171"/>
      <c r="R171"/>
      <c r="S171"/>
      <c r="T171"/>
      <c r="U171"/>
      <c r="V171"/>
      <c r="W171"/>
      <c r="X171"/>
      <c r="Y171"/>
      <c r="Z171"/>
      <c r="AA171"/>
      <c r="AB171"/>
      <c r="AC171"/>
    </row>
    <row r="172" spans="1:29" x14ac:dyDescent="0.25">
      <c r="A172"/>
      <c r="B172"/>
      <c r="C172"/>
      <c r="D172"/>
      <c r="E172"/>
      <c r="F172"/>
      <c r="G172"/>
      <c r="H172"/>
      <c r="I172"/>
      <c r="J172"/>
      <c r="K172"/>
      <c r="L172"/>
      <c r="M172"/>
      <c r="N172"/>
      <c r="O172"/>
      <c r="P172"/>
      <c r="Q172"/>
      <c r="R172"/>
      <c r="S172"/>
      <c r="T172"/>
      <c r="U172"/>
      <c r="V172"/>
      <c r="W172"/>
      <c r="X172"/>
      <c r="Y172"/>
      <c r="Z172"/>
      <c r="AA172"/>
      <c r="AB172"/>
      <c r="AC172"/>
    </row>
    <row r="173" spans="1:29" x14ac:dyDescent="0.25">
      <c r="A173"/>
      <c r="B173"/>
      <c r="C173"/>
      <c r="D173"/>
      <c r="E173"/>
      <c r="F173"/>
      <c r="G173"/>
      <c r="H173"/>
      <c r="I173"/>
      <c r="J173"/>
      <c r="K173"/>
      <c r="L173"/>
      <c r="M173"/>
      <c r="N173"/>
      <c r="O173"/>
      <c r="P173"/>
      <c r="Q173"/>
      <c r="R173"/>
      <c r="S173"/>
      <c r="T173"/>
      <c r="U173"/>
      <c r="V173"/>
      <c r="W173"/>
      <c r="X173"/>
      <c r="Y173"/>
      <c r="Z173"/>
      <c r="AA173"/>
      <c r="AB173"/>
      <c r="AC173"/>
    </row>
    <row r="174" spans="1:29" x14ac:dyDescent="0.25">
      <c r="A174"/>
      <c r="B174"/>
      <c r="C174"/>
      <c r="D174"/>
      <c r="E174"/>
      <c r="F174"/>
      <c r="G174"/>
      <c r="H174"/>
      <c r="I174"/>
      <c r="J174"/>
      <c r="K174"/>
      <c r="L174"/>
      <c r="M174"/>
      <c r="N174"/>
      <c r="O174"/>
      <c r="P174"/>
      <c r="Q174"/>
      <c r="R174"/>
      <c r="S174"/>
      <c r="T174"/>
      <c r="U174"/>
      <c r="V174"/>
      <c r="W174"/>
      <c r="X174"/>
      <c r="Y174"/>
      <c r="Z174"/>
      <c r="AA174"/>
      <c r="AB174"/>
      <c r="AC174"/>
    </row>
    <row r="175" spans="1:29" x14ac:dyDescent="0.25">
      <c r="A175"/>
      <c r="B175"/>
      <c r="C175"/>
      <c r="D175"/>
      <c r="E175"/>
      <c r="F175"/>
      <c r="G175"/>
      <c r="H175"/>
      <c r="I175"/>
      <c r="J175"/>
      <c r="K175"/>
      <c r="L175"/>
      <c r="M175"/>
      <c r="N175"/>
      <c r="O175"/>
      <c r="P175"/>
      <c r="Q175"/>
      <c r="R175"/>
      <c r="S175"/>
      <c r="T175"/>
      <c r="U175"/>
      <c r="V175"/>
      <c r="W175"/>
      <c r="X175"/>
      <c r="Y175"/>
      <c r="Z175"/>
      <c r="AA175"/>
      <c r="AB175"/>
      <c r="AC175"/>
    </row>
    <row r="176" spans="1:29" x14ac:dyDescent="0.25">
      <c r="A176"/>
      <c r="B176"/>
      <c r="C176"/>
      <c r="D176"/>
      <c r="E176"/>
      <c r="F176"/>
      <c r="G176"/>
      <c r="H176"/>
      <c r="I176"/>
      <c r="J176"/>
      <c r="K176"/>
      <c r="L176"/>
      <c r="M176"/>
      <c r="N176"/>
      <c r="O176"/>
      <c r="P176"/>
      <c r="Q176"/>
      <c r="R176"/>
      <c r="S176"/>
      <c r="T176"/>
      <c r="U176"/>
      <c r="V176"/>
      <c r="W176"/>
      <c r="X176"/>
      <c r="Y176"/>
      <c r="Z176"/>
      <c r="AA176"/>
      <c r="AB176"/>
      <c r="AC176"/>
    </row>
    <row r="177" spans="1:29" x14ac:dyDescent="0.25">
      <c r="A177"/>
      <c r="B177"/>
      <c r="C177"/>
      <c r="D177"/>
      <c r="E177"/>
      <c r="F177"/>
      <c r="G177"/>
      <c r="H177"/>
      <c r="I177"/>
      <c r="J177"/>
      <c r="K177"/>
      <c r="L177"/>
      <c r="M177"/>
      <c r="N177"/>
      <c r="O177"/>
      <c r="P177"/>
      <c r="Q177"/>
      <c r="R177"/>
      <c r="S177"/>
      <c r="T177"/>
      <c r="U177"/>
      <c r="V177"/>
      <c r="W177"/>
      <c r="X177"/>
      <c r="Y177"/>
      <c r="Z177"/>
      <c r="AA177"/>
      <c r="AB177"/>
      <c r="AC177"/>
    </row>
    <row r="178" spans="1:29" x14ac:dyDescent="0.25">
      <c r="A178"/>
      <c r="B178"/>
      <c r="C178"/>
      <c r="D178"/>
      <c r="E178"/>
      <c r="F178"/>
      <c r="G178"/>
      <c r="H178"/>
      <c r="I178"/>
      <c r="J178"/>
      <c r="K178"/>
      <c r="L178"/>
      <c r="M178"/>
      <c r="N178"/>
      <c r="O178"/>
      <c r="P178"/>
      <c r="Q178"/>
      <c r="R178"/>
      <c r="S178"/>
      <c r="T178"/>
      <c r="U178"/>
      <c r="V178"/>
      <c r="W178"/>
      <c r="X178"/>
      <c r="Y178"/>
      <c r="Z178"/>
      <c r="AA178"/>
      <c r="AB178"/>
      <c r="AC178"/>
    </row>
    <row r="179" spans="1:29" x14ac:dyDescent="0.25">
      <c r="A179"/>
      <c r="B179"/>
      <c r="C179"/>
      <c r="D179"/>
      <c r="E179"/>
      <c r="F179"/>
      <c r="G179"/>
      <c r="H179"/>
      <c r="I179"/>
      <c r="J179"/>
      <c r="K179"/>
      <c r="L179"/>
      <c r="M179"/>
      <c r="N179"/>
      <c r="O179"/>
      <c r="P179"/>
      <c r="Q179"/>
      <c r="R179"/>
      <c r="S179"/>
      <c r="T179"/>
      <c r="U179"/>
      <c r="V179"/>
      <c r="W179"/>
      <c r="X179"/>
      <c r="Y179"/>
      <c r="Z179"/>
      <c r="AA179"/>
      <c r="AB179"/>
      <c r="AC179"/>
    </row>
    <row r="180" spans="1:29" x14ac:dyDescent="0.25">
      <c r="A180"/>
      <c r="B180"/>
      <c r="C180"/>
      <c r="D180"/>
      <c r="E180"/>
      <c r="F180"/>
      <c r="G180"/>
      <c r="H180"/>
      <c r="I180"/>
      <c r="J180"/>
      <c r="K180"/>
      <c r="L180"/>
      <c r="M180"/>
      <c r="N180"/>
      <c r="O180"/>
      <c r="P180"/>
      <c r="Q180"/>
      <c r="R180"/>
      <c r="S180"/>
      <c r="T180"/>
      <c r="U180"/>
      <c r="V180"/>
      <c r="W180"/>
      <c r="X180"/>
      <c r="Y180"/>
      <c r="Z180"/>
      <c r="AA180"/>
      <c r="AB180"/>
      <c r="AC180"/>
    </row>
    <row r="181" spans="1:29" x14ac:dyDescent="0.25">
      <c r="A181"/>
      <c r="B181"/>
      <c r="C181"/>
      <c r="D181"/>
      <c r="E181"/>
      <c r="F181"/>
      <c r="G181"/>
      <c r="H181"/>
      <c r="I181"/>
      <c r="J181"/>
      <c r="K181"/>
      <c r="L181"/>
      <c r="M181"/>
      <c r="N181"/>
      <c r="O181"/>
      <c r="P181"/>
      <c r="Q181"/>
      <c r="R181"/>
      <c r="S181"/>
      <c r="T181"/>
      <c r="U181"/>
      <c r="V181"/>
      <c r="W181"/>
      <c r="X181"/>
      <c r="Y181"/>
      <c r="Z181"/>
      <c r="AA181"/>
      <c r="AB181"/>
      <c r="AC181"/>
    </row>
    <row r="182" spans="1:29" x14ac:dyDescent="0.25">
      <c r="A182"/>
      <c r="B182"/>
      <c r="C182"/>
      <c r="D182"/>
      <c r="E182"/>
      <c r="F182"/>
      <c r="G182"/>
      <c r="H182"/>
      <c r="I182"/>
      <c r="J182"/>
      <c r="K182"/>
      <c r="L182"/>
      <c r="M182"/>
      <c r="N182"/>
      <c r="O182"/>
      <c r="P182"/>
      <c r="Q182"/>
      <c r="R182"/>
      <c r="S182"/>
      <c r="T182"/>
      <c r="U182"/>
      <c r="V182"/>
      <c r="W182"/>
      <c r="X182"/>
      <c r="Y182"/>
      <c r="Z182"/>
      <c r="AA182"/>
      <c r="AB182"/>
      <c r="AC182"/>
    </row>
    <row r="183" spans="1:29" x14ac:dyDescent="0.25">
      <c r="A183"/>
      <c r="B183"/>
      <c r="C183"/>
      <c r="D183"/>
      <c r="E183"/>
      <c r="F183"/>
      <c r="G183"/>
      <c r="H183"/>
      <c r="I183"/>
      <c r="J183"/>
      <c r="K183"/>
      <c r="L183"/>
      <c r="M183"/>
      <c r="N183"/>
      <c r="O183"/>
      <c r="P183"/>
      <c r="Q183"/>
      <c r="R183"/>
      <c r="S183"/>
      <c r="T183"/>
      <c r="U183"/>
      <c r="V183"/>
      <c r="W183"/>
      <c r="X183"/>
      <c r="Y183"/>
      <c r="Z183"/>
      <c r="AA183"/>
      <c r="AB183"/>
      <c r="AC183"/>
    </row>
    <row r="184" spans="1:29" x14ac:dyDescent="0.25">
      <c r="A184"/>
      <c r="B184"/>
      <c r="C184"/>
      <c r="D184"/>
      <c r="E184"/>
      <c r="F184"/>
      <c r="G184"/>
      <c r="H184"/>
      <c r="I184"/>
      <c r="J184"/>
      <c r="K184"/>
      <c r="L184"/>
      <c r="M184"/>
      <c r="N184"/>
      <c r="O184"/>
      <c r="P184"/>
      <c r="Q184"/>
      <c r="R184"/>
      <c r="S184"/>
      <c r="T184"/>
      <c r="U184"/>
      <c r="V184"/>
      <c r="W184"/>
      <c r="X184"/>
      <c r="Y184"/>
      <c r="Z184"/>
      <c r="AA184"/>
      <c r="AB184"/>
      <c r="AC184"/>
    </row>
    <row r="185" spans="1:29" x14ac:dyDescent="0.25">
      <c r="A185"/>
      <c r="B185"/>
      <c r="C185"/>
      <c r="D185"/>
      <c r="E185"/>
      <c r="F185"/>
      <c r="G185"/>
      <c r="H185"/>
      <c r="I185"/>
      <c r="J185"/>
      <c r="K185"/>
      <c r="L185"/>
      <c r="M185"/>
      <c r="N185"/>
      <c r="O185"/>
      <c r="P185"/>
      <c r="Q185"/>
      <c r="R185"/>
      <c r="S185"/>
      <c r="T185"/>
      <c r="U185"/>
      <c r="V185"/>
      <c r="W185"/>
      <c r="X185"/>
      <c r="Y185"/>
      <c r="Z185"/>
      <c r="AA185"/>
      <c r="AB185"/>
      <c r="AC185"/>
    </row>
    <row r="186" spans="1:29" x14ac:dyDescent="0.25">
      <c r="A186"/>
      <c r="B186"/>
      <c r="C186"/>
      <c r="D186"/>
      <c r="E186"/>
      <c r="F186"/>
      <c r="G186"/>
      <c r="H186"/>
      <c r="I186"/>
      <c r="J186"/>
      <c r="K186"/>
      <c r="L186"/>
      <c r="M186"/>
      <c r="N186"/>
      <c r="O186"/>
      <c r="P186"/>
      <c r="Q186"/>
      <c r="R186"/>
      <c r="S186"/>
      <c r="T186"/>
      <c r="U186"/>
      <c r="V186"/>
      <c r="W186"/>
      <c r="X186"/>
      <c r="Y186"/>
      <c r="Z186"/>
      <c r="AA186"/>
      <c r="AB186"/>
      <c r="AC186"/>
    </row>
    <row r="187" spans="1:29" x14ac:dyDescent="0.25">
      <c r="A187"/>
      <c r="B187"/>
      <c r="C187"/>
      <c r="D187"/>
      <c r="E187"/>
      <c r="F187"/>
      <c r="G187"/>
      <c r="H187"/>
      <c r="I187"/>
      <c r="J187"/>
      <c r="K187"/>
      <c r="L187"/>
      <c r="M187"/>
      <c r="N187"/>
      <c r="O187"/>
      <c r="P187"/>
      <c r="Q187"/>
      <c r="R187"/>
      <c r="S187"/>
      <c r="T187"/>
      <c r="U187"/>
      <c r="V187"/>
      <c r="W187"/>
      <c r="X187"/>
      <c r="Y187"/>
      <c r="Z187"/>
      <c r="AA187"/>
      <c r="AB187"/>
      <c r="AC187"/>
    </row>
    <row r="188" spans="1:29" x14ac:dyDescent="0.25">
      <c r="A188"/>
      <c r="B188"/>
      <c r="C188"/>
      <c r="D188"/>
      <c r="E188"/>
      <c r="F188"/>
      <c r="G188"/>
      <c r="H188"/>
      <c r="I188"/>
      <c r="J188"/>
      <c r="K188"/>
      <c r="L188"/>
      <c r="M188"/>
      <c r="N188"/>
      <c r="O188"/>
      <c r="P188"/>
      <c r="Q188"/>
      <c r="R188"/>
      <c r="S188"/>
      <c r="T188"/>
      <c r="U188"/>
      <c r="V188"/>
      <c r="W188"/>
      <c r="X188"/>
      <c r="Y188"/>
      <c r="Z188"/>
      <c r="AA188"/>
      <c r="AB188"/>
      <c r="AC188"/>
    </row>
    <row r="189" spans="1:29" x14ac:dyDescent="0.25">
      <c r="A189"/>
      <c r="B189"/>
      <c r="C189"/>
      <c r="D189"/>
      <c r="E189"/>
      <c r="F189"/>
      <c r="G189"/>
      <c r="H189"/>
      <c r="I189"/>
      <c r="J189"/>
      <c r="K189"/>
      <c r="L189"/>
      <c r="M189"/>
      <c r="N189"/>
      <c r="O189"/>
      <c r="P189"/>
      <c r="Q189"/>
      <c r="R189"/>
      <c r="S189"/>
      <c r="T189"/>
      <c r="U189"/>
      <c r="V189"/>
      <c r="W189"/>
      <c r="X189"/>
      <c r="Y189"/>
      <c r="Z189"/>
      <c r="AA189"/>
      <c r="AB189"/>
      <c r="AC189"/>
    </row>
    <row r="190" spans="1:29" x14ac:dyDescent="0.25">
      <c r="A190"/>
      <c r="B190"/>
      <c r="C190"/>
      <c r="D190"/>
      <c r="E190"/>
      <c r="F190"/>
      <c r="G190"/>
      <c r="H190"/>
      <c r="I190"/>
      <c r="J190"/>
      <c r="K190"/>
      <c r="L190"/>
      <c r="M190"/>
      <c r="N190"/>
      <c r="O190"/>
      <c r="P190"/>
      <c r="Q190"/>
      <c r="R190"/>
      <c r="S190"/>
      <c r="T190"/>
      <c r="U190"/>
      <c r="V190"/>
      <c r="W190"/>
      <c r="X190"/>
      <c r="Y190"/>
      <c r="Z190"/>
      <c r="AA190"/>
      <c r="AB190"/>
      <c r="AC190"/>
    </row>
    <row r="191" spans="1:29" x14ac:dyDescent="0.25">
      <c r="A191"/>
      <c r="B191"/>
      <c r="C191"/>
      <c r="D191"/>
      <c r="E191"/>
      <c r="F191"/>
      <c r="G191"/>
      <c r="H191"/>
      <c r="I191"/>
      <c r="J191"/>
      <c r="K191"/>
      <c r="L191"/>
      <c r="M191"/>
      <c r="N191"/>
      <c r="O191"/>
      <c r="P191"/>
      <c r="Q191"/>
      <c r="R191"/>
      <c r="S191"/>
      <c r="T191"/>
      <c r="U191"/>
      <c r="V191"/>
      <c r="W191"/>
      <c r="X191"/>
      <c r="Y191"/>
      <c r="Z191"/>
      <c r="AA191"/>
      <c r="AB191"/>
      <c r="AC191"/>
    </row>
    <row r="192" spans="1:29" x14ac:dyDescent="0.25">
      <c r="A192"/>
      <c r="B192"/>
      <c r="C192"/>
      <c r="D192"/>
      <c r="E192"/>
      <c r="F192"/>
      <c r="G192"/>
      <c r="H192"/>
      <c r="I192"/>
      <c r="J192"/>
      <c r="K192"/>
      <c r="L192"/>
      <c r="M192"/>
      <c r="N192"/>
      <c r="O192"/>
      <c r="P192"/>
      <c r="Q192"/>
      <c r="R192"/>
      <c r="S192"/>
      <c r="T192"/>
      <c r="U192"/>
      <c r="V192"/>
      <c r="W192"/>
      <c r="X192"/>
      <c r="Y192"/>
      <c r="Z192"/>
      <c r="AA192"/>
      <c r="AB192"/>
      <c r="AC192"/>
    </row>
    <row r="193" spans="1:29" x14ac:dyDescent="0.25">
      <c r="A193"/>
      <c r="B193"/>
      <c r="C193"/>
      <c r="D193"/>
      <c r="E193"/>
      <c r="F193"/>
      <c r="G193"/>
      <c r="H193"/>
      <c r="I193"/>
      <c r="J193"/>
      <c r="K193"/>
      <c r="L193"/>
      <c r="M193"/>
      <c r="N193"/>
      <c r="O193"/>
      <c r="P193"/>
      <c r="Q193"/>
      <c r="R193"/>
      <c r="S193"/>
      <c r="T193"/>
      <c r="U193"/>
      <c r="V193"/>
      <c r="W193"/>
      <c r="X193"/>
      <c r="Y193"/>
      <c r="Z193"/>
      <c r="AA193"/>
      <c r="AB193"/>
      <c r="AC193"/>
    </row>
    <row r="194" spans="1:29" x14ac:dyDescent="0.25">
      <c r="A194"/>
      <c r="B194"/>
      <c r="C194"/>
      <c r="D194"/>
      <c r="E194"/>
      <c r="F194"/>
      <c r="G194"/>
      <c r="H194"/>
      <c r="I194"/>
      <c r="J194"/>
      <c r="K194"/>
      <c r="L194"/>
      <c r="M194"/>
      <c r="N194"/>
      <c r="O194"/>
      <c r="P194"/>
      <c r="Q194"/>
      <c r="R194"/>
      <c r="S194"/>
      <c r="T194"/>
      <c r="U194"/>
      <c r="V194"/>
      <c r="W194"/>
      <c r="X194"/>
      <c r="Y194"/>
      <c r="Z194"/>
      <c r="AA194"/>
      <c r="AB194"/>
      <c r="AC194"/>
    </row>
    <row r="195" spans="1:29" x14ac:dyDescent="0.25">
      <c r="A195"/>
      <c r="B195"/>
      <c r="C195"/>
      <c r="D195"/>
      <c r="E195"/>
      <c r="F195"/>
      <c r="G195"/>
      <c r="H195"/>
      <c r="I195"/>
      <c r="J195"/>
      <c r="K195"/>
      <c r="L195"/>
      <c r="M195"/>
      <c r="N195"/>
      <c r="O195"/>
      <c r="P195"/>
      <c r="Q195"/>
      <c r="R195"/>
      <c r="S195"/>
      <c r="T195"/>
      <c r="U195"/>
      <c r="V195"/>
      <c r="W195"/>
      <c r="X195"/>
      <c r="Y195"/>
      <c r="Z195"/>
      <c r="AA195"/>
      <c r="AB195"/>
      <c r="AC195"/>
    </row>
    <row r="196" spans="1:29" x14ac:dyDescent="0.25">
      <c r="A196"/>
      <c r="B196"/>
      <c r="C196"/>
      <c r="D196"/>
      <c r="E196"/>
      <c r="F196"/>
      <c r="G196"/>
      <c r="H196"/>
      <c r="I196"/>
      <c r="J196"/>
      <c r="K196"/>
      <c r="L196"/>
      <c r="M196"/>
      <c r="N196"/>
      <c r="O196"/>
      <c r="P196"/>
      <c r="Q196"/>
      <c r="R196"/>
      <c r="S196"/>
      <c r="T196"/>
      <c r="U196"/>
      <c r="V196"/>
      <c r="W196"/>
      <c r="X196"/>
      <c r="Y196"/>
      <c r="Z196"/>
      <c r="AA196"/>
      <c r="AB196"/>
      <c r="AC196"/>
    </row>
    <row r="197" spans="1:29" x14ac:dyDescent="0.25">
      <c r="A197"/>
      <c r="B197"/>
      <c r="C197"/>
      <c r="D197"/>
      <c r="E197"/>
      <c r="F197"/>
      <c r="G197"/>
      <c r="H197"/>
      <c r="I197"/>
      <c r="J197"/>
      <c r="K197"/>
      <c r="L197"/>
      <c r="M197"/>
      <c r="N197"/>
      <c r="O197"/>
      <c r="P197"/>
      <c r="Q197"/>
      <c r="R197"/>
      <c r="S197"/>
      <c r="T197"/>
      <c r="U197"/>
      <c r="V197"/>
      <c r="W197"/>
      <c r="X197"/>
      <c r="Y197"/>
      <c r="Z197"/>
      <c r="AA197"/>
      <c r="AB197"/>
      <c r="AC197"/>
    </row>
    <row r="198" spans="1:29" x14ac:dyDescent="0.25">
      <c r="A198"/>
      <c r="B198"/>
      <c r="C198"/>
      <c r="D198"/>
      <c r="E198"/>
      <c r="F198"/>
      <c r="G198"/>
      <c r="H198"/>
      <c r="I198"/>
      <c r="J198"/>
      <c r="K198"/>
      <c r="L198"/>
      <c r="M198"/>
      <c r="N198"/>
      <c r="O198"/>
      <c r="P198"/>
      <c r="Q198"/>
      <c r="R198"/>
      <c r="S198"/>
      <c r="T198"/>
      <c r="U198"/>
      <c r="V198"/>
      <c r="W198"/>
      <c r="X198"/>
      <c r="Y198"/>
      <c r="Z198"/>
      <c r="AA198"/>
      <c r="AB198"/>
      <c r="AC198"/>
    </row>
    <row r="199" spans="1:29" x14ac:dyDescent="0.25">
      <c r="A199"/>
      <c r="B199"/>
      <c r="C199"/>
      <c r="D199"/>
      <c r="E199"/>
      <c r="F199"/>
      <c r="G199"/>
      <c r="H199"/>
      <c r="I199"/>
      <c r="J199"/>
      <c r="K199"/>
      <c r="L199"/>
      <c r="M199"/>
      <c r="N199"/>
      <c r="O199"/>
      <c r="P199"/>
      <c r="Q199"/>
      <c r="R199"/>
      <c r="S199"/>
      <c r="T199"/>
      <c r="U199"/>
      <c r="V199"/>
      <c r="W199"/>
      <c r="X199"/>
      <c r="Y199"/>
      <c r="Z199"/>
      <c r="AA199"/>
      <c r="AB199"/>
      <c r="AC199"/>
    </row>
    <row r="200" spans="1:29" x14ac:dyDescent="0.25">
      <c r="A200"/>
      <c r="B200"/>
      <c r="C200"/>
      <c r="D200"/>
      <c r="E200"/>
      <c r="F200"/>
      <c r="G200"/>
      <c r="H200"/>
      <c r="I200"/>
      <c r="J200"/>
      <c r="K200"/>
      <c r="L200"/>
      <c r="M200"/>
      <c r="N200"/>
      <c r="O200"/>
      <c r="P200"/>
      <c r="Q200"/>
      <c r="R200"/>
      <c r="S200"/>
      <c r="T200"/>
      <c r="U200"/>
      <c r="V200"/>
      <c r="W200"/>
      <c r="X200"/>
      <c r="Y200"/>
      <c r="Z200"/>
      <c r="AA200"/>
      <c r="AB200"/>
      <c r="AC200"/>
    </row>
    <row r="201" spans="1:29" x14ac:dyDescent="0.25">
      <c r="A201"/>
      <c r="B201"/>
      <c r="C201"/>
      <c r="D201"/>
      <c r="E201"/>
      <c r="F201"/>
      <c r="G201"/>
      <c r="H201"/>
      <c r="I201"/>
      <c r="J201"/>
      <c r="K201"/>
      <c r="L201"/>
      <c r="M201"/>
      <c r="N201"/>
      <c r="O201"/>
      <c r="P201"/>
      <c r="Q201"/>
      <c r="R201"/>
      <c r="S201"/>
      <c r="T201"/>
      <c r="U201"/>
      <c r="V201"/>
      <c r="W201"/>
      <c r="X201"/>
      <c r="Y201"/>
      <c r="Z201"/>
      <c r="AA201"/>
      <c r="AB201"/>
      <c r="AC201"/>
    </row>
    <row r="202" spans="1:29" x14ac:dyDescent="0.25">
      <c r="A202"/>
      <c r="B202"/>
      <c r="C202"/>
      <c r="D202"/>
      <c r="E202"/>
      <c r="F202"/>
      <c r="G202"/>
      <c r="H202"/>
      <c r="I202"/>
      <c r="J202"/>
      <c r="K202"/>
      <c r="L202"/>
      <c r="M202"/>
      <c r="N202"/>
      <c r="O202"/>
      <c r="P202"/>
      <c r="Q202"/>
      <c r="R202"/>
      <c r="S202"/>
      <c r="T202"/>
      <c r="U202"/>
      <c r="V202"/>
      <c r="W202"/>
      <c r="X202"/>
      <c r="Y202"/>
      <c r="Z202"/>
      <c r="AA202"/>
      <c r="AB202"/>
      <c r="AC202"/>
    </row>
    <row r="203" spans="1:29" x14ac:dyDescent="0.25">
      <c r="A203"/>
      <c r="B203"/>
      <c r="C203"/>
      <c r="D203"/>
      <c r="E203"/>
      <c r="F203"/>
      <c r="G203"/>
      <c r="H203"/>
      <c r="I203"/>
      <c r="J203"/>
      <c r="K203"/>
      <c r="L203"/>
      <c r="M203"/>
      <c r="N203"/>
      <c r="O203"/>
      <c r="P203"/>
      <c r="Q203"/>
      <c r="R203"/>
      <c r="S203"/>
      <c r="T203"/>
      <c r="U203"/>
      <c r="V203"/>
      <c r="W203"/>
      <c r="X203"/>
      <c r="Y203"/>
      <c r="Z203"/>
      <c r="AA203"/>
      <c r="AB203"/>
      <c r="AC203"/>
    </row>
    <row r="204" spans="1:29" x14ac:dyDescent="0.25">
      <c r="A204"/>
      <c r="B204"/>
      <c r="C204"/>
      <c r="D204"/>
      <c r="E204"/>
      <c r="F204"/>
      <c r="G204"/>
      <c r="H204"/>
      <c r="I204"/>
      <c r="J204"/>
      <c r="K204"/>
      <c r="L204"/>
      <c r="M204"/>
      <c r="N204"/>
      <c r="O204"/>
      <c r="P204"/>
      <c r="Q204"/>
      <c r="R204"/>
      <c r="S204"/>
      <c r="T204"/>
      <c r="U204"/>
      <c r="V204"/>
      <c r="W204"/>
      <c r="X204"/>
      <c r="Y204"/>
      <c r="Z204"/>
      <c r="AA204"/>
      <c r="AB204"/>
      <c r="AC204"/>
    </row>
    <row r="205" spans="1:29" x14ac:dyDescent="0.25">
      <c r="A205"/>
      <c r="B205"/>
      <c r="C205"/>
      <c r="D205"/>
      <c r="E205"/>
      <c r="F205"/>
      <c r="G205"/>
      <c r="H205"/>
      <c r="I205"/>
      <c r="J205"/>
      <c r="K205"/>
      <c r="L205"/>
      <c r="M205"/>
      <c r="N205"/>
      <c r="O205"/>
      <c r="P205"/>
      <c r="Q205"/>
      <c r="R205"/>
      <c r="S205"/>
      <c r="T205"/>
      <c r="U205"/>
      <c r="V205"/>
      <c r="W205"/>
      <c r="X205"/>
      <c r="Y205"/>
      <c r="Z205"/>
      <c r="AA205"/>
      <c r="AB205"/>
      <c r="AC205"/>
    </row>
    <row r="206" spans="1:29" x14ac:dyDescent="0.25">
      <c r="A206"/>
      <c r="B206"/>
      <c r="C206"/>
      <c r="D206"/>
      <c r="E206"/>
      <c r="F206"/>
      <c r="G206"/>
      <c r="H206"/>
      <c r="I206"/>
      <c r="J206"/>
      <c r="K206"/>
      <c r="L206"/>
      <c r="M206"/>
      <c r="N206"/>
      <c r="O206"/>
      <c r="P206"/>
      <c r="Q206"/>
      <c r="R206"/>
      <c r="S206"/>
      <c r="T206"/>
      <c r="U206"/>
      <c r="V206"/>
      <c r="W206"/>
      <c r="X206"/>
      <c r="Y206"/>
      <c r="Z206"/>
      <c r="AA206"/>
      <c r="AB206"/>
      <c r="AC206"/>
    </row>
    <row r="207" spans="1:29" x14ac:dyDescent="0.25">
      <c r="A207"/>
      <c r="B207"/>
      <c r="C207"/>
      <c r="D207"/>
      <c r="E207"/>
      <c r="F207"/>
      <c r="G207"/>
      <c r="H207"/>
      <c r="I207"/>
      <c r="J207"/>
      <c r="K207"/>
      <c r="L207"/>
      <c r="M207"/>
      <c r="N207"/>
      <c r="O207"/>
      <c r="P207"/>
      <c r="Q207"/>
      <c r="R207"/>
      <c r="S207"/>
      <c r="T207"/>
      <c r="U207"/>
      <c r="V207"/>
      <c r="W207"/>
      <c r="X207"/>
      <c r="Y207"/>
      <c r="Z207"/>
      <c r="AA207"/>
      <c r="AB207"/>
      <c r="AC207"/>
    </row>
    <row r="208" spans="1:29" x14ac:dyDescent="0.25">
      <c r="A208"/>
      <c r="B208"/>
      <c r="C208"/>
      <c r="D208"/>
      <c r="E208"/>
      <c r="F208"/>
      <c r="G208"/>
      <c r="H208"/>
      <c r="I208"/>
      <c r="J208"/>
      <c r="K208"/>
      <c r="L208"/>
      <c r="M208"/>
      <c r="N208"/>
      <c r="O208"/>
      <c r="P208"/>
      <c r="Q208"/>
      <c r="R208"/>
      <c r="S208"/>
      <c r="T208"/>
      <c r="U208"/>
      <c r="V208"/>
      <c r="W208"/>
      <c r="X208"/>
      <c r="Y208"/>
      <c r="Z208"/>
      <c r="AA208"/>
      <c r="AB208"/>
      <c r="AC208"/>
    </row>
    <row r="209" spans="1:29" x14ac:dyDescent="0.25">
      <c r="A209"/>
      <c r="B209"/>
      <c r="C209"/>
      <c r="D209"/>
      <c r="E209"/>
      <c r="F209"/>
      <c r="G209"/>
      <c r="H209"/>
      <c r="I209"/>
      <c r="J209"/>
      <c r="K209"/>
      <c r="L209"/>
      <c r="M209"/>
      <c r="N209"/>
      <c r="O209"/>
      <c r="P209"/>
      <c r="Q209"/>
      <c r="R209"/>
      <c r="S209"/>
      <c r="T209"/>
      <c r="U209"/>
      <c r="V209"/>
      <c r="W209"/>
      <c r="X209"/>
      <c r="Y209"/>
      <c r="Z209"/>
      <c r="AA209"/>
      <c r="AB209"/>
      <c r="AC209"/>
    </row>
    <row r="210" spans="1:29" x14ac:dyDescent="0.25">
      <c r="A210"/>
      <c r="B210"/>
      <c r="C210"/>
      <c r="D210"/>
      <c r="E210"/>
      <c r="F210"/>
      <c r="G210"/>
      <c r="H210"/>
      <c r="I210"/>
      <c r="J210"/>
      <c r="K210"/>
      <c r="L210"/>
      <c r="M210"/>
      <c r="N210"/>
      <c r="O210"/>
      <c r="P210"/>
      <c r="Q210"/>
      <c r="R210"/>
      <c r="S210"/>
      <c r="T210"/>
      <c r="U210"/>
      <c r="V210"/>
      <c r="W210"/>
      <c r="X210"/>
      <c r="Y210"/>
      <c r="Z210"/>
      <c r="AA210"/>
      <c r="AB210"/>
      <c r="AC210"/>
    </row>
    <row r="211" spans="1:29" x14ac:dyDescent="0.25">
      <c r="A211"/>
      <c r="B211"/>
      <c r="C211"/>
      <c r="D211"/>
      <c r="E211"/>
      <c r="F211"/>
      <c r="G211"/>
      <c r="H211"/>
      <c r="I211"/>
      <c r="J211"/>
      <c r="K211"/>
      <c r="L211"/>
      <c r="M211"/>
      <c r="N211"/>
      <c r="O211"/>
      <c r="P211"/>
      <c r="Q211"/>
      <c r="R211"/>
      <c r="S211"/>
      <c r="T211"/>
      <c r="U211"/>
      <c r="V211"/>
      <c r="W211"/>
      <c r="X211"/>
      <c r="Y211"/>
      <c r="Z211"/>
      <c r="AA211"/>
      <c r="AB211"/>
      <c r="AC211"/>
    </row>
    <row r="212" spans="1:29" x14ac:dyDescent="0.25">
      <c r="A212"/>
      <c r="B212"/>
      <c r="C212"/>
      <c r="D212"/>
      <c r="E212"/>
      <c r="F212"/>
      <c r="G212"/>
      <c r="H212"/>
      <c r="I212"/>
      <c r="J212"/>
      <c r="K212"/>
      <c r="L212"/>
      <c r="M212"/>
      <c r="N212"/>
      <c r="O212"/>
      <c r="P212"/>
      <c r="Q212"/>
      <c r="R212"/>
      <c r="S212"/>
      <c r="T212"/>
      <c r="U212"/>
      <c r="V212"/>
      <c r="W212"/>
      <c r="X212"/>
      <c r="Y212"/>
      <c r="Z212"/>
      <c r="AA212"/>
      <c r="AB212"/>
      <c r="AC212"/>
    </row>
    <row r="213" spans="1:29" x14ac:dyDescent="0.25">
      <c r="A213"/>
      <c r="B213"/>
      <c r="C213"/>
      <c r="D213"/>
      <c r="E213"/>
      <c r="F213"/>
      <c r="G213"/>
      <c r="H213"/>
      <c r="I213"/>
      <c r="J213"/>
      <c r="K213"/>
      <c r="L213"/>
      <c r="M213"/>
      <c r="N213"/>
      <c r="O213"/>
      <c r="P213"/>
      <c r="Q213"/>
      <c r="R213"/>
      <c r="S213"/>
      <c r="T213"/>
      <c r="U213"/>
      <c r="V213"/>
      <c r="W213"/>
      <c r="X213"/>
      <c r="Y213"/>
      <c r="Z213"/>
      <c r="AA213"/>
      <c r="AB213"/>
      <c r="AC213"/>
    </row>
    <row r="214" spans="1:29" x14ac:dyDescent="0.25">
      <c r="A214"/>
      <c r="B214"/>
      <c r="C214"/>
      <c r="D214"/>
      <c r="E214"/>
      <c r="F214"/>
      <c r="G214"/>
      <c r="H214"/>
      <c r="I214"/>
      <c r="J214"/>
      <c r="K214"/>
      <c r="L214"/>
      <c r="M214"/>
      <c r="N214"/>
      <c r="O214"/>
      <c r="P214"/>
      <c r="Q214"/>
      <c r="R214"/>
      <c r="S214"/>
      <c r="T214"/>
      <c r="U214"/>
      <c r="V214"/>
      <c r="W214"/>
      <c r="X214"/>
      <c r="Y214"/>
      <c r="Z214"/>
      <c r="AA214"/>
      <c r="AB214"/>
      <c r="AC214"/>
    </row>
    <row r="215" spans="1:29" x14ac:dyDescent="0.25">
      <c r="A215"/>
      <c r="B215"/>
      <c r="C215"/>
      <c r="D215"/>
      <c r="E215"/>
      <c r="F215"/>
      <c r="G215"/>
      <c r="H215"/>
      <c r="I215"/>
      <c r="J215"/>
      <c r="K215"/>
      <c r="L215"/>
      <c r="M215"/>
      <c r="N215"/>
      <c r="O215"/>
      <c r="P215"/>
      <c r="Q215"/>
      <c r="R215"/>
      <c r="S215"/>
      <c r="T215"/>
      <c r="U215"/>
      <c r="V215"/>
      <c r="W215"/>
      <c r="X215"/>
      <c r="Y215"/>
      <c r="Z215"/>
      <c r="AA215"/>
      <c r="AB215"/>
      <c r="AC215"/>
    </row>
    <row r="216" spans="1:29" x14ac:dyDescent="0.25">
      <c r="A216"/>
      <c r="B216"/>
      <c r="C216"/>
      <c r="D216"/>
      <c r="E216"/>
      <c r="F216"/>
      <c r="G216"/>
      <c r="H216"/>
      <c r="I216"/>
      <c r="J216"/>
      <c r="K216"/>
      <c r="L216"/>
      <c r="M216"/>
      <c r="N216"/>
      <c r="O216"/>
      <c r="P216"/>
      <c r="Q216"/>
      <c r="R216"/>
      <c r="S216"/>
      <c r="T216"/>
      <c r="U216"/>
      <c r="V216"/>
      <c r="W216"/>
      <c r="X216"/>
      <c r="Y216"/>
      <c r="Z216"/>
      <c r="AA216"/>
      <c r="AB216"/>
      <c r="AC216"/>
    </row>
    <row r="217" spans="1:29" x14ac:dyDescent="0.25">
      <c r="A217"/>
      <c r="B217"/>
      <c r="C217"/>
      <c r="D217"/>
      <c r="E217"/>
      <c r="F217"/>
      <c r="G217"/>
      <c r="H217"/>
      <c r="I217"/>
      <c r="J217"/>
      <c r="K217"/>
      <c r="L217"/>
      <c r="M217"/>
      <c r="N217"/>
      <c r="O217"/>
      <c r="P217"/>
      <c r="Q217"/>
      <c r="R217"/>
      <c r="S217"/>
      <c r="T217"/>
      <c r="U217"/>
      <c r="V217"/>
      <c r="W217"/>
      <c r="X217"/>
      <c r="Y217"/>
      <c r="Z217"/>
      <c r="AA217"/>
      <c r="AB217"/>
      <c r="AC217"/>
    </row>
    <row r="218" spans="1:29" x14ac:dyDescent="0.25">
      <c r="A218"/>
      <c r="B218"/>
      <c r="C218"/>
      <c r="D218"/>
      <c r="E218"/>
      <c r="F218"/>
      <c r="G218"/>
      <c r="H218"/>
      <c r="I218"/>
      <c r="J218"/>
      <c r="K218"/>
      <c r="L218"/>
      <c r="M218"/>
      <c r="N218"/>
      <c r="O218"/>
      <c r="P218"/>
      <c r="Q218"/>
      <c r="R218"/>
      <c r="S218"/>
      <c r="T218"/>
      <c r="U218"/>
      <c r="V218"/>
      <c r="W218"/>
      <c r="X218"/>
      <c r="Y218"/>
      <c r="Z218"/>
      <c r="AA218"/>
      <c r="AB218"/>
      <c r="AC218"/>
    </row>
    <row r="219" spans="1:29" x14ac:dyDescent="0.25">
      <c r="A219"/>
      <c r="B219"/>
      <c r="C219"/>
      <c r="D219"/>
      <c r="E219"/>
      <c r="F219"/>
      <c r="G219"/>
      <c r="H219"/>
      <c r="I219"/>
      <c r="J219"/>
      <c r="K219"/>
      <c r="L219"/>
      <c r="M219"/>
      <c r="N219"/>
      <c r="O219"/>
      <c r="P219"/>
      <c r="Q219"/>
      <c r="R219"/>
      <c r="S219"/>
      <c r="T219"/>
      <c r="U219"/>
      <c r="V219"/>
      <c r="W219"/>
      <c r="X219"/>
      <c r="Y219"/>
      <c r="Z219"/>
      <c r="AA219"/>
      <c r="AB219"/>
      <c r="AC219"/>
    </row>
    <row r="220" spans="1:29" x14ac:dyDescent="0.25">
      <c r="A220"/>
      <c r="B220"/>
      <c r="C220"/>
      <c r="D220"/>
      <c r="E220"/>
      <c r="F220"/>
      <c r="G220"/>
      <c r="H220"/>
      <c r="I220"/>
      <c r="J220"/>
      <c r="K220"/>
      <c r="L220"/>
      <c r="M220"/>
      <c r="N220"/>
      <c r="O220"/>
      <c r="P220"/>
      <c r="Q220"/>
      <c r="R220"/>
      <c r="S220"/>
      <c r="T220"/>
      <c r="U220"/>
      <c r="V220"/>
      <c r="W220"/>
      <c r="X220"/>
      <c r="Y220"/>
      <c r="Z220"/>
      <c r="AA220"/>
      <c r="AB220"/>
      <c r="AC220"/>
    </row>
    <row r="221" spans="1:29" x14ac:dyDescent="0.25">
      <c r="A221"/>
      <c r="B221"/>
      <c r="C221"/>
      <c r="D221"/>
      <c r="E221"/>
      <c r="F221"/>
      <c r="G221"/>
      <c r="H221"/>
      <c r="I221"/>
      <c r="J221"/>
      <c r="K221"/>
      <c r="L221"/>
      <c r="M221"/>
      <c r="N221"/>
      <c r="O221"/>
      <c r="P221"/>
      <c r="Q221"/>
      <c r="R221"/>
      <c r="S221"/>
      <c r="T221"/>
      <c r="U221"/>
      <c r="V221"/>
      <c r="W221"/>
      <c r="X221"/>
      <c r="Y221"/>
      <c r="Z221"/>
      <c r="AA221"/>
      <c r="AB221"/>
      <c r="AC221"/>
    </row>
    <row r="222" spans="1:29" x14ac:dyDescent="0.25">
      <c r="A222"/>
      <c r="B222"/>
      <c r="C222"/>
      <c r="D222"/>
      <c r="E222"/>
      <c r="F222"/>
      <c r="G222"/>
      <c r="H222"/>
      <c r="I222"/>
      <c r="J222"/>
      <c r="K222"/>
      <c r="L222"/>
      <c r="M222"/>
      <c r="N222"/>
      <c r="O222"/>
      <c r="P222"/>
      <c r="Q222"/>
      <c r="R222"/>
      <c r="S222"/>
      <c r="T222"/>
      <c r="U222"/>
      <c r="V222"/>
      <c r="W222"/>
      <c r="X222"/>
      <c r="Y222"/>
      <c r="Z222"/>
      <c r="AA222"/>
      <c r="AB222"/>
      <c r="AC222"/>
    </row>
    <row r="223" spans="1:29" x14ac:dyDescent="0.25">
      <c r="A223"/>
      <c r="B223"/>
      <c r="C223"/>
      <c r="D223"/>
      <c r="E223"/>
      <c r="F223"/>
      <c r="G223"/>
      <c r="H223"/>
      <c r="I223"/>
      <c r="J223"/>
      <c r="K223"/>
      <c r="L223"/>
      <c r="M223"/>
      <c r="N223"/>
      <c r="O223"/>
      <c r="P223"/>
      <c r="Q223"/>
      <c r="R223"/>
      <c r="S223"/>
      <c r="T223"/>
      <c r="U223"/>
      <c r="V223"/>
      <c r="W223"/>
      <c r="X223"/>
      <c r="Y223"/>
      <c r="Z223"/>
      <c r="AA223"/>
      <c r="AB223"/>
      <c r="AC223"/>
    </row>
    <row r="224" spans="1:29" x14ac:dyDescent="0.25">
      <c r="A224"/>
      <c r="B224"/>
      <c r="C224"/>
      <c r="D224"/>
      <c r="E224"/>
      <c r="F224"/>
      <c r="G224"/>
      <c r="H224"/>
      <c r="I224"/>
      <c r="J224"/>
      <c r="K224"/>
      <c r="L224"/>
      <c r="M224"/>
      <c r="N224"/>
      <c r="O224"/>
      <c r="P224"/>
      <c r="Q224"/>
      <c r="R224"/>
      <c r="S224"/>
      <c r="T224"/>
      <c r="U224"/>
      <c r="V224"/>
      <c r="W224"/>
      <c r="X224"/>
      <c r="Y224"/>
      <c r="Z224"/>
      <c r="AA224"/>
      <c r="AB224"/>
      <c r="AC224"/>
    </row>
    <row r="225" spans="1:29" x14ac:dyDescent="0.25">
      <c r="A225"/>
      <c r="B225"/>
      <c r="C225"/>
      <c r="D225"/>
      <c r="E225"/>
      <c r="F225"/>
      <c r="G225"/>
      <c r="H225"/>
      <c r="I225"/>
      <c r="J225"/>
      <c r="K225"/>
      <c r="L225"/>
      <c r="M225"/>
      <c r="N225"/>
      <c r="O225"/>
      <c r="P225"/>
      <c r="Q225"/>
      <c r="R225"/>
      <c r="S225"/>
      <c r="T225"/>
      <c r="U225"/>
      <c r="V225"/>
      <c r="W225"/>
      <c r="X225"/>
      <c r="Y225"/>
      <c r="Z225"/>
      <c r="AA225"/>
      <c r="AB225"/>
      <c r="AC225"/>
    </row>
    <row r="226" spans="1:29" x14ac:dyDescent="0.25">
      <c r="A226"/>
      <c r="B226"/>
      <c r="C226"/>
      <c r="D226"/>
      <c r="E226"/>
      <c r="F226"/>
      <c r="G226"/>
      <c r="H226"/>
      <c r="I226"/>
      <c r="J226"/>
      <c r="K226"/>
      <c r="L226"/>
      <c r="M226"/>
      <c r="N226"/>
      <c r="O226"/>
      <c r="P226"/>
      <c r="Q226"/>
      <c r="R226"/>
      <c r="S226"/>
      <c r="T226"/>
      <c r="U226"/>
      <c r="V226"/>
      <c r="W226"/>
      <c r="X226"/>
      <c r="Y226"/>
      <c r="Z226"/>
      <c r="AA226"/>
      <c r="AB226"/>
      <c r="AC226"/>
    </row>
    <row r="227" spans="1:29" x14ac:dyDescent="0.25">
      <c r="A227"/>
      <c r="B227"/>
      <c r="C227"/>
      <c r="D227"/>
      <c r="E227"/>
      <c r="F227"/>
      <c r="G227"/>
      <c r="H227"/>
      <c r="I227"/>
      <c r="J227"/>
      <c r="K227"/>
      <c r="L227"/>
      <c r="M227"/>
      <c r="N227"/>
      <c r="O227"/>
      <c r="P227"/>
      <c r="Q227"/>
      <c r="R227"/>
      <c r="S227"/>
      <c r="T227"/>
      <c r="U227"/>
      <c r="V227"/>
      <c r="W227"/>
      <c r="X227"/>
      <c r="Y227"/>
      <c r="Z227"/>
      <c r="AA227"/>
      <c r="AB227"/>
      <c r="AC227"/>
    </row>
    <row r="228" spans="1:29" x14ac:dyDescent="0.25">
      <c r="A228"/>
      <c r="B228"/>
      <c r="C228"/>
      <c r="D228"/>
      <c r="E228"/>
      <c r="F228"/>
      <c r="G228"/>
      <c r="H228"/>
      <c r="I228"/>
      <c r="J228"/>
      <c r="K228"/>
      <c r="L228"/>
      <c r="M228"/>
      <c r="N228"/>
      <c r="O228"/>
      <c r="P228"/>
      <c r="Q228"/>
      <c r="R228"/>
      <c r="S228"/>
      <c r="T228"/>
      <c r="U228"/>
      <c r="V228"/>
      <c r="W228"/>
      <c r="X228"/>
      <c r="Y228"/>
      <c r="Z228"/>
      <c r="AA228"/>
      <c r="AB228"/>
      <c r="AC228"/>
    </row>
    <row r="229" spans="1:29" x14ac:dyDescent="0.25">
      <c r="A229"/>
      <c r="B229"/>
      <c r="C229"/>
      <c r="D229"/>
      <c r="E229"/>
      <c r="F229"/>
      <c r="G229"/>
      <c r="H229"/>
      <c r="I229"/>
      <c r="J229"/>
      <c r="K229"/>
      <c r="L229"/>
      <c r="M229"/>
      <c r="N229"/>
      <c r="O229"/>
      <c r="P229"/>
      <c r="Q229"/>
      <c r="R229"/>
      <c r="S229"/>
      <c r="T229"/>
      <c r="U229"/>
      <c r="V229"/>
      <c r="W229"/>
      <c r="X229"/>
      <c r="Y229"/>
      <c r="Z229"/>
      <c r="AA229"/>
      <c r="AB229"/>
      <c r="AC229"/>
    </row>
    <row r="230" spans="1:29" x14ac:dyDescent="0.25">
      <c r="A230"/>
      <c r="B230"/>
      <c r="C230"/>
      <c r="D230"/>
      <c r="E230"/>
      <c r="F230"/>
      <c r="G230"/>
      <c r="H230"/>
      <c r="I230"/>
      <c r="J230"/>
      <c r="K230"/>
      <c r="L230"/>
      <c r="M230"/>
      <c r="N230"/>
      <c r="O230"/>
      <c r="P230"/>
      <c r="Q230"/>
      <c r="R230"/>
      <c r="S230"/>
      <c r="T230"/>
      <c r="U230"/>
      <c r="V230"/>
      <c r="W230"/>
      <c r="X230"/>
      <c r="Y230"/>
      <c r="Z230"/>
      <c r="AA230"/>
      <c r="AB230"/>
      <c r="AC230"/>
    </row>
    <row r="231" spans="1:29" x14ac:dyDescent="0.25">
      <c r="A231"/>
      <c r="B231"/>
      <c r="C231"/>
      <c r="D231"/>
      <c r="E231"/>
      <c r="F231"/>
      <c r="G231"/>
      <c r="H231"/>
      <c r="I231"/>
      <c r="J231"/>
      <c r="K231"/>
      <c r="L231"/>
      <c r="M231"/>
      <c r="N231"/>
      <c r="O231"/>
      <c r="P231"/>
      <c r="Q231"/>
      <c r="R231"/>
      <c r="S231"/>
      <c r="T231"/>
      <c r="U231"/>
      <c r="V231"/>
      <c r="W231"/>
      <c r="X231"/>
      <c r="Y231"/>
      <c r="Z231"/>
      <c r="AA231"/>
      <c r="AB231"/>
      <c r="AC231"/>
    </row>
    <row r="232" spans="1:29" x14ac:dyDescent="0.25">
      <c r="A232"/>
      <c r="B232"/>
      <c r="C232"/>
      <c r="D232"/>
      <c r="E232"/>
      <c r="F232"/>
      <c r="G232"/>
      <c r="H232"/>
      <c r="I232"/>
      <c r="J232"/>
      <c r="K232"/>
      <c r="L232"/>
      <c r="M232"/>
      <c r="N232"/>
      <c r="O232"/>
      <c r="P232"/>
      <c r="Q232"/>
      <c r="R232"/>
      <c r="S232"/>
      <c r="T232"/>
      <c r="U232"/>
      <c r="V232"/>
      <c r="W232"/>
      <c r="X232"/>
      <c r="Y232"/>
      <c r="Z232"/>
      <c r="AA232"/>
      <c r="AB232"/>
      <c r="AC232"/>
    </row>
    <row r="233" spans="1:29" x14ac:dyDescent="0.25">
      <c r="A233"/>
      <c r="B233"/>
      <c r="C233"/>
      <c r="D233"/>
      <c r="E233"/>
      <c r="F233"/>
      <c r="G233"/>
      <c r="H233"/>
      <c r="I233"/>
      <c r="J233"/>
      <c r="K233"/>
      <c r="L233"/>
      <c r="M233"/>
      <c r="N233"/>
      <c r="O233"/>
      <c r="P233"/>
      <c r="Q233"/>
      <c r="R233"/>
      <c r="S233"/>
      <c r="T233"/>
      <c r="U233"/>
      <c r="V233"/>
      <c r="W233"/>
      <c r="X233"/>
      <c r="Y233"/>
      <c r="Z233"/>
      <c r="AA233"/>
      <c r="AB233"/>
      <c r="AC233"/>
    </row>
    <row r="234" spans="1:29" x14ac:dyDescent="0.25">
      <c r="A234"/>
      <c r="B234"/>
      <c r="C234"/>
      <c r="D234"/>
      <c r="E234"/>
      <c r="F234"/>
      <c r="G234"/>
      <c r="H234"/>
      <c r="I234"/>
      <c r="J234"/>
      <c r="K234"/>
      <c r="L234"/>
      <c r="M234"/>
      <c r="N234"/>
      <c r="O234"/>
      <c r="P234"/>
      <c r="Q234"/>
      <c r="R234"/>
      <c r="S234"/>
      <c r="T234"/>
      <c r="U234"/>
      <c r="V234"/>
      <c r="W234"/>
      <c r="X234"/>
      <c r="Y234"/>
      <c r="Z234"/>
      <c r="AA234"/>
      <c r="AB234"/>
      <c r="AC234"/>
    </row>
    <row r="235" spans="1:29" x14ac:dyDescent="0.25">
      <c r="A235"/>
      <c r="B235"/>
      <c r="C235"/>
      <c r="D235"/>
      <c r="E235"/>
      <c r="F235"/>
      <c r="G235"/>
      <c r="H235"/>
      <c r="I235"/>
      <c r="J235"/>
      <c r="K235"/>
      <c r="L235"/>
      <c r="M235"/>
      <c r="N235"/>
      <c r="O235"/>
      <c r="P235"/>
      <c r="Q235"/>
      <c r="R235"/>
      <c r="S235"/>
      <c r="T235"/>
      <c r="U235"/>
      <c r="V235"/>
      <c r="W235"/>
      <c r="X235"/>
      <c r="Y235"/>
      <c r="Z235"/>
      <c r="AA235"/>
      <c r="AB235"/>
      <c r="AC235"/>
    </row>
    <row r="236" spans="1:29" x14ac:dyDescent="0.25">
      <c r="A236"/>
      <c r="B236"/>
      <c r="C236"/>
      <c r="D236"/>
      <c r="E236"/>
      <c r="F236"/>
      <c r="G236"/>
      <c r="H236"/>
      <c r="I236"/>
      <c r="J236"/>
      <c r="K236"/>
      <c r="L236"/>
      <c r="M236"/>
      <c r="N236"/>
      <c r="O236"/>
      <c r="P236"/>
      <c r="Q236"/>
      <c r="R236"/>
      <c r="S236"/>
      <c r="T236"/>
      <c r="U236"/>
      <c r="V236"/>
      <c r="W236"/>
      <c r="X236"/>
      <c r="Y236"/>
      <c r="Z236"/>
      <c r="AA236"/>
      <c r="AB236"/>
      <c r="AC236"/>
    </row>
    <row r="237" spans="1:29" x14ac:dyDescent="0.25">
      <c r="A237"/>
      <c r="B237"/>
      <c r="C237"/>
      <c r="D237"/>
      <c r="E237"/>
      <c r="F237"/>
      <c r="G237"/>
      <c r="H237"/>
      <c r="I237"/>
      <c r="J237"/>
      <c r="K237"/>
      <c r="L237"/>
      <c r="M237"/>
      <c r="N237"/>
      <c r="O237"/>
      <c r="P237"/>
      <c r="Q237"/>
      <c r="R237"/>
      <c r="S237"/>
      <c r="T237"/>
      <c r="U237"/>
      <c r="V237"/>
      <c r="W237"/>
      <c r="X237"/>
      <c r="Y237"/>
      <c r="Z237"/>
      <c r="AA237"/>
      <c r="AB237"/>
      <c r="AC237"/>
    </row>
    <row r="238" spans="1:29" x14ac:dyDescent="0.25">
      <c r="A238"/>
      <c r="B238"/>
      <c r="C238"/>
      <c r="D238"/>
      <c r="E238"/>
      <c r="F238"/>
      <c r="G238"/>
      <c r="H238"/>
      <c r="I238"/>
      <c r="J238"/>
      <c r="K238"/>
      <c r="L238"/>
      <c r="M238"/>
      <c r="N238"/>
      <c r="O238"/>
      <c r="P238"/>
      <c r="Q238"/>
      <c r="R238"/>
      <c r="S238"/>
      <c r="T238"/>
      <c r="U238"/>
      <c r="V238"/>
      <c r="W238"/>
      <c r="X238"/>
      <c r="Y238"/>
      <c r="Z238"/>
      <c r="AA238"/>
      <c r="AB238"/>
      <c r="AC238"/>
    </row>
    <row r="239" spans="1:29" x14ac:dyDescent="0.25">
      <c r="A239"/>
      <c r="B239"/>
      <c r="C239"/>
      <c r="D239"/>
      <c r="E239"/>
      <c r="F239"/>
      <c r="G239"/>
      <c r="H239"/>
      <c r="I239"/>
      <c r="J239"/>
      <c r="K239"/>
      <c r="L239"/>
      <c r="M239"/>
      <c r="N239"/>
      <c r="O239"/>
      <c r="P239"/>
      <c r="Q239"/>
      <c r="R239"/>
      <c r="S239"/>
      <c r="T239"/>
      <c r="U239"/>
      <c r="V239"/>
      <c r="W239"/>
      <c r="X239"/>
      <c r="Y239"/>
      <c r="Z239"/>
      <c r="AA239"/>
      <c r="AB239"/>
      <c r="AC239"/>
    </row>
    <row r="240" spans="1:29" x14ac:dyDescent="0.25">
      <c r="A240"/>
      <c r="B240"/>
      <c r="C240"/>
      <c r="D240"/>
      <c r="E240"/>
      <c r="F240"/>
      <c r="G240"/>
      <c r="H240"/>
      <c r="I240"/>
      <c r="J240"/>
      <c r="K240"/>
      <c r="L240"/>
      <c r="M240"/>
      <c r="N240"/>
      <c r="O240"/>
      <c r="P240"/>
      <c r="Q240"/>
      <c r="R240"/>
      <c r="S240"/>
      <c r="T240"/>
      <c r="U240"/>
      <c r="V240"/>
      <c r="W240"/>
      <c r="X240"/>
      <c r="Y240"/>
      <c r="Z240"/>
      <c r="AA240"/>
      <c r="AB240"/>
      <c r="AC240"/>
    </row>
    <row r="241" spans="1:29" x14ac:dyDescent="0.25">
      <c r="A241"/>
      <c r="B241"/>
      <c r="C241"/>
      <c r="D241"/>
      <c r="E241"/>
      <c r="F241"/>
      <c r="G241"/>
      <c r="H241"/>
      <c r="I241"/>
      <c r="J241"/>
      <c r="K241"/>
      <c r="L241"/>
      <c r="M241"/>
      <c r="N241"/>
      <c r="O241"/>
      <c r="P241"/>
      <c r="Q241"/>
      <c r="R241"/>
      <c r="S241"/>
      <c r="T241"/>
      <c r="U241"/>
      <c r="V241"/>
      <c r="W241"/>
      <c r="X241"/>
      <c r="Y241"/>
      <c r="Z241"/>
      <c r="AA241"/>
      <c r="AB241"/>
      <c r="AC241"/>
    </row>
    <row r="242" spans="1:29" x14ac:dyDescent="0.25">
      <c r="A242"/>
      <c r="B242"/>
      <c r="C242"/>
      <c r="D242"/>
      <c r="E242"/>
      <c r="F242"/>
      <c r="G242"/>
      <c r="H242"/>
      <c r="I242"/>
      <c r="J242"/>
      <c r="K242"/>
      <c r="L242"/>
      <c r="M242"/>
      <c r="N242"/>
      <c r="O242"/>
      <c r="P242"/>
      <c r="Q242"/>
      <c r="R242"/>
      <c r="S242"/>
      <c r="T242"/>
      <c r="U242"/>
      <c r="V242"/>
      <c r="W242"/>
      <c r="X242"/>
      <c r="Y242"/>
      <c r="Z242"/>
      <c r="AA242"/>
      <c r="AB242"/>
      <c r="AC242"/>
    </row>
    <row r="243" spans="1:29" x14ac:dyDescent="0.25">
      <c r="A243"/>
      <c r="B243"/>
      <c r="C243"/>
      <c r="D243"/>
      <c r="E243"/>
      <c r="F243"/>
      <c r="G243"/>
      <c r="H243"/>
      <c r="I243"/>
      <c r="J243"/>
      <c r="K243"/>
      <c r="L243"/>
      <c r="M243"/>
      <c r="N243"/>
      <c r="O243"/>
      <c r="P243"/>
      <c r="Q243"/>
      <c r="R243"/>
      <c r="S243"/>
      <c r="T243"/>
      <c r="U243"/>
      <c r="V243"/>
      <c r="W243"/>
      <c r="X243"/>
      <c r="Y243"/>
      <c r="Z243"/>
      <c r="AA243"/>
      <c r="AB243"/>
      <c r="AC243"/>
    </row>
    <row r="244" spans="1:29" x14ac:dyDescent="0.25">
      <c r="A244"/>
      <c r="B244"/>
      <c r="C244"/>
      <c r="D244"/>
      <c r="E244"/>
      <c r="F244"/>
      <c r="G244"/>
      <c r="H244"/>
      <c r="I244"/>
      <c r="J244"/>
      <c r="K244"/>
      <c r="L244"/>
      <c r="M244"/>
      <c r="N244"/>
      <c r="O244"/>
      <c r="P244"/>
      <c r="Q244"/>
      <c r="R244"/>
      <c r="S244"/>
      <c r="T244"/>
      <c r="U244"/>
      <c r="V244"/>
      <c r="W244"/>
      <c r="X244"/>
      <c r="Y244"/>
      <c r="Z244"/>
      <c r="AA244"/>
      <c r="AB244"/>
      <c r="AC244"/>
    </row>
    <row r="245" spans="1:29" x14ac:dyDescent="0.25">
      <c r="A245"/>
      <c r="B245"/>
      <c r="C245"/>
      <c r="D245"/>
      <c r="E245"/>
      <c r="F245"/>
      <c r="G245"/>
      <c r="H245"/>
      <c r="I245"/>
      <c r="J245"/>
      <c r="K245"/>
      <c r="L245"/>
      <c r="M245"/>
      <c r="N245"/>
      <c r="O245"/>
      <c r="P245"/>
      <c r="Q245"/>
      <c r="R245"/>
      <c r="S245"/>
      <c r="T245"/>
      <c r="U245"/>
      <c r="V245"/>
      <c r="W245"/>
      <c r="X245"/>
      <c r="Y245"/>
      <c r="Z245"/>
      <c r="AA245"/>
      <c r="AB245"/>
      <c r="AC245"/>
    </row>
    <row r="246" spans="1:29" x14ac:dyDescent="0.25">
      <c r="A246"/>
      <c r="B246"/>
      <c r="C246"/>
      <c r="D246"/>
      <c r="E246"/>
      <c r="F246"/>
      <c r="G246"/>
      <c r="H246"/>
      <c r="I246"/>
      <c r="J246"/>
      <c r="K246"/>
      <c r="L246"/>
      <c r="M246"/>
      <c r="N246"/>
      <c r="O246"/>
      <c r="P246"/>
      <c r="Q246"/>
      <c r="R246"/>
      <c r="S246"/>
      <c r="T246"/>
      <c r="U246"/>
      <c r="V246"/>
      <c r="W246"/>
      <c r="X246"/>
      <c r="Y246"/>
      <c r="Z246"/>
      <c r="AA246"/>
      <c r="AB246"/>
      <c r="AC246"/>
    </row>
    <row r="247" spans="1:29" x14ac:dyDescent="0.25">
      <c r="A247"/>
      <c r="B247"/>
      <c r="C247"/>
      <c r="D247"/>
      <c r="E247"/>
      <c r="F247"/>
      <c r="G247"/>
      <c r="H247"/>
      <c r="I247"/>
      <c r="J247"/>
      <c r="K247"/>
      <c r="L247"/>
      <c r="M247"/>
      <c r="N247"/>
      <c r="O247"/>
      <c r="P247"/>
      <c r="Q247"/>
      <c r="R247"/>
      <c r="S247"/>
      <c r="T247"/>
      <c r="U247"/>
      <c r="V247"/>
      <c r="W247"/>
      <c r="X247"/>
      <c r="Y247"/>
      <c r="Z247"/>
      <c r="AA247"/>
      <c r="AB247"/>
      <c r="AC247"/>
    </row>
    <row r="248" spans="1:29" x14ac:dyDescent="0.25">
      <c r="A248"/>
      <c r="B248"/>
      <c r="C248"/>
      <c r="D248"/>
      <c r="E248"/>
      <c r="F248"/>
      <c r="G248"/>
      <c r="H248"/>
      <c r="I248"/>
      <c r="J248"/>
      <c r="K248"/>
      <c r="L248"/>
      <c r="M248"/>
      <c r="N248"/>
      <c r="O248"/>
      <c r="P248"/>
      <c r="Q248"/>
      <c r="R248"/>
      <c r="S248"/>
      <c r="T248"/>
      <c r="U248"/>
      <c r="V248"/>
      <c r="W248"/>
      <c r="X248"/>
      <c r="Y248"/>
      <c r="Z248"/>
      <c r="AA248"/>
      <c r="AB248"/>
      <c r="AC248"/>
    </row>
    <row r="249" spans="1:29" x14ac:dyDescent="0.25">
      <c r="A249"/>
      <c r="B249"/>
      <c r="C249"/>
      <c r="D249"/>
      <c r="E249"/>
      <c r="F249"/>
      <c r="G249"/>
      <c r="H249"/>
      <c r="I249"/>
      <c r="J249"/>
      <c r="K249"/>
      <c r="L249"/>
      <c r="M249"/>
      <c r="N249"/>
      <c r="O249"/>
      <c r="P249"/>
      <c r="Q249"/>
      <c r="R249"/>
      <c r="S249"/>
      <c r="T249"/>
      <c r="U249"/>
      <c r="V249"/>
      <c r="W249"/>
      <c r="X249"/>
      <c r="Y249"/>
      <c r="Z249"/>
      <c r="AA249"/>
      <c r="AB249"/>
      <c r="AC249"/>
    </row>
    <row r="250" spans="1:29" x14ac:dyDescent="0.25">
      <c r="A250"/>
      <c r="B250"/>
      <c r="C250"/>
      <c r="D250"/>
      <c r="E250"/>
      <c r="F250"/>
      <c r="G250"/>
      <c r="H250"/>
      <c r="I250"/>
      <c r="J250"/>
      <c r="K250"/>
      <c r="L250"/>
      <c r="M250"/>
      <c r="N250"/>
      <c r="O250"/>
      <c r="P250"/>
      <c r="Q250"/>
      <c r="R250"/>
      <c r="S250"/>
      <c r="T250"/>
      <c r="U250"/>
      <c r="V250"/>
      <c r="W250"/>
      <c r="X250"/>
      <c r="Y250"/>
      <c r="Z250"/>
      <c r="AA250"/>
      <c r="AB250"/>
      <c r="AC250"/>
    </row>
    <row r="251" spans="1:29" x14ac:dyDescent="0.25">
      <c r="A251"/>
      <c r="B251"/>
      <c r="C251"/>
      <c r="D251"/>
      <c r="E251"/>
      <c r="F251"/>
      <c r="G251"/>
      <c r="H251"/>
      <c r="I251"/>
      <c r="J251"/>
      <c r="K251"/>
      <c r="L251"/>
      <c r="M251"/>
      <c r="N251"/>
      <c r="O251"/>
      <c r="P251"/>
      <c r="Q251"/>
      <c r="R251"/>
      <c r="S251"/>
      <c r="T251"/>
      <c r="U251"/>
      <c r="V251"/>
      <c r="W251"/>
      <c r="X251"/>
      <c r="Y251"/>
      <c r="Z251"/>
      <c r="AA251"/>
      <c r="AB251"/>
      <c r="AC251"/>
    </row>
    <row r="252" spans="1:29" x14ac:dyDescent="0.25">
      <c r="A252"/>
      <c r="B252"/>
      <c r="C252"/>
      <c r="D252"/>
      <c r="E252"/>
      <c r="F252"/>
      <c r="G252"/>
      <c r="H252"/>
      <c r="I252"/>
      <c r="J252"/>
      <c r="K252"/>
      <c r="L252"/>
      <c r="M252"/>
      <c r="N252"/>
      <c r="O252"/>
      <c r="P252"/>
      <c r="Q252"/>
      <c r="R252"/>
      <c r="S252"/>
      <c r="T252"/>
      <c r="U252"/>
      <c r="V252"/>
      <c r="W252"/>
      <c r="X252"/>
      <c r="Y252"/>
      <c r="Z252"/>
      <c r="AA252"/>
      <c r="AB252"/>
      <c r="AC252"/>
    </row>
    <row r="253" spans="1:29" x14ac:dyDescent="0.25">
      <c r="A253"/>
      <c r="B253"/>
      <c r="C253"/>
      <c r="D253"/>
      <c r="E253"/>
      <c r="F253"/>
      <c r="G253"/>
      <c r="H253"/>
      <c r="I253"/>
      <c r="J253"/>
      <c r="K253"/>
      <c r="L253"/>
      <c r="M253"/>
      <c r="N253"/>
      <c r="O253"/>
      <c r="P253"/>
      <c r="Q253"/>
      <c r="R253"/>
      <c r="S253"/>
      <c r="T253"/>
      <c r="U253"/>
      <c r="V253"/>
      <c r="W253"/>
      <c r="X253"/>
      <c r="Y253"/>
      <c r="Z253"/>
      <c r="AA253"/>
      <c r="AB253"/>
      <c r="AC253"/>
    </row>
    <row r="254" spans="1:29" x14ac:dyDescent="0.25">
      <c r="A254"/>
      <c r="B254"/>
      <c r="C254"/>
      <c r="D254"/>
      <c r="E254"/>
      <c r="F254"/>
      <c r="G254"/>
      <c r="H254"/>
      <c r="I254"/>
      <c r="J254"/>
      <c r="K254"/>
      <c r="L254"/>
      <c r="M254"/>
      <c r="N254"/>
      <c r="O254"/>
      <c r="P254"/>
      <c r="Q254"/>
      <c r="R254"/>
      <c r="S254"/>
      <c r="T254"/>
      <c r="U254"/>
      <c r="V254"/>
      <c r="W254"/>
      <c r="X254"/>
      <c r="Y254"/>
      <c r="Z254"/>
      <c r="AA254"/>
      <c r="AB254"/>
      <c r="AC254"/>
    </row>
    <row r="255" spans="1:29" x14ac:dyDescent="0.25">
      <c r="A255"/>
      <c r="B255"/>
      <c r="C255"/>
      <c r="D255"/>
      <c r="E255"/>
      <c r="F255"/>
      <c r="G255"/>
      <c r="H255"/>
      <c r="I255"/>
      <c r="J255"/>
      <c r="K255"/>
      <c r="L255"/>
      <c r="M255"/>
      <c r="N255"/>
      <c r="O255"/>
      <c r="P255"/>
      <c r="Q255"/>
      <c r="R255"/>
      <c r="S255"/>
      <c r="T255"/>
      <c r="U255"/>
      <c r="V255"/>
      <c r="W255"/>
      <c r="X255"/>
      <c r="Y255"/>
      <c r="Z255"/>
      <c r="AA255"/>
      <c r="AB255"/>
      <c r="AC255"/>
    </row>
    <row r="256" spans="1:29" x14ac:dyDescent="0.25">
      <c r="A256"/>
      <c r="B256"/>
      <c r="C256"/>
      <c r="D256"/>
      <c r="E256"/>
      <c r="F256"/>
      <c r="G256"/>
      <c r="H256"/>
      <c r="I256"/>
      <c r="J256"/>
      <c r="K256"/>
      <c r="L256"/>
      <c r="M256"/>
      <c r="N256"/>
      <c r="O256"/>
      <c r="P256"/>
      <c r="Q256"/>
      <c r="R256"/>
      <c r="S256"/>
      <c r="T256"/>
      <c r="U256"/>
      <c r="V256"/>
      <c r="W256"/>
      <c r="X256"/>
      <c r="Y256"/>
      <c r="Z256"/>
      <c r="AA256"/>
      <c r="AB256"/>
      <c r="AC256"/>
    </row>
    <row r="257" spans="1:29" x14ac:dyDescent="0.25">
      <c r="A257"/>
      <c r="B257"/>
      <c r="C257"/>
      <c r="D257"/>
      <c r="E257"/>
      <c r="F257"/>
      <c r="G257"/>
      <c r="H257"/>
      <c r="I257"/>
      <c r="J257"/>
      <c r="K257"/>
      <c r="L257"/>
      <c r="M257"/>
      <c r="N257"/>
      <c r="O257"/>
      <c r="P257"/>
      <c r="Q257"/>
      <c r="R257"/>
      <c r="S257"/>
      <c r="T257"/>
      <c r="U257"/>
      <c r="V257"/>
      <c r="W257"/>
      <c r="X257"/>
      <c r="Y257"/>
      <c r="Z257"/>
      <c r="AA257"/>
      <c r="AB257"/>
      <c r="AC257"/>
    </row>
    <row r="258" spans="1:29" x14ac:dyDescent="0.25">
      <c r="A258"/>
      <c r="B258"/>
      <c r="C258"/>
      <c r="D258"/>
      <c r="E258"/>
      <c r="F258"/>
      <c r="G258"/>
      <c r="H258"/>
      <c r="I258"/>
      <c r="J258"/>
      <c r="K258"/>
      <c r="L258"/>
      <c r="M258"/>
      <c r="N258"/>
      <c r="O258"/>
      <c r="P258"/>
      <c r="Q258"/>
      <c r="R258"/>
      <c r="S258"/>
      <c r="T258"/>
      <c r="U258"/>
      <c r="V258"/>
      <c r="W258"/>
      <c r="X258"/>
      <c r="Y258"/>
      <c r="Z258"/>
      <c r="AA258"/>
      <c r="AB258"/>
      <c r="AC258"/>
    </row>
    <row r="259" spans="1:29" x14ac:dyDescent="0.25">
      <c r="A259"/>
      <c r="B259"/>
      <c r="C259"/>
      <c r="D259"/>
      <c r="E259"/>
      <c r="F259"/>
      <c r="G259"/>
      <c r="H259"/>
      <c r="I259"/>
      <c r="J259"/>
      <c r="K259"/>
      <c r="L259"/>
      <c r="M259"/>
      <c r="N259"/>
      <c r="O259"/>
      <c r="P259"/>
      <c r="Q259"/>
      <c r="R259"/>
      <c r="S259"/>
      <c r="T259"/>
      <c r="U259"/>
      <c r="V259"/>
      <c r="W259"/>
      <c r="X259"/>
      <c r="Y259"/>
      <c r="Z259"/>
      <c r="AA259"/>
      <c r="AB259"/>
      <c r="AC259"/>
    </row>
    <row r="260" spans="1:29" x14ac:dyDescent="0.25">
      <c r="A260"/>
      <c r="B260"/>
      <c r="C260"/>
      <c r="D260"/>
      <c r="E260"/>
      <c r="F260"/>
      <c r="G260"/>
      <c r="H260"/>
      <c r="I260"/>
      <c r="J260"/>
      <c r="K260"/>
      <c r="L260"/>
      <c r="M260"/>
      <c r="N260"/>
      <c r="O260"/>
      <c r="P260"/>
      <c r="Q260"/>
      <c r="R260"/>
      <c r="S260"/>
      <c r="T260"/>
      <c r="U260"/>
      <c r="V260"/>
      <c r="W260"/>
      <c r="X260"/>
      <c r="Y260"/>
      <c r="Z260"/>
      <c r="AA260"/>
      <c r="AB260"/>
      <c r="AC260"/>
    </row>
    <row r="261" spans="1:29" x14ac:dyDescent="0.25">
      <c r="A261"/>
      <c r="B261"/>
      <c r="C261"/>
      <c r="D261"/>
      <c r="E261"/>
      <c r="F261"/>
      <c r="G261"/>
      <c r="H261"/>
      <c r="I261"/>
      <c r="J261"/>
      <c r="K261"/>
      <c r="L261"/>
      <c r="M261"/>
      <c r="N261"/>
      <c r="O261"/>
      <c r="P261"/>
      <c r="Q261"/>
      <c r="R261"/>
      <c r="S261"/>
      <c r="T261"/>
      <c r="U261"/>
      <c r="V261"/>
      <c r="W261"/>
      <c r="X261"/>
      <c r="Y261"/>
      <c r="Z261"/>
      <c r="AA261"/>
      <c r="AB261"/>
      <c r="AC261"/>
    </row>
    <row r="262" spans="1:29" x14ac:dyDescent="0.25">
      <c r="A262"/>
      <c r="B262"/>
      <c r="C262"/>
      <c r="D262"/>
      <c r="E262"/>
      <c r="F262"/>
      <c r="G262"/>
      <c r="H262"/>
      <c r="I262"/>
      <c r="J262"/>
      <c r="K262"/>
      <c r="L262"/>
      <c r="M262"/>
      <c r="N262"/>
      <c r="O262"/>
      <c r="P262"/>
      <c r="Q262"/>
      <c r="R262"/>
      <c r="S262"/>
      <c r="T262"/>
      <c r="U262"/>
      <c r="V262"/>
      <c r="W262"/>
      <c r="X262"/>
      <c r="Y262"/>
      <c r="Z262"/>
      <c r="AA262"/>
      <c r="AB262"/>
      <c r="AC262"/>
    </row>
    <row r="263" spans="1:29" x14ac:dyDescent="0.25">
      <c r="A263"/>
      <c r="B263"/>
      <c r="C263"/>
      <c r="D263"/>
      <c r="E263"/>
      <c r="F263"/>
      <c r="G263"/>
      <c r="H263"/>
      <c r="I263"/>
      <c r="J263"/>
      <c r="K263"/>
      <c r="L263"/>
      <c r="M263"/>
      <c r="N263"/>
      <c r="O263"/>
      <c r="P263"/>
      <c r="Q263"/>
      <c r="R263"/>
      <c r="S263"/>
      <c r="T263"/>
      <c r="U263"/>
      <c r="V263"/>
      <c r="W263"/>
      <c r="X263"/>
      <c r="Y263"/>
      <c r="Z263"/>
      <c r="AA263"/>
      <c r="AB263"/>
      <c r="AC263"/>
    </row>
    <row r="264" spans="1:29" x14ac:dyDescent="0.25">
      <c r="A264"/>
      <c r="B264"/>
      <c r="C264"/>
      <c r="D264"/>
      <c r="E264"/>
      <c r="F264"/>
      <c r="G264"/>
      <c r="H264"/>
      <c r="I264"/>
      <c r="J264"/>
      <c r="K264"/>
      <c r="L264"/>
      <c r="M264"/>
      <c r="N264"/>
      <c r="O264"/>
      <c r="P264"/>
      <c r="Q264"/>
      <c r="R264"/>
      <c r="S264"/>
      <c r="T264"/>
      <c r="U264"/>
      <c r="V264"/>
      <c r="W264"/>
      <c r="X264"/>
      <c r="Y264"/>
      <c r="Z264"/>
      <c r="AA264"/>
      <c r="AB264"/>
      <c r="AC264"/>
    </row>
    <row r="265" spans="1:29" x14ac:dyDescent="0.25">
      <c r="A265"/>
      <c r="B265"/>
      <c r="C265"/>
      <c r="D265"/>
      <c r="E265"/>
      <c r="F265"/>
      <c r="G265"/>
      <c r="H265"/>
      <c r="I265"/>
      <c r="J265"/>
      <c r="K265"/>
      <c r="L265"/>
      <c r="M265"/>
      <c r="N265"/>
      <c r="O265"/>
      <c r="P265"/>
      <c r="Q265"/>
      <c r="R265"/>
      <c r="S265"/>
      <c r="T265"/>
      <c r="U265"/>
      <c r="V265"/>
      <c r="W265"/>
      <c r="X265"/>
      <c r="Y265"/>
      <c r="Z265"/>
      <c r="AA265"/>
      <c r="AB265"/>
      <c r="AC265"/>
    </row>
    <row r="266" spans="1:29" x14ac:dyDescent="0.25">
      <c r="A266"/>
      <c r="B266"/>
      <c r="C266"/>
      <c r="D266"/>
      <c r="E266"/>
      <c r="F266"/>
      <c r="G266"/>
      <c r="H266"/>
      <c r="I266"/>
      <c r="J266"/>
      <c r="K266"/>
      <c r="L266"/>
      <c r="M266"/>
      <c r="N266"/>
      <c r="O266"/>
      <c r="P266"/>
      <c r="Q266"/>
      <c r="R266"/>
      <c r="S266"/>
      <c r="T266"/>
      <c r="U266"/>
      <c r="V266"/>
      <c r="W266"/>
      <c r="X266"/>
      <c r="Y266"/>
      <c r="Z266"/>
      <c r="AA266"/>
      <c r="AB266"/>
      <c r="AC266"/>
    </row>
    <row r="267" spans="1:29" x14ac:dyDescent="0.25">
      <c r="A267"/>
      <c r="B267"/>
      <c r="C267"/>
      <c r="D267"/>
      <c r="E267"/>
      <c r="F267"/>
      <c r="G267"/>
      <c r="H267"/>
      <c r="I267"/>
      <c r="J267"/>
      <c r="K267"/>
      <c r="L267"/>
      <c r="M267"/>
      <c r="N267"/>
      <c r="O267"/>
      <c r="P267"/>
      <c r="Q267"/>
      <c r="R267"/>
      <c r="S267"/>
      <c r="T267"/>
      <c r="U267"/>
      <c r="V267"/>
      <c r="W267"/>
      <c r="X267"/>
      <c r="Y267"/>
      <c r="Z267"/>
      <c r="AA267"/>
      <c r="AB267"/>
      <c r="AC267"/>
    </row>
    <row r="268" spans="1:29" x14ac:dyDescent="0.25">
      <c r="A268"/>
      <c r="B268"/>
      <c r="C268"/>
      <c r="D268"/>
      <c r="E268"/>
      <c r="F268"/>
      <c r="G268"/>
      <c r="H268"/>
      <c r="I268"/>
      <c r="J268"/>
      <c r="K268"/>
      <c r="L268"/>
      <c r="M268"/>
      <c r="N268"/>
      <c r="O268"/>
      <c r="P268"/>
      <c r="Q268"/>
      <c r="R268"/>
      <c r="S268"/>
      <c r="T268"/>
      <c r="U268"/>
      <c r="V268"/>
      <c r="W268"/>
      <c r="X268"/>
      <c r="Y268"/>
      <c r="Z268"/>
      <c r="AA268"/>
      <c r="AB268"/>
      <c r="AC268"/>
    </row>
    <row r="269" spans="1:29" x14ac:dyDescent="0.25">
      <c r="A269"/>
      <c r="B269"/>
      <c r="C269"/>
      <c r="D269"/>
      <c r="E269"/>
      <c r="F269"/>
      <c r="G269"/>
      <c r="H269"/>
      <c r="I269"/>
      <c r="J269"/>
      <c r="K269"/>
      <c r="L269"/>
      <c r="M269"/>
      <c r="N269"/>
      <c r="O269"/>
      <c r="P269"/>
      <c r="Q269"/>
      <c r="R269"/>
      <c r="S269"/>
      <c r="T269"/>
      <c r="U269"/>
      <c r="V269"/>
      <c r="W269"/>
      <c r="X269"/>
      <c r="Y269"/>
      <c r="Z269"/>
      <c r="AA269"/>
      <c r="AB269"/>
      <c r="AC269"/>
    </row>
    <row r="270" spans="1:29" x14ac:dyDescent="0.25">
      <c r="A270"/>
      <c r="B270"/>
      <c r="C270"/>
      <c r="D270"/>
      <c r="E270"/>
      <c r="F270"/>
      <c r="G270"/>
      <c r="H270"/>
      <c r="I270"/>
      <c r="J270"/>
      <c r="K270"/>
      <c r="L270"/>
      <c r="M270"/>
      <c r="N270"/>
      <c r="O270"/>
      <c r="P270"/>
      <c r="Q270"/>
      <c r="R270"/>
      <c r="S270"/>
      <c r="T270"/>
      <c r="U270"/>
      <c r="V270"/>
      <c r="W270"/>
      <c r="X270"/>
      <c r="Y270"/>
      <c r="Z270"/>
      <c r="AA270"/>
      <c r="AB270"/>
      <c r="AC270"/>
    </row>
    <row r="271" spans="1:29" x14ac:dyDescent="0.25">
      <c r="A271"/>
      <c r="B271"/>
      <c r="C271"/>
      <c r="D271"/>
      <c r="E271"/>
      <c r="F271"/>
      <c r="G271"/>
      <c r="H271"/>
      <c r="I271"/>
      <c r="J271"/>
      <c r="K271"/>
      <c r="L271"/>
      <c r="M271"/>
      <c r="N271"/>
      <c r="O271"/>
      <c r="P271"/>
      <c r="Q271"/>
      <c r="R271"/>
      <c r="S271"/>
      <c r="T271"/>
      <c r="U271"/>
      <c r="V271"/>
      <c r="W271"/>
      <c r="X271"/>
      <c r="Y271"/>
      <c r="Z271"/>
      <c r="AA271"/>
      <c r="AB271"/>
      <c r="AC271"/>
    </row>
    <row r="272" spans="1:29" x14ac:dyDescent="0.25">
      <c r="A272"/>
      <c r="B272"/>
      <c r="C272"/>
      <c r="D272"/>
      <c r="E272"/>
      <c r="F272"/>
      <c r="G272"/>
      <c r="H272"/>
      <c r="I272"/>
      <c r="J272"/>
      <c r="K272"/>
      <c r="L272"/>
      <c r="M272"/>
      <c r="N272"/>
      <c r="O272"/>
      <c r="P272"/>
      <c r="Q272"/>
      <c r="R272"/>
      <c r="S272"/>
      <c r="T272"/>
      <c r="U272"/>
      <c r="V272"/>
      <c r="W272"/>
      <c r="X272"/>
      <c r="Y272"/>
      <c r="Z272"/>
      <c r="AA272"/>
      <c r="AB272"/>
      <c r="AC272"/>
    </row>
    <row r="273" spans="1:29" x14ac:dyDescent="0.25">
      <c r="A273"/>
      <c r="B273"/>
      <c r="C273"/>
      <c r="D273"/>
      <c r="E273"/>
      <c r="F273"/>
      <c r="G273"/>
      <c r="H273"/>
      <c r="I273"/>
      <c r="J273"/>
      <c r="K273"/>
      <c r="L273"/>
      <c r="M273"/>
      <c r="N273"/>
      <c r="O273"/>
      <c r="P273"/>
      <c r="Q273"/>
      <c r="R273"/>
      <c r="S273"/>
      <c r="T273"/>
      <c r="U273"/>
      <c r="V273"/>
      <c r="W273"/>
      <c r="X273"/>
      <c r="Y273"/>
      <c r="Z273"/>
      <c r="AA273"/>
      <c r="AB273"/>
      <c r="AC273"/>
    </row>
    <row r="274" spans="1:29" x14ac:dyDescent="0.25">
      <c r="A274"/>
      <c r="B274"/>
      <c r="C274"/>
      <c r="D274"/>
      <c r="E274"/>
      <c r="F274"/>
      <c r="G274"/>
      <c r="H274"/>
      <c r="I274"/>
      <c r="J274"/>
      <c r="K274"/>
      <c r="L274"/>
      <c r="M274"/>
      <c r="N274"/>
      <c r="O274"/>
      <c r="P274"/>
      <c r="Q274"/>
      <c r="R274"/>
      <c r="S274"/>
      <c r="T274"/>
      <c r="U274"/>
      <c r="V274"/>
      <c r="W274"/>
      <c r="X274"/>
      <c r="Y274"/>
      <c r="Z274"/>
      <c r="AA274"/>
      <c r="AB274"/>
      <c r="AC274"/>
    </row>
    <row r="275" spans="1:29" x14ac:dyDescent="0.25">
      <c r="A275"/>
      <c r="B275"/>
      <c r="C275"/>
      <c r="D275"/>
      <c r="E275"/>
      <c r="F275"/>
      <c r="G275"/>
      <c r="H275"/>
      <c r="I275"/>
      <c r="J275"/>
      <c r="K275"/>
      <c r="L275"/>
      <c r="M275"/>
      <c r="N275"/>
      <c r="O275"/>
      <c r="P275"/>
      <c r="Q275"/>
      <c r="R275"/>
      <c r="S275"/>
      <c r="T275"/>
      <c r="U275"/>
      <c r="V275"/>
      <c r="W275"/>
      <c r="X275"/>
      <c r="Y275"/>
      <c r="Z275"/>
      <c r="AA275"/>
      <c r="AB275"/>
      <c r="AC275"/>
    </row>
    <row r="276" spans="1:29" x14ac:dyDescent="0.25">
      <c r="A276"/>
      <c r="B276"/>
      <c r="C276"/>
      <c r="D276"/>
      <c r="E276"/>
      <c r="F276"/>
      <c r="G276"/>
      <c r="H276"/>
      <c r="I276"/>
      <c r="J276"/>
      <c r="K276"/>
      <c r="L276"/>
      <c r="M276"/>
      <c r="N276"/>
      <c r="O276"/>
      <c r="P276"/>
      <c r="Q276"/>
      <c r="R276"/>
      <c r="S276"/>
      <c r="T276"/>
      <c r="U276"/>
      <c r="V276"/>
      <c r="W276"/>
      <c r="X276"/>
      <c r="Y276"/>
      <c r="Z276"/>
      <c r="AA276"/>
      <c r="AB276"/>
      <c r="AC276"/>
    </row>
    <row r="277" spans="1:29" x14ac:dyDescent="0.25">
      <c r="A277"/>
      <c r="B277"/>
      <c r="C277"/>
      <c r="D277"/>
      <c r="E277"/>
      <c r="F277"/>
      <c r="G277"/>
      <c r="H277"/>
      <c r="I277"/>
      <c r="J277"/>
      <c r="K277"/>
      <c r="L277"/>
      <c r="M277"/>
      <c r="N277"/>
      <c r="O277"/>
      <c r="P277"/>
      <c r="Q277"/>
      <c r="R277"/>
      <c r="S277"/>
      <c r="T277"/>
      <c r="U277"/>
      <c r="V277"/>
      <c r="W277"/>
      <c r="X277"/>
      <c r="Y277"/>
      <c r="Z277"/>
      <c r="AA277"/>
      <c r="AB277"/>
      <c r="AC277"/>
    </row>
    <row r="278" spans="1:29" x14ac:dyDescent="0.25">
      <c r="A278"/>
      <c r="B278"/>
      <c r="C278"/>
      <c r="D278"/>
      <c r="E278"/>
      <c r="F278"/>
      <c r="G278"/>
      <c r="H278"/>
      <c r="I278"/>
      <c r="J278"/>
      <c r="K278"/>
      <c r="L278"/>
      <c r="M278"/>
      <c r="N278"/>
      <c r="O278"/>
      <c r="P278"/>
      <c r="Q278"/>
      <c r="R278"/>
      <c r="S278"/>
      <c r="T278"/>
      <c r="U278"/>
      <c r="V278"/>
      <c r="W278"/>
      <c r="X278"/>
      <c r="Y278"/>
      <c r="Z278"/>
      <c r="AA278"/>
      <c r="AB278"/>
      <c r="AC278"/>
    </row>
    <row r="279" spans="1:29" x14ac:dyDescent="0.25">
      <c r="A279"/>
      <c r="B279"/>
      <c r="C279"/>
      <c r="D279"/>
      <c r="E279"/>
      <c r="F279"/>
      <c r="G279"/>
      <c r="H279"/>
      <c r="I279"/>
      <c r="J279"/>
      <c r="K279"/>
      <c r="L279"/>
      <c r="M279"/>
      <c r="N279"/>
      <c r="O279"/>
      <c r="P279"/>
      <c r="Q279"/>
      <c r="R279"/>
      <c r="S279"/>
      <c r="T279"/>
      <c r="U279"/>
      <c r="V279"/>
      <c r="W279"/>
      <c r="X279"/>
      <c r="Y279"/>
      <c r="Z279"/>
      <c r="AA279"/>
      <c r="AB279"/>
      <c r="AC279"/>
    </row>
    <row r="280" spans="1:29" x14ac:dyDescent="0.25">
      <c r="A280"/>
      <c r="B280"/>
      <c r="C280"/>
      <c r="D280"/>
      <c r="E280"/>
      <c r="F280"/>
      <c r="G280"/>
      <c r="H280"/>
      <c r="I280"/>
      <c r="J280"/>
      <c r="K280"/>
      <c r="L280"/>
      <c r="M280"/>
      <c r="N280"/>
      <c r="O280"/>
      <c r="P280"/>
      <c r="Q280"/>
      <c r="R280"/>
      <c r="S280"/>
      <c r="T280"/>
      <c r="U280"/>
      <c r="V280"/>
      <c r="W280"/>
      <c r="X280"/>
      <c r="Y280"/>
      <c r="Z280"/>
      <c r="AA280"/>
      <c r="AB280"/>
      <c r="AC280"/>
    </row>
    <row r="281" spans="1:29" x14ac:dyDescent="0.25">
      <c r="A281"/>
      <c r="B281"/>
      <c r="C281"/>
      <c r="D281"/>
      <c r="E281"/>
      <c r="F281"/>
      <c r="G281"/>
      <c r="H281"/>
      <c r="I281"/>
      <c r="J281"/>
      <c r="K281"/>
      <c r="L281"/>
      <c r="M281"/>
      <c r="N281"/>
      <c r="O281"/>
      <c r="P281"/>
      <c r="Q281"/>
      <c r="R281"/>
      <c r="S281"/>
      <c r="T281"/>
      <c r="U281"/>
      <c r="V281"/>
      <c r="W281"/>
      <c r="X281"/>
      <c r="Y281"/>
      <c r="Z281"/>
      <c r="AA281"/>
      <c r="AB281"/>
      <c r="AC281"/>
    </row>
    <row r="282" spans="1:29" x14ac:dyDescent="0.25">
      <c r="A282"/>
      <c r="B282"/>
      <c r="C282"/>
      <c r="D282"/>
      <c r="E282"/>
      <c r="F282"/>
      <c r="G282"/>
      <c r="H282"/>
      <c r="I282"/>
      <c r="J282"/>
      <c r="K282"/>
      <c r="L282"/>
      <c r="M282"/>
      <c r="N282"/>
      <c r="O282"/>
      <c r="P282"/>
      <c r="Q282"/>
      <c r="R282"/>
      <c r="S282"/>
      <c r="T282"/>
      <c r="U282"/>
      <c r="V282"/>
      <c r="W282"/>
      <c r="X282"/>
      <c r="Y282"/>
      <c r="Z282"/>
      <c r="AA282"/>
      <c r="AB282"/>
      <c r="AC282"/>
    </row>
    <row r="283" spans="1:29" x14ac:dyDescent="0.25">
      <c r="A283"/>
      <c r="B283"/>
      <c r="C283"/>
      <c r="D283"/>
      <c r="E283"/>
      <c r="F283"/>
      <c r="G283"/>
      <c r="H283"/>
      <c r="I283"/>
      <c r="J283"/>
      <c r="K283"/>
      <c r="L283"/>
      <c r="M283"/>
      <c r="N283"/>
      <c r="O283"/>
      <c r="P283"/>
      <c r="Q283"/>
      <c r="R283"/>
      <c r="S283"/>
      <c r="T283"/>
      <c r="U283"/>
      <c r="V283"/>
      <c r="W283"/>
      <c r="X283"/>
      <c r="Y283"/>
      <c r="Z283"/>
      <c r="AA283"/>
      <c r="AB283"/>
      <c r="AC283"/>
    </row>
    <row r="284" spans="1:29" x14ac:dyDescent="0.25">
      <c r="A284"/>
      <c r="B284"/>
      <c r="C284"/>
      <c r="D284"/>
      <c r="E284"/>
      <c r="F284"/>
      <c r="G284"/>
      <c r="H284"/>
      <c r="I284"/>
      <c r="J284"/>
      <c r="K284"/>
      <c r="L284"/>
      <c r="M284"/>
      <c r="N284"/>
      <c r="O284"/>
      <c r="P284"/>
      <c r="Q284"/>
      <c r="R284"/>
      <c r="S284"/>
      <c r="T284"/>
      <c r="U284"/>
      <c r="V284"/>
      <c r="W284"/>
      <c r="X284"/>
      <c r="Y284"/>
      <c r="Z284"/>
      <c r="AA284"/>
      <c r="AB284"/>
      <c r="AC284"/>
    </row>
    <row r="285" spans="1:29" x14ac:dyDescent="0.25">
      <c r="A285"/>
      <c r="B285"/>
      <c r="C285"/>
      <c r="D285"/>
      <c r="E285"/>
      <c r="F285"/>
      <c r="G285"/>
      <c r="H285"/>
      <c r="I285"/>
      <c r="J285"/>
      <c r="K285"/>
      <c r="L285"/>
      <c r="M285"/>
      <c r="N285"/>
      <c r="O285"/>
      <c r="P285"/>
      <c r="Q285"/>
      <c r="R285"/>
      <c r="S285"/>
      <c r="T285"/>
      <c r="U285"/>
      <c r="V285"/>
      <c r="W285"/>
      <c r="X285"/>
      <c r="Y285"/>
      <c r="Z285"/>
      <c r="AA285"/>
      <c r="AB285"/>
      <c r="AC285"/>
    </row>
    <row r="286" spans="1:29" x14ac:dyDescent="0.25">
      <c r="A286"/>
      <c r="B286"/>
      <c r="C286"/>
      <c r="D286"/>
      <c r="E286"/>
      <c r="F286"/>
      <c r="G286"/>
      <c r="H286"/>
      <c r="I286"/>
      <c r="J286"/>
      <c r="K286"/>
      <c r="L286"/>
      <c r="M286"/>
      <c r="N286"/>
      <c r="O286"/>
      <c r="P286"/>
      <c r="Q286"/>
      <c r="R286"/>
      <c r="S286"/>
      <c r="T286"/>
      <c r="U286"/>
      <c r="V286"/>
      <c r="W286"/>
      <c r="X286"/>
      <c r="Y286"/>
      <c r="Z286"/>
      <c r="AA286"/>
      <c r="AB286"/>
      <c r="AC286"/>
    </row>
    <row r="287" spans="1:29" x14ac:dyDescent="0.25">
      <c r="A287"/>
      <c r="B287"/>
      <c r="C287"/>
      <c r="D287"/>
      <c r="E287"/>
      <c r="F287"/>
      <c r="G287"/>
      <c r="H287"/>
      <c r="I287"/>
      <c r="J287"/>
      <c r="K287"/>
      <c r="L287"/>
      <c r="M287"/>
      <c r="N287"/>
      <c r="O287"/>
      <c r="P287"/>
      <c r="Q287"/>
      <c r="R287"/>
      <c r="S287"/>
      <c r="T287"/>
      <c r="U287"/>
      <c r="V287"/>
      <c r="W287"/>
      <c r="X287"/>
      <c r="Y287"/>
      <c r="Z287"/>
      <c r="AA287"/>
      <c r="AB287"/>
      <c r="AC287"/>
    </row>
    <row r="288" spans="1:29" x14ac:dyDescent="0.25">
      <c r="A288"/>
      <c r="B288"/>
      <c r="C288"/>
      <c r="D288"/>
      <c r="E288"/>
      <c r="F288"/>
      <c r="G288"/>
      <c r="H288"/>
      <c r="I288"/>
      <c r="J288"/>
      <c r="K288"/>
      <c r="L288"/>
      <c r="M288"/>
      <c r="N288"/>
      <c r="O288"/>
      <c r="P288"/>
      <c r="Q288"/>
      <c r="R288"/>
      <c r="S288"/>
      <c r="T288"/>
      <c r="U288"/>
      <c r="V288"/>
      <c r="W288"/>
      <c r="X288"/>
      <c r="Y288"/>
      <c r="Z288"/>
      <c r="AA288"/>
      <c r="AB288"/>
      <c r="AC288"/>
    </row>
    <row r="289" spans="1:29" x14ac:dyDescent="0.25">
      <c r="A289"/>
      <c r="B289"/>
      <c r="C289"/>
      <c r="D289"/>
      <c r="E289"/>
      <c r="F289"/>
      <c r="G289"/>
      <c r="H289"/>
      <c r="I289"/>
      <c r="J289"/>
      <c r="K289"/>
      <c r="L289"/>
      <c r="M289"/>
      <c r="N289"/>
      <c r="O289"/>
      <c r="P289"/>
      <c r="Q289"/>
      <c r="R289"/>
      <c r="S289"/>
      <c r="T289"/>
      <c r="U289"/>
      <c r="V289"/>
      <c r="W289"/>
      <c r="X289"/>
      <c r="Y289"/>
      <c r="Z289"/>
      <c r="AA289"/>
      <c r="AB289"/>
      <c r="AC289"/>
    </row>
    <row r="290" spans="1:29" x14ac:dyDescent="0.25">
      <c r="A290"/>
      <c r="B290"/>
      <c r="C290"/>
      <c r="D290"/>
      <c r="E290"/>
      <c r="F290"/>
      <c r="G290"/>
      <c r="H290"/>
      <c r="I290"/>
      <c r="J290"/>
      <c r="K290"/>
      <c r="L290"/>
      <c r="M290"/>
      <c r="N290"/>
      <c r="O290"/>
      <c r="P290"/>
      <c r="Q290"/>
      <c r="R290"/>
      <c r="S290"/>
      <c r="T290"/>
      <c r="U290"/>
      <c r="V290"/>
      <c r="W290"/>
      <c r="X290"/>
      <c r="Y290"/>
      <c r="Z290"/>
      <c r="AA290"/>
      <c r="AB290"/>
      <c r="AC290"/>
    </row>
    <row r="291" spans="1:29" x14ac:dyDescent="0.25">
      <c r="A291"/>
      <c r="B291"/>
      <c r="C291"/>
      <c r="D291"/>
      <c r="E291"/>
      <c r="F291"/>
      <c r="G291"/>
      <c r="H291"/>
      <c r="I291"/>
      <c r="J291"/>
      <c r="K291"/>
      <c r="L291"/>
      <c r="M291"/>
      <c r="N291"/>
      <c r="O291"/>
      <c r="P291"/>
      <c r="Q291"/>
      <c r="R291"/>
      <c r="S291"/>
      <c r="T291"/>
      <c r="U291"/>
      <c r="V291"/>
      <c r="W291"/>
      <c r="X291"/>
      <c r="Y291"/>
      <c r="Z291"/>
      <c r="AA291"/>
      <c r="AB291"/>
      <c r="AC291"/>
    </row>
    <row r="292" spans="1:29" x14ac:dyDescent="0.25">
      <c r="A292"/>
      <c r="B292"/>
      <c r="C292"/>
      <c r="D292"/>
      <c r="E292"/>
      <c r="F292"/>
      <c r="G292"/>
      <c r="H292"/>
      <c r="I292"/>
      <c r="J292"/>
      <c r="K292"/>
      <c r="L292"/>
      <c r="M292"/>
      <c r="N292"/>
      <c r="O292"/>
      <c r="P292"/>
      <c r="Q292"/>
      <c r="R292"/>
      <c r="S292"/>
      <c r="T292"/>
      <c r="U292"/>
      <c r="V292"/>
      <c r="W292"/>
      <c r="X292"/>
      <c r="Y292"/>
      <c r="Z292"/>
      <c r="AA292"/>
      <c r="AB292"/>
      <c r="AC292"/>
    </row>
    <row r="293" spans="1:29" x14ac:dyDescent="0.25">
      <c r="A293"/>
      <c r="B293"/>
      <c r="C293"/>
      <c r="D293"/>
      <c r="E293"/>
      <c r="F293"/>
      <c r="G293"/>
      <c r="H293"/>
      <c r="I293"/>
      <c r="J293"/>
      <c r="K293"/>
      <c r="L293"/>
      <c r="M293"/>
      <c r="N293"/>
      <c r="O293"/>
      <c r="P293"/>
      <c r="Q293"/>
      <c r="R293"/>
      <c r="S293"/>
      <c r="T293"/>
      <c r="U293"/>
      <c r="V293"/>
      <c r="W293"/>
      <c r="X293"/>
      <c r="Y293"/>
      <c r="Z293"/>
      <c r="AA293"/>
      <c r="AB293"/>
      <c r="AC293"/>
    </row>
    <row r="294" spans="1:29" x14ac:dyDescent="0.25">
      <c r="A294"/>
      <c r="B294"/>
      <c r="C294"/>
      <c r="D294"/>
      <c r="E294"/>
      <c r="F294"/>
      <c r="G294"/>
      <c r="H294"/>
      <c r="I294"/>
      <c r="J294"/>
      <c r="K294"/>
      <c r="L294"/>
      <c r="M294"/>
      <c r="N294"/>
      <c r="O294"/>
      <c r="P294"/>
      <c r="Q294"/>
      <c r="R294"/>
      <c r="S294"/>
      <c r="T294"/>
      <c r="U294"/>
      <c r="V294"/>
      <c r="W294"/>
      <c r="X294"/>
      <c r="Y294"/>
      <c r="Z294"/>
      <c r="AA294"/>
      <c r="AB294"/>
      <c r="AC294"/>
    </row>
    <row r="295" spans="1:29" x14ac:dyDescent="0.25">
      <c r="A295"/>
      <c r="B295"/>
      <c r="C295"/>
      <c r="D295"/>
      <c r="E295"/>
      <c r="F295"/>
      <c r="G295"/>
      <c r="H295"/>
      <c r="I295"/>
      <c r="J295"/>
      <c r="K295"/>
      <c r="L295"/>
      <c r="M295"/>
      <c r="N295"/>
      <c r="O295"/>
      <c r="P295"/>
      <c r="Q295"/>
      <c r="R295"/>
      <c r="S295"/>
      <c r="T295"/>
      <c r="U295"/>
      <c r="V295"/>
      <c r="W295"/>
      <c r="X295"/>
      <c r="Y295"/>
      <c r="Z295"/>
      <c r="AA295"/>
      <c r="AB295"/>
      <c r="AC295"/>
    </row>
    <row r="296" spans="1:29" x14ac:dyDescent="0.25">
      <c r="A296"/>
      <c r="B296"/>
      <c r="C296"/>
      <c r="D296"/>
      <c r="E296"/>
      <c r="F296"/>
      <c r="G296"/>
      <c r="H296"/>
      <c r="I296"/>
      <c r="J296"/>
      <c r="K296"/>
      <c r="L296"/>
      <c r="M296"/>
      <c r="N296"/>
      <c r="O296"/>
      <c r="P296"/>
      <c r="Q296"/>
      <c r="R296"/>
      <c r="S296"/>
      <c r="T296"/>
      <c r="U296"/>
      <c r="V296"/>
      <c r="W296"/>
      <c r="X296"/>
      <c r="Y296"/>
      <c r="Z296"/>
      <c r="AA296"/>
      <c r="AB296"/>
      <c r="AC296"/>
    </row>
    <row r="297" spans="1:29" x14ac:dyDescent="0.25">
      <c r="A297"/>
      <c r="B297"/>
      <c r="C297"/>
      <c r="D297"/>
      <c r="E297"/>
      <c r="F297"/>
      <c r="G297"/>
      <c r="H297"/>
      <c r="I297"/>
      <c r="J297"/>
      <c r="K297"/>
      <c r="L297"/>
      <c r="M297"/>
      <c r="N297"/>
      <c r="O297"/>
      <c r="P297"/>
      <c r="Q297"/>
      <c r="R297"/>
      <c r="S297"/>
      <c r="T297"/>
      <c r="U297"/>
      <c r="V297"/>
      <c r="W297"/>
      <c r="X297"/>
      <c r="Y297"/>
      <c r="Z297"/>
      <c r="AA297"/>
      <c r="AB297"/>
      <c r="AC297"/>
    </row>
    <row r="298" spans="1:29" x14ac:dyDescent="0.25">
      <c r="A298"/>
      <c r="B298"/>
      <c r="C298"/>
      <c r="D298"/>
      <c r="E298"/>
      <c r="F298"/>
      <c r="G298"/>
      <c r="H298"/>
      <c r="I298"/>
      <c r="J298"/>
      <c r="K298"/>
      <c r="L298"/>
      <c r="M298"/>
      <c r="N298"/>
      <c r="O298"/>
      <c r="P298"/>
      <c r="Q298"/>
      <c r="R298"/>
      <c r="S298"/>
      <c r="T298"/>
      <c r="U298"/>
      <c r="V298"/>
      <c r="W298"/>
      <c r="X298"/>
      <c r="Y298"/>
      <c r="Z298"/>
      <c r="AA298"/>
      <c r="AB298"/>
      <c r="AC298"/>
    </row>
    <row r="299" spans="1:29" x14ac:dyDescent="0.25">
      <c r="A299"/>
      <c r="B299"/>
      <c r="C299"/>
      <c r="D299"/>
      <c r="E299"/>
      <c r="F299"/>
      <c r="G299"/>
      <c r="H299"/>
      <c r="I299"/>
      <c r="J299"/>
      <c r="K299"/>
      <c r="L299"/>
      <c r="M299"/>
      <c r="N299"/>
      <c r="O299"/>
      <c r="P299"/>
      <c r="Q299"/>
      <c r="R299"/>
      <c r="S299"/>
      <c r="T299"/>
      <c r="U299"/>
      <c r="V299"/>
      <c r="W299"/>
      <c r="X299"/>
      <c r="Y299"/>
      <c r="Z299"/>
      <c r="AA299"/>
      <c r="AB299"/>
      <c r="AC299"/>
    </row>
    <row r="300" spans="1:29" x14ac:dyDescent="0.25">
      <c r="A300"/>
      <c r="B300"/>
      <c r="C300"/>
      <c r="D300"/>
      <c r="E300"/>
      <c r="F300"/>
      <c r="G300"/>
      <c r="H300"/>
      <c r="I300"/>
      <c r="J300"/>
      <c r="K300"/>
      <c r="L300"/>
      <c r="M300"/>
      <c r="N300"/>
      <c r="O300"/>
      <c r="P300"/>
      <c r="Q300"/>
      <c r="R300"/>
      <c r="S300"/>
      <c r="T300"/>
      <c r="U300"/>
      <c r="V300"/>
      <c r="W300"/>
      <c r="X300"/>
      <c r="Y300"/>
      <c r="Z300"/>
      <c r="AA300"/>
      <c r="AB300"/>
      <c r="AC300"/>
    </row>
    <row r="301" spans="1:29" x14ac:dyDescent="0.25">
      <c r="A301"/>
      <c r="B301"/>
      <c r="C301"/>
      <c r="D301"/>
      <c r="E301"/>
      <c r="F301"/>
      <c r="G301"/>
      <c r="H301"/>
      <c r="I301"/>
      <c r="J301"/>
      <c r="K301"/>
      <c r="L301"/>
      <c r="M301"/>
      <c r="N301"/>
      <c r="O301"/>
      <c r="P301"/>
      <c r="Q301"/>
      <c r="R301"/>
      <c r="S301"/>
      <c r="T301"/>
      <c r="U301"/>
      <c r="V301"/>
      <c r="W301"/>
      <c r="X301"/>
      <c r="Y301"/>
      <c r="Z301"/>
      <c r="AA301"/>
      <c r="AB301"/>
      <c r="AC301"/>
    </row>
    <row r="302" spans="1:29" x14ac:dyDescent="0.25">
      <c r="A302"/>
      <c r="B302"/>
      <c r="C302"/>
      <c r="D302"/>
      <c r="E302"/>
      <c r="F302"/>
      <c r="G302"/>
      <c r="H302"/>
      <c r="I302"/>
      <c r="J302"/>
      <c r="K302"/>
      <c r="L302"/>
      <c r="M302"/>
      <c r="N302"/>
      <c r="O302"/>
      <c r="P302"/>
      <c r="Q302"/>
      <c r="R302"/>
      <c r="S302"/>
      <c r="T302"/>
      <c r="U302"/>
      <c r="V302"/>
      <c r="W302"/>
      <c r="X302"/>
      <c r="Y302"/>
      <c r="Z302"/>
      <c r="AA302"/>
      <c r="AB302"/>
      <c r="AC302"/>
    </row>
    <row r="303" spans="1:29" x14ac:dyDescent="0.25">
      <c r="A303"/>
      <c r="B303"/>
      <c r="C303"/>
      <c r="D303"/>
      <c r="E303"/>
      <c r="F303"/>
      <c r="G303"/>
      <c r="H303"/>
      <c r="I303"/>
      <c r="J303"/>
      <c r="K303"/>
      <c r="L303"/>
      <c r="M303"/>
      <c r="N303"/>
      <c r="O303"/>
      <c r="P303"/>
      <c r="Q303"/>
      <c r="R303"/>
      <c r="S303"/>
      <c r="T303"/>
      <c r="U303"/>
      <c r="V303"/>
      <c r="W303"/>
      <c r="X303"/>
      <c r="Y303"/>
      <c r="Z303"/>
      <c r="AA303"/>
      <c r="AB303"/>
      <c r="AC303"/>
    </row>
    <row r="304" spans="1:29" x14ac:dyDescent="0.25">
      <c r="A304"/>
      <c r="B304"/>
      <c r="C304"/>
      <c r="D304"/>
      <c r="E304"/>
      <c r="F304"/>
      <c r="G304"/>
      <c r="H304"/>
      <c r="I304"/>
      <c r="J304"/>
      <c r="K304"/>
      <c r="L304"/>
      <c r="M304"/>
      <c r="N304"/>
      <c r="O304"/>
      <c r="P304"/>
      <c r="Q304"/>
      <c r="R304"/>
      <c r="S304"/>
      <c r="T304"/>
      <c r="U304"/>
      <c r="V304"/>
      <c r="W304"/>
      <c r="X304"/>
      <c r="Y304"/>
      <c r="Z304"/>
      <c r="AA304"/>
      <c r="AB304"/>
      <c r="AC304"/>
    </row>
    <row r="305" spans="1:29" x14ac:dyDescent="0.25">
      <c r="A305"/>
      <c r="B305"/>
      <c r="C305"/>
      <c r="D305"/>
      <c r="E305"/>
      <c r="F305"/>
      <c r="G305"/>
      <c r="H305"/>
      <c r="I305"/>
      <c r="J305"/>
      <c r="K305"/>
      <c r="L305"/>
      <c r="M305"/>
      <c r="N305"/>
      <c r="O305"/>
      <c r="P305"/>
      <c r="Q305"/>
      <c r="R305"/>
      <c r="S305"/>
      <c r="T305"/>
      <c r="U305"/>
      <c r="V305"/>
      <c r="W305"/>
      <c r="X305"/>
      <c r="Y305"/>
      <c r="Z305"/>
      <c r="AA305"/>
      <c r="AB305"/>
      <c r="AC305"/>
    </row>
    <row r="306" spans="1:29" x14ac:dyDescent="0.25">
      <c r="A306"/>
      <c r="B306"/>
      <c r="C306"/>
      <c r="D306"/>
      <c r="E306"/>
      <c r="F306"/>
      <c r="G306"/>
      <c r="H306"/>
      <c r="I306"/>
      <c r="J306"/>
      <c r="K306"/>
      <c r="L306"/>
      <c r="M306"/>
      <c r="N306"/>
      <c r="O306"/>
      <c r="P306"/>
      <c r="Q306"/>
      <c r="R306"/>
      <c r="S306"/>
      <c r="T306"/>
      <c r="U306"/>
      <c r="V306"/>
      <c r="W306"/>
      <c r="X306"/>
      <c r="Y306"/>
      <c r="Z306"/>
      <c r="AA306"/>
      <c r="AB306"/>
      <c r="AC306"/>
    </row>
    <row r="307" spans="1:29" x14ac:dyDescent="0.25">
      <c r="A307"/>
      <c r="B307"/>
      <c r="C307"/>
      <c r="D307"/>
      <c r="E307"/>
      <c r="F307"/>
      <c r="G307"/>
      <c r="H307"/>
      <c r="I307"/>
      <c r="J307"/>
      <c r="K307"/>
      <c r="L307"/>
      <c r="M307"/>
      <c r="N307"/>
      <c r="O307"/>
      <c r="P307"/>
      <c r="Q307"/>
      <c r="R307"/>
      <c r="S307"/>
      <c r="T307"/>
      <c r="U307"/>
      <c r="V307"/>
      <c r="W307"/>
      <c r="X307"/>
      <c r="Y307"/>
      <c r="Z307"/>
      <c r="AA307"/>
      <c r="AB307"/>
      <c r="AC307"/>
    </row>
    <row r="308" spans="1:29" x14ac:dyDescent="0.25">
      <c r="A308"/>
      <c r="B308"/>
      <c r="C308"/>
      <c r="D308"/>
      <c r="E308"/>
      <c r="F308"/>
      <c r="G308"/>
      <c r="H308"/>
      <c r="I308"/>
      <c r="J308"/>
      <c r="K308"/>
      <c r="L308"/>
      <c r="M308"/>
      <c r="N308"/>
      <c r="O308"/>
      <c r="P308"/>
      <c r="Q308"/>
      <c r="R308"/>
      <c r="S308"/>
      <c r="T308"/>
      <c r="U308"/>
      <c r="V308"/>
      <c r="W308"/>
      <c r="X308"/>
      <c r="Y308"/>
      <c r="Z308"/>
      <c r="AA308"/>
      <c r="AB308"/>
      <c r="AC308"/>
    </row>
    <row r="309" spans="1:29" x14ac:dyDescent="0.25">
      <c r="A309"/>
      <c r="B309"/>
      <c r="C309"/>
      <c r="D309"/>
      <c r="E309"/>
      <c r="F309"/>
      <c r="G309"/>
      <c r="H309"/>
      <c r="I309"/>
      <c r="J309"/>
      <c r="K309"/>
      <c r="L309"/>
      <c r="M309"/>
      <c r="N309"/>
      <c r="O309"/>
      <c r="P309"/>
      <c r="Q309"/>
      <c r="R309"/>
      <c r="S309"/>
      <c r="T309"/>
      <c r="U309"/>
      <c r="V309"/>
      <c r="W309"/>
      <c r="X309"/>
      <c r="Y309"/>
      <c r="Z309"/>
      <c r="AA309"/>
      <c r="AB309"/>
      <c r="AC309"/>
    </row>
    <row r="310" spans="1:29" x14ac:dyDescent="0.25">
      <c r="A310"/>
      <c r="B310"/>
      <c r="C310"/>
      <c r="D310"/>
      <c r="E310"/>
      <c r="F310"/>
      <c r="G310"/>
      <c r="H310"/>
      <c r="I310"/>
      <c r="J310"/>
      <c r="K310"/>
      <c r="L310"/>
      <c r="M310"/>
      <c r="N310"/>
      <c r="O310"/>
      <c r="P310"/>
      <c r="Q310"/>
      <c r="R310"/>
      <c r="S310"/>
      <c r="T310"/>
      <c r="U310"/>
      <c r="V310"/>
      <c r="W310"/>
      <c r="X310"/>
      <c r="Y310"/>
      <c r="Z310"/>
      <c r="AA310"/>
      <c r="AB310"/>
      <c r="AC310"/>
    </row>
    <row r="311" spans="1:29" x14ac:dyDescent="0.25">
      <c r="A311"/>
      <c r="B311"/>
      <c r="C311"/>
      <c r="D311"/>
      <c r="E311"/>
      <c r="F311"/>
      <c r="G311"/>
      <c r="H311"/>
      <c r="I311"/>
      <c r="J311"/>
      <c r="K311"/>
      <c r="L311"/>
      <c r="M311"/>
      <c r="N311"/>
      <c r="O311"/>
      <c r="P311"/>
      <c r="Q311"/>
      <c r="R311"/>
      <c r="S311"/>
      <c r="T311"/>
      <c r="U311"/>
      <c r="V311"/>
      <c r="W311"/>
      <c r="X311"/>
      <c r="Y311"/>
      <c r="Z311"/>
      <c r="AA311"/>
      <c r="AB311"/>
      <c r="AC311"/>
    </row>
    <row r="312" spans="1:29" x14ac:dyDescent="0.25">
      <c r="A312"/>
      <c r="B312"/>
      <c r="C312"/>
      <c r="D312"/>
      <c r="E312"/>
      <c r="F312"/>
      <c r="G312"/>
      <c r="H312"/>
      <c r="I312"/>
      <c r="J312"/>
      <c r="K312"/>
      <c r="L312"/>
      <c r="M312"/>
      <c r="N312"/>
      <c r="O312"/>
      <c r="P312"/>
      <c r="Q312"/>
      <c r="R312"/>
      <c r="S312"/>
      <c r="T312"/>
      <c r="U312"/>
      <c r="V312"/>
      <c r="W312"/>
      <c r="X312"/>
      <c r="Y312"/>
      <c r="Z312"/>
      <c r="AA312"/>
      <c r="AB312"/>
      <c r="AC312"/>
    </row>
    <row r="313" spans="1:29" x14ac:dyDescent="0.25">
      <c r="A313"/>
      <c r="B313"/>
      <c r="C313"/>
      <c r="D313"/>
      <c r="E313"/>
      <c r="F313"/>
      <c r="G313"/>
      <c r="H313"/>
      <c r="I313"/>
      <c r="J313"/>
      <c r="K313"/>
      <c r="L313"/>
      <c r="M313"/>
      <c r="N313"/>
      <c r="O313"/>
      <c r="P313"/>
      <c r="Q313"/>
      <c r="R313"/>
      <c r="S313"/>
      <c r="T313"/>
      <c r="U313"/>
      <c r="V313"/>
      <c r="W313"/>
      <c r="X313"/>
      <c r="Y313"/>
      <c r="Z313"/>
      <c r="AA313"/>
      <c r="AB313"/>
      <c r="AC313"/>
    </row>
    <row r="314" spans="1:29" x14ac:dyDescent="0.25">
      <c r="A314"/>
      <c r="B314"/>
      <c r="C314"/>
      <c r="D314"/>
      <c r="E314"/>
      <c r="F314"/>
      <c r="G314"/>
      <c r="H314"/>
      <c r="I314"/>
      <c r="J314"/>
      <c r="K314"/>
      <c r="L314"/>
      <c r="M314"/>
      <c r="N314"/>
      <c r="O314"/>
      <c r="P314"/>
      <c r="Q314"/>
      <c r="R314"/>
      <c r="S314"/>
      <c r="T314"/>
      <c r="U314"/>
      <c r="V314"/>
      <c r="W314"/>
      <c r="X314"/>
      <c r="Y314"/>
      <c r="Z314"/>
      <c r="AA314"/>
      <c r="AB314"/>
      <c r="AC314"/>
    </row>
    <row r="315" spans="1:29" x14ac:dyDescent="0.25">
      <c r="A315"/>
      <c r="B315"/>
      <c r="C315"/>
      <c r="D315"/>
      <c r="E315"/>
      <c r="F315"/>
      <c r="G315"/>
      <c r="H315"/>
      <c r="I315"/>
      <c r="J315"/>
      <c r="K315"/>
      <c r="L315"/>
      <c r="M315"/>
      <c r="N315"/>
      <c r="O315"/>
      <c r="P315"/>
      <c r="Q315"/>
      <c r="R315"/>
      <c r="S315"/>
      <c r="T315"/>
      <c r="U315"/>
      <c r="V315"/>
      <c r="W315"/>
      <c r="X315"/>
      <c r="Y315"/>
      <c r="Z315"/>
      <c r="AA315"/>
      <c r="AB315"/>
      <c r="AC315"/>
    </row>
    <row r="316" spans="1:29" x14ac:dyDescent="0.25">
      <c r="A316"/>
      <c r="B316"/>
      <c r="C316"/>
      <c r="D316"/>
      <c r="E316"/>
      <c r="F316"/>
      <c r="G316"/>
      <c r="H316"/>
      <c r="I316"/>
      <c r="J316"/>
      <c r="K316"/>
      <c r="L316"/>
      <c r="M316"/>
      <c r="N316"/>
      <c r="O316"/>
      <c r="P316"/>
      <c r="Q316"/>
      <c r="R316"/>
      <c r="S316"/>
      <c r="T316"/>
      <c r="U316"/>
      <c r="V316"/>
      <c r="W316"/>
      <c r="X316"/>
      <c r="Y316"/>
      <c r="Z316"/>
      <c r="AA316"/>
      <c r="AB316"/>
      <c r="AC316"/>
    </row>
    <row r="317" spans="1:29" x14ac:dyDescent="0.25">
      <c r="A317"/>
      <c r="B317"/>
      <c r="C317"/>
      <c r="D317"/>
      <c r="E317"/>
      <c r="F317"/>
      <c r="G317"/>
      <c r="H317"/>
      <c r="I317"/>
      <c r="J317"/>
      <c r="K317"/>
      <c r="L317"/>
      <c r="M317"/>
      <c r="N317"/>
      <c r="O317"/>
      <c r="P317"/>
      <c r="Q317"/>
      <c r="R317"/>
      <c r="S317"/>
      <c r="T317"/>
      <c r="U317"/>
      <c r="V317"/>
      <c r="W317"/>
      <c r="X317"/>
      <c r="Y317"/>
      <c r="Z317"/>
      <c r="AA317"/>
      <c r="AB317"/>
      <c r="AC317"/>
    </row>
    <row r="318" spans="1:29" x14ac:dyDescent="0.25">
      <c r="A318"/>
      <c r="B318"/>
      <c r="C318"/>
      <c r="D318"/>
      <c r="E318"/>
      <c r="F318"/>
      <c r="G318"/>
      <c r="H318"/>
      <c r="I318"/>
      <c r="J318"/>
      <c r="K318"/>
      <c r="L318"/>
      <c r="M318"/>
      <c r="N318"/>
      <c r="O318"/>
      <c r="P318"/>
      <c r="Q318"/>
      <c r="R318"/>
      <c r="S318"/>
      <c r="T318"/>
      <c r="U318"/>
      <c r="V318"/>
      <c r="W318"/>
      <c r="X318"/>
      <c r="Y318"/>
      <c r="Z318"/>
      <c r="AA318"/>
      <c r="AB318"/>
      <c r="AC318"/>
    </row>
    <row r="319" spans="1:29" x14ac:dyDescent="0.25">
      <c r="A319"/>
      <c r="B319"/>
      <c r="C319"/>
      <c r="D319"/>
      <c r="E319"/>
      <c r="F319"/>
      <c r="G319"/>
      <c r="H319"/>
      <c r="I319"/>
      <c r="J319"/>
      <c r="K319"/>
      <c r="L319"/>
      <c r="M319"/>
      <c r="N319"/>
      <c r="O319"/>
      <c r="P319"/>
      <c r="Q319"/>
      <c r="R319"/>
      <c r="S319"/>
      <c r="T319"/>
      <c r="U319"/>
      <c r="V319"/>
      <c r="W319"/>
      <c r="X319"/>
      <c r="Y319"/>
      <c r="Z319"/>
      <c r="AA319"/>
      <c r="AB319"/>
      <c r="AC319"/>
    </row>
    <row r="320" spans="1:29" x14ac:dyDescent="0.25">
      <c r="A320"/>
      <c r="B320"/>
      <c r="C320"/>
      <c r="D320"/>
      <c r="E320"/>
      <c r="F320"/>
      <c r="G320"/>
      <c r="H320"/>
      <c r="I320"/>
      <c r="J320"/>
      <c r="K320"/>
      <c r="L320"/>
      <c r="M320"/>
      <c r="N320"/>
      <c r="O320"/>
      <c r="P320"/>
      <c r="Q320"/>
      <c r="R320"/>
      <c r="S320"/>
      <c r="T320"/>
      <c r="U320"/>
      <c r="V320"/>
      <c r="W320"/>
      <c r="X320"/>
      <c r="Y320"/>
      <c r="Z320"/>
      <c r="AA320"/>
      <c r="AB320"/>
      <c r="AC320"/>
    </row>
    <row r="321" spans="1:29" x14ac:dyDescent="0.25">
      <c r="A321"/>
      <c r="B321"/>
      <c r="C321"/>
      <c r="D321"/>
      <c r="E321"/>
      <c r="F321"/>
      <c r="G321"/>
      <c r="H321"/>
      <c r="I321"/>
      <c r="J321"/>
      <c r="K321"/>
      <c r="L321"/>
      <c r="M321"/>
      <c r="N321"/>
      <c r="O321"/>
      <c r="P321"/>
      <c r="Q321"/>
      <c r="R321"/>
      <c r="S321"/>
      <c r="T321"/>
      <c r="U321"/>
      <c r="V321"/>
      <c r="W321"/>
      <c r="X321"/>
      <c r="Y321"/>
      <c r="Z321"/>
      <c r="AA321"/>
      <c r="AB321"/>
      <c r="AC321"/>
    </row>
    <row r="322" spans="1:29" x14ac:dyDescent="0.25">
      <c r="A322"/>
      <c r="B322"/>
      <c r="C322"/>
      <c r="D322"/>
      <c r="E322"/>
      <c r="F322"/>
      <c r="G322"/>
      <c r="H322"/>
      <c r="I322"/>
      <c r="J322"/>
      <c r="K322"/>
      <c r="L322"/>
      <c r="M322"/>
      <c r="N322"/>
      <c r="O322"/>
      <c r="P322"/>
      <c r="Q322"/>
      <c r="R322"/>
      <c r="S322"/>
      <c r="T322"/>
      <c r="U322"/>
      <c r="V322"/>
      <c r="W322"/>
      <c r="X322"/>
      <c r="Y322"/>
      <c r="Z322"/>
      <c r="AA322"/>
      <c r="AB322"/>
      <c r="AC322"/>
    </row>
    <row r="323" spans="1:29" x14ac:dyDescent="0.25">
      <c r="A323"/>
      <c r="B323"/>
      <c r="C323"/>
      <c r="D323"/>
      <c r="E323"/>
      <c r="F323"/>
      <c r="G323"/>
      <c r="H323"/>
      <c r="I323"/>
      <c r="J323"/>
      <c r="K323"/>
      <c r="L323"/>
      <c r="M323"/>
      <c r="N323"/>
      <c r="O323"/>
      <c r="P323"/>
      <c r="Q323"/>
      <c r="R323"/>
      <c r="S323"/>
      <c r="T323"/>
      <c r="U323"/>
      <c r="V323"/>
      <c r="W323"/>
      <c r="X323"/>
      <c r="Y323"/>
      <c r="Z323"/>
      <c r="AA323"/>
      <c r="AB323"/>
      <c r="AC323"/>
    </row>
    <row r="324" spans="1:29" x14ac:dyDescent="0.25">
      <c r="A324"/>
      <c r="B324"/>
      <c r="C324"/>
      <c r="D324"/>
      <c r="E324"/>
      <c r="F324"/>
      <c r="G324"/>
      <c r="H324"/>
      <c r="I324"/>
      <c r="J324"/>
      <c r="K324"/>
      <c r="L324"/>
      <c r="M324"/>
      <c r="N324"/>
      <c r="O324"/>
      <c r="P324"/>
      <c r="Q324"/>
      <c r="R324"/>
      <c r="S324"/>
      <c r="T324"/>
      <c r="U324"/>
      <c r="V324"/>
      <c r="W324"/>
      <c r="X324"/>
      <c r="Y324"/>
      <c r="Z324"/>
      <c r="AA324"/>
      <c r="AB324"/>
      <c r="AC324"/>
    </row>
    <row r="325" spans="1:29" x14ac:dyDescent="0.25">
      <c r="A325"/>
      <c r="B325"/>
      <c r="C325"/>
      <c r="D325"/>
      <c r="E325"/>
      <c r="F325"/>
      <c r="G325"/>
      <c r="H325"/>
      <c r="I325"/>
      <c r="J325"/>
      <c r="K325"/>
      <c r="L325"/>
      <c r="M325"/>
      <c r="N325"/>
      <c r="O325"/>
      <c r="P325"/>
      <c r="Q325"/>
      <c r="R325"/>
      <c r="S325"/>
      <c r="T325"/>
      <c r="U325"/>
      <c r="V325"/>
      <c r="W325"/>
      <c r="X325"/>
      <c r="Y325"/>
      <c r="Z325"/>
      <c r="AA325"/>
      <c r="AB325"/>
      <c r="AC325"/>
    </row>
    <row r="326" spans="1:29" x14ac:dyDescent="0.25">
      <c r="A326"/>
      <c r="B326"/>
      <c r="C326"/>
      <c r="D326"/>
      <c r="E326"/>
      <c r="F326"/>
      <c r="G326"/>
      <c r="H326"/>
      <c r="I326"/>
      <c r="J326"/>
      <c r="K326"/>
      <c r="L326"/>
      <c r="M326"/>
      <c r="N326"/>
      <c r="O326"/>
      <c r="P326"/>
      <c r="Q326"/>
      <c r="R326"/>
      <c r="S326"/>
      <c r="T326"/>
      <c r="U326"/>
      <c r="V326"/>
      <c r="W326"/>
      <c r="X326"/>
      <c r="Y326"/>
      <c r="Z326"/>
      <c r="AA326"/>
      <c r="AB326"/>
      <c r="AC326"/>
    </row>
    <row r="327" spans="1:29" x14ac:dyDescent="0.25">
      <c r="A327"/>
      <c r="B327"/>
      <c r="C327"/>
      <c r="D327"/>
      <c r="E327"/>
      <c r="F327"/>
      <c r="G327"/>
      <c r="H327"/>
      <c r="I327"/>
      <c r="J327"/>
      <c r="K327"/>
      <c r="L327"/>
      <c r="M327"/>
      <c r="N327"/>
      <c r="O327"/>
      <c r="P327"/>
      <c r="Q327"/>
      <c r="R327"/>
      <c r="S327"/>
      <c r="T327"/>
      <c r="U327"/>
      <c r="V327"/>
      <c r="W327"/>
      <c r="X327"/>
      <c r="Y327"/>
      <c r="Z327"/>
      <c r="AA327"/>
      <c r="AB327"/>
      <c r="AC327"/>
    </row>
    <row r="328" spans="1:29" x14ac:dyDescent="0.25">
      <c r="A328"/>
      <c r="B328"/>
      <c r="C328"/>
      <c r="D328"/>
      <c r="E328"/>
      <c r="F328"/>
      <c r="G328"/>
      <c r="H328"/>
      <c r="I328"/>
      <c r="J328"/>
      <c r="K328"/>
      <c r="L328"/>
      <c r="M328"/>
      <c r="N328"/>
      <c r="O328"/>
      <c r="P328"/>
      <c r="Q328"/>
      <c r="R328"/>
      <c r="S328"/>
      <c r="T328"/>
      <c r="U328"/>
      <c r="V328"/>
      <c r="W328"/>
      <c r="X328"/>
      <c r="Y328"/>
      <c r="Z328"/>
      <c r="AA328"/>
      <c r="AB328"/>
      <c r="AC328"/>
    </row>
    <row r="329" spans="1:29" x14ac:dyDescent="0.25">
      <c r="A329"/>
      <c r="B329"/>
      <c r="C329"/>
      <c r="D329"/>
      <c r="E329"/>
      <c r="F329"/>
      <c r="G329"/>
      <c r="H329"/>
      <c r="I329"/>
      <c r="J329"/>
      <c r="K329"/>
      <c r="L329"/>
      <c r="M329"/>
      <c r="N329"/>
      <c r="O329"/>
      <c r="P329"/>
      <c r="Q329"/>
      <c r="R329"/>
      <c r="S329"/>
      <c r="T329"/>
      <c r="U329"/>
      <c r="V329"/>
      <c r="W329"/>
      <c r="X329"/>
      <c r="Y329"/>
      <c r="Z329"/>
      <c r="AA329"/>
      <c r="AB329"/>
      <c r="AC329"/>
    </row>
    <row r="330" spans="1:29" x14ac:dyDescent="0.25">
      <c r="A330"/>
      <c r="B330"/>
      <c r="C330"/>
      <c r="D330"/>
      <c r="E330"/>
      <c r="F330"/>
      <c r="G330"/>
      <c r="H330"/>
      <c r="I330"/>
      <c r="J330"/>
      <c r="K330"/>
      <c r="L330"/>
      <c r="M330"/>
      <c r="N330"/>
      <c r="O330"/>
      <c r="P330"/>
      <c r="Q330"/>
      <c r="R330"/>
      <c r="S330"/>
      <c r="T330"/>
      <c r="U330"/>
      <c r="V330"/>
      <c r="W330"/>
      <c r="X330"/>
      <c r="Y330"/>
      <c r="Z330"/>
      <c r="AA330"/>
      <c r="AB330"/>
      <c r="AC330"/>
    </row>
    <row r="331" spans="1:29" x14ac:dyDescent="0.25">
      <c r="A331"/>
      <c r="B331"/>
      <c r="C331"/>
      <c r="D331"/>
      <c r="E331"/>
      <c r="F331"/>
      <c r="G331"/>
      <c r="H331"/>
      <c r="I331"/>
      <c r="J331"/>
      <c r="K331"/>
      <c r="L331"/>
      <c r="M331"/>
      <c r="N331"/>
      <c r="O331"/>
      <c r="P331"/>
      <c r="Q331"/>
      <c r="R331"/>
      <c r="S331"/>
      <c r="T331"/>
      <c r="U331"/>
      <c r="V331"/>
      <c r="W331"/>
      <c r="X331"/>
      <c r="Y331"/>
      <c r="Z331"/>
      <c r="AA331"/>
      <c r="AB331"/>
      <c r="AC331"/>
    </row>
    <row r="332" spans="1:29" x14ac:dyDescent="0.25">
      <c r="A332"/>
      <c r="B332"/>
      <c r="C332"/>
      <c r="D332"/>
      <c r="E332"/>
      <c r="F332"/>
      <c r="G332"/>
      <c r="H332"/>
      <c r="I332"/>
      <c r="J332"/>
      <c r="K332"/>
      <c r="L332"/>
      <c r="M332"/>
      <c r="N332"/>
      <c r="O332"/>
      <c r="P332"/>
      <c r="Q332"/>
      <c r="R332"/>
      <c r="S332"/>
      <c r="T332"/>
      <c r="U332"/>
      <c r="V332"/>
      <c r="W332"/>
      <c r="X332"/>
      <c r="Y332"/>
      <c r="Z332"/>
      <c r="AA332"/>
      <c r="AB332"/>
      <c r="AC332"/>
    </row>
    <row r="333" spans="1:29" x14ac:dyDescent="0.25">
      <c r="A333"/>
      <c r="B333"/>
      <c r="C333"/>
      <c r="D333"/>
      <c r="E333"/>
      <c r="F333"/>
      <c r="G333"/>
      <c r="H333"/>
      <c r="I333"/>
      <c r="J333"/>
      <c r="K333"/>
      <c r="L333"/>
      <c r="M333"/>
      <c r="N333"/>
      <c r="O333"/>
      <c r="P333"/>
      <c r="Q333"/>
      <c r="R333"/>
      <c r="S333"/>
      <c r="T333"/>
      <c r="U333"/>
      <c r="V333"/>
      <c r="W333"/>
      <c r="X333"/>
      <c r="Y333"/>
      <c r="Z333"/>
      <c r="AA333"/>
      <c r="AB333"/>
      <c r="AC333"/>
    </row>
    <row r="334" spans="1:29" x14ac:dyDescent="0.25">
      <c r="A334"/>
      <c r="B334"/>
      <c r="C334"/>
      <c r="D334"/>
      <c r="E334"/>
      <c r="F334"/>
      <c r="G334"/>
      <c r="H334"/>
      <c r="I334"/>
      <c r="J334"/>
      <c r="K334"/>
      <c r="L334"/>
      <c r="M334"/>
      <c r="N334"/>
      <c r="O334"/>
      <c r="P334"/>
      <c r="Q334"/>
      <c r="R334"/>
      <c r="S334"/>
      <c r="T334"/>
      <c r="U334"/>
      <c r="V334"/>
      <c r="W334"/>
      <c r="X334"/>
      <c r="Y334"/>
      <c r="Z334"/>
      <c r="AA334"/>
      <c r="AB334"/>
      <c r="AC334"/>
    </row>
    <row r="335" spans="1:29" x14ac:dyDescent="0.25">
      <c r="A335"/>
      <c r="B335"/>
      <c r="C335"/>
      <c r="D335"/>
      <c r="E335"/>
      <c r="F335"/>
      <c r="G335"/>
      <c r="H335"/>
      <c r="I335"/>
      <c r="J335"/>
      <c r="K335"/>
      <c r="L335"/>
      <c r="M335"/>
      <c r="N335"/>
      <c r="O335"/>
      <c r="P335"/>
      <c r="Q335"/>
      <c r="R335"/>
      <c r="S335"/>
      <c r="T335"/>
      <c r="U335"/>
      <c r="V335"/>
      <c r="W335"/>
      <c r="X335"/>
      <c r="Y335"/>
      <c r="Z335"/>
      <c r="AA335"/>
      <c r="AB335"/>
      <c r="AC335"/>
    </row>
    <row r="336" spans="1:29" x14ac:dyDescent="0.25">
      <c r="A336"/>
      <c r="B336"/>
      <c r="C336"/>
      <c r="D336"/>
      <c r="E336"/>
      <c r="F336"/>
      <c r="G336"/>
      <c r="H336"/>
      <c r="I336"/>
      <c r="J336"/>
      <c r="K336"/>
      <c r="L336"/>
      <c r="M336"/>
      <c r="N336"/>
      <c r="O336"/>
      <c r="P336"/>
      <c r="Q336"/>
      <c r="R336"/>
      <c r="S336"/>
      <c r="T336"/>
      <c r="U336"/>
      <c r="V336"/>
      <c r="W336"/>
      <c r="X336"/>
      <c r="Y336"/>
      <c r="Z336"/>
      <c r="AA336"/>
      <c r="AB336"/>
      <c r="AC336"/>
    </row>
    <row r="337" spans="1:29" x14ac:dyDescent="0.25">
      <c r="A337"/>
      <c r="B337"/>
      <c r="C337"/>
      <c r="D337"/>
      <c r="E337"/>
      <c r="F337"/>
      <c r="G337"/>
      <c r="H337"/>
      <c r="I337"/>
      <c r="J337"/>
      <c r="K337"/>
      <c r="L337"/>
      <c r="M337"/>
      <c r="N337"/>
      <c r="O337"/>
      <c r="P337"/>
      <c r="Q337"/>
      <c r="R337"/>
      <c r="S337"/>
      <c r="T337"/>
      <c r="U337"/>
      <c r="V337"/>
      <c r="W337"/>
      <c r="X337"/>
      <c r="Y337"/>
      <c r="Z337"/>
      <c r="AA337"/>
      <c r="AB337"/>
      <c r="AC337"/>
    </row>
    <row r="338" spans="1:29" x14ac:dyDescent="0.25">
      <c r="A338"/>
      <c r="B338"/>
      <c r="C338"/>
      <c r="D338"/>
      <c r="E338"/>
      <c r="F338"/>
      <c r="G338"/>
      <c r="H338"/>
      <c r="I338"/>
      <c r="J338"/>
      <c r="K338"/>
      <c r="L338"/>
      <c r="M338"/>
      <c r="N338"/>
      <c r="O338"/>
      <c r="P338"/>
      <c r="Q338"/>
      <c r="R338"/>
      <c r="S338"/>
      <c r="T338"/>
      <c r="U338"/>
      <c r="V338"/>
      <c r="W338"/>
      <c r="X338"/>
      <c r="Y338"/>
      <c r="Z338"/>
      <c r="AA338"/>
      <c r="AB338"/>
      <c r="AC338"/>
    </row>
    <row r="339" spans="1:29" x14ac:dyDescent="0.25">
      <c r="A339"/>
      <c r="B339"/>
      <c r="C339"/>
      <c r="D339"/>
      <c r="E339"/>
      <c r="F339"/>
      <c r="G339"/>
      <c r="H339"/>
      <c r="I339"/>
      <c r="J339"/>
      <c r="K339"/>
      <c r="L339"/>
      <c r="M339"/>
      <c r="N339"/>
      <c r="O339"/>
      <c r="P339"/>
      <c r="Q339"/>
      <c r="R339"/>
      <c r="S339"/>
      <c r="T339"/>
      <c r="U339"/>
      <c r="V339"/>
      <c r="W339"/>
      <c r="X339"/>
      <c r="Y339"/>
      <c r="Z339"/>
      <c r="AA339"/>
      <c r="AB339"/>
      <c r="AC339"/>
    </row>
    <row r="340" spans="1:29" x14ac:dyDescent="0.25">
      <c r="A340"/>
      <c r="B340"/>
      <c r="C340"/>
      <c r="D340"/>
      <c r="E340"/>
      <c r="F340"/>
      <c r="G340"/>
      <c r="H340"/>
      <c r="I340"/>
      <c r="J340"/>
      <c r="K340"/>
      <c r="L340"/>
      <c r="M340"/>
      <c r="N340"/>
      <c r="O340"/>
      <c r="P340"/>
      <c r="Q340"/>
      <c r="R340"/>
      <c r="S340"/>
      <c r="T340"/>
      <c r="U340"/>
      <c r="V340"/>
      <c r="W340"/>
      <c r="X340"/>
      <c r="Y340"/>
      <c r="Z340"/>
      <c r="AA340"/>
      <c r="AB340"/>
      <c r="AC340"/>
    </row>
    <row r="341" spans="1:29" x14ac:dyDescent="0.25">
      <c r="A341"/>
      <c r="B341"/>
      <c r="C341"/>
      <c r="D341"/>
      <c r="E341"/>
      <c r="F341"/>
      <c r="G341"/>
      <c r="H341"/>
      <c r="I341"/>
      <c r="J341"/>
      <c r="K341"/>
      <c r="L341"/>
      <c r="M341"/>
      <c r="N341"/>
      <c r="O341"/>
      <c r="P341"/>
      <c r="Q341"/>
      <c r="R341"/>
      <c r="S341"/>
      <c r="T341"/>
      <c r="U341"/>
      <c r="V341"/>
      <c r="W341"/>
      <c r="X341"/>
      <c r="Y341"/>
      <c r="Z341"/>
      <c r="AA341"/>
      <c r="AB341"/>
      <c r="AC341"/>
    </row>
    <row r="342" spans="1:29" x14ac:dyDescent="0.25">
      <c r="A342"/>
      <c r="B342"/>
      <c r="C342"/>
      <c r="D342"/>
      <c r="E342"/>
      <c r="F342"/>
      <c r="G342"/>
      <c r="H342"/>
      <c r="I342"/>
      <c r="J342"/>
      <c r="K342"/>
      <c r="L342"/>
      <c r="M342"/>
      <c r="N342"/>
      <c r="O342"/>
      <c r="P342"/>
      <c r="Q342"/>
      <c r="R342"/>
      <c r="S342"/>
      <c r="T342"/>
      <c r="U342"/>
      <c r="V342"/>
      <c r="W342"/>
      <c r="X342"/>
      <c r="Y342"/>
      <c r="Z342"/>
      <c r="AA342"/>
      <c r="AB342"/>
      <c r="AC342"/>
    </row>
    <row r="343" spans="1:29" x14ac:dyDescent="0.25">
      <c r="A343"/>
      <c r="B343"/>
      <c r="C343"/>
      <c r="D343"/>
      <c r="E343"/>
      <c r="F343"/>
      <c r="G343"/>
      <c r="H343"/>
      <c r="I343"/>
      <c r="J343"/>
      <c r="K343"/>
      <c r="L343"/>
      <c r="M343"/>
      <c r="N343"/>
      <c r="O343"/>
      <c r="P343"/>
      <c r="Q343"/>
      <c r="R343"/>
      <c r="S343"/>
      <c r="T343"/>
      <c r="U343"/>
      <c r="V343"/>
      <c r="W343"/>
      <c r="X343"/>
      <c r="Y343"/>
      <c r="Z343"/>
      <c r="AA343"/>
      <c r="AB343"/>
      <c r="AC343"/>
    </row>
    <row r="344" spans="1:29" x14ac:dyDescent="0.25">
      <c r="A344"/>
      <c r="B344"/>
      <c r="C344"/>
      <c r="D344"/>
      <c r="E344"/>
      <c r="F344"/>
      <c r="G344"/>
      <c r="H344"/>
      <c r="I344"/>
      <c r="J344"/>
      <c r="K344"/>
      <c r="L344"/>
      <c r="M344"/>
      <c r="N344"/>
      <c r="O344"/>
      <c r="P344"/>
      <c r="Q344"/>
      <c r="R344"/>
      <c r="S344"/>
      <c r="T344"/>
      <c r="U344"/>
      <c r="V344"/>
      <c r="W344"/>
      <c r="X344"/>
      <c r="Y344"/>
      <c r="Z344"/>
      <c r="AA344"/>
      <c r="AB344"/>
      <c r="AC344"/>
    </row>
    <row r="345" spans="1:29" x14ac:dyDescent="0.25">
      <c r="A345"/>
      <c r="B345"/>
      <c r="C345"/>
      <c r="D345"/>
      <c r="E345"/>
      <c r="F345"/>
      <c r="G345"/>
      <c r="H345"/>
      <c r="I345"/>
      <c r="J345"/>
      <c r="K345"/>
      <c r="L345"/>
      <c r="M345"/>
      <c r="N345"/>
      <c r="O345"/>
      <c r="P345"/>
      <c r="Q345"/>
      <c r="R345"/>
      <c r="S345"/>
      <c r="T345"/>
      <c r="U345"/>
      <c r="V345"/>
      <c r="W345"/>
      <c r="X345"/>
      <c r="Y345"/>
      <c r="Z345"/>
      <c r="AA345"/>
      <c r="AB345"/>
      <c r="AC345"/>
    </row>
    <row r="346" spans="1:29" x14ac:dyDescent="0.25">
      <c r="A346"/>
      <c r="B346"/>
      <c r="C346"/>
      <c r="D346"/>
      <c r="E346"/>
      <c r="F346"/>
      <c r="G346"/>
      <c r="H346"/>
      <c r="I346"/>
      <c r="J346"/>
      <c r="K346"/>
      <c r="L346"/>
      <c r="M346"/>
      <c r="N346"/>
      <c r="O346"/>
      <c r="P346"/>
      <c r="Q346"/>
      <c r="R346"/>
      <c r="S346"/>
      <c r="T346"/>
      <c r="U346"/>
      <c r="V346"/>
      <c r="W346"/>
      <c r="X346"/>
      <c r="Y346"/>
      <c r="Z346"/>
      <c r="AA346"/>
      <c r="AB346"/>
      <c r="AC346"/>
    </row>
    <row r="347" spans="1:29" x14ac:dyDescent="0.25">
      <c r="A347"/>
      <c r="B347"/>
      <c r="C347"/>
      <c r="D347"/>
      <c r="E347"/>
      <c r="F347"/>
      <c r="G347"/>
      <c r="H347"/>
      <c r="I347"/>
      <c r="J347"/>
      <c r="K347"/>
      <c r="L347"/>
      <c r="M347"/>
      <c r="N347"/>
      <c r="O347"/>
      <c r="P347"/>
      <c r="Q347"/>
      <c r="R347"/>
      <c r="S347"/>
      <c r="T347"/>
      <c r="U347"/>
      <c r="V347"/>
      <c r="W347"/>
      <c r="X347"/>
      <c r="Y347"/>
      <c r="Z347"/>
      <c r="AA347"/>
      <c r="AB347"/>
      <c r="AC347"/>
    </row>
    <row r="348" spans="1:29" x14ac:dyDescent="0.25">
      <c r="A348"/>
      <c r="B348"/>
      <c r="C348"/>
      <c r="D348"/>
      <c r="E348"/>
      <c r="F348"/>
      <c r="G348"/>
      <c r="H348"/>
      <c r="I348"/>
      <c r="J348"/>
      <c r="K348"/>
      <c r="L348"/>
      <c r="M348"/>
      <c r="N348"/>
      <c r="O348"/>
      <c r="P348"/>
      <c r="Q348"/>
      <c r="R348"/>
      <c r="S348"/>
      <c r="T348"/>
      <c r="U348"/>
      <c r="V348"/>
      <c r="W348"/>
      <c r="X348"/>
      <c r="Y348"/>
      <c r="Z348"/>
      <c r="AA348"/>
      <c r="AB348"/>
      <c r="AC348"/>
    </row>
    <row r="349" spans="1:29" x14ac:dyDescent="0.25">
      <c r="A349"/>
      <c r="B349"/>
      <c r="C349"/>
      <c r="D349"/>
      <c r="E349"/>
      <c r="F349"/>
      <c r="G349"/>
      <c r="H349"/>
      <c r="I349"/>
      <c r="J349"/>
      <c r="K349"/>
      <c r="L349"/>
      <c r="M349"/>
      <c r="N349"/>
      <c r="O349"/>
      <c r="P349"/>
      <c r="Q349"/>
      <c r="R349"/>
      <c r="S349"/>
      <c r="T349"/>
      <c r="U349"/>
      <c r="V349"/>
      <c r="W349"/>
      <c r="X349"/>
      <c r="Y349"/>
      <c r="Z349"/>
      <c r="AA349"/>
      <c r="AB349"/>
      <c r="AC349"/>
    </row>
    <row r="350" spans="1:29" x14ac:dyDescent="0.25">
      <c r="A350"/>
      <c r="B350"/>
      <c r="C350"/>
      <c r="D350"/>
      <c r="E350"/>
      <c r="F350"/>
      <c r="G350"/>
      <c r="H350"/>
      <c r="I350"/>
      <c r="J350"/>
      <c r="K350"/>
      <c r="L350"/>
      <c r="M350"/>
      <c r="N350"/>
      <c r="O350"/>
      <c r="P350"/>
      <c r="Q350"/>
      <c r="R350"/>
      <c r="S350"/>
      <c r="T350"/>
      <c r="U350"/>
      <c r="V350"/>
      <c r="W350"/>
      <c r="X350"/>
      <c r="Y350"/>
      <c r="Z350"/>
      <c r="AA350"/>
      <c r="AB350"/>
      <c r="AC350"/>
    </row>
    <row r="351" spans="1:29" x14ac:dyDescent="0.25">
      <c r="A351"/>
      <c r="B351"/>
      <c r="C351"/>
      <c r="D351"/>
      <c r="E351"/>
      <c r="F351"/>
      <c r="G351"/>
      <c r="H351"/>
      <c r="I351"/>
      <c r="J351"/>
      <c r="K351"/>
      <c r="L351"/>
      <c r="M351"/>
      <c r="N351"/>
      <c r="O351"/>
      <c r="P351"/>
      <c r="Q351"/>
      <c r="R351"/>
      <c r="S351"/>
      <c r="T351"/>
      <c r="U351"/>
      <c r="V351"/>
      <c r="W351"/>
      <c r="X351"/>
      <c r="Y351"/>
      <c r="Z351"/>
      <c r="AA351"/>
      <c r="AB351"/>
      <c r="AC351"/>
    </row>
    <row r="352" spans="1:29" x14ac:dyDescent="0.25">
      <c r="A352"/>
      <c r="B352"/>
      <c r="C352"/>
      <c r="D352"/>
      <c r="E352"/>
      <c r="F352"/>
      <c r="G352"/>
      <c r="H352"/>
      <c r="I352"/>
      <c r="J352"/>
      <c r="K352"/>
      <c r="L352"/>
      <c r="M352"/>
      <c r="N352"/>
      <c r="O352"/>
      <c r="P352"/>
      <c r="Q352"/>
      <c r="R352"/>
      <c r="S352"/>
      <c r="T352"/>
      <c r="U352"/>
      <c r="V352"/>
      <c r="W352"/>
      <c r="X352"/>
      <c r="Y352"/>
      <c r="Z352"/>
      <c r="AA352"/>
      <c r="AB352"/>
      <c r="AC352"/>
    </row>
    <row r="353" spans="1:29" x14ac:dyDescent="0.25">
      <c r="A353"/>
      <c r="B353"/>
      <c r="C353"/>
      <c r="D353"/>
      <c r="E353"/>
      <c r="F353"/>
      <c r="G353"/>
      <c r="H353"/>
      <c r="I353"/>
      <c r="J353"/>
      <c r="K353"/>
      <c r="L353"/>
      <c r="M353"/>
      <c r="N353"/>
      <c r="O353"/>
      <c r="P353"/>
      <c r="Q353"/>
      <c r="R353"/>
      <c r="S353"/>
      <c r="T353"/>
      <c r="U353"/>
      <c r="V353"/>
      <c r="W353"/>
      <c r="X353"/>
      <c r="Y353"/>
      <c r="Z353"/>
      <c r="AA353"/>
      <c r="AB353"/>
      <c r="AC353"/>
    </row>
    <row r="354" spans="1:29" x14ac:dyDescent="0.25">
      <c r="A354"/>
      <c r="B354"/>
      <c r="C354"/>
      <c r="D354"/>
      <c r="E354"/>
      <c r="F354"/>
      <c r="G354"/>
      <c r="H354"/>
      <c r="I354"/>
      <c r="J354"/>
      <c r="K354"/>
      <c r="L354"/>
      <c r="M354"/>
      <c r="N354"/>
      <c r="O354"/>
      <c r="P354"/>
      <c r="Q354"/>
      <c r="R354"/>
      <c r="S354"/>
      <c r="T354"/>
      <c r="U354"/>
      <c r="V354"/>
      <c r="W354"/>
      <c r="X354"/>
      <c r="Y354"/>
      <c r="Z354"/>
      <c r="AA354"/>
      <c r="AB354"/>
      <c r="AC354"/>
    </row>
    <row r="355" spans="1:29" x14ac:dyDescent="0.25">
      <c r="A355"/>
      <c r="B355"/>
      <c r="C355"/>
      <c r="D355"/>
      <c r="E355"/>
      <c r="F355"/>
      <c r="G355"/>
      <c r="H355"/>
      <c r="I355"/>
      <c r="J355"/>
      <c r="K355"/>
      <c r="L355"/>
      <c r="M355"/>
      <c r="N355"/>
      <c r="O355"/>
      <c r="P355"/>
      <c r="Q355"/>
      <c r="R355"/>
      <c r="S355"/>
      <c r="T355"/>
      <c r="U355"/>
      <c r="V355"/>
      <c r="W355"/>
      <c r="X355"/>
      <c r="Y355"/>
      <c r="Z355"/>
      <c r="AA355"/>
      <c r="AB355"/>
      <c r="AC355"/>
    </row>
    <row r="356" spans="1:29" x14ac:dyDescent="0.25">
      <c r="A356"/>
      <c r="B356"/>
      <c r="C356"/>
      <c r="D356"/>
      <c r="E356"/>
      <c r="F356"/>
      <c r="G356"/>
      <c r="H356"/>
      <c r="I356"/>
      <c r="J356"/>
      <c r="K356"/>
      <c r="L356"/>
      <c r="M356"/>
      <c r="N356"/>
      <c r="O356"/>
      <c r="P356"/>
      <c r="Q356"/>
      <c r="R356"/>
      <c r="S356"/>
      <c r="T356"/>
      <c r="U356"/>
      <c r="V356"/>
      <c r="W356"/>
      <c r="X356"/>
      <c r="Y356"/>
      <c r="Z356"/>
      <c r="AA356"/>
      <c r="AB356"/>
      <c r="AC356"/>
    </row>
    <row r="357" spans="1:29" x14ac:dyDescent="0.25">
      <c r="A357"/>
      <c r="B357"/>
      <c r="C357"/>
      <c r="D357"/>
      <c r="E357"/>
      <c r="F357"/>
      <c r="G357"/>
      <c r="H357"/>
      <c r="I357"/>
      <c r="J357"/>
      <c r="K357"/>
      <c r="L357"/>
      <c r="M357"/>
      <c r="N357"/>
      <c r="O357"/>
      <c r="P357"/>
      <c r="Q357"/>
      <c r="R357"/>
      <c r="S357"/>
      <c r="T357"/>
      <c r="U357"/>
      <c r="V357"/>
      <c r="W357"/>
      <c r="X357"/>
      <c r="Y357"/>
      <c r="Z357"/>
      <c r="AA357"/>
      <c r="AB357"/>
      <c r="AC357"/>
    </row>
    <row r="358" spans="1:29" x14ac:dyDescent="0.25">
      <c r="A358"/>
      <c r="B358"/>
      <c r="C358"/>
      <c r="D358"/>
      <c r="E358"/>
      <c r="F358"/>
      <c r="G358"/>
      <c r="H358"/>
      <c r="I358"/>
      <c r="J358"/>
      <c r="K358"/>
      <c r="L358"/>
      <c r="M358"/>
      <c r="N358"/>
      <c r="O358"/>
      <c r="P358"/>
      <c r="Q358"/>
      <c r="R358"/>
      <c r="S358"/>
      <c r="T358"/>
      <c r="U358"/>
      <c r="V358"/>
      <c r="W358"/>
      <c r="X358"/>
      <c r="Y358"/>
      <c r="Z358"/>
      <c r="AA358"/>
      <c r="AB358"/>
      <c r="AC358"/>
    </row>
    <row r="359" spans="1:29" x14ac:dyDescent="0.25">
      <c r="A359"/>
      <c r="B359"/>
      <c r="C359"/>
      <c r="D359"/>
      <c r="E359"/>
      <c r="F359"/>
      <c r="G359"/>
      <c r="H359"/>
      <c r="I359"/>
      <c r="J359"/>
      <c r="K359"/>
      <c r="L359"/>
      <c r="M359"/>
      <c r="N359"/>
      <c r="O359"/>
      <c r="P359"/>
      <c r="Q359"/>
      <c r="R359"/>
      <c r="S359"/>
      <c r="T359"/>
      <c r="U359"/>
      <c r="V359"/>
      <c r="W359"/>
      <c r="X359"/>
      <c r="Y359"/>
      <c r="Z359"/>
      <c r="AA359"/>
      <c r="AB359"/>
      <c r="AC359"/>
    </row>
    <row r="360" spans="1:29" x14ac:dyDescent="0.25">
      <c r="A360"/>
      <c r="B360"/>
      <c r="C360"/>
      <c r="D360"/>
      <c r="E360"/>
      <c r="F360"/>
      <c r="G360"/>
      <c r="H360"/>
      <c r="I360"/>
      <c r="J360"/>
      <c r="K360"/>
      <c r="L360"/>
      <c r="M360"/>
      <c r="N360"/>
      <c r="O360"/>
      <c r="P360"/>
      <c r="Q360"/>
      <c r="R360"/>
      <c r="S360"/>
      <c r="T360"/>
      <c r="U360"/>
      <c r="V360"/>
      <c r="W360"/>
      <c r="X360"/>
      <c r="Y360"/>
      <c r="Z360"/>
      <c r="AA360"/>
      <c r="AB360"/>
      <c r="AC360"/>
    </row>
    <row r="361" spans="1:29" x14ac:dyDescent="0.25">
      <c r="A361"/>
      <c r="B361"/>
      <c r="C361"/>
      <c r="D361"/>
      <c r="E361"/>
      <c r="F361"/>
      <c r="G361"/>
      <c r="H361"/>
      <c r="I361"/>
      <c r="J361"/>
      <c r="K361"/>
      <c r="L361"/>
      <c r="M361"/>
      <c r="N361"/>
      <c r="O361"/>
      <c r="P361"/>
      <c r="Q361"/>
      <c r="R361"/>
      <c r="S361"/>
      <c r="T361"/>
      <c r="U361"/>
      <c r="V361"/>
      <c r="W361"/>
      <c r="X361"/>
      <c r="Y361"/>
      <c r="Z361"/>
      <c r="AA361"/>
      <c r="AB361"/>
      <c r="AC361"/>
    </row>
    <row r="362" spans="1:29" x14ac:dyDescent="0.25">
      <c r="A362"/>
      <c r="B362"/>
      <c r="C362"/>
      <c r="D362"/>
      <c r="E362"/>
      <c r="F362"/>
      <c r="G362"/>
      <c r="H362"/>
      <c r="I362"/>
      <c r="J362"/>
      <c r="K362"/>
      <c r="L362"/>
      <c r="M362"/>
      <c r="N362"/>
      <c r="O362"/>
      <c r="P362"/>
      <c r="Q362"/>
      <c r="R362"/>
      <c r="S362"/>
      <c r="T362"/>
      <c r="U362"/>
      <c r="V362"/>
      <c r="W362"/>
      <c r="X362"/>
      <c r="Y362"/>
      <c r="Z362"/>
      <c r="AA362"/>
      <c r="AB362"/>
      <c r="AC362"/>
    </row>
    <row r="363" spans="1:29" x14ac:dyDescent="0.25">
      <c r="A363"/>
      <c r="B363"/>
      <c r="C363"/>
      <c r="D363"/>
      <c r="E363"/>
      <c r="F363"/>
      <c r="G363"/>
      <c r="H363"/>
      <c r="I363"/>
      <c r="J363"/>
      <c r="K363"/>
      <c r="L363"/>
      <c r="M363"/>
      <c r="N363"/>
      <c r="O363"/>
      <c r="P363"/>
      <c r="Q363"/>
      <c r="R363"/>
      <c r="S363"/>
      <c r="T363"/>
      <c r="U363"/>
      <c r="V363"/>
      <c r="W363"/>
      <c r="X363"/>
      <c r="Y363"/>
      <c r="Z363"/>
      <c r="AA363"/>
      <c r="AB363"/>
      <c r="AC363"/>
    </row>
    <row r="364" spans="1:29" x14ac:dyDescent="0.25">
      <c r="A364"/>
      <c r="B364"/>
      <c r="C364"/>
      <c r="D364"/>
      <c r="E364"/>
      <c r="F364"/>
      <c r="G364"/>
      <c r="H364"/>
      <c r="I364"/>
      <c r="J364"/>
      <c r="K364"/>
      <c r="L364"/>
      <c r="M364"/>
      <c r="N364"/>
      <c r="O364"/>
      <c r="P364"/>
      <c r="Q364"/>
      <c r="R364"/>
      <c r="S364"/>
      <c r="T364"/>
      <c r="U364"/>
      <c r="V364"/>
      <c r="W364"/>
      <c r="X364"/>
      <c r="Y364"/>
      <c r="Z364"/>
      <c r="AA364"/>
      <c r="AB364"/>
      <c r="AC364"/>
    </row>
    <row r="365" spans="1:29" x14ac:dyDescent="0.25">
      <c r="A365"/>
      <c r="B365"/>
      <c r="C365"/>
      <c r="D365"/>
      <c r="E365"/>
      <c r="F365"/>
      <c r="G365"/>
      <c r="H365"/>
      <c r="I365"/>
      <c r="J365"/>
      <c r="K365"/>
      <c r="L365"/>
      <c r="M365"/>
      <c r="N365"/>
      <c r="O365"/>
      <c r="P365"/>
      <c r="Q365"/>
      <c r="R365"/>
      <c r="S365"/>
      <c r="T365"/>
      <c r="U365"/>
      <c r="V365"/>
      <c r="W365"/>
      <c r="X365"/>
      <c r="Y365"/>
      <c r="Z365"/>
      <c r="AA365"/>
      <c r="AB365"/>
      <c r="AC365"/>
    </row>
    <row r="366" spans="1:29" x14ac:dyDescent="0.25">
      <c r="A366"/>
      <c r="B366"/>
      <c r="C366"/>
      <c r="D366"/>
      <c r="E366"/>
      <c r="F366"/>
      <c r="G366"/>
      <c r="H366"/>
      <c r="I366"/>
      <c r="J366"/>
      <c r="K366"/>
      <c r="L366"/>
      <c r="M366"/>
      <c r="N366"/>
      <c r="O366"/>
      <c r="P366"/>
      <c r="Q366"/>
      <c r="R366"/>
      <c r="S366"/>
      <c r="T366"/>
      <c r="U366"/>
      <c r="V366"/>
      <c r="W366"/>
      <c r="X366"/>
      <c r="Y366"/>
      <c r="Z366"/>
      <c r="AA366"/>
      <c r="AB366"/>
      <c r="AC366"/>
    </row>
    <row r="367" spans="1:29" x14ac:dyDescent="0.25">
      <c r="A367"/>
      <c r="B367"/>
      <c r="C367"/>
      <c r="D367"/>
      <c r="E367"/>
      <c r="F367"/>
      <c r="G367"/>
      <c r="H367"/>
      <c r="I367"/>
      <c r="J367"/>
      <c r="K367"/>
      <c r="L367"/>
      <c r="M367"/>
      <c r="N367"/>
      <c r="O367"/>
      <c r="P367"/>
      <c r="Q367"/>
      <c r="R367"/>
      <c r="S367"/>
      <c r="T367"/>
      <c r="U367"/>
      <c r="V367"/>
      <c r="W367"/>
      <c r="X367"/>
      <c r="Y367"/>
      <c r="Z367"/>
      <c r="AA367"/>
      <c r="AB367"/>
      <c r="AC367"/>
    </row>
    <row r="368" spans="1:29" x14ac:dyDescent="0.25">
      <c r="A368"/>
      <c r="B368"/>
      <c r="C368"/>
      <c r="D368"/>
      <c r="E368"/>
      <c r="F368"/>
      <c r="G368"/>
      <c r="H368"/>
      <c r="I368"/>
      <c r="J368"/>
      <c r="K368"/>
      <c r="L368"/>
      <c r="M368"/>
      <c r="N368"/>
      <c r="O368"/>
      <c r="P368"/>
      <c r="Q368"/>
      <c r="R368"/>
      <c r="S368"/>
      <c r="T368"/>
      <c r="U368"/>
      <c r="V368"/>
      <c r="W368"/>
      <c r="X368"/>
      <c r="Y368"/>
      <c r="Z368"/>
      <c r="AA368"/>
      <c r="AB368"/>
      <c r="AC368"/>
    </row>
    <row r="369" spans="1:29" x14ac:dyDescent="0.25">
      <c r="A369"/>
      <c r="B369"/>
      <c r="C369"/>
      <c r="D369"/>
      <c r="E369"/>
      <c r="F369"/>
      <c r="G369"/>
      <c r="H369"/>
      <c r="I369"/>
      <c r="J369"/>
      <c r="K369"/>
      <c r="L369"/>
      <c r="M369"/>
      <c r="N369"/>
      <c r="O369"/>
      <c r="P369"/>
      <c r="Q369"/>
      <c r="R369"/>
      <c r="S369"/>
      <c r="T369"/>
      <c r="U369"/>
      <c r="V369"/>
      <c r="W369"/>
      <c r="X369"/>
      <c r="Y369"/>
      <c r="Z369"/>
      <c r="AA369"/>
      <c r="AB369"/>
      <c r="AC369"/>
    </row>
    <row r="370" spans="1:29" x14ac:dyDescent="0.25">
      <c r="A370"/>
      <c r="B370"/>
      <c r="C370"/>
      <c r="D370"/>
      <c r="E370"/>
      <c r="F370"/>
      <c r="G370"/>
      <c r="H370"/>
      <c r="I370"/>
      <c r="J370"/>
      <c r="K370"/>
      <c r="L370"/>
      <c r="M370"/>
      <c r="N370"/>
      <c r="O370"/>
      <c r="P370"/>
      <c r="Q370"/>
      <c r="R370"/>
      <c r="S370"/>
      <c r="T370"/>
      <c r="U370"/>
      <c r="V370"/>
      <c r="W370"/>
      <c r="X370"/>
      <c r="Y370"/>
      <c r="Z370"/>
      <c r="AA370"/>
      <c r="AB370"/>
      <c r="AC370"/>
    </row>
    <row r="371" spans="1:29" x14ac:dyDescent="0.25">
      <c r="A371"/>
      <c r="B371"/>
      <c r="C371"/>
      <c r="D371"/>
      <c r="E371"/>
      <c r="F371"/>
      <c r="G371"/>
      <c r="H371"/>
      <c r="I371"/>
      <c r="J371"/>
      <c r="K371"/>
      <c r="L371"/>
      <c r="M371"/>
      <c r="N371"/>
      <c r="O371"/>
      <c r="P371"/>
      <c r="Q371"/>
      <c r="R371"/>
      <c r="S371"/>
      <c r="T371"/>
      <c r="U371"/>
      <c r="V371"/>
      <c r="W371"/>
      <c r="X371"/>
      <c r="Y371"/>
      <c r="Z371"/>
      <c r="AA371"/>
      <c r="AB371"/>
      <c r="AC371"/>
    </row>
    <row r="372" spans="1:29" x14ac:dyDescent="0.25">
      <c r="A372"/>
      <c r="B372"/>
      <c r="C372"/>
      <c r="D372"/>
      <c r="E372"/>
      <c r="F372"/>
      <c r="G372"/>
      <c r="H372"/>
      <c r="I372"/>
      <c r="J372"/>
      <c r="K372"/>
      <c r="L372"/>
      <c r="M372"/>
      <c r="N372"/>
      <c r="O372"/>
      <c r="P372"/>
      <c r="Q372"/>
      <c r="R372"/>
      <c r="S372"/>
      <c r="T372"/>
      <c r="U372"/>
      <c r="V372"/>
      <c r="W372"/>
      <c r="X372"/>
      <c r="Y372"/>
      <c r="Z372"/>
      <c r="AA372"/>
      <c r="AB372"/>
      <c r="AC372"/>
    </row>
    <row r="373" spans="1:29" x14ac:dyDescent="0.25">
      <c r="A373"/>
      <c r="B373"/>
      <c r="C373"/>
      <c r="D373"/>
      <c r="E373"/>
      <c r="F373"/>
      <c r="G373"/>
      <c r="H373"/>
      <c r="I373"/>
      <c r="J373"/>
      <c r="K373"/>
      <c r="L373"/>
      <c r="M373"/>
      <c r="N373"/>
      <c r="O373"/>
      <c r="P373"/>
      <c r="Q373"/>
      <c r="R373"/>
      <c r="S373"/>
      <c r="T373"/>
      <c r="U373"/>
      <c r="V373"/>
      <c r="W373"/>
      <c r="X373"/>
      <c r="Y373"/>
      <c r="Z373"/>
      <c r="AA373"/>
      <c r="AB373"/>
      <c r="AC373"/>
    </row>
    <row r="374" spans="1:29" x14ac:dyDescent="0.25">
      <c r="A374"/>
      <c r="B374"/>
      <c r="C374"/>
      <c r="D374"/>
      <c r="E374"/>
      <c r="F374"/>
      <c r="G374"/>
      <c r="H374"/>
      <c r="I374"/>
      <c r="J374"/>
      <c r="K374"/>
      <c r="L374"/>
      <c r="M374"/>
      <c r="N374"/>
      <c r="O374"/>
      <c r="P374"/>
      <c r="Q374"/>
      <c r="R374"/>
      <c r="S374"/>
      <c r="T374"/>
      <c r="U374"/>
      <c r="V374"/>
      <c r="W374"/>
      <c r="X374"/>
      <c r="Y374"/>
      <c r="Z374"/>
      <c r="AA374"/>
      <c r="AB374"/>
      <c r="AC374"/>
    </row>
    <row r="375" spans="1:29" x14ac:dyDescent="0.25">
      <c r="A375"/>
      <c r="B375"/>
      <c r="C375"/>
      <c r="D375"/>
      <c r="E375"/>
      <c r="F375"/>
      <c r="G375"/>
      <c r="H375"/>
      <c r="I375"/>
      <c r="J375"/>
      <c r="K375"/>
      <c r="L375"/>
      <c r="M375"/>
      <c r="N375"/>
      <c r="O375"/>
      <c r="P375"/>
      <c r="Q375"/>
      <c r="R375"/>
      <c r="S375"/>
      <c r="T375"/>
      <c r="U375"/>
      <c r="V375"/>
      <c r="W375"/>
      <c r="X375"/>
      <c r="Y375"/>
      <c r="Z375"/>
      <c r="AA375"/>
      <c r="AB375"/>
      <c r="AC375"/>
    </row>
    <row r="376" spans="1:29" x14ac:dyDescent="0.25">
      <c r="A376"/>
      <c r="B376"/>
      <c r="C376"/>
      <c r="D376"/>
      <c r="E376"/>
      <c r="F376"/>
      <c r="G376"/>
      <c r="H376"/>
      <c r="I376"/>
      <c r="J376"/>
      <c r="K376"/>
      <c r="L376"/>
      <c r="M376"/>
      <c r="N376"/>
      <c r="O376"/>
      <c r="P376"/>
      <c r="Q376"/>
      <c r="R376"/>
      <c r="S376"/>
      <c r="T376"/>
      <c r="U376"/>
      <c r="V376"/>
      <c r="W376"/>
      <c r="X376"/>
      <c r="Y376"/>
      <c r="Z376"/>
      <c r="AA376"/>
      <c r="AB376"/>
      <c r="AC376"/>
    </row>
    <row r="377" spans="1:29" x14ac:dyDescent="0.25">
      <c r="A377"/>
      <c r="B377"/>
      <c r="C377"/>
      <c r="D377"/>
      <c r="E377"/>
      <c r="F377"/>
      <c r="G377"/>
      <c r="H377"/>
      <c r="I377"/>
      <c r="J377"/>
      <c r="K377"/>
      <c r="L377"/>
      <c r="M377"/>
      <c r="N377"/>
      <c r="O377"/>
      <c r="P377"/>
      <c r="Q377"/>
      <c r="R377"/>
      <c r="S377"/>
      <c r="T377"/>
      <c r="U377"/>
      <c r="V377"/>
      <c r="W377"/>
      <c r="X377"/>
      <c r="Y377"/>
      <c r="Z377"/>
      <c r="AA377"/>
      <c r="AB377"/>
      <c r="AC377"/>
    </row>
    <row r="378" spans="1:29" x14ac:dyDescent="0.25">
      <c r="A378"/>
      <c r="B378"/>
      <c r="C378"/>
      <c r="D378"/>
      <c r="E378"/>
      <c r="F378"/>
      <c r="G378"/>
      <c r="H378"/>
      <c r="I378"/>
      <c r="J378"/>
      <c r="K378"/>
      <c r="L378"/>
      <c r="M378"/>
      <c r="N378"/>
      <c r="O378"/>
      <c r="P378"/>
      <c r="Q378"/>
      <c r="R378"/>
      <c r="S378"/>
      <c r="T378"/>
      <c r="U378"/>
      <c r="V378"/>
      <c r="W378"/>
      <c r="X378"/>
      <c r="Y378"/>
      <c r="Z378"/>
      <c r="AA378"/>
      <c r="AB378"/>
      <c r="AC378"/>
    </row>
    <row r="379" spans="1:29" x14ac:dyDescent="0.25">
      <c r="A379"/>
      <c r="B379"/>
      <c r="C379"/>
      <c r="D379"/>
      <c r="E379"/>
      <c r="F379"/>
      <c r="G379"/>
      <c r="H379"/>
      <c r="I379"/>
      <c r="J379"/>
      <c r="K379"/>
      <c r="L379"/>
      <c r="M379"/>
      <c r="N379"/>
      <c r="O379"/>
      <c r="P379"/>
      <c r="Q379"/>
      <c r="R379"/>
      <c r="S379"/>
      <c r="T379"/>
      <c r="U379"/>
      <c r="V379"/>
      <c r="W379"/>
      <c r="X379"/>
      <c r="Y379"/>
      <c r="Z379"/>
      <c r="AA379"/>
      <c r="AB379"/>
      <c r="AC379"/>
    </row>
    <row r="380" spans="1:29" x14ac:dyDescent="0.25">
      <c r="A380"/>
      <c r="B380"/>
      <c r="C380"/>
      <c r="D380"/>
      <c r="E380"/>
      <c r="F380"/>
      <c r="G380"/>
      <c r="H380"/>
      <c r="I380"/>
      <c r="J380"/>
      <c r="K380"/>
      <c r="L380"/>
      <c r="M380"/>
      <c r="N380"/>
      <c r="O380"/>
      <c r="P380"/>
      <c r="Q380"/>
      <c r="R380"/>
      <c r="S380"/>
      <c r="T380"/>
      <c r="U380"/>
      <c r="V380"/>
      <c r="W380"/>
      <c r="X380"/>
      <c r="Y380"/>
      <c r="Z380"/>
      <c r="AA380"/>
      <c r="AB380"/>
      <c r="AC380"/>
    </row>
    <row r="381" spans="1:29" x14ac:dyDescent="0.25">
      <c r="A381"/>
      <c r="B381"/>
      <c r="C381"/>
      <c r="D381"/>
      <c r="E381"/>
      <c r="F381"/>
      <c r="G381"/>
      <c r="H381"/>
      <c r="I381"/>
      <c r="J381"/>
      <c r="K381"/>
      <c r="L381"/>
      <c r="M381"/>
      <c r="N381"/>
      <c r="O381"/>
      <c r="P381"/>
      <c r="Q381"/>
      <c r="R381"/>
      <c r="S381"/>
      <c r="T381"/>
      <c r="U381"/>
      <c r="V381"/>
      <c r="W381"/>
      <c r="X381"/>
      <c r="Y381"/>
      <c r="Z381"/>
      <c r="AA381"/>
      <c r="AB381"/>
      <c r="AC381"/>
    </row>
    <row r="382" spans="1:29" x14ac:dyDescent="0.25">
      <c r="A382"/>
      <c r="B382"/>
      <c r="C382"/>
      <c r="D382"/>
      <c r="E382"/>
      <c r="F382"/>
      <c r="G382"/>
      <c r="H382"/>
      <c r="I382"/>
      <c r="J382"/>
      <c r="K382"/>
      <c r="L382"/>
      <c r="M382"/>
      <c r="N382"/>
      <c r="O382"/>
      <c r="P382"/>
      <c r="Q382"/>
      <c r="R382"/>
      <c r="S382"/>
      <c r="T382"/>
      <c r="U382"/>
      <c r="V382"/>
      <c r="W382"/>
      <c r="X382"/>
      <c r="Y382"/>
      <c r="Z382"/>
      <c r="AA382"/>
      <c r="AB382"/>
      <c r="AC382"/>
    </row>
    <row r="383" spans="1:29" x14ac:dyDescent="0.25">
      <c r="A383"/>
      <c r="B383"/>
      <c r="C383"/>
      <c r="D383"/>
      <c r="E383"/>
      <c r="F383"/>
      <c r="G383"/>
      <c r="H383"/>
      <c r="I383"/>
      <c r="J383"/>
      <c r="K383"/>
      <c r="L383"/>
      <c r="M383"/>
      <c r="N383"/>
      <c r="O383"/>
      <c r="P383"/>
      <c r="Q383"/>
      <c r="R383"/>
      <c r="S383"/>
      <c r="T383"/>
      <c r="U383"/>
      <c r="V383"/>
      <c r="W383"/>
      <c r="X383"/>
      <c r="Y383"/>
      <c r="Z383"/>
      <c r="AA383"/>
      <c r="AB383"/>
      <c r="AC383"/>
    </row>
    <row r="384" spans="1:29" x14ac:dyDescent="0.25">
      <c r="A384"/>
      <c r="B384"/>
      <c r="C384"/>
      <c r="D384"/>
      <c r="E384"/>
      <c r="F384"/>
      <c r="G384"/>
      <c r="H384"/>
      <c r="I384"/>
      <c r="J384"/>
      <c r="K384"/>
      <c r="L384"/>
      <c r="M384"/>
      <c r="N384"/>
      <c r="O384"/>
      <c r="P384"/>
      <c r="Q384"/>
      <c r="R384"/>
      <c r="S384"/>
      <c r="T384"/>
      <c r="U384"/>
      <c r="V384"/>
      <c r="W384"/>
      <c r="X384"/>
      <c r="Y384"/>
      <c r="Z384"/>
      <c r="AA384"/>
      <c r="AB384"/>
      <c r="AC384"/>
    </row>
    <row r="385" spans="1:29" x14ac:dyDescent="0.25">
      <c r="A385"/>
      <c r="B385"/>
      <c r="C385"/>
      <c r="D385"/>
      <c r="E385"/>
      <c r="F385"/>
      <c r="G385"/>
      <c r="H385"/>
      <c r="I385"/>
      <c r="J385"/>
      <c r="K385"/>
      <c r="L385"/>
      <c r="M385"/>
      <c r="N385"/>
      <c r="O385"/>
      <c r="P385"/>
      <c r="Q385"/>
      <c r="R385"/>
      <c r="S385"/>
      <c r="T385"/>
      <c r="U385"/>
      <c r="V385"/>
      <c r="W385"/>
      <c r="X385"/>
      <c r="Y385"/>
      <c r="Z385"/>
      <c r="AA385"/>
      <c r="AB385"/>
      <c r="AC385"/>
    </row>
    <row r="386" spans="1:29" x14ac:dyDescent="0.25">
      <c r="A386"/>
      <c r="B386"/>
      <c r="C386"/>
      <c r="D386"/>
      <c r="E386"/>
      <c r="F386"/>
      <c r="G386"/>
      <c r="H386"/>
      <c r="I386"/>
      <c r="J386"/>
      <c r="K386"/>
      <c r="L386"/>
      <c r="M386"/>
      <c r="N386"/>
      <c r="O386"/>
      <c r="P386"/>
      <c r="Q386"/>
      <c r="R386"/>
      <c r="S386"/>
      <c r="T386"/>
      <c r="U386"/>
      <c r="V386"/>
      <c r="W386"/>
      <c r="X386"/>
      <c r="Y386"/>
      <c r="Z386"/>
      <c r="AA386"/>
      <c r="AB386"/>
      <c r="AC386"/>
    </row>
    <row r="387" spans="1:29" x14ac:dyDescent="0.25">
      <c r="A387"/>
      <c r="B387"/>
      <c r="C387"/>
      <c r="D387"/>
      <c r="E387"/>
      <c r="F387"/>
      <c r="G387"/>
      <c r="H387"/>
      <c r="I387"/>
      <c r="J387"/>
      <c r="K387"/>
      <c r="L387"/>
      <c r="M387"/>
      <c r="N387"/>
      <c r="O387"/>
      <c r="P387"/>
      <c r="Q387"/>
      <c r="R387"/>
      <c r="S387"/>
      <c r="T387"/>
      <c r="U387"/>
      <c r="V387"/>
      <c r="W387"/>
      <c r="X387"/>
      <c r="Y387"/>
      <c r="Z387"/>
      <c r="AA387"/>
      <c r="AB387"/>
      <c r="AC387"/>
    </row>
    <row r="388" spans="1:29" x14ac:dyDescent="0.25">
      <c r="A388"/>
      <c r="B388"/>
      <c r="C388"/>
      <c r="D388"/>
      <c r="E388"/>
      <c r="F388"/>
      <c r="G388"/>
      <c r="H388"/>
      <c r="I388"/>
      <c r="J388"/>
      <c r="K388"/>
      <c r="L388"/>
      <c r="M388"/>
      <c r="N388"/>
      <c r="O388"/>
      <c r="P388"/>
      <c r="Q388"/>
      <c r="R388"/>
      <c r="S388"/>
      <c r="T388"/>
      <c r="U388"/>
      <c r="V388"/>
      <c r="W388"/>
      <c r="X388"/>
      <c r="Y388"/>
      <c r="Z388"/>
      <c r="AA388"/>
      <c r="AB388"/>
      <c r="AC388"/>
    </row>
    <row r="389" spans="1:29" x14ac:dyDescent="0.25">
      <c r="A389"/>
      <c r="B389"/>
      <c r="C389"/>
      <c r="D389"/>
      <c r="E389"/>
      <c r="F389"/>
      <c r="G389"/>
      <c r="H389"/>
      <c r="I389"/>
      <c r="J389"/>
      <c r="K389"/>
      <c r="L389"/>
      <c r="M389"/>
      <c r="N389"/>
      <c r="O389"/>
      <c r="P389"/>
      <c r="Q389"/>
      <c r="R389"/>
      <c r="S389"/>
      <c r="T389"/>
      <c r="U389"/>
      <c r="V389"/>
      <c r="W389"/>
      <c r="X389"/>
      <c r="Y389"/>
      <c r="Z389"/>
      <c r="AA389"/>
      <c r="AB389"/>
      <c r="AC389"/>
    </row>
    <row r="390" spans="1:29" x14ac:dyDescent="0.25">
      <c r="A390"/>
      <c r="B390"/>
      <c r="C390"/>
      <c r="D390"/>
      <c r="E390"/>
      <c r="F390"/>
      <c r="G390"/>
      <c r="H390"/>
      <c r="I390"/>
      <c r="J390"/>
      <c r="K390"/>
      <c r="L390"/>
      <c r="M390"/>
      <c r="N390"/>
      <c r="O390"/>
      <c r="P390"/>
      <c r="Q390"/>
      <c r="R390"/>
      <c r="S390"/>
      <c r="T390"/>
      <c r="U390"/>
      <c r="V390"/>
      <c r="W390"/>
      <c r="X390"/>
      <c r="Y390"/>
      <c r="Z390"/>
      <c r="AA390"/>
      <c r="AB390"/>
      <c r="AC390"/>
    </row>
    <row r="391" spans="1:29" x14ac:dyDescent="0.25">
      <c r="A391"/>
      <c r="B391"/>
      <c r="C391"/>
      <c r="D391"/>
      <c r="E391"/>
      <c r="F391"/>
      <c r="G391"/>
      <c r="H391"/>
      <c r="I391"/>
      <c r="J391"/>
      <c r="K391"/>
      <c r="L391"/>
      <c r="M391"/>
      <c r="N391"/>
      <c r="O391"/>
      <c r="P391"/>
      <c r="Q391"/>
      <c r="R391"/>
      <c r="S391"/>
      <c r="T391"/>
      <c r="U391"/>
      <c r="V391"/>
      <c r="W391"/>
      <c r="X391"/>
      <c r="Y391"/>
      <c r="Z391"/>
      <c r="AA391"/>
      <c r="AB391"/>
      <c r="AC391"/>
    </row>
    <row r="392" spans="1:29" x14ac:dyDescent="0.25">
      <c r="A392"/>
      <c r="B392"/>
      <c r="C392"/>
      <c r="D392"/>
      <c r="E392"/>
      <c r="F392"/>
      <c r="G392"/>
      <c r="H392"/>
      <c r="I392"/>
      <c r="J392"/>
      <c r="K392"/>
      <c r="L392"/>
      <c r="M392"/>
      <c r="N392"/>
      <c r="O392"/>
      <c r="P392"/>
      <c r="Q392"/>
      <c r="R392"/>
      <c r="S392"/>
      <c r="T392"/>
      <c r="U392"/>
      <c r="V392"/>
      <c r="W392"/>
      <c r="X392"/>
      <c r="Y392"/>
      <c r="Z392"/>
      <c r="AA392"/>
      <c r="AB392"/>
      <c r="AC392"/>
    </row>
    <row r="393" spans="1:29" x14ac:dyDescent="0.25">
      <c r="A393"/>
      <c r="B393"/>
      <c r="C393"/>
      <c r="D393"/>
      <c r="E393"/>
      <c r="F393"/>
      <c r="G393"/>
      <c r="H393"/>
      <c r="I393"/>
      <c r="J393"/>
      <c r="K393"/>
      <c r="L393"/>
      <c r="M393"/>
      <c r="N393"/>
      <c r="O393"/>
      <c r="P393"/>
      <c r="Q393"/>
      <c r="R393"/>
      <c r="S393"/>
      <c r="T393"/>
      <c r="U393"/>
      <c r="V393"/>
      <c r="W393"/>
      <c r="X393"/>
      <c r="Y393"/>
      <c r="Z393"/>
      <c r="AA393"/>
      <c r="AB393"/>
      <c r="AC393"/>
    </row>
    <row r="394" spans="1:29" x14ac:dyDescent="0.25">
      <c r="A394"/>
      <c r="B394"/>
      <c r="C394"/>
      <c r="D394"/>
      <c r="E394"/>
      <c r="F394"/>
      <c r="G394"/>
      <c r="H394"/>
      <c r="I394"/>
      <c r="J394"/>
      <c r="K394"/>
      <c r="L394"/>
      <c r="M394"/>
      <c r="N394"/>
      <c r="O394"/>
      <c r="P394"/>
      <c r="Q394"/>
      <c r="R394"/>
      <c r="S394"/>
      <c r="T394"/>
      <c r="U394"/>
      <c r="V394"/>
      <c r="W394"/>
      <c r="X394"/>
      <c r="Y394"/>
      <c r="Z394"/>
      <c r="AA394"/>
      <c r="AB394"/>
      <c r="AC394"/>
    </row>
    <row r="395" spans="1:29" x14ac:dyDescent="0.25">
      <c r="A395"/>
      <c r="B395"/>
      <c r="C395"/>
      <c r="D395"/>
      <c r="E395"/>
      <c r="F395"/>
      <c r="G395"/>
      <c r="H395"/>
      <c r="I395"/>
      <c r="J395"/>
      <c r="K395"/>
      <c r="L395"/>
      <c r="M395"/>
      <c r="N395"/>
      <c r="O395"/>
      <c r="P395"/>
      <c r="Q395"/>
      <c r="R395"/>
      <c r="S395"/>
      <c r="T395"/>
      <c r="U395"/>
      <c r="V395"/>
      <c r="W395"/>
      <c r="X395"/>
      <c r="Y395"/>
      <c r="Z395"/>
      <c r="AA395"/>
      <c r="AB395"/>
      <c r="AC395"/>
    </row>
    <row r="396" spans="1:29" x14ac:dyDescent="0.25">
      <c r="A396"/>
      <c r="B396"/>
      <c r="C396"/>
      <c r="D396"/>
      <c r="E396"/>
      <c r="F396"/>
      <c r="G396"/>
      <c r="H396"/>
      <c r="I396"/>
      <c r="J396"/>
      <c r="K396"/>
      <c r="L396"/>
      <c r="M396"/>
      <c r="N396"/>
      <c r="O396"/>
      <c r="P396"/>
      <c r="Q396"/>
      <c r="R396"/>
      <c r="S396"/>
      <c r="T396"/>
      <c r="U396"/>
      <c r="V396"/>
      <c r="W396"/>
      <c r="X396"/>
      <c r="Y396"/>
      <c r="Z396"/>
      <c r="AA396"/>
      <c r="AB396"/>
      <c r="AC396"/>
    </row>
    <row r="397" spans="1:29" x14ac:dyDescent="0.25">
      <c r="A397"/>
      <c r="B397"/>
      <c r="C397"/>
      <c r="D397"/>
      <c r="E397"/>
      <c r="F397"/>
      <c r="G397"/>
      <c r="H397"/>
      <c r="I397"/>
      <c r="J397"/>
      <c r="K397"/>
      <c r="L397"/>
      <c r="M397"/>
      <c r="N397"/>
      <c r="O397"/>
      <c r="P397"/>
      <c r="Q397"/>
      <c r="R397"/>
      <c r="S397"/>
      <c r="T397"/>
      <c r="U397"/>
      <c r="V397"/>
      <c r="W397"/>
      <c r="X397"/>
      <c r="Y397"/>
      <c r="Z397"/>
      <c r="AA397"/>
      <c r="AB397"/>
      <c r="AC397"/>
    </row>
    <row r="398" spans="1:29" x14ac:dyDescent="0.25">
      <c r="A398"/>
      <c r="B398"/>
      <c r="C398"/>
      <c r="D398"/>
      <c r="E398"/>
      <c r="F398"/>
      <c r="G398"/>
      <c r="H398"/>
      <c r="I398"/>
      <c r="J398"/>
      <c r="K398"/>
      <c r="L398"/>
      <c r="M398"/>
      <c r="N398"/>
      <c r="O398"/>
      <c r="P398"/>
      <c r="Q398"/>
      <c r="R398"/>
      <c r="S398"/>
      <c r="T398"/>
      <c r="U398"/>
      <c r="V398"/>
      <c r="W398"/>
      <c r="X398"/>
      <c r="Y398"/>
      <c r="Z398"/>
      <c r="AA398"/>
      <c r="AB398"/>
      <c r="AC398"/>
    </row>
    <row r="399" spans="1:29" x14ac:dyDescent="0.25">
      <c r="A399"/>
      <c r="B399"/>
      <c r="C399"/>
      <c r="D399"/>
      <c r="E399"/>
      <c r="F399"/>
      <c r="G399"/>
      <c r="H399"/>
      <c r="I399"/>
      <c r="J399"/>
      <c r="K399"/>
      <c r="L399"/>
      <c r="M399"/>
      <c r="N399"/>
      <c r="O399"/>
      <c r="P399"/>
      <c r="Q399"/>
      <c r="R399"/>
      <c r="S399"/>
      <c r="T399"/>
      <c r="U399"/>
      <c r="V399"/>
      <c r="W399"/>
      <c r="X399"/>
      <c r="Y399"/>
      <c r="Z399"/>
      <c r="AA399"/>
      <c r="AB399"/>
      <c r="AC399"/>
    </row>
    <row r="400" spans="1:29" x14ac:dyDescent="0.25">
      <c r="A400"/>
      <c r="B400"/>
      <c r="C400"/>
      <c r="D400"/>
      <c r="E400"/>
      <c r="F400"/>
      <c r="G400"/>
      <c r="H400"/>
      <c r="I400"/>
      <c r="J400"/>
      <c r="K400"/>
      <c r="L400"/>
      <c r="M400"/>
      <c r="N400"/>
      <c r="O400"/>
      <c r="P400"/>
      <c r="Q400"/>
      <c r="R400"/>
      <c r="S400"/>
      <c r="T400"/>
      <c r="U400"/>
      <c r="V400"/>
      <c r="W400"/>
      <c r="X400"/>
      <c r="Y400"/>
      <c r="Z400"/>
      <c r="AA400"/>
      <c r="AB400"/>
      <c r="AC400"/>
    </row>
    <row r="401" spans="1:29" x14ac:dyDescent="0.25">
      <c r="A401"/>
      <c r="B401"/>
      <c r="C401"/>
      <c r="D401"/>
      <c r="E401"/>
      <c r="F401"/>
      <c r="G401"/>
      <c r="H401"/>
      <c r="I401"/>
      <c r="J401"/>
      <c r="K401"/>
      <c r="L401"/>
      <c r="M401"/>
      <c r="N401"/>
      <c r="O401"/>
      <c r="P401"/>
      <c r="Q401"/>
      <c r="R401"/>
      <c r="S401"/>
      <c r="T401"/>
      <c r="U401"/>
      <c r="V401"/>
      <c r="W401"/>
      <c r="X401"/>
      <c r="Y401"/>
      <c r="Z401"/>
      <c r="AA401"/>
      <c r="AB401"/>
      <c r="AC401"/>
    </row>
    <row r="402" spans="1:29" x14ac:dyDescent="0.25">
      <c r="A402"/>
      <c r="B402"/>
      <c r="C402"/>
      <c r="D402"/>
      <c r="E402"/>
      <c r="F402"/>
      <c r="G402"/>
      <c r="H402"/>
      <c r="I402"/>
      <c r="J402"/>
      <c r="K402"/>
      <c r="L402"/>
      <c r="M402"/>
      <c r="N402"/>
      <c r="O402"/>
      <c r="P402"/>
      <c r="Q402"/>
      <c r="R402"/>
      <c r="S402"/>
      <c r="T402"/>
      <c r="U402"/>
      <c r="V402"/>
      <c r="W402"/>
      <c r="X402"/>
      <c r="Y402"/>
      <c r="Z402"/>
      <c r="AA402"/>
      <c r="AB402"/>
      <c r="AC402"/>
    </row>
    <row r="403" spans="1:29" x14ac:dyDescent="0.25">
      <c r="A403"/>
      <c r="B403"/>
      <c r="C403"/>
      <c r="D403"/>
      <c r="E403"/>
      <c r="F403"/>
      <c r="G403"/>
      <c r="H403"/>
      <c r="I403"/>
      <c r="J403"/>
      <c r="K403"/>
      <c r="L403"/>
      <c r="M403"/>
      <c r="N403"/>
      <c r="O403"/>
      <c r="P403"/>
      <c r="Q403"/>
      <c r="R403"/>
      <c r="S403"/>
      <c r="T403"/>
      <c r="U403"/>
      <c r="V403"/>
      <c r="W403"/>
      <c r="X403"/>
      <c r="Y403"/>
      <c r="Z403"/>
      <c r="AA403"/>
      <c r="AB403"/>
      <c r="AC403"/>
    </row>
    <row r="404" spans="1:29" x14ac:dyDescent="0.25">
      <c r="A404"/>
      <c r="B404"/>
      <c r="C404"/>
      <c r="D404"/>
      <c r="E404"/>
      <c r="F404"/>
      <c r="G404"/>
      <c r="H404"/>
      <c r="I404"/>
      <c r="J404"/>
      <c r="K404"/>
      <c r="L404"/>
      <c r="M404"/>
      <c r="N404"/>
      <c r="O404"/>
      <c r="P404"/>
      <c r="Q404"/>
      <c r="R404"/>
      <c r="S404"/>
      <c r="T404"/>
      <c r="U404"/>
      <c r="V404"/>
      <c r="W404"/>
      <c r="X404"/>
      <c r="Y404"/>
      <c r="Z404"/>
      <c r="AA404"/>
      <c r="AB404"/>
      <c r="AC404"/>
    </row>
    <row r="405" spans="1:29" x14ac:dyDescent="0.25">
      <c r="A405"/>
      <c r="B405"/>
      <c r="C405"/>
      <c r="D405"/>
      <c r="E405"/>
      <c r="F405"/>
      <c r="G405"/>
      <c r="H405"/>
      <c r="I405"/>
      <c r="J405"/>
      <c r="K405"/>
      <c r="L405"/>
      <c r="M405"/>
      <c r="N405"/>
      <c r="O405"/>
      <c r="P405"/>
      <c r="Q405"/>
      <c r="R405"/>
      <c r="S405"/>
      <c r="T405"/>
      <c r="U405"/>
      <c r="V405"/>
      <c r="W405"/>
      <c r="X405"/>
      <c r="Y405"/>
      <c r="Z405"/>
      <c r="AA405"/>
      <c r="AB405"/>
      <c r="AC405"/>
    </row>
    <row r="406" spans="1:29" x14ac:dyDescent="0.25">
      <c r="A406"/>
      <c r="B406"/>
      <c r="C406"/>
      <c r="D406"/>
      <c r="E406"/>
      <c r="F406"/>
      <c r="G406"/>
      <c r="H406"/>
      <c r="I406"/>
      <c r="J406"/>
      <c r="K406"/>
      <c r="L406"/>
      <c r="M406"/>
      <c r="N406"/>
      <c r="O406"/>
      <c r="P406"/>
      <c r="Q406"/>
      <c r="R406"/>
      <c r="S406"/>
      <c r="T406"/>
      <c r="U406"/>
      <c r="V406"/>
      <c r="W406"/>
      <c r="X406"/>
      <c r="Y406"/>
      <c r="Z406"/>
      <c r="AA406"/>
      <c r="AB406"/>
      <c r="AC406"/>
    </row>
    <row r="407" spans="1:29" x14ac:dyDescent="0.25">
      <c r="A407"/>
      <c r="B407"/>
      <c r="C407"/>
      <c r="D407"/>
      <c r="E407"/>
      <c r="F407"/>
      <c r="G407"/>
      <c r="H407"/>
      <c r="I407"/>
      <c r="J407"/>
      <c r="K407"/>
      <c r="L407"/>
      <c r="M407"/>
      <c r="N407"/>
      <c r="O407"/>
      <c r="P407"/>
      <c r="Q407"/>
      <c r="R407"/>
      <c r="S407"/>
      <c r="T407"/>
      <c r="U407"/>
      <c r="V407"/>
      <c r="W407"/>
      <c r="X407"/>
      <c r="Y407"/>
      <c r="Z407"/>
      <c r="AA407"/>
      <c r="AB407"/>
      <c r="AC407"/>
    </row>
    <row r="408" spans="1:29" x14ac:dyDescent="0.25">
      <c r="A408"/>
      <c r="B408"/>
      <c r="C408"/>
      <c r="D408"/>
      <c r="E408"/>
      <c r="F408"/>
      <c r="G408"/>
      <c r="H408"/>
      <c r="I408"/>
      <c r="J408"/>
      <c r="K408"/>
      <c r="L408"/>
      <c r="M408"/>
      <c r="N408"/>
      <c r="O408"/>
      <c r="P408"/>
      <c r="Q408"/>
      <c r="R408"/>
      <c r="S408"/>
      <c r="T408"/>
      <c r="U408"/>
      <c r="V408"/>
      <c r="W408"/>
      <c r="X408"/>
      <c r="Y408"/>
      <c r="Z408"/>
      <c r="AA408"/>
      <c r="AB408"/>
      <c r="AC408"/>
    </row>
    <row r="409" spans="1:29" x14ac:dyDescent="0.25">
      <c r="A409"/>
      <c r="B409"/>
      <c r="C409"/>
      <c r="D409"/>
      <c r="E409"/>
      <c r="F409"/>
      <c r="G409"/>
      <c r="H409"/>
      <c r="I409"/>
      <c r="J409"/>
      <c r="K409"/>
      <c r="L409"/>
      <c r="M409"/>
      <c r="N409"/>
      <c r="O409"/>
      <c r="P409"/>
      <c r="Q409"/>
      <c r="R409"/>
      <c r="S409"/>
      <c r="T409"/>
      <c r="U409"/>
      <c r="V409"/>
      <c r="W409"/>
      <c r="X409"/>
      <c r="Y409"/>
      <c r="Z409"/>
      <c r="AA409"/>
      <c r="AB409"/>
      <c r="AC409"/>
    </row>
    <row r="410" spans="1:29" x14ac:dyDescent="0.25">
      <c r="A410"/>
      <c r="B410"/>
      <c r="C410"/>
      <c r="D410"/>
      <c r="E410"/>
      <c r="F410"/>
      <c r="G410"/>
      <c r="H410"/>
      <c r="I410"/>
      <c r="J410"/>
      <c r="K410"/>
      <c r="L410"/>
      <c r="M410"/>
      <c r="N410"/>
      <c r="O410"/>
      <c r="P410"/>
      <c r="Q410"/>
      <c r="R410"/>
      <c r="S410"/>
      <c r="T410"/>
      <c r="U410"/>
      <c r="V410"/>
      <c r="W410"/>
      <c r="X410"/>
      <c r="Y410"/>
      <c r="Z410"/>
      <c r="AA410"/>
      <c r="AB410"/>
      <c r="AC410"/>
    </row>
    <row r="411" spans="1:29" x14ac:dyDescent="0.25">
      <c r="A411"/>
      <c r="B411"/>
      <c r="C411"/>
      <c r="D411"/>
      <c r="E411"/>
      <c r="F411"/>
      <c r="G411"/>
      <c r="H411"/>
      <c r="I411"/>
      <c r="J411"/>
      <c r="K411"/>
      <c r="L411"/>
      <c r="M411"/>
      <c r="N411"/>
      <c r="O411"/>
      <c r="P411"/>
      <c r="Q411"/>
      <c r="R411"/>
      <c r="S411"/>
      <c r="T411"/>
      <c r="U411"/>
      <c r="V411"/>
      <c r="W411"/>
      <c r="X411"/>
      <c r="Y411"/>
      <c r="Z411"/>
      <c r="AA411"/>
      <c r="AB411"/>
      <c r="AC411"/>
    </row>
    <row r="412" spans="1:29" x14ac:dyDescent="0.25">
      <c r="A412"/>
      <c r="B412"/>
      <c r="C412"/>
      <c r="D412"/>
      <c r="E412"/>
      <c r="F412"/>
      <c r="G412"/>
      <c r="H412"/>
      <c r="I412"/>
      <c r="J412"/>
      <c r="K412"/>
      <c r="L412"/>
      <c r="M412"/>
      <c r="N412"/>
      <c r="O412"/>
      <c r="P412"/>
      <c r="Q412"/>
      <c r="R412"/>
      <c r="S412"/>
      <c r="T412"/>
      <c r="U412"/>
      <c r="V412"/>
      <c r="W412"/>
      <c r="X412"/>
      <c r="Y412"/>
      <c r="Z412"/>
      <c r="AA412"/>
      <c r="AB412"/>
      <c r="AC412"/>
    </row>
    <row r="413" spans="1:29" x14ac:dyDescent="0.25">
      <c r="A413"/>
      <c r="B413"/>
      <c r="C413"/>
      <c r="D413"/>
      <c r="E413"/>
      <c r="F413"/>
      <c r="G413"/>
      <c r="H413"/>
      <c r="I413"/>
      <c r="J413"/>
      <c r="K413"/>
      <c r="L413"/>
      <c r="M413"/>
      <c r="N413"/>
      <c r="O413"/>
      <c r="P413"/>
      <c r="Q413"/>
      <c r="R413"/>
      <c r="S413"/>
      <c r="T413"/>
      <c r="U413"/>
      <c r="V413"/>
      <c r="W413"/>
      <c r="X413"/>
      <c r="Y413"/>
      <c r="Z413"/>
      <c r="AA413"/>
      <c r="AB413"/>
      <c r="AC413"/>
    </row>
    <row r="414" spans="1:29" x14ac:dyDescent="0.25">
      <c r="A414"/>
      <c r="B414"/>
      <c r="C414"/>
      <c r="D414"/>
      <c r="E414"/>
      <c r="F414"/>
      <c r="G414"/>
      <c r="H414"/>
      <c r="I414"/>
      <c r="J414"/>
      <c r="K414"/>
      <c r="L414"/>
      <c r="M414"/>
      <c r="N414"/>
      <c r="O414"/>
      <c r="P414"/>
      <c r="Q414"/>
      <c r="R414"/>
      <c r="S414"/>
      <c r="T414"/>
      <c r="U414"/>
      <c r="V414"/>
      <c r="W414"/>
      <c r="X414"/>
      <c r="Y414"/>
      <c r="Z414"/>
      <c r="AA414"/>
      <c r="AB414"/>
      <c r="AC414"/>
    </row>
    <row r="415" spans="1:29" x14ac:dyDescent="0.25">
      <c r="A415"/>
      <c r="B415"/>
      <c r="C415"/>
      <c r="D415"/>
      <c r="E415"/>
      <c r="F415"/>
      <c r="G415"/>
      <c r="H415"/>
      <c r="I415"/>
      <c r="J415"/>
      <c r="K415"/>
      <c r="L415"/>
      <c r="M415"/>
      <c r="N415"/>
      <c r="O415"/>
      <c r="P415"/>
      <c r="Q415"/>
      <c r="R415"/>
      <c r="S415"/>
      <c r="T415"/>
      <c r="U415"/>
      <c r="V415"/>
      <c r="W415"/>
      <c r="X415"/>
      <c r="Y415"/>
      <c r="Z415"/>
      <c r="AA415"/>
      <c r="AB415"/>
      <c r="AC415"/>
    </row>
    <row r="416" spans="1:29" x14ac:dyDescent="0.25">
      <c r="A416"/>
      <c r="B416"/>
      <c r="C416"/>
      <c r="D416"/>
      <c r="E416"/>
      <c r="F416"/>
      <c r="G416"/>
      <c r="H416"/>
      <c r="I416"/>
      <c r="J416"/>
      <c r="K416"/>
      <c r="L416"/>
      <c r="M416"/>
      <c r="N416"/>
      <c r="O416"/>
      <c r="P416"/>
      <c r="Q416"/>
      <c r="R416"/>
      <c r="S416"/>
      <c r="T416"/>
      <c r="U416"/>
      <c r="V416"/>
      <c r="W416"/>
      <c r="X416"/>
      <c r="Y416"/>
      <c r="Z416"/>
      <c r="AA416"/>
      <c r="AB416"/>
      <c r="AC416"/>
    </row>
    <row r="417" spans="1:29" x14ac:dyDescent="0.25">
      <c r="A417"/>
      <c r="B417"/>
      <c r="C417"/>
      <c r="D417"/>
      <c r="E417"/>
      <c r="F417"/>
      <c r="G417"/>
      <c r="H417"/>
      <c r="I417"/>
      <c r="J417"/>
      <c r="K417"/>
      <c r="L417"/>
      <c r="M417"/>
      <c r="N417"/>
      <c r="O417"/>
      <c r="P417"/>
      <c r="Q417"/>
      <c r="R417"/>
      <c r="S417"/>
      <c r="T417"/>
      <c r="U417"/>
      <c r="V417"/>
      <c r="W417"/>
      <c r="X417"/>
      <c r="Y417"/>
      <c r="Z417"/>
      <c r="AA417"/>
      <c r="AB417"/>
      <c r="AC417"/>
    </row>
    <row r="418" spans="1:29" x14ac:dyDescent="0.25">
      <c r="A418"/>
      <c r="B418"/>
      <c r="C418"/>
      <c r="D418"/>
      <c r="E418"/>
      <c r="F418"/>
      <c r="G418"/>
      <c r="H418"/>
      <c r="I418"/>
      <c r="J418"/>
      <c r="K418"/>
      <c r="L418"/>
      <c r="M418"/>
      <c r="N418"/>
      <c r="O418"/>
      <c r="P418"/>
      <c r="Q418"/>
      <c r="R418"/>
      <c r="S418"/>
      <c r="T418"/>
      <c r="U418"/>
      <c r="V418"/>
      <c r="W418"/>
      <c r="X418"/>
      <c r="Y418"/>
      <c r="Z418"/>
      <c r="AA418"/>
      <c r="AB418"/>
      <c r="AC418"/>
    </row>
    <row r="419" spans="1:29" x14ac:dyDescent="0.25">
      <c r="A419"/>
      <c r="B419"/>
      <c r="C419"/>
      <c r="D419"/>
      <c r="E419"/>
      <c r="F419"/>
      <c r="G419"/>
      <c r="H419"/>
      <c r="I419"/>
      <c r="J419"/>
      <c r="K419"/>
      <c r="L419"/>
      <c r="M419"/>
      <c r="N419"/>
      <c r="O419"/>
      <c r="P419"/>
      <c r="Q419"/>
      <c r="R419"/>
      <c r="S419"/>
      <c r="T419"/>
      <c r="U419"/>
      <c r="V419"/>
      <c r="W419"/>
      <c r="X419"/>
      <c r="Y419"/>
      <c r="Z419"/>
      <c r="AA419"/>
      <c r="AB419"/>
      <c r="AC419"/>
    </row>
    <row r="420" spans="1:29" x14ac:dyDescent="0.25">
      <c r="A420"/>
      <c r="B420"/>
      <c r="C420"/>
      <c r="D420"/>
      <c r="E420"/>
      <c r="F420"/>
      <c r="G420"/>
      <c r="H420"/>
      <c r="I420"/>
      <c r="J420"/>
      <c r="K420"/>
      <c r="L420"/>
      <c r="M420"/>
      <c r="N420"/>
      <c r="O420"/>
      <c r="P420"/>
      <c r="Q420"/>
      <c r="R420"/>
      <c r="S420"/>
      <c r="T420"/>
      <c r="U420"/>
      <c r="V420"/>
      <c r="W420"/>
      <c r="X420"/>
      <c r="Y420"/>
      <c r="Z420"/>
      <c r="AA420"/>
      <c r="AB420"/>
      <c r="AC420"/>
    </row>
    <row r="421" spans="1:29" x14ac:dyDescent="0.25">
      <c r="A421"/>
      <c r="B421"/>
      <c r="C421"/>
      <c r="D421"/>
      <c r="E421"/>
      <c r="F421"/>
      <c r="G421"/>
      <c r="H421"/>
      <c r="I421"/>
      <c r="J421"/>
      <c r="K421"/>
      <c r="L421"/>
      <c r="M421"/>
      <c r="N421"/>
      <c r="O421"/>
      <c r="P421"/>
      <c r="Q421"/>
      <c r="R421"/>
      <c r="S421"/>
      <c r="T421"/>
      <c r="U421"/>
      <c r="V421"/>
      <c r="W421"/>
      <c r="X421"/>
      <c r="Y421"/>
      <c r="Z421"/>
      <c r="AA421"/>
      <c r="AB421"/>
      <c r="AC421"/>
    </row>
    <row r="422" spans="1:29" x14ac:dyDescent="0.25">
      <c r="A422"/>
      <c r="B422"/>
      <c r="C422"/>
      <c r="D422"/>
      <c r="E422"/>
      <c r="F422"/>
      <c r="G422"/>
      <c r="H422"/>
      <c r="I422"/>
      <c r="J422"/>
      <c r="K422"/>
      <c r="L422"/>
      <c r="M422"/>
      <c r="N422"/>
      <c r="O422"/>
      <c r="P422"/>
      <c r="Q422"/>
      <c r="R422"/>
      <c r="S422"/>
      <c r="T422"/>
      <c r="U422"/>
      <c r="V422"/>
      <c r="W422"/>
      <c r="X422"/>
      <c r="Y422"/>
      <c r="Z422"/>
      <c r="AA422"/>
      <c r="AB422"/>
      <c r="AC422"/>
    </row>
    <row r="423" spans="1:29" x14ac:dyDescent="0.25">
      <c r="A423"/>
      <c r="B423"/>
      <c r="C423"/>
      <c r="D423"/>
      <c r="E423"/>
      <c r="F423"/>
      <c r="G423"/>
      <c r="H423"/>
      <c r="I423"/>
      <c r="J423"/>
      <c r="K423"/>
      <c r="L423"/>
      <c r="M423"/>
      <c r="N423"/>
      <c r="O423"/>
      <c r="P423"/>
      <c r="Q423"/>
      <c r="R423"/>
      <c r="S423"/>
      <c r="T423"/>
      <c r="U423"/>
      <c r="V423"/>
      <c r="W423"/>
      <c r="X423"/>
      <c r="Y423"/>
      <c r="Z423"/>
      <c r="AA423"/>
      <c r="AB423"/>
      <c r="AC423"/>
    </row>
    <row r="424" spans="1:29" x14ac:dyDescent="0.25">
      <c r="A424"/>
      <c r="B424"/>
      <c r="C424"/>
      <c r="D424"/>
      <c r="E424"/>
      <c r="F424"/>
      <c r="G424"/>
      <c r="H424"/>
      <c r="I424"/>
      <c r="J424"/>
      <c r="K424"/>
      <c r="L424"/>
      <c r="M424"/>
      <c r="N424"/>
      <c r="O424"/>
      <c r="P424"/>
      <c r="Q424"/>
      <c r="R424"/>
      <c r="S424"/>
      <c r="T424"/>
      <c r="U424"/>
      <c r="V424"/>
      <c r="W424"/>
      <c r="X424"/>
      <c r="Y424"/>
      <c r="Z424"/>
      <c r="AA424"/>
      <c r="AB424"/>
      <c r="AC424"/>
    </row>
    <row r="425" spans="1:29" x14ac:dyDescent="0.25">
      <c r="A425"/>
      <c r="B425"/>
      <c r="C425"/>
      <c r="D425"/>
      <c r="E425"/>
      <c r="F425"/>
      <c r="G425"/>
      <c r="H425"/>
      <c r="I425"/>
      <c r="J425"/>
      <c r="K425"/>
      <c r="L425"/>
      <c r="M425"/>
      <c r="N425"/>
      <c r="O425"/>
      <c r="P425"/>
      <c r="Q425"/>
      <c r="R425"/>
      <c r="S425"/>
      <c r="T425"/>
      <c r="U425"/>
      <c r="V425"/>
      <c r="W425"/>
      <c r="X425"/>
      <c r="Y425"/>
      <c r="Z425"/>
      <c r="AA425"/>
      <c r="AB425"/>
      <c r="AC425"/>
    </row>
    <row r="426" spans="1:29" x14ac:dyDescent="0.25">
      <c r="A426"/>
      <c r="B426"/>
      <c r="C426"/>
      <c r="D426"/>
      <c r="E426"/>
      <c r="F426"/>
      <c r="G426"/>
      <c r="H426"/>
      <c r="I426"/>
      <c r="J426"/>
      <c r="K426"/>
      <c r="L426"/>
      <c r="M426"/>
      <c r="N426"/>
      <c r="O426"/>
      <c r="P426"/>
      <c r="Q426"/>
      <c r="R426"/>
      <c r="S426"/>
      <c r="T426"/>
      <c r="U426"/>
      <c r="V426"/>
      <c r="W426"/>
      <c r="X426"/>
      <c r="Y426"/>
      <c r="Z426"/>
      <c r="AA426"/>
      <c r="AB426"/>
      <c r="AC426"/>
    </row>
    <row r="427" spans="1:29" x14ac:dyDescent="0.25">
      <c r="A427"/>
      <c r="B427"/>
      <c r="C427"/>
      <c r="D427"/>
      <c r="E427"/>
      <c r="F427"/>
      <c r="G427"/>
      <c r="H427"/>
      <c r="I427"/>
      <c r="J427"/>
      <c r="K427"/>
      <c r="L427"/>
      <c r="M427"/>
      <c r="N427"/>
      <c r="O427"/>
      <c r="P427"/>
      <c r="Q427"/>
      <c r="R427"/>
      <c r="S427"/>
      <c r="T427"/>
      <c r="U427"/>
      <c r="V427"/>
      <c r="W427"/>
      <c r="X427"/>
      <c r="Y427"/>
      <c r="Z427"/>
      <c r="AA427"/>
      <c r="AB427"/>
      <c r="AC427"/>
    </row>
    <row r="428" spans="1:29" x14ac:dyDescent="0.25">
      <c r="A428"/>
      <c r="B428"/>
      <c r="C428"/>
      <c r="D428"/>
      <c r="E428"/>
      <c r="F428"/>
      <c r="G428"/>
      <c r="H428"/>
      <c r="I428"/>
      <c r="J428"/>
      <c r="K428"/>
      <c r="L428"/>
      <c r="M428"/>
      <c r="N428"/>
      <c r="O428"/>
      <c r="P428"/>
      <c r="Q428"/>
      <c r="R428"/>
      <c r="S428"/>
      <c r="T428"/>
      <c r="U428"/>
      <c r="V428"/>
      <c r="W428"/>
      <c r="X428"/>
      <c r="Y428"/>
      <c r="Z428"/>
      <c r="AA428"/>
      <c r="AB428"/>
      <c r="AC428"/>
    </row>
    <row r="429" spans="1:29" x14ac:dyDescent="0.25">
      <c r="A429"/>
      <c r="B429"/>
      <c r="C429"/>
      <c r="D429"/>
      <c r="E429"/>
      <c r="F429"/>
      <c r="G429"/>
      <c r="H429"/>
      <c r="I429"/>
      <c r="J429"/>
      <c r="K429"/>
      <c r="L429"/>
      <c r="M429"/>
      <c r="N429"/>
      <c r="O429"/>
      <c r="P429"/>
      <c r="Q429"/>
      <c r="R429"/>
      <c r="S429"/>
      <c r="T429"/>
      <c r="U429"/>
      <c r="V429"/>
      <c r="W429"/>
      <c r="X429"/>
      <c r="Y429"/>
      <c r="Z429"/>
      <c r="AA429"/>
      <c r="AB429"/>
      <c r="AC429"/>
    </row>
    <row r="430" spans="1:29" x14ac:dyDescent="0.25">
      <c r="A430"/>
      <c r="B430"/>
      <c r="C430"/>
      <c r="D430"/>
      <c r="E430"/>
      <c r="F430"/>
      <c r="G430"/>
      <c r="H430"/>
      <c r="I430"/>
      <c r="J430"/>
      <c r="K430"/>
      <c r="L430"/>
      <c r="M430"/>
      <c r="N430"/>
      <c r="O430"/>
      <c r="P430"/>
      <c r="Q430"/>
      <c r="R430"/>
      <c r="S430"/>
      <c r="T430"/>
      <c r="U430"/>
      <c r="V430"/>
      <c r="W430"/>
      <c r="X430"/>
      <c r="Y430"/>
      <c r="Z430"/>
      <c r="AA430"/>
      <c r="AB430"/>
      <c r="AC430"/>
    </row>
    <row r="431" spans="1:29" x14ac:dyDescent="0.25">
      <c r="A431"/>
      <c r="B431"/>
      <c r="C431"/>
      <c r="D431"/>
      <c r="E431"/>
      <c r="F431"/>
      <c r="G431"/>
      <c r="H431"/>
      <c r="I431"/>
      <c r="J431"/>
      <c r="K431"/>
      <c r="L431"/>
      <c r="M431"/>
      <c r="N431"/>
      <c r="O431"/>
      <c r="P431"/>
      <c r="Q431"/>
      <c r="R431"/>
      <c r="S431"/>
      <c r="T431"/>
      <c r="U431"/>
      <c r="V431"/>
      <c r="W431"/>
      <c r="X431"/>
      <c r="Y431"/>
      <c r="Z431"/>
      <c r="AA431"/>
      <c r="AB431"/>
      <c r="AC431"/>
    </row>
    <row r="432" spans="1:29" x14ac:dyDescent="0.25">
      <c r="A432"/>
      <c r="B432"/>
      <c r="C432"/>
      <c r="D432"/>
      <c r="E432"/>
      <c r="F432"/>
      <c r="G432"/>
      <c r="H432"/>
      <c r="I432"/>
      <c r="J432"/>
      <c r="K432"/>
      <c r="L432"/>
      <c r="M432"/>
      <c r="N432"/>
      <c r="O432"/>
      <c r="P432"/>
      <c r="Q432"/>
      <c r="R432"/>
      <c r="S432"/>
      <c r="T432"/>
      <c r="U432"/>
      <c r="V432"/>
      <c r="W432"/>
      <c r="X432"/>
      <c r="Y432"/>
      <c r="Z432"/>
      <c r="AA432"/>
      <c r="AB432"/>
      <c r="AC432"/>
    </row>
    <row r="433" spans="1:29" x14ac:dyDescent="0.25">
      <c r="A433"/>
      <c r="B433"/>
      <c r="C433"/>
      <c r="D433"/>
      <c r="E433"/>
      <c r="F433"/>
      <c r="G433"/>
      <c r="H433"/>
      <c r="I433"/>
      <c r="J433"/>
      <c r="K433"/>
      <c r="L433"/>
      <c r="M433"/>
      <c r="N433"/>
      <c r="O433"/>
      <c r="P433"/>
      <c r="Q433"/>
      <c r="R433"/>
      <c r="S433"/>
      <c r="T433"/>
      <c r="U433"/>
      <c r="V433"/>
      <c r="W433"/>
      <c r="X433"/>
      <c r="Y433"/>
      <c r="Z433"/>
      <c r="AA433"/>
      <c r="AB433"/>
      <c r="AC433"/>
    </row>
    <row r="434" spans="1:29" x14ac:dyDescent="0.25">
      <c r="A434"/>
      <c r="B434"/>
      <c r="C434"/>
      <c r="D434"/>
      <c r="E434"/>
      <c r="F434"/>
      <c r="G434"/>
      <c r="H434"/>
      <c r="I434"/>
      <c r="J434"/>
      <c r="K434"/>
      <c r="L434"/>
      <c r="M434"/>
      <c r="N434"/>
      <c r="O434"/>
      <c r="P434"/>
      <c r="Q434"/>
      <c r="R434"/>
      <c r="S434"/>
      <c r="T434"/>
      <c r="U434"/>
      <c r="V434"/>
      <c r="W434"/>
      <c r="X434"/>
      <c r="Y434"/>
      <c r="Z434"/>
      <c r="AA434"/>
      <c r="AB434"/>
      <c r="AC434"/>
    </row>
    <row r="435" spans="1:29" x14ac:dyDescent="0.25">
      <c r="A435"/>
      <c r="B435"/>
      <c r="C435"/>
      <c r="D435"/>
      <c r="E435"/>
      <c r="F435"/>
      <c r="G435"/>
      <c r="H435"/>
      <c r="I435"/>
      <c r="J435"/>
      <c r="K435"/>
      <c r="L435"/>
      <c r="M435"/>
      <c r="N435"/>
      <c r="O435"/>
      <c r="P435"/>
      <c r="Q435"/>
      <c r="R435"/>
      <c r="S435"/>
      <c r="T435"/>
      <c r="U435"/>
      <c r="V435"/>
      <c r="W435"/>
      <c r="X435"/>
      <c r="Y435"/>
      <c r="Z435"/>
      <c r="AA435"/>
      <c r="AB435"/>
      <c r="AC435"/>
    </row>
    <row r="436" spans="1:29" x14ac:dyDescent="0.25">
      <c r="A436"/>
      <c r="B436"/>
      <c r="C436"/>
      <c r="D436"/>
      <c r="E436"/>
      <c r="F436"/>
      <c r="G436"/>
      <c r="H436"/>
      <c r="I436"/>
      <c r="J436"/>
      <c r="K436"/>
      <c r="L436"/>
      <c r="M436"/>
      <c r="N436"/>
      <c r="O436"/>
      <c r="P436"/>
      <c r="Q436"/>
      <c r="R436"/>
      <c r="S436"/>
      <c r="T436"/>
      <c r="U436"/>
      <c r="V436"/>
      <c r="W436"/>
      <c r="X436"/>
      <c r="Y436"/>
      <c r="Z436"/>
      <c r="AA436"/>
      <c r="AB436"/>
      <c r="AC436"/>
    </row>
    <row r="437" spans="1:29" x14ac:dyDescent="0.25">
      <c r="A437"/>
      <c r="B437"/>
      <c r="C437"/>
      <c r="D437"/>
      <c r="E437"/>
      <c r="F437"/>
      <c r="G437"/>
      <c r="H437"/>
      <c r="I437"/>
      <c r="J437"/>
      <c r="K437"/>
      <c r="L437"/>
      <c r="M437"/>
      <c r="N437"/>
      <c r="O437"/>
      <c r="P437"/>
      <c r="Q437"/>
      <c r="R437"/>
      <c r="S437"/>
      <c r="T437"/>
      <c r="U437"/>
      <c r="V437"/>
      <c r="W437"/>
      <c r="X437"/>
      <c r="Y437"/>
      <c r="Z437"/>
      <c r="AA437"/>
      <c r="AB437"/>
      <c r="AC437"/>
    </row>
    <row r="438" spans="1:29" x14ac:dyDescent="0.25">
      <c r="A438"/>
      <c r="B438"/>
      <c r="C438"/>
      <c r="D438"/>
      <c r="E438"/>
      <c r="F438"/>
      <c r="G438"/>
      <c r="H438"/>
      <c r="I438"/>
      <c r="J438"/>
      <c r="K438"/>
      <c r="L438"/>
      <c r="M438"/>
      <c r="N438"/>
      <c r="O438"/>
      <c r="P438"/>
      <c r="Q438"/>
      <c r="R438"/>
      <c r="S438"/>
      <c r="T438"/>
      <c r="U438"/>
      <c r="V438"/>
      <c r="W438"/>
      <c r="X438"/>
      <c r="Y438"/>
      <c r="Z438"/>
      <c r="AA438"/>
      <c r="AB438"/>
      <c r="AC438"/>
    </row>
    <row r="439" spans="1:29" x14ac:dyDescent="0.25">
      <c r="A439"/>
      <c r="B439"/>
      <c r="C439"/>
      <c r="D439"/>
      <c r="E439"/>
      <c r="F439"/>
      <c r="G439"/>
      <c r="H439"/>
      <c r="I439"/>
      <c r="J439"/>
      <c r="K439"/>
      <c r="L439"/>
      <c r="M439"/>
      <c r="N439"/>
      <c r="O439"/>
      <c r="P439"/>
      <c r="Q439"/>
      <c r="R439"/>
      <c r="S439"/>
      <c r="T439"/>
      <c r="U439"/>
      <c r="V439"/>
      <c r="W439"/>
      <c r="X439"/>
      <c r="Y439"/>
      <c r="Z439"/>
      <c r="AA439"/>
      <c r="AB439"/>
      <c r="AC439"/>
    </row>
    <row r="440" spans="1:29" x14ac:dyDescent="0.25">
      <c r="A440"/>
      <c r="B440"/>
      <c r="C440"/>
      <c r="D440"/>
      <c r="E440"/>
      <c r="F440"/>
      <c r="G440"/>
      <c r="H440"/>
      <c r="I440"/>
      <c r="J440"/>
      <c r="K440"/>
      <c r="L440"/>
      <c r="M440"/>
      <c r="N440"/>
      <c r="O440"/>
      <c r="P440"/>
      <c r="Q440"/>
      <c r="R440"/>
      <c r="S440"/>
      <c r="T440"/>
      <c r="U440"/>
      <c r="V440"/>
      <c r="W440"/>
      <c r="X440"/>
      <c r="Y440"/>
      <c r="Z440"/>
      <c r="AA440"/>
      <c r="AB440"/>
      <c r="AC440"/>
    </row>
    <row r="441" spans="1:29" x14ac:dyDescent="0.25">
      <c r="A441"/>
      <c r="B441"/>
      <c r="C441"/>
      <c r="D441"/>
      <c r="E441"/>
      <c r="F441"/>
      <c r="G441"/>
      <c r="H441"/>
      <c r="I441"/>
      <c r="J441"/>
      <c r="K441"/>
      <c r="L441"/>
      <c r="M441"/>
      <c r="N441"/>
      <c r="O441"/>
      <c r="P441"/>
      <c r="Q441"/>
      <c r="R441"/>
      <c r="S441"/>
      <c r="T441"/>
      <c r="U441"/>
      <c r="V441"/>
      <c r="W441"/>
      <c r="X441"/>
      <c r="Y441"/>
      <c r="Z441"/>
      <c r="AA441"/>
      <c r="AB441"/>
      <c r="AC441"/>
    </row>
    <row r="442" spans="1:29" x14ac:dyDescent="0.25">
      <c r="A442"/>
      <c r="B442"/>
      <c r="C442"/>
      <c r="D442"/>
      <c r="E442"/>
      <c r="F442"/>
      <c r="G442"/>
      <c r="H442"/>
      <c r="I442"/>
      <c r="J442"/>
      <c r="K442"/>
      <c r="L442"/>
      <c r="M442"/>
      <c r="N442"/>
      <c r="O442"/>
      <c r="P442"/>
      <c r="Q442"/>
      <c r="R442"/>
      <c r="S442"/>
      <c r="T442"/>
      <c r="U442"/>
      <c r="V442"/>
      <c r="W442"/>
      <c r="X442"/>
      <c r="Y442"/>
      <c r="Z442"/>
      <c r="AA442"/>
      <c r="AB442"/>
      <c r="AC442"/>
    </row>
    <row r="443" spans="1:29" x14ac:dyDescent="0.25">
      <c r="A443"/>
      <c r="B443"/>
      <c r="C443"/>
      <c r="D443"/>
      <c r="E443"/>
      <c r="F443"/>
      <c r="G443"/>
      <c r="H443"/>
      <c r="I443"/>
      <c r="J443"/>
      <c r="K443"/>
      <c r="L443"/>
      <c r="M443"/>
      <c r="N443"/>
      <c r="O443"/>
      <c r="P443"/>
      <c r="Q443"/>
      <c r="R443"/>
      <c r="S443"/>
      <c r="T443"/>
      <c r="U443"/>
      <c r="V443"/>
      <c r="W443"/>
      <c r="X443"/>
      <c r="Y443"/>
      <c r="Z443"/>
      <c r="AA443"/>
      <c r="AB443"/>
      <c r="AC443"/>
    </row>
    <row r="444" spans="1:29" x14ac:dyDescent="0.25">
      <c r="A444"/>
      <c r="B444"/>
      <c r="C444"/>
      <c r="D444"/>
      <c r="E444"/>
      <c r="F444"/>
      <c r="G444"/>
      <c r="H444"/>
      <c r="I444"/>
      <c r="J444"/>
      <c r="K444"/>
      <c r="L444"/>
      <c r="M444"/>
      <c r="N444"/>
      <c r="O444"/>
      <c r="P444"/>
      <c r="Q444"/>
      <c r="R444"/>
      <c r="S444"/>
      <c r="T444"/>
      <c r="U444"/>
      <c r="V444"/>
      <c r="W444"/>
      <c r="X444"/>
      <c r="Y444"/>
      <c r="Z444"/>
      <c r="AA444"/>
      <c r="AB444"/>
      <c r="AC444"/>
    </row>
    <row r="445" spans="1:29" x14ac:dyDescent="0.25">
      <c r="A445"/>
      <c r="B445"/>
      <c r="C445"/>
      <c r="D445"/>
      <c r="E445"/>
      <c r="F445"/>
      <c r="G445"/>
      <c r="H445"/>
      <c r="I445"/>
      <c r="J445"/>
      <c r="K445"/>
      <c r="L445"/>
      <c r="M445"/>
      <c r="N445"/>
      <c r="O445"/>
      <c r="P445"/>
      <c r="Q445"/>
      <c r="R445"/>
      <c r="S445"/>
      <c r="T445"/>
      <c r="U445"/>
      <c r="V445"/>
      <c r="W445"/>
      <c r="X445"/>
      <c r="Y445"/>
      <c r="Z445"/>
      <c r="AA445"/>
      <c r="AB445"/>
      <c r="AC445"/>
    </row>
    <row r="446" spans="1:29" x14ac:dyDescent="0.25">
      <c r="A446"/>
      <c r="B446"/>
      <c r="C446"/>
      <c r="D446"/>
      <c r="E446"/>
      <c r="F446"/>
      <c r="G446"/>
      <c r="H446"/>
      <c r="I446"/>
      <c r="J446"/>
      <c r="K446"/>
      <c r="L446"/>
      <c r="M446"/>
      <c r="N446"/>
      <c r="O446"/>
      <c r="P446"/>
      <c r="Q446"/>
      <c r="R446"/>
      <c r="S446"/>
      <c r="T446"/>
      <c r="U446"/>
      <c r="V446"/>
      <c r="W446"/>
      <c r="X446"/>
      <c r="Y446"/>
      <c r="Z446"/>
      <c r="AA446"/>
      <c r="AB446"/>
      <c r="AC446"/>
    </row>
    <row r="447" spans="1:29" x14ac:dyDescent="0.25">
      <c r="A447"/>
      <c r="B447"/>
      <c r="C447"/>
      <c r="D447"/>
      <c r="E447"/>
      <c r="F447"/>
      <c r="G447"/>
      <c r="H447"/>
      <c r="I447"/>
      <c r="J447"/>
      <c r="K447"/>
      <c r="L447"/>
      <c r="M447"/>
      <c r="N447"/>
      <c r="O447"/>
      <c r="P447"/>
      <c r="Q447"/>
      <c r="R447"/>
      <c r="S447"/>
      <c r="T447"/>
      <c r="U447"/>
      <c r="V447"/>
      <c r="W447"/>
      <c r="X447"/>
      <c r="Y447"/>
      <c r="Z447"/>
      <c r="AA447"/>
      <c r="AB447"/>
      <c r="AC447"/>
    </row>
    <row r="448" spans="1:29" x14ac:dyDescent="0.25">
      <c r="A448"/>
      <c r="B448"/>
      <c r="C448"/>
      <c r="D448"/>
      <c r="E448"/>
      <c r="F448"/>
      <c r="G448"/>
      <c r="H448"/>
      <c r="I448"/>
      <c r="J448"/>
      <c r="K448"/>
      <c r="L448"/>
      <c r="M448"/>
      <c r="N448"/>
      <c r="O448"/>
      <c r="P448"/>
      <c r="Q448"/>
      <c r="R448"/>
      <c r="S448"/>
      <c r="T448"/>
      <c r="U448"/>
      <c r="V448"/>
      <c r="W448"/>
      <c r="X448"/>
      <c r="Y448"/>
      <c r="Z448"/>
      <c r="AA448"/>
      <c r="AB448"/>
      <c r="AC448"/>
    </row>
    <row r="449" spans="1:29" x14ac:dyDescent="0.25">
      <c r="A449"/>
      <c r="B449"/>
      <c r="C449"/>
      <c r="D449"/>
      <c r="E449"/>
      <c r="F449"/>
      <c r="G449"/>
      <c r="H449"/>
      <c r="I449"/>
      <c r="J449"/>
      <c r="K449"/>
      <c r="L449"/>
      <c r="M449"/>
      <c r="N449"/>
      <c r="O449"/>
      <c r="P449"/>
      <c r="Q449"/>
      <c r="R449"/>
      <c r="S449"/>
      <c r="T449"/>
      <c r="U449"/>
      <c r="V449"/>
      <c r="W449"/>
      <c r="X449"/>
      <c r="Y449"/>
      <c r="Z449"/>
      <c r="AA449"/>
      <c r="AB449"/>
      <c r="AC449"/>
    </row>
    <row r="450" spans="1:29" x14ac:dyDescent="0.25">
      <c r="A450"/>
      <c r="B450"/>
      <c r="C450"/>
      <c r="D450"/>
      <c r="E450"/>
      <c r="F450"/>
      <c r="G450"/>
      <c r="H450"/>
      <c r="I450"/>
      <c r="J450"/>
      <c r="K450"/>
      <c r="L450"/>
      <c r="M450"/>
      <c r="N450"/>
      <c r="O450"/>
      <c r="P450"/>
      <c r="Q450"/>
      <c r="R450"/>
      <c r="S450"/>
      <c r="T450"/>
      <c r="U450"/>
      <c r="V450"/>
      <c r="W450"/>
      <c r="X450"/>
      <c r="Y450"/>
      <c r="Z450"/>
      <c r="AA450"/>
      <c r="AB450"/>
      <c r="AC450"/>
    </row>
    <row r="451" spans="1:29" x14ac:dyDescent="0.25">
      <c r="A451"/>
      <c r="B451"/>
      <c r="C451"/>
      <c r="D451"/>
      <c r="E451"/>
      <c r="F451"/>
      <c r="G451"/>
      <c r="H451"/>
      <c r="I451"/>
      <c r="J451"/>
      <c r="K451"/>
      <c r="L451"/>
      <c r="M451"/>
      <c r="N451"/>
      <c r="O451"/>
      <c r="P451"/>
      <c r="Q451"/>
      <c r="R451"/>
      <c r="S451"/>
      <c r="T451"/>
      <c r="U451"/>
      <c r="V451"/>
      <c r="W451"/>
      <c r="X451"/>
      <c r="Y451"/>
      <c r="Z451"/>
      <c r="AA451"/>
      <c r="AB451"/>
      <c r="AC451"/>
    </row>
    <row r="452" spans="1:29" x14ac:dyDescent="0.25">
      <c r="A452"/>
      <c r="B452"/>
      <c r="C452"/>
      <c r="D452"/>
      <c r="E452"/>
      <c r="F452"/>
      <c r="G452"/>
      <c r="H452"/>
      <c r="I452"/>
      <c r="J452"/>
      <c r="K452"/>
      <c r="L452"/>
      <c r="M452"/>
      <c r="N452"/>
      <c r="O452"/>
      <c r="P452"/>
      <c r="Q452"/>
      <c r="R452"/>
      <c r="S452"/>
      <c r="T452"/>
      <c r="U452"/>
      <c r="V452"/>
      <c r="W452"/>
      <c r="X452"/>
      <c r="Y452"/>
      <c r="Z452"/>
      <c r="AA452"/>
      <c r="AB452"/>
      <c r="AC452"/>
    </row>
    <row r="453" spans="1:29" x14ac:dyDescent="0.25">
      <c r="A453"/>
      <c r="B453"/>
      <c r="C453"/>
      <c r="D453"/>
      <c r="E453"/>
      <c r="F453"/>
      <c r="G453"/>
      <c r="H453"/>
      <c r="I453"/>
      <c r="J453"/>
      <c r="K453"/>
      <c r="L453"/>
      <c r="M453"/>
      <c r="N453"/>
      <c r="O453"/>
      <c r="P453"/>
      <c r="Q453"/>
      <c r="R453"/>
      <c r="S453"/>
      <c r="T453"/>
      <c r="U453"/>
      <c r="V453"/>
      <c r="W453"/>
      <c r="X453"/>
      <c r="Y453"/>
      <c r="Z453"/>
      <c r="AA453"/>
      <c r="AB453"/>
      <c r="AC453"/>
    </row>
    <row r="454" spans="1:29" x14ac:dyDescent="0.25">
      <c r="A454"/>
      <c r="B454"/>
      <c r="C454"/>
      <c r="D454"/>
      <c r="E454"/>
      <c r="F454"/>
      <c r="G454"/>
      <c r="H454"/>
      <c r="I454"/>
      <c r="J454"/>
      <c r="K454"/>
      <c r="L454"/>
      <c r="M454"/>
      <c r="N454"/>
      <c r="O454"/>
      <c r="P454"/>
      <c r="Q454"/>
      <c r="R454"/>
      <c r="S454"/>
      <c r="T454"/>
      <c r="U454"/>
      <c r="V454"/>
      <c r="W454"/>
      <c r="X454"/>
      <c r="Y454"/>
      <c r="Z454"/>
      <c r="AA454"/>
      <c r="AB454"/>
      <c r="AC454"/>
    </row>
    <row r="455" spans="1:29" x14ac:dyDescent="0.25">
      <c r="A455"/>
      <c r="B455"/>
      <c r="C455"/>
      <c r="D455"/>
      <c r="E455"/>
      <c r="F455"/>
      <c r="G455"/>
      <c r="H455"/>
      <c r="I455"/>
      <c r="J455"/>
      <c r="K455"/>
      <c r="L455"/>
      <c r="M455"/>
      <c r="N455"/>
      <c r="O455"/>
      <c r="P455"/>
      <c r="Q455"/>
      <c r="R455"/>
      <c r="S455"/>
      <c r="T455"/>
      <c r="U455"/>
      <c r="V455"/>
      <c r="W455"/>
      <c r="X455"/>
      <c r="Y455"/>
      <c r="Z455"/>
      <c r="AA455"/>
      <c r="AB455"/>
      <c r="AC455"/>
    </row>
    <row r="456" spans="1:29" x14ac:dyDescent="0.25">
      <c r="A456"/>
      <c r="B456"/>
      <c r="C456"/>
      <c r="D456"/>
      <c r="E456"/>
      <c r="F456"/>
      <c r="G456"/>
      <c r="H456"/>
      <c r="I456"/>
      <c r="J456"/>
      <c r="K456"/>
      <c r="L456"/>
      <c r="M456"/>
      <c r="N456"/>
      <c r="O456"/>
      <c r="P456"/>
      <c r="Q456"/>
      <c r="R456"/>
      <c r="S456"/>
      <c r="T456"/>
      <c r="U456"/>
      <c r="V456"/>
      <c r="W456"/>
      <c r="X456"/>
      <c r="Y456"/>
      <c r="Z456"/>
      <c r="AA456"/>
      <c r="AB456"/>
      <c r="AC456"/>
    </row>
    <row r="457" spans="1:29" x14ac:dyDescent="0.25">
      <c r="A457"/>
      <c r="B457"/>
      <c r="C457"/>
      <c r="D457"/>
      <c r="E457"/>
      <c r="F457"/>
      <c r="G457"/>
      <c r="H457"/>
      <c r="I457"/>
      <c r="J457"/>
      <c r="K457"/>
      <c r="L457"/>
      <c r="M457"/>
      <c r="N457"/>
      <c r="O457"/>
      <c r="P457"/>
      <c r="Q457"/>
      <c r="R457"/>
      <c r="S457"/>
      <c r="T457"/>
      <c r="U457"/>
      <c r="V457"/>
      <c r="W457"/>
      <c r="X457"/>
      <c r="Y457"/>
      <c r="Z457"/>
      <c r="AA457"/>
      <c r="AB457"/>
      <c r="AC457"/>
    </row>
    <row r="458" spans="1:29" x14ac:dyDescent="0.25">
      <c r="A458"/>
      <c r="B458"/>
      <c r="C458"/>
      <c r="D458"/>
      <c r="E458"/>
      <c r="F458"/>
      <c r="G458"/>
      <c r="H458"/>
      <c r="I458"/>
      <c r="J458"/>
      <c r="K458"/>
      <c r="L458"/>
      <c r="M458"/>
      <c r="N458"/>
      <c r="O458"/>
      <c r="P458"/>
      <c r="Q458"/>
      <c r="R458"/>
      <c r="S458"/>
      <c r="T458"/>
      <c r="U458"/>
      <c r="V458"/>
      <c r="W458"/>
      <c r="X458"/>
      <c r="Y458"/>
      <c r="Z458"/>
      <c r="AA458"/>
      <c r="AB458"/>
      <c r="AC458"/>
    </row>
    <row r="459" spans="1:29" x14ac:dyDescent="0.25">
      <c r="A459"/>
      <c r="B459"/>
      <c r="C459"/>
      <c r="D459"/>
      <c r="E459"/>
      <c r="F459"/>
      <c r="G459"/>
      <c r="H459"/>
      <c r="I459"/>
      <c r="J459"/>
      <c r="K459"/>
      <c r="L459"/>
      <c r="M459"/>
      <c r="N459"/>
      <c r="O459"/>
      <c r="P459"/>
      <c r="Q459"/>
      <c r="R459"/>
      <c r="S459"/>
      <c r="T459"/>
      <c r="U459"/>
      <c r="V459"/>
      <c r="W459"/>
      <c r="X459"/>
      <c r="Y459"/>
      <c r="Z459"/>
      <c r="AA459"/>
      <c r="AB459"/>
      <c r="AC459"/>
    </row>
    <row r="460" spans="1:29" x14ac:dyDescent="0.25">
      <c r="A460"/>
      <c r="B460"/>
      <c r="C460"/>
      <c r="D460"/>
      <c r="E460"/>
      <c r="F460"/>
      <c r="G460"/>
      <c r="H460"/>
      <c r="I460"/>
      <c r="J460"/>
      <c r="K460"/>
      <c r="L460"/>
      <c r="M460"/>
      <c r="N460"/>
      <c r="O460"/>
      <c r="P460"/>
      <c r="Q460"/>
      <c r="R460"/>
      <c r="S460"/>
      <c r="T460"/>
      <c r="U460"/>
      <c r="V460"/>
      <c r="W460"/>
      <c r="X460"/>
      <c r="Y460"/>
      <c r="Z460"/>
      <c r="AA460"/>
      <c r="AB460"/>
      <c r="AC460"/>
    </row>
    <row r="461" spans="1:29" x14ac:dyDescent="0.25">
      <c r="A461"/>
      <c r="B461"/>
      <c r="C461"/>
      <c r="D461"/>
      <c r="E461"/>
      <c r="F461"/>
      <c r="G461"/>
      <c r="H461"/>
      <c r="I461"/>
      <c r="J461"/>
      <c r="K461"/>
      <c r="L461"/>
      <c r="M461"/>
      <c r="N461"/>
      <c r="O461"/>
      <c r="P461"/>
      <c r="Q461"/>
      <c r="R461"/>
      <c r="S461"/>
      <c r="T461"/>
      <c r="U461"/>
      <c r="V461"/>
      <c r="W461"/>
      <c r="X461"/>
      <c r="Y461"/>
      <c r="Z461"/>
      <c r="AA461"/>
      <c r="AB461"/>
      <c r="AC461"/>
    </row>
    <row r="462" spans="1:29" x14ac:dyDescent="0.25">
      <c r="A462"/>
      <c r="B462"/>
      <c r="C462"/>
      <c r="D462"/>
      <c r="E462"/>
      <c r="F462"/>
      <c r="G462"/>
      <c r="H462"/>
      <c r="I462"/>
      <c r="J462"/>
      <c r="K462"/>
      <c r="L462"/>
      <c r="M462"/>
      <c r="N462"/>
      <c r="O462"/>
      <c r="P462"/>
      <c r="Q462"/>
      <c r="R462"/>
      <c r="S462"/>
      <c r="T462"/>
      <c r="U462"/>
      <c r="V462"/>
      <c r="W462"/>
      <c r="X462"/>
      <c r="Y462"/>
      <c r="Z462"/>
      <c r="AA462"/>
      <c r="AB462"/>
      <c r="AC462"/>
    </row>
    <row r="463" spans="1:29" x14ac:dyDescent="0.25">
      <c r="A463"/>
      <c r="B463"/>
      <c r="C463"/>
      <c r="D463"/>
      <c r="E463"/>
      <c r="F463"/>
      <c r="G463"/>
      <c r="H463"/>
      <c r="I463"/>
      <c r="J463"/>
      <c r="K463"/>
      <c r="L463"/>
      <c r="M463"/>
      <c r="N463"/>
      <c r="O463"/>
      <c r="P463"/>
      <c r="Q463"/>
      <c r="R463"/>
      <c r="S463"/>
      <c r="T463"/>
      <c r="U463"/>
      <c r="V463"/>
      <c r="W463"/>
      <c r="X463"/>
      <c r="Y463"/>
      <c r="Z463"/>
      <c r="AA463"/>
      <c r="AB463"/>
      <c r="AC463"/>
    </row>
    <row r="464" spans="1:29" x14ac:dyDescent="0.25">
      <c r="A464"/>
      <c r="B464"/>
      <c r="C464"/>
      <c r="D464"/>
      <c r="E464"/>
      <c r="F464"/>
      <c r="G464"/>
      <c r="H464"/>
      <c r="I464"/>
      <c r="J464"/>
      <c r="K464"/>
      <c r="L464"/>
      <c r="M464"/>
      <c r="N464"/>
      <c r="O464"/>
      <c r="P464"/>
      <c r="Q464"/>
      <c r="R464"/>
      <c r="S464"/>
      <c r="T464"/>
      <c r="U464"/>
      <c r="V464"/>
      <c r="W464"/>
      <c r="X464"/>
      <c r="Y464"/>
      <c r="Z464"/>
      <c r="AA464"/>
      <c r="AB464"/>
      <c r="AC464"/>
    </row>
    <row r="465" spans="1:29" x14ac:dyDescent="0.25">
      <c r="A465"/>
      <c r="B465"/>
      <c r="C465"/>
      <c r="D465"/>
      <c r="E465"/>
      <c r="F465"/>
      <c r="G465"/>
      <c r="H465"/>
      <c r="I465"/>
      <c r="J465"/>
      <c r="K465"/>
      <c r="L465"/>
      <c r="M465"/>
      <c r="N465"/>
      <c r="O465"/>
      <c r="P465"/>
      <c r="Q465"/>
      <c r="R465"/>
      <c r="S465"/>
      <c r="T465"/>
      <c r="U465"/>
      <c r="V465"/>
      <c r="W465"/>
      <c r="X465"/>
      <c r="Y465"/>
      <c r="Z465"/>
      <c r="AA465"/>
      <c r="AB465"/>
      <c r="AC465"/>
    </row>
    <row r="466" spans="1:29" x14ac:dyDescent="0.25">
      <c r="A466"/>
      <c r="B466"/>
      <c r="C466"/>
      <c r="D466"/>
      <c r="E466"/>
      <c r="F466"/>
      <c r="G466"/>
      <c r="H466"/>
      <c r="I466"/>
      <c r="J466"/>
      <c r="K466"/>
      <c r="L466"/>
      <c r="M466"/>
      <c r="N466"/>
      <c r="O466"/>
      <c r="P466"/>
      <c r="Q466"/>
      <c r="R466"/>
      <c r="S466"/>
      <c r="T466"/>
      <c r="U466"/>
      <c r="V466"/>
      <c r="W466"/>
      <c r="X466"/>
      <c r="Y466"/>
      <c r="Z466"/>
      <c r="AA466"/>
      <c r="AB466"/>
      <c r="AC466"/>
    </row>
    <row r="467" spans="1:29" x14ac:dyDescent="0.25">
      <c r="A467"/>
      <c r="B467"/>
      <c r="C467"/>
      <c r="D467"/>
      <c r="E467"/>
      <c r="F467"/>
      <c r="G467"/>
      <c r="H467"/>
      <c r="I467"/>
      <c r="J467"/>
      <c r="K467"/>
      <c r="L467"/>
      <c r="M467"/>
      <c r="N467"/>
      <c r="O467"/>
      <c r="P467"/>
      <c r="Q467"/>
      <c r="R467"/>
      <c r="S467"/>
      <c r="T467"/>
      <c r="U467"/>
      <c r="V467"/>
      <c r="W467"/>
      <c r="X467"/>
      <c r="Y467"/>
      <c r="Z467"/>
      <c r="AA467"/>
      <c r="AB467"/>
      <c r="AC467"/>
    </row>
    <row r="468" spans="1:29" x14ac:dyDescent="0.25">
      <c r="A468"/>
      <c r="B468"/>
      <c r="C468"/>
      <c r="D468"/>
      <c r="E468"/>
      <c r="F468"/>
      <c r="G468"/>
      <c r="H468"/>
      <c r="I468"/>
      <c r="J468"/>
      <c r="K468"/>
      <c r="L468"/>
      <c r="M468"/>
      <c r="N468"/>
      <c r="O468"/>
      <c r="P468"/>
      <c r="Q468"/>
      <c r="R468"/>
      <c r="S468"/>
      <c r="T468"/>
      <c r="U468"/>
      <c r="V468"/>
      <c r="W468"/>
      <c r="X468"/>
      <c r="Y468"/>
      <c r="Z468"/>
      <c r="AA468"/>
      <c r="AB468"/>
      <c r="AC468"/>
    </row>
    <row r="469" spans="1:29" x14ac:dyDescent="0.25">
      <c r="A469"/>
      <c r="B469"/>
      <c r="C469"/>
      <c r="D469"/>
      <c r="E469"/>
      <c r="F469"/>
      <c r="G469"/>
      <c r="H469"/>
      <c r="I469"/>
      <c r="J469"/>
      <c r="K469"/>
      <c r="L469"/>
      <c r="M469"/>
      <c r="N469"/>
      <c r="O469"/>
      <c r="P469"/>
      <c r="Q469"/>
      <c r="R469"/>
      <c r="S469"/>
      <c r="T469"/>
      <c r="U469"/>
      <c r="V469"/>
      <c r="W469"/>
      <c r="X469"/>
      <c r="Y469"/>
      <c r="Z469"/>
      <c r="AA469"/>
      <c r="AB469"/>
      <c r="AC469"/>
    </row>
    <row r="470" spans="1:29" x14ac:dyDescent="0.25">
      <c r="A470"/>
      <c r="B470"/>
      <c r="C470"/>
      <c r="D470"/>
      <c r="E470"/>
      <c r="F470"/>
      <c r="G470"/>
      <c r="H470"/>
      <c r="I470"/>
      <c r="J470"/>
      <c r="K470"/>
      <c r="L470"/>
      <c r="M470"/>
      <c r="N470"/>
      <c r="O470"/>
      <c r="P470"/>
      <c r="Q470"/>
      <c r="R470"/>
      <c r="S470"/>
      <c r="T470"/>
      <c r="U470"/>
      <c r="V470"/>
      <c r="W470"/>
      <c r="X470"/>
      <c r="Y470"/>
      <c r="Z470"/>
      <c r="AA470"/>
      <c r="AB470"/>
      <c r="AC470"/>
    </row>
    <row r="471" spans="1:29" x14ac:dyDescent="0.25">
      <c r="A471"/>
      <c r="B471"/>
      <c r="C471"/>
      <c r="D471"/>
      <c r="E471"/>
      <c r="F471"/>
      <c r="G471"/>
      <c r="H471"/>
      <c r="I471"/>
      <c r="J471"/>
      <c r="K471"/>
      <c r="L471"/>
      <c r="M471"/>
      <c r="N471"/>
      <c r="O471"/>
      <c r="P471"/>
      <c r="Q471"/>
      <c r="R471"/>
      <c r="S471"/>
      <c r="T471"/>
      <c r="U471"/>
      <c r="V471"/>
      <c r="W471"/>
      <c r="X471"/>
      <c r="Y471"/>
      <c r="Z471"/>
      <c r="AA471"/>
      <c r="AB471"/>
      <c r="AC471"/>
    </row>
    <row r="472" spans="1:29" x14ac:dyDescent="0.25">
      <c r="A472"/>
      <c r="B472"/>
      <c r="C472"/>
      <c r="D472"/>
      <c r="E472"/>
      <c r="F472"/>
      <c r="G472"/>
      <c r="H472"/>
      <c r="I472"/>
      <c r="J472"/>
      <c r="K472"/>
      <c r="L472"/>
      <c r="M472"/>
      <c r="N472"/>
      <c r="O472"/>
      <c r="P472"/>
      <c r="Q472"/>
      <c r="R472"/>
      <c r="S472"/>
      <c r="T472"/>
      <c r="U472"/>
      <c r="V472"/>
      <c r="W472"/>
      <c r="X472"/>
      <c r="Y472"/>
      <c r="Z472"/>
      <c r="AA472"/>
      <c r="AB472"/>
      <c r="AC472"/>
    </row>
    <row r="473" spans="1:29" x14ac:dyDescent="0.25">
      <c r="A473"/>
      <c r="B473"/>
      <c r="C473"/>
      <c r="D473"/>
      <c r="E473"/>
      <c r="F473"/>
      <c r="G473"/>
      <c r="H473"/>
      <c r="I473"/>
      <c r="J473"/>
      <c r="K473"/>
      <c r="L473"/>
      <c r="M473"/>
      <c r="N473"/>
      <c r="O473"/>
      <c r="P473"/>
      <c r="Q473"/>
      <c r="R473"/>
      <c r="S473"/>
      <c r="T473"/>
      <c r="U473"/>
      <c r="V473"/>
      <c r="W473"/>
      <c r="X473"/>
      <c r="Y473"/>
      <c r="Z473"/>
      <c r="AA473"/>
      <c r="AB473"/>
      <c r="AC473"/>
    </row>
    <row r="474" spans="1:29" x14ac:dyDescent="0.25">
      <c r="A474"/>
      <c r="B474"/>
      <c r="C474"/>
      <c r="D474"/>
      <c r="E474"/>
      <c r="F474"/>
      <c r="G474"/>
      <c r="H474"/>
      <c r="I474"/>
      <c r="J474"/>
      <c r="K474"/>
      <c r="L474"/>
      <c r="M474"/>
      <c r="N474"/>
      <c r="O474"/>
      <c r="P474"/>
      <c r="Q474"/>
      <c r="R474"/>
      <c r="S474"/>
      <c r="T474"/>
      <c r="U474"/>
      <c r="V474"/>
      <c r="W474"/>
      <c r="X474"/>
      <c r="Y474"/>
      <c r="Z474"/>
      <c r="AA474"/>
      <c r="AB474"/>
      <c r="AC474"/>
    </row>
    <row r="475" spans="1:29" x14ac:dyDescent="0.25">
      <c r="A475"/>
      <c r="B475"/>
      <c r="C475"/>
      <c r="D475"/>
      <c r="E475"/>
      <c r="F475"/>
      <c r="G475"/>
      <c r="H475"/>
      <c r="I475"/>
      <c r="J475"/>
      <c r="K475"/>
      <c r="L475"/>
      <c r="M475"/>
      <c r="N475"/>
      <c r="O475"/>
      <c r="P475"/>
      <c r="Q475"/>
      <c r="R475"/>
      <c r="S475"/>
      <c r="T475"/>
      <c r="U475"/>
      <c r="V475"/>
      <c r="W475"/>
      <c r="X475"/>
      <c r="Y475"/>
      <c r="Z475"/>
      <c r="AA475"/>
      <c r="AB475"/>
      <c r="AC475"/>
    </row>
    <row r="476" spans="1:29" x14ac:dyDescent="0.25">
      <c r="A476"/>
      <c r="B476"/>
      <c r="C476"/>
      <c r="D476"/>
      <c r="E476"/>
      <c r="F476"/>
      <c r="G476"/>
      <c r="H476"/>
      <c r="I476"/>
      <c r="J476"/>
      <c r="K476"/>
      <c r="L476"/>
      <c r="M476"/>
      <c r="N476"/>
      <c r="O476"/>
      <c r="P476"/>
      <c r="Q476"/>
      <c r="R476"/>
      <c r="S476"/>
      <c r="T476"/>
      <c r="U476"/>
      <c r="V476"/>
      <c r="W476"/>
      <c r="X476"/>
      <c r="Y476"/>
      <c r="Z476"/>
      <c r="AA476"/>
      <c r="AB476"/>
      <c r="AC476"/>
    </row>
    <row r="477" spans="1:29" x14ac:dyDescent="0.25">
      <c r="A477"/>
      <c r="B477"/>
      <c r="C477"/>
      <c r="D477"/>
      <c r="E477"/>
      <c r="F477"/>
      <c r="G477"/>
      <c r="H477"/>
      <c r="I477"/>
      <c r="J477"/>
      <c r="K477"/>
      <c r="L477"/>
      <c r="M477"/>
      <c r="N477"/>
      <c r="O477"/>
      <c r="P477"/>
      <c r="Q477"/>
      <c r="R477"/>
      <c r="S477"/>
      <c r="T477"/>
      <c r="U477"/>
      <c r="V477"/>
      <c r="W477"/>
      <c r="X477"/>
      <c r="Y477"/>
      <c r="Z477"/>
      <c r="AA477"/>
      <c r="AB477"/>
      <c r="AC477"/>
    </row>
    <row r="478" spans="1:29" x14ac:dyDescent="0.25">
      <c r="A478"/>
      <c r="B478"/>
      <c r="C478"/>
      <c r="D478"/>
      <c r="E478"/>
      <c r="F478"/>
      <c r="G478"/>
      <c r="H478"/>
      <c r="I478"/>
      <c r="J478"/>
      <c r="K478"/>
      <c r="L478"/>
      <c r="M478"/>
      <c r="N478"/>
      <c r="O478"/>
      <c r="P478"/>
      <c r="Q478"/>
      <c r="R478"/>
      <c r="S478"/>
      <c r="T478"/>
      <c r="U478"/>
      <c r="V478"/>
      <c r="W478"/>
      <c r="X478"/>
      <c r="Y478"/>
      <c r="Z478"/>
      <c r="AA478"/>
      <c r="AB478"/>
      <c r="AC478"/>
    </row>
    <row r="479" spans="1:29" x14ac:dyDescent="0.25">
      <c r="A479"/>
      <c r="B479"/>
      <c r="C479"/>
      <c r="D479"/>
      <c r="E479"/>
      <c r="F479"/>
      <c r="G479"/>
      <c r="H479"/>
      <c r="I479"/>
      <c r="J479"/>
      <c r="K479"/>
      <c r="L479"/>
      <c r="M479"/>
      <c r="N479"/>
      <c r="O479"/>
      <c r="P479"/>
      <c r="Q479"/>
      <c r="R479"/>
      <c r="S479"/>
      <c r="T479"/>
      <c r="U479"/>
      <c r="V479"/>
      <c r="W479"/>
      <c r="X479"/>
      <c r="Y479"/>
      <c r="Z479"/>
      <c r="AA479"/>
      <c r="AB479"/>
      <c r="AC479"/>
    </row>
    <row r="480" spans="1:29" x14ac:dyDescent="0.25">
      <c r="A480"/>
      <c r="B480"/>
      <c r="C480"/>
      <c r="D480"/>
      <c r="E480"/>
      <c r="F480"/>
      <c r="G480"/>
      <c r="H480"/>
      <c r="I480"/>
      <c r="J480"/>
      <c r="K480"/>
      <c r="L480"/>
      <c r="M480"/>
      <c r="N480"/>
      <c r="O480"/>
      <c r="P480"/>
      <c r="Q480"/>
      <c r="R480"/>
      <c r="S480"/>
      <c r="T480"/>
      <c r="U480"/>
      <c r="V480"/>
      <c r="W480"/>
      <c r="X480"/>
      <c r="Y480"/>
      <c r="Z480"/>
      <c r="AA480"/>
      <c r="AB480"/>
      <c r="AC480"/>
    </row>
    <row r="481" spans="1:29" x14ac:dyDescent="0.25">
      <c r="A481"/>
      <c r="B481"/>
      <c r="C481"/>
      <c r="D481"/>
      <c r="E481"/>
      <c r="F481"/>
      <c r="G481"/>
      <c r="H481"/>
      <c r="I481"/>
      <c r="J481"/>
      <c r="K481"/>
      <c r="L481"/>
      <c r="M481"/>
      <c r="N481"/>
      <c r="O481"/>
      <c r="P481"/>
      <c r="Q481"/>
      <c r="R481"/>
      <c r="S481"/>
      <c r="T481"/>
      <c r="U481"/>
      <c r="V481"/>
      <c r="W481"/>
      <c r="X481"/>
      <c r="Y481"/>
      <c r="Z481"/>
      <c r="AA481"/>
      <c r="AB481"/>
      <c r="AC481"/>
    </row>
    <row r="482" spans="1:29" x14ac:dyDescent="0.25">
      <c r="A482"/>
      <c r="B482"/>
      <c r="C482"/>
      <c r="D482"/>
      <c r="E482"/>
      <c r="F482"/>
      <c r="G482"/>
      <c r="H482"/>
      <c r="I482"/>
      <c r="J482"/>
      <c r="K482"/>
      <c r="L482"/>
      <c r="M482"/>
      <c r="N482"/>
      <c r="O482"/>
      <c r="P482"/>
      <c r="Q482"/>
      <c r="R482"/>
      <c r="S482"/>
      <c r="T482"/>
      <c r="U482"/>
      <c r="V482"/>
      <c r="W482"/>
      <c r="X482"/>
      <c r="Y482"/>
      <c r="Z482"/>
      <c r="AA482"/>
      <c r="AB482"/>
      <c r="AC482"/>
    </row>
    <row r="483" spans="1:29" x14ac:dyDescent="0.25">
      <c r="A483"/>
      <c r="B483"/>
      <c r="C483"/>
      <c r="D483"/>
      <c r="E483"/>
      <c r="F483"/>
      <c r="G483"/>
      <c r="H483"/>
      <c r="I483"/>
      <c r="J483"/>
      <c r="K483"/>
      <c r="L483"/>
      <c r="M483"/>
      <c r="N483"/>
      <c r="O483"/>
      <c r="P483"/>
      <c r="Q483"/>
      <c r="R483"/>
      <c r="S483"/>
      <c r="T483"/>
      <c r="U483"/>
      <c r="V483"/>
      <c r="W483"/>
      <c r="X483"/>
      <c r="Y483"/>
      <c r="Z483"/>
      <c r="AA483"/>
      <c r="AB483"/>
      <c r="AC483"/>
    </row>
    <row r="484" spans="1:29" x14ac:dyDescent="0.25">
      <c r="A484"/>
      <c r="B484"/>
      <c r="C484"/>
      <c r="D484"/>
      <c r="E484"/>
      <c r="F484"/>
      <c r="G484"/>
      <c r="H484"/>
      <c r="I484"/>
      <c r="J484"/>
      <c r="K484"/>
      <c r="L484"/>
      <c r="M484"/>
      <c r="N484"/>
      <c r="O484"/>
      <c r="P484"/>
      <c r="Q484"/>
      <c r="R484"/>
      <c r="S484"/>
      <c r="T484"/>
      <c r="U484"/>
      <c r="V484"/>
      <c r="W484"/>
      <c r="X484"/>
      <c r="Y484"/>
      <c r="Z484"/>
      <c r="AA484"/>
      <c r="AB484"/>
      <c r="AC484"/>
    </row>
    <row r="485" spans="1:29" x14ac:dyDescent="0.25">
      <c r="A485"/>
      <c r="B485"/>
      <c r="C485"/>
      <c r="D485"/>
      <c r="E485"/>
      <c r="F485"/>
      <c r="G485"/>
      <c r="H485"/>
      <c r="I485"/>
      <c r="J485"/>
      <c r="K485"/>
      <c r="L485"/>
      <c r="M485"/>
      <c r="N485"/>
      <c r="O485"/>
      <c r="P485"/>
      <c r="Q485"/>
      <c r="R485"/>
      <c r="S485"/>
      <c r="T485"/>
      <c r="U485"/>
      <c r="V485"/>
      <c r="W485"/>
      <c r="X485"/>
      <c r="Y485"/>
      <c r="Z485"/>
      <c r="AA485"/>
      <c r="AB485"/>
      <c r="AC485"/>
    </row>
    <row r="486" spans="1:29" x14ac:dyDescent="0.25">
      <c r="A486"/>
      <c r="B486"/>
      <c r="C486"/>
      <c r="D486"/>
      <c r="E486"/>
      <c r="F486"/>
      <c r="G486"/>
      <c r="H486"/>
      <c r="I486"/>
      <c r="J486"/>
      <c r="K486"/>
      <c r="L486"/>
      <c r="M486"/>
      <c r="N486"/>
      <c r="O486"/>
      <c r="P486"/>
      <c r="Q486"/>
      <c r="R486"/>
      <c r="S486"/>
      <c r="T486"/>
      <c r="U486"/>
      <c r="V486"/>
      <c r="W486"/>
      <c r="X486"/>
      <c r="Y486"/>
      <c r="Z486"/>
      <c r="AA486"/>
      <c r="AB486"/>
      <c r="AC486"/>
    </row>
    <row r="487" spans="1:29" x14ac:dyDescent="0.25">
      <c r="A487"/>
      <c r="B487"/>
      <c r="C487"/>
      <c r="D487"/>
      <c r="E487"/>
      <c r="F487"/>
      <c r="G487"/>
      <c r="H487"/>
      <c r="I487"/>
      <c r="J487"/>
      <c r="K487"/>
      <c r="L487"/>
      <c r="M487"/>
      <c r="N487"/>
      <c r="O487"/>
      <c r="P487"/>
      <c r="Q487"/>
      <c r="R487"/>
      <c r="S487"/>
      <c r="T487"/>
      <c r="U487"/>
      <c r="V487"/>
      <c r="W487"/>
      <c r="X487"/>
      <c r="Y487"/>
      <c r="Z487"/>
      <c r="AA487"/>
      <c r="AB487"/>
      <c r="AC487"/>
    </row>
    <row r="488" spans="1:29" x14ac:dyDescent="0.25">
      <c r="A488"/>
      <c r="B488"/>
      <c r="C488"/>
      <c r="D488"/>
      <c r="E488"/>
      <c r="F488"/>
      <c r="G488"/>
      <c r="H488"/>
      <c r="I488"/>
      <c r="J488"/>
      <c r="K488"/>
      <c r="L488"/>
      <c r="M488"/>
      <c r="N488"/>
      <c r="O488"/>
      <c r="P488"/>
      <c r="Q488"/>
      <c r="R488"/>
      <c r="S488"/>
      <c r="T488"/>
      <c r="U488"/>
      <c r="V488"/>
      <c r="W488"/>
      <c r="X488"/>
      <c r="Y488"/>
      <c r="Z488"/>
      <c r="AA488"/>
      <c r="AB488"/>
      <c r="AC488"/>
    </row>
    <row r="489" spans="1:29" x14ac:dyDescent="0.25">
      <c r="A489"/>
      <c r="B489"/>
      <c r="C489"/>
      <c r="D489"/>
      <c r="E489"/>
      <c r="F489"/>
      <c r="G489"/>
      <c r="H489"/>
      <c r="I489"/>
      <c r="J489"/>
      <c r="K489"/>
      <c r="L489"/>
      <c r="M489"/>
      <c r="N489"/>
      <c r="O489"/>
      <c r="P489"/>
      <c r="Q489"/>
      <c r="R489"/>
      <c r="S489"/>
      <c r="T489"/>
      <c r="U489"/>
      <c r="V489"/>
      <c r="W489"/>
      <c r="X489"/>
      <c r="Y489"/>
      <c r="Z489"/>
      <c r="AA489"/>
      <c r="AB489"/>
      <c r="AC489"/>
    </row>
    <row r="490" spans="1:29" x14ac:dyDescent="0.25">
      <c r="A490"/>
      <c r="B490"/>
      <c r="C490"/>
      <c r="D490"/>
      <c r="E490"/>
      <c r="F490"/>
      <c r="G490"/>
      <c r="H490"/>
      <c r="I490"/>
      <c r="J490"/>
      <c r="K490"/>
      <c r="L490"/>
      <c r="M490"/>
      <c r="N490"/>
      <c r="O490"/>
      <c r="P490"/>
      <c r="Q490"/>
      <c r="R490"/>
      <c r="S490"/>
      <c r="T490"/>
      <c r="U490"/>
      <c r="V490"/>
      <c r="W490"/>
      <c r="X490"/>
      <c r="Y490"/>
      <c r="Z490"/>
      <c r="AA490"/>
      <c r="AB490"/>
      <c r="AC490"/>
    </row>
    <row r="491" spans="1:29" x14ac:dyDescent="0.25">
      <c r="A491"/>
      <c r="B491"/>
      <c r="C491"/>
      <c r="D491"/>
      <c r="E491"/>
      <c r="F491"/>
      <c r="G491"/>
      <c r="H491"/>
      <c r="I491"/>
      <c r="J491"/>
      <c r="K491"/>
      <c r="L491"/>
      <c r="M491"/>
      <c r="N491"/>
      <c r="O491"/>
      <c r="P491"/>
      <c r="Q491"/>
      <c r="R491"/>
      <c r="S491"/>
      <c r="T491"/>
      <c r="U491"/>
      <c r="V491"/>
      <c r="W491"/>
      <c r="X491"/>
      <c r="Y491"/>
      <c r="Z491"/>
      <c r="AA491"/>
      <c r="AB491"/>
      <c r="AC491"/>
    </row>
    <row r="492" spans="1:29" x14ac:dyDescent="0.25">
      <c r="A492"/>
      <c r="B492"/>
      <c r="C492"/>
      <c r="D492"/>
      <c r="E492"/>
      <c r="F492"/>
      <c r="G492"/>
      <c r="H492"/>
      <c r="I492"/>
      <c r="J492"/>
      <c r="K492"/>
      <c r="L492"/>
      <c r="M492"/>
      <c r="N492"/>
      <c r="O492"/>
      <c r="P492"/>
      <c r="Q492"/>
      <c r="R492"/>
      <c r="S492"/>
      <c r="T492"/>
      <c r="U492"/>
      <c r="V492"/>
      <c r="W492"/>
      <c r="X492"/>
      <c r="Y492"/>
      <c r="Z492"/>
      <c r="AA492"/>
      <c r="AB492"/>
      <c r="AC492"/>
    </row>
    <row r="493" spans="1:29" x14ac:dyDescent="0.25">
      <c r="A493"/>
      <c r="B493"/>
      <c r="C493"/>
      <c r="D493"/>
      <c r="E493"/>
      <c r="F493"/>
      <c r="G493"/>
      <c r="H493"/>
      <c r="I493"/>
      <c r="J493"/>
      <c r="K493"/>
      <c r="L493"/>
      <c r="M493"/>
      <c r="N493"/>
      <c r="O493"/>
      <c r="P493"/>
      <c r="Q493"/>
      <c r="R493"/>
      <c r="S493"/>
      <c r="T493"/>
      <c r="U493"/>
      <c r="V493"/>
      <c r="W493"/>
      <c r="X493"/>
      <c r="Y493"/>
      <c r="Z493"/>
      <c r="AA493"/>
      <c r="AB493"/>
      <c r="AC493"/>
    </row>
    <row r="494" spans="1:29" x14ac:dyDescent="0.25">
      <c r="A494"/>
      <c r="B494"/>
      <c r="C494"/>
      <c r="D494"/>
      <c r="E494"/>
      <c r="F494"/>
      <c r="G494"/>
      <c r="H494"/>
      <c r="I494"/>
      <c r="J494"/>
      <c r="K494"/>
      <c r="L494"/>
      <c r="M494"/>
      <c r="N494"/>
      <c r="O494"/>
      <c r="P494"/>
      <c r="Q494"/>
      <c r="R494"/>
      <c r="S494"/>
      <c r="T494"/>
      <c r="U494"/>
      <c r="V494"/>
      <c r="W494"/>
      <c r="X494"/>
      <c r="Y494"/>
      <c r="Z494"/>
      <c r="AA494"/>
      <c r="AB494"/>
      <c r="AC494"/>
    </row>
    <row r="495" spans="1:29" x14ac:dyDescent="0.25">
      <c r="A495"/>
      <c r="B495"/>
      <c r="C495"/>
      <c r="D495"/>
      <c r="E495"/>
      <c r="F495"/>
      <c r="G495"/>
      <c r="H495"/>
      <c r="I495"/>
      <c r="J495"/>
      <c r="K495"/>
      <c r="L495"/>
      <c r="M495"/>
      <c r="N495"/>
      <c r="O495"/>
      <c r="P495"/>
      <c r="Q495"/>
      <c r="R495"/>
      <c r="S495"/>
      <c r="T495"/>
      <c r="U495"/>
      <c r="V495"/>
      <c r="W495"/>
      <c r="X495"/>
      <c r="Y495"/>
      <c r="Z495"/>
      <c r="AA495"/>
      <c r="AB495"/>
      <c r="AC495"/>
    </row>
    <row r="496" spans="1:29" x14ac:dyDescent="0.25">
      <c r="A496"/>
      <c r="B496"/>
      <c r="C496"/>
      <c r="D496"/>
      <c r="E496"/>
      <c r="F496"/>
      <c r="G496"/>
      <c r="H496"/>
      <c r="I496"/>
      <c r="J496"/>
      <c r="K496"/>
      <c r="L496"/>
      <c r="M496"/>
      <c r="N496"/>
      <c r="O496"/>
      <c r="P496"/>
      <c r="Q496"/>
      <c r="R496"/>
      <c r="S496"/>
      <c r="T496"/>
      <c r="U496"/>
      <c r="V496"/>
      <c r="W496"/>
      <c r="X496"/>
      <c r="Y496"/>
      <c r="Z496"/>
      <c r="AA496"/>
      <c r="AB496"/>
      <c r="AC496"/>
    </row>
    <row r="497" spans="1:29" x14ac:dyDescent="0.25">
      <c r="A497"/>
      <c r="B497"/>
      <c r="C497"/>
      <c r="D497"/>
      <c r="E497"/>
      <c r="F497"/>
      <c r="G497"/>
      <c r="H497"/>
      <c r="I497"/>
      <c r="J497"/>
      <c r="K497"/>
      <c r="L497"/>
      <c r="M497"/>
      <c r="N497"/>
      <c r="O497"/>
      <c r="P497"/>
      <c r="Q497"/>
      <c r="R497"/>
      <c r="S497"/>
      <c r="T497"/>
      <c r="U497"/>
      <c r="V497"/>
      <c r="W497"/>
      <c r="X497"/>
      <c r="Y497"/>
      <c r="Z497"/>
      <c r="AA497"/>
      <c r="AB497"/>
      <c r="AC497"/>
    </row>
    <row r="498" spans="1:29" x14ac:dyDescent="0.25">
      <c r="A498"/>
      <c r="B498"/>
      <c r="C498"/>
      <c r="D498"/>
      <c r="E498"/>
      <c r="F498"/>
      <c r="G498"/>
      <c r="H498"/>
      <c r="I498"/>
      <c r="J498"/>
      <c r="K498"/>
      <c r="L498"/>
      <c r="M498"/>
      <c r="N498"/>
      <c r="O498"/>
      <c r="P498"/>
      <c r="Q498"/>
      <c r="R498"/>
      <c r="S498"/>
      <c r="T498"/>
      <c r="U498"/>
      <c r="V498"/>
      <c r="W498"/>
      <c r="X498"/>
      <c r="Y498"/>
      <c r="Z498"/>
      <c r="AA498"/>
      <c r="AB498"/>
      <c r="AC498"/>
    </row>
    <row r="499" spans="1:29" x14ac:dyDescent="0.25">
      <c r="A499"/>
      <c r="B499"/>
      <c r="C499"/>
      <c r="D499"/>
      <c r="E499"/>
      <c r="F499"/>
      <c r="G499"/>
      <c r="H499"/>
      <c r="I499"/>
      <c r="J499"/>
      <c r="K499"/>
      <c r="L499"/>
      <c r="M499"/>
      <c r="N499"/>
      <c r="O499"/>
      <c r="P499"/>
      <c r="Q499"/>
      <c r="R499"/>
      <c r="S499"/>
      <c r="T499"/>
      <c r="U499"/>
      <c r="V499"/>
      <c r="W499"/>
      <c r="X499"/>
      <c r="Y499"/>
      <c r="Z499"/>
      <c r="AA499"/>
      <c r="AB499"/>
      <c r="AC499"/>
    </row>
    <row r="500" spans="1:29" x14ac:dyDescent="0.25">
      <c r="A500"/>
      <c r="B500"/>
      <c r="C500"/>
      <c r="D500"/>
      <c r="E500"/>
      <c r="F500"/>
      <c r="G500"/>
      <c r="H500"/>
      <c r="I500"/>
      <c r="J500"/>
      <c r="K500"/>
      <c r="L500"/>
      <c r="M500"/>
      <c r="N500"/>
      <c r="O500"/>
      <c r="P500"/>
      <c r="Q500"/>
      <c r="R500"/>
      <c r="S500"/>
      <c r="T500"/>
      <c r="U500"/>
      <c r="V500"/>
      <c r="W500"/>
      <c r="X500"/>
      <c r="Y500"/>
      <c r="Z500"/>
      <c r="AA500"/>
      <c r="AB500"/>
      <c r="AC500"/>
    </row>
    <row r="501" spans="1:29" x14ac:dyDescent="0.25">
      <c r="A501"/>
      <c r="B501"/>
      <c r="C501"/>
      <c r="D501"/>
      <c r="E501"/>
      <c r="F501"/>
      <c r="G501"/>
      <c r="H501"/>
      <c r="I501"/>
      <c r="J501"/>
      <c r="K501"/>
      <c r="L501"/>
      <c r="M501"/>
      <c r="N501"/>
      <c r="O501"/>
      <c r="P501"/>
      <c r="Q501"/>
      <c r="R501"/>
      <c r="S501"/>
      <c r="T501"/>
      <c r="U501"/>
      <c r="V501"/>
      <c r="W501"/>
      <c r="X501"/>
      <c r="Y501"/>
      <c r="Z501"/>
      <c r="AA501"/>
      <c r="AB501"/>
      <c r="AC501"/>
    </row>
    <row r="502" spans="1:29" x14ac:dyDescent="0.25">
      <c r="A502"/>
      <c r="B502"/>
      <c r="C502"/>
      <c r="D502"/>
      <c r="E502"/>
      <c r="F502"/>
      <c r="G502"/>
      <c r="H502"/>
      <c r="I502"/>
      <c r="J502"/>
      <c r="K502"/>
      <c r="L502"/>
      <c r="M502"/>
      <c r="N502"/>
      <c r="O502"/>
      <c r="P502"/>
      <c r="Q502"/>
      <c r="R502"/>
      <c r="S502"/>
      <c r="T502"/>
      <c r="U502"/>
      <c r="V502"/>
      <c r="W502"/>
      <c r="X502"/>
      <c r="Y502"/>
      <c r="Z502"/>
      <c r="AA502"/>
      <c r="AB502"/>
      <c r="AC502"/>
    </row>
    <row r="503" spans="1:29" x14ac:dyDescent="0.25">
      <c r="A503"/>
      <c r="B503"/>
      <c r="C503"/>
      <c r="D503"/>
      <c r="E503"/>
      <c r="F503"/>
      <c r="G503"/>
      <c r="H503"/>
      <c r="I503"/>
      <c r="J503"/>
      <c r="K503"/>
      <c r="L503"/>
      <c r="M503"/>
      <c r="N503"/>
      <c r="O503"/>
      <c r="P503"/>
      <c r="Q503"/>
      <c r="R503"/>
      <c r="S503"/>
      <c r="T503"/>
      <c r="U503"/>
      <c r="V503"/>
      <c r="W503"/>
      <c r="X503"/>
      <c r="Y503"/>
      <c r="Z503"/>
      <c r="AA503"/>
      <c r="AB503"/>
      <c r="AC503"/>
    </row>
    <row r="504" spans="1:29" x14ac:dyDescent="0.25">
      <c r="A504"/>
      <c r="B504"/>
      <c r="C504"/>
      <c r="D504"/>
      <c r="E504"/>
      <c r="F504"/>
      <c r="G504"/>
      <c r="H504"/>
      <c r="I504"/>
      <c r="J504"/>
      <c r="K504"/>
      <c r="L504"/>
      <c r="M504"/>
      <c r="N504"/>
      <c r="O504"/>
      <c r="P504"/>
      <c r="Q504"/>
      <c r="R504"/>
      <c r="S504"/>
      <c r="T504"/>
      <c r="U504"/>
      <c r="V504"/>
      <c r="W504"/>
      <c r="X504"/>
      <c r="Y504"/>
      <c r="Z504"/>
      <c r="AA504"/>
      <c r="AB504"/>
      <c r="AC504"/>
    </row>
    <row r="505" spans="1:29" x14ac:dyDescent="0.25">
      <c r="A505"/>
      <c r="B505"/>
      <c r="C505"/>
      <c r="D505"/>
      <c r="E505"/>
      <c r="F505"/>
      <c r="G505"/>
      <c r="H505"/>
      <c r="I505"/>
      <c r="J505"/>
      <c r="K505"/>
      <c r="L505"/>
      <c r="M505"/>
      <c r="N505"/>
      <c r="O505"/>
      <c r="P505"/>
      <c r="Q505"/>
      <c r="R505"/>
      <c r="S505"/>
      <c r="T505"/>
      <c r="U505"/>
      <c r="V505"/>
      <c r="W505"/>
      <c r="X505"/>
      <c r="Y505"/>
      <c r="Z505"/>
      <c r="AA505"/>
      <c r="AB505"/>
      <c r="AC505"/>
    </row>
    <row r="506" spans="1:29" x14ac:dyDescent="0.25">
      <c r="A506"/>
      <c r="B506"/>
      <c r="C506"/>
      <c r="D506"/>
      <c r="E506"/>
      <c r="F506"/>
      <c r="G506"/>
      <c r="H506"/>
      <c r="I506"/>
      <c r="J506"/>
      <c r="K506"/>
      <c r="L506"/>
      <c r="M506"/>
      <c r="N506"/>
      <c r="O506"/>
      <c r="P506"/>
      <c r="Q506"/>
      <c r="R506"/>
      <c r="S506"/>
      <c r="T506"/>
      <c r="U506"/>
      <c r="V506"/>
      <c r="W506"/>
      <c r="X506"/>
      <c r="Y506"/>
      <c r="Z506"/>
      <c r="AA506"/>
      <c r="AB506"/>
      <c r="AC506"/>
    </row>
    <row r="507" spans="1:29" x14ac:dyDescent="0.25">
      <c r="A507"/>
      <c r="B507"/>
      <c r="C507"/>
      <c r="D507"/>
      <c r="E507"/>
      <c r="F507"/>
      <c r="G507"/>
      <c r="H507"/>
      <c r="I507"/>
      <c r="J507"/>
      <c r="K507"/>
      <c r="L507"/>
      <c r="M507"/>
      <c r="N507"/>
      <c r="O507"/>
      <c r="P507"/>
      <c r="Q507"/>
      <c r="R507"/>
      <c r="S507"/>
      <c r="T507"/>
      <c r="U507"/>
      <c r="V507"/>
      <c r="W507"/>
      <c r="X507"/>
      <c r="Y507"/>
      <c r="Z507"/>
      <c r="AA507"/>
      <c r="AB507"/>
      <c r="AC507"/>
    </row>
    <row r="508" spans="1:29" x14ac:dyDescent="0.25">
      <c r="A508"/>
      <c r="B508"/>
      <c r="C508"/>
      <c r="D508"/>
      <c r="E508"/>
      <c r="F508"/>
      <c r="G508"/>
      <c r="H508"/>
      <c r="I508"/>
      <c r="J508"/>
      <c r="K508"/>
      <c r="L508"/>
      <c r="M508"/>
      <c r="N508"/>
      <c r="O508"/>
      <c r="P508"/>
      <c r="Q508"/>
      <c r="R508"/>
      <c r="S508"/>
      <c r="T508"/>
      <c r="U508"/>
      <c r="V508"/>
      <c r="W508"/>
      <c r="X508"/>
      <c r="Y508"/>
      <c r="Z508"/>
      <c r="AA508"/>
      <c r="AB508"/>
      <c r="AC508"/>
    </row>
    <row r="509" spans="1:29" x14ac:dyDescent="0.25">
      <c r="A509"/>
      <c r="B509"/>
      <c r="C509"/>
      <c r="D509"/>
      <c r="E509"/>
      <c r="F509"/>
      <c r="G509"/>
      <c r="H509"/>
      <c r="I509"/>
      <c r="J509"/>
      <c r="K509"/>
      <c r="L509"/>
      <c r="M509"/>
      <c r="N509"/>
      <c r="O509"/>
      <c r="P509"/>
      <c r="Q509"/>
      <c r="R509"/>
      <c r="S509"/>
      <c r="T509"/>
      <c r="U509"/>
      <c r="V509"/>
      <c r="W509"/>
      <c r="X509"/>
      <c r="Y509"/>
      <c r="Z509"/>
      <c r="AA509"/>
      <c r="AB509"/>
      <c r="AC509"/>
    </row>
    <row r="510" spans="1:29" x14ac:dyDescent="0.25">
      <c r="A510"/>
      <c r="B510"/>
      <c r="C510"/>
      <c r="D510"/>
      <c r="E510"/>
      <c r="F510"/>
      <c r="G510"/>
      <c r="H510"/>
      <c r="I510"/>
      <c r="J510"/>
      <c r="K510"/>
      <c r="L510"/>
      <c r="M510"/>
      <c r="N510"/>
      <c r="O510"/>
      <c r="P510"/>
      <c r="Q510"/>
      <c r="R510"/>
      <c r="S510"/>
      <c r="T510"/>
      <c r="U510"/>
      <c r="V510"/>
      <c r="W510"/>
      <c r="X510"/>
      <c r="Y510"/>
      <c r="Z510"/>
      <c r="AA510"/>
      <c r="AB510"/>
      <c r="AC510"/>
    </row>
    <row r="511" spans="1:29" x14ac:dyDescent="0.25">
      <c r="A511"/>
      <c r="B511"/>
      <c r="C511"/>
      <c r="D511"/>
      <c r="E511"/>
      <c r="F511"/>
      <c r="G511"/>
      <c r="H511"/>
      <c r="I511"/>
      <c r="J511"/>
      <c r="K511"/>
      <c r="L511"/>
      <c r="M511"/>
      <c r="N511"/>
      <c r="O511"/>
      <c r="P511"/>
      <c r="Q511"/>
      <c r="R511"/>
      <c r="S511"/>
      <c r="T511"/>
      <c r="U511"/>
      <c r="V511"/>
      <c r="W511"/>
      <c r="X511"/>
      <c r="Y511"/>
      <c r="Z511"/>
      <c r="AA511"/>
      <c r="AB511"/>
      <c r="AC511"/>
    </row>
    <row r="512" spans="1:29" x14ac:dyDescent="0.25">
      <c r="A512"/>
      <c r="B512"/>
      <c r="C512"/>
      <c r="D512"/>
      <c r="E512"/>
      <c r="F512"/>
      <c r="G512"/>
      <c r="H512"/>
      <c r="I512"/>
      <c r="J512"/>
      <c r="K512"/>
      <c r="L512"/>
      <c r="M512"/>
      <c r="N512"/>
      <c r="O512"/>
      <c r="P512"/>
      <c r="Q512"/>
      <c r="R512"/>
      <c r="S512"/>
      <c r="T512"/>
      <c r="U512"/>
      <c r="V512"/>
      <c r="W512"/>
      <c r="X512"/>
      <c r="Y512"/>
      <c r="Z512"/>
      <c r="AA512"/>
      <c r="AB512"/>
      <c r="AC512"/>
    </row>
    <row r="513" spans="1:29" x14ac:dyDescent="0.25">
      <c r="A513"/>
      <c r="B513"/>
      <c r="C513"/>
      <c r="D513"/>
      <c r="E513"/>
      <c r="F513"/>
      <c r="G513"/>
      <c r="H513"/>
      <c r="I513"/>
      <c r="J513"/>
      <c r="K513"/>
      <c r="L513"/>
      <c r="M513"/>
      <c r="N513"/>
      <c r="O513"/>
      <c r="P513"/>
      <c r="Q513"/>
      <c r="R513"/>
      <c r="S513"/>
      <c r="T513"/>
      <c r="U513"/>
      <c r="V513"/>
      <c r="W513"/>
      <c r="X513"/>
      <c r="Y513"/>
      <c r="Z513"/>
      <c r="AA513"/>
      <c r="AB513"/>
      <c r="AC513"/>
    </row>
    <row r="514" spans="1:29" x14ac:dyDescent="0.25">
      <c r="A514"/>
      <c r="B514"/>
      <c r="C514"/>
      <c r="D514"/>
      <c r="E514"/>
      <c r="F514"/>
      <c r="G514"/>
      <c r="H514"/>
      <c r="I514"/>
      <c r="J514"/>
      <c r="K514"/>
      <c r="L514"/>
      <c r="M514"/>
      <c r="N514"/>
      <c r="O514"/>
      <c r="P514"/>
      <c r="Q514"/>
      <c r="R514"/>
      <c r="S514"/>
      <c r="T514"/>
      <c r="U514"/>
      <c r="V514"/>
      <c r="W514"/>
      <c r="X514"/>
      <c r="Y514"/>
      <c r="Z514"/>
      <c r="AA514"/>
      <c r="AB514"/>
      <c r="AC514"/>
    </row>
    <row r="515" spans="1:29" x14ac:dyDescent="0.25">
      <c r="A515"/>
      <c r="B515"/>
      <c r="C515"/>
      <c r="D515"/>
      <c r="E515"/>
      <c r="F515"/>
      <c r="G515"/>
      <c r="H515"/>
      <c r="I515"/>
      <c r="J515"/>
      <c r="K515"/>
      <c r="L515"/>
      <c r="M515"/>
      <c r="N515"/>
      <c r="O515"/>
      <c r="P515"/>
      <c r="Q515"/>
      <c r="R515"/>
      <c r="S515"/>
      <c r="T515"/>
      <c r="U515"/>
      <c r="V515"/>
      <c r="W515"/>
      <c r="X515"/>
      <c r="Y515"/>
      <c r="Z515"/>
      <c r="AA515"/>
      <c r="AB515"/>
      <c r="AC515"/>
    </row>
    <row r="516" spans="1:29" x14ac:dyDescent="0.25">
      <c r="A516"/>
      <c r="B516"/>
      <c r="C516"/>
      <c r="D516"/>
      <c r="E516"/>
      <c r="F516"/>
      <c r="G516"/>
      <c r="H516"/>
      <c r="I516"/>
      <c r="J516"/>
      <c r="K516"/>
      <c r="L516"/>
      <c r="M516"/>
      <c r="N516"/>
      <c r="O516"/>
      <c r="P516"/>
      <c r="Q516"/>
      <c r="R516"/>
      <c r="S516"/>
      <c r="T516"/>
      <c r="U516"/>
      <c r="V516"/>
      <c r="W516"/>
      <c r="X516"/>
      <c r="Y516"/>
      <c r="Z516"/>
      <c r="AA516"/>
      <c r="AB516"/>
      <c r="AC516"/>
    </row>
    <row r="517" spans="1:29" x14ac:dyDescent="0.25">
      <c r="A517"/>
      <c r="B517"/>
      <c r="C517"/>
      <c r="D517"/>
      <c r="E517"/>
      <c r="F517"/>
      <c r="G517"/>
      <c r="H517"/>
      <c r="I517"/>
      <c r="J517"/>
      <c r="K517"/>
      <c r="L517"/>
      <c r="M517"/>
      <c r="N517"/>
      <c r="O517"/>
      <c r="P517"/>
      <c r="Q517"/>
      <c r="R517"/>
      <c r="S517"/>
      <c r="T517"/>
      <c r="U517"/>
      <c r="V517"/>
      <c r="W517"/>
      <c r="X517"/>
      <c r="Y517"/>
      <c r="Z517"/>
      <c r="AA517"/>
      <c r="AB517"/>
      <c r="AC517"/>
    </row>
    <row r="518" spans="1:29" x14ac:dyDescent="0.25">
      <c r="A518"/>
      <c r="B518"/>
      <c r="C518"/>
      <c r="D518"/>
      <c r="E518"/>
      <c r="F518"/>
      <c r="G518"/>
      <c r="H518"/>
      <c r="I518"/>
      <c r="J518"/>
      <c r="K518"/>
      <c r="L518"/>
      <c r="M518"/>
      <c r="N518"/>
      <c r="O518"/>
      <c r="P518"/>
      <c r="Q518"/>
      <c r="R518"/>
      <c r="S518"/>
      <c r="T518"/>
      <c r="U518"/>
      <c r="V518"/>
      <c r="W518"/>
      <c r="X518"/>
      <c r="Y518"/>
      <c r="Z518"/>
      <c r="AA518"/>
      <c r="AB518"/>
      <c r="AC518"/>
    </row>
    <row r="519" spans="1:29" x14ac:dyDescent="0.25">
      <c r="A519"/>
      <c r="B519"/>
      <c r="C519"/>
      <c r="D519"/>
      <c r="E519"/>
      <c r="F519"/>
      <c r="G519"/>
      <c r="H519"/>
      <c r="I519"/>
      <c r="J519"/>
      <c r="K519"/>
      <c r="L519"/>
      <c r="M519"/>
      <c r="N519"/>
      <c r="O519"/>
      <c r="P519"/>
      <c r="Q519"/>
      <c r="R519"/>
      <c r="S519"/>
      <c r="T519"/>
      <c r="U519"/>
      <c r="V519"/>
      <c r="W519"/>
      <c r="X519"/>
      <c r="Y519"/>
      <c r="Z519"/>
      <c r="AA519"/>
      <c r="AB519"/>
      <c r="AC519"/>
    </row>
    <row r="520" spans="1:29" x14ac:dyDescent="0.25">
      <c r="A520"/>
      <c r="B520"/>
      <c r="C520"/>
      <c r="D520"/>
      <c r="E520"/>
      <c r="F520"/>
      <c r="G520"/>
      <c r="H520"/>
      <c r="I520"/>
      <c r="J520"/>
      <c r="K520"/>
      <c r="L520"/>
      <c r="M520"/>
      <c r="N520"/>
      <c r="O520"/>
      <c r="P520"/>
      <c r="Q520"/>
      <c r="R520"/>
      <c r="S520"/>
      <c r="T520"/>
      <c r="U520"/>
      <c r="V520"/>
      <c r="W520"/>
      <c r="X520"/>
      <c r="Y520"/>
      <c r="Z520"/>
      <c r="AA520"/>
      <c r="AB520"/>
      <c r="AC520"/>
    </row>
    <row r="521" spans="1:29" x14ac:dyDescent="0.25">
      <c r="A521"/>
      <c r="B521"/>
      <c r="C521"/>
      <c r="D521"/>
      <c r="E521"/>
      <c r="F521"/>
      <c r="G521"/>
      <c r="H521"/>
      <c r="I521"/>
      <c r="J521"/>
      <c r="K521"/>
      <c r="L521"/>
      <c r="M521"/>
      <c r="N521"/>
      <c r="O521"/>
      <c r="P521"/>
      <c r="Q521"/>
      <c r="R521"/>
      <c r="S521"/>
      <c r="T521"/>
      <c r="U521"/>
      <c r="V521"/>
      <c r="W521"/>
      <c r="X521"/>
      <c r="Y521"/>
      <c r="Z521"/>
      <c r="AA521"/>
      <c r="AB521"/>
      <c r="AC521"/>
    </row>
    <row r="522" spans="1:29" x14ac:dyDescent="0.25">
      <c r="A522"/>
      <c r="B522"/>
      <c r="C522"/>
      <c r="D522"/>
      <c r="E522"/>
      <c r="F522"/>
      <c r="G522"/>
      <c r="H522"/>
      <c r="I522"/>
      <c r="J522"/>
      <c r="K522"/>
      <c r="L522"/>
      <c r="M522"/>
      <c r="N522"/>
      <c r="O522"/>
      <c r="P522"/>
      <c r="Q522"/>
      <c r="R522"/>
      <c r="S522"/>
      <c r="T522"/>
      <c r="U522"/>
      <c r="V522"/>
      <c r="W522"/>
      <c r="X522"/>
      <c r="Y522"/>
      <c r="Z522"/>
      <c r="AA522"/>
      <c r="AB522"/>
      <c r="AC522"/>
    </row>
    <row r="523" spans="1:29" x14ac:dyDescent="0.25">
      <c r="A523"/>
      <c r="B523"/>
      <c r="C523"/>
      <c r="D523"/>
      <c r="E523"/>
      <c r="F523"/>
      <c r="G523"/>
      <c r="H523"/>
      <c r="I523"/>
      <c r="J523"/>
      <c r="K523"/>
      <c r="L523"/>
      <c r="M523"/>
      <c r="N523"/>
      <c r="O523"/>
      <c r="P523"/>
      <c r="Q523"/>
      <c r="R523"/>
      <c r="S523"/>
      <c r="T523"/>
      <c r="U523"/>
      <c r="V523"/>
      <c r="W523"/>
      <c r="X523"/>
      <c r="Y523"/>
      <c r="Z523"/>
      <c r="AA523"/>
      <c r="AB523"/>
      <c r="AC523"/>
    </row>
    <row r="524" spans="1:29" x14ac:dyDescent="0.25">
      <c r="A524"/>
      <c r="B524"/>
      <c r="C524"/>
      <c r="D524"/>
      <c r="E524"/>
      <c r="F524"/>
      <c r="G524"/>
      <c r="H524"/>
      <c r="I524"/>
      <c r="J524"/>
      <c r="K524"/>
      <c r="L524"/>
      <c r="M524"/>
      <c r="N524"/>
      <c r="O524"/>
      <c r="P524"/>
      <c r="Q524"/>
      <c r="R524"/>
      <c r="S524"/>
      <c r="T524"/>
      <c r="U524"/>
      <c r="V524"/>
      <c r="W524"/>
      <c r="X524"/>
      <c r="Y524"/>
      <c r="Z524"/>
      <c r="AA524"/>
      <c r="AB524"/>
      <c r="AC524"/>
    </row>
    <row r="525" spans="1:29" x14ac:dyDescent="0.25">
      <c r="A525"/>
      <c r="B525"/>
      <c r="C525"/>
      <c r="D525"/>
      <c r="E525"/>
      <c r="F525"/>
      <c r="G525"/>
      <c r="H525"/>
      <c r="I525"/>
      <c r="J525"/>
      <c r="K525"/>
      <c r="L525"/>
      <c r="M525"/>
      <c r="N525"/>
      <c r="O525"/>
      <c r="P525"/>
      <c r="Q525"/>
      <c r="R525"/>
      <c r="S525"/>
      <c r="T525"/>
      <c r="U525"/>
      <c r="V525"/>
      <c r="W525"/>
      <c r="X525"/>
      <c r="Y525"/>
      <c r="Z525"/>
      <c r="AA525"/>
      <c r="AB525"/>
      <c r="AC525"/>
    </row>
    <row r="526" spans="1:29" x14ac:dyDescent="0.25">
      <c r="A526"/>
      <c r="B526"/>
      <c r="C526"/>
      <c r="D526"/>
      <c r="E526"/>
      <c r="F526"/>
      <c r="G526"/>
      <c r="H526"/>
      <c r="I526"/>
      <c r="J526"/>
      <c r="K526"/>
      <c r="L526"/>
      <c r="M526"/>
      <c r="N526"/>
      <c r="O526"/>
      <c r="P526"/>
      <c r="Q526"/>
      <c r="R526"/>
      <c r="S526"/>
      <c r="T526"/>
      <c r="U526"/>
      <c r="V526"/>
      <c r="W526"/>
      <c r="X526"/>
      <c r="Y526"/>
      <c r="Z526"/>
      <c r="AA526"/>
      <c r="AB526"/>
      <c r="AC526"/>
    </row>
    <row r="527" spans="1:29" x14ac:dyDescent="0.25">
      <c r="A527"/>
      <c r="B527"/>
      <c r="C527"/>
      <c r="D527"/>
      <c r="E527"/>
      <c r="F527"/>
      <c r="G527"/>
      <c r="H527"/>
      <c r="I527"/>
      <c r="J527"/>
      <c r="K527"/>
      <c r="L527"/>
      <c r="M527"/>
      <c r="N527"/>
      <c r="O527"/>
      <c r="P527"/>
      <c r="Q527"/>
      <c r="R527"/>
      <c r="S527"/>
      <c r="T527"/>
      <c r="U527"/>
      <c r="V527"/>
      <c r="W527"/>
      <c r="X527"/>
      <c r="Y527"/>
      <c r="Z527"/>
      <c r="AA527"/>
      <c r="AB527"/>
      <c r="AC527"/>
    </row>
    <row r="528" spans="1:29" x14ac:dyDescent="0.25">
      <c r="A528"/>
      <c r="B528"/>
      <c r="C528"/>
      <c r="D528"/>
      <c r="E528"/>
      <c r="F528"/>
      <c r="G528"/>
      <c r="H528"/>
      <c r="I528"/>
      <c r="J528"/>
      <c r="K528"/>
      <c r="L528"/>
      <c r="M528"/>
      <c r="N528"/>
      <c r="O528"/>
      <c r="P528"/>
      <c r="Q528"/>
      <c r="R528"/>
      <c r="S528"/>
      <c r="T528"/>
      <c r="U528"/>
      <c r="V528"/>
      <c r="W528"/>
      <c r="X528"/>
      <c r="Y528"/>
      <c r="Z528"/>
      <c r="AA528"/>
      <c r="AB528"/>
      <c r="AC528"/>
    </row>
    <row r="529" spans="1:29" x14ac:dyDescent="0.25">
      <c r="A529"/>
      <c r="B529"/>
      <c r="C529"/>
      <c r="D529"/>
      <c r="E529"/>
      <c r="F529"/>
      <c r="G529"/>
      <c r="H529"/>
      <c r="I529"/>
      <c r="J529"/>
      <c r="K529"/>
      <c r="L529"/>
      <c r="M529"/>
      <c r="N529"/>
      <c r="O529"/>
      <c r="P529"/>
      <c r="Q529"/>
      <c r="R529"/>
      <c r="S529"/>
      <c r="T529"/>
      <c r="U529"/>
      <c r="V529"/>
      <c r="W529"/>
      <c r="X529"/>
      <c r="Y529"/>
      <c r="Z529"/>
      <c r="AA529"/>
      <c r="AB529"/>
      <c r="AC529"/>
    </row>
    <row r="530" spans="1:29" x14ac:dyDescent="0.25">
      <c r="A530"/>
      <c r="B530"/>
      <c r="C530"/>
      <c r="D530"/>
      <c r="E530"/>
      <c r="F530"/>
      <c r="G530"/>
      <c r="H530"/>
      <c r="I530"/>
      <c r="J530"/>
      <c r="K530"/>
      <c r="L530"/>
      <c r="M530"/>
      <c r="N530"/>
      <c r="O530"/>
      <c r="P530"/>
      <c r="Q530"/>
      <c r="R530"/>
      <c r="S530"/>
      <c r="T530"/>
      <c r="U530"/>
      <c r="V530"/>
      <c r="W530"/>
      <c r="X530"/>
      <c r="Y530"/>
      <c r="Z530"/>
      <c r="AA530"/>
      <c r="AB530"/>
      <c r="AC530"/>
    </row>
    <row r="531" spans="1:29" x14ac:dyDescent="0.25">
      <c r="A531"/>
      <c r="B531"/>
      <c r="C531"/>
      <c r="D531"/>
      <c r="E531"/>
      <c r="F531"/>
      <c r="G531"/>
      <c r="H531"/>
      <c r="I531"/>
      <c r="J531"/>
      <c r="K531"/>
      <c r="L531"/>
      <c r="M531"/>
      <c r="N531"/>
      <c r="O531"/>
      <c r="P531"/>
      <c r="Q531"/>
      <c r="R531"/>
      <c r="S531"/>
      <c r="T531"/>
      <c r="U531"/>
      <c r="V531"/>
      <c r="W531"/>
      <c r="X531"/>
      <c r="Y531"/>
      <c r="Z531"/>
      <c r="AA531"/>
      <c r="AB531"/>
      <c r="AC531"/>
    </row>
    <row r="532" spans="1:29" x14ac:dyDescent="0.25">
      <c r="A532"/>
      <c r="B532"/>
      <c r="C532"/>
      <c r="D532"/>
      <c r="E532"/>
      <c r="F532"/>
      <c r="G532"/>
      <c r="H532"/>
      <c r="I532"/>
      <c r="J532"/>
      <c r="K532"/>
      <c r="L532"/>
      <c r="M532"/>
      <c r="N532"/>
      <c r="O532"/>
      <c r="P532"/>
      <c r="Q532"/>
      <c r="R532"/>
      <c r="S532"/>
      <c r="T532"/>
      <c r="U532"/>
      <c r="V532"/>
      <c r="W532"/>
      <c r="X532"/>
      <c r="Y532"/>
      <c r="Z532"/>
      <c r="AA532"/>
      <c r="AB532"/>
      <c r="AC532"/>
    </row>
    <row r="533" spans="1:29" x14ac:dyDescent="0.25">
      <c r="A533"/>
      <c r="B533"/>
      <c r="C533"/>
      <c r="D533"/>
      <c r="E533"/>
      <c r="F533"/>
      <c r="G533"/>
      <c r="H533"/>
      <c r="I533"/>
      <c r="J533"/>
      <c r="K533"/>
      <c r="L533"/>
      <c r="M533"/>
      <c r="N533"/>
      <c r="O533"/>
      <c r="P533"/>
      <c r="Q533"/>
      <c r="R533"/>
      <c r="S533"/>
      <c r="T533"/>
      <c r="U533"/>
      <c r="V533"/>
      <c r="W533"/>
      <c r="X533"/>
      <c r="Y533"/>
      <c r="Z533"/>
      <c r="AA533"/>
      <c r="AB533"/>
      <c r="AC533"/>
    </row>
    <row r="534" spans="1:29" x14ac:dyDescent="0.25">
      <c r="A534"/>
      <c r="B534"/>
      <c r="C534"/>
      <c r="D534"/>
      <c r="E534"/>
      <c r="F534"/>
      <c r="G534"/>
      <c r="H534"/>
      <c r="I534"/>
      <c r="J534"/>
      <c r="K534"/>
      <c r="L534"/>
      <c r="M534"/>
      <c r="N534"/>
      <c r="O534"/>
      <c r="P534"/>
      <c r="Q534"/>
      <c r="R534"/>
      <c r="S534"/>
      <c r="T534"/>
      <c r="U534"/>
      <c r="V534"/>
      <c r="W534"/>
      <c r="X534"/>
      <c r="Y534"/>
      <c r="Z534"/>
      <c r="AA534"/>
      <c r="AB534"/>
      <c r="AC534"/>
    </row>
    <row r="535" spans="1:29" x14ac:dyDescent="0.25">
      <c r="A535"/>
      <c r="B535"/>
      <c r="C535"/>
      <c r="D535"/>
      <c r="E535"/>
      <c r="F535"/>
      <c r="G535"/>
      <c r="H535"/>
      <c r="I535"/>
      <c r="J535"/>
      <c r="K535"/>
      <c r="L535"/>
      <c r="M535"/>
      <c r="N535"/>
      <c r="O535"/>
      <c r="P535"/>
      <c r="Q535"/>
      <c r="R535"/>
      <c r="S535"/>
      <c r="T535"/>
      <c r="U535"/>
      <c r="V535"/>
      <c r="W535"/>
      <c r="X535"/>
      <c r="Y535"/>
      <c r="Z535"/>
      <c r="AA535"/>
      <c r="AB535"/>
      <c r="AC535"/>
    </row>
    <row r="536" spans="1:29" x14ac:dyDescent="0.25">
      <c r="A536"/>
      <c r="B536"/>
      <c r="C536"/>
      <c r="D536"/>
      <c r="E536"/>
      <c r="F536"/>
      <c r="G536"/>
      <c r="H536"/>
      <c r="I536"/>
      <c r="J536"/>
      <c r="K536"/>
      <c r="L536"/>
      <c r="M536"/>
      <c r="N536"/>
      <c r="O536"/>
      <c r="P536"/>
      <c r="Q536"/>
      <c r="R536"/>
      <c r="S536"/>
      <c r="T536"/>
      <c r="U536"/>
      <c r="V536"/>
      <c r="W536"/>
      <c r="X536"/>
      <c r="Y536"/>
      <c r="Z536"/>
      <c r="AA536"/>
      <c r="AB536"/>
      <c r="AC536"/>
    </row>
    <row r="537" spans="1:29" x14ac:dyDescent="0.25">
      <c r="A537"/>
      <c r="B537"/>
      <c r="C537"/>
      <c r="D537"/>
      <c r="E537"/>
      <c r="F537"/>
      <c r="G537"/>
      <c r="H537"/>
      <c r="I537"/>
      <c r="J537"/>
      <c r="K537"/>
      <c r="L537"/>
      <c r="M537"/>
      <c r="N537"/>
      <c r="O537"/>
      <c r="P537"/>
      <c r="Q537"/>
      <c r="R537"/>
      <c r="S537"/>
      <c r="T537"/>
      <c r="U537"/>
      <c r="V537"/>
      <c r="W537"/>
      <c r="X537"/>
      <c r="Y537"/>
      <c r="Z537"/>
      <c r="AA537"/>
      <c r="AB537"/>
      <c r="AC537"/>
    </row>
    <row r="538" spans="1:29" x14ac:dyDescent="0.25">
      <c r="A538"/>
      <c r="B538"/>
      <c r="C538"/>
      <c r="D538"/>
      <c r="E538"/>
      <c r="F538"/>
      <c r="G538"/>
      <c r="H538"/>
      <c r="I538"/>
      <c r="J538"/>
      <c r="K538"/>
      <c r="L538"/>
      <c r="M538"/>
      <c r="N538"/>
      <c r="O538"/>
      <c r="P538"/>
      <c r="Q538"/>
      <c r="R538"/>
      <c r="S538"/>
      <c r="T538"/>
      <c r="U538"/>
      <c r="V538"/>
      <c r="W538"/>
      <c r="X538"/>
      <c r="Y538"/>
      <c r="Z538"/>
      <c r="AA538"/>
      <c r="AB538"/>
      <c r="AC538"/>
    </row>
    <row r="539" spans="1:29" x14ac:dyDescent="0.25">
      <c r="A539"/>
      <c r="B539"/>
      <c r="C539"/>
      <c r="D539"/>
      <c r="E539"/>
      <c r="F539"/>
      <c r="G539"/>
      <c r="H539"/>
      <c r="I539"/>
      <c r="J539"/>
      <c r="K539"/>
      <c r="L539"/>
      <c r="M539"/>
      <c r="N539"/>
      <c r="O539"/>
      <c r="P539"/>
      <c r="Q539"/>
      <c r="R539"/>
      <c r="S539"/>
      <c r="T539"/>
      <c r="U539"/>
      <c r="V539"/>
      <c r="W539"/>
      <c r="X539"/>
      <c r="Y539"/>
      <c r="Z539"/>
      <c r="AA539"/>
      <c r="AB539"/>
      <c r="AC539"/>
    </row>
    <row r="540" spans="1:29" x14ac:dyDescent="0.25">
      <c r="A540"/>
      <c r="B540"/>
      <c r="C540"/>
      <c r="D540"/>
      <c r="E540"/>
      <c r="F540"/>
      <c r="G540"/>
      <c r="H540"/>
      <c r="I540"/>
      <c r="J540"/>
      <c r="K540"/>
      <c r="L540"/>
      <c r="M540"/>
      <c r="N540"/>
      <c r="O540"/>
      <c r="P540"/>
      <c r="Q540"/>
      <c r="R540"/>
      <c r="S540"/>
      <c r="T540"/>
      <c r="U540"/>
      <c r="V540"/>
      <c r="W540"/>
      <c r="X540"/>
      <c r="Y540"/>
      <c r="Z540"/>
      <c r="AA540"/>
      <c r="AB540"/>
      <c r="AC540"/>
    </row>
    <row r="541" spans="1:29" x14ac:dyDescent="0.25">
      <c r="A541"/>
      <c r="B541"/>
      <c r="C541"/>
      <c r="D541"/>
      <c r="E541"/>
      <c r="F541"/>
      <c r="G541"/>
      <c r="H541"/>
      <c r="I541"/>
      <c r="J541"/>
      <c r="K541"/>
      <c r="L541"/>
      <c r="M541"/>
      <c r="N541"/>
      <c r="O541"/>
      <c r="P541"/>
      <c r="Q541"/>
      <c r="R541"/>
      <c r="S541"/>
      <c r="T541"/>
      <c r="U541"/>
      <c r="V541"/>
      <c r="W541"/>
      <c r="X541"/>
      <c r="Y541"/>
      <c r="Z541"/>
      <c r="AA541"/>
      <c r="AB541"/>
      <c r="AC541"/>
    </row>
    <row r="542" spans="1:29" x14ac:dyDescent="0.25">
      <c r="A542"/>
      <c r="B542"/>
      <c r="C542"/>
      <c r="D542"/>
      <c r="E542"/>
      <c r="F542"/>
      <c r="G542"/>
      <c r="H542"/>
      <c r="I542"/>
      <c r="J542"/>
      <c r="K542"/>
      <c r="L542"/>
      <c r="M542"/>
      <c r="N542"/>
      <c r="O542"/>
      <c r="P542"/>
      <c r="Q542"/>
      <c r="R542"/>
      <c r="S542"/>
      <c r="T542"/>
      <c r="U542"/>
      <c r="V542"/>
      <c r="W542"/>
      <c r="X542"/>
      <c r="Y542"/>
      <c r="Z542"/>
      <c r="AA542"/>
      <c r="AB542"/>
      <c r="AC542"/>
    </row>
    <row r="543" spans="1:29" x14ac:dyDescent="0.25">
      <c r="A543"/>
      <c r="B543"/>
      <c r="C543"/>
      <c r="D543"/>
      <c r="E543"/>
      <c r="F543"/>
      <c r="G543"/>
      <c r="H543"/>
      <c r="I543"/>
      <c r="J543"/>
      <c r="K543"/>
      <c r="L543"/>
      <c r="M543"/>
      <c r="N543"/>
      <c r="O543"/>
      <c r="P543"/>
      <c r="Q543"/>
      <c r="R543"/>
      <c r="S543"/>
      <c r="T543"/>
      <c r="U543"/>
      <c r="V543"/>
      <c r="W543"/>
      <c r="X543"/>
      <c r="Y543"/>
      <c r="Z543"/>
      <c r="AA543"/>
      <c r="AB543"/>
      <c r="AC543"/>
    </row>
    <row r="544" spans="1:29" x14ac:dyDescent="0.25">
      <c r="A544"/>
      <c r="B544"/>
      <c r="C544"/>
      <c r="D544"/>
      <c r="E544"/>
      <c r="F544"/>
      <c r="G544"/>
      <c r="H544"/>
      <c r="I544"/>
      <c r="J544"/>
      <c r="K544"/>
      <c r="L544"/>
      <c r="M544"/>
      <c r="N544"/>
      <c r="O544"/>
      <c r="P544"/>
      <c r="Q544"/>
      <c r="R544"/>
      <c r="S544"/>
      <c r="T544"/>
      <c r="U544"/>
      <c r="V544"/>
      <c r="W544"/>
      <c r="X544"/>
      <c r="Y544"/>
      <c r="Z544"/>
      <c r="AA544"/>
      <c r="AB544"/>
      <c r="AC544"/>
    </row>
    <row r="545" spans="1:29" x14ac:dyDescent="0.25">
      <c r="A545"/>
      <c r="B545"/>
      <c r="C545"/>
      <c r="D545"/>
      <c r="E545"/>
      <c r="F545"/>
      <c r="G545"/>
      <c r="H545"/>
      <c r="I545"/>
      <c r="J545"/>
      <c r="K545"/>
      <c r="L545"/>
      <c r="M545"/>
      <c r="N545"/>
      <c r="O545"/>
      <c r="P545"/>
      <c r="Q545"/>
      <c r="R545"/>
      <c r="S545"/>
      <c r="T545"/>
      <c r="U545"/>
      <c r="V545"/>
      <c r="W545"/>
      <c r="X545"/>
      <c r="Y545"/>
      <c r="Z545"/>
      <c r="AA545"/>
      <c r="AB545"/>
      <c r="AC545"/>
    </row>
    <row r="546" spans="1:29" x14ac:dyDescent="0.25">
      <c r="A546"/>
      <c r="B546"/>
      <c r="C546"/>
      <c r="D546"/>
      <c r="E546"/>
      <c r="F546"/>
      <c r="G546"/>
      <c r="H546"/>
      <c r="I546"/>
      <c r="J546"/>
      <c r="K546"/>
      <c r="L546"/>
      <c r="M546"/>
      <c r="N546"/>
      <c r="O546"/>
      <c r="P546"/>
      <c r="Q546"/>
      <c r="R546"/>
      <c r="S546"/>
      <c r="T546"/>
      <c r="U546"/>
      <c r="V546"/>
      <c r="W546"/>
      <c r="X546"/>
      <c r="Y546"/>
      <c r="Z546"/>
      <c r="AA546"/>
      <c r="AB546"/>
      <c r="AC546"/>
    </row>
    <row r="547" spans="1:29" x14ac:dyDescent="0.25">
      <c r="A547"/>
      <c r="B547"/>
      <c r="C547"/>
      <c r="D547"/>
      <c r="E547"/>
      <c r="F547"/>
      <c r="G547"/>
      <c r="H547"/>
      <c r="I547"/>
      <c r="J547"/>
      <c r="K547"/>
      <c r="L547"/>
      <c r="M547"/>
      <c r="N547"/>
      <c r="O547"/>
      <c r="P547"/>
      <c r="Q547"/>
      <c r="R547"/>
      <c r="S547"/>
      <c r="T547"/>
      <c r="U547"/>
      <c r="V547"/>
      <c r="W547"/>
      <c r="X547"/>
      <c r="Y547"/>
      <c r="Z547"/>
      <c r="AA547"/>
      <c r="AB547"/>
      <c r="AC547"/>
    </row>
    <row r="548" spans="1:29" x14ac:dyDescent="0.25">
      <c r="A548"/>
      <c r="B548"/>
      <c r="C548"/>
      <c r="D548"/>
      <c r="E548"/>
      <c r="F548"/>
      <c r="G548"/>
      <c r="H548"/>
      <c r="I548"/>
      <c r="J548"/>
      <c r="K548"/>
      <c r="L548"/>
      <c r="M548"/>
      <c r="N548"/>
      <c r="O548"/>
      <c r="P548"/>
      <c r="Q548"/>
      <c r="R548"/>
      <c r="S548"/>
      <c r="T548"/>
      <c r="U548"/>
      <c r="V548"/>
      <c r="W548"/>
      <c r="X548"/>
      <c r="Y548"/>
      <c r="Z548"/>
      <c r="AA548"/>
      <c r="AB548"/>
      <c r="AC548"/>
    </row>
    <row r="549" spans="1:29" x14ac:dyDescent="0.25">
      <c r="A549"/>
      <c r="B549"/>
      <c r="C549"/>
      <c r="D549"/>
      <c r="E549"/>
      <c r="F549"/>
      <c r="G549"/>
      <c r="H549"/>
      <c r="I549"/>
      <c r="J549"/>
      <c r="K549"/>
      <c r="L549"/>
      <c r="M549"/>
      <c r="N549"/>
      <c r="O549"/>
      <c r="P549"/>
      <c r="Q549"/>
      <c r="R549"/>
      <c r="S549"/>
      <c r="T549"/>
      <c r="U549"/>
      <c r="V549"/>
      <c r="W549"/>
      <c r="X549"/>
      <c r="Y549"/>
      <c r="Z549"/>
      <c r="AA549"/>
      <c r="AB549"/>
      <c r="AC549"/>
    </row>
    <row r="550" spans="1:29" x14ac:dyDescent="0.25">
      <c r="A550"/>
      <c r="B550"/>
      <c r="C550"/>
      <c r="D550"/>
      <c r="E550"/>
      <c r="F550"/>
      <c r="G550"/>
      <c r="H550"/>
      <c r="I550"/>
      <c r="J550"/>
      <c r="K550"/>
      <c r="L550"/>
      <c r="M550"/>
      <c r="N550"/>
      <c r="O550"/>
      <c r="P550"/>
      <c r="Q550"/>
      <c r="R550"/>
      <c r="S550"/>
      <c r="T550"/>
      <c r="U550"/>
      <c r="V550"/>
      <c r="W550"/>
      <c r="X550"/>
      <c r="Y550"/>
      <c r="Z550"/>
      <c r="AA550"/>
      <c r="AB550"/>
      <c r="AC550"/>
    </row>
    <row r="551" spans="1:29" x14ac:dyDescent="0.25">
      <c r="A551"/>
      <c r="B551"/>
      <c r="C551"/>
      <c r="D551"/>
      <c r="E551"/>
      <c r="F551"/>
      <c r="G551"/>
      <c r="H551"/>
      <c r="I551"/>
      <c r="J551"/>
      <c r="K551"/>
      <c r="L551"/>
      <c r="M551"/>
      <c r="N551"/>
      <c r="O551"/>
      <c r="P551"/>
      <c r="Q551"/>
      <c r="R551"/>
      <c r="S551"/>
      <c r="T551"/>
      <c r="U551"/>
      <c r="V551"/>
      <c r="W551"/>
      <c r="X551"/>
      <c r="Y551"/>
      <c r="Z551"/>
      <c r="AA551"/>
      <c r="AB551"/>
      <c r="AC551"/>
    </row>
    <row r="552" spans="1:29" x14ac:dyDescent="0.25">
      <c r="A552"/>
      <c r="B552"/>
      <c r="C552"/>
      <c r="D552"/>
      <c r="E552"/>
      <c r="F552"/>
      <c r="G552"/>
      <c r="H552"/>
      <c r="I552"/>
      <c r="J552"/>
      <c r="K552"/>
      <c r="L552"/>
      <c r="M552"/>
      <c r="N552"/>
      <c r="O552"/>
      <c r="P552"/>
      <c r="Q552"/>
      <c r="R552"/>
      <c r="S552"/>
      <c r="T552"/>
      <c r="U552"/>
      <c r="V552"/>
      <c r="W552"/>
      <c r="X552"/>
      <c r="Y552"/>
      <c r="Z552"/>
      <c r="AA552"/>
      <c r="AB552"/>
      <c r="AC552"/>
    </row>
    <row r="553" spans="1:29" x14ac:dyDescent="0.25">
      <c r="A553"/>
      <c r="B553"/>
      <c r="C553"/>
      <c r="D553"/>
      <c r="E553"/>
      <c r="F553"/>
      <c r="G553"/>
      <c r="H553"/>
      <c r="I553"/>
      <c r="J553"/>
      <c r="K553"/>
      <c r="L553"/>
      <c r="M553"/>
      <c r="N553"/>
      <c r="O553"/>
      <c r="P553"/>
      <c r="Q553"/>
      <c r="R553"/>
      <c r="S553"/>
      <c r="T553"/>
      <c r="U553"/>
      <c r="V553"/>
      <c r="W553"/>
      <c r="X553"/>
      <c r="Y553"/>
      <c r="Z553"/>
      <c r="AA553"/>
      <c r="AB553"/>
      <c r="AC553"/>
    </row>
    <row r="554" spans="1:29" x14ac:dyDescent="0.25">
      <c r="A554"/>
      <c r="B554"/>
      <c r="C554"/>
      <c r="D554"/>
      <c r="E554"/>
      <c r="F554"/>
      <c r="G554"/>
      <c r="H554"/>
      <c r="I554"/>
      <c r="J554"/>
      <c r="K554"/>
      <c r="L554"/>
      <c r="M554"/>
      <c r="N554"/>
      <c r="O554"/>
      <c r="P554"/>
      <c r="Q554"/>
      <c r="R554"/>
      <c r="S554"/>
      <c r="T554"/>
      <c r="U554"/>
      <c r="V554"/>
      <c r="W554"/>
      <c r="X554"/>
      <c r="Y554"/>
      <c r="Z554"/>
      <c r="AA554"/>
      <c r="AB554"/>
      <c r="AC554"/>
    </row>
    <row r="555" spans="1:29" x14ac:dyDescent="0.25">
      <c r="A555"/>
      <c r="B555"/>
      <c r="C555"/>
      <c r="D555"/>
      <c r="E555"/>
      <c r="F555"/>
      <c r="G555"/>
      <c r="H555"/>
      <c r="I555"/>
      <c r="J555"/>
      <c r="K555"/>
      <c r="L555"/>
      <c r="M555"/>
      <c r="N555"/>
      <c r="O555"/>
      <c r="P555"/>
      <c r="Q555"/>
      <c r="R555"/>
      <c r="S555"/>
      <c r="T555"/>
      <c r="U555"/>
      <c r="V555"/>
      <c r="W555"/>
      <c r="X555"/>
      <c r="Y555"/>
      <c r="Z555"/>
      <c r="AA555"/>
      <c r="AB555"/>
      <c r="AC555"/>
    </row>
    <row r="556" spans="1:29" x14ac:dyDescent="0.25">
      <c r="A556"/>
      <c r="B556"/>
      <c r="C556"/>
      <c r="D556"/>
      <c r="E556"/>
      <c r="F556"/>
      <c r="G556"/>
      <c r="H556"/>
      <c r="I556"/>
      <c r="J556"/>
      <c r="K556"/>
      <c r="L556"/>
      <c r="M556"/>
      <c r="N556"/>
      <c r="O556"/>
      <c r="P556"/>
      <c r="Q556"/>
      <c r="R556"/>
      <c r="S556"/>
      <c r="T556"/>
      <c r="U556"/>
      <c r="V556"/>
      <c r="W556"/>
      <c r="X556"/>
      <c r="Y556"/>
      <c r="Z556"/>
      <c r="AA556"/>
      <c r="AB556"/>
      <c r="AC556"/>
    </row>
    <row r="557" spans="1:29" x14ac:dyDescent="0.25">
      <c r="A557"/>
      <c r="B557"/>
      <c r="C557"/>
      <c r="D557"/>
      <c r="E557"/>
      <c r="F557"/>
      <c r="G557"/>
      <c r="H557"/>
      <c r="I557"/>
      <c r="J557"/>
      <c r="K557"/>
      <c r="L557"/>
      <c r="M557"/>
      <c r="N557"/>
      <c r="O557"/>
      <c r="P557"/>
      <c r="Q557"/>
      <c r="R557"/>
      <c r="S557"/>
      <c r="T557"/>
      <c r="U557"/>
      <c r="V557"/>
      <c r="W557"/>
      <c r="X557"/>
      <c r="Y557"/>
      <c r="Z557"/>
      <c r="AA557"/>
      <c r="AB557"/>
      <c r="AC557"/>
    </row>
    <row r="558" spans="1:29" x14ac:dyDescent="0.25">
      <c r="A558"/>
      <c r="B558"/>
      <c r="C558"/>
      <c r="D558"/>
      <c r="E558"/>
      <c r="F558"/>
      <c r="G558"/>
      <c r="H558"/>
      <c r="I558"/>
      <c r="J558"/>
      <c r="K558"/>
      <c r="L558"/>
      <c r="M558"/>
      <c r="N558"/>
      <c r="O558"/>
      <c r="P558"/>
      <c r="Q558"/>
      <c r="R558"/>
      <c r="S558"/>
      <c r="T558"/>
      <c r="U558"/>
      <c r="V558"/>
      <c r="W558"/>
      <c r="X558"/>
      <c r="Y558"/>
      <c r="Z558"/>
      <c r="AA558"/>
      <c r="AB558"/>
      <c r="AC558"/>
    </row>
    <row r="559" spans="1:29" x14ac:dyDescent="0.25">
      <c r="A559"/>
      <c r="B559"/>
      <c r="C559"/>
      <c r="D559"/>
      <c r="E559"/>
      <c r="F559"/>
      <c r="G559"/>
      <c r="H559"/>
      <c r="I559"/>
      <c r="J559"/>
      <c r="K559"/>
      <c r="L559"/>
      <c r="M559"/>
      <c r="N559"/>
      <c r="O559"/>
      <c r="P559"/>
      <c r="Q559"/>
      <c r="R559"/>
      <c r="S559"/>
      <c r="T559"/>
      <c r="U559"/>
      <c r="V559"/>
      <c r="W559"/>
      <c r="X559"/>
      <c r="Y559"/>
      <c r="Z559"/>
      <c r="AA559"/>
      <c r="AB559"/>
      <c r="AC559"/>
    </row>
    <row r="560" spans="1:29" x14ac:dyDescent="0.25">
      <c r="A560"/>
      <c r="B560"/>
      <c r="C560"/>
      <c r="D560"/>
      <c r="E560"/>
      <c r="F560"/>
      <c r="G560"/>
      <c r="H560"/>
      <c r="I560"/>
      <c r="J560"/>
      <c r="K560"/>
      <c r="L560"/>
      <c r="M560"/>
      <c r="N560"/>
      <c r="O560"/>
      <c r="P560"/>
      <c r="Q560"/>
      <c r="R560"/>
      <c r="S560"/>
      <c r="T560"/>
      <c r="U560"/>
      <c r="V560"/>
      <c r="W560"/>
      <c r="X560"/>
      <c r="Y560"/>
      <c r="Z560"/>
      <c r="AA560"/>
      <c r="AB560"/>
      <c r="AC560"/>
    </row>
    <row r="561" spans="1:29" x14ac:dyDescent="0.25">
      <c r="A561"/>
      <c r="B561"/>
      <c r="C561"/>
      <c r="D561"/>
      <c r="E561"/>
      <c r="F561"/>
      <c r="G561"/>
      <c r="H561"/>
      <c r="I561"/>
      <c r="J561"/>
      <c r="K561"/>
      <c r="L561"/>
      <c r="M561"/>
      <c r="N561"/>
      <c r="O561"/>
      <c r="P561"/>
      <c r="Q561"/>
      <c r="R561"/>
      <c r="S561"/>
      <c r="T561"/>
      <c r="U561"/>
      <c r="V561"/>
      <c r="W561"/>
      <c r="X561"/>
      <c r="Y561"/>
      <c r="Z561"/>
      <c r="AA561"/>
      <c r="AB561"/>
      <c r="AC561"/>
    </row>
    <row r="562" spans="1:29" x14ac:dyDescent="0.25">
      <c r="A562"/>
      <c r="B562"/>
      <c r="C562"/>
      <c r="D562"/>
      <c r="E562"/>
      <c r="F562"/>
      <c r="G562"/>
      <c r="H562"/>
      <c r="I562"/>
      <c r="J562"/>
      <c r="K562"/>
      <c r="L562"/>
      <c r="M562"/>
      <c r="N562"/>
      <c r="O562"/>
      <c r="P562"/>
      <c r="Q562"/>
      <c r="R562"/>
      <c r="S562"/>
      <c r="T562"/>
      <c r="U562"/>
      <c r="V562"/>
      <c r="W562"/>
      <c r="X562"/>
      <c r="Y562"/>
      <c r="Z562"/>
      <c r="AA562"/>
      <c r="AB562"/>
      <c r="AC562"/>
    </row>
    <row r="563" spans="1:29" x14ac:dyDescent="0.25">
      <c r="A563"/>
      <c r="B563"/>
      <c r="C563"/>
      <c r="D563"/>
      <c r="E563"/>
      <c r="F563"/>
      <c r="G563"/>
      <c r="H563"/>
      <c r="I563"/>
      <c r="J563"/>
      <c r="K563"/>
      <c r="L563"/>
      <c r="M563"/>
      <c r="N563"/>
      <c r="O563"/>
      <c r="P563"/>
      <c r="Q563"/>
      <c r="R563"/>
      <c r="S563"/>
      <c r="T563"/>
      <c r="U563"/>
      <c r="V563"/>
      <c r="W563"/>
      <c r="X563"/>
      <c r="Y563"/>
      <c r="Z563"/>
      <c r="AA563"/>
      <c r="AB563"/>
      <c r="AC563"/>
    </row>
    <row r="564" spans="1:29" x14ac:dyDescent="0.25">
      <c r="A564"/>
      <c r="B564"/>
      <c r="C564"/>
      <c r="D564"/>
      <c r="E564"/>
      <c r="F564"/>
      <c r="G564"/>
      <c r="H564"/>
      <c r="I564"/>
      <c r="J564"/>
      <c r="K564"/>
      <c r="L564"/>
      <c r="M564"/>
      <c r="N564"/>
      <c r="O564"/>
      <c r="P564"/>
      <c r="Q564"/>
      <c r="R564"/>
      <c r="S564"/>
      <c r="T564"/>
      <c r="U564"/>
      <c r="V564"/>
      <c r="W564"/>
      <c r="X564"/>
      <c r="Y564"/>
      <c r="Z564"/>
      <c r="AA564"/>
      <c r="AB564"/>
      <c r="AC564"/>
    </row>
    <row r="565" spans="1:29" x14ac:dyDescent="0.25">
      <c r="A565"/>
      <c r="B565"/>
      <c r="C565"/>
      <c r="D565"/>
      <c r="E565"/>
      <c r="F565"/>
      <c r="G565"/>
      <c r="H565"/>
      <c r="I565"/>
      <c r="J565"/>
      <c r="K565"/>
      <c r="L565"/>
      <c r="M565"/>
      <c r="N565"/>
      <c r="O565"/>
      <c r="P565"/>
      <c r="Q565"/>
      <c r="R565"/>
      <c r="S565"/>
      <c r="T565"/>
      <c r="U565"/>
      <c r="V565"/>
      <c r="W565"/>
      <c r="X565"/>
      <c r="Y565"/>
      <c r="Z565"/>
      <c r="AA565"/>
      <c r="AB565"/>
      <c r="AC565"/>
    </row>
    <row r="566" spans="1:29" x14ac:dyDescent="0.25">
      <c r="A566"/>
      <c r="B566"/>
      <c r="C566"/>
      <c r="D566"/>
      <c r="E566"/>
      <c r="F566"/>
      <c r="G566"/>
      <c r="H566"/>
      <c r="I566"/>
      <c r="J566"/>
      <c r="K566"/>
      <c r="L566"/>
      <c r="M566"/>
      <c r="N566"/>
      <c r="O566"/>
      <c r="P566"/>
      <c r="Q566"/>
      <c r="R566"/>
      <c r="S566"/>
      <c r="T566"/>
      <c r="U566"/>
      <c r="V566"/>
      <c r="W566"/>
      <c r="X566"/>
      <c r="Y566"/>
      <c r="Z566"/>
      <c r="AA566"/>
      <c r="AB566"/>
      <c r="AC566"/>
    </row>
    <row r="567" spans="1:29" x14ac:dyDescent="0.25">
      <c r="A567"/>
      <c r="B567"/>
      <c r="C567"/>
      <c r="D567"/>
      <c r="E567"/>
      <c r="F567"/>
      <c r="G567"/>
      <c r="H567"/>
      <c r="I567"/>
      <c r="J567"/>
      <c r="K567"/>
      <c r="L567"/>
      <c r="M567"/>
      <c r="N567"/>
      <c r="O567"/>
      <c r="P567"/>
      <c r="Q567"/>
      <c r="R567"/>
      <c r="S567"/>
      <c r="T567"/>
      <c r="U567"/>
      <c r="V567"/>
      <c r="W567"/>
      <c r="X567"/>
      <c r="Y567"/>
      <c r="Z567"/>
      <c r="AA567"/>
      <c r="AB567"/>
      <c r="AC567"/>
    </row>
    <row r="568" spans="1:29" x14ac:dyDescent="0.25">
      <c r="A568"/>
      <c r="B568"/>
      <c r="C568"/>
      <c r="D568"/>
      <c r="E568"/>
      <c r="F568"/>
      <c r="G568"/>
      <c r="H568"/>
      <c r="I568"/>
      <c r="J568"/>
      <c r="K568"/>
      <c r="L568"/>
      <c r="M568"/>
      <c r="N568"/>
      <c r="O568"/>
      <c r="P568"/>
      <c r="Q568"/>
      <c r="R568"/>
      <c r="S568"/>
      <c r="T568"/>
      <c r="U568"/>
      <c r="V568"/>
      <c r="W568"/>
      <c r="X568"/>
      <c r="Y568"/>
      <c r="Z568"/>
      <c r="AA568"/>
      <c r="AB568"/>
      <c r="AC568"/>
    </row>
    <row r="569" spans="1:29" x14ac:dyDescent="0.25">
      <c r="A569"/>
      <c r="B569"/>
      <c r="C569"/>
      <c r="D569"/>
      <c r="E569"/>
      <c r="F569"/>
      <c r="G569"/>
      <c r="H569"/>
      <c r="I569"/>
      <c r="J569"/>
      <c r="K569"/>
      <c r="L569"/>
      <c r="M569"/>
      <c r="N569"/>
      <c r="O569"/>
      <c r="P569"/>
      <c r="Q569"/>
      <c r="R569"/>
      <c r="S569"/>
      <c r="T569"/>
      <c r="U569"/>
      <c r="V569"/>
      <c r="W569"/>
      <c r="X569"/>
      <c r="Y569"/>
      <c r="Z569"/>
      <c r="AA569"/>
      <c r="AB569"/>
      <c r="AC569"/>
    </row>
    <row r="570" spans="1:29" x14ac:dyDescent="0.25">
      <c r="A570"/>
      <c r="B570"/>
      <c r="C570"/>
      <c r="D570"/>
      <c r="E570"/>
      <c r="F570"/>
      <c r="G570"/>
      <c r="H570"/>
      <c r="I570"/>
      <c r="J570"/>
      <c r="K570"/>
      <c r="L570"/>
      <c r="M570"/>
      <c r="N570"/>
      <c r="O570"/>
      <c r="P570"/>
      <c r="Q570"/>
      <c r="R570"/>
      <c r="S570"/>
      <c r="T570"/>
      <c r="U570"/>
      <c r="V570"/>
      <c r="W570"/>
      <c r="X570"/>
      <c r="Y570"/>
      <c r="Z570"/>
      <c r="AA570"/>
      <c r="AB570"/>
      <c r="AC570"/>
    </row>
    <row r="571" spans="1:29" x14ac:dyDescent="0.25">
      <c r="A571"/>
      <c r="B571"/>
      <c r="C571"/>
      <c r="D571"/>
      <c r="E571"/>
      <c r="F571"/>
      <c r="G571"/>
      <c r="H571"/>
      <c r="I571"/>
      <c r="J571"/>
      <c r="K571"/>
      <c r="L571"/>
      <c r="M571"/>
      <c r="N571"/>
      <c r="O571"/>
      <c r="P571"/>
      <c r="Q571"/>
      <c r="R571"/>
      <c r="S571"/>
      <c r="T571"/>
      <c r="U571"/>
      <c r="V571"/>
      <c r="W571"/>
      <c r="X571"/>
      <c r="Y571"/>
      <c r="Z571"/>
      <c r="AA571"/>
      <c r="AB571"/>
      <c r="AC571"/>
    </row>
    <row r="572" spans="1:29" x14ac:dyDescent="0.25">
      <c r="A572"/>
      <c r="B572"/>
      <c r="C572"/>
      <c r="D572"/>
      <c r="E572"/>
      <c r="F572"/>
      <c r="G572"/>
      <c r="H572"/>
      <c r="I572"/>
      <c r="J572"/>
      <c r="K572"/>
      <c r="L572"/>
      <c r="M572"/>
      <c r="N572"/>
      <c r="O572"/>
      <c r="P572"/>
      <c r="Q572"/>
      <c r="R572"/>
      <c r="S572"/>
      <c r="T572"/>
      <c r="U572"/>
      <c r="V572"/>
      <c r="W572"/>
      <c r="X572"/>
      <c r="Y572"/>
      <c r="Z572"/>
      <c r="AA572"/>
      <c r="AB572"/>
      <c r="AC572"/>
    </row>
    <row r="573" spans="1:29" x14ac:dyDescent="0.25">
      <c r="A573"/>
      <c r="B573"/>
      <c r="C573"/>
      <c r="D573"/>
      <c r="E573"/>
      <c r="F573"/>
      <c r="G573"/>
      <c r="H573"/>
      <c r="I573"/>
      <c r="J573"/>
      <c r="K573"/>
      <c r="L573"/>
      <c r="M573"/>
      <c r="N573"/>
      <c r="O573"/>
      <c r="P573"/>
      <c r="Q573"/>
      <c r="R573"/>
      <c r="S573"/>
      <c r="T573"/>
      <c r="U573"/>
      <c r="V573"/>
      <c r="W573"/>
      <c r="X573"/>
      <c r="Y573"/>
      <c r="Z573"/>
      <c r="AA573"/>
      <c r="AB573"/>
      <c r="AC573"/>
    </row>
    <row r="574" spans="1:29" x14ac:dyDescent="0.25">
      <c r="A574"/>
      <c r="B574"/>
      <c r="C574"/>
      <c r="D574"/>
      <c r="E574"/>
      <c r="F574"/>
      <c r="G574"/>
      <c r="H574"/>
      <c r="I574"/>
      <c r="J574"/>
      <c r="K574"/>
      <c r="L574"/>
      <c r="M574"/>
      <c r="N574"/>
      <c r="O574"/>
      <c r="P574"/>
      <c r="Q574"/>
      <c r="R574"/>
      <c r="S574"/>
      <c r="T574"/>
      <c r="U574"/>
      <c r="V574"/>
      <c r="W574"/>
      <c r="X574"/>
      <c r="Y574"/>
      <c r="Z574"/>
      <c r="AA574"/>
      <c r="AB574"/>
      <c r="AC574"/>
    </row>
    <row r="575" spans="1:29" x14ac:dyDescent="0.25">
      <c r="A575"/>
      <c r="B575"/>
      <c r="C575"/>
      <c r="D575"/>
      <c r="E575"/>
      <c r="F575"/>
      <c r="G575"/>
      <c r="H575"/>
      <c r="I575"/>
      <c r="J575"/>
      <c r="K575"/>
      <c r="L575"/>
      <c r="M575"/>
      <c r="N575"/>
      <c r="O575"/>
      <c r="P575"/>
      <c r="Q575"/>
      <c r="R575"/>
      <c r="S575"/>
      <c r="T575"/>
      <c r="U575"/>
      <c r="V575"/>
      <c r="W575"/>
      <c r="X575"/>
      <c r="Y575"/>
      <c r="Z575"/>
      <c r="AA575"/>
      <c r="AB575"/>
      <c r="AC575"/>
    </row>
    <row r="576" spans="1:29" x14ac:dyDescent="0.25">
      <c r="A576"/>
      <c r="B576"/>
      <c r="C576"/>
      <c r="D576"/>
      <c r="E576"/>
      <c r="F576"/>
      <c r="G576"/>
      <c r="H576"/>
      <c r="I576"/>
      <c r="J576"/>
      <c r="K576"/>
      <c r="L576"/>
      <c r="M576"/>
      <c r="N576"/>
      <c r="O576"/>
      <c r="P576"/>
      <c r="Q576"/>
      <c r="R576"/>
      <c r="S576"/>
      <c r="T576"/>
      <c r="U576"/>
      <c r="V576"/>
      <c r="W576"/>
      <c r="X576"/>
      <c r="Y576"/>
      <c r="Z576"/>
      <c r="AA576"/>
      <c r="AB576"/>
      <c r="AC576"/>
    </row>
    <row r="577" spans="1:29" x14ac:dyDescent="0.25">
      <c r="A577"/>
      <c r="B577"/>
      <c r="C577"/>
      <c r="D577"/>
      <c r="E577"/>
      <c r="F577"/>
      <c r="G577"/>
      <c r="H577"/>
      <c r="I577"/>
      <c r="J577"/>
      <c r="K577"/>
      <c r="L577"/>
      <c r="M577"/>
      <c r="N577"/>
      <c r="O577"/>
      <c r="P577"/>
      <c r="Q577"/>
      <c r="R577"/>
      <c r="S577"/>
      <c r="T577"/>
      <c r="U577"/>
      <c r="V577"/>
      <c r="W577"/>
      <c r="X577"/>
      <c r="Y577"/>
      <c r="Z577"/>
      <c r="AA577"/>
      <c r="AB577"/>
      <c r="AC577"/>
    </row>
    <row r="578" spans="1:29" x14ac:dyDescent="0.25">
      <c r="A578"/>
      <c r="B578"/>
      <c r="C578"/>
      <c r="D578"/>
      <c r="E578"/>
      <c r="F578"/>
      <c r="G578"/>
      <c r="H578"/>
      <c r="I578"/>
      <c r="J578"/>
      <c r="K578"/>
      <c r="L578"/>
      <c r="M578"/>
      <c r="N578"/>
      <c r="O578"/>
      <c r="P578"/>
      <c r="Q578"/>
      <c r="R578"/>
      <c r="S578"/>
      <c r="T578"/>
      <c r="U578"/>
      <c r="V578"/>
      <c r="W578"/>
      <c r="X578"/>
      <c r="Y578"/>
      <c r="Z578"/>
      <c r="AA578"/>
      <c r="AB578"/>
      <c r="AC578"/>
    </row>
    <row r="579" spans="1:29" x14ac:dyDescent="0.25">
      <c r="A579"/>
      <c r="B579"/>
      <c r="C579"/>
      <c r="D579"/>
      <c r="E579"/>
      <c r="F579"/>
      <c r="G579"/>
      <c r="H579"/>
      <c r="I579"/>
      <c r="J579"/>
      <c r="K579"/>
      <c r="L579"/>
      <c r="M579"/>
      <c r="N579"/>
      <c r="O579"/>
      <c r="P579"/>
      <c r="Q579"/>
      <c r="R579"/>
      <c r="S579"/>
      <c r="T579"/>
      <c r="U579"/>
      <c r="V579"/>
      <c r="W579"/>
      <c r="X579"/>
      <c r="Y579"/>
      <c r="Z579"/>
      <c r="AA579"/>
      <c r="AB579"/>
      <c r="AC579"/>
    </row>
    <row r="580" spans="1:29" x14ac:dyDescent="0.25">
      <c r="A580"/>
      <c r="B580"/>
      <c r="C580"/>
      <c r="D580"/>
      <c r="E580"/>
      <c r="F580"/>
      <c r="G580"/>
      <c r="H580"/>
      <c r="I580"/>
      <c r="J580"/>
      <c r="K580"/>
      <c r="L580"/>
      <c r="M580"/>
      <c r="N580"/>
      <c r="O580"/>
      <c r="P580"/>
      <c r="Q580"/>
      <c r="R580"/>
      <c r="S580"/>
      <c r="T580"/>
      <c r="U580"/>
      <c r="V580"/>
      <c r="W580"/>
      <c r="X580"/>
      <c r="Y580"/>
      <c r="Z580"/>
      <c r="AA580"/>
      <c r="AB580"/>
      <c r="AC580"/>
    </row>
    <row r="581" spans="1:29" x14ac:dyDescent="0.25">
      <c r="A581"/>
      <c r="B581"/>
      <c r="C581"/>
      <c r="D581"/>
      <c r="E581"/>
      <c r="F581"/>
      <c r="G581"/>
      <c r="H581"/>
      <c r="I581"/>
      <c r="J581"/>
      <c r="K581"/>
      <c r="L581"/>
      <c r="M581"/>
      <c r="N581"/>
      <c r="O581"/>
      <c r="P581"/>
      <c r="Q581"/>
      <c r="R581"/>
      <c r="S581"/>
      <c r="T581"/>
      <c r="U581"/>
      <c r="V581"/>
      <c r="W581"/>
      <c r="X581"/>
      <c r="Y581"/>
      <c r="Z581"/>
      <c r="AA581"/>
      <c r="AB581"/>
      <c r="AC581"/>
    </row>
    <row r="582" spans="1:29" x14ac:dyDescent="0.25">
      <c r="A582"/>
      <c r="B582"/>
      <c r="C582"/>
      <c r="D582"/>
      <c r="E582"/>
      <c r="F582"/>
      <c r="G582"/>
      <c r="H582"/>
      <c r="I582"/>
      <c r="J582"/>
      <c r="K582"/>
      <c r="L582"/>
      <c r="M582"/>
      <c r="N582"/>
      <c r="O582"/>
      <c r="P582"/>
      <c r="Q582"/>
      <c r="R582"/>
      <c r="S582"/>
      <c r="T582"/>
      <c r="U582"/>
      <c r="V582"/>
      <c r="W582"/>
      <c r="X582"/>
      <c r="Y582"/>
      <c r="Z582"/>
      <c r="AA582"/>
      <c r="AB582"/>
      <c r="AC582"/>
    </row>
    <row r="583" spans="1:29" x14ac:dyDescent="0.25">
      <c r="A583"/>
      <c r="B583"/>
      <c r="C583"/>
      <c r="D583"/>
      <c r="E583"/>
      <c r="F583"/>
      <c r="G583"/>
      <c r="H583"/>
      <c r="I583"/>
      <c r="J583"/>
      <c r="K583"/>
      <c r="L583"/>
      <c r="M583"/>
      <c r="N583"/>
      <c r="O583"/>
      <c r="P583"/>
      <c r="Q583"/>
      <c r="R583"/>
      <c r="S583"/>
      <c r="T583"/>
      <c r="U583"/>
      <c r="V583"/>
      <c r="W583"/>
      <c r="X583"/>
      <c r="Y583"/>
      <c r="Z583"/>
      <c r="AA583"/>
      <c r="AB583"/>
      <c r="AC583"/>
    </row>
    <row r="584" spans="1:29" x14ac:dyDescent="0.25">
      <c r="A584"/>
      <c r="B584"/>
      <c r="C584"/>
      <c r="D584"/>
      <c r="E584"/>
      <c r="F584"/>
      <c r="G584"/>
      <c r="H584"/>
      <c r="I584"/>
      <c r="J584"/>
      <c r="K584"/>
      <c r="L584"/>
      <c r="M584"/>
      <c r="N584"/>
      <c r="O584"/>
      <c r="P584"/>
      <c r="Q584"/>
      <c r="R584"/>
      <c r="S584"/>
      <c r="T584"/>
      <c r="U584"/>
      <c r="V584"/>
      <c r="W584"/>
      <c r="X584"/>
      <c r="Y584"/>
      <c r="Z584"/>
      <c r="AA584"/>
      <c r="AB584"/>
      <c r="AC584"/>
    </row>
    <row r="585" spans="1:29" x14ac:dyDescent="0.25">
      <c r="A585"/>
      <c r="B585"/>
      <c r="C585"/>
      <c r="D585"/>
      <c r="E585"/>
      <c r="F585"/>
      <c r="G585"/>
      <c r="H585"/>
      <c r="I585"/>
      <c r="J585"/>
      <c r="K585"/>
      <c r="L585"/>
      <c r="M585"/>
      <c r="N585"/>
      <c r="O585"/>
      <c r="P585"/>
      <c r="Q585"/>
      <c r="R585"/>
      <c r="S585"/>
      <c r="T585"/>
      <c r="U585"/>
      <c r="V585"/>
      <c r="W585"/>
      <c r="X585"/>
      <c r="Y585"/>
      <c r="Z585"/>
      <c r="AA585"/>
      <c r="AB585"/>
      <c r="AC585"/>
    </row>
    <row r="586" spans="1:29" x14ac:dyDescent="0.25">
      <c r="A586"/>
      <c r="B586"/>
      <c r="C586"/>
      <c r="D586"/>
      <c r="E586"/>
      <c r="F586"/>
      <c r="G586"/>
      <c r="H586"/>
      <c r="I586"/>
      <c r="J586"/>
      <c r="K586"/>
      <c r="L586"/>
      <c r="M586"/>
      <c r="N586"/>
      <c r="O586"/>
      <c r="P586"/>
      <c r="Q586"/>
      <c r="R586"/>
      <c r="S586"/>
      <c r="T586"/>
      <c r="U586"/>
      <c r="V586"/>
      <c r="W586"/>
      <c r="X586"/>
      <c r="Y586"/>
      <c r="Z586"/>
      <c r="AA586"/>
      <c r="AB586"/>
      <c r="AC586"/>
    </row>
    <row r="587" spans="1:29" x14ac:dyDescent="0.25">
      <c r="A587"/>
      <c r="B587"/>
      <c r="C587"/>
      <c r="D587"/>
      <c r="E587"/>
      <c r="F587"/>
      <c r="G587"/>
      <c r="H587"/>
      <c r="I587"/>
      <c r="J587"/>
      <c r="K587"/>
      <c r="L587"/>
      <c r="M587"/>
      <c r="N587"/>
      <c r="O587"/>
      <c r="P587"/>
      <c r="Q587"/>
      <c r="R587"/>
      <c r="S587"/>
      <c r="T587"/>
      <c r="U587"/>
      <c r="V587"/>
      <c r="W587"/>
      <c r="X587"/>
      <c r="Y587"/>
      <c r="Z587"/>
      <c r="AA587"/>
      <c r="AB587"/>
      <c r="AC587"/>
    </row>
    <row r="588" spans="1:29" x14ac:dyDescent="0.25">
      <c r="A588"/>
      <c r="B588"/>
      <c r="C588"/>
      <c r="D588"/>
      <c r="E588"/>
      <c r="F588"/>
      <c r="G588"/>
      <c r="H588"/>
      <c r="I588"/>
      <c r="J588"/>
      <c r="K588"/>
      <c r="L588"/>
      <c r="M588"/>
      <c r="N588"/>
      <c r="O588"/>
      <c r="P588"/>
      <c r="Q588"/>
      <c r="R588"/>
      <c r="S588"/>
      <c r="T588"/>
      <c r="U588"/>
      <c r="V588"/>
      <c r="W588"/>
      <c r="X588"/>
      <c r="Y588"/>
      <c r="Z588"/>
      <c r="AA588"/>
      <c r="AB588"/>
      <c r="AC588"/>
    </row>
    <row r="589" spans="1:29" x14ac:dyDescent="0.25">
      <c r="A589"/>
      <c r="B589"/>
      <c r="C589"/>
      <c r="D589"/>
      <c r="E589"/>
      <c r="F589"/>
      <c r="G589"/>
      <c r="H589"/>
      <c r="I589"/>
      <c r="J589"/>
      <c r="K589"/>
      <c r="L589"/>
      <c r="M589"/>
      <c r="N589"/>
      <c r="O589"/>
      <c r="P589"/>
      <c r="Q589"/>
      <c r="R589"/>
      <c r="S589"/>
      <c r="T589"/>
      <c r="U589"/>
      <c r="V589"/>
      <c r="W589"/>
      <c r="X589"/>
      <c r="Y589"/>
      <c r="Z589"/>
      <c r="AA589"/>
      <c r="AB589"/>
      <c r="AC589"/>
    </row>
    <row r="590" spans="1:29" x14ac:dyDescent="0.25">
      <c r="A590"/>
      <c r="B590"/>
      <c r="C590"/>
      <c r="D590"/>
      <c r="E590"/>
      <c r="F590"/>
      <c r="G590"/>
      <c r="H590"/>
      <c r="I590"/>
      <c r="J590"/>
      <c r="K590"/>
      <c r="L590"/>
      <c r="M590"/>
      <c r="N590"/>
      <c r="O590"/>
      <c r="P590"/>
      <c r="Q590"/>
      <c r="R590"/>
      <c r="S590"/>
      <c r="T590"/>
      <c r="U590"/>
      <c r="V590"/>
      <c r="W590"/>
      <c r="X590"/>
      <c r="Y590"/>
      <c r="Z590"/>
      <c r="AA590"/>
      <c r="AB590"/>
      <c r="AC590"/>
    </row>
    <row r="591" spans="1:29" x14ac:dyDescent="0.25">
      <c r="A591"/>
      <c r="B591"/>
      <c r="C591"/>
      <c r="D591"/>
      <c r="E591"/>
      <c r="F591"/>
      <c r="G591"/>
      <c r="H591"/>
      <c r="I591"/>
      <c r="J591"/>
      <c r="K591"/>
      <c r="L591"/>
      <c r="M591"/>
      <c r="N591"/>
      <c r="O591"/>
      <c r="P591"/>
      <c r="Q591"/>
      <c r="R591"/>
      <c r="S591"/>
      <c r="T591"/>
      <c r="U591"/>
      <c r="V591"/>
      <c r="W591"/>
      <c r="X591"/>
      <c r="Y591"/>
      <c r="Z591"/>
      <c r="AA591"/>
      <c r="AB591"/>
      <c r="AC591"/>
    </row>
    <row r="592" spans="1:29" x14ac:dyDescent="0.25">
      <c r="A592"/>
      <c r="B592"/>
      <c r="C592"/>
      <c r="D592"/>
      <c r="E592"/>
      <c r="F592"/>
      <c r="G592"/>
      <c r="H592"/>
      <c r="I592"/>
      <c r="J592"/>
      <c r="K592"/>
      <c r="L592"/>
      <c r="M592"/>
      <c r="N592"/>
      <c r="O592"/>
      <c r="P592"/>
      <c r="Q592"/>
      <c r="R592"/>
      <c r="S592"/>
      <c r="T592"/>
      <c r="U592"/>
      <c r="V592"/>
      <c r="W592"/>
      <c r="X592"/>
      <c r="Y592"/>
      <c r="Z592"/>
      <c r="AA592"/>
      <c r="AB592"/>
      <c r="AC592"/>
    </row>
    <row r="593" spans="1:29" x14ac:dyDescent="0.25">
      <c r="A593"/>
      <c r="B593"/>
      <c r="C593"/>
      <c r="D593"/>
      <c r="E593"/>
      <c r="F593"/>
      <c r="G593"/>
      <c r="H593"/>
      <c r="I593"/>
      <c r="J593"/>
      <c r="K593"/>
      <c r="L593"/>
      <c r="M593"/>
      <c r="N593"/>
      <c r="O593"/>
      <c r="P593"/>
      <c r="Q593"/>
      <c r="R593"/>
      <c r="S593"/>
      <c r="T593"/>
      <c r="U593"/>
      <c r="V593"/>
      <c r="W593"/>
      <c r="X593"/>
      <c r="Y593"/>
      <c r="Z593"/>
      <c r="AA593"/>
      <c r="AB593"/>
      <c r="AC593"/>
    </row>
    <row r="594" spans="1:29" x14ac:dyDescent="0.25">
      <c r="A594"/>
      <c r="B594"/>
      <c r="C594"/>
      <c r="D594"/>
      <c r="E594"/>
      <c r="F594"/>
      <c r="G594"/>
      <c r="H594"/>
      <c r="I594"/>
      <c r="J594"/>
      <c r="K594"/>
      <c r="L594"/>
      <c r="M594"/>
      <c r="N594"/>
      <c r="O594"/>
      <c r="P594"/>
      <c r="Q594"/>
      <c r="R594"/>
      <c r="S594"/>
      <c r="T594"/>
      <c r="U594"/>
      <c r="V594"/>
      <c r="W594"/>
      <c r="X594"/>
      <c r="Y594"/>
      <c r="Z594"/>
      <c r="AA594"/>
      <c r="AB594"/>
      <c r="AC594"/>
    </row>
    <row r="595" spans="1:29" x14ac:dyDescent="0.25">
      <c r="A595"/>
      <c r="B595"/>
      <c r="C595"/>
      <c r="D595"/>
      <c r="E595"/>
      <c r="F595"/>
      <c r="G595"/>
      <c r="H595"/>
      <c r="I595"/>
      <c r="J595"/>
      <c r="K595"/>
      <c r="L595"/>
      <c r="M595"/>
      <c r="N595"/>
      <c r="O595"/>
      <c r="P595"/>
      <c r="Q595"/>
      <c r="R595"/>
      <c r="S595"/>
      <c r="T595"/>
      <c r="U595"/>
      <c r="V595"/>
      <c r="W595"/>
      <c r="X595"/>
      <c r="Y595"/>
      <c r="Z595"/>
      <c r="AA595"/>
      <c r="AB595"/>
      <c r="AC595"/>
    </row>
    <row r="596" spans="1:29" x14ac:dyDescent="0.25">
      <c r="A596"/>
      <c r="B596"/>
      <c r="C596"/>
      <c r="D596"/>
      <c r="E596"/>
      <c r="F596"/>
      <c r="G596"/>
      <c r="H596"/>
      <c r="I596"/>
      <c r="J596"/>
      <c r="K596"/>
      <c r="L596"/>
      <c r="M596"/>
      <c r="N596"/>
      <c r="O596"/>
      <c r="P596"/>
      <c r="Q596"/>
      <c r="R596"/>
      <c r="S596"/>
      <c r="T596"/>
      <c r="U596"/>
      <c r="V596"/>
      <c r="W596"/>
      <c r="X596"/>
      <c r="Y596"/>
      <c r="Z596"/>
      <c r="AA596"/>
      <c r="AB596"/>
      <c r="AC596"/>
    </row>
    <row r="597" spans="1:29" x14ac:dyDescent="0.25">
      <c r="A597"/>
      <c r="B597"/>
      <c r="C597"/>
      <c r="D597"/>
      <c r="E597"/>
      <c r="F597"/>
      <c r="G597"/>
      <c r="H597"/>
      <c r="I597"/>
      <c r="J597"/>
      <c r="K597"/>
      <c r="L597"/>
      <c r="M597"/>
      <c r="N597"/>
      <c r="O597"/>
      <c r="P597"/>
      <c r="Q597"/>
      <c r="R597"/>
      <c r="S597"/>
      <c r="T597"/>
      <c r="U597"/>
      <c r="V597"/>
      <c r="W597"/>
      <c r="X597"/>
      <c r="Y597"/>
      <c r="Z597"/>
      <c r="AA597"/>
      <c r="AB597"/>
      <c r="AC597"/>
    </row>
    <row r="598" spans="1:29" x14ac:dyDescent="0.25">
      <c r="A598"/>
      <c r="B598"/>
      <c r="C598"/>
      <c r="D598"/>
      <c r="E598"/>
      <c r="F598"/>
      <c r="G598"/>
      <c r="H598"/>
      <c r="I598"/>
      <c r="J598"/>
      <c r="K598"/>
      <c r="L598"/>
      <c r="M598"/>
      <c r="N598"/>
      <c r="O598"/>
      <c r="P598"/>
      <c r="Q598"/>
      <c r="R598"/>
      <c r="S598"/>
      <c r="T598"/>
      <c r="U598"/>
      <c r="V598"/>
      <c r="W598"/>
      <c r="X598"/>
      <c r="Y598"/>
      <c r="Z598"/>
      <c r="AA598"/>
      <c r="AB598"/>
      <c r="AC598"/>
    </row>
    <row r="599" spans="1:29" x14ac:dyDescent="0.25">
      <c r="A599"/>
      <c r="B599"/>
      <c r="C599"/>
      <c r="D599"/>
      <c r="E599"/>
      <c r="F599"/>
      <c r="G599"/>
      <c r="H599"/>
      <c r="I599"/>
      <c r="J599"/>
      <c r="K599"/>
      <c r="L599"/>
      <c r="M599"/>
      <c r="N599"/>
      <c r="O599"/>
      <c r="P599"/>
      <c r="Q599"/>
      <c r="R599"/>
      <c r="S599"/>
      <c r="T599"/>
      <c r="U599"/>
      <c r="V599"/>
      <c r="W599"/>
      <c r="X599"/>
      <c r="Y599"/>
      <c r="Z599"/>
      <c r="AA599"/>
      <c r="AB599"/>
      <c r="AC599"/>
    </row>
    <row r="600" spans="1:29" x14ac:dyDescent="0.25">
      <c r="A600"/>
      <c r="B600"/>
      <c r="C600"/>
      <c r="D600"/>
      <c r="E600"/>
      <c r="F600"/>
      <c r="G600"/>
      <c r="H600"/>
      <c r="I600"/>
      <c r="J600"/>
      <c r="K600"/>
      <c r="L600"/>
      <c r="M600"/>
      <c r="N600"/>
      <c r="O600"/>
      <c r="P600"/>
      <c r="Q600"/>
      <c r="R600"/>
      <c r="S600"/>
      <c r="T600"/>
      <c r="U600"/>
      <c r="V600"/>
      <c r="W600"/>
      <c r="X600"/>
      <c r="Y600"/>
      <c r="Z600"/>
      <c r="AA600"/>
      <c r="AB600"/>
      <c r="AC600"/>
    </row>
    <row r="601" spans="1:29" x14ac:dyDescent="0.25">
      <c r="A601"/>
      <c r="B601"/>
      <c r="C601"/>
      <c r="D601"/>
      <c r="E601"/>
      <c r="F601"/>
      <c r="G601"/>
      <c r="H601"/>
      <c r="I601"/>
      <c r="J601"/>
      <c r="K601"/>
      <c r="L601"/>
      <c r="M601"/>
      <c r="N601"/>
      <c r="O601"/>
      <c r="P601"/>
      <c r="Q601"/>
      <c r="R601"/>
      <c r="S601"/>
      <c r="T601"/>
      <c r="U601"/>
      <c r="V601"/>
      <c r="W601"/>
      <c r="X601"/>
      <c r="Y601"/>
      <c r="Z601"/>
      <c r="AA601"/>
      <c r="AB601"/>
      <c r="AC601"/>
    </row>
    <row r="602" spans="1:29" x14ac:dyDescent="0.25">
      <c r="A602"/>
      <c r="B602"/>
      <c r="C602"/>
      <c r="D602"/>
      <c r="E602"/>
      <c r="F602"/>
      <c r="G602"/>
      <c r="H602"/>
      <c r="I602"/>
      <c r="J602"/>
      <c r="K602"/>
      <c r="L602"/>
      <c r="M602"/>
      <c r="N602"/>
      <c r="O602"/>
      <c r="P602"/>
      <c r="Q602"/>
      <c r="R602"/>
      <c r="S602"/>
      <c r="T602"/>
      <c r="U602"/>
      <c r="V602"/>
      <c r="W602"/>
      <c r="X602"/>
      <c r="Y602"/>
      <c r="Z602"/>
      <c r="AA602"/>
      <c r="AB602"/>
      <c r="AC602"/>
    </row>
    <row r="603" spans="1:29" x14ac:dyDescent="0.25">
      <c r="A603"/>
      <c r="B603"/>
      <c r="C603"/>
      <c r="D603"/>
      <c r="E603"/>
      <c r="F603"/>
      <c r="G603"/>
      <c r="H603"/>
      <c r="I603"/>
      <c r="J603"/>
      <c r="K603"/>
      <c r="L603"/>
      <c r="M603"/>
      <c r="N603"/>
      <c r="O603"/>
      <c r="P603"/>
      <c r="Q603"/>
      <c r="R603"/>
      <c r="S603"/>
      <c r="T603"/>
      <c r="U603"/>
      <c r="V603"/>
      <c r="W603"/>
      <c r="X603"/>
      <c r="Y603"/>
      <c r="Z603"/>
      <c r="AA603"/>
      <c r="AB603"/>
      <c r="AC603"/>
    </row>
    <row r="604" spans="1:29" x14ac:dyDescent="0.25">
      <c r="A604"/>
      <c r="B604"/>
      <c r="C604"/>
      <c r="D604"/>
      <c r="E604"/>
      <c r="F604"/>
      <c r="G604"/>
      <c r="H604"/>
      <c r="I604"/>
      <c r="J604"/>
      <c r="K604"/>
      <c r="L604"/>
      <c r="M604"/>
      <c r="N604"/>
      <c r="O604"/>
      <c r="P604"/>
      <c r="Q604"/>
      <c r="R604"/>
      <c r="S604"/>
      <c r="T604"/>
      <c r="U604"/>
      <c r="V604"/>
      <c r="W604"/>
      <c r="X604"/>
      <c r="Y604"/>
      <c r="Z604"/>
      <c r="AA604"/>
      <c r="AB604"/>
      <c r="AC604"/>
    </row>
    <row r="605" spans="1:29" x14ac:dyDescent="0.25">
      <c r="A605"/>
      <c r="B605"/>
      <c r="C605"/>
      <c r="D605"/>
      <c r="E605"/>
      <c r="F605"/>
      <c r="G605"/>
      <c r="H605"/>
      <c r="I605"/>
      <c r="J605"/>
      <c r="K605"/>
      <c r="L605"/>
      <c r="M605"/>
      <c r="N605"/>
      <c r="O605"/>
      <c r="P605"/>
      <c r="Q605"/>
      <c r="R605"/>
      <c r="S605"/>
      <c r="T605"/>
      <c r="U605"/>
      <c r="V605"/>
      <c r="W605"/>
      <c r="X605"/>
      <c r="Y605"/>
      <c r="Z605"/>
      <c r="AA605"/>
      <c r="AB605"/>
      <c r="AC605"/>
    </row>
    <row r="606" spans="1:29" x14ac:dyDescent="0.25">
      <c r="A606"/>
      <c r="B606"/>
      <c r="C606"/>
      <c r="D606"/>
      <c r="E606"/>
      <c r="F606"/>
      <c r="G606"/>
      <c r="H606"/>
      <c r="I606"/>
      <c r="J606"/>
      <c r="K606"/>
      <c r="L606"/>
      <c r="M606"/>
      <c r="N606"/>
      <c r="O606"/>
      <c r="P606"/>
      <c r="Q606"/>
      <c r="R606"/>
      <c r="S606"/>
      <c r="T606"/>
      <c r="U606"/>
      <c r="V606"/>
      <c r="W606"/>
      <c r="X606"/>
      <c r="Y606"/>
      <c r="Z606"/>
      <c r="AA606"/>
      <c r="AB606"/>
      <c r="AC606"/>
    </row>
    <row r="607" spans="1:29" x14ac:dyDescent="0.25">
      <c r="A607"/>
      <c r="B607"/>
      <c r="C607"/>
      <c r="D607"/>
      <c r="E607"/>
      <c r="F607"/>
      <c r="G607"/>
      <c r="H607"/>
      <c r="I607"/>
      <c r="J607"/>
      <c r="K607"/>
      <c r="L607"/>
      <c r="M607"/>
      <c r="N607"/>
      <c r="O607"/>
      <c r="P607"/>
      <c r="Q607"/>
      <c r="R607"/>
      <c r="S607"/>
      <c r="T607"/>
      <c r="U607"/>
      <c r="V607"/>
      <c r="W607"/>
      <c r="X607"/>
      <c r="Y607"/>
      <c r="Z607"/>
      <c r="AA607"/>
      <c r="AB607"/>
      <c r="AC607"/>
    </row>
    <row r="608" spans="1:29" x14ac:dyDescent="0.25">
      <c r="A608"/>
      <c r="B608"/>
      <c r="C608"/>
      <c r="D608"/>
      <c r="E608"/>
      <c r="F608"/>
      <c r="G608"/>
      <c r="H608"/>
      <c r="I608"/>
      <c r="J608"/>
      <c r="K608"/>
      <c r="L608"/>
      <c r="M608"/>
      <c r="N608"/>
      <c r="O608"/>
      <c r="P608"/>
      <c r="Q608"/>
      <c r="R608"/>
      <c r="S608"/>
      <c r="T608"/>
      <c r="U608"/>
      <c r="V608"/>
      <c r="W608"/>
      <c r="X608"/>
      <c r="Y608"/>
      <c r="Z608"/>
      <c r="AA608"/>
      <c r="AB608"/>
      <c r="AC608"/>
    </row>
    <row r="609" spans="1:29" x14ac:dyDescent="0.25">
      <c r="A609"/>
      <c r="B609"/>
      <c r="C609"/>
      <c r="D609"/>
      <c r="E609"/>
      <c r="F609"/>
      <c r="G609"/>
      <c r="H609"/>
      <c r="I609"/>
      <c r="J609"/>
      <c r="K609"/>
      <c r="L609"/>
      <c r="M609"/>
      <c r="N609"/>
      <c r="O609"/>
      <c r="P609"/>
      <c r="Q609"/>
      <c r="R609"/>
      <c r="S609"/>
      <c r="T609"/>
      <c r="U609"/>
      <c r="V609"/>
      <c r="W609"/>
      <c r="X609"/>
      <c r="Y609"/>
      <c r="Z609"/>
      <c r="AA609"/>
      <c r="AB609"/>
      <c r="AC609"/>
    </row>
    <row r="610" spans="1:29" x14ac:dyDescent="0.25">
      <c r="A610"/>
      <c r="B610"/>
      <c r="C610"/>
      <c r="D610"/>
      <c r="E610"/>
      <c r="F610"/>
      <c r="G610"/>
      <c r="H610"/>
      <c r="I610"/>
      <c r="J610"/>
      <c r="K610"/>
      <c r="L610"/>
      <c r="M610"/>
      <c r="N610"/>
      <c r="O610"/>
      <c r="P610"/>
      <c r="Q610"/>
      <c r="R610"/>
      <c r="S610"/>
      <c r="T610"/>
      <c r="U610"/>
      <c r="V610"/>
      <c r="W610"/>
      <c r="X610"/>
      <c r="Y610"/>
      <c r="Z610"/>
      <c r="AA610"/>
      <c r="AB610"/>
      <c r="AC610"/>
    </row>
    <row r="611" spans="1:29" x14ac:dyDescent="0.25">
      <c r="A611"/>
      <c r="B611"/>
      <c r="C611"/>
      <c r="D611"/>
      <c r="E611"/>
      <c r="F611"/>
      <c r="G611"/>
      <c r="H611"/>
      <c r="I611"/>
      <c r="J611"/>
      <c r="K611"/>
      <c r="L611"/>
      <c r="M611"/>
      <c r="N611"/>
      <c r="O611"/>
      <c r="P611"/>
      <c r="Q611"/>
      <c r="R611"/>
      <c r="S611"/>
      <c r="T611"/>
      <c r="U611"/>
      <c r="V611"/>
      <c r="W611"/>
      <c r="X611"/>
      <c r="Y611"/>
      <c r="Z611"/>
      <c r="AA611"/>
      <c r="AB611"/>
      <c r="AC611"/>
    </row>
    <row r="612" spans="1:29" x14ac:dyDescent="0.25">
      <c r="A612"/>
      <c r="B612"/>
      <c r="C612"/>
      <c r="D612"/>
      <c r="E612"/>
      <c r="F612"/>
      <c r="G612"/>
      <c r="H612"/>
      <c r="I612"/>
      <c r="J612"/>
      <c r="K612"/>
      <c r="L612"/>
      <c r="M612"/>
      <c r="N612"/>
      <c r="O612"/>
      <c r="P612"/>
      <c r="Q612"/>
      <c r="R612"/>
      <c r="S612"/>
      <c r="T612"/>
      <c r="U612"/>
      <c r="V612"/>
      <c r="W612"/>
      <c r="X612"/>
      <c r="Y612"/>
      <c r="Z612"/>
      <c r="AA612"/>
      <c r="AB612"/>
      <c r="AC612"/>
    </row>
    <row r="613" spans="1:29" x14ac:dyDescent="0.25">
      <c r="A613"/>
      <c r="B613"/>
      <c r="C613"/>
      <c r="D613"/>
      <c r="E613"/>
      <c r="F613"/>
      <c r="G613"/>
      <c r="H613"/>
      <c r="I613"/>
      <c r="J613"/>
      <c r="K613"/>
      <c r="L613"/>
      <c r="M613"/>
      <c r="N613"/>
      <c r="O613"/>
      <c r="P613"/>
      <c r="Q613"/>
      <c r="R613"/>
      <c r="S613"/>
      <c r="T613"/>
      <c r="U613"/>
      <c r="V613"/>
      <c r="W613"/>
      <c r="X613"/>
      <c r="Y613"/>
      <c r="Z613"/>
      <c r="AA613"/>
      <c r="AB613"/>
      <c r="AC613"/>
    </row>
    <row r="614" spans="1:29" x14ac:dyDescent="0.25">
      <c r="A614"/>
      <c r="B614"/>
      <c r="C614"/>
      <c r="D614"/>
      <c r="E614"/>
      <c r="F614"/>
      <c r="G614"/>
      <c r="H614"/>
      <c r="I614"/>
      <c r="J614"/>
      <c r="K614"/>
      <c r="L614"/>
      <c r="M614"/>
      <c r="N614"/>
      <c r="O614"/>
      <c r="P614"/>
      <c r="Q614"/>
      <c r="R614"/>
      <c r="S614"/>
      <c r="T614"/>
      <c r="U614"/>
      <c r="V614"/>
      <c r="W614"/>
      <c r="X614"/>
      <c r="Y614"/>
      <c r="Z614"/>
      <c r="AA614"/>
      <c r="AB614"/>
      <c r="AC614"/>
    </row>
    <row r="615" spans="1:29" x14ac:dyDescent="0.25">
      <c r="A615"/>
      <c r="B615"/>
      <c r="C615"/>
      <c r="D615"/>
      <c r="E615"/>
      <c r="F615"/>
      <c r="G615"/>
      <c r="H615"/>
      <c r="I615"/>
      <c r="J615"/>
      <c r="K615"/>
      <c r="L615"/>
      <c r="M615"/>
      <c r="N615"/>
      <c r="O615"/>
      <c r="P615"/>
      <c r="Q615"/>
      <c r="R615"/>
      <c r="S615"/>
      <c r="T615"/>
      <c r="U615"/>
      <c r="V615"/>
      <c r="W615"/>
      <c r="X615"/>
      <c r="Y615"/>
      <c r="Z615"/>
      <c r="AA615"/>
      <c r="AB615"/>
      <c r="AC615"/>
    </row>
    <row r="616" spans="1:29" x14ac:dyDescent="0.25">
      <c r="A616"/>
      <c r="B616"/>
      <c r="C616"/>
      <c r="D616"/>
      <c r="E616"/>
      <c r="F616"/>
      <c r="G616"/>
      <c r="H616"/>
      <c r="I616"/>
      <c r="J616"/>
      <c r="K616"/>
      <c r="L616"/>
      <c r="M616"/>
      <c r="N616"/>
      <c r="O616"/>
      <c r="P616"/>
      <c r="Q616"/>
      <c r="R616"/>
      <c r="S616"/>
      <c r="T616"/>
      <c r="U616"/>
      <c r="V616"/>
      <c r="W616"/>
      <c r="X616"/>
      <c r="Y616"/>
      <c r="Z616"/>
      <c r="AA616"/>
      <c r="AB616"/>
      <c r="AC616"/>
    </row>
    <row r="617" spans="1:29" x14ac:dyDescent="0.25">
      <c r="A617"/>
      <c r="B617"/>
      <c r="C617"/>
      <c r="D617"/>
      <c r="E617"/>
      <c r="F617"/>
      <c r="G617"/>
      <c r="H617"/>
      <c r="I617"/>
      <c r="J617"/>
      <c r="K617"/>
      <c r="L617"/>
      <c r="M617"/>
      <c r="N617"/>
      <c r="O617"/>
      <c r="P617"/>
      <c r="Q617"/>
      <c r="R617"/>
      <c r="S617"/>
      <c r="T617"/>
      <c r="U617"/>
      <c r="V617"/>
      <c r="W617"/>
      <c r="X617"/>
      <c r="Y617"/>
      <c r="Z617"/>
      <c r="AA617"/>
      <c r="AB617"/>
      <c r="AC617"/>
    </row>
    <row r="618" spans="1:29" x14ac:dyDescent="0.25">
      <c r="A618"/>
      <c r="B618"/>
      <c r="C618"/>
      <c r="D618"/>
      <c r="E618"/>
      <c r="F618"/>
      <c r="G618"/>
      <c r="H618"/>
      <c r="I618"/>
      <c r="J618"/>
      <c r="K618"/>
      <c r="L618"/>
      <c r="M618"/>
      <c r="N618"/>
      <c r="O618"/>
      <c r="P618"/>
      <c r="Q618"/>
      <c r="R618"/>
      <c r="S618"/>
      <c r="T618"/>
      <c r="U618"/>
      <c r="V618"/>
      <c r="W618"/>
      <c r="X618"/>
      <c r="Y618"/>
      <c r="Z618"/>
      <c r="AA618"/>
      <c r="AB618"/>
      <c r="AC618"/>
    </row>
    <row r="619" spans="1:29" x14ac:dyDescent="0.25">
      <c r="A619"/>
      <c r="B619"/>
      <c r="C619"/>
      <c r="D619"/>
      <c r="E619"/>
      <c r="F619"/>
      <c r="G619"/>
      <c r="H619"/>
      <c r="I619"/>
      <c r="J619"/>
      <c r="K619"/>
      <c r="L619"/>
      <c r="M619"/>
      <c r="N619"/>
      <c r="O619"/>
      <c r="P619"/>
      <c r="Q619"/>
      <c r="R619"/>
      <c r="S619"/>
      <c r="T619"/>
      <c r="U619"/>
      <c r="V619"/>
      <c r="W619"/>
      <c r="X619"/>
      <c r="Y619"/>
      <c r="Z619"/>
      <c r="AA619"/>
      <c r="AB619"/>
      <c r="AC619"/>
    </row>
    <row r="620" spans="1:29" x14ac:dyDescent="0.25">
      <c r="A620"/>
      <c r="B620"/>
      <c r="C620"/>
      <c r="D620"/>
      <c r="E620"/>
      <c r="F620"/>
      <c r="G620"/>
      <c r="H620"/>
      <c r="I620"/>
      <c r="J620"/>
      <c r="K620"/>
      <c r="L620"/>
      <c r="M620"/>
      <c r="N620"/>
      <c r="O620"/>
      <c r="P620"/>
      <c r="Q620"/>
      <c r="R620"/>
      <c r="S620"/>
      <c r="T620"/>
      <c r="U620"/>
      <c r="V620"/>
      <c r="W620"/>
      <c r="X620"/>
      <c r="Y620"/>
      <c r="Z620"/>
      <c r="AA620"/>
      <c r="AB620"/>
      <c r="AC620"/>
    </row>
    <row r="621" spans="1:29" x14ac:dyDescent="0.25">
      <c r="A621"/>
      <c r="B621"/>
      <c r="C621"/>
      <c r="D621"/>
      <c r="E621"/>
      <c r="F621"/>
      <c r="G621"/>
      <c r="H621"/>
      <c r="I621"/>
      <c r="J621"/>
      <c r="K621"/>
      <c r="L621"/>
      <c r="M621"/>
      <c r="N621"/>
      <c r="O621"/>
      <c r="P621"/>
      <c r="Q621"/>
      <c r="R621"/>
      <c r="S621"/>
      <c r="T621"/>
      <c r="U621"/>
      <c r="V621"/>
      <c r="W621"/>
      <c r="X621"/>
      <c r="Y621"/>
      <c r="Z621"/>
      <c r="AA621"/>
      <c r="AB621"/>
      <c r="AC621"/>
    </row>
    <row r="622" spans="1:29" x14ac:dyDescent="0.25">
      <c r="A622"/>
      <c r="B622"/>
      <c r="C622"/>
      <c r="D622"/>
      <c r="E622"/>
      <c r="F622"/>
      <c r="G622"/>
      <c r="H622"/>
      <c r="I622"/>
      <c r="J622"/>
      <c r="K622"/>
      <c r="L622"/>
      <c r="M622"/>
      <c r="N622"/>
      <c r="O622"/>
      <c r="P622"/>
      <c r="Q622"/>
      <c r="R622"/>
      <c r="S622"/>
      <c r="T622"/>
      <c r="U622"/>
      <c r="V622"/>
      <c r="W622"/>
      <c r="X622"/>
      <c r="Y622"/>
      <c r="Z622"/>
      <c r="AA622"/>
      <c r="AB622"/>
      <c r="AC622"/>
    </row>
    <row r="623" spans="1:29" x14ac:dyDescent="0.25">
      <c r="A623"/>
      <c r="B623"/>
      <c r="C623"/>
      <c r="D623"/>
      <c r="E623"/>
      <c r="F623"/>
      <c r="G623"/>
      <c r="H623"/>
      <c r="I623"/>
      <c r="J623"/>
      <c r="K623"/>
      <c r="L623"/>
      <c r="M623"/>
      <c r="N623"/>
      <c r="O623"/>
      <c r="P623"/>
      <c r="Q623"/>
      <c r="R623"/>
      <c r="S623"/>
      <c r="T623"/>
      <c r="U623"/>
      <c r="V623"/>
      <c r="W623"/>
      <c r="X623"/>
      <c r="Y623"/>
      <c r="Z623"/>
      <c r="AA623"/>
      <c r="AB623"/>
      <c r="AC623"/>
    </row>
    <row r="624" spans="1:29" x14ac:dyDescent="0.25">
      <c r="A624"/>
      <c r="B624"/>
      <c r="C624"/>
      <c r="D624"/>
      <c r="E624"/>
      <c r="F624"/>
      <c r="G624"/>
      <c r="H624"/>
      <c r="I624"/>
      <c r="J624"/>
      <c r="K624"/>
      <c r="L624"/>
      <c r="M624"/>
      <c r="N624"/>
      <c r="O624"/>
      <c r="P624"/>
      <c r="Q624"/>
      <c r="R624"/>
      <c r="S624"/>
      <c r="T624"/>
      <c r="U624"/>
      <c r="V624"/>
      <c r="W624"/>
      <c r="X624"/>
      <c r="Y624"/>
      <c r="Z624"/>
      <c r="AA624"/>
      <c r="AB624"/>
      <c r="AC624"/>
    </row>
    <row r="625" spans="1:29" x14ac:dyDescent="0.25">
      <c r="A625"/>
      <c r="B625"/>
      <c r="C625"/>
      <c r="D625"/>
      <c r="E625"/>
      <c r="F625"/>
      <c r="G625"/>
      <c r="H625"/>
      <c r="I625"/>
      <c r="J625"/>
      <c r="K625"/>
      <c r="L625"/>
      <c r="M625"/>
      <c r="N625"/>
      <c r="O625"/>
      <c r="P625"/>
      <c r="Q625"/>
      <c r="R625"/>
      <c r="S625"/>
      <c r="T625"/>
      <c r="U625"/>
      <c r="V625"/>
      <c r="W625"/>
      <c r="X625"/>
      <c r="Y625"/>
      <c r="Z625"/>
      <c r="AA625"/>
      <c r="AB625"/>
      <c r="AC625"/>
    </row>
    <row r="626" spans="1:29" x14ac:dyDescent="0.25">
      <c r="A626"/>
      <c r="B626"/>
      <c r="C626"/>
      <c r="D626"/>
      <c r="E626"/>
      <c r="F626"/>
      <c r="G626"/>
      <c r="H626"/>
      <c r="I626"/>
      <c r="J626"/>
      <c r="K626"/>
      <c r="L626"/>
      <c r="M626"/>
      <c r="N626"/>
      <c r="O626"/>
      <c r="P626"/>
      <c r="Q626"/>
      <c r="R626"/>
      <c r="S626"/>
      <c r="T626"/>
      <c r="U626"/>
      <c r="V626"/>
      <c r="W626"/>
      <c r="X626"/>
      <c r="Y626"/>
      <c r="Z626"/>
      <c r="AA626"/>
      <c r="AB626"/>
      <c r="AC626"/>
    </row>
    <row r="627" spans="1:29" x14ac:dyDescent="0.25">
      <c r="A627"/>
      <c r="B627"/>
      <c r="C627"/>
      <c r="D627"/>
      <c r="E627"/>
      <c r="F627"/>
      <c r="G627"/>
      <c r="H627"/>
      <c r="I627"/>
      <c r="J627"/>
      <c r="K627"/>
      <c r="L627"/>
      <c r="M627"/>
      <c r="N627"/>
      <c r="O627"/>
      <c r="P627"/>
      <c r="Q627"/>
      <c r="R627"/>
      <c r="S627"/>
      <c r="T627"/>
      <c r="U627"/>
      <c r="V627"/>
      <c r="W627"/>
      <c r="X627"/>
      <c r="Y627"/>
      <c r="Z627"/>
      <c r="AA627"/>
      <c r="AB627"/>
      <c r="AC627"/>
    </row>
    <row r="628" spans="1:29" x14ac:dyDescent="0.25">
      <c r="A628"/>
      <c r="B628"/>
      <c r="C628"/>
      <c r="D628"/>
      <c r="E628"/>
      <c r="F628"/>
      <c r="G628"/>
      <c r="H628"/>
      <c r="I628"/>
      <c r="J628"/>
      <c r="K628"/>
      <c r="L628"/>
      <c r="M628"/>
      <c r="N628"/>
      <c r="O628"/>
      <c r="P628"/>
      <c r="Q628"/>
      <c r="R628"/>
      <c r="S628"/>
      <c r="T628"/>
      <c r="U628"/>
      <c r="V628"/>
      <c r="W628"/>
      <c r="X628"/>
      <c r="Y628"/>
      <c r="Z628"/>
      <c r="AA628"/>
      <c r="AB628"/>
      <c r="AC628"/>
    </row>
    <row r="629" spans="1:29" x14ac:dyDescent="0.25">
      <c r="A629"/>
      <c r="B629"/>
      <c r="C629"/>
      <c r="D629"/>
      <c r="E629"/>
      <c r="F629"/>
      <c r="G629"/>
      <c r="H629"/>
      <c r="I629"/>
      <c r="J629"/>
      <c r="K629"/>
      <c r="L629"/>
      <c r="M629"/>
      <c r="N629"/>
      <c r="O629"/>
      <c r="P629"/>
      <c r="Q629"/>
      <c r="R629"/>
      <c r="S629"/>
      <c r="T629"/>
      <c r="U629"/>
      <c r="V629"/>
      <c r="W629"/>
      <c r="X629"/>
      <c r="Y629"/>
      <c r="Z629"/>
      <c r="AA629"/>
      <c r="AB629"/>
      <c r="AC629"/>
    </row>
    <row r="630" spans="1:29" x14ac:dyDescent="0.25">
      <c r="A630"/>
      <c r="B630"/>
      <c r="C630"/>
      <c r="D630"/>
      <c r="E630"/>
      <c r="F630"/>
      <c r="G630"/>
      <c r="H630"/>
      <c r="I630"/>
      <c r="J630"/>
      <c r="K630"/>
      <c r="L630"/>
      <c r="M630"/>
      <c r="N630"/>
      <c r="O630"/>
      <c r="P630"/>
      <c r="Q630"/>
      <c r="R630"/>
      <c r="S630"/>
      <c r="T630"/>
      <c r="U630"/>
      <c r="V630"/>
      <c r="W630"/>
      <c r="X630"/>
      <c r="Y630"/>
      <c r="Z630"/>
      <c r="AA630"/>
      <c r="AB630"/>
      <c r="AC630"/>
    </row>
    <row r="631" spans="1:29" x14ac:dyDescent="0.25">
      <c r="A631"/>
      <c r="B631"/>
      <c r="C631"/>
      <c r="D631"/>
      <c r="E631"/>
      <c r="F631"/>
      <c r="G631"/>
      <c r="H631"/>
      <c r="I631"/>
      <c r="J631"/>
      <c r="K631"/>
      <c r="L631"/>
      <c r="M631"/>
      <c r="N631"/>
      <c r="O631"/>
      <c r="P631"/>
      <c r="Q631"/>
      <c r="R631"/>
      <c r="S631"/>
      <c r="T631"/>
      <c r="U631"/>
      <c r="V631"/>
      <c r="W631"/>
      <c r="X631"/>
      <c r="Y631"/>
      <c r="Z631"/>
      <c r="AA631"/>
      <c r="AB631"/>
      <c r="AC631"/>
    </row>
    <row r="632" spans="1:29" x14ac:dyDescent="0.25">
      <c r="A632"/>
      <c r="B632"/>
      <c r="C632"/>
      <c r="D632"/>
      <c r="E632"/>
      <c r="F632"/>
      <c r="G632"/>
      <c r="H632"/>
      <c r="I632"/>
      <c r="J632"/>
      <c r="K632"/>
      <c r="L632"/>
      <c r="M632"/>
      <c r="N632"/>
      <c r="O632"/>
      <c r="P632"/>
      <c r="Q632"/>
      <c r="R632"/>
      <c r="S632"/>
      <c r="T632"/>
      <c r="U632"/>
      <c r="V632"/>
      <c r="W632"/>
      <c r="X632"/>
      <c r="Y632"/>
      <c r="Z632"/>
      <c r="AA632"/>
      <c r="AB632"/>
      <c r="AC632"/>
    </row>
    <row r="633" spans="1:29" x14ac:dyDescent="0.25">
      <c r="A633"/>
      <c r="B633"/>
      <c r="C633"/>
      <c r="D633"/>
      <c r="E633"/>
      <c r="F633"/>
      <c r="G633"/>
      <c r="H633"/>
      <c r="I633"/>
      <c r="J633"/>
      <c r="K633"/>
      <c r="L633"/>
      <c r="M633"/>
      <c r="N633"/>
      <c r="O633"/>
      <c r="P633"/>
      <c r="Q633"/>
      <c r="R633"/>
      <c r="S633"/>
      <c r="T633"/>
      <c r="U633"/>
      <c r="V633"/>
      <c r="W633"/>
      <c r="X633"/>
      <c r="Y633"/>
      <c r="Z633"/>
      <c r="AA633"/>
      <c r="AB633"/>
      <c r="AC633"/>
    </row>
    <row r="634" spans="1:29" x14ac:dyDescent="0.25">
      <c r="A634"/>
      <c r="B634"/>
      <c r="C634"/>
      <c r="D634"/>
      <c r="E634"/>
      <c r="F634"/>
      <c r="G634"/>
      <c r="H634"/>
      <c r="I634"/>
      <c r="J634"/>
      <c r="K634"/>
      <c r="L634"/>
      <c r="M634"/>
      <c r="N634"/>
      <c r="O634"/>
      <c r="P634"/>
      <c r="Q634"/>
      <c r="R634"/>
      <c r="S634"/>
      <c r="T634"/>
      <c r="U634"/>
      <c r="V634"/>
      <c r="W634"/>
      <c r="X634"/>
      <c r="Y634"/>
      <c r="Z634"/>
      <c r="AA634"/>
      <c r="AB634"/>
      <c r="AC634"/>
    </row>
    <row r="635" spans="1:29" x14ac:dyDescent="0.25">
      <c r="A635"/>
      <c r="B635"/>
      <c r="C635"/>
      <c r="D635"/>
      <c r="E635"/>
      <c r="F635"/>
      <c r="G635"/>
      <c r="H635"/>
      <c r="I635"/>
      <c r="J635"/>
      <c r="K635"/>
      <c r="L635"/>
      <c r="M635"/>
      <c r="N635"/>
      <c r="O635"/>
      <c r="P635"/>
      <c r="Q635"/>
      <c r="R635"/>
      <c r="S635"/>
      <c r="T635"/>
      <c r="U635"/>
      <c r="V635"/>
      <c r="W635"/>
      <c r="X635"/>
      <c r="Y635"/>
      <c r="Z635"/>
      <c r="AA635"/>
      <c r="AB635"/>
      <c r="AC635"/>
    </row>
    <row r="636" spans="1:29" x14ac:dyDescent="0.25">
      <c r="A636"/>
      <c r="B636"/>
      <c r="C636"/>
      <c r="D636"/>
      <c r="E636"/>
      <c r="F636"/>
      <c r="G636"/>
      <c r="H636"/>
      <c r="I636"/>
      <c r="J636"/>
      <c r="K636"/>
      <c r="L636"/>
      <c r="M636"/>
      <c r="N636"/>
      <c r="O636"/>
      <c r="P636"/>
      <c r="Q636"/>
      <c r="R636"/>
      <c r="S636"/>
      <c r="T636"/>
      <c r="U636"/>
      <c r="V636"/>
      <c r="W636"/>
      <c r="X636"/>
      <c r="Y636"/>
      <c r="Z636"/>
      <c r="AA636"/>
      <c r="AB636"/>
      <c r="AC636"/>
    </row>
    <row r="637" spans="1:29" x14ac:dyDescent="0.25">
      <c r="A637"/>
      <c r="B637"/>
      <c r="C637"/>
      <c r="D637"/>
      <c r="E637"/>
      <c r="F637"/>
      <c r="G637"/>
      <c r="H637"/>
      <c r="I637"/>
      <c r="J637"/>
      <c r="K637"/>
      <c r="L637"/>
      <c r="M637"/>
      <c r="N637"/>
      <c r="O637"/>
      <c r="P637"/>
      <c r="Q637"/>
      <c r="R637"/>
      <c r="S637"/>
      <c r="T637"/>
      <c r="U637"/>
      <c r="V637"/>
      <c r="W637"/>
      <c r="X637"/>
      <c r="Y637"/>
      <c r="Z637"/>
      <c r="AA637"/>
      <c r="AB637"/>
      <c r="AC637"/>
    </row>
    <row r="638" spans="1:29" x14ac:dyDescent="0.25">
      <c r="A638"/>
      <c r="B638"/>
      <c r="C638"/>
      <c r="D638"/>
      <c r="E638"/>
      <c r="F638"/>
      <c r="G638"/>
      <c r="H638"/>
      <c r="I638"/>
      <c r="J638"/>
      <c r="K638"/>
      <c r="L638"/>
      <c r="M638"/>
      <c r="N638"/>
      <c r="O638"/>
      <c r="P638"/>
      <c r="Q638"/>
      <c r="R638"/>
      <c r="S638"/>
      <c r="T638"/>
      <c r="U638"/>
      <c r="V638"/>
      <c r="W638"/>
      <c r="X638"/>
      <c r="Y638"/>
      <c r="Z638"/>
      <c r="AA638"/>
      <c r="AB638"/>
      <c r="AC638"/>
    </row>
    <row r="639" spans="1:29" x14ac:dyDescent="0.25">
      <c r="A639"/>
      <c r="B639"/>
      <c r="C639"/>
      <c r="D639"/>
      <c r="E639"/>
      <c r="F639"/>
      <c r="G639"/>
      <c r="H639"/>
      <c r="I639"/>
      <c r="J639"/>
      <c r="K639"/>
      <c r="L639"/>
      <c r="M639"/>
      <c r="N639"/>
      <c r="O639"/>
      <c r="P639"/>
      <c r="Q639"/>
      <c r="R639"/>
      <c r="S639"/>
      <c r="T639"/>
      <c r="U639"/>
      <c r="V639"/>
      <c r="W639"/>
      <c r="X639"/>
      <c r="Y639"/>
      <c r="Z639"/>
      <c r="AA639"/>
      <c r="AB639"/>
      <c r="AC639"/>
    </row>
    <row r="640" spans="1:29" x14ac:dyDescent="0.25">
      <c r="A640"/>
      <c r="B640"/>
      <c r="C640"/>
      <c r="D640"/>
      <c r="E640"/>
      <c r="F640"/>
      <c r="G640"/>
      <c r="H640"/>
      <c r="I640"/>
      <c r="J640"/>
      <c r="K640"/>
      <c r="L640"/>
      <c r="M640"/>
      <c r="N640"/>
      <c r="O640"/>
      <c r="P640"/>
      <c r="Q640"/>
      <c r="R640"/>
      <c r="S640"/>
      <c r="T640"/>
      <c r="U640"/>
      <c r="V640"/>
      <c r="W640"/>
      <c r="X640"/>
      <c r="Y640"/>
      <c r="Z640"/>
      <c r="AA640"/>
      <c r="AB640"/>
      <c r="AC640"/>
    </row>
    <row r="641" spans="1:29" x14ac:dyDescent="0.25">
      <c r="A641"/>
      <c r="B641"/>
      <c r="C641"/>
      <c r="D641"/>
      <c r="E641"/>
      <c r="F641"/>
      <c r="G641"/>
      <c r="H641"/>
      <c r="I641"/>
      <c r="J641"/>
      <c r="K641"/>
      <c r="L641"/>
      <c r="M641"/>
      <c r="N641"/>
      <c r="O641"/>
      <c r="P641"/>
      <c r="Q641"/>
      <c r="R641"/>
      <c r="S641"/>
      <c r="T641"/>
      <c r="U641"/>
      <c r="V641"/>
      <c r="W641"/>
      <c r="X641"/>
      <c r="Y641"/>
      <c r="Z641"/>
      <c r="AA641"/>
      <c r="AB641"/>
      <c r="AC641"/>
    </row>
    <row r="642" spans="1:29" x14ac:dyDescent="0.25">
      <c r="A642"/>
      <c r="B642"/>
      <c r="C642"/>
      <c r="D642"/>
      <c r="E642"/>
      <c r="F642"/>
      <c r="G642"/>
      <c r="H642"/>
      <c r="I642"/>
      <c r="J642"/>
      <c r="K642"/>
      <c r="L642"/>
      <c r="M642"/>
      <c r="N642"/>
      <c r="O642"/>
      <c r="P642"/>
      <c r="Q642"/>
      <c r="R642"/>
      <c r="S642"/>
      <c r="T642"/>
      <c r="U642"/>
      <c r="V642"/>
      <c r="W642"/>
      <c r="X642"/>
      <c r="Y642"/>
      <c r="Z642"/>
      <c r="AA642"/>
      <c r="AB642"/>
      <c r="AC642"/>
    </row>
    <row r="643" spans="1:29" x14ac:dyDescent="0.25">
      <c r="A643"/>
      <c r="B643"/>
      <c r="C643"/>
      <c r="D643"/>
      <c r="E643"/>
      <c r="F643"/>
      <c r="G643"/>
      <c r="H643"/>
      <c r="I643"/>
      <c r="J643"/>
      <c r="K643"/>
      <c r="L643"/>
      <c r="M643"/>
      <c r="N643"/>
      <c r="O643"/>
      <c r="P643"/>
      <c r="Q643"/>
      <c r="R643"/>
      <c r="S643"/>
      <c r="T643"/>
      <c r="U643"/>
      <c r="V643"/>
      <c r="W643"/>
      <c r="X643"/>
      <c r="Y643"/>
      <c r="Z643"/>
      <c r="AA643"/>
      <c r="AB643"/>
      <c r="AC643"/>
    </row>
    <row r="644" spans="1:29" x14ac:dyDescent="0.25">
      <c r="A644"/>
      <c r="B644"/>
      <c r="C644"/>
      <c r="D644"/>
      <c r="E644"/>
      <c r="F644"/>
      <c r="G644"/>
      <c r="H644"/>
      <c r="I644"/>
      <c r="J644"/>
      <c r="K644"/>
      <c r="L644"/>
      <c r="M644"/>
      <c r="N644"/>
      <c r="O644"/>
      <c r="P644"/>
      <c r="Q644"/>
      <c r="R644"/>
      <c r="S644"/>
      <c r="T644"/>
      <c r="U644"/>
      <c r="V644"/>
      <c r="W644"/>
      <c r="X644"/>
      <c r="Y644"/>
      <c r="Z644"/>
      <c r="AA644"/>
      <c r="AB644"/>
      <c r="AC644"/>
    </row>
    <row r="645" spans="1:29" x14ac:dyDescent="0.25">
      <c r="A645"/>
      <c r="B645"/>
      <c r="C645"/>
      <c r="D645"/>
      <c r="E645"/>
      <c r="F645"/>
      <c r="G645"/>
      <c r="H645"/>
      <c r="I645"/>
      <c r="J645"/>
      <c r="K645"/>
      <c r="L645"/>
      <c r="M645"/>
      <c r="N645"/>
      <c r="O645"/>
      <c r="P645"/>
      <c r="Q645"/>
      <c r="R645"/>
      <c r="S645"/>
      <c r="T645"/>
      <c r="U645"/>
      <c r="V645"/>
      <c r="W645"/>
      <c r="X645"/>
      <c r="Y645"/>
      <c r="Z645"/>
      <c r="AA645"/>
      <c r="AB645"/>
      <c r="AC645"/>
    </row>
    <row r="646" spans="1:29" x14ac:dyDescent="0.25">
      <c r="A646"/>
      <c r="B646"/>
      <c r="C646"/>
      <c r="D646"/>
      <c r="E646"/>
      <c r="F646"/>
      <c r="G646"/>
      <c r="H646"/>
      <c r="I646"/>
      <c r="J646"/>
      <c r="K646"/>
      <c r="L646"/>
      <c r="M646"/>
      <c r="N646"/>
      <c r="O646"/>
      <c r="P646"/>
      <c r="Q646"/>
      <c r="R646"/>
      <c r="S646"/>
      <c r="T646"/>
      <c r="U646"/>
      <c r="V646"/>
      <c r="W646"/>
      <c r="X646"/>
      <c r="Y646"/>
      <c r="Z646"/>
      <c r="AA646"/>
      <c r="AB646"/>
      <c r="AC646"/>
    </row>
    <row r="647" spans="1:29" x14ac:dyDescent="0.25">
      <c r="A647"/>
      <c r="B647"/>
      <c r="C647"/>
      <c r="D647"/>
      <c r="E647"/>
      <c r="F647"/>
      <c r="G647"/>
      <c r="H647"/>
      <c r="I647"/>
      <c r="J647"/>
      <c r="K647"/>
      <c r="L647"/>
      <c r="M647"/>
      <c r="N647"/>
      <c r="O647"/>
      <c r="P647"/>
      <c r="Q647"/>
      <c r="R647"/>
      <c r="S647"/>
      <c r="T647"/>
      <c r="U647"/>
      <c r="V647"/>
      <c r="W647"/>
      <c r="X647"/>
      <c r="Y647"/>
      <c r="Z647"/>
      <c r="AA647"/>
      <c r="AB647"/>
      <c r="AC647"/>
    </row>
    <row r="648" spans="1:29" x14ac:dyDescent="0.25">
      <c r="A648"/>
      <c r="B648"/>
      <c r="C648"/>
      <c r="D648"/>
      <c r="E648"/>
      <c r="F648"/>
      <c r="G648"/>
      <c r="H648"/>
      <c r="I648"/>
      <c r="J648"/>
      <c r="K648"/>
      <c r="L648"/>
      <c r="M648"/>
      <c r="N648"/>
      <c r="O648"/>
      <c r="P648"/>
      <c r="Q648"/>
      <c r="R648"/>
      <c r="S648"/>
      <c r="T648"/>
      <c r="U648"/>
      <c r="V648"/>
      <c r="W648"/>
      <c r="X648"/>
      <c r="Y648"/>
      <c r="Z648"/>
      <c r="AA648"/>
      <c r="AB648"/>
      <c r="AC648"/>
    </row>
    <row r="649" spans="1:29" x14ac:dyDescent="0.25">
      <c r="A649"/>
      <c r="B649"/>
      <c r="C649"/>
      <c r="D649"/>
      <c r="E649"/>
      <c r="F649"/>
      <c r="G649"/>
      <c r="H649"/>
      <c r="I649"/>
      <c r="J649"/>
      <c r="K649"/>
      <c r="L649"/>
      <c r="M649"/>
      <c r="N649"/>
      <c r="O649"/>
      <c r="P649"/>
      <c r="Q649"/>
      <c r="R649"/>
      <c r="S649"/>
      <c r="T649"/>
      <c r="U649"/>
      <c r="V649"/>
      <c r="W649"/>
      <c r="X649"/>
      <c r="Y649"/>
      <c r="Z649"/>
      <c r="AA649"/>
      <c r="AB649"/>
      <c r="AC649"/>
    </row>
    <row r="650" spans="1:29" x14ac:dyDescent="0.25">
      <c r="A650"/>
      <c r="B650"/>
      <c r="C650"/>
      <c r="D650"/>
      <c r="E650"/>
      <c r="F650"/>
      <c r="G650"/>
      <c r="H650"/>
      <c r="I650"/>
      <c r="J650"/>
      <c r="K650"/>
      <c r="L650"/>
      <c r="M650"/>
      <c r="N650"/>
      <c r="O650"/>
      <c r="P650"/>
      <c r="Q650"/>
      <c r="R650"/>
      <c r="S650"/>
      <c r="T650"/>
      <c r="U650"/>
      <c r="V650"/>
      <c r="W650"/>
      <c r="X650"/>
      <c r="Y650"/>
      <c r="Z650"/>
      <c r="AA650"/>
      <c r="AB650"/>
      <c r="AC650"/>
    </row>
    <row r="651" spans="1:29" x14ac:dyDescent="0.25">
      <c r="A651"/>
      <c r="B651"/>
      <c r="C651"/>
      <c r="D651"/>
      <c r="E651"/>
      <c r="F651"/>
      <c r="G651"/>
      <c r="H651"/>
      <c r="I651"/>
      <c r="J651"/>
      <c r="K651"/>
      <c r="L651"/>
      <c r="M651"/>
      <c r="N651"/>
      <c r="O651"/>
      <c r="P651"/>
      <c r="Q651"/>
      <c r="R651"/>
      <c r="S651"/>
      <c r="T651"/>
      <c r="U651"/>
      <c r="V651"/>
      <c r="W651"/>
      <c r="X651"/>
      <c r="Y651"/>
      <c r="Z651"/>
      <c r="AA651"/>
      <c r="AB651"/>
      <c r="AC651"/>
    </row>
    <row r="652" spans="1:29" x14ac:dyDescent="0.25">
      <c r="A652"/>
      <c r="B652"/>
      <c r="C652"/>
      <c r="D652"/>
      <c r="E652"/>
      <c r="F652"/>
      <c r="G652"/>
      <c r="H652"/>
      <c r="I652"/>
      <c r="J652"/>
      <c r="K652"/>
      <c r="L652"/>
      <c r="M652"/>
      <c r="N652"/>
      <c r="O652"/>
      <c r="P652"/>
      <c r="Q652"/>
      <c r="R652"/>
      <c r="S652"/>
      <c r="T652"/>
      <c r="U652"/>
      <c r="V652"/>
      <c r="W652"/>
      <c r="X652"/>
      <c r="Y652"/>
      <c r="Z652"/>
      <c r="AA652"/>
      <c r="AB652"/>
      <c r="AC652"/>
    </row>
    <row r="653" spans="1:29" x14ac:dyDescent="0.25">
      <c r="A653"/>
      <c r="B653"/>
      <c r="C653"/>
      <c r="D653"/>
      <c r="E653"/>
      <c r="F653"/>
      <c r="G653"/>
      <c r="H653"/>
      <c r="I653"/>
      <c r="J653"/>
      <c r="K653"/>
      <c r="L653"/>
      <c r="M653"/>
      <c r="N653"/>
      <c r="O653"/>
      <c r="P653"/>
      <c r="Q653"/>
      <c r="R653"/>
      <c r="S653"/>
      <c r="T653"/>
      <c r="U653"/>
      <c r="V653"/>
      <c r="W653"/>
      <c r="X653"/>
      <c r="Y653"/>
      <c r="Z653"/>
      <c r="AA653"/>
      <c r="AB653"/>
      <c r="AC653"/>
    </row>
    <row r="654" spans="1:29" x14ac:dyDescent="0.25">
      <c r="A654"/>
      <c r="B654"/>
      <c r="C654"/>
      <c r="D654"/>
      <c r="E654"/>
      <c r="F654"/>
      <c r="G654"/>
      <c r="H654"/>
      <c r="I654"/>
      <c r="J654"/>
      <c r="K654"/>
      <c r="L654"/>
      <c r="M654"/>
      <c r="N654"/>
      <c r="O654"/>
      <c r="P654"/>
      <c r="Q654"/>
      <c r="R654"/>
      <c r="S654"/>
      <c r="T654"/>
      <c r="U654"/>
      <c r="V654"/>
      <c r="W654"/>
      <c r="X654"/>
      <c r="Y654"/>
      <c r="Z654"/>
      <c r="AA654"/>
      <c r="AB654"/>
      <c r="AC654"/>
    </row>
    <row r="655" spans="1:29" x14ac:dyDescent="0.25">
      <c r="A655"/>
      <c r="B655"/>
      <c r="C655"/>
      <c r="D655"/>
      <c r="E655"/>
      <c r="F655"/>
      <c r="G655"/>
      <c r="H655"/>
      <c r="I655"/>
      <c r="J655"/>
      <c r="K655"/>
      <c r="L655"/>
      <c r="M655"/>
      <c r="N655"/>
      <c r="O655"/>
      <c r="P655"/>
      <c r="Q655"/>
      <c r="R655"/>
      <c r="S655"/>
      <c r="T655"/>
      <c r="U655"/>
      <c r="V655"/>
      <c r="W655"/>
      <c r="X655"/>
      <c r="Y655"/>
      <c r="Z655"/>
      <c r="AA655"/>
      <c r="AB655"/>
      <c r="AC655"/>
    </row>
    <row r="656" spans="1:29" x14ac:dyDescent="0.25">
      <c r="A656"/>
      <c r="B656"/>
      <c r="C656"/>
      <c r="D656"/>
      <c r="E656"/>
      <c r="F656"/>
      <c r="G656"/>
      <c r="H656"/>
      <c r="I656"/>
      <c r="J656"/>
      <c r="K656"/>
      <c r="L656"/>
      <c r="M656"/>
      <c r="N656"/>
      <c r="O656"/>
      <c r="P656"/>
      <c r="Q656"/>
      <c r="R656"/>
      <c r="S656"/>
      <c r="T656"/>
      <c r="U656"/>
      <c r="V656"/>
      <c r="W656"/>
      <c r="X656"/>
      <c r="Y656"/>
      <c r="Z656"/>
      <c r="AA656"/>
      <c r="AB656"/>
      <c r="AC656"/>
    </row>
    <row r="657" spans="1:29" x14ac:dyDescent="0.25">
      <c r="A657"/>
      <c r="B657"/>
      <c r="C657"/>
      <c r="D657"/>
      <c r="E657"/>
      <c r="F657"/>
      <c r="G657"/>
      <c r="H657"/>
      <c r="I657"/>
      <c r="J657"/>
      <c r="K657"/>
      <c r="L657"/>
      <c r="M657"/>
      <c r="N657"/>
      <c r="O657"/>
      <c r="P657"/>
      <c r="Q657"/>
      <c r="R657"/>
      <c r="S657"/>
      <c r="T657"/>
      <c r="U657"/>
      <c r="V657"/>
      <c r="W657"/>
      <c r="X657"/>
      <c r="Y657"/>
      <c r="Z657"/>
      <c r="AA657"/>
      <c r="AB657"/>
      <c r="AC657"/>
    </row>
    <row r="658" spans="1:29" x14ac:dyDescent="0.25">
      <c r="A658"/>
      <c r="B658"/>
      <c r="C658"/>
      <c r="D658"/>
      <c r="E658"/>
      <c r="F658"/>
      <c r="G658"/>
      <c r="H658"/>
      <c r="I658"/>
      <c r="J658"/>
      <c r="K658"/>
      <c r="L658"/>
      <c r="M658"/>
      <c r="N658"/>
      <c r="O658"/>
      <c r="P658"/>
      <c r="Q658"/>
      <c r="R658"/>
      <c r="S658"/>
      <c r="T658"/>
      <c r="U658"/>
      <c r="V658"/>
      <c r="W658"/>
      <c r="X658"/>
      <c r="Y658"/>
      <c r="Z658"/>
      <c r="AA658"/>
      <c r="AB658"/>
      <c r="AC658"/>
    </row>
    <row r="659" spans="1:29" x14ac:dyDescent="0.25">
      <c r="A659"/>
      <c r="B659"/>
      <c r="C659"/>
      <c r="D659"/>
      <c r="E659"/>
      <c r="F659"/>
      <c r="G659"/>
      <c r="H659"/>
      <c r="I659"/>
      <c r="J659"/>
      <c r="K659"/>
      <c r="L659"/>
      <c r="M659"/>
      <c r="N659"/>
      <c r="O659"/>
      <c r="P659"/>
      <c r="Q659"/>
      <c r="R659"/>
      <c r="S659"/>
      <c r="T659"/>
      <c r="U659"/>
      <c r="V659"/>
      <c r="W659"/>
      <c r="X659"/>
      <c r="Y659"/>
      <c r="Z659"/>
      <c r="AA659"/>
      <c r="AB659"/>
      <c r="AC659"/>
    </row>
    <row r="660" spans="1:29" x14ac:dyDescent="0.25">
      <c r="A660"/>
      <c r="B660"/>
      <c r="C660"/>
      <c r="D660"/>
      <c r="E660"/>
      <c r="F660"/>
      <c r="G660"/>
      <c r="H660"/>
      <c r="I660"/>
      <c r="J660"/>
      <c r="K660"/>
      <c r="L660"/>
      <c r="M660"/>
      <c r="N660"/>
      <c r="O660"/>
      <c r="P660"/>
      <c r="Q660"/>
      <c r="R660"/>
      <c r="S660"/>
      <c r="T660"/>
      <c r="U660"/>
      <c r="V660"/>
      <c r="W660"/>
      <c r="X660"/>
      <c r="Y660"/>
      <c r="Z660"/>
      <c r="AA660"/>
      <c r="AB660"/>
      <c r="AC660"/>
    </row>
    <row r="661" spans="1:29" x14ac:dyDescent="0.25">
      <c r="A661"/>
      <c r="B661"/>
      <c r="C661"/>
      <c r="D661"/>
      <c r="E661"/>
      <c r="F661"/>
      <c r="G661"/>
      <c r="H661"/>
      <c r="I661"/>
      <c r="J661"/>
      <c r="K661"/>
      <c r="L661"/>
      <c r="M661"/>
      <c r="N661"/>
      <c r="O661"/>
      <c r="P661"/>
      <c r="Q661"/>
      <c r="R661"/>
      <c r="S661"/>
      <c r="T661"/>
      <c r="U661"/>
      <c r="V661"/>
      <c r="W661"/>
      <c r="X661"/>
      <c r="Y661"/>
      <c r="Z661"/>
      <c r="AA661"/>
      <c r="AB661"/>
      <c r="AC661"/>
    </row>
    <row r="662" spans="1:29" x14ac:dyDescent="0.25">
      <c r="A662"/>
      <c r="B662"/>
      <c r="C662"/>
      <c r="D662"/>
      <c r="E662"/>
      <c r="F662"/>
      <c r="G662"/>
      <c r="H662"/>
      <c r="I662"/>
      <c r="J662"/>
      <c r="K662"/>
      <c r="L662"/>
      <c r="M662"/>
      <c r="N662"/>
      <c r="O662"/>
      <c r="P662"/>
      <c r="Q662"/>
      <c r="R662"/>
      <c r="S662"/>
      <c r="T662"/>
      <c r="U662"/>
      <c r="V662"/>
      <c r="W662"/>
      <c r="X662"/>
      <c r="Y662"/>
      <c r="Z662"/>
      <c r="AA662"/>
      <c r="AB662"/>
      <c r="AC662"/>
    </row>
    <row r="663" spans="1:29" x14ac:dyDescent="0.25">
      <c r="A663"/>
      <c r="B663"/>
      <c r="C663"/>
      <c r="D663"/>
      <c r="E663"/>
      <c r="F663"/>
      <c r="G663"/>
      <c r="H663"/>
      <c r="I663"/>
      <c r="J663"/>
      <c r="K663"/>
      <c r="L663"/>
      <c r="M663"/>
      <c r="N663"/>
      <c r="O663"/>
      <c r="P663"/>
      <c r="Q663"/>
      <c r="R663"/>
      <c r="S663"/>
      <c r="T663"/>
      <c r="U663"/>
      <c r="V663"/>
      <c r="W663"/>
      <c r="X663"/>
      <c r="Y663"/>
      <c r="Z663"/>
      <c r="AA663"/>
      <c r="AB663"/>
      <c r="AC663"/>
    </row>
    <row r="664" spans="1:29" x14ac:dyDescent="0.25">
      <c r="A664"/>
      <c r="B664"/>
      <c r="C664"/>
      <c r="D664"/>
      <c r="E664"/>
      <c r="F664"/>
      <c r="G664"/>
      <c r="H664"/>
      <c r="I664"/>
      <c r="J664"/>
      <c r="K664"/>
      <c r="L664"/>
      <c r="M664"/>
      <c r="N664"/>
      <c r="O664"/>
      <c r="P664"/>
      <c r="Q664"/>
      <c r="R664"/>
      <c r="S664"/>
      <c r="T664"/>
      <c r="U664"/>
      <c r="V664"/>
      <c r="W664"/>
      <c r="X664"/>
      <c r="Y664"/>
      <c r="Z664"/>
      <c r="AA664"/>
      <c r="AB664"/>
      <c r="AC664"/>
    </row>
    <row r="665" spans="1:29" x14ac:dyDescent="0.25">
      <c r="A665"/>
      <c r="B665"/>
      <c r="C665"/>
      <c r="D665"/>
      <c r="E665"/>
      <c r="F665"/>
      <c r="G665"/>
      <c r="H665"/>
      <c r="I665"/>
      <c r="J665"/>
      <c r="K665"/>
      <c r="L665"/>
      <c r="M665"/>
      <c r="N665"/>
      <c r="O665"/>
      <c r="P665"/>
      <c r="Q665"/>
      <c r="R665"/>
      <c r="S665"/>
      <c r="T665"/>
      <c r="U665"/>
      <c r="V665"/>
      <c r="W665"/>
      <c r="X665"/>
      <c r="Y665"/>
      <c r="Z665"/>
      <c r="AA665"/>
      <c r="AB665"/>
      <c r="AC665"/>
    </row>
    <row r="666" spans="1:29" x14ac:dyDescent="0.25">
      <c r="A666"/>
      <c r="B666"/>
      <c r="C666"/>
      <c r="D666"/>
      <c r="E666"/>
      <c r="F666"/>
      <c r="G666"/>
      <c r="H666"/>
      <c r="I666"/>
      <c r="J666"/>
      <c r="K666"/>
      <c r="L666"/>
      <c r="M666"/>
      <c r="N666"/>
      <c r="O666"/>
      <c r="P666"/>
      <c r="Q666"/>
      <c r="R666"/>
      <c r="S666"/>
      <c r="T666"/>
      <c r="U666"/>
      <c r="V666"/>
      <c r="W666"/>
      <c r="X666"/>
      <c r="Y666"/>
      <c r="Z666"/>
      <c r="AA666"/>
      <c r="AB666"/>
      <c r="AC666"/>
    </row>
    <row r="667" spans="1:29" x14ac:dyDescent="0.25">
      <c r="A667"/>
      <c r="B667"/>
      <c r="C667"/>
      <c r="D667"/>
      <c r="E667"/>
      <c r="F667"/>
      <c r="G667"/>
      <c r="H667"/>
      <c r="I667"/>
      <c r="J667"/>
      <c r="K667"/>
      <c r="L667"/>
      <c r="M667"/>
      <c r="N667"/>
      <c r="O667"/>
      <c r="P667"/>
      <c r="Q667"/>
      <c r="R667"/>
      <c r="S667"/>
      <c r="T667"/>
      <c r="U667"/>
      <c r="V667"/>
      <c r="W667"/>
      <c r="X667"/>
      <c r="Y667"/>
      <c r="Z667"/>
      <c r="AA667"/>
      <c r="AB667"/>
      <c r="AC667"/>
    </row>
    <row r="668" spans="1:29" x14ac:dyDescent="0.25">
      <c r="A668"/>
      <c r="B668"/>
      <c r="C668"/>
      <c r="D668"/>
      <c r="E668"/>
      <c r="F668"/>
      <c r="G668"/>
      <c r="H668"/>
      <c r="I668"/>
      <c r="J668"/>
      <c r="K668"/>
      <c r="L668"/>
      <c r="M668"/>
      <c r="N668"/>
      <c r="O668"/>
      <c r="P668"/>
      <c r="Q668"/>
      <c r="R668"/>
      <c r="S668"/>
      <c r="T668"/>
      <c r="U668"/>
      <c r="V668"/>
      <c r="W668"/>
      <c r="X668"/>
      <c r="Y668"/>
      <c r="Z668"/>
      <c r="AA668"/>
      <c r="AB668"/>
      <c r="AC668"/>
    </row>
    <row r="669" spans="1:29" x14ac:dyDescent="0.25">
      <c r="A669"/>
      <c r="B669"/>
      <c r="C669"/>
      <c r="D669"/>
      <c r="E669"/>
      <c r="F669"/>
      <c r="G669"/>
      <c r="H669"/>
      <c r="I669"/>
      <c r="J669"/>
      <c r="K669"/>
      <c r="L669"/>
      <c r="M669"/>
      <c r="N669"/>
      <c r="O669"/>
      <c r="P669"/>
      <c r="Q669"/>
      <c r="R669"/>
      <c r="S669"/>
      <c r="T669"/>
      <c r="U669"/>
      <c r="V669"/>
      <c r="W669"/>
      <c r="X669"/>
      <c r="Y669"/>
      <c r="Z669"/>
      <c r="AA669"/>
      <c r="AB669"/>
      <c r="AC669"/>
    </row>
    <row r="670" spans="1:29" x14ac:dyDescent="0.25">
      <c r="A670"/>
      <c r="B670"/>
      <c r="C670"/>
      <c r="D670"/>
      <c r="E670"/>
      <c r="F670"/>
      <c r="G670"/>
      <c r="H670"/>
      <c r="I670"/>
      <c r="J670"/>
      <c r="K670"/>
      <c r="L670"/>
      <c r="M670"/>
      <c r="N670"/>
      <c r="O670"/>
      <c r="P670"/>
      <c r="Q670"/>
      <c r="R670"/>
      <c r="S670"/>
      <c r="T670"/>
      <c r="U670"/>
      <c r="V670"/>
      <c r="W670"/>
      <c r="X670"/>
      <c r="Y670"/>
      <c r="Z670"/>
      <c r="AA670"/>
      <c r="AB670"/>
      <c r="AC670"/>
    </row>
    <row r="671" spans="1:29" x14ac:dyDescent="0.25">
      <c r="A671"/>
      <c r="B671"/>
      <c r="C671"/>
      <c r="D671"/>
      <c r="E671"/>
      <c r="F671"/>
      <c r="G671"/>
      <c r="H671"/>
      <c r="I671"/>
      <c r="J671"/>
      <c r="K671"/>
      <c r="L671"/>
      <c r="M671"/>
      <c r="N671"/>
      <c r="O671"/>
      <c r="P671"/>
      <c r="Q671"/>
      <c r="R671"/>
      <c r="S671"/>
      <c r="T671"/>
      <c r="U671"/>
      <c r="V671"/>
      <c r="W671"/>
      <c r="X671"/>
      <c r="Y671"/>
      <c r="Z671"/>
      <c r="AA671"/>
      <c r="AB671"/>
      <c r="AC671"/>
    </row>
    <row r="672" spans="1:29" x14ac:dyDescent="0.25">
      <c r="A672"/>
      <c r="B672"/>
      <c r="C672"/>
      <c r="D672"/>
      <c r="E672"/>
      <c r="F672"/>
      <c r="G672"/>
      <c r="H672"/>
      <c r="I672"/>
      <c r="J672"/>
      <c r="K672"/>
      <c r="L672"/>
      <c r="M672"/>
      <c r="N672"/>
      <c r="O672"/>
      <c r="P672"/>
      <c r="Q672"/>
      <c r="R672"/>
      <c r="S672"/>
      <c r="T672"/>
      <c r="U672"/>
      <c r="V672"/>
      <c r="W672"/>
      <c r="X672"/>
      <c r="Y672"/>
      <c r="Z672"/>
      <c r="AA672"/>
      <c r="AB672"/>
      <c r="AC672"/>
    </row>
    <row r="673" spans="1:29" x14ac:dyDescent="0.25">
      <c r="A673"/>
      <c r="B673"/>
      <c r="C673"/>
      <c r="D673"/>
      <c r="E673"/>
      <c r="F673"/>
      <c r="G673"/>
      <c r="H673"/>
      <c r="I673"/>
      <c r="J673"/>
      <c r="K673"/>
      <c r="L673"/>
      <c r="M673"/>
      <c r="N673"/>
      <c r="O673"/>
      <c r="P673"/>
      <c r="Q673"/>
      <c r="R673"/>
      <c r="S673"/>
      <c r="T673"/>
      <c r="U673"/>
      <c r="V673"/>
      <c r="W673"/>
      <c r="X673"/>
      <c r="Y673"/>
      <c r="Z673"/>
      <c r="AA673"/>
      <c r="AB673"/>
      <c r="AC673"/>
    </row>
    <row r="674" spans="1:29" x14ac:dyDescent="0.25">
      <c r="A674"/>
      <c r="B674"/>
      <c r="C674"/>
      <c r="D674"/>
      <c r="E674"/>
      <c r="F674"/>
      <c r="G674"/>
      <c r="H674"/>
      <c r="I674"/>
      <c r="J674"/>
      <c r="K674"/>
      <c r="L674"/>
      <c r="M674"/>
      <c r="N674"/>
      <c r="O674"/>
      <c r="P674"/>
      <c r="Q674"/>
      <c r="R674"/>
      <c r="S674"/>
      <c r="T674"/>
      <c r="U674"/>
      <c r="V674"/>
      <c r="W674"/>
      <c r="X674"/>
      <c r="Y674"/>
      <c r="Z674"/>
      <c r="AA674"/>
      <c r="AB674"/>
      <c r="AC674"/>
    </row>
    <row r="675" spans="1:29" x14ac:dyDescent="0.25">
      <c r="A675"/>
      <c r="B675"/>
      <c r="C675"/>
      <c r="D675"/>
      <c r="E675"/>
      <c r="F675"/>
      <c r="G675"/>
      <c r="H675"/>
      <c r="I675"/>
      <c r="J675"/>
      <c r="K675"/>
      <c r="L675"/>
      <c r="M675"/>
      <c r="N675"/>
      <c r="O675"/>
      <c r="P675"/>
      <c r="Q675"/>
      <c r="R675"/>
      <c r="S675"/>
      <c r="T675"/>
      <c r="U675"/>
      <c r="V675"/>
      <c r="W675"/>
      <c r="X675"/>
      <c r="Y675"/>
      <c r="Z675"/>
      <c r="AA675"/>
      <c r="AB675"/>
      <c r="AC675"/>
    </row>
    <row r="676" spans="1:29" x14ac:dyDescent="0.25">
      <c r="A676"/>
      <c r="B676"/>
      <c r="C676"/>
      <c r="D676"/>
      <c r="E676"/>
      <c r="F676"/>
      <c r="G676"/>
      <c r="H676"/>
      <c r="I676"/>
      <c r="J676"/>
      <c r="K676"/>
      <c r="L676"/>
      <c r="M676"/>
      <c r="N676"/>
      <c r="O676"/>
      <c r="P676"/>
      <c r="Q676"/>
      <c r="R676"/>
      <c r="S676"/>
      <c r="T676"/>
      <c r="U676"/>
      <c r="V676"/>
      <c r="W676"/>
      <c r="X676"/>
      <c r="Y676"/>
      <c r="Z676"/>
      <c r="AA676"/>
      <c r="AB676"/>
      <c r="AC676"/>
    </row>
    <row r="677" spans="1:29" x14ac:dyDescent="0.25">
      <c r="A677"/>
      <c r="B677"/>
      <c r="C677"/>
      <c r="D677"/>
      <c r="E677"/>
      <c r="F677"/>
      <c r="G677"/>
      <c r="H677"/>
      <c r="I677"/>
      <c r="J677"/>
      <c r="K677"/>
      <c r="L677"/>
      <c r="M677"/>
      <c r="N677"/>
      <c r="O677"/>
      <c r="P677"/>
      <c r="Q677"/>
      <c r="R677"/>
      <c r="S677"/>
      <c r="T677"/>
      <c r="U677"/>
      <c r="V677"/>
      <c r="W677"/>
      <c r="X677"/>
      <c r="Y677"/>
      <c r="Z677"/>
      <c r="AA677"/>
      <c r="AB677"/>
      <c r="AC677"/>
    </row>
    <row r="678" spans="1:29" x14ac:dyDescent="0.25">
      <c r="A678"/>
      <c r="B678"/>
      <c r="C678"/>
      <c r="D678"/>
      <c r="E678"/>
      <c r="F678"/>
      <c r="G678"/>
      <c r="H678"/>
      <c r="I678"/>
      <c r="J678"/>
      <c r="K678"/>
      <c r="L678"/>
      <c r="M678"/>
      <c r="N678"/>
      <c r="O678"/>
      <c r="P678"/>
      <c r="Q678"/>
      <c r="R678"/>
      <c r="S678"/>
      <c r="T678"/>
      <c r="U678"/>
      <c r="V678"/>
      <c r="W678"/>
      <c r="X678"/>
      <c r="Y678"/>
      <c r="Z678"/>
      <c r="AA678"/>
      <c r="AB678"/>
      <c r="AC678"/>
    </row>
    <row r="679" spans="1:29" x14ac:dyDescent="0.25">
      <c r="A679"/>
      <c r="B679"/>
      <c r="C679"/>
      <c r="D679"/>
      <c r="E679"/>
      <c r="F679"/>
      <c r="G679"/>
      <c r="H679"/>
      <c r="I679"/>
      <c r="J679"/>
      <c r="K679"/>
      <c r="L679"/>
      <c r="M679"/>
      <c r="N679"/>
      <c r="O679"/>
      <c r="P679"/>
      <c r="Q679"/>
      <c r="R679"/>
      <c r="S679"/>
      <c r="T679"/>
      <c r="U679"/>
      <c r="V679"/>
      <c r="W679"/>
      <c r="X679"/>
      <c r="Y679"/>
      <c r="Z679"/>
      <c r="AA679"/>
      <c r="AB679"/>
      <c r="AC679"/>
    </row>
    <row r="680" spans="1:29" x14ac:dyDescent="0.25">
      <c r="A680"/>
      <c r="B680"/>
      <c r="C680"/>
      <c r="D680"/>
      <c r="E680"/>
      <c r="F680"/>
      <c r="G680"/>
      <c r="H680"/>
      <c r="I680"/>
      <c r="J680"/>
      <c r="K680"/>
      <c r="L680"/>
      <c r="M680"/>
      <c r="N680"/>
      <c r="O680"/>
      <c r="P680"/>
      <c r="Q680"/>
      <c r="R680"/>
      <c r="S680"/>
      <c r="T680"/>
      <c r="U680"/>
      <c r="V680"/>
      <c r="W680"/>
      <c r="X680"/>
      <c r="Y680"/>
      <c r="Z680"/>
      <c r="AA680"/>
      <c r="AB680"/>
      <c r="AC680"/>
    </row>
    <row r="681" spans="1:29" x14ac:dyDescent="0.25">
      <c r="A681"/>
      <c r="B681"/>
      <c r="C681"/>
      <c r="D681"/>
      <c r="E681"/>
      <c r="F681"/>
      <c r="G681"/>
      <c r="H681"/>
      <c r="I681"/>
      <c r="J681"/>
      <c r="K681"/>
      <c r="L681"/>
      <c r="M681"/>
      <c r="N681"/>
      <c r="O681"/>
      <c r="P681"/>
      <c r="Q681"/>
      <c r="R681"/>
      <c r="S681"/>
      <c r="T681"/>
      <c r="U681"/>
      <c r="V681"/>
      <c r="W681"/>
      <c r="X681"/>
      <c r="Y681"/>
      <c r="Z681"/>
      <c r="AA681"/>
      <c r="AB681"/>
      <c r="AC681"/>
    </row>
    <row r="682" spans="1:29" x14ac:dyDescent="0.25">
      <c r="A682"/>
      <c r="B682"/>
      <c r="C682"/>
      <c r="D682"/>
      <c r="E682"/>
      <c r="F682"/>
      <c r="G682"/>
      <c r="H682"/>
      <c r="I682"/>
      <c r="J682"/>
      <c r="K682"/>
      <c r="L682"/>
      <c r="M682"/>
      <c r="N682"/>
      <c r="O682"/>
      <c r="P682"/>
      <c r="Q682"/>
      <c r="R682"/>
      <c r="S682"/>
      <c r="T682"/>
      <c r="U682"/>
      <c r="V682"/>
      <c r="W682"/>
      <c r="X682"/>
      <c r="Y682"/>
      <c r="Z682"/>
      <c r="AA682"/>
      <c r="AB682"/>
      <c r="AC682"/>
    </row>
    <row r="683" spans="1:29" x14ac:dyDescent="0.25">
      <c r="A683"/>
      <c r="B683"/>
      <c r="C683"/>
      <c r="D683"/>
      <c r="E683"/>
      <c r="F683"/>
      <c r="G683"/>
      <c r="H683"/>
      <c r="I683"/>
      <c r="J683"/>
      <c r="K683"/>
      <c r="L683"/>
      <c r="M683"/>
      <c r="N683"/>
      <c r="O683"/>
      <c r="P683"/>
      <c r="Q683"/>
      <c r="R683"/>
      <c r="S683"/>
      <c r="T683"/>
      <c r="U683"/>
      <c r="V683"/>
      <c r="W683"/>
      <c r="X683"/>
      <c r="Y683"/>
      <c r="Z683"/>
      <c r="AA683"/>
      <c r="AB683"/>
      <c r="AC683"/>
    </row>
    <row r="684" spans="1:29" x14ac:dyDescent="0.25">
      <c r="A684"/>
      <c r="B684"/>
      <c r="C684"/>
      <c r="D684"/>
      <c r="E684"/>
      <c r="F684"/>
      <c r="G684"/>
      <c r="H684"/>
      <c r="I684"/>
      <c r="J684"/>
      <c r="K684"/>
      <c r="L684"/>
      <c r="M684"/>
      <c r="N684"/>
      <c r="O684"/>
      <c r="P684"/>
      <c r="Q684"/>
      <c r="R684"/>
      <c r="S684"/>
      <c r="T684"/>
      <c r="U684"/>
      <c r="V684"/>
      <c r="W684"/>
      <c r="X684"/>
      <c r="Y684"/>
      <c r="Z684"/>
      <c r="AA684"/>
      <c r="AB684"/>
      <c r="AC684"/>
    </row>
    <row r="685" spans="1:29" x14ac:dyDescent="0.25">
      <c r="A685"/>
      <c r="B685"/>
      <c r="C685"/>
      <c r="D685"/>
      <c r="E685"/>
      <c r="F685"/>
      <c r="G685"/>
      <c r="H685"/>
      <c r="I685"/>
      <c r="J685"/>
      <c r="K685"/>
      <c r="L685"/>
      <c r="M685"/>
      <c r="N685"/>
      <c r="O685"/>
      <c r="P685"/>
      <c r="Q685"/>
      <c r="R685"/>
      <c r="S685"/>
      <c r="T685"/>
      <c r="U685"/>
      <c r="V685"/>
      <c r="W685"/>
      <c r="X685"/>
      <c r="Y685"/>
      <c r="Z685"/>
      <c r="AA685"/>
      <c r="AB685"/>
      <c r="AC685"/>
    </row>
    <row r="686" spans="1:29" x14ac:dyDescent="0.25">
      <c r="A686"/>
      <c r="B686"/>
      <c r="C686"/>
      <c r="D686"/>
      <c r="E686"/>
      <c r="F686"/>
      <c r="G686"/>
      <c r="H686"/>
      <c r="I686"/>
      <c r="J686"/>
      <c r="K686"/>
      <c r="L686"/>
      <c r="M686"/>
      <c r="N686"/>
      <c r="O686"/>
      <c r="P686"/>
      <c r="Q686"/>
      <c r="R686"/>
      <c r="S686"/>
      <c r="T686"/>
      <c r="U686"/>
      <c r="V686"/>
      <c r="W686"/>
      <c r="X686"/>
      <c r="Y686"/>
      <c r="Z686"/>
      <c r="AA686"/>
      <c r="AB686"/>
      <c r="AC686"/>
    </row>
    <row r="687" spans="1:29" x14ac:dyDescent="0.25">
      <c r="A687"/>
      <c r="B687"/>
      <c r="C687"/>
      <c r="D687"/>
      <c r="E687"/>
      <c r="F687"/>
      <c r="G687"/>
      <c r="H687"/>
      <c r="I687"/>
      <c r="J687"/>
      <c r="K687"/>
      <c r="L687"/>
      <c r="M687"/>
      <c r="N687"/>
      <c r="O687"/>
      <c r="P687"/>
      <c r="Q687"/>
      <c r="R687"/>
      <c r="S687"/>
      <c r="T687"/>
      <c r="U687"/>
      <c r="V687"/>
      <c r="W687"/>
      <c r="X687"/>
      <c r="Y687"/>
      <c r="Z687"/>
      <c r="AA687"/>
      <c r="AB687"/>
      <c r="AC687"/>
    </row>
    <row r="688" spans="1:29" x14ac:dyDescent="0.25">
      <c r="A688"/>
      <c r="B688"/>
      <c r="C688"/>
      <c r="D688"/>
      <c r="E688"/>
      <c r="F688"/>
      <c r="G688"/>
      <c r="H688"/>
      <c r="I688"/>
      <c r="J688"/>
      <c r="K688"/>
      <c r="L688"/>
      <c r="M688"/>
      <c r="N688"/>
      <c r="O688"/>
      <c r="P688"/>
      <c r="Q688"/>
      <c r="R688"/>
      <c r="S688"/>
      <c r="T688"/>
      <c r="U688"/>
      <c r="V688"/>
      <c r="W688"/>
      <c r="X688"/>
      <c r="Y688"/>
      <c r="Z688"/>
      <c r="AA688"/>
      <c r="AB688"/>
      <c r="AC688"/>
    </row>
    <row r="689" spans="1:29" x14ac:dyDescent="0.25">
      <c r="A689"/>
      <c r="B689"/>
      <c r="C689"/>
      <c r="D689"/>
      <c r="E689"/>
      <c r="F689"/>
      <c r="G689"/>
      <c r="H689"/>
      <c r="I689"/>
      <c r="J689"/>
      <c r="K689"/>
      <c r="L689"/>
      <c r="M689"/>
      <c r="N689"/>
      <c r="O689"/>
      <c r="P689"/>
      <c r="Q689"/>
      <c r="R689"/>
      <c r="S689"/>
      <c r="T689"/>
      <c r="U689"/>
      <c r="V689"/>
      <c r="W689"/>
      <c r="X689"/>
      <c r="Y689"/>
      <c r="Z689"/>
      <c r="AA689"/>
      <c r="AB689"/>
      <c r="AC689"/>
    </row>
    <row r="690" spans="1:29" x14ac:dyDescent="0.25">
      <c r="A690"/>
      <c r="B690"/>
      <c r="C690"/>
      <c r="D690"/>
      <c r="E690"/>
      <c r="F690"/>
      <c r="G690"/>
      <c r="H690"/>
      <c r="I690"/>
      <c r="J690"/>
      <c r="K690"/>
      <c r="L690"/>
      <c r="M690"/>
      <c r="N690"/>
      <c r="O690"/>
      <c r="P690"/>
      <c r="Q690"/>
      <c r="R690"/>
      <c r="S690"/>
      <c r="T690"/>
      <c r="U690"/>
      <c r="V690"/>
      <c r="W690"/>
      <c r="X690"/>
      <c r="Y690"/>
      <c r="Z690"/>
      <c r="AA690"/>
      <c r="AB690"/>
      <c r="AC690"/>
    </row>
    <row r="691" spans="1:29" x14ac:dyDescent="0.25">
      <c r="A691"/>
      <c r="B691"/>
      <c r="C691"/>
      <c r="D691"/>
      <c r="E691"/>
      <c r="F691"/>
      <c r="G691"/>
      <c r="H691"/>
      <c r="I691"/>
      <c r="J691"/>
      <c r="K691"/>
      <c r="L691"/>
      <c r="M691"/>
      <c r="N691"/>
      <c r="O691"/>
      <c r="P691"/>
      <c r="Q691"/>
      <c r="R691"/>
      <c r="S691"/>
      <c r="T691"/>
      <c r="U691"/>
      <c r="V691"/>
      <c r="W691"/>
      <c r="X691"/>
      <c r="Y691"/>
      <c r="Z691"/>
      <c r="AA691"/>
      <c r="AB691"/>
      <c r="AC691"/>
    </row>
    <row r="692" spans="1:29" x14ac:dyDescent="0.25">
      <c r="A692"/>
      <c r="B692"/>
      <c r="C692"/>
      <c r="D692"/>
      <c r="E692"/>
      <c r="F692"/>
      <c r="G692"/>
      <c r="H692"/>
      <c r="I692"/>
      <c r="J692"/>
      <c r="K692"/>
      <c r="L692"/>
      <c r="M692"/>
      <c r="N692"/>
      <c r="O692"/>
      <c r="P692"/>
      <c r="Q692"/>
      <c r="R692"/>
      <c r="S692"/>
      <c r="T692"/>
      <c r="U692"/>
      <c r="V692"/>
      <c r="W692"/>
      <c r="X692"/>
      <c r="Y692"/>
      <c r="Z692"/>
      <c r="AA692"/>
      <c r="AB692"/>
      <c r="AC692"/>
    </row>
    <row r="693" spans="1:29" x14ac:dyDescent="0.25">
      <c r="A693"/>
      <c r="B693"/>
      <c r="C693"/>
      <c r="D693"/>
      <c r="E693"/>
      <c r="F693"/>
      <c r="G693"/>
      <c r="H693"/>
      <c r="I693"/>
      <c r="J693"/>
      <c r="K693"/>
      <c r="L693"/>
      <c r="M693"/>
      <c r="N693"/>
      <c r="O693"/>
      <c r="P693"/>
      <c r="Q693"/>
      <c r="R693"/>
      <c r="S693"/>
      <c r="T693"/>
      <c r="U693"/>
      <c r="V693"/>
      <c r="W693"/>
      <c r="X693"/>
      <c r="Y693"/>
      <c r="Z693"/>
      <c r="AA693"/>
      <c r="AB693"/>
      <c r="AC693"/>
    </row>
    <row r="694" spans="1:29" x14ac:dyDescent="0.25">
      <c r="A694"/>
      <c r="B694"/>
      <c r="C694"/>
      <c r="D694"/>
      <c r="E694"/>
      <c r="F694"/>
      <c r="G694"/>
      <c r="H694"/>
      <c r="I694"/>
      <c r="J694"/>
      <c r="K694"/>
      <c r="L694"/>
      <c r="M694"/>
      <c r="N694"/>
      <c r="O694"/>
      <c r="P694"/>
      <c r="Q694"/>
      <c r="R694"/>
      <c r="S694"/>
      <c r="T694"/>
      <c r="U694"/>
      <c r="V694"/>
      <c r="W694"/>
      <c r="X694"/>
      <c r="Y694"/>
      <c r="Z694"/>
      <c r="AA694"/>
      <c r="AB694"/>
      <c r="AC694"/>
    </row>
    <row r="695" spans="1:29" x14ac:dyDescent="0.25">
      <c r="A695"/>
      <c r="B695"/>
      <c r="C695"/>
      <c r="D695"/>
      <c r="E695"/>
      <c r="F695"/>
      <c r="G695"/>
      <c r="H695"/>
      <c r="I695"/>
      <c r="J695"/>
      <c r="K695"/>
      <c r="L695"/>
      <c r="M695"/>
      <c r="N695"/>
      <c r="O695"/>
      <c r="P695"/>
      <c r="Q695"/>
      <c r="R695"/>
      <c r="S695"/>
      <c r="T695"/>
      <c r="U695"/>
      <c r="V695"/>
      <c r="W695"/>
      <c r="X695"/>
      <c r="Y695"/>
      <c r="Z695"/>
      <c r="AA695"/>
      <c r="AB695"/>
      <c r="AC695"/>
    </row>
    <row r="696" spans="1:29" x14ac:dyDescent="0.25">
      <c r="A696"/>
      <c r="B696"/>
      <c r="C696"/>
      <c r="D696"/>
      <c r="E696"/>
      <c r="F696"/>
      <c r="G696"/>
      <c r="H696"/>
      <c r="I696"/>
      <c r="J696"/>
      <c r="K696"/>
      <c r="L696"/>
      <c r="M696"/>
      <c r="N696"/>
      <c r="O696"/>
      <c r="P696"/>
      <c r="Q696"/>
      <c r="R696"/>
      <c r="S696"/>
      <c r="T696"/>
      <c r="U696"/>
      <c r="V696"/>
      <c r="W696"/>
      <c r="X696"/>
      <c r="Y696"/>
      <c r="Z696"/>
      <c r="AA696"/>
      <c r="AB696"/>
      <c r="AC696"/>
    </row>
    <row r="697" spans="1:29" x14ac:dyDescent="0.25">
      <c r="A697"/>
      <c r="B697"/>
      <c r="C697"/>
      <c r="D697"/>
      <c r="E697"/>
      <c r="F697"/>
      <c r="G697"/>
      <c r="H697"/>
      <c r="I697"/>
      <c r="J697"/>
      <c r="K697"/>
      <c r="L697"/>
      <c r="M697"/>
      <c r="N697"/>
      <c r="O697"/>
      <c r="P697"/>
      <c r="Q697"/>
      <c r="R697"/>
      <c r="S697"/>
      <c r="T697"/>
      <c r="U697"/>
      <c r="V697"/>
      <c r="W697"/>
      <c r="X697"/>
      <c r="Y697"/>
      <c r="Z697"/>
      <c r="AA697"/>
      <c r="AB697"/>
      <c r="AC697"/>
    </row>
    <row r="698" spans="1:29" x14ac:dyDescent="0.25">
      <c r="A698"/>
      <c r="B698"/>
      <c r="C698"/>
      <c r="D698"/>
      <c r="E698"/>
      <c r="F698"/>
      <c r="G698"/>
      <c r="H698"/>
      <c r="I698"/>
      <c r="J698"/>
      <c r="K698"/>
      <c r="L698"/>
      <c r="M698"/>
      <c r="N698"/>
      <c r="O698"/>
      <c r="P698"/>
      <c r="Q698"/>
      <c r="R698"/>
      <c r="S698"/>
      <c r="T698"/>
      <c r="U698"/>
      <c r="V698"/>
      <c r="W698"/>
      <c r="X698"/>
      <c r="Y698"/>
      <c r="Z698"/>
      <c r="AA698"/>
      <c r="AB698"/>
      <c r="AC698"/>
    </row>
    <row r="699" spans="1:29" x14ac:dyDescent="0.25">
      <c r="A699"/>
      <c r="B699"/>
      <c r="C699"/>
      <c r="D699"/>
      <c r="E699"/>
      <c r="F699"/>
      <c r="G699"/>
      <c r="H699"/>
      <c r="I699"/>
      <c r="J699"/>
      <c r="K699"/>
      <c r="L699"/>
      <c r="M699"/>
      <c r="N699"/>
      <c r="O699"/>
      <c r="P699"/>
      <c r="Q699"/>
      <c r="R699"/>
      <c r="S699"/>
      <c r="T699"/>
      <c r="U699"/>
      <c r="V699"/>
      <c r="W699"/>
      <c r="X699"/>
      <c r="Y699"/>
      <c r="Z699"/>
      <c r="AA699"/>
      <c r="AB699"/>
      <c r="AC699"/>
    </row>
    <row r="700" spans="1:29" x14ac:dyDescent="0.25">
      <c r="A700"/>
      <c r="B700"/>
      <c r="C700"/>
      <c r="D700"/>
      <c r="E700"/>
      <c r="F700"/>
      <c r="G700"/>
      <c r="H700"/>
      <c r="I700"/>
      <c r="J700"/>
      <c r="K700"/>
      <c r="L700"/>
      <c r="M700"/>
      <c r="N700"/>
      <c r="O700"/>
      <c r="P700"/>
      <c r="Q700"/>
      <c r="R700"/>
      <c r="S700"/>
      <c r="T700"/>
      <c r="U700"/>
      <c r="V700"/>
      <c r="W700"/>
      <c r="X700"/>
      <c r="Y700"/>
      <c r="Z700"/>
      <c r="AA700"/>
      <c r="AB700"/>
      <c r="AC700"/>
    </row>
    <row r="701" spans="1:29" x14ac:dyDescent="0.25">
      <c r="A701"/>
      <c r="B701"/>
      <c r="C701"/>
      <c r="D701"/>
      <c r="E701"/>
      <c r="F701"/>
      <c r="G701"/>
      <c r="H701"/>
      <c r="I701"/>
      <c r="J701"/>
      <c r="K701"/>
      <c r="L701"/>
      <c r="M701"/>
      <c r="N701"/>
      <c r="O701"/>
      <c r="P701"/>
      <c r="Q701"/>
      <c r="R701"/>
      <c r="S701"/>
      <c r="T701"/>
      <c r="U701"/>
      <c r="V701"/>
      <c r="W701"/>
      <c r="X701"/>
      <c r="Y701"/>
      <c r="Z701"/>
      <c r="AA701"/>
      <c r="AB701"/>
      <c r="AC701"/>
    </row>
    <row r="702" spans="1:29" x14ac:dyDescent="0.25">
      <c r="A702"/>
      <c r="B702"/>
      <c r="C702"/>
      <c r="D702"/>
      <c r="E702"/>
      <c r="F702"/>
      <c r="G702"/>
      <c r="H702"/>
      <c r="I702"/>
      <c r="J702"/>
      <c r="K702"/>
      <c r="L702"/>
      <c r="M702"/>
      <c r="N702"/>
      <c r="O702"/>
      <c r="P702"/>
      <c r="Q702"/>
      <c r="R702"/>
      <c r="S702"/>
      <c r="T702"/>
      <c r="U702"/>
      <c r="V702"/>
      <c r="W702"/>
      <c r="X702"/>
      <c r="Y702"/>
      <c r="Z702"/>
      <c r="AA702"/>
      <c r="AB702"/>
      <c r="AC702"/>
    </row>
    <row r="703" spans="1:29" x14ac:dyDescent="0.25">
      <c r="A703"/>
      <c r="B703"/>
      <c r="C703"/>
      <c r="D703"/>
      <c r="E703"/>
      <c r="F703"/>
      <c r="G703"/>
      <c r="H703"/>
      <c r="I703"/>
      <c r="J703"/>
      <c r="K703"/>
      <c r="L703"/>
      <c r="M703"/>
      <c r="N703"/>
      <c r="O703"/>
      <c r="P703"/>
      <c r="Q703"/>
      <c r="R703"/>
      <c r="S703"/>
      <c r="T703"/>
      <c r="U703"/>
      <c r="V703"/>
      <c r="W703"/>
      <c r="X703"/>
      <c r="Y703"/>
      <c r="Z703"/>
      <c r="AA703"/>
      <c r="AB703"/>
      <c r="AC703"/>
    </row>
    <row r="704" spans="1:29" x14ac:dyDescent="0.25">
      <c r="A704"/>
      <c r="B704"/>
      <c r="C704"/>
      <c r="D704"/>
      <c r="E704"/>
      <c r="F704"/>
      <c r="G704"/>
      <c r="H704"/>
      <c r="I704"/>
      <c r="J704"/>
      <c r="K704"/>
      <c r="L704"/>
      <c r="M704"/>
      <c r="N704"/>
      <c r="O704"/>
      <c r="P704"/>
      <c r="Q704"/>
      <c r="R704"/>
      <c r="S704"/>
      <c r="T704"/>
      <c r="U704"/>
      <c r="V704"/>
      <c r="W704"/>
      <c r="X704"/>
      <c r="Y704"/>
      <c r="Z704"/>
      <c r="AA704"/>
      <c r="AB704"/>
      <c r="AC704"/>
    </row>
    <row r="705" spans="1:29" x14ac:dyDescent="0.25">
      <c r="A705"/>
      <c r="B705"/>
      <c r="C705"/>
      <c r="D705"/>
      <c r="E705"/>
      <c r="F705"/>
      <c r="G705"/>
      <c r="H705"/>
      <c r="I705"/>
      <c r="J705"/>
      <c r="K705"/>
      <c r="L705"/>
      <c r="M705"/>
      <c r="N705"/>
      <c r="O705"/>
      <c r="P705"/>
      <c r="Q705"/>
      <c r="R705"/>
      <c r="S705"/>
      <c r="T705"/>
      <c r="U705"/>
      <c r="V705"/>
      <c r="W705"/>
      <c r="X705"/>
      <c r="Y705"/>
      <c r="Z705"/>
      <c r="AA705"/>
      <c r="AB705"/>
      <c r="AC705"/>
    </row>
    <row r="706" spans="1:29" x14ac:dyDescent="0.25">
      <c r="A706"/>
      <c r="B706"/>
      <c r="C706"/>
      <c r="D706"/>
      <c r="E706"/>
      <c r="F706"/>
      <c r="G706"/>
      <c r="H706"/>
      <c r="I706"/>
      <c r="J706"/>
      <c r="K706"/>
      <c r="L706"/>
      <c r="M706"/>
      <c r="N706"/>
      <c r="O706"/>
      <c r="P706"/>
      <c r="Q706"/>
      <c r="R706"/>
      <c r="S706"/>
      <c r="T706"/>
      <c r="U706"/>
      <c r="V706"/>
      <c r="W706"/>
      <c r="X706"/>
      <c r="Y706"/>
      <c r="Z706"/>
      <c r="AA706"/>
      <c r="AB706"/>
      <c r="AC706"/>
    </row>
    <row r="707" spans="1:29" x14ac:dyDescent="0.25">
      <c r="A707"/>
      <c r="B707"/>
      <c r="C707"/>
      <c r="D707"/>
      <c r="E707"/>
      <c r="F707"/>
      <c r="G707"/>
      <c r="H707"/>
      <c r="I707"/>
      <c r="J707"/>
      <c r="K707"/>
      <c r="L707"/>
      <c r="M707"/>
      <c r="N707"/>
      <c r="O707"/>
      <c r="P707"/>
      <c r="Q707"/>
      <c r="R707"/>
      <c r="S707"/>
      <c r="T707"/>
      <c r="U707"/>
      <c r="V707"/>
      <c r="W707"/>
      <c r="X707"/>
      <c r="Y707"/>
      <c r="Z707"/>
      <c r="AA707"/>
      <c r="AB707"/>
      <c r="AC707"/>
    </row>
    <row r="708" spans="1:29" x14ac:dyDescent="0.25">
      <c r="A708"/>
      <c r="B708"/>
      <c r="C708"/>
      <c r="D708"/>
      <c r="E708"/>
      <c r="F708"/>
      <c r="G708"/>
      <c r="H708"/>
      <c r="I708"/>
      <c r="J708"/>
      <c r="K708"/>
      <c r="L708"/>
      <c r="M708"/>
      <c r="N708"/>
      <c r="O708"/>
      <c r="P708"/>
      <c r="Q708"/>
      <c r="R708"/>
      <c r="S708"/>
      <c r="T708"/>
      <c r="U708"/>
      <c r="V708"/>
      <c r="W708"/>
      <c r="X708"/>
      <c r="Y708"/>
      <c r="Z708"/>
      <c r="AA708"/>
      <c r="AB708"/>
      <c r="AC708"/>
    </row>
    <row r="709" spans="1:29" x14ac:dyDescent="0.25">
      <c r="A709"/>
      <c r="B709"/>
      <c r="C709"/>
      <c r="D709"/>
      <c r="E709"/>
      <c r="F709"/>
      <c r="G709"/>
      <c r="H709"/>
      <c r="I709"/>
      <c r="J709"/>
      <c r="K709"/>
      <c r="L709"/>
      <c r="M709"/>
      <c r="N709"/>
      <c r="O709"/>
      <c r="P709"/>
      <c r="Q709"/>
      <c r="R709"/>
      <c r="S709"/>
      <c r="T709"/>
      <c r="U709"/>
      <c r="V709"/>
      <c r="W709"/>
      <c r="X709"/>
      <c r="Y709"/>
      <c r="Z709"/>
      <c r="AA709"/>
      <c r="AB709"/>
      <c r="AC709"/>
    </row>
    <row r="710" spans="1:29" x14ac:dyDescent="0.25">
      <c r="A710"/>
      <c r="B710"/>
      <c r="C710"/>
      <c r="D710"/>
      <c r="E710"/>
      <c r="F710"/>
      <c r="G710"/>
      <c r="H710"/>
      <c r="I710"/>
      <c r="J710"/>
      <c r="K710"/>
      <c r="L710"/>
      <c r="M710"/>
      <c r="N710"/>
      <c r="O710"/>
      <c r="P710"/>
      <c r="Q710"/>
      <c r="R710"/>
      <c r="S710"/>
      <c r="T710"/>
      <c r="U710"/>
      <c r="V710"/>
      <c r="W710"/>
      <c r="X710"/>
      <c r="Y710"/>
      <c r="Z710"/>
      <c r="AA710"/>
      <c r="AB710"/>
      <c r="AC710"/>
    </row>
    <row r="711" spans="1:29" x14ac:dyDescent="0.25">
      <c r="A711"/>
      <c r="B711"/>
      <c r="C711"/>
      <c r="D711"/>
      <c r="E711"/>
      <c r="F711"/>
      <c r="G711"/>
      <c r="H711"/>
      <c r="I711"/>
      <c r="J711"/>
      <c r="K711"/>
      <c r="L711"/>
      <c r="M711"/>
      <c r="N711"/>
      <c r="O711"/>
      <c r="P711"/>
      <c r="Q711"/>
      <c r="R711"/>
      <c r="S711"/>
      <c r="T711"/>
      <c r="U711"/>
      <c r="V711"/>
      <c r="W711"/>
      <c r="X711"/>
      <c r="Y711"/>
      <c r="Z711"/>
      <c r="AA711"/>
      <c r="AB711"/>
      <c r="AC711"/>
    </row>
    <row r="712" spans="1:29" x14ac:dyDescent="0.25">
      <c r="A712"/>
      <c r="B712"/>
      <c r="C712"/>
      <c r="D712"/>
      <c r="E712"/>
      <c r="F712"/>
      <c r="G712"/>
      <c r="H712"/>
      <c r="I712"/>
      <c r="J712"/>
      <c r="K712"/>
      <c r="L712"/>
      <c r="M712"/>
      <c r="N712"/>
      <c r="O712"/>
      <c r="P712"/>
      <c r="Q712"/>
      <c r="R712"/>
      <c r="S712"/>
      <c r="T712"/>
      <c r="U712"/>
      <c r="V712"/>
      <c r="W712"/>
      <c r="X712"/>
      <c r="Y712"/>
      <c r="Z712"/>
      <c r="AA712"/>
      <c r="AB712"/>
      <c r="AC712"/>
    </row>
    <row r="713" spans="1:29" x14ac:dyDescent="0.25">
      <c r="A713"/>
      <c r="B713"/>
      <c r="C713"/>
      <c r="D713"/>
      <c r="E713"/>
      <c r="F713"/>
      <c r="G713"/>
      <c r="H713"/>
      <c r="I713"/>
      <c r="J713"/>
      <c r="K713"/>
      <c r="L713"/>
      <c r="M713"/>
      <c r="N713"/>
      <c r="O713"/>
      <c r="P713"/>
      <c r="Q713"/>
      <c r="R713"/>
      <c r="S713"/>
      <c r="T713"/>
      <c r="U713"/>
      <c r="V713"/>
      <c r="W713"/>
      <c r="X713"/>
      <c r="Y713"/>
      <c r="Z713"/>
      <c r="AA713"/>
      <c r="AB713"/>
      <c r="AC713"/>
    </row>
    <row r="714" spans="1:29" x14ac:dyDescent="0.25">
      <c r="A714"/>
      <c r="B714"/>
      <c r="C714"/>
      <c r="D714"/>
      <c r="E714"/>
      <c r="F714"/>
      <c r="G714"/>
      <c r="H714"/>
      <c r="I714"/>
      <c r="J714"/>
      <c r="K714"/>
      <c r="L714"/>
      <c r="M714"/>
      <c r="N714"/>
      <c r="O714"/>
      <c r="P714"/>
      <c r="Q714"/>
      <c r="R714"/>
      <c r="S714"/>
      <c r="T714"/>
      <c r="U714"/>
      <c r="V714"/>
      <c r="W714"/>
      <c r="X714"/>
      <c r="Y714"/>
      <c r="Z714"/>
      <c r="AA714"/>
      <c r="AB714"/>
      <c r="AC714"/>
    </row>
    <row r="715" spans="1:29" x14ac:dyDescent="0.25">
      <c r="A715"/>
      <c r="B715"/>
      <c r="C715"/>
      <c r="D715"/>
      <c r="E715"/>
      <c r="F715"/>
      <c r="G715"/>
      <c r="H715"/>
      <c r="I715"/>
      <c r="J715"/>
      <c r="K715"/>
      <c r="L715"/>
      <c r="M715"/>
      <c r="N715"/>
      <c r="O715"/>
      <c r="P715"/>
      <c r="Q715"/>
      <c r="R715"/>
      <c r="S715"/>
      <c r="T715"/>
      <c r="U715"/>
      <c r="V715"/>
      <c r="W715"/>
      <c r="X715"/>
      <c r="Y715"/>
      <c r="Z715"/>
      <c r="AA715"/>
      <c r="AB715"/>
      <c r="AC715"/>
    </row>
    <row r="716" spans="1:29" x14ac:dyDescent="0.25">
      <c r="A716"/>
      <c r="B716"/>
      <c r="C716"/>
      <c r="D716"/>
      <c r="E716"/>
      <c r="F716"/>
      <c r="G716"/>
      <c r="H716"/>
      <c r="I716"/>
      <c r="J716"/>
      <c r="K716"/>
      <c r="L716"/>
      <c r="M716"/>
      <c r="N716"/>
      <c r="O716"/>
      <c r="P716"/>
      <c r="Q716"/>
      <c r="R716"/>
      <c r="S716"/>
      <c r="T716"/>
      <c r="U716"/>
      <c r="V716"/>
      <c r="W716"/>
      <c r="X716"/>
      <c r="Y716"/>
      <c r="Z716"/>
      <c r="AA716"/>
      <c r="AB716"/>
      <c r="AC716"/>
    </row>
    <row r="717" spans="1:29" x14ac:dyDescent="0.25">
      <c r="A717"/>
      <c r="B717"/>
      <c r="C717"/>
      <c r="D717"/>
      <c r="E717"/>
      <c r="F717"/>
      <c r="G717"/>
      <c r="H717"/>
      <c r="I717"/>
      <c r="J717"/>
      <c r="K717"/>
      <c r="L717"/>
      <c r="M717"/>
      <c r="N717"/>
      <c r="O717"/>
      <c r="P717"/>
      <c r="Q717"/>
      <c r="R717"/>
      <c r="S717"/>
      <c r="T717"/>
      <c r="U717"/>
      <c r="V717"/>
      <c r="W717"/>
      <c r="X717"/>
      <c r="Y717"/>
      <c r="Z717"/>
      <c r="AA717"/>
      <c r="AB717"/>
      <c r="AC717"/>
    </row>
    <row r="718" spans="1:29" x14ac:dyDescent="0.25">
      <c r="A718"/>
      <c r="B718"/>
      <c r="C718"/>
      <c r="D718"/>
      <c r="E718"/>
      <c r="F718"/>
      <c r="G718"/>
      <c r="H718"/>
      <c r="I718"/>
      <c r="J718"/>
      <c r="K718"/>
      <c r="L718"/>
      <c r="M718"/>
      <c r="N718"/>
      <c r="O718"/>
      <c r="P718"/>
      <c r="Q718"/>
      <c r="R718"/>
      <c r="S718"/>
      <c r="T718"/>
      <c r="U718"/>
      <c r="V718"/>
      <c r="W718"/>
      <c r="X718"/>
      <c r="Y718"/>
      <c r="Z718"/>
      <c r="AA718"/>
      <c r="AB718"/>
      <c r="AC718"/>
    </row>
    <row r="719" spans="1:29" x14ac:dyDescent="0.25">
      <c r="A719"/>
      <c r="B719"/>
      <c r="C719"/>
      <c r="D719"/>
      <c r="E719"/>
      <c r="F719"/>
      <c r="G719"/>
      <c r="H719"/>
      <c r="I719"/>
      <c r="J719"/>
      <c r="K719"/>
      <c r="L719"/>
      <c r="M719"/>
      <c r="N719"/>
      <c r="O719"/>
      <c r="P719"/>
      <c r="Q719"/>
      <c r="R719"/>
      <c r="S719"/>
      <c r="T719"/>
      <c r="U719"/>
      <c r="V719"/>
      <c r="W719"/>
      <c r="X719"/>
      <c r="Y719"/>
      <c r="Z719"/>
      <c r="AA719"/>
      <c r="AB719"/>
      <c r="AC719"/>
    </row>
    <row r="720" spans="1:29" x14ac:dyDescent="0.25">
      <c r="A720"/>
      <c r="B720"/>
      <c r="C720"/>
      <c r="D720"/>
      <c r="E720"/>
      <c r="F720"/>
      <c r="G720"/>
      <c r="H720"/>
      <c r="I720"/>
      <c r="J720"/>
      <c r="K720"/>
      <c r="L720"/>
      <c r="M720"/>
      <c r="N720"/>
      <c r="O720"/>
      <c r="P720"/>
      <c r="Q720"/>
      <c r="R720"/>
      <c r="S720"/>
      <c r="T720"/>
      <c r="U720"/>
      <c r="V720"/>
      <c r="W720"/>
      <c r="X720"/>
      <c r="Y720"/>
      <c r="Z720"/>
      <c r="AA720"/>
      <c r="AB720"/>
      <c r="AC720"/>
    </row>
    <row r="721" spans="1:29" x14ac:dyDescent="0.25">
      <c r="A721"/>
      <c r="B721"/>
      <c r="C721"/>
      <c r="D721"/>
      <c r="E721"/>
      <c r="F721"/>
      <c r="G721"/>
      <c r="H721"/>
      <c r="I721"/>
      <c r="J721"/>
      <c r="K721"/>
      <c r="L721"/>
      <c r="M721"/>
      <c r="N721"/>
      <c r="O721"/>
      <c r="P721"/>
      <c r="Q721"/>
      <c r="R721"/>
      <c r="S721"/>
      <c r="T721"/>
      <c r="U721"/>
      <c r="V721"/>
      <c r="W721"/>
      <c r="X721"/>
      <c r="Y721"/>
      <c r="Z721"/>
      <c r="AA721"/>
      <c r="AB721"/>
      <c r="AC721"/>
    </row>
    <row r="722" spans="1:29" x14ac:dyDescent="0.25">
      <c r="A722"/>
      <c r="B722"/>
      <c r="C722"/>
      <c r="D722"/>
      <c r="E722"/>
      <c r="F722"/>
      <c r="G722"/>
      <c r="H722"/>
      <c r="I722"/>
      <c r="J722"/>
      <c r="K722"/>
      <c r="L722"/>
      <c r="M722"/>
      <c r="N722"/>
      <c r="O722"/>
      <c r="P722"/>
      <c r="Q722"/>
      <c r="R722"/>
      <c r="S722"/>
      <c r="T722"/>
      <c r="U722"/>
      <c r="V722"/>
      <c r="W722"/>
      <c r="X722"/>
      <c r="Y722"/>
      <c r="Z722"/>
      <c r="AA722"/>
      <c r="AB722"/>
      <c r="AC722"/>
    </row>
    <row r="723" spans="1:29" x14ac:dyDescent="0.25">
      <c r="A723"/>
      <c r="B723"/>
      <c r="C723"/>
      <c r="D723"/>
      <c r="E723"/>
      <c r="F723"/>
      <c r="G723"/>
      <c r="H723"/>
      <c r="I723"/>
      <c r="J723"/>
      <c r="K723"/>
      <c r="L723"/>
      <c r="M723"/>
      <c r="N723"/>
      <c r="O723"/>
      <c r="P723"/>
      <c r="Q723"/>
      <c r="R723"/>
      <c r="S723"/>
      <c r="T723"/>
      <c r="U723"/>
      <c r="V723"/>
      <c r="W723"/>
      <c r="X723"/>
      <c r="Y723"/>
      <c r="Z723"/>
      <c r="AA723"/>
      <c r="AB723"/>
      <c r="AC723"/>
    </row>
    <row r="724" spans="1:29" x14ac:dyDescent="0.25">
      <c r="A724"/>
      <c r="B724"/>
      <c r="C724"/>
      <c r="D724"/>
      <c r="E724"/>
      <c r="F724"/>
      <c r="G724"/>
      <c r="H724"/>
      <c r="I724"/>
      <c r="J724"/>
      <c r="K724"/>
      <c r="L724"/>
      <c r="M724"/>
      <c r="N724"/>
      <c r="O724"/>
      <c r="P724"/>
      <c r="Q724"/>
      <c r="R724"/>
      <c r="S724"/>
      <c r="T724"/>
      <c r="U724"/>
      <c r="V724"/>
      <c r="W724"/>
      <c r="X724"/>
      <c r="Y724"/>
      <c r="Z724"/>
      <c r="AA724"/>
      <c r="AB724"/>
      <c r="AC724"/>
    </row>
    <row r="725" spans="1:29" x14ac:dyDescent="0.25">
      <c r="A725"/>
      <c r="B725"/>
      <c r="C725"/>
      <c r="D725"/>
      <c r="E725"/>
      <c r="F725"/>
      <c r="G725"/>
      <c r="H725"/>
      <c r="I725"/>
      <c r="J725"/>
      <c r="K725"/>
      <c r="L725"/>
      <c r="M725"/>
      <c r="N725"/>
      <c r="O725"/>
      <c r="P725"/>
      <c r="Q725"/>
      <c r="R725"/>
      <c r="S725"/>
      <c r="T725"/>
      <c r="U725"/>
      <c r="V725"/>
      <c r="W725"/>
      <c r="X725"/>
      <c r="Y725"/>
      <c r="Z725"/>
      <c r="AA725"/>
      <c r="AB725"/>
      <c r="AC725"/>
    </row>
    <row r="726" spans="1:29" x14ac:dyDescent="0.25">
      <c r="A726"/>
      <c r="B726"/>
      <c r="C726"/>
      <c r="D726"/>
      <c r="E726"/>
      <c r="F726"/>
      <c r="G726"/>
      <c r="H726"/>
      <c r="I726"/>
      <c r="J726"/>
      <c r="K726"/>
      <c r="L726"/>
      <c r="M726"/>
      <c r="N726"/>
      <c r="O726"/>
      <c r="P726"/>
      <c r="Q726"/>
      <c r="R726"/>
      <c r="S726"/>
      <c r="T726"/>
      <c r="U726"/>
      <c r="V726"/>
      <c r="W726"/>
      <c r="X726"/>
      <c r="Y726"/>
      <c r="Z726"/>
      <c r="AA726"/>
      <c r="AB726"/>
      <c r="AC726"/>
    </row>
    <row r="727" spans="1:29" x14ac:dyDescent="0.25">
      <c r="A727"/>
      <c r="B727"/>
      <c r="C727"/>
      <c r="D727"/>
      <c r="E727"/>
      <c r="F727"/>
      <c r="G727"/>
      <c r="H727"/>
      <c r="I727"/>
      <c r="J727"/>
      <c r="K727"/>
      <c r="L727"/>
      <c r="M727"/>
      <c r="N727"/>
      <c r="O727"/>
      <c r="P727"/>
      <c r="Q727"/>
      <c r="R727"/>
      <c r="S727"/>
      <c r="T727"/>
      <c r="U727"/>
      <c r="V727"/>
      <c r="W727"/>
      <c r="X727"/>
      <c r="Y727"/>
      <c r="Z727"/>
      <c r="AA727"/>
      <c r="AB727"/>
      <c r="AC727"/>
    </row>
    <row r="728" spans="1:29" x14ac:dyDescent="0.25">
      <c r="A728"/>
      <c r="B728"/>
      <c r="C728"/>
      <c r="D728"/>
      <c r="E728"/>
      <c r="F728"/>
      <c r="G728"/>
      <c r="H728"/>
      <c r="I728"/>
      <c r="J728"/>
      <c r="K728"/>
      <c r="L728"/>
      <c r="M728"/>
      <c r="N728"/>
      <c r="O728"/>
      <c r="P728"/>
      <c r="Q728"/>
      <c r="R728"/>
      <c r="S728"/>
      <c r="T728"/>
      <c r="U728"/>
      <c r="V728"/>
      <c r="W728"/>
      <c r="X728"/>
      <c r="Y728"/>
      <c r="Z728"/>
      <c r="AA728"/>
      <c r="AB728"/>
      <c r="AC728"/>
    </row>
    <row r="729" spans="1:29" x14ac:dyDescent="0.25">
      <c r="A729"/>
      <c r="B729"/>
      <c r="C729"/>
      <c r="D729"/>
      <c r="E729"/>
      <c r="F729"/>
      <c r="G729"/>
      <c r="H729"/>
      <c r="I729"/>
      <c r="J729"/>
      <c r="K729"/>
      <c r="L729"/>
      <c r="M729"/>
      <c r="N729"/>
      <c r="O729"/>
      <c r="P729"/>
      <c r="Q729"/>
      <c r="R729"/>
      <c r="S729"/>
      <c r="T729"/>
      <c r="U729"/>
      <c r="V729"/>
      <c r="W729"/>
      <c r="X729"/>
      <c r="Y729"/>
      <c r="Z729"/>
      <c r="AA729"/>
      <c r="AB729"/>
      <c r="AC729"/>
    </row>
    <row r="730" spans="1:29" x14ac:dyDescent="0.25">
      <c r="A730"/>
      <c r="B730"/>
      <c r="C730"/>
      <c r="D730"/>
      <c r="E730"/>
      <c r="F730"/>
      <c r="G730"/>
      <c r="H730"/>
      <c r="I730"/>
      <c r="J730"/>
      <c r="K730"/>
      <c r="L730"/>
      <c r="M730"/>
      <c r="N730"/>
      <c r="O730"/>
      <c r="P730"/>
      <c r="Q730"/>
      <c r="R730"/>
      <c r="S730"/>
      <c r="T730"/>
      <c r="U730"/>
      <c r="V730"/>
      <c r="W730"/>
      <c r="X730"/>
      <c r="Y730"/>
      <c r="Z730"/>
      <c r="AA730"/>
      <c r="AB730"/>
      <c r="AC730"/>
    </row>
    <row r="731" spans="1:29" x14ac:dyDescent="0.25">
      <c r="A731"/>
      <c r="B731"/>
      <c r="C731"/>
      <c r="D731"/>
      <c r="E731"/>
      <c r="F731"/>
      <c r="G731"/>
      <c r="H731"/>
      <c r="I731"/>
      <c r="J731"/>
      <c r="K731"/>
      <c r="L731"/>
      <c r="M731"/>
      <c r="N731"/>
      <c r="O731"/>
      <c r="P731"/>
      <c r="Q731"/>
      <c r="R731"/>
      <c r="S731"/>
      <c r="T731"/>
      <c r="U731"/>
      <c r="V731"/>
      <c r="W731"/>
      <c r="X731"/>
      <c r="Y731"/>
      <c r="Z731"/>
      <c r="AA731"/>
      <c r="AB731"/>
      <c r="AC731"/>
    </row>
    <row r="732" spans="1:29" x14ac:dyDescent="0.25">
      <c r="A732"/>
      <c r="B732"/>
      <c r="C732"/>
      <c r="D732"/>
      <c r="E732"/>
      <c r="F732"/>
      <c r="G732"/>
      <c r="H732"/>
      <c r="I732"/>
      <c r="J732"/>
      <c r="K732"/>
      <c r="L732"/>
      <c r="M732"/>
      <c r="N732"/>
      <c r="O732"/>
      <c r="P732"/>
      <c r="Q732"/>
      <c r="R732"/>
      <c r="S732"/>
      <c r="T732"/>
      <c r="U732"/>
      <c r="V732"/>
      <c r="W732"/>
      <c r="X732"/>
      <c r="Y732"/>
      <c r="Z732"/>
      <c r="AA732"/>
      <c r="AB732"/>
      <c r="AC732"/>
    </row>
    <row r="733" spans="1:29" x14ac:dyDescent="0.25">
      <c r="A733"/>
      <c r="B733"/>
      <c r="C733"/>
      <c r="D733"/>
      <c r="E733"/>
      <c r="F733"/>
      <c r="G733"/>
      <c r="H733"/>
      <c r="I733"/>
      <c r="J733"/>
      <c r="K733"/>
      <c r="L733"/>
      <c r="M733"/>
      <c r="N733"/>
      <c r="O733"/>
      <c r="P733"/>
      <c r="Q733"/>
      <c r="R733"/>
      <c r="S733"/>
      <c r="T733"/>
      <c r="U733"/>
      <c r="V733"/>
      <c r="W733"/>
      <c r="X733"/>
      <c r="Y733"/>
      <c r="Z733"/>
      <c r="AA733"/>
      <c r="AB733"/>
      <c r="AC733"/>
    </row>
    <row r="734" spans="1:29" x14ac:dyDescent="0.25">
      <c r="A734"/>
      <c r="B734"/>
      <c r="C734"/>
      <c r="D734"/>
      <c r="E734"/>
      <c r="F734"/>
      <c r="G734"/>
      <c r="H734"/>
      <c r="I734"/>
      <c r="J734"/>
      <c r="K734"/>
      <c r="L734"/>
      <c r="M734"/>
      <c r="N734"/>
      <c r="O734"/>
      <c r="P734"/>
      <c r="Q734"/>
      <c r="R734"/>
      <c r="S734"/>
      <c r="T734"/>
      <c r="U734"/>
      <c r="V734"/>
      <c r="W734"/>
      <c r="X734"/>
      <c r="Y734"/>
      <c r="Z734"/>
      <c r="AA734"/>
      <c r="AB734"/>
      <c r="AC734"/>
    </row>
    <row r="735" spans="1:29" x14ac:dyDescent="0.25">
      <c r="A735"/>
      <c r="B735"/>
      <c r="C735"/>
      <c r="D735"/>
      <c r="E735"/>
      <c r="F735"/>
      <c r="G735"/>
      <c r="H735"/>
      <c r="I735"/>
      <c r="J735"/>
      <c r="K735"/>
      <c r="L735"/>
      <c r="M735"/>
      <c r="N735"/>
      <c r="O735"/>
      <c r="P735"/>
      <c r="Q735"/>
      <c r="R735"/>
      <c r="S735"/>
      <c r="T735"/>
      <c r="U735"/>
      <c r="V735"/>
      <c r="W735"/>
      <c r="X735"/>
      <c r="Y735"/>
      <c r="Z735"/>
      <c r="AA735"/>
      <c r="AB735"/>
      <c r="AC735"/>
    </row>
    <row r="736" spans="1:29" x14ac:dyDescent="0.25">
      <c r="A736"/>
      <c r="B736"/>
      <c r="C736"/>
      <c r="D736"/>
      <c r="E736"/>
      <c r="F736"/>
      <c r="G736"/>
      <c r="H736"/>
      <c r="I736"/>
      <c r="J736"/>
      <c r="K736"/>
      <c r="L736"/>
      <c r="M736"/>
      <c r="N736"/>
      <c r="O736"/>
      <c r="P736"/>
      <c r="Q736"/>
      <c r="R736"/>
      <c r="S736"/>
      <c r="T736"/>
      <c r="U736"/>
      <c r="V736"/>
      <c r="W736"/>
      <c r="X736"/>
      <c r="Y736"/>
      <c r="Z736"/>
      <c r="AA736"/>
      <c r="AB736"/>
      <c r="AC736"/>
    </row>
    <row r="737" spans="1:29" x14ac:dyDescent="0.25">
      <c r="A737"/>
      <c r="B737"/>
      <c r="C737"/>
      <c r="D737"/>
      <c r="E737"/>
      <c r="F737"/>
      <c r="G737"/>
      <c r="H737"/>
      <c r="I737"/>
      <c r="J737"/>
      <c r="K737"/>
      <c r="L737"/>
      <c r="M737"/>
      <c r="N737"/>
      <c r="O737"/>
      <c r="P737"/>
      <c r="Q737"/>
      <c r="R737"/>
      <c r="S737"/>
      <c r="T737"/>
      <c r="U737"/>
      <c r="V737"/>
      <c r="W737"/>
      <c r="X737"/>
      <c r="Y737"/>
      <c r="Z737"/>
      <c r="AA737"/>
      <c r="AB737"/>
      <c r="AC737"/>
    </row>
    <row r="738" spans="1:29" x14ac:dyDescent="0.25">
      <c r="A738"/>
      <c r="B738"/>
      <c r="C738"/>
      <c r="D738"/>
      <c r="E738"/>
      <c r="F738"/>
      <c r="G738"/>
      <c r="H738"/>
      <c r="I738"/>
      <c r="J738"/>
      <c r="K738"/>
      <c r="L738"/>
      <c r="M738"/>
      <c r="N738"/>
      <c r="O738"/>
      <c r="P738"/>
      <c r="Q738"/>
      <c r="R738"/>
      <c r="S738"/>
      <c r="T738"/>
      <c r="U738"/>
      <c r="V738"/>
      <c r="W738"/>
      <c r="X738"/>
      <c r="Y738"/>
      <c r="Z738"/>
      <c r="AA738"/>
      <c r="AB738"/>
      <c r="AC738"/>
    </row>
    <row r="739" spans="1:29" x14ac:dyDescent="0.25">
      <c r="A739"/>
      <c r="B739"/>
      <c r="C739"/>
      <c r="D739"/>
      <c r="E739"/>
      <c r="F739"/>
      <c r="G739"/>
      <c r="H739"/>
      <c r="I739"/>
      <c r="J739"/>
      <c r="K739"/>
      <c r="L739"/>
      <c r="M739"/>
      <c r="N739"/>
      <c r="O739"/>
      <c r="P739"/>
      <c r="Q739"/>
      <c r="R739"/>
      <c r="S739"/>
      <c r="T739"/>
      <c r="U739"/>
      <c r="V739"/>
      <c r="W739"/>
      <c r="X739"/>
      <c r="Y739"/>
      <c r="Z739"/>
      <c r="AA739"/>
      <c r="AB739"/>
      <c r="AC739"/>
    </row>
    <row r="740" spans="1:29" x14ac:dyDescent="0.25">
      <c r="A740"/>
      <c r="B740"/>
      <c r="C740"/>
      <c r="D740"/>
      <c r="E740"/>
      <c r="F740"/>
      <c r="G740"/>
      <c r="H740"/>
      <c r="I740"/>
      <c r="J740"/>
      <c r="K740"/>
      <c r="L740"/>
      <c r="M740"/>
      <c r="N740"/>
      <c r="O740"/>
      <c r="P740"/>
      <c r="Q740"/>
      <c r="R740"/>
      <c r="S740"/>
      <c r="T740"/>
      <c r="U740"/>
      <c r="V740"/>
      <c r="W740"/>
      <c r="X740"/>
      <c r="Y740"/>
      <c r="Z740"/>
      <c r="AA740"/>
      <c r="AB740"/>
      <c r="AC740"/>
    </row>
    <row r="741" spans="1:29" x14ac:dyDescent="0.25">
      <c r="A741"/>
      <c r="B741"/>
      <c r="C741"/>
      <c r="D741"/>
      <c r="E741"/>
      <c r="F741"/>
      <c r="G741"/>
      <c r="H741"/>
      <c r="I741"/>
      <c r="J741"/>
      <c r="K741"/>
      <c r="L741"/>
      <c r="M741"/>
      <c r="N741"/>
      <c r="O741"/>
      <c r="P741"/>
      <c r="Q741"/>
      <c r="R741"/>
      <c r="S741"/>
      <c r="T741"/>
      <c r="U741"/>
      <c r="V741"/>
      <c r="W741"/>
      <c r="X741"/>
      <c r="Y741"/>
      <c r="Z741"/>
      <c r="AA741"/>
      <c r="AB741"/>
      <c r="AC741"/>
    </row>
    <row r="742" spans="1:29" x14ac:dyDescent="0.25">
      <c r="A742"/>
      <c r="B742"/>
      <c r="C742"/>
      <c r="D742"/>
      <c r="E742"/>
      <c r="F742"/>
      <c r="G742"/>
      <c r="H742"/>
      <c r="I742"/>
      <c r="J742"/>
      <c r="K742"/>
      <c r="L742"/>
      <c r="M742"/>
      <c r="N742"/>
      <c r="O742"/>
      <c r="P742"/>
      <c r="Q742"/>
      <c r="R742"/>
      <c r="S742"/>
      <c r="T742"/>
      <c r="U742"/>
      <c r="V742"/>
      <c r="W742"/>
      <c r="X742"/>
      <c r="Y742"/>
      <c r="Z742"/>
      <c r="AA742"/>
      <c r="AB742"/>
      <c r="AC742"/>
    </row>
    <row r="743" spans="1:29" x14ac:dyDescent="0.25">
      <c r="A743"/>
      <c r="B743"/>
      <c r="C743"/>
      <c r="D743"/>
      <c r="E743"/>
      <c r="F743"/>
      <c r="G743"/>
      <c r="H743"/>
      <c r="I743"/>
      <c r="J743"/>
      <c r="K743"/>
      <c r="L743"/>
      <c r="M743"/>
      <c r="N743"/>
      <c r="O743"/>
      <c r="P743"/>
      <c r="Q743"/>
      <c r="R743"/>
      <c r="S743"/>
      <c r="T743"/>
      <c r="U743"/>
      <c r="V743"/>
      <c r="W743"/>
      <c r="X743"/>
      <c r="Y743"/>
      <c r="Z743"/>
      <c r="AA743"/>
      <c r="AB743"/>
      <c r="AC743"/>
    </row>
    <row r="744" spans="1:29" x14ac:dyDescent="0.25">
      <c r="A744"/>
      <c r="B744"/>
      <c r="C744"/>
      <c r="D744"/>
      <c r="E744"/>
      <c r="F744"/>
      <c r="G744"/>
      <c r="H744"/>
      <c r="I744"/>
      <c r="J744"/>
      <c r="K744"/>
      <c r="L744"/>
      <c r="M744"/>
      <c r="N744"/>
      <c r="O744"/>
      <c r="P744"/>
      <c r="Q744"/>
      <c r="R744"/>
      <c r="S744"/>
      <c r="T744"/>
      <c r="U744"/>
      <c r="V744"/>
      <c r="W744"/>
      <c r="X744"/>
      <c r="Y744"/>
      <c r="Z744"/>
      <c r="AA744"/>
      <c r="AB744"/>
      <c r="AC744"/>
    </row>
    <row r="745" spans="1:29" x14ac:dyDescent="0.25">
      <c r="A745"/>
      <c r="B745"/>
      <c r="C745"/>
      <c r="D745"/>
      <c r="E745"/>
      <c r="F745"/>
      <c r="G745"/>
      <c r="H745"/>
      <c r="I745"/>
      <c r="J745"/>
      <c r="K745"/>
      <c r="L745"/>
      <c r="M745"/>
      <c r="N745"/>
      <c r="O745"/>
      <c r="P745"/>
      <c r="Q745"/>
      <c r="R745"/>
      <c r="S745"/>
      <c r="T745"/>
      <c r="U745"/>
      <c r="V745"/>
      <c r="W745"/>
      <c r="X745"/>
      <c r="Y745"/>
      <c r="Z745"/>
      <c r="AA745"/>
      <c r="AB745"/>
      <c r="AC745"/>
    </row>
    <row r="746" spans="1:29" x14ac:dyDescent="0.25">
      <c r="A746"/>
      <c r="B746"/>
      <c r="C746"/>
      <c r="D746"/>
      <c r="E746"/>
      <c r="F746"/>
      <c r="G746"/>
      <c r="H746"/>
      <c r="I746"/>
      <c r="J746"/>
      <c r="K746"/>
      <c r="L746"/>
      <c r="M746"/>
      <c r="N746"/>
      <c r="O746"/>
      <c r="P746"/>
      <c r="Q746"/>
      <c r="R746"/>
      <c r="S746"/>
      <c r="T746"/>
      <c r="U746"/>
      <c r="V746"/>
      <c r="W746"/>
      <c r="X746"/>
      <c r="Y746"/>
      <c r="Z746"/>
      <c r="AA746"/>
      <c r="AB746"/>
      <c r="AC746"/>
    </row>
    <row r="747" spans="1:29" x14ac:dyDescent="0.25">
      <c r="A747"/>
      <c r="B747"/>
      <c r="C747"/>
      <c r="D747"/>
      <c r="E747"/>
      <c r="F747"/>
      <c r="G747"/>
      <c r="H747"/>
      <c r="I747"/>
      <c r="J747"/>
      <c r="K747"/>
      <c r="L747"/>
      <c r="M747"/>
      <c r="N747"/>
      <c r="O747"/>
      <c r="P747"/>
      <c r="Q747"/>
      <c r="R747"/>
      <c r="S747"/>
      <c r="T747"/>
      <c r="U747"/>
      <c r="V747"/>
      <c r="W747"/>
      <c r="X747"/>
      <c r="Y747"/>
      <c r="Z747"/>
      <c r="AA747"/>
      <c r="AB747"/>
      <c r="AC747"/>
    </row>
    <row r="748" spans="1:29" x14ac:dyDescent="0.25">
      <c r="A748"/>
      <c r="B748"/>
      <c r="C748"/>
      <c r="D748"/>
      <c r="E748"/>
      <c r="F748"/>
      <c r="G748"/>
      <c r="H748"/>
      <c r="I748"/>
      <c r="J748"/>
      <c r="K748"/>
      <c r="L748"/>
      <c r="M748"/>
      <c r="N748"/>
      <c r="O748"/>
      <c r="P748"/>
      <c r="Q748"/>
      <c r="R748"/>
      <c r="S748"/>
      <c r="T748"/>
      <c r="U748"/>
      <c r="V748"/>
      <c r="W748"/>
      <c r="X748"/>
      <c r="Y748"/>
      <c r="Z748"/>
      <c r="AA748"/>
      <c r="AB748"/>
      <c r="AC748"/>
    </row>
    <row r="749" spans="1:29" x14ac:dyDescent="0.25">
      <c r="A749"/>
      <c r="B749"/>
      <c r="C749"/>
      <c r="D749"/>
      <c r="E749"/>
      <c r="F749"/>
      <c r="G749"/>
      <c r="H749"/>
      <c r="I749"/>
      <c r="J749"/>
      <c r="K749"/>
      <c r="L749"/>
      <c r="M749"/>
      <c r="N749"/>
      <c r="O749"/>
      <c r="P749"/>
      <c r="Q749"/>
      <c r="R749"/>
      <c r="S749"/>
      <c r="T749"/>
      <c r="U749"/>
      <c r="V749"/>
      <c r="W749"/>
      <c r="X749"/>
      <c r="Y749"/>
      <c r="Z749"/>
      <c r="AA749"/>
      <c r="AB749"/>
      <c r="AC749"/>
    </row>
    <row r="750" spans="1:29" x14ac:dyDescent="0.25">
      <c r="A750"/>
      <c r="B750"/>
      <c r="C750"/>
      <c r="D750"/>
      <c r="E750"/>
      <c r="F750"/>
      <c r="G750"/>
      <c r="H750"/>
      <c r="I750"/>
      <c r="J750"/>
      <c r="K750"/>
      <c r="L750"/>
      <c r="M750"/>
      <c r="N750"/>
      <c r="O750"/>
      <c r="P750"/>
      <c r="Q750"/>
      <c r="R750"/>
      <c r="S750"/>
      <c r="T750"/>
      <c r="U750"/>
      <c r="V750"/>
      <c r="W750"/>
      <c r="X750"/>
      <c r="Y750"/>
      <c r="Z750"/>
      <c r="AA750"/>
      <c r="AB750"/>
      <c r="AC750"/>
    </row>
    <row r="751" spans="1:29" x14ac:dyDescent="0.25">
      <c r="A751"/>
      <c r="B751"/>
      <c r="C751"/>
      <c r="D751"/>
      <c r="E751"/>
      <c r="F751"/>
      <c r="G751"/>
      <c r="H751"/>
      <c r="I751"/>
      <c r="J751"/>
      <c r="K751"/>
      <c r="L751"/>
      <c r="M751"/>
      <c r="N751"/>
      <c r="O751"/>
      <c r="P751"/>
      <c r="Q751"/>
      <c r="R751"/>
      <c r="S751"/>
      <c r="T751"/>
      <c r="U751"/>
      <c r="V751"/>
      <c r="W751"/>
      <c r="X751"/>
      <c r="Y751"/>
      <c r="Z751"/>
      <c r="AA751"/>
      <c r="AB751"/>
      <c r="AC751"/>
    </row>
    <row r="752" spans="1:29" x14ac:dyDescent="0.25">
      <c r="A752"/>
      <c r="B752"/>
      <c r="C752"/>
      <c r="D752"/>
      <c r="E752"/>
      <c r="F752"/>
      <c r="G752"/>
      <c r="H752"/>
      <c r="I752"/>
      <c r="J752"/>
      <c r="K752"/>
      <c r="L752"/>
      <c r="M752"/>
      <c r="N752"/>
      <c r="O752"/>
      <c r="P752"/>
      <c r="Q752"/>
      <c r="R752"/>
      <c r="S752"/>
      <c r="T752"/>
      <c r="U752"/>
      <c r="V752"/>
      <c r="W752"/>
      <c r="X752"/>
      <c r="Y752"/>
      <c r="Z752"/>
      <c r="AA752"/>
      <c r="AB752"/>
      <c r="AC752"/>
    </row>
    <row r="753" spans="1:29" x14ac:dyDescent="0.25">
      <c r="A753"/>
      <c r="B753"/>
      <c r="C753"/>
      <c r="D753"/>
      <c r="E753"/>
      <c r="F753"/>
      <c r="G753"/>
      <c r="H753"/>
      <c r="I753"/>
      <c r="J753"/>
      <c r="K753"/>
      <c r="L753"/>
      <c r="M753"/>
      <c r="N753"/>
      <c r="O753"/>
      <c r="P753"/>
      <c r="Q753"/>
      <c r="R753"/>
      <c r="S753"/>
      <c r="T753"/>
      <c r="U753"/>
      <c r="V753"/>
      <c r="W753"/>
      <c r="X753"/>
      <c r="Y753"/>
      <c r="Z753"/>
      <c r="AA753"/>
      <c r="AB753"/>
      <c r="AC753"/>
    </row>
    <row r="754" spans="1:29" x14ac:dyDescent="0.25">
      <c r="A754"/>
      <c r="B754"/>
      <c r="C754"/>
      <c r="D754"/>
      <c r="E754"/>
      <c r="F754"/>
      <c r="G754"/>
      <c r="H754"/>
      <c r="I754"/>
      <c r="J754"/>
      <c r="K754"/>
      <c r="L754"/>
      <c r="M754"/>
      <c r="N754"/>
      <c r="O754"/>
      <c r="P754"/>
      <c r="Q754"/>
      <c r="R754"/>
      <c r="S754"/>
      <c r="T754"/>
      <c r="U754"/>
      <c r="V754"/>
      <c r="W754"/>
      <c r="X754"/>
      <c r="Y754"/>
      <c r="Z754"/>
      <c r="AA754"/>
      <c r="AB754"/>
      <c r="AC754"/>
    </row>
    <row r="755" spans="1:29" x14ac:dyDescent="0.25">
      <c r="A755"/>
      <c r="B755"/>
      <c r="C755"/>
      <c r="D755"/>
      <c r="E755"/>
      <c r="F755"/>
      <c r="G755"/>
      <c r="H755"/>
      <c r="I755"/>
      <c r="J755"/>
      <c r="K755"/>
      <c r="L755"/>
      <c r="M755"/>
      <c r="N755"/>
      <c r="O755"/>
      <c r="P755"/>
      <c r="Q755"/>
      <c r="R755"/>
      <c r="S755"/>
      <c r="T755"/>
      <c r="U755"/>
      <c r="V755"/>
      <c r="W755"/>
      <c r="X755"/>
      <c r="Y755"/>
      <c r="Z755"/>
      <c r="AA755"/>
      <c r="AB755"/>
      <c r="AC755"/>
    </row>
    <row r="756" spans="1:29" x14ac:dyDescent="0.25">
      <c r="A756"/>
      <c r="B756"/>
      <c r="C756"/>
      <c r="D756"/>
      <c r="E756"/>
      <c r="F756"/>
      <c r="G756"/>
      <c r="H756"/>
      <c r="I756"/>
      <c r="J756"/>
      <c r="K756"/>
      <c r="L756"/>
      <c r="M756"/>
      <c r="N756"/>
      <c r="O756"/>
      <c r="P756"/>
      <c r="Q756"/>
      <c r="R756"/>
      <c r="S756"/>
      <c r="T756"/>
      <c r="U756"/>
      <c r="V756"/>
      <c r="W756"/>
      <c r="X756"/>
      <c r="Y756"/>
      <c r="Z756"/>
      <c r="AA756"/>
      <c r="AB756"/>
      <c r="AC756"/>
    </row>
    <row r="757" spans="1:29" x14ac:dyDescent="0.25">
      <c r="A757"/>
      <c r="B757"/>
      <c r="C757"/>
      <c r="D757"/>
      <c r="E757"/>
      <c r="F757"/>
      <c r="G757"/>
      <c r="H757"/>
      <c r="I757"/>
      <c r="J757"/>
      <c r="K757"/>
      <c r="L757"/>
      <c r="M757"/>
      <c r="N757"/>
      <c r="O757"/>
      <c r="P757"/>
      <c r="Q757"/>
      <c r="R757"/>
      <c r="S757"/>
      <c r="T757"/>
      <c r="U757"/>
      <c r="V757"/>
      <c r="W757"/>
      <c r="X757"/>
      <c r="Y757"/>
      <c r="Z757"/>
      <c r="AA757"/>
      <c r="AB757"/>
      <c r="AC757"/>
    </row>
    <row r="758" spans="1:29" x14ac:dyDescent="0.25">
      <c r="A758"/>
      <c r="B758"/>
      <c r="C758"/>
      <c r="D758"/>
      <c r="E758"/>
      <c r="F758"/>
      <c r="G758"/>
      <c r="H758"/>
      <c r="I758"/>
      <c r="J758"/>
      <c r="K758"/>
      <c r="L758"/>
      <c r="M758"/>
      <c r="N758"/>
      <c r="O758"/>
      <c r="P758"/>
      <c r="Q758"/>
      <c r="R758"/>
      <c r="S758"/>
      <c r="T758"/>
      <c r="U758"/>
      <c r="V758"/>
      <c r="W758"/>
      <c r="X758"/>
      <c r="Y758"/>
      <c r="Z758"/>
      <c r="AA758"/>
      <c r="AB758"/>
      <c r="AC758"/>
    </row>
    <row r="759" spans="1:29" x14ac:dyDescent="0.25">
      <c r="A759"/>
      <c r="B759"/>
      <c r="C759"/>
      <c r="D759"/>
      <c r="E759"/>
      <c r="F759"/>
      <c r="G759"/>
      <c r="H759"/>
      <c r="I759"/>
      <c r="J759"/>
      <c r="K759"/>
      <c r="L759"/>
      <c r="M759"/>
      <c r="N759"/>
      <c r="O759"/>
      <c r="P759"/>
      <c r="Q759"/>
      <c r="R759"/>
      <c r="S759"/>
      <c r="T759"/>
      <c r="U759"/>
      <c r="V759"/>
      <c r="W759"/>
      <c r="X759"/>
      <c r="Y759"/>
      <c r="Z759"/>
      <c r="AA759"/>
      <c r="AB759"/>
      <c r="AC759"/>
    </row>
    <row r="760" spans="1:29" x14ac:dyDescent="0.25">
      <c r="A760"/>
      <c r="B760"/>
      <c r="C760"/>
      <c r="D760"/>
      <c r="E760"/>
      <c r="F760"/>
      <c r="G760"/>
      <c r="H760"/>
      <c r="I760"/>
      <c r="J760"/>
      <c r="K760"/>
      <c r="L760"/>
      <c r="M760"/>
      <c r="N760"/>
      <c r="O760"/>
      <c r="P760"/>
      <c r="Q760"/>
      <c r="R760"/>
      <c r="S760"/>
      <c r="T760"/>
      <c r="U760"/>
      <c r="V760"/>
      <c r="W760"/>
      <c r="X760"/>
      <c r="Y760"/>
      <c r="Z760"/>
      <c r="AA760"/>
      <c r="AB760"/>
      <c r="AC760"/>
    </row>
    <row r="761" spans="1:29" x14ac:dyDescent="0.25">
      <c r="A761"/>
      <c r="B761"/>
      <c r="C761"/>
      <c r="D761"/>
      <c r="E761"/>
      <c r="F761"/>
      <c r="G761"/>
      <c r="H761"/>
      <c r="I761"/>
      <c r="J761"/>
      <c r="K761"/>
      <c r="L761"/>
      <c r="M761"/>
      <c r="N761"/>
      <c r="O761"/>
      <c r="P761"/>
      <c r="Q761"/>
      <c r="R761"/>
      <c r="S761"/>
      <c r="T761"/>
      <c r="U761"/>
      <c r="V761"/>
      <c r="W761"/>
      <c r="X761"/>
      <c r="Y761"/>
      <c r="Z761"/>
      <c r="AA761"/>
      <c r="AB761"/>
      <c r="AC761"/>
    </row>
    <row r="762" spans="1:29" x14ac:dyDescent="0.25">
      <c r="A762"/>
      <c r="B762"/>
      <c r="C762"/>
      <c r="D762"/>
      <c r="E762"/>
      <c r="F762"/>
      <c r="G762"/>
      <c r="H762"/>
      <c r="I762"/>
      <c r="J762"/>
      <c r="K762"/>
      <c r="L762"/>
      <c r="M762"/>
      <c r="N762"/>
      <c r="O762"/>
      <c r="P762"/>
      <c r="Q762"/>
      <c r="R762"/>
      <c r="S762"/>
      <c r="T762"/>
      <c r="U762"/>
      <c r="V762"/>
      <c r="W762"/>
      <c r="X762"/>
      <c r="Y762"/>
      <c r="Z762"/>
      <c r="AA762"/>
      <c r="AB762"/>
      <c r="AC762"/>
    </row>
    <row r="763" spans="1:29" x14ac:dyDescent="0.25">
      <c r="A763"/>
      <c r="B763"/>
      <c r="C763"/>
      <c r="D763"/>
      <c r="E763"/>
      <c r="F763"/>
      <c r="G763"/>
      <c r="H763"/>
      <c r="I763"/>
      <c r="J763"/>
      <c r="K763"/>
      <c r="L763"/>
      <c r="M763"/>
      <c r="N763"/>
      <c r="O763"/>
      <c r="P763"/>
      <c r="Q763"/>
      <c r="R763"/>
      <c r="S763"/>
      <c r="T763"/>
      <c r="U763"/>
      <c r="V763"/>
      <c r="W763"/>
      <c r="X763"/>
      <c r="Y763"/>
      <c r="Z763"/>
      <c r="AA763"/>
      <c r="AB763"/>
      <c r="AC763"/>
    </row>
    <row r="764" spans="1:29" x14ac:dyDescent="0.25">
      <c r="A764"/>
      <c r="B764"/>
      <c r="C764"/>
      <c r="D764"/>
      <c r="E764"/>
      <c r="F764"/>
      <c r="G764"/>
      <c r="H764"/>
      <c r="I764"/>
      <c r="J764"/>
      <c r="K764"/>
      <c r="L764"/>
      <c r="M764"/>
      <c r="N764"/>
      <c r="O764"/>
      <c r="P764"/>
      <c r="Q764"/>
      <c r="R764"/>
      <c r="S764"/>
      <c r="T764"/>
      <c r="U764"/>
      <c r="V764"/>
      <c r="W764"/>
      <c r="X764"/>
      <c r="Y764"/>
      <c r="Z764"/>
      <c r="AA764"/>
      <c r="AB764"/>
      <c r="AC764"/>
    </row>
    <row r="765" spans="1:29" x14ac:dyDescent="0.25">
      <c r="A765"/>
      <c r="B765"/>
      <c r="C765"/>
      <c r="D765"/>
      <c r="E765"/>
      <c r="F765"/>
      <c r="G765"/>
      <c r="H765"/>
      <c r="I765"/>
      <c r="J765"/>
      <c r="K765"/>
      <c r="L765"/>
      <c r="M765"/>
      <c r="N765"/>
      <c r="O765"/>
      <c r="P765"/>
      <c r="Q765"/>
      <c r="R765"/>
      <c r="S765"/>
      <c r="T765"/>
      <c r="U765"/>
      <c r="V765"/>
      <c r="W765"/>
      <c r="X765"/>
      <c r="Y765"/>
      <c r="Z765"/>
      <c r="AA765"/>
      <c r="AB765"/>
      <c r="AC765"/>
    </row>
    <row r="766" spans="1:29" x14ac:dyDescent="0.25">
      <c r="A766"/>
      <c r="B766"/>
      <c r="C766"/>
      <c r="D766"/>
      <c r="E766"/>
      <c r="F766"/>
      <c r="G766"/>
      <c r="H766"/>
      <c r="I766"/>
      <c r="J766"/>
      <c r="K766"/>
      <c r="L766"/>
      <c r="M766"/>
      <c r="N766"/>
      <c r="O766"/>
      <c r="P766"/>
      <c r="Q766"/>
      <c r="R766"/>
      <c r="S766"/>
      <c r="T766"/>
      <c r="U766"/>
      <c r="V766"/>
      <c r="W766"/>
      <c r="X766"/>
      <c r="Y766"/>
      <c r="Z766"/>
      <c r="AA766"/>
      <c r="AB766"/>
      <c r="AC766"/>
    </row>
    <row r="767" spans="1:29" x14ac:dyDescent="0.25">
      <c r="A767"/>
      <c r="B767"/>
      <c r="C767"/>
      <c r="D767"/>
      <c r="E767"/>
      <c r="F767"/>
      <c r="G767"/>
      <c r="H767"/>
      <c r="I767"/>
      <c r="J767"/>
      <c r="K767"/>
      <c r="L767"/>
      <c r="M767"/>
      <c r="N767"/>
      <c r="O767"/>
      <c r="P767"/>
      <c r="Q767"/>
      <c r="R767"/>
      <c r="S767"/>
      <c r="T767"/>
      <c r="U767"/>
      <c r="V767"/>
      <c r="W767"/>
      <c r="X767"/>
      <c r="Y767"/>
      <c r="Z767"/>
      <c r="AA767"/>
      <c r="AB767"/>
      <c r="AC767"/>
    </row>
    <row r="768" spans="1:29" x14ac:dyDescent="0.25">
      <c r="A768"/>
      <c r="B768"/>
      <c r="C768"/>
      <c r="D768"/>
      <c r="E768"/>
      <c r="F768"/>
      <c r="G768"/>
      <c r="H768"/>
      <c r="I768"/>
      <c r="J768"/>
      <c r="K768"/>
      <c r="L768"/>
      <c r="M768"/>
      <c r="N768"/>
      <c r="O768"/>
      <c r="P768"/>
      <c r="Q768"/>
      <c r="R768"/>
      <c r="S768"/>
      <c r="T768"/>
      <c r="U768"/>
      <c r="V768"/>
      <c r="W768"/>
      <c r="X768"/>
      <c r="Y768"/>
      <c r="Z768"/>
      <c r="AA768"/>
      <c r="AB768"/>
      <c r="AC768"/>
    </row>
    <row r="769" spans="1:29" x14ac:dyDescent="0.25">
      <c r="A769"/>
      <c r="B769"/>
      <c r="C769"/>
      <c r="D769"/>
      <c r="E769"/>
      <c r="F769"/>
      <c r="G769"/>
      <c r="H769"/>
      <c r="I769"/>
      <c r="J769"/>
      <c r="K769"/>
      <c r="L769"/>
      <c r="M769"/>
      <c r="N769"/>
      <c r="O769"/>
      <c r="P769"/>
      <c r="Q769"/>
      <c r="R769"/>
      <c r="S769"/>
      <c r="T769"/>
      <c r="U769"/>
      <c r="V769"/>
      <c r="W769"/>
      <c r="X769"/>
      <c r="Y769"/>
      <c r="Z769"/>
      <c r="AA769"/>
      <c r="AB769"/>
      <c r="AC769"/>
    </row>
    <row r="770" spans="1:29" x14ac:dyDescent="0.25">
      <c r="A770"/>
      <c r="B770"/>
      <c r="C770"/>
      <c r="D770"/>
      <c r="E770"/>
      <c r="F770"/>
      <c r="G770"/>
      <c r="H770"/>
      <c r="I770"/>
      <c r="J770"/>
      <c r="K770"/>
      <c r="L770"/>
      <c r="M770"/>
      <c r="N770"/>
      <c r="O770"/>
      <c r="P770"/>
      <c r="Q770"/>
      <c r="R770"/>
      <c r="S770"/>
      <c r="T770"/>
      <c r="U770"/>
      <c r="V770"/>
      <c r="W770"/>
      <c r="X770"/>
      <c r="Y770"/>
      <c r="Z770"/>
      <c r="AA770"/>
      <c r="AB770"/>
      <c r="AC770"/>
    </row>
    <row r="771" spans="1:29" x14ac:dyDescent="0.25">
      <c r="A771"/>
      <c r="B771"/>
      <c r="C771"/>
      <c r="D771"/>
      <c r="E771"/>
      <c r="F771"/>
      <c r="G771"/>
      <c r="H771"/>
      <c r="I771"/>
      <c r="J771"/>
      <c r="K771"/>
      <c r="L771"/>
      <c r="M771"/>
      <c r="N771"/>
      <c r="O771"/>
      <c r="P771"/>
      <c r="Q771"/>
      <c r="R771"/>
      <c r="S771"/>
      <c r="T771"/>
      <c r="U771"/>
      <c r="V771"/>
      <c r="W771"/>
      <c r="X771"/>
      <c r="Y771"/>
      <c r="Z771"/>
      <c r="AA771"/>
      <c r="AB771"/>
      <c r="AC771"/>
    </row>
    <row r="772" spans="1:29" x14ac:dyDescent="0.25">
      <c r="A772"/>
      <c r="B772"/>
      <c r="C772"/>
      <c r="D772"/>
      <c r="E772"/>
      <c r="F772"/>
      <c r="G772"/>
      <c r="H772"/>
      <c r="I772"/>
      <c r="J772"/>
      <c r="K772"/>
      <c r="L772"/>
      <c r="M772"/>
      <c r="N772"/>
      <c r="O772"/>
      <c r="P772"/>
      <c r="Q772"/>
      <c r="R772"/>
      <c r="S772"/>
      <c r="T772"/>
      <c r="U772"/>
      <c r="V772"/>
      <c r="W772"/>
      <c r="X772"/>
      <c r="Y772"/>
      <c r="Z772"/>
      <c r="AA772"/>
      <c r="AB772"/>
      <c r="AC772"/>
    </row>
    <row r="773" spans="1:29" x14ac:dyDescent="0.25">
      <c r="A773"/>
      <c r="B773"/>
      <c r="C773"/>
      <c r="D773"/>
      <c r="E773"/>
      <c r="F773"/>
      <c r="G773"/>
      <c r="H773"/>
      <c r="I773"/>
      <c r="J773"/>
      <c r="K773"/>
      <c r="L773"/>
      <c r="M773"/>
      <c r="N773"/>
      <c r="O773"/>
      <c r="P773"/>
      <c r="Q773"/>
      <c r="R773"/>
      <c r="S773"/>
      <c r="T773"/>
      <c r="U773"/>
      <c r="V773"/>
      <c r="W773"/>
      <c r="X773"/>
      <c r="Y773"/>
      <c r="Z773"/>
      <c r="AA773"/>
      <c r="AB773"/>
      <c r="AC773"/>
    </row>
    <row r="774" spans="1:29" x14ac:dyDescent="0.25">
      <c r="A774"/>
      <c r="B774"/>
      <c r="C774"/>
      <c r="D774"/>
      <c r="E774"/>
      <c r="F774"/>
      <c r="G774"/>
      <c r="H774"/>
      <c r="I774"/>
      <c r="J774"/>
      <c r="K774"/>
      <c r="L774"/>
      <c r="M774"/>
      <c r="N774"/>
      <c r="O774"/>
      <c r="P774"/>
      <c r="Q774"/>
      <c r="R774"/>
      <c r="S774"/>
      <c r="T774"/>
      <c r="U774"/>
      <c r="V774"/>
      <c r="W774"/>
      <c r="X774"/>
      <c r="Y774"/>
      <c r="Z774"/>
      <c r="AA774"/>
      <c r="AB774"/>
      <c r="AC774"/>
    </row>
    <row r="775" spans="1:29" x14ac:dyDescent="0.25">
      <c r="A775"/>
      <c r="B775"/>
      <c r="C775"/>
      <c r="D775"/>
      <c r="E775"/>
      <c r="F775"/>
      <c r="G775"/>
      <c r="H775"/>
      <c r="I775"/>
      <c r="J775"/>
      <c r="K775"/>
      <c r="L775"/>
      <c r="M775"/>
      <c r="N775"/>
      <c r="O775"/>
      <c r="P775"/>
      <c r="Q775"/>
      <c r="R775"/>
      <c r="S775"/>
      <c r="T775"/>
      <c r="U775"/>
      <c r="V775"/>
      <c r="W775"/>
      <c r="X775"/>
      <c r="Y775"/>
      <c r="Z775"/>
      <c r="AA775"/>
      <c r="AB775"/>
      <c r="AC775"/>
    </row>
    <row r="776" spans="1:29" x14ac:dyDescent="0.25">
      <c r="A776"/>
      <c r="B776"/>
      <c r="C776"/>
      <c r="D776"/>
      <c r="E776"/>
      <c r="F776"/>
      <c r="G776"/>
      <c r="H776"/>
      <c r="I776"/>
      <c r="J776"/>
      <c r="K776"/>
      <c r="L776"/>
      <c r="M776"/>
      <c r="N776"/>
      <c r="O776"/>
      <c r="P776"/>
      <c r="Q776"/>
      <c r="R776"/>
      <c r="S776"/>
      <c r="T776"/>
      <c r="U776"/>
      <c r="V776"/>
      <c r="W776"/>
      <c r="X776"/>
      <c r="Y776"/>
      <c r="Z776"/>
      <c r="AA776"/>
      <c r="AB776"/>
      <c r="AC776"/>
    </row>
    <row r="777" spans="1:29" x14ac:dyDescent="0.25">
      <c r="A777"/>
      <c r="B777"/>
      <c r="C777"/>
      <c r="D777"/>
      <c r="E777"/>
      <c r="F777"/>
      <c r="G777"/>
      <c r="H777"/>
      <c r="I777"/>
      <c r="J777"/>
      <c r="K777"/>
      <c r="L777"/>
      <c r="M777"/>
      <c r="N777"/>
      <c r="O777"/>
      <c r="P777"/>
      <c r="Q777"/>
      <c r="R777"/>
      <c r="S777"/>
      <c r="T777"/>
      <c r="U777"/>
      <c r="V777"/>
      <c r="W777"/>
      <c r="X777"/>
      <c r="Y777"/>
      <c r="Z777"/>
      <c r="AA777"/>
      <c r="AB777"/>
      <c r="AC777"/>
    </row>
    <row r="778" spans="1:29" x14ac:dyDescent="0.25">
      <c r="A778"/>
      <c r="B778"/>
      <c r="C778"/>
      <c r="D778"/>
      <c r="E778"/>
      <c r="F778"/>
      <c r="G778"/>
      <c r="H778"/>
      <c r="I778"/>
      <c r="J778"/>
      <c r="K778"/>
      <c r="L778"/>
      <c r="M778"/>
      <c r="N778"/>
      <c r="O778"/>
      <c r="P778"/>
      <c r="Q778"/>
      <c r="R778"/>
      <c r="S778"/>
      <c r="T778"/>
      <c r="U778"/>
      <c r="V778"/>
      <c r="W778"/>
      <c r="X778"/>
      <c r="Y778"/>
      <c r="Z778"/>
      <c r="AA778"/>
      <c r="AB778"/>
      <c r="AC778"/>
    </row>
    <row r="779" spans="1:29" x14ac:dyDescent="0.25">
      <c r="A779"/>
      <c r="B779"/>
      <c r="C779"/>
      <c r="D779"/>
      <c r="E779"/>
      <c r="F779"/>
      <c r="G779"/>
      <c r="H779"/>
      <c r="I779"/>
      <c r="J779"/>
      <c r="K779"/>
      <c r="L779"/>
      <c r="M779"/>
      <c r="N779"/>
      <c r="O779"/>
      <c r="P779"/>
      <c r="Q779"/>
      <c r="R779"/>
      <c r="S779"/>
      <c r="T779"/>
      <c r="U779"/>
      <c r="V779"/>
      <c r="W779"/>
      <c r="X779"/>
      <c r="Y779"/>
      <c r="Z779"/>
      <c r="AA779"/>
      <c r="AB779"/>
      <c r="AC779"/>
    </row>
    <row r="780" spans="1:29" x14ac:dyDescent="0.25">
      <c r="A780"/>
      <c r="B780"/>
      <c r="C780"/>
      <c r="D780"/>
      <c r="E780"/>
      <c r="F780"/>
      <c r="G780"/>
      <c r="H780"/>
      <c r="I780"/>
      <c r="J780"/>
      <c r="K780"/>
      <c r="L780"/>
      <c r="M780"/>
      <c r="N780"/>
      <c r="O780"/>
      <c r="P780"/>
      <c r="Q780"/>
      <c r="R780"/>
      <c r="S780"/>
      <c r="T780"/>
      <c r="U780"/>
      <c r="V780"/>
      <c r="W780"/>
      <c r="X780"/>
      <c r="Y780"/>
      <c r="Z780"/>
      <c r="AA780"/>
      <c r="AB780"/>
      <c r="AC780"/>
    </row>
    <row r="781" spans="1:29" x14ac:dyDescent="0.25">
      <c r="A781"/>
      <c r="B781"/>
      <c r="C781"/>
      <c r="D781"/>
      <c r="E781"/>
      <c r="F781"/>
      <c r="G781"/>
      <c r="H781"/>
      <c r="I781"/>
      <c r="J781"/>
      <c r="K781"/>
      <c r="L781"/>
      <c r="M781"/>
      <c r="N781"/>
      <c r="O781"/>
      <c r="P781"/>
      <c r="Q781"/>
      <c r="R781"/>
      <c r="S781"/>
      <c r="T781"/>
      <c r="U781"/>
      <c r="V781"/>
      <c r="W781"/>
      <c r="X781"/>
      <c r="Y781"/>
      <c r="Z781"/>
      <c r="AA781"/>
      <c r="AB781"/>
      <c r="AC781"/>
    </row>
    <row r="782" spans="1:29" x14ac:dyDescent="0.25">
      <c r="A782"/>
      <c r="B782"/>
      <c r="C782"/>
      <c r="D782"/>
      <c r="E782"/>
      <c r="F782"/>
      <c r="G782"/>
      <c r="H782"/>
      <c r="I782"/>
      <c r="J782"/>
      <c r="K782"/>
      <c r="L782"/>
      <c r="M782"/>
      <c r="N782"/>
      <c r="O782"/>
      <c r="P782"/>
      <c r="Q782"/>
      <c r="R782"/>
      <c r="S782"/>
      <c r="T782"/>
      <c r="U782"/>
      <c r="V782"/>
      <c r="W782"/>
      <c r="X782"/>
      <c r="Y782"/>
      <c r="Z782"/>
      <c r="AA782"/>
      <c r="AB782"/>
      <c r="AC782"/>
    </row>
    <row r="783" spans="1:29" x14ac:dyDescent="0.25">
      <c r="A783"/>
      <c r="B783"/>
      <c r="C783"/>
      <c r="D783"/>
      <c r="E783"/>
      <c r="F783"/>
      <c r="G783"/>
      <c r="H783"/>
      <c r="I783"/>
      <c r="J783"/>
      <c r="K783"/>
      <c r="L783"/>
      <c r="M783"/>
      <c r="N783"/>
      <c r="O783"/>
      <c r="P783"/>
      <c r="Q783"/>
      <c r="R783"/>
      <c r="S783"/>
      <c r="T783"/>
      <c r="U783"/>
      <c r="V783"/>
      <c r="W783"/>
      <c r="X783"/>
      <c r="Y783"/>
      <c r="Z783"/>
      <c r="AA783"/>
      <c r="AB783"/>
      <c r="AC783"/>
    </row>
    <row r="784" spans="1:29" x14ac:dyDescent="0.25">
      <c r="A784"/>
      <c r="B784"/>
      <c r="C784"/>
      <c r="D784"/>
      <c r="E784"/>
      <c r="F784"/>
      <c r="G784"/>
      <c r="H784"/>
      <c r="I784"/>
      <c r="J784"/>
      <c r="K784"/>
      <c r="L784"/>
      <c r="M784"/>
      <c r="N784"/>
      <c r="O784"/>
      <c r="P784"/>
      <c r="Q784"/>
      <c r="R784"/>
      <c r="S784"/>
      <c r="T784"/>
      <c r="U784"/>
      <c r="V784"/>
      <c r="W784"/>
      <c r="X784"/>
      <c r="Y784"/>
      <c r="Z784"/>
      <c r="AA784"/>
      <c r="AB784"/>
      <c r="AC784"/>
    </row>
    <row r="785" spans="1:29" x14ac:dyDescent="0.25">
      <c r="A785"/>
      <c r="B785"/>
      <c r="C785"/>
      <c r="D785"/>
      <c r="E785"/>
      <c r="F785"/>
      <c r="G785"/>
      <c r="H785"/>
      <c r="I785"/>
      <c r="J785"/>
      <c r="K785"/>
      <c r="L785"/>
      <c r="M785"/>
      <c r="N785"/>
      <c r="O785"/>
      <c r="P785"/>
      <c r="Q785"/>
      <c r="R785"/>
      <c r="S785"/>
      <c r="T785"/>
      <c r="U785"/>
      <c r="V785"/>
      <c r="W785"/>
      <c r="X785"/>
      <c r="Y785"/>
      <c r="Z785"/>
      <c r="AA785"/>
      <c r="AB785"/>
      <c r="AC785"/>
    </row>
    <row r="786" spans="1:29" x14ac:dyDescent="0.25">
      <c r="A786"/>
      <c r="B786"/>
      <c r="C786"/>
      <c r="D786"/>
      <c r="E786"/>
      <c r="F786"/>
      <c r="G786"/>
      <c r="H786"/>
      <c r="I786"/>
      <c r="J786"/>
      <c r="K786"/>
      <c r="L786"/>
      <c r="M786"/>
      <c r="N786"/>
      <c r="O786"/>
      <c r="P786"/>
      <c r="Q786"/>
      <c r="R786"/>
      <c r="S786"/>
      <c r="T786"/>
      <c r="U786"/>
      <c r="V786"/>
      <c r="W786"/>
      <c r="X786"/>
      <c r="Y786"/>
      <c r="Z786"/>
      <c r="AA786"/>
      <c r="AB786"/>
      <c r="AC786"/>
    </row>
    <row r="787" spans="1:29" x14ac:dyDescent="0.25">
      <c r="A787"/>
      <c r="B787"/>
      <c r="C787"/>
      <c r="D787"/>
      <c r="E787"/>
      <c r="F787"/>
      <c r="G787"/>
      <c r="H787"/>
      <c r="I787"/>
      <c r="J787"/>
      <c r="K787"/>
      <c r="L787"/>
      <c r="M787"/>
      <c r="N787"/>
      <c r="O787"/>
      <c r="P787"/>
      <c r="Q787"/>
      <c r="R787"/>
      <c r="S787"/>
      <c r="T787"/>
      <c r="U787"/>
      <c r="V787"/>
      <c r="W787"/>
      <c r="X787"/>
      <c r="Y787"/>
      <c r="Z787"/>
      <c r="AA787"/>
      <c r="AB787"/>
      <c r="AC787"/>
    </row>
    <row r="788" spans="1:29" x14ac:dyDescent="0.25">
      <c r="A788"/>
      <c r="B788"/>
      <c r="C788"/>
      <c r="D788"/>
      <c r="E788"/>
      <c r="F788"/>
      <c r="G788"/>
      <c r="H788"/>
      <c r="I788"/>
      <c r="J788"/>
      <c r="K788"/>
      <c r="L788"/>
      <c r="M788"/>
      <c r="N788"/>
      <c r="O788"/>
      <c r="P788"/>
      <c r="Q788"/>
      <c r="R788"/>
      <c r="S788"/>
      <c r="T788"/>
      <c r="U788"/>
      <c r="V788"/>
      <c r="W788"/>
      <c r="X788"/>
      <c r="Y788"/>
      <c r="Z788"/>
      <c r="AA788"/>
      <c r="AB788"/>
      <c r="AC788"/>
    </row>
    <row r="789" spans="1:29" x14ac:dyDescent="0.25">
      <c r="A789"/>
      <c r="B789"/>
      <c r="C789"/>
      <c r="D789"/>
      <c r="E789"/>
      <c r="F789"/>
      <c r="G789"/>
      <c r="H789"/>
      <c r="I789"/>
      <c r="J789"/>
      <c r="K789"/>
      <c r="L789"/>
      <c r="M789"/>
      <c r="N789"/>
      <c r="O789"/>
      <c r="P789"/>
      <c r="Q789"/>
      <c r="R789"/>
      <c r="S789"/>
      <c r="T789"/>
      <c r="U789"/>
      <c r="V789"/>
      <c r="W789"/>
      <c r="X789"/>
      <c r="Y789"/>
      <c r="Z789"/>
      <c r="AA789"/>
      <c r="AB789"/>
      <c r="AC789"/>
    </row>
    <row r="790" spans="1:29" x14ac:dyDescent="0.25">
      <c r="A790"/>
      <c r="B790"/>
      <c r="C790"/>
      <c r="D790"/>
      <c r="E790"/>
      <c r="F790"/>
      <c r="G790"/>
      <c r="H790"/>
      <c r="I790"/>
      <c r="J790"/>
      <c r="K790"/>
      <c r="L790"/>
      <c r="M790"/>
      <c r="N790"/>
      <c r="O790"/>
      <c r="P790"/>
      <c r="Q790"/>
      <c r="R790"/>
      <c r="S790"/>
      <c r="T790"/>
      <c r="U790"/>
      <c r="V790"/>
      <c r="W790"/>
      <c r="X790"/>
      <c r="Y790"/>
      <c r="Z790"/>
      <c r="AA790"/>
      <c r="AB790"/>
      <c r="AC790"/>
    </row>
    <row r="791" spans="1:29" x14ac:dyDescent="0.25">
      <c r="A791"/>
      <c r="B791"/>
      <c r="C791"/>
      <c r="D791"/>
      <c r="E791"/>
      <c r="F791"/>
      <c r="G791"/>
      <c r="H791"/>
      <c r="I791"/>
      <c r="J791"/>
      <c r="K791"/>
      <c r="L791"/>
      <c r="M791"/>
      <c r="N791"/>
      <c r="O791"/>
      <c r="P791"/>
      <c r="Q791"/>
      <c r="R791"/>
      <c r="S791"/>
      <c r="T791"/>
      <c r="U791"/>
      <c r="V791"/>
      <c r="W791"/>
      <c r="X791"/>
      <c r="Y791"/>
      <c r="Z791"/>
      <c r="AA791"/>
      <c r="AB791"/>
      <c r="AC791"/>
    </row>
    <row r="792" spans="1:29" x14ac:dyDescent="0.25">
      <c r="A792"/>
      <c r="B792"/>
      <c r="C792"/>
      <c r="D792"/>
      <c r="E792"/>
      <c r="F792"/>
      <c r="G792"/>
      <c r="H792"/>
      <c r="I792"/>
      <c r="J792"/>
      <c r="K792"/>
      <c r="L792"/>
      <c r="M792"/>
      <c r="N792"/>
      <c r="O792"/>
      <c r="P792"/>
      <c r="Q792"/>
      <c r="R792"/>
      <c r="S792"/>
      <c r="T792"/>
      <c r="U792"/>
      <c r="V792"/>
      <c r="W792"/>
      <c r="X792"/>
      <c r="Y792"/>
      <c r="Z792"/>
      <c r="AA792"/>
      <c r="AB792"/>
      <c r="AC792"/>
    </row>
    <row r="793" spans="1:29" x14ac:dyDescent="0.25">
      <c r="A793"/>
      <c r="B793"/>
      <c r="C793"/>
      <c r="D793"/>
      <c r="E793"/>
      <c r="F793"/>
      <c r="G793"/>
      <c r="H793"/>
      <c r="I793"/>
      <c r="J793"/>
      <c r="K793"/>
      <c r="L793"/>
      <c r="M793"/>
      <c r="N793"/>
      <c r="O793"/>
      <c r="P793"/>
      <c r="Q793"/>
      <c r="R793"/>
      <c r="S793"/>
      <c r="T793"/>
      <c r="U793"/>
      <c r="V793"/>
      <c r="W793"/>
      <c r="X793"/>
      <c r="Y793"/>
      <c r="Z793"/>
      <c r="AA793"/>
      <c r="AB793"/>
      <c r="AC793"/>
    </row>
    <row r="794" spans="1:29" x14ac:dyDescent="0.25">
      <c r="A794"/>
      <c r="B794"/>
      <c r="C794"/>
      <c r="D794"/>
      <c r="E794"/>
      <c r="F794"/>
      <c r="G794"/>
      <c r="H794"/>
      <c r="I794"/>
      <c r="J794"/>
      <c r="K794"/>
      <c r="L794"/>
      <c r="M794"/>
      <c r="N794"/>
      <c r="O794"/>
      <c r="P794"/>
      <c r="Q794"/>
      <c r="R794"/>
      <c r="S794"/>
      <c r="T794"/>
      <c r="U794"/>
      <c r="V794"/>
      <c r="W794"/>
      <c r="X794"/>
      <c r="Y794"/>
      <c r="Z794"/>
      <c r="AA794"/>
      <c r="AB794"/>
      <c r="AC794"/>
    </row>
    <row r="795" spans="1:29" x14ac:dyDescent="0.25">
      <c r="A795"/>
      <c r="B795"/>
      <c r="C795"/>
      <c r="D795"/>
      <c r="E795"/>
      <c r="F795"/>
      <c r="G795"/>
      <c r="H795"/>
      <c r="I795"/>
      <c r="J795"/>
      <c r="K795"/>
      <c r="L795"/>
      <c r="M795"/>
      <c r="N795"/>
      <c r="O795"/>
      <c r="P795"/>
      <c r="Q795"/>
      <c r="R795"/>
      <c r="S795"/>
      <c r="T795"/>
      <c r="U795"/>
      <c r="V795"/>
      <c r="W795"/>
      <c r="X795"/>
      <c r="Y795"/>
      <c r="Z795"/>
      <c r="AA795"/>
      <c r="AB795"/>
      <c r="AC795"/>
    </row>
    <row r="796" spans="1:29" x14ac:dyDescent="0.25">
      <c r="A796"/>
      <c r="B796"/>
      <c r="C796"/>
      <c r="D796"/>
      <c r="E796"/>
      <c r="F796"/>
      <c r="G796"/>
      <c r="H796"/>
      <c r="I796"/>
      <c r="J796"/>
      <c r="K796"/>
      <c r="L796"/>
      <c r="M796"/>
      <c r="N796"/>
      <c r="O796"/>
      <c r="P796"/>
      <c r="Q796"/>
      <c r="R796"/>
      <c r="S796"/>
      <c r="T796"/>
      <c r="U796"/>
      <c r="V796"/>
      <c r="W796"/>
      <c r="X796"/>
      <c r="Y796"/>
      <c r="Z796"/>
      <c r="AA796"/>
      <c r="AB796"/>
      <c r="AC796"/>
    </row>
    <row r="797" spans="1:29" x14ac:dyDescent="0.25">
      <c r="A797"/>
      <c r="B797"/>
      <c r="C797"/>
      <c r="D797"/>
      <c r="E797"/>
      <c r="F797"/>
      <c r="G797"/>
      <c r="H797"/>
      <c r="I797"/>
      <c r="J797"/>
      <c r="K797"/>
      <c r="L797"/>
      <c r="M797"/>
      <c r="N797"/>
      <c r="O797"/>
      <c r="P797"/>
      <c r="Q797"/>
      <c r="R797"/>
      <c r="S797"/>
      <c r="T797"/>
      <c r="U797"/>
      <c r="V797"/>
      <c r="W797"/>
      <c r="X797"/>
      <c r="Y797"/>
      <c r="Z797"/>
      <c r="AA797"/>
      <c r="AB797"/>
      <c r="AC797"/>
    </row>
    <row r="798" spans="1:29" x14ac:dyDescent="0.25">
      <c r="A798"/>
      <c r="B798"/>
      <c r="C798"/>
      <c r="D798"/>
      <c r="E798"/>
      <c r="F798"/>
      <c r="G798"/>
      <c r="H798"/>
      <c r="I798"/>
      <c r="J798"/>
      <c r="K798"/>
      <c r="L798"/>
      <c r="M798"/>
      <c r="N798"/>
      <c r="O798"/>
      <c r="P798"/>
      <c r="Q798"/>
      <c r="R798"/>
      <c r="S798"/>
      <c r="T798"/>
      <c r="U798"/>
      <c r="V798"/>
      <c r="W798"/>
      <c r="X798"/>
      <c r="Y798"/>
      <c r="Z798"/>
      <c r="AA798"/>
      <c r="AB798"/>
      <c r="AC798"/>
    </row>
    <row r="799" spans="1:29" x14ac:dyDescent="0.25">
      <c r="A799"/>
      <c r="B799"/>
      <c r="C799"/>
      <c r="D799"/>
      <c r="E799"/>
      <c r="F799"/>
      <c r="G799"/>
      <c r="H799"/>
      <c r="I799"/>
      <c r="J799"/>
      <c r="K799"/>
      <c r="L799"/>
      <c r="M799"/>
      <c r="N799"/>
      <c r="O799"/>
      <c r="P799"/>
      <c r="Q799"/>
      <c r="R799"/>
      <c r="S799"/>
      <c r="T799"/>
      <c r="U799"/>
      <c r="V799"/>
      <c r="W799"/>
      <c r="X799"/>
      <c r="Y799"/>
      <c r="Z799"/>
      <c r="AA799"/>
      <c r="AB799"/>
      <c r="AC799"/>
    </row>
    <row r="800" spans="1:29" x14ac:dyDescent="0.25">
      <c r="A800"/>
      <c r="B800"/>
      <c r="C800"/>
      <c r="D800"/>
      <c r="E800"/>
      <c r="F800"/>
      <c r="G800"/>
      <c r="H800"/>
      <c r="I800"/>
      <c r="J800"/>
      <c r="K800"/>
      <c r="L800"/>
      <c r="M800"/>
      <c r="N800"/>
      <c r="O800"/>
      <c r="P800"/>
      <c r="Q800"/>
      <c r="R800"/>
      <c r="S800"/>
      <c r="T800"/>
      <c r="U800"/>
      <c r="V800"/>
      <c r="W800"/>
      <c r="X800"/>
      <c r="Y800"/>
      <c r="Z800"/>
      <c r="AA800"/>
      <c r="AB800"/>
      <c r="AC800"/>
    </row>
    <row r="801" spans="1:29" x14ac:dyDescent="0.25">
      <c r="A801"/>
      <c r="B801"/>
      <c r="C801"/>
      <c r="D801"/>
      <c r="E801"/>
      <c r="F801"/>
      <c r="G801"/>
      <c r="H801"/>
      <c r="I801"/>
      <c r="J801"/>
      <c r="K801"/>
      <c r="L801"/>
      <c r="M801"/>
      <c r="N801"/>
      <c r="O801"/>
      <c r="P801"/>
      <c r="Q801"/>
      <c r="R801"/>
      <c r="S801"/>
      <c r="T801"/>
      <c r="U801"/>
      <c r="V801"/>
      <c r="W801"/>
      <c r="X801"/>
      <c r="Y801"/>
      <c r="Z801"/>
      <c r="AA801"/>
      <c r="AB801"/>
      <c r="AC801"/>
    </row>
    <row r="802" spans="1:29" x14ac:dyDescent="0.25">
      <c r="A802"/>
      <c r="B802"/>
      <c r="C802"/>
      <c r="D802"/>
      <c r="E802"/>
      <c r="F802"/>
      <c r="G802"/>
      <c r="H802"/>
      <c r="I802"/>
      <c r="J802"/>
      <c r="K802"/>
      <c r="L802"/>
      <c r="M802"/>
      <c r="N802"/>
      <c r="O802"/>
      <c r="P802"/>
      <c r="Q802"/>
      <c r="R802"/>
      <c r="S802"/>
      <c r="T802"/>
      <c r="U802"/>
      <c r="V802"/>
      <c r="W802"/>
      <c r="X802"/>
      <c r="Y802"/>
      <c r="Z802"/>
      <c r="AA802"/>
      <c r="AB802"/>
      <c r="AC802"/>
    </row>
    <row r="803" spans="1:29" x14ac:dyDescent="0.25">
      <c r="A803"/>
      <c r="B803"/>
      <c r="C803"/>
      <c r="D803"/>
      <c r="E803"/>
      <c r="F803"/>
      <c r="G803"/>
      <c r="H803"/>
      <c r="I803"/>
      <c r="J803"/>
      <c r="K803"/>
      <c r="L803"/>
      <c r="M803"/>
      <c r="N803"/>
      <c r="O803"/>
      <c r="P803"/>
      <c r="Q803"/>
      <c r="R803"/>
      <c r="S803"/>
      <c r="T803"/>
      <c r="U803"/>
      <c r="V803"/>
      <c r="W803"/>
      <c r="X803"/>
      <c r="Y803"/>
      <c r="Z803"/>
      <c r="AA803"/>
      <c r="AB803"/>
      <c r="AC803"/>
    </row>
    <row r="804" spans="1:29" x14ac:dyDescent="0.25">
      <c r="A804"/>
      <c r="B804"/>
      <c r="C804"/>
      <c r="D804"/>
      <c r="E804"/>
      <c r="F804"/>
      <c r="G804"/>
      <c r="H804"/>
      <c r="I804"/>
      <c r="J804"/>
      <c r="K804"/>
      <c r="L804"/>
      <c r="M804"/>
      <c r="N804"/>
      <c r="O804"/>
      <c r="P804"/>
      <c r="Q804"/>
      <c r="R804"/>
      <c r="S804"/>
      <c r="T804"/>
      <c r="U804"/>
      <c r="V804"/>
      <c r="W804"/>
      <c r="X804"/>
      <c r="Y804"/>
      <c r="Z804"/>
      <c r="AA804"/>
      <c r="AB804"/>
      <c r="AC804"/>
    </row>
    <row r="805" spans="1:29" x14ac:dyDescent="0.25">
      <c r="A805"/>
      <c r="B805"/>
      <c r="C805"/>
      <c r="D805"/>
      <c r="E805"/>
      <c r="F805"/>
      <c r="G805"/>
      <c r="H805"/>
      <c r="I805"/>
      <c r="J805"/>
      <c r="K805"/>
      <c r="L805"/>
      <c r="M805"/>
      <c r="N805"/>
      <c r="O805"/>
      <c r="P805"/>
      <c r="Q805"/>
      <c r="R805"/>
      <c r="S805"/>
      <c r="T805"/>
      <c r="U805"/>
      <c r="V805"/>
      <c r="W805"/>
      <c r="X805"/>
      <c r="Y805"/>
      <c r="Z805"/>
      <c r="AA805"/>
      <c r="AB805"/>
      <c r="AC805"/>
    </row>
    <row r="806" spans="1:29" x14ac:dyDescent="0.25">
      <c r="A806"/>
      <c r="B806"/>
      <c r="C806"/>
      <c r="D806"/>
      <c r="E806"/>
      <c r="F806"/>
      <c r="G806"/>
      <c r="H806"/>
      <c r="I806"/>
      <c r="J806"/>
      <c r="K806"/>
      <c r="L806"/>
      <c r="M806"/>
      <c r="N806"/>
      <c r="O806"/>
      <c r="P806"/>
      <c r="Q806"/>
      <c r="R806"/>
      <c r="S806"/>
      <c r="T806"/>
      <c r="U806"/>
      <c r="V806"/>
      <c r="W806"/>
      <c r="X806"/>
      <c r="Y806"/>
      <c r="Z806"/>
      <c r="AA806"/>
      <c r="AB806"/>
      <c r="AC806"/>
    </row>
    <row r="807" spans="1:29" x14ac:dyDescent="0.25">
      <c r="A807"/>
      <c r="B807"/>
      <c r="C807"/>
      <c r="D807"/>
      <c r="E807"/>
      <c r="F807"/>
      <c r="G807"/>
      <c r="H807"/>
      <c r="I807"/>
      <c r="J807"/>
      <c r="K807"/>
      <c r="L807"/>
      <c r="M807"/>
      <c r="N807"/>
      <c r="O807"/>
      <c r="P807"/>
      <c r="Q807"/>
      <c r="R807"/>
      <c r="S807"/>
      <c r="T807"/>
      <c r="U807"/>
      <c r="V807"/>
      <c r="W807"/>
      <c r="X807"/>
      <c r="Y807"/>
      <c r="Z807"/>
      <c r="AA807"/>
      <c r="AB807"/>
      <c r="AC807"/>
    </row>
    <row r="808" spans="1:29" x14ac:dyDescent="0.25">
      <c r="A808"/>
      <c r="B808"/>
      <c r="C808"/>
      <c r="D808"/>
      <c r="E808"/>
      <c r="F808"/>
      <c r="G808"/>
      <c r="H808"/>
      <c r="I808"/>
      <c r="J808"/>
      <c r="K808"/>
      <c r="L808"/>
      <c r="M808"/>
      <c r="N808"/>
      <c r="O808"/>
      <c r="P808"/>
      <c r="Q808"/>
      <c r="R808"/>
      <c r="S808"/>
      <c r="T808"/>
      <c r="U808"/>
      <c r="V808"/>
      <c r="W808"/>
      <c r="X808"/>
      <c r="Y808"/>
      <c r="Z808"/>
      <c r="AA808"/>
      <c r="AB808"/>
      <c r="AC808"/>
    </row>
    <row r="809" spans="1:29" x14ac:dyDescent="0.25">
      <c r="A809"/>
      <c r="B809"/>
      <c r="C809"/>
      <c r="D809"/>
      <c r="E809"/>
      <c r="F809"/>
      <c r="G809"/>
      <c r="H809"/>
      <c r="I809"/>
      <c r="J809"/>
      <c r="K809"/>
      <c r="L809"/>
      <c r="M809"/>
      <c r="N809"/>
      <c r="O809"/>
      <c r="P809"/>
      <c r="Q809"/>
      <c r="R809"/>
      <c r="S809"/>
      <c r="T809"/>
      <c r="U809"/>
      <c r="V809"/>
      <c r="W809"/>
      <c r="X809"/>
      <c r="Y809"/>
      <c r="Z809"/>
      <c r="AA809"/>
      <c r="AB809"/>
      <c r="AC809"/>
    </row>
    <row r="810" spans="1:29" x14ac:dyDescent="0.25">
      <c r="A810"/>
      <c r="B810"/>
      <c r="C810"/>
      <c r="D810"/>
      <c r="E810"/>
      <c r="F810"/>
      <c r="G810"/>
      <c r="H810"/>
      <c r="I810"/>
      <c r="J810"/>
      <c r="K810"/>
      <c r="L810"/>
      <c r="M810"/>
      <c r="N810"/>
      <c r="O810"/>
      <c r="P810"/>
      <c r="Q810"/>
      <c r="R810"/>
      <c r="S810"/>
      <c r="T810"/>
      <c r="U810"/>
      <c r="V810"/>
      <c r="W810"/>
      <c r="X810"/>
      <c r="Y810"/>
      <c r="Z810"/>
      <c r="AA810"/>
      <c r="AB810"/>
      <c r="AC810"/>
    </row>
    <row r="811" spans="1:29" x14ac:dyDescent="0.25">
      <c r="A811"/>
      <c r="B811"/>
      <c r="C811"/>
      <c r="D811"/>
      <c r="E811"/>
      <c r="F811"/>
      <c r="G811"/>
      <c r="H811"/>
      <c r="I811"/>
      <c r="J811"/>
      <c r="K811"/>
      <c r="L811"/>
      <c r="M811"/>
      <c r="N811"/>
      <c r="O811"/>
      <c r="P811"/>
      <c r="Q811"/>
      <c r="R811"/>
      <c r="S811"/>
      <c r="T811"/>
      <c r="U811"/>
      <c r="V811"/>
      <c r="W811"/>
      <c r="X811"/>
      <c r="Y811"/>
      <c r="Z811"/>
      <c r="AA811"/>
      <c r="AB811"/>
      <c r="AC811"/>
    </row>
    <row r="812" spans="1:29" x14ac:dyDescent="0.25">
      <c r="A812"/>
      <c r="B812"/>
      <c r="C812"/>
      <c r="D812"/>
      <c r="E812"/>
      <c r="F812"/>
      <c r="G812"/>
      <c r="H812"/>
      <c r="I812"/>
      <c r="J812"/>
      <c r="K812"/>
      <c r="L812"/>
      <c r="M812"/>
      <c r="N812"/>
      <c r="O812"/>
      <c r="P812"/>
      <c r="Q812"/>
      <c r="R812"/>
      <c r="S812"/>
      <c r="T812"/>
      <c r="U812"/>
      <c r="V812"/>
      <c r="W812"/>
      <c r="X812"/>
      <c r="Y812"/>
      <c r="Z812"/>
      <c r="AA812"/>
      <c r="AB812"/>
      <c r="AC812"/>
    </row>
    <row r="813" spans="1:29" x14ac:dyDescent="0.25">
      <c r="A813"/>
      <c r="B813"/>
      <c r="C813"/>
      <c r="D813"/>
      <c r="E813"/>
      <c r="F813"/>
      <c r="G813"/>
      <c r="H813"/>
      <c r="I813"/>
      <c r="J813"/>
      <c r="K813"/>
      <c r="L813"/>
      <c r="M813"/>
      <c r="N813"/>
      <c r="O813"/>
      <c r="P813"/>
      <c r="Q813"/>
      <c r="R813"/>
      <c r="S813"/>
      <c r="T813"/>
      <c r="U813"/>
      <c r="V813"/>
      <c r="W813"/>
      <c r="X813"/>
      <c r="Y813"/>
      <c r="Z813"/>
      <c r="AA813"/>
      <c r="AB813"/>
      <c r="AC813"/>
    </row>
    <row r="814" spans="1:29" x14ac:dyDescent="0.25">
      <c r="A814"/>
      <c r="B814"/>
      <c r="C814"/>
      <c r="D814"/>
      <c r="E814"/>
      <c r="F814"/>
      <c r="G814"/>
      <c r="H814"/>
      <c r="I814"/>
      <c r="J814"/>
      <c r="K814"/>
      <c r="L814"/>
      <c r="M814"/>
      <c r="N814"/>
      <c r="O814"/>
      <c r="P814"/>
      <c r="Q814"/>
      <c r="R814"/>
      <c r="S814"/>
      <c r="T814"/>
      <c r="U814"/>
      <c r="V814"/>
      <c r="W814"/>
      <c r="X814"/>
      <c r="Y814"/>
      <c r="Z814"/>
      <c r="AA814"/>
      <c r="AB814"/>
      <c r="AC814"/>
    </row>
    <row r="815" spans="1:29" x14ac:dyDescent="0.25">
      <c r="A815"/>
      <c r="B815"/>
      <c r="C815"/>
      <c r="D815"/>
      <c r="E815"/>
      <c r="F815"/>
      <c r="G815"/>
      <c r="H815"/>
      <c r="I815"/>
      <c r="J815"/>
      <c r="K815"/>
      <c r="L815"/>
      <c r="M815"/>
      <c r="N815"/>
      <c r="O815"/>
      <c r="P815"/>
      <c r="Q815"/>
      <c r="R815"/>
      <c r="S815"/>
      <c r="T815"/>
      <c r="U815"/>
      <c r="V815"/>
      <c r="W815"/>
      <c r="X815"/>
      <c r="Y815"/>
      <c r="Z815"/>
      <c r="AA815"/>
      <c r="AB815"/>
      <c r="AC815"/>
    </row>
    <row r="816" spans="1:29" x14ac:dyDescent="0.25">
      <c r="A816"/>
      <c r="B816"/>
      <c r="C816"/>
      <c r="D816"/>
      <c r="E816"/>
      <c r="F816"/>
      <c r="G816"/>
      <c r="H816"/>
      <c r="I816"/>
      <c r="J816"/>
      <c r="K816"/>
      <c r="L816"/>
      <c r="M816"/>
      <c r="N816"/>
      <c r="O816"/>
      <c r="P816"/>
      <c r="Q816"/>
      <c r="R816"/>
      <c r="S816"/>
      <c r="T816"/>
      <c r="U816"/>
      <c r="V816"/>
      <c r="W816"/>
      <c r="X816"/>
      <c r="Y816"/>
      <c r="Z816"/>
      <c r="AA816"/>
      <c r="AB816"/>
      <c r="AC816"/>
    </row>
    <row r="817" spans="1:29" x14ac:dyDescent="0.25">
      <c r="A817"/>
      <c r="B817"/>
      <c r="C817"/>
      <c r="D817"/>
      <c r="E817"/>
      <c r="F817"/>
      <c r="G817"/>
      <c r="H817"/>
      <c r="I817"/>
      <c r="J817"/>
      <c r="K817"/>
      <c r="L817"/>
      <c r="M817"/>
      <c r="N817"/>
      <c r="O817"/>
      <c r="P817"/>
      <c r="Q817"/>
      <c r="R817"/>
      <c r="S817"/>
      <c r="T817"/>
      <c r="U817"/>
      <c r="V817"/>
      <c r="W817"/>
      <c r="X817"/>
      <c r="Y817"/>
      <c r="Z817"/>
      <c r="AA817"/>
      <c r="AB817"/>
      <c r="AC817"/>
    </row>
    <row r="818" spans="1:29" x14ac:dyDescent="0.25">
      <c r="A818"/>
      <c r="B818"/>
      <c r="C818"/>
      <c r="D818"/>
      <c r="E818"/>
      <c r="F818"/>
      <c r="G818"/>
      <c r="H818"/>
      <c r="I818"/>
      <c r="J818"/>
      <c r="K818"/>
      <c r="L818"/>
      <c r="M818"/>
      <c r="N818"/>
      <c r="O818"/>
      <c r="P818"/>
      <c r="Q818"/>
      <c r="R818"/>
      <c r="S818"/>
      <c r="T818"/>
      <c r="U818"/>
      <c r="V818"/>
      <c r="W818"/>
      <c r="X818"/>
      <c r="Y818"/>
      <c r="Z818"/>
      <c r="AA818"/>
      <c r="AB818"/>
      <c r="AC818"/>
    </row>
    <row r="819" spans="1:29" x14ac:dyDescent="0.25">
      <c r="A819"/>
      <c r="B819"/>
      <c r="C819"/>
      <c r="D819"/>
      <c r="E819"/>
      <c r="F819"/>
      <c r="G819"/>
      <c r="H819"/>
      <c r="I819"/>
      <c r="J819"/>
      <c r="K819"/>
      <c r="L819"/>
      <c r="M819"/>
      <c r="N819"/>
      <c r="O819"/>
      <c r="P819"/>
      <c r="Q819"/>
      <c r="R819"/>
      <c r="S819"/>
      <c r="T819"/>
      <c r="U819"/>
      <c r="V819"/>
      <c r="W819"/>
      <c r="X819"/>
      <c r="Y819"/>
      <c r="Z819"/>
      <c r="AA819"/>
      <c r="AB819"/>
      <c r="AC819"/>
    </row>
    <row r="820" spans="1:29" x14ac:dyDescent="0.25">
      <c r="A820"/>
      <c r="B820"/>
      <c r="C820"/>
      <c r="D820"/>
      <c r="E820"/>
      <c r="F820"/>
      <c r="G820"/>
      <c r="H820"/>
      <c r="I820"/>
      <c r="J820"/>
      <c r="K820"/>
      <c r="L820"/>
      <c r="M820"/>
      <c r="N820"/>
      <c r="O820"/>
      <c r="P820"/>
      <c r="Q820"/>
      <c r="R820"/>
      <c r="S820"/>
      <c r="T820"/>
      <c r="U820"/>
      <c r="V820"/>
      <c r="W820"/>
      <c r="X820"/>
      <c r="Y820"/>
      <c r="Z820"/>
      <c r="AA820"/>
      <c r="AB820"/>
      <c r="AC820"/>
    </row>
    <row r="821" spans="1:29" x14ac:dyDescent="0.25">
      <c r="A821"/>
      <c r="B821"/>
      <c r="C821"/>
      <c r="D821"/>
      <c r="E821"/>
      <c r="F821"/>
      <c r="G821"/>
      <c r="H821"/>
      <c r="I821"/>
      <c r="J821"/>
      <c r="K821"/>
      <c r="L821"/>
      <c r="M821"/>
      <c r="N821"/>
      <c r="O821"/>
      <c r="P821"/>
      <c r="Q821"/>
      <c r="R821"/>
      <c r="S821"/>
      <c r="T821"/>
      <c r="U821"/>
      <c r="V821"/>
      <c r="W821"/>
      <c r="X821"/>
      <c r="Y821"/>
      <c r="Z821"/>
      <c r="AA821"/>
      <c r="AB821"/>
      <c r="AC821"/>
    </row>
    <row r="822" spans="1:29" x14ac:dyDescent="0.25">
      <c r="A822"/>
      <c r="B822"/>
      <c r="C822"/>
      <c r="D822"/>
      <c r="E822"/>
      <c r="F822"/>
      <c r="G822"/>
      <c r="H822"/>
      <c r="I822"/>
      <c r="J822"/>
      <c r="K822"/>
      <c r="L822"/>
      <c r="M822"/>
      <c r="N822"/>
      <c r="O822"/>
      <c r="P822"/>
      <c r="Q822"/>
      <c r="R822"/>
      <c r="S822"/>
      <c r="T822"/>
      <c r="U822"/>
      <c r="V822"/>
      <c r="W822"/>
      <c r="X822"/>
      <c r="Y822"/>
      <c r="Z822"/>
      <c r="AA822"/>
      <c r="AB822"/>
      <c r="AC822"/>
    </row>
    <row r="823" spans="1:29" x14ac:dyDescent="0.25">
      <c r="A823"/>
      <c r="B823"/>
      <c r="C823"/>
      <c r="D823"/>
      <c r="E823"/>
      <c r="F823"/>
      <c r="G823"/>
      <c r="H823"/>
      <c r="I823"/>
      <c r="J823"/>
      <c r="K823"/>
      <c r="L823"/>
      <c r="M823"/>
      <c r="N823"/>
      <c r="O823"/>
      <c r="P823"/>
      <c r="Q823"/>
      <c r="R823"/>
      <c r="S823"/>
      <c r="T823"/>
      <c r="U823"/>
      <c r="V823"/>
      <c r="W823"/>
      <c r="X823"/>
      <c r="Y823"/>
      <c r="Z823"/>
      <c r="AA823"/>
      <c r="AB823"/>
      <c r="AC823"/>
    </row>
    <row r="824" spans="1:29" x14ac:dyDescent="0.25">
      <c r="A824"/>
      <c r="B824"/>
      <c r="C824"/>
      <c r="D824"/>
      <c r="E824"/>
      <c r="F824"/>
      <c r="G824"/>
      <c r="H824"/>
      <c r="I824"/>
      <c r="J824"/>
      <c r="K824"/>
      <c r="L824"/>
      <c r="M824"/>
      <c r="N824"/>
      <c r="O824"/>
      <c r="P824"/>
      <c r="Q824"/>
      <c r="R824"/>
      <c r="S824"/>
      <c r="T824"/>
      <c r="U824"/>
      <c r="V824"/>
      <c r="W824"/>
      <c r="X824"/>
      <c r="Y824"/>
      <c r="Z824"/>
      <c r="AA824"/>
      <c r="AB824"/>
      <c r="AC824"/>
    </row>
    <row r="825" spans="1:29" x14ac:dyDescent="0.25">
      <c r="A825"/>
      <c r="B825"/>
      <c r="C825"/>
      <c r="D825"/>
      <c r="E825"/>
      <c r="F825"/>
      <c r="G825"/>
      <c r="H825"/>
      <c r="I825"/>
      <c r="J825"/>
      <c r="K825"/>
      <c r="L825"/>
      <c r="M825"/>
      <c r="N825"/>
      <c r="O825"/>
      <c r="P825"/>
      <c r="Q825"/>
      <c r="R825"/>
      <c r="S825"/>
      <c r="T825"/>
      <c r="U825"/>
      <c r="V825"/>
      <c r="W825"/>
      <c r="X825"/>
      <c r="Y825"/>
      <c r="Z825"/>
      <c r="AA825"/>
      <c r="AB825"/>
      <c r="AC825"/>
    </row>
    <row r="826" spans="1:29" x14ac:dyDescent="0.25">
      <c r="A826"/>
      <c r="B826"/>
      <c r="C826"/>
      <c r="D826"/>
      <c r="E826"/>
      <c r="F826"/>
      <c r="G826"/>
      <c r="H826"/>
      <c r="I826"/>
      <c r="J826"/>
      <c r="K826"/>
      <c r="L826"/>
      <c r="M826"/>
      <c r="N826"/>
      <c r="O826"/>
      <c r="P826"/>
      <c r="Q826"/>
      <c r="R826"/>
      <c r="S826"/>
      <c r="T826"/>
      <c r="U826"/>
      <c r="V826"/>
      <c r="W826"/>
      <c r="X826"/>
      <c r="Y826"/>
      <c r="Z826"/>
      <c r="AA826"/>
      <c r="AB826"/>
      <c r="AC826"/>
    </row>
    <row r="827" spans="1:29" x14ac:dyDescent="0.25">
      <c r="A827"/>
      <c r="B827"/>
      <c r="C827"/>
      <c r="D827"/>
      <c r="E827"/>
      <c r="F827"/>
      <c r="G827"/>
      <c r="H827"/>
      <c r="I827"/>
      <c r="J827"/>
      <c r="K827"/>
      <c r="L827"/>
      <c r="M827"/>
      <c r="N827"/>
      <c r="O827"/>
      <c r="P827"/>
      <c r="Q827"/>
      <c r="R827"/>
      <c r="S827"/>
      <c r="T827"/>
      <c r="U827"/>
      <c r="V827"/>
      <c r="W827"/>
      <c r="X827"/>
      <c r="Y827"/>
      <c r="Z827"/>
      <c r="AA827"/>
      <c r="AB827"/>
      <c r="AC827"/>
    </row>
    <row r="828" spans="1:29" x14ac:dyDescent="0.25">
      <c r="A828"/>
      <c r="B828"/>
      <c r="C828"/>
      <c r="D828"/>
      <c r="E828"/>
      <c r="F828"/>
      <c r="G828"/>
      <c r="H828"/>
      <c r="I828"/>
      <c r="J828"/>
      <c r="K828"/>
      <c r="L828"/>
      <c r="M828"/>
      <c r="N828"/>
      <c r="O828"/>
      <c r="P828"/>
      <c r="Q828"/>
      <c r="R828"/>
      <c r="S828"/>
      <c r="T828"/>
      <c r="U828"/>
      <c r="V828"/>
      <c r="W828"/>
      <c r="X828"/>
      <c r="Y828"/>
      <c r="Z828"/>
      <c r="AA828"/>
      <c r="AB828"/>
      <c r="AC828"/>
    </row>
    <row r="829" spans="1:29" x14ac:dyDescent="0.25">
      <c r="A829"/>
      <c r="B829"/>
      <c r="C829"/>
      <c r="D829"/>
      <c r="E829"/>
      <c r="F829"/>
      <c r="G829"/>
      <c r="H829"/>
      <c r="I829"/>
      <c r="J829"/>
      <c r="K829"/>
      <c r="L829"/>
      <c r="M829"/>
      <c r="N829"/>
      <c r="O829"/>
      <c r="P829"/>
      <c r="Q829"/>
      <c r="R829"/>
      <c r="S829"/>
      <c r="T829"/>
      <c r="U829"/>
      <c r="V829"/>
      <c r="W829"/>
      <c r="X829"/>
      <c r="Y829"/>
      <c r="Z829"/>
      <c r="AA829"/>
      <c r="AB829"/>
      <c r="AC829"/>
    </row>
    <row r="830" spans="1:29" x14ac:dyDescent="0.25">
      <c r="A830"/>
      <c r="B830"/>
      <c r="C830"/>
      <c r="D830"/>
      <c r="E830"/>
      <c r="F830"/>
      <c r="G830"/>
      <c r="H830"/>
      <c r="I830"/>
      <c r="J830"/>
      <c r="K830"/>
      <c r="L830"/>
      <c r="M830"/>
      <c r="N830"/>
      <c r="O830"/>
      <c r="P830"/>
      <c r="Q830"/>
      <c r="R830"/>
      <c r="S830"/>
      <c r="T830"/>
      <c r="U830"/>
      <c r="V830"/>
      <c r="W830"/>
      <c r="X830"/>
      <c r="Y830"/>
      <c r="Z830"/>
      <c r="AA830"/>
      <c r="AB830"/>
      <c r="AC830"/>
    </row>
    <row r="831" spans="1:29" x14ac:dyDescent="0.25">
      <c r="A831"/>
      <c r="B831"/>
      <c r="C831"/>
      <c r="D831"/>
      <c r="E831"/>
      <c r="F831"/>
      <c r="G831"/>
      <c r="H831"/>
      <c r="I831"/>
      <c r="J831"/>
      <c r="K831"/>
      <c r="L831"/>
      <c r="M831"/>
      <c r="N831"/>
      <c r="O831"/>
      <c r="P831"/>
      <c r="Q831"/>
      <c r="R831"/>
      <c r="S831"/>
      <c r="T831"/>
      <c r="U831"/>
      <c r="V831"/>
      <c r="W831"/>
      <c r="X831"/>
      <c r="Y831"/>
      <c r="Z831"/>
      <c r="AA831"/>
      <c r="AB831"/>
      <c r="AC831"/>
    </row>
    <row r="832" spans="1:29" x14ac:dyDescent="0.25">
      <c r="A832"/>
      <c r="B832"/>
      <c r="C832"/>
      <c r="D832"/>
      <c r="E832"/>
      <c r="F832"/>
      <c r="G832"/>
      <c r="H832"/>
      <c r="I832"/>
      <c r="J832"/>
      <c r="K832"/>
      <c r="L832"/>
      <c r="M832"/>
      <c r="N832"/>
      <c r="O832"/>
      <c r="P832"/>
      <c r="Q832"/>
      <c r="R832"/>
      <c r="S832"/>
      <c r="T832"/>
      <c r="U832"/>
      <c r="V832"/>
      <c r="W832"/>
      <c r="X832"/>
      <c r="Y832"/>
      <c r="Z832"/>
      <c r="AA832"/>
      <c r="AB832"/>
      <c r="AC832"/>
    </row>
    <row r="833" spans="1:29" x14ac:dyDescent="0.25">
      <c r="A833"/>
      <c r="B833"/>
      <c r="C833"/>
      <c r="D833"/>
      <c r="E833"/>
      <c r="F833"/>
      <c r="G833"/>
      <c r="H833"/>
      <c r="I833"/>
      <c r="J833"/>
      <c r="K833"/>
      <c r="L833"/>
      <c r="M833"/>
      <c r="N833"/>
      <c r="O833"/>
      <c r="P833"/>
      <c r="Q833"/>
      <c r="R833"/>
      <c r="S833"/>
      <c r="T833"/>
      <c r="U833"/>
      <c r="V833"/>
      <c r="W833"/>
      <c r="X833"/>
      <c r="Y833"/>
      <c r="Z833"/>
      <c r="AA833"/>
      <c r="AB833"/>
      <c r="AC833"/>
    </row>
    <row r="834" spans="1:29" x14ac:dyDescent="0.25">
      <c r="A834"/>
      <c r="B834"/>
      <c r="C834"/>
      <c r="D834"/>
      <c r="E834"/>
      <c r="F834"/>
      <c r="G834"/>
      <c r="H834"/>
      <c r="I834"/>
      <c r="J834"/>
      <c r="K834"/>
      <c r="L834"/>
      <c r="M834"/>
      <c r="N834"/>
      <c r="O834"/>
      <c r="P834"/>
      <c r="Q834"/>
      <c r="R834"/>
      <c r="S834"/>
      <c r="T834"/>
      <c r="U834"/>
      <c r="V834"/>
      <c r="W834"/>
      <c r="X834"/>
      <c r="Y834"/>
      <c r="Z834"/>
      <c r="AA834"/>
      <c r="AB834"/>
      <c r="AC834"/>
    </row>
    <row r="835" spans="1:29" x14ac:dyDescent="0.25">
      <c r="A835"/>
      <c r="B835"/>
      <c r="C835"/>
      <c r="D835"/>
      <c r="E835"/>
      <c r="F835"/>
      <c r="G835"/>
      <c r="H835"/>
      <c r="I835"/>
      <c r="J835"/>
      <c r="K835"/>
      <c r="L835"/>
      <c r="M835"/>
      <c r="N835"/>
      <c r="O835"/>
      <c r="P835"/>
      <c r="Q835"/>
      <c r="R835"/>
      <c r="S835"/>
      <c r="T835"/>
      <c r="U835"/>
      <c r="V835"/>
      <c r="W835"/>
      <c r="X835"/>
      <c r="Y835"/>
      <c r="Z835"/>
      <c r="AA835"/>
      <c r="AB835"/>
      <c r="AC835"/>
    </row>
    <row r="836" spans="1:29" x14ac:dyDescent="0.25">
      <c r="A836"/>
      <c r="B836"/>
      <c r="C836"/>
      <c r="D836"/>
      <c r="E836"/>
      <c r="F836"/>
      <c r="G836"/>
      <c r="H836"/>
      <c r="I836"/>
      <c r="J836"/>
      <c r="K836"/>
      <c r="L836"/>
      <c r="M836"/>
      <c r="N836"/>
      <c r="O836"/>
      <c r="P836"/>
      <c r="Q836"/>
      <c r="R836"/>
      <c r="S836"/>
      <c r="T836"/>
      <c r="U836"/>
      <c r="V836"/>
      <c r="W836"/>
      <c r="X836"/>
      <c r="Y836"/>
      <c r="Z836"/>
      <c r="AA836"/>
      <c r="AB836"/>
      <c r="AC836"/>
    </row>
    <row r="837" spans="1:29" x14ac:dyDescent="0.25">
      <c r="A837"/>
      <c r="B837"/>
      <c r="C837"/>
      <c r="D837"/>
      <c r="E837"/>
      <c r="F837"/>
      <c r="G837"/>
      <c r="H837"/>
      <c r="I837"/>
      <c r="J837"/>
      <c r="K837"/>
      <c r="L837"/>
      <c r="M837"/>
      <c r="N837"/>
      <c r="O837"/>
      <c r="P837"/>
      <c r="Q837"/>
      <c r="R837"/>
      <c r="S837"/>
      <c r="T837"/>
      <c r="U837"/>
      <c r="V837"/>
      <c r="W837"/>
      <c r="X837"/>
      <c r="Y837"/>
      <c r="Z837"/>
      <c r="AA837"/>
      <c r="AB837"/>
      <c r="AC837"/>
    </row>
    <row r="838" spans="1:29" x14ac:dyDescent="0.25">
      <c r="A838"/>
      <c r="B838"/>
      <c r="C838"/>
      <c r="D838"/>
      <c r="E838"/>
      <c r="F838"/>
      <c r="G838"/>
      <c r="H838"/>
      <c r="I838"/>
      <c r="J838"/>
      <c r="K838"/>
      <c r="L838"/>
      <c r="M838"/>
      <c r="N838"/>
      <c r="O838"/>
      <c r="P838"/>
      <c r="Q838"/>
      <c r="R838"/>
      <c r="S838"/>
      <c r="T838"/>
      <c r="U838"/>
      <c r="V838"/>
      <c r="W838"/>
      <c r="X838"/>
      <c r="Y838"/>
      <c r="Z838"/>
      <c r="AA838"/>
      <c r="AB838"/>
      <c r="AC838"/>
    </row>
    <row r="839" spans="1:29" x14ac:dyDescent="0.25">
      <c r="A839"/>
      <c r="B839"/>
      <c r="C839"/>
      <c r="D839"/>
      <c r="E839"/>
      <c r="F839"/>
      <c r="G839"/>
      <c r="H839"/>
      <c r="I839"/>
      <c r="J839"/>
      <c r="K839"/>
      <c r="L839"/>
      <c r="M839"/>
      <c r="N839"/>
      <c r="O839"/>
      <c r="P839"/>
      <c r="Q839"/>
      <c r="R839"/>
      <c r="S839"/>
      <c r="T839"/>
      <c r="U839"/>
      <c r="V839"/>
      <c r="W839"/>
      <c r="X839"/>
      <c r="Y839"/>
      <c r="Z839"/>
      <c r="AA839"/>
      <c r="AB839"/>
      <c r="AC839"/>
    </row>
    <row r="840" spans="1:29" x14ac:dyDescent="0.25">
      <c r="A840"/>
      <c r="B840"/>
      <c r="C840"/>
      <c r="D840"/>
      <c r="E840"/>
      <c r="F840"/>
      <c r="G840"/>
      <c r="H840"/>
      <c r="I840"/>
      <c r="J840"/>
      <c r="K840"/>
      <c r="L840"/>
      <c r="M840"/>
      <c r="N840"/>
      <c r="O840"/>
      <c r="P840"/>
      <c r="Q840"/>
      <c r="R840"/>
      <c r="S840"/>
      <c r="T840"/>
      <c r="U840"/>
      <c r="V840"/>
      <c r="W840"/>
      <c r="X840"/>
      <c r="Y840"/>
      <c r="Z840"/>
      <c r="AA840"/>
      <c r="AB840"/>
      <c r="AC840"/>
    </row>
    <row r="841" spans="1:29" x14ac:dyDescent="0.25">
      <c r="A841"/>
      <c r="B841"/>
      <c r="C841"/>
      <c r="D841"/>
      <c r="E841"/>
      <c r="F841"/>
      <c r="G841"/>
      <c r="H841"/>
      <c r="I841"/>
      <c r="J841"/>
      <c r="K841"/>
      <c r="L841"/>
      <c r="M841"/>
      <c r="N841"/>
      <c r="O841"/>
      <c r="P841"/>
      <c r="Q841"/>
      <c r="R841"/>
      <c r="S841"/>
      <c r="T841"/>
      <c r="U841"/>
      <c r="V841"/>
      <c r="W841"/>
      <c r="X841"/>
      <c r="Y841"/>
      <c r="Z841"/>
      <c r="AA841"/>
      <c r="AB841"/>
      <c r="AC841"/>
    </row>
    <row r="842" spans="1:29" x14ac:dyDescent="0.25">
      <c r="A842"/>
      <c r="B842"/>
      <c r="C842"/>
      <c r="D842"/>
      <c r="E842"/>
      <c r="F842"/>
      <c r="G842"/>
      <c r="H842"/>
      <c r="I842"/>
      <c r="J842"/>
      <c r="K842"/>
      <c r="L842"/>
      <c r="M842"/>
      <c r="N842"/>
      <c r="O842"/>
      <c r="P842"/>
      <c r="Q842"/>
      <c r="R842"/>
      <c r="S842"/>
      <c r="T842"/>
      <c r="U842"/>
      <c r="V842"/>
      <c r="W842"/>
      <c r="X842"/>
      <c r="Y842"/>
      <c r="Z842"/>
      <c r="AA842"/>
      <c r="AB842"/>
      <c r="AC842"/>
    </row>
    <row r="843" spans="1:29" x14ac:dyDescent="0.25">
      <c r="A843"/>
      <c r="B843"/>
      <c r="C843"/>
      <c r="D843"/>
      <c r="E843"/>
      <c r="F843"/>
      <c r="G843"/>
      <c r="H843"/>
      <c r="I843"/>
      <c r="J843"/>
      <c r="K843"/>
      <c r="L843"/>
      <c r="M843"/>
      <c r="N843"/>
      <c r="O843"/>
      <c r="P843"/>
      <c r="Q843"/>
      <c r="R843"/>
      <c r="S843"/>
      <c r="T843"/>
      <c r="U843"/>
      <c r="V843"/>
      <c r="W843"/>
      <c r="X843"/>
      <c r="Y843"/>
      <c r="Z843"/>
      <c r="AA843"/>
      <c r="AB843"/>
      <c r="AC843"/>
    </row>
    <row r="844" spans="1:29" x14ac:dyDescent="0.25">
      <c r="A844"/>
      <c r="B844"/>
      <c r="C844"/>
      <c r="D844"/>
      <c r="E844"/>
      <c r="F844"/>
      <c r="G844"/>
      <c r="H844"/>
      <c r="I844"/>
      <c r="J844"/>
      <c r="K844"/>
      <c r="L844"/>
      <c r="M844"/>
      <c r="N844"/>
      <c r="O844"/>
      <c r="P844"/>
      <c r="Q844"/>
      <c r="R844"/>
      <c r="S844"/>
      <c r="T844"/>
      <c r="U844"/>
      <c r="V844"/>
      <c r="W844"/>
      <c r="X844"/>
      <c r="Y844"/>
      <c r="Z844"/>
      <c r="AA844"/>
      <c r="AB844"/>
      <c r="AC844"/>
    </row>
    <row r="845" spans="1:29" x14ac:dyDescent="0.25">
      <c r="A845"/>
      <c r="B845"/>
      <c r="C845"/>
      <c r="D845"/>
      <c r="E845"/>
      <c r="F845"/>
      <c r="G845"/>
      <c r="H845"/>
      <c r="I845"/>
      <c r="J845"/>
      <c r="K845"/>
      <c r="L845"/>
      <c r="M845"/>
      <c r="N845"/>
      <c r="O845"/>
      <c r="P845"/>
      <c r="Q845"/>
      <c r="R845"/>
      <c r="S845"/>
      <c r="T845"/>
      <c r="U845"/>
      <c r="V845"/>
      <c r="W845"/>
      <c r="X845"/>
      <c r="Y845"/>
      <c r="Z845"/>
      <c r="AA845"/>
      <c r="AB845"/>
      <c r="AC845"/>
    </row>
    <row r="846" spans="1:29" x14ac:dyDescent="0.25">
      <c r="A846"/>
      <c r="B846"/>
      <c r="C846"/>
      <c r="D846"/>
      <c r="E846"/>
      <c r="F846"/>
      <c r="G846"/>
      <c r="H846"/>
      <c r="I846"/>
      <c r="J846"/>
      <c r="K846"/>
      <c r="L846"/>
      <c r="M846"/>
      <c r="N846"/>
      <c r="O846"/>
      <c r="P846"/>
      <c r="Q846"/>
      <c r="R846"/>
      <c r="S846"/>
      <c r="T846"/>
      <c r="U846"/>
      <c r="V846"/>
      <c r="W846"/>
      <c r="X846"/>
      <c r="Y846"/>
      <c r="Z846"/>
      <c r="AA846"/>
      <c r="AB846"/>
      <c r="AC846"/>
    </row>
    <row r="847" spans="1:29" x14ac:dyDescent="0.25">
      <c r="A847"/>
      <c r="B847"/>
      <c r="C847"/>
      <c r="D847"/>
      <c r="E847"/>
      <c r="F847"/>
      <c r="G847"/>
      <c r="H847"/>
      <c r="I847"/>
      <c r="J847"/>
      <c r="K847"/>
      <c r="L847"/>
      <c r="M847"/>
      <c r="N847"/>
      <c r="O847"/>
      <c r="P847"/>
      <c r="Q847"/>
      <c r="R847"/>
      <c r="S847"/>
      <c r="T847"/>
      <c r="U847"/>
      <c r="V847"/>
      <c r="W847"/>
      <c r="X847"/>
      <c r="Y847"/>
      <c r="Z847"/>
      <c r="AA847"/>
      <c r="AB847"/>
      <c r="AC847"/>
    </row>
  </sheetData>
  <phoneticPr fontId="7" type="noConversion"/>
  <pageMargins left="0.7" right="0.7" top="0.75" bottom="0.75" header="0.3" footer="0.3"/>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53"/>
  <sheetViews>
    <sheetView topLeftCell="Q1" workbookViewId="0">
      <selection activeCell="C1" sqref="C1"/>
    </sheetView>
  </sheetViews>
  <sheetFormatPr baseColWidth="10" defaultColWidth="11.42578125" defaultRowHeight="15" x14ac:dyDescent="0.25"/>
  <cols>
    <col min="1" max="1" width="13.28515625" bestFit="1" customWidth="1"/>
    <col min="2" max="2" width="18.5703125" bestFit="1" customWidth="1"/>
    <col min="3" max="3" width="51.85546875" bestFit="1" customWidth="1"/>
    <col min="4" max="4" width="80.85546875" bestFit="1" customWidth="1"/>
    <col min="5" max="5" width="24.5703125" bestFit="1" customWidth="1"/>
    <col min="6" max="6" width="15" bestFit="1" customWidth="1"/>
    <col min="7" max="7" width="17.7109375" bestFit="1" customWidth="1"/>
    <col min="8" max="8" width="38.85546875" bestFit="1" customWidth="1"/>
    <col min="9" max="9" width="80.85546875" bestFit="1" customWidth="1"/>
    <col min="10" max="10" width="12.28515625" bestFit="1" customWidth="1"/>
    <col min="11" max="11" width="6.42578125" bestFit="1" customWidth="1"/>
    <col min="12" max="12" width="12" bestFit="1" customWidth="1"/>
    <col min="13" max="13" width="80.85546875" bestFit="1" customWidth="1"/>
    <col min="14" max="14" width="18.140625" bestFit="1" customWidth="1"/>
    <col min="15" max="15" width="21.85546875" bestFit="1" customWidth="1"/>
    <col min="16" max="16" width="11.7109375" bestFit="1" customWidth="1"/>
    <col min="17" max="17" width="14.85546875" bestFit="1" customWidth="1"/>
    <col min="18" max="18" width="16.7109375" bestFit="1" customWidth="1"/>
    <col min="19" max="19" width="11" bestFit="1" customWidth="1"/>
    <col min="20" max="20" width="43" bestFit="1" customWidth="1"/>
    <col min="21" max="21" width="19" bestFit="1" customWidth="1"/>
    <col min="22" max="22" width="4.28515625" bestFit="1" customWidth="1"/>
    <col min="23" max="23" width="20.7109375" bestFit="1" customWidth="1"/>
    <col min="24" max="24" width="15.7109375" bestFit="1" customWidth="1"/>
    <col min="25" max="25" width="57.7109375" customWidth="1"/>
    <col min="26" max="26" width="80.85546875" bestFit="1" customWidth="1"/>
  </cols>
  <sheetData>
    <row r="1" spans="1:30" x14ac:dyDescent="0.25">
      <c r="A1" t="s">
        <v>1669</v>
      </c>
      <c r="B1" t="s">
        <v>1670</v>
      </c>
      <c r="C1" t="s">
        <v>1671</v>
      </c>
      <c r="D1" t="s">
        <v>1674</v>
      </c>
      <c r="E1" t="s">
        <v>2468</v>
      </c>
      <c r="F1" t="s">
        <v>2469</v>
      </c>
      <c r="G1" t="s">
        <v>1672</v>
      </c>
      <c r="H1" t="s">
        <v>1676</v>
      </c>
      <c r="I1" t="s">
        <v>1677</v>
      </c>
      <c r="J1" t="s">
        <v>2470</v>
      </c>
      <c r="K1" t="s">
        <v>1675</v>
      </c>
      <c r="L1" t="s">
        <v>2471</v>
      </c>
      <c r="M1" t="s">
        <v>2472</v>
      </c>
      <c r="N1" t="s">
        <v>1678</v>
      </c>
      <c r="O1" t="s">
        <v>1679</v>
      </c>
      <c r="P1" t="s">
        <v>1680</v>
      </c>
      <c r="Q1" t="s">
        <v>2473</v>
      </c>
      <c r="R1" t="s">
        <v>1682</v>
      </c>
      <c r="S1" t="s">
        <v>1683</v>
      </c>
      <c r="T1" t="s">
        <v>2474</v>
      </c>
      <c r="U1" t="s">
        <v>2475</v>
      </c>
      <c r="V1" t="s">
        <v>2476</v>
      </c>
      <c r="W1" t="s">
        <v>2477</v>
      </c>
      <c r="X1" t="s">
        <v>2478</v>
      </c>
      <c r="Y1" t="s">
        <v>2479</v>
      </c>
    </row>
    <row r="2" spans="1:30" hidden="1" x14ac:dyDescent="0.25">
      <c r="A2">
        <v>5</v>
      </c>
      <c r="B2" t="s">
        <v>2480</v>
      </c>
      <c r="C2" t="s">
        <v>1043</v>
      </c>
      <c r="D2" t="s">
        <v>1685</v>
      </c>
      <c r="F2">
        <v>6</v>
      </c>
      <c r="G2">
        <v>1</v>
      </c>
      <c r="H2" t="s">
        <v>45</v>
      </c>
      <c r="I2" t="s">
        <v>1687</v>
      </c>
      <c r="J2">
        <v>372593890</v>
      </c>
      <c r="K2">
        <v>2025</v>
      </c>
      <c r="L2">
        <v>811007127</v>
      </c>
      <c r="M2" t="s">
        <v>2481</v>
      </c>
      <c r="N2" t="s">
        <v>1688</v>
      </c>
      <c r="O2" t="s">
        <v>1686</v>
      </c>
      <c r="P2">
        <v>0</v>
      </c>
      <c r="Q2">
        <v>372593890</v>
      </c>
      <c r="R2">
        <v>0</v>
      </c>
      <c r="S2">
        <v>0</v>
      </c>
      <c r="T2" t="str">
        <f t="shared" ref="T2:T65" si="0">IF(A2&gt;=0,CONCATENATE(A2,H2),"")</f>
        <v>51.00.0000.00.0-205616.2.1.1.01.01.001.01.</v>
      </c>
      <c r="U2" t="e" cm="1">
        <f t="array" aca="1" ref="U2" ca="1">+IF(COMPROMISOS_2025[[#This Row],[P]]="20","41080111",_xlfn.XLOOKUP(COMPROMISOS_2025[[#This Row],[concatenado]],PAA[[#All],[RCP-RUBRO]],PAA[[#All],[INDICADOR]],"",0))</f>
        <v>#NAME?</v>
      </c>
      <c r="V2" s="144" t="str">
        <f t="shared" ref="V2:V65" si="1">+MID(H2,11,2)</f>
        <v>00</v>
      </c>
      <c r="W2" s="136">
        <f>+COMPROMISOS_2025[[#This Row],[valor_total]]-COMPROMISOS_2025[[#This Row],[total_cancelado]]</f>
        <v>372593890</v>
      </c>
      <c r="X2" s="136">
        <f>COMPROMISOS_2025[[#This Row],[total_ordenes]]</f>
        <v>372593890</v>
      </c>
      <c r="Y2" t="str" cm="1">
        <f t="array" aca="1" ref="Y2" ca="1">IFERROR(_xlfn.XLOOKUP(COMPROMISOS_2025[[#This Row],[concatenado]],PAA[[#All],[RCP-RUBRO]],PAA[[#All],[Actividad3]],VLOOKUP(COMPROMISOS_2025[[#This Row],[Indicador Principal]],$AC$2:$AD$17,2,0),0),"")</f>
        <v/>
      </c>
      <c r="AC2" s="1">
        <v>41080101</v>
      </c>
      <c r="AD2" s="1" t="s">
        <v>2482</v>
      </c>
    </row>
    <row r="3" spans="1:30" hidden="1" x14ac:dyDescent="0.25">
      <c r="A3">
        <v>46</v>
      </c>
      <c r="B3" t="s">
        <v>2483</v>
      </c>
      <c r="C3" t="s">
        <v>1043</v>
      </c>
      <c r="D3" t="s">
        <v>1690</v>
      </c>
      <c r="F3">
        <v>61</v>
      </c>
      <c r="G3">
        <v>1</v>
      </c>
      <c r="H3" t="s">
        <v>45</v>
      </c>
      <c r="I3" t="s">
        <v>1687</v>
      </c>
      <c r="J3">
        <v>417731988</v>
      </c>
      <c r="K3">
        <v>2025</v>
      </c>
      <c r="L3">
        <v>811007127</v>
      </c>
      <c r="M3" t="s">
        <v>2481</v>
      </c>
      <c r="N3" t="s">
        <v>1688</v>
      </c>
      <c r="O3" t="s">
        <v>1686</v>
      </c>
      <c r="P3">
        <v>0</v>
      </c>
      <c r="Q3">
        <v>417731988</v>
      </c>
      <c r="R3">
        <v>0</v>
      </c>
      <c r="S3">
        <v>0</v>
      </c>
      <c r="T3" t="str">
        <f t="shared" si="0"/>
        <v>461.00.0000.00.0-205616.2.1.1.01.01.001.01.</v>
      </c>
      <c r="U3" t="e" cm="1">
        <f t="array" aca="1" ref="U3" ca="1">+IF(COMPROMISOS_2025[[#This Row],[P]]="20","41080111",_xlfn.XLOOKUP(COMPROMISOS_2025[[#This Row],[concatenado]],PAA[[#All],[RCP-RUBRO]],PAA[[#All],[INDICADOR]],"",0))</f>
        <v>#NAME?</v>
      </c>
      <c r="V3" s="144" t="str">
        <f t="shared" si="1"/>
        <v>00</v>
      </c>
      <c r="W3" s="136">
        <f>+COMPROMISOS_2025[[#This Row],[valor_total]]-COMPROMISOS_2025[[#This Row],[total_cancelado]]</f>
        <v>417731988</v>
      </c>
      <c r="X3" s="136">
        <f>COMPROMISOS_2025[[#This Row],[total_ordenes]]</f>
        <v>417731988</v>
      </c>
      <c r="Y3" t="str" cm="1">
        <f t="array" aca="1" ref="Y3" ca="1">IFERROR(_xlfn.XLOOKUP(COMPROMISOS_2025[[#This Row],[concatenado]],PAA[[#All],[RCP-RUBRO]],PAA[[#All],[Actividad3]],VLOOKUP(COMPROMISOS_2025[[#This Row],[Indicador Principal]],$AC$2:$AD$17,2,0),0),"")</f>
        <v/>
      </c>
      <c r="AC3" s="1">
        <v>41080105</v>
      </c>
      <c r="AD3" s="1" t="s">
        <v>2484</v>
      </c>
    </row>
    <row r="4" spans="1:30" hidden="1" x14ac:dyDescent="0.25">
      <c r="A4">
        <v>109</v>
      </c>
      <c r="B4" t="s">
        <v>2485</v>
      </c>
      <c r="C4" t="s">
        <v>1043</v>
      </c>
      <c r="D4" t="s">
        <v>1692</v>
      </c>
      <c r="F4">
        <v>319</v>
      </c>
      <c r="G4">
        <v>1</v>
      </c>
      <c r="H4" t="s">
        <v>45</v>
      </c>
      <c r="I4" t="s">
        <v>1687</v>
      </c>
      <c r="J4">
        <v>443442832</v>
      </c>
      <c r="K4">
        <v>2025</v>
      </c>
      <c r="L4">
        <v>811007127</v>
      </c>
      <c r="M4" t="s">
        <v>2481</v>
      </c>
      <c r="N4" t="s">
        <v>1688</v>
      </c>
      <c r="O4" t="s">
        <v>1686</v>
      </c>
      <c r="P4">
        <v>0</v>
      </c>
      <c r="Q4">
        <v>443442832</v>
      </c>
      <c r="R4">
        <v>0</v>
      </c>
      <c r="S4">
        <v>0</v>
      </c>
      <c r="T4" t="str">
        <f t="shared" si="0"/>
        <v>1091.00.0000.00.0-205616.2.1.1.01.01.001.01.</v>
      </c>
      <c r="U4" t="e" cm="1">
        <f t="array" aca="1" ref="U4" ca="1">+IF(COMPROMISOS_2025[[#This Row],[P]]="20","41080111",_xlfn.XLOOKUP(COMPROMISOS_2025[[#This Row],[concatenado]],PAA[[#All],[RCP-RUBRO]],PAA[[#All],[INDICADOR]],"",0))</f>
        <v>#NAME?</v>
      </c>
      <c r="V4" s="144" t="str">
        <f t="shared" si="1"/>
        <v>00</v>
      </c>
      <c r="W4" s="136">
        <f>+COMPROMISOS_2025[[#This Row],[valor_total]]-COMPROMISOS_2025[[#This Row],[total_cancelado]]</f>
        <v>443442832</v>
      </c>
      <c r="X4" s="136">
        <f>COMPROMISOS_2025[[#This Row],[total_ordenes]]</f>
        <v>443442832</v>
      </c>
      <c r="Y4" t="str" cm="1">
        <f t="array" aca="1" ref="Y4" ca="1">IFERROR(_xlfn.XLOOKUP(COMPROMISOS_2025[[#This Row],[concatenado]],PAA[[#All],[RCP-RUBRO]],PAA[[#All],[Actividad3]],VLOOKUP(COMPROMISOS_2025[[#This Row],[Indicador Principal]],$AC$2:$AD$17,2,0),0),"")</f>
        <v/>
      </c>
      <c r="AC4" s="1">
        <v>41080110</v>
      </c>
      <c r="AD4" s="1" t="s">
        <v>2486</v>
      </c>
    </row>
    <row r="5" spans="1:30" hidden="1" x14ac:dyDescent="0.25">
      <c r="A5">
        <v>429</v>
      </c>
      <c r="B5" t="s">
        <v>2487</v>
      </c>
      <c r="C5" t="s">
        <v>1043</v>
      </c>
      <c r="D5" t="s">
        <v>1694</v>
      </c>
      <c r="F5">
        <v>356</v>
      </c>
      <c r="G5">
        <v>1</v>
      </c>
      <c r="H5" t="s">
        <v>45</v>
      </c>
      <c r="I5" t="s">
        <v>1687</v>
      </c>
      <c r="J5">
        <v>19374888</v>
      </c>
      <c r="K5">
        <v>2025</v>
      </c>
      <c r="L5">
        <v>811007127</v>
      </c>
      <c r="M5" t="s">
        <v>2481</v>
      </c>
      <c r="N5" t="s">
        <v>1688</v>
      </c>
      <c r="O5" t="s">
        <v>1686</v>
      </c>
      <c r="P5">
        <v>0</v>
      </c>
      <c r="Q5">
        <v>19374888</v>
      </c>
      <c r="R5">
        <v>0</v>
      </c>
      <c r="S5">
        <v>0</v>
      </c>
      <c r="T5" t="str">
        <f t="shared" si="0"/>
        <v>4291.00.0000.00.0-205616.2.1.1.01.01.001.01.</v>
      </c>
      <c r="U5" t="e" cm="1">
        <f t="array" aca="1" ref="U5" ca="1">+IF(COMPROMISOS_2025[[#This Row],[P]]="20","41080111",_xlfn.XLOOKUP(COMPROMISOS_2025[[#This Row],[concatenado]],PAA[[#All],[RCP-RUBRO]],PAA[[#All],[INDICADOR]],"",0))</f>
        <v>#NAME?</v>
      </c>
      <c r="V5" s="144" t="str">
        <f t="shared" si="1"/>
        <v>00</v>
      </c>
      <c r="W5" s="136">
        <f>+COMPROMISOS_2025[[#This Row],[valor_total]]-COMPROMISOS_2025[[#This Row],[total_cancelado]]</f>
        <v>19374888</v>
      </c>
      <c r="X5" s="136">
        <f>COMPROMISOS_2025[[#This Row],[total_ordenes]]</f>
        <v>19374888</v>
      </c>
      <c r="Y5" t="str" cm="1">
        <f t="array" aca="1" ref="Y5" ca="1">IFERROR(_xlfn.XLOOKUP(COMPROMISOS_2025[[#This Row],[concatenado]],PAA[[#All],[RCP-RUBRO]],PAA[[#All],[Actividad3]],VLOOKUP(COMPROMISOS_2025[[#This Row],[Indicador Principal]],$AC$2:$AD$17,2,0),0),"")</f>
        <v/>
      </c>
      <c r="AC5" s="1">
        <v>41080104</v>
      </c>
      <c r="AD5" s="1" t="s">
        <v>2488</v>
      </c>
    </row>
    <row r="6" spans="1:30" hidden="1" x14ac:dyDescent="0.25">
      <c r="A6">
        <v>436</v>
      </c>
      <c r="B6" t="s">
        <v>2489</v>
      </c>
      <c r="C6" t="s">
        <v>1043</v>
      </c>
      <c r="D6" t="s">
        <v>1696</v>
      </c>
      <c r="F6">
        <v>381</v>
      </c>
      <c r="G6">
        <v>1</v>
      </c>
      <c r="H6" t="s">
        <v>45</v>
      </c>
      <c r="I6" t="s">
        <v>1687</v>
      </c>
      <c r="J6">
        <v>444422079</v>
      </c>
      <c r="K6">
        <v>2025</v>
      </c>
      <c r="L6">
        <v>811007127</v>
      </c>
      <c r="M6" t="s">
        <v>2481</v>
      </c>
      <c r="N6" t="s">
        <v>1688</v>
      </c>
      <c r="O6" t="s">
        <v>1686</v>
      </c>
      <c r="P6">
        <v>0</v>
      </c>
      <c r="Q6">
        <v>444422079</v>
      </c>
      <c r="R6">
        <v>0</v>
      </c>
      <c r="S6">
        <v>0</v>
      </c>
      <c r="T6" t="str">
        <f t="shared" si="0"/>
        <v>4361.00.0000.00.0-205616.2.1.1.01.01.001.01.</v>
      </c>
      <c r="U6" t="e" cm="1">
        <f t="array" aca="1" ref="U6" ca="1">+IF(COMPROMISOS_2025[[#This Row],[P]]="20","41080111",_xlfn.XLOOKUP(COMPROMISOS_2025[[#This Row],[concatenado]],PAA[[#All],[RCP-RUBRO]],PAA[[#All],[INDICADOR]],"",0))</f>
        <v>#NAME?</v>
      </c>
      <c r="V6" s="144" t="str">
        <f t="shared" si="1"/>
        <v>00</v>
      </c>
      <c r="W6" s="136">
        <f>+COMPROMISOS_2025[[#This Row],[valor_total]]-COMPROMISOS_2025[[#This Row],[total_cancelado]]</f>
        <v>444422079</v>
      </c>
      <c r="X6" s="136">
        <f>COMPROMISOS_2025[[#This Row],[total_ordenes]]</f>
        <v>444422079</v>
      </c>
      <c r="Y6" t="str" cm="1">
        <f t="array" aca="1" ref="Y6" ca="1">IFERROR(_xlfn.XLOOKUP(COMPROMISOS_2025[[#This Row],[concatenado]],PAA[[#All],[RCP-RUBRO]],PAA[[#All],[Actividad3]],VLOOKUP(COMPROMISOS_2025[[#This Row],[Indicador Principal]],$AC$2:$AD$17,2,0),0),"")</f>
        <v/>
      </c>
      <c r="AC6" s="1">
        <v>41080109</v>
      </c>
      <c r="AD6" s="1" t="s">
        <v>2490</v>
      </c>
    </row>
    <row r="7" spans="1:30" hidden="1" x14ac:dyDescent="0.25">
      <c r="A7">
        <v>1618</v>
      </c>
      <c r="B7" t="s">
        <v>2491</v>
      </c>
      <c r="C7" t="s">
        <v>1043</v>
      </c>
      <c r="D7" t="s">
        <v>1698</v>
      </c>
      <c r="F7">
        <v>412</v>
      </c>
      <c r="G7">
        <v>1</v>
      </c>
      <c r="H7" t="s">
        <v>45</v>
      </c>
      <c r="I7" t="s">
        <v>1687</v>
      </c>
      <c r="J7">
        <v>443563183</v>
      </c>
      <c r="K7">
        <v>2025</v>
      </c>
      <c r="L7">
        <v>811007127</v>
      </c>
      <c r="M7" t="s">
        <v>2481</v>
      </c>
      <c r="N7" t="s">
        <v>1688</v>
      </c>
      <c r="O7" t="s">
        <v>1686</v>
      </c>
      <c r="P7">
        <v>0</v>
      </c>
      <c r="Q7">
        <v>443563183</v>
      </c>
      <c r="R7">
        <v>0</v>
      </c>
      <c r="S7">
        <v>0</v>
      </c>
      <c r="T7" t="str">
        <f t="shared" si="0"/>
        <v>16181.00.0000.00.0-205616.2.1.1.01.01.001.01.</v>
      </c>
      <c r="U7" t="e" cm="1">
        <f t="array" aca="1" ref="U7" ca="1">+IF(COMPROMISOS_2025[[#This Row],[P]]="20","41080111",_xlfn.XLOOKUP(COMPROMISOS_2025[[#This Row],[concatenado]],PAA[[#All],[RCP-RUBRO]],PAA[[#All],[INDICADOR]],"",0))</f>
        <v>#NAME?</v>
      </c>
      <c r="V7" s="144" t="str">
        <f t="shared" si="1"/>
        <v>00</v>
      </c>
      <c r="W7" s="136">
        <f>+COMPROMISOS_2025[[#This Row],[valor_total]]-COMPROMISOS_2025[[#This Row],[total_cancelado]]</f>
        <v>443563183</v>
      </c>
      <c r="X7" s="136">
        <f>COMPROMISOS_2025[[#This Row],[total_ordenes]]</f>
        <v>443563183</v>
      </c>
      <c r="Y7" t="str" cm="1">
        <f t="array" aca="1" ref="Y7" ca="1">IFERROR(_xlfn.XLOOKUP(COMPROMISOS_2025[[#This Row],[concatenado]],PAA[[#All],[RCP-RUBRO]],PAA[[#All],[Actividad3]],VLOOKUP(COMPROMISOS_2025[[#This Row],[Indicador Principal]],$AC$2:$AD$17,2,0),0),"")</f>
        <v/>
      </c>
      <c r="AC7" s="1">
        <v>41080102</v>
      </c>
      <c r="AD7" s="1" t="s">
        <v>2492</v>
      </c>
    </row>
    <row r="8" spans="1:30" hidden="1" x14ac:dyDescent="0.25">
      <c r="A8">
        <v>2998</v>
      </c>
      <c r="B8" t="s">
        <v>2493</v>
      </c>
      <c r="C8" t="s">
        <v>1043</v>
      </c>
      <c r="D8" t="s">
        <v>1700</v>
      </c>
      <c r="F8">
        <v>435</v>
      </c>
      <c r="G8">
        <v>1</v>
      </c>
      <c r="H8" t="s">
        <v>45</v>
      </c>
      <c r="I8" t="s">
        <v>1687</v>
      </c>
      <c r="J8">
        <v>443116304</v>
      </c>
      <c r="K8">
        <v>2025</v>
      </c>
      <c r="L8">
        <v>811007127</v>
      </c>
      <c r="M8" t="s">
        <v>2481</v>
      </c>
      <c r="N8" t="s">
        <v>1688</v>
      </c>
      <c r="O8" t="s">
        <v>1686</v>
      </c>
      <c r="P8">
        <v>0</v>
      </c>
      <c r="Q8">
        <v>443116304</v>
      </c>
      <c r="R8">
        <v>0</v>
      </c>
      <c r="S8">
        <v>0</v>
      </c>
      <c r="T8" t="str">
        <f t="shared" si="0"/>
        <v>29981.00.0000.00.0-205616.2.1.1.01.01.001.01.</v>
      </c>
      <c r="U8" t="e" cm="1">
        <f t="array" aca="1" ref="U8" ca="1">+IF(COMPROMISOS_2025[[#This Row],[P]]="20","41080111",_xlfn.XLOOKUP(COMPROMISOS_2025[[#This Row],[concatenado]],PAA[[#All],[RCP-RUBRO]],PAA[[#All],[INDICADOR]],"",0))</f>
        <v>#NAME?</v>
      </c>
      <c r="V8" s="144" t="str">
        <f t="shared" si="1"/>
        <v>00</v>
      </c>
      <c r="W8" s="136">
        <f>+COMPROMISOS_2025[[#This Row],[valor_total]]-COMPROMISOS_2025[[#This Row],[total_cancelado]]</f>
        <v>443116304</v>
      </c>
      <c r="X8" s="136">
        <f>COMPROMISOS_2025[[#This Row],[total_ordenes]]</f>
        <v>443116304</v>
      </c>
      <c r="Y8" t="str" cm="1">
        <f t="array" aca="1" ref="Y8" ca="1">IFERROR(_xlfn.XLOOKUP(COMPROMISOS_2025[[#This Row],[concatenado]],PAA[[#All],[RCP-RUBRO]],PAA[[#All],[Actividad3]],VLOOKUP(COMPROMISOS_2025[[#This Row],[Indicador Principal]],$AC$2:$AD$17,2,0),0),"")</f>
        <v/>
      </c>
      <c r="AC8" s="1">
        <v>41080107</v>
      </c>
      <c r="AD8" s="1" t="s">
        <v>2494</v>
      </c>
    </row>
    <row r="9" spans="1:30" hidden="1" x14ac:dyDescent="0.25">
      <c r="A9">
        <v>109</v>
      </c>
      <c r="B9" t="s">
        <v>2485</v>
      </c>
      <c r="C9" t="s">
        <v>1043</v>
      </c>
      <c r="D9" t="s">
        <v>1692</v>
      </c>
      <c r="F9">
        <v>319</v>
      </c>
      <c r="G9">
        <v>2</v>
      </c>
      <c r="H9" t="s">
        <v>50</v>
      </c>
      <c r="I9" t="s">
        <v>1701</v>
      </c>
      <c r="J9">
        <v>4886547</v>
      </c>
      <c r="K9">
        <v>2025</v>
      </c>
      <c r="L9">
        <v>811007127</v>
      </c>
      <c r="M9" t="s">
        <v>2481</v>
      </c>
      <c r="N9" t="s">
        <v>1688</v>
      </c>
      <c r="O9" t="s">
        <v>1686</v>
      </c>
      <c r="P9">
        <v>0</v>
      </c>
      <c r="Q9">
        <v>4886547</v>
      </c>
      <c r="R9">
        <v>0</v>
      </c>
      <c r="S9">
        <v>0</v>
      </c>
      <c r="T9" t="str">
        <f t="shared" si="0"/>
        <v>1091.00.0000.00.0-205616.2.1.1.01.01.001.02.</v>
      </c>
      <c r="U9" t="e" cm="1">
        <f t="array" aca="1" ref="U9" ca="1">+IF(COMPROMISOS_2025[[#This Row],[P]]="20","41080111",_xlfn.XLOOKUP(COMPROMISOS_2025[[#This Row],[concatenado]],PAA[[#All],[RCP-RUBRO]],PAA[[#All],[INDICADOR]],"",0))</f>
        <v>#NAME?</v>
      </c>
      <c r="V9" s="144" t="str">
        <f t="shared" si="1"/>
        <v>00</v>
      </c>
      <c r="W9" s="136">
        <f>+COMPROMISOS_2025[[#This Row],[valor_total]]-COMPROMISOS_2025[[#This Row],[total_cancelado]]</f>
        <v>4886547</v>
      </c>
      <c r="X9" s="136">
        <f>COMPROMISOS_2025[[#This Row],[total_ordenes]]</f>
        <v>4886547</v>
      </c>
      <c r="Y9" t="str" cm="1">
        <f t="array" aca="1" ref="Y9" ca="1">IFERROR(_xlfn.XLOOKUP(COMPROMISOS_2025[[#This Row],[concatenado]],PAA[[#All],[RCP-RUBRO]],PAA[[#All],[Actividad3]],VLOOKUP(COMPROMISOS_2025[[#This Row],[Indicador Principal]],$AC$2:$AD$17,2,0),0),"")</f>
        <v/>
      </c>
      <c r="AC9" s="1">
        <v>41080101</v>
      </c>
      <c r="AD9" s="1" t="s">
        <v>2495</v>
      </c>
    </row>
    <row r="10" spans="1:30" hidden="1" x14ac:dyDescent="0.25">
      <c r="A10">
        <v>1618</v>
      </c>
      <c r="B10" t="s">
        <v>2491</v>
      </c>
      <c r="C10" t="s">
        <v>1043</v>
      </c>
      <c r="D10" t="s">
        <v>1698</v>
      </c>
      <c r="F10">
        <v>412</v>
      </c>
      <c r="G10">
        <v>2</v>
      </c>
      <c r="H10" t="s">
        <v>50</v>
      </c>
      <c r="I10" t="s">
        <v>1701</v>
      </c>
      <c r="J10">
        <v>6382515</v>
      </c>
      <c r="K10">
        <v>2025</v>
      </c>
      <c r="L10">
        <v>811007127</v>
      </c>
      <c r="M10" t="s">
        <v>2481</v>
      </c>
      <c r="N10" t="s">
        <v>1688</v>
      </c>
      <c r="O10" t="s">
        <v>1686</v>
      </c>
      <c r="P10">
        <v>0</v>
      </c>
      <c r="Q10">
        <v>6382515</v>
      </c>
      <c r="R10">
        <v>0</v>
      </c>
      <c r="S10">
        <v>0</v>
      </c>
      <c r="T10" t="str">
        <f t="shared" si="0"/>
        <v>16181.00.0000.00.0-205616.2.1.1.01.01.001.02.</v>
      </c>
      <c r="U10" t="e" cm="1">
        <f t="array" aca="1" ref="U10" ca="1">+IF(COMPROMISOS_2025[[#This Row],[P]]="20","41080111",_xlfn.XLOOKUP(COMPROMISOS_2025[[#This Row],[concatenado]],PAA[[#All],[RCP-RUBRO]],PAA[[#All],[INDICADOR]],"",0))</f>
        <v>#NAME?</v>
      </c>
      <c r="V10" s="144" t="str">
        <f t="shared" si="1"/>
        <v>00</v>
      </c>
      <c r="W10" s="136">
        <f>+COMPROMISOS_2025[[#This Row],[valor_total]]-COMPROMISOS_2025[[#This Row],[total_cancelado]]</f>
        <v>6382515</v>
      </c>
      <c r="X10" s="136">
        <f>COMPROMISOS_2025[[#This Row],[total_ordenes]]</f>
        <v>6382515</v>
      </c>
      <c r="Y10" t="str" cm="1">
        <f t="array" aca="1" ref="Y10" ca="1">IFERROR(_xlfn.XLOOKUP(COMPROMISOS_2025[[#This Row],[concatenado]],PAA[[#All],[RCP-RUBRO]],PAA[[#All],[Actividad3]],VLOOKUP(COMPROMISOS_2025[[#This Row],[Indicador Principal]],$AC$2:$AD$17,2,0),0),"")</f>
        <v/>
      </c>
      <c r="AC10" s="1">
        <v>41080106</v>
      </c>
      <c r="AD10" s="1" t="s">
        <v>2496</v>
      </c>
    </row>
    <row r="11" spans="1:30" hidden="1" x14ac:dyDescent="0.25">
      <c r="A11">
        <v>110</v>
      </c>
      <c r="B11" t="s">
        <v>2485</v>
      </c>
      <c r="C11" t="s">
        <v>1043</v>
      </c>
      <c r="D11" t="s">
        <v>1703</v>
      </c>
      <c r="F11">
        <v>320</v>
      </c>
      <c r="G11">
        <v>3</v>
      </c>
      <c r="H11" t="s">
        <v>52</v>
      </c>
      <c r="I11" t="s">
        <v>1704</v>
      </c>
      <c r="J11">
        <v>1126192</v>
      </c>
      <c r="K11">
        <v>2025</v>
      </c>
      <c r="L11">
        <v>325269585</v>
      </c>
      <c r="M11" t="s">
        <v>2497</v>
      </c>
      <c r="N11" t="s">
        <v>1688</v>
      </c>
      <c r="O11" t="s">
        <v>1686</v>
      </c>
      <c r="P11">
        <v>0</v>
      </c>
      <c r="Q11">
        <v>1126192</v>
      </c>
      <c r="R11">
        <v>0</v>
      </c>
      <c r="S11">
        <v>0</v>
      </c>
      <c r="T11" t="str">
        <f t="shared" si="0"/>
        <v>1101.00.0000.00.0-205616.2.1.1.01.01.001.06.</v>
      </c>
      <c r="U11" t="e" cm="1">
        <f t="array" aca="1" ref="U11" ca="1">+IF(COMPROMISOS_2025[[#This Row],[P]]="20","41080111",_xlfn.XLOOKUP(COMPROMISOS_2025[[#This Row],[concatenado]],PAA[[#All],[RCP-RUBRO]],PAA[[#All],[INDICADOR]],"",0))</f>
        <v>#NAME?</v>
      </c>
      <c r="V11" s="144" t="str">
        <f t="shared" si="1"/>
        <v>00</v>
      </c>
      <c r="W11" s="136">
        <f>+COMPROMISOS_2025[[#This Row],[valor_total]]-COMPROMISOS_2025[[#This Row],[total_cancelado]]</f>
        <v>1126192</v>
      </c>
      <c r="X11" s="136">
        <f>COMPROMISOS_2025[[#This Row],[total_ordenes]]</f>
        <v>1126192</v>
      </c>
      <c r="Y11" t="str" cm="1">
        <f t="array" aca="1" ref="Y11" ca="1">IFERROR(_xlfn.XLOOKUP(COMPROMISOS_2025[[#This Row],[concatenado]],PAA[[#All],[RCP-RUBRO]],PAA[[#All],[Actividad3]],VLOOKUP(COMPROMISOS_2025[[#This Row],[Indicador Principal]],$AC$2:$AD$17,2,0),0),"")</f>
        <v/>
      </c>
      <c r="AC11" s="1">
        <v>41080106</v>
      </c>
      <c r="AD11" s="1" t="s">
        <v>2498</v>
      </c>
    </row>
    <row r="12" spans="1:30" hidden="1" x14ac:dyDescent="0.25">
      <c r="A12">
        <v>811</v>
      </c>
      <c r="B12" t="s">
        <v>2499</v>
      </c>
      <c r="C12" t="s">
        <v>1043</v>
      </c>
      <c r="D12" t="s">
        <v>1706</v>
      </c>
      <c r="F12">
        <v>395</v>
      </c>
      <c r="G12">
        <v>3</v>
      </c>
      <c r="H12" t="s">
        <v>52</v>
      </c>
      <c r="I12" t="s">
        <v>1704</v>
      </c>
      <c r="J12">
        <v>4451103</v>
      </c>
      <c r="K12">
        <v>2025</v>
      </c>
      <c r="L12">
        <v>715931405</v>
      </c>
      <c r="M12" t="s">
        <v>2500</v>
      </c>
      <c r="N12" t="s">
        <v>1688</v>
      </c>
      <c r="O12" t="s">
        <v>1686</v>
      </c>
      <c r="P12">
        <v>0</v>
      </c>
      <c r="Q12">
        <v>4451103</v>
      </c>
      <c r="R12">
        <v>0</v>
      </c>
      <c r="S12">
        <v>0</v>
      </c>
      <c r="T12" t="str">
        <f t="shared" si="0"/>
        <v>8111.00.0000.00.0-205616.2.1.1.01.01.001.06.</v>
      </c>
      <c r="U12" t="e" cm="1">
        <f t="array" aca="1" ref="U12" ca="1">+IF(COMPROMISOS_2025[[#This Row],[P]]="20","41080111",_xlfn.XLOOKUP(COMPROMISOS_2025[[#This Row],[concatenado]],PAA[[#All],[RCP-RUBRO]],PAA[[#All],[INDICADOR]],"",0))</f>
        <v>#NAME?</v>
      </c>
      <c r="V12" s="144" t="str">
        <f t="shared" si="1"/>
        <v>00</v>
      </c>
      <c r="W12" s="136">
        <f>+COMPROMISOS_2025[[#This Row],[valor_total]]-COMPROMISOS_2025[[#This Row],[total_cancelado]]</f>
        <v>4451103</v>
      </c>
      <c r="X12" s="136">
        <f>COMPROMISOS_2025[[#This Row],[total_ordenes]]</f>
        <v>4451103</v>
      </c>
      <c r="Y12" t="str" cm="1">
        <f t="array" aca="1" ref="Y12" ca="1">IFERROR(_xlfn.XLOOKUP(COMPROMISOS_2025[[#This Row],[concatenado]],PAA[[#All],[RCP-RUBRO]],PAA[[#All],[Actividad3]],VLOOKUP(COMPROMISOS_2025[[#This Row],[Indicador Principal]],$AC$2:$AD$17,2,0),0),"")</f>
        <v/>
      </c>
      <c r="AC12" s="1">
        <v>41080107</v>
      </c>
      <c r="AD12" s="1" t="s">
        <v>2494</v>
      </c>
    </row>
    <row r="13" spans="1:30" hidden="1" x14ac:dyDescent="0.25">
      <c r="A13">
        <v>812</v>
      </c>
      <c r="B13" t="s">
        <v>2499</v>
      </c>
      <c r="C13" t="s">
        <v>1043</v>
      </c>
      <c r="D13" t="s">
        <v>1706</v>
      </c>
      <c r="F13">
        <v>396</v>
      </c>
      <c r="G13">
        <v>3</v>
      </c>
      <c r="H13" t="s">
        <v>52</v>
      </c>
      <c r="I13" t="s">
        <v>1704</v>
      </c>
      <c r="J13">
        <v>2794273</v>
      </c>
      <c r="K13">
        <v>2025</v>
      </c>
      <c r="L13">
        <v>1040043775</v>
      </c>
      <c r="M13" t="s">
        <v>2501</v>
      </c>
      <c r="N13" t="s">
        <v>1688</v>
      </c>
      <c r="O13" t="s">
        <v>1686</v>
      </c>
      <c r="P13">
        <v>0</v>
      </c>
      <c r="Q13">
        <v>2794273</v>
      </c>
      <c r="R13">
        <v>0</v>
      </c>
      <c r="S13">
        <v>0</v>
      </c>
      <c r="T13" t="str">
        <f t="shared" si="0"/>
        <v>8121.00.0000.00.0-205616.2.1.1.01.01.001.06.</v>
      </c>
      <c r="U13" t="e" cm="1">
        <f t="array" aca="1" ref="U13" ca="1">+IF(COMPROMISOS_2025[[#This Row],[P]]="20","41080111",_xlfn.XLOOKUP(COMPROMISOS_2025[[#This Row],[concatenado]],PAA[[#All],[RCP-RUBRO]],PAA[[#All],[INDICADOR]],"",0))</f>
        <v>#NAME?</v>
      </c>
      <c r="V13" s="144" t="str">
        <f t="shared" si="1"/>
        <v>00</v>
      </c>
      <c r="W13" s="136">
        <f>+COMPROMISOS_2025[[#This Row],[valor_total]]-COMPROMISOS_2025[[#This Row],[total_cancelado]]</f>
        <v>2794273</v>
      </c>
      <c r="X13" s="136">
        <f>COMPROMISOS_2025[[#This Row],[total_ordenes]]</f>
        <v>2794273</v>
      </c>
      <c r="Y13" t="str" cm="1">
        <f t="array" aca="1" ref="Y13" ca="1">IFERROR(_xlfn.XLOOKUP(COMPROMISOS_2025[[#This Row],[concatenado]],PAA[[#All],[RCP-RUBRO]],PAA[[#All],[Actividad3]],VLOOKUP(COMPROMISOS_2025[[#This Row],[Indicador Principal]],$AC$2:$AD$17,2,0),0),"")</f>
        <v/>
      </c>
      <c r="AC13" s="1">
        <v>41080102</v>
      </c>
      <c r="AD13" s="1" t="s">
        <v>2502</v>
      </c>
    </row>
    <row r="14" spans="1:30" hidden="1" x14ac:dyDescent="0.25">
      <c r="A14">
        <v>2999</v>
      </c>
      <c r="B14" t="s">
        <v>2503</v>
      </c>
      <c r="C14" t="s">
        <v>1043</v>
      </c>
      <c r="D14" t="s">
        <v>1709</v>
      </c>
      <c r="F14">
        <v>438</v>
      </c>
      <c r="G14">
        <v>3</v>
      </c>
      <c r="H14" t="s">
        <v>52</v>
      </c>
      <c r="I14" t="s">
        <v>1704</v>
      </c>
      <c r="J14">
        <v>1968586</v>
      </c>
      <c r="K14">
        <v>2025</v>
      </c>
      <c r="L14">
        <v>11283980193</v>
      </c>
      <c r="M14" t="s">
        <v>2504</v>
      </c>
      <c r="N14" t="s">
        <v>1688</v>
      </c>
      <c r="O14" t="s">
        <v>1686</v>
      </c>
      <c r="P14">
        <v>0</v>
      </c>
      <c r="Q14">
        <v>1968586</v>
      </c>
      <c r="R14">
        <v>0</v>
      </c>
      <c r="S14">
        <v>0</v>
      </c>
      <c r="T14" t="str">
        <f t="shared" si="0"/>
        <v>29991.00.0000.00.0-205616.2.1.1.01.01.001.06.</v>
      </c>
      <c r="U14" t="e" cm="1">
        <f t="array" aca="1" ref="U14" ca="1">+IF(COMPROMISOS_2025[[#This Row],[P]]="20","41080111",_xlfn.XLOOKUP(COMPROMISOS_2025[[#This Row],[concatenado]],PAA[[#All],[RCP-RUBRO]],PAA[[#All],[INDICADOR]],"",0))</f>
        <v>#NAME?</v>
      </c>
      <c r="V14" s="144" t="str">
        <f t="shared" si="1"/>
        <v>00</v>
      </c>
      <c r="W14" s="136">
        <f>+COMPROMISOS_2025[[#This Row],[valor_total]]-COMPROMISOS_2025[[#This Row],[total_cancelado]]</f>
        <v>1968586</v>
      </c>
      <c r="X14" s="136">
        <f>COMPROMISOS_2025[[#This Row],[total_ordenes]]</f>
        <v>1968586</v>
      </c>
      <c r="Y14" t="str" cm="1">
        <f t="array" aca="1" ref="Y14" ca="1">IFERROR(_xlfn.XLOOKUP(COMPROMISOS_2025[[#This Row],[concatenado]],PAA[[#All],[RCP-RUBRO]],PAA[[#All],[Actividad3]],VLOOKUP(COMPROMISOS_2025[[#This Row],[Indicador Principal]],$AC$2:$AD$17,2,0),0),"")</f>
        <v/>
      </c>
      <c r="AC14" s="1">
        <v>41080104</v>
      </c>
      <c r="AD14" s="1" t="s">
        <v>2488</v>
      </c>
    </row>
    <row r="15" spans="1:30" hidden="1" x14ac:dyDescent="0.25">
      <c r="A15">
        <v>5</v>
      </c>
      <c r="B15" t="s">
        <v>2480</v>
      </c>
      <c r="C15" t="s">
        <v>1043</v>
      </c>
      <c r="D15" t="s">
        <v>1685</v>
      </c>
      <c r="F15">
        <v>6</v>
      </c>
      <c r="G15">
        <v>4</v>
      </c>
      <c r="H15" t="s">
        <v>60</v>
      </c>
      <c r="I15" t="s">
        <v>1710</v>
      </c>
      <c r="J15">
        <v>75187778</v>
      </c>
      <c r="K15">
        <v>2025</v>
      </c>
      <c r="L15">
        <v>811007127</v>
      </c>
      <c r="M15" t="s">
        <v>2481</v>
      </c>
      <c r="N15" t="s">
        <v>1688</v>
      </c>
      <c r="O15" t="s">
        <v>1686</v>
      </c>
      <c r="P15">
        <v>0</v>
      </c>
      <c r="Q15">
        <v>75187778</v>
      </c>
      <c r="R15">
        <v>0</v>
      </c>
      <c r="S15">
        <v>0</v>
      </c>
      <c r="T15" t="str">
        <f t="shared" si="0"/>
        <v>51.00.0000.00.0-205616.2.1.1.01.01.001.07.</v>
      </c>
      <c r="U15" t="e" cm="1">
        <f t="array" aca="1" ref="U15" ca="1">+IF(COMPROMISOS_2025[[#This Row],[P]]="20","41080111",_xlfn.XLOOKUP(COMPROMISOS_2025[[#This Row],[concatenado]],PAA[[#All],[RCP-RUBRO]],PAA[[#All],[INDICADOR]],"",0))</f>
        <v>#NAME?</v>
      </c>
      <c r="V15" s="144" t="str">
        <f t="shared" si="1"/>
        <v>00</v>
      </c>
      <c r="W15" s="136">
        <f>+COMPROMISOS_2025[[#This Row],[valor_total]]-COMPROMISOS_2025[[#This Row],[total_cancelado]]</f>
        <v>75187778</v>
      </c>
      <c r="X15" s="136">
        <f>COMPROMISOS_2025[[#This Row],[total_ordenes]]</f>
        <v>75187778</v>
      </c>
      <c r="Y15" t="str" cm="1">
        <f t="array" aca="1" ref="Y15" ca="1">IFERROR(_xlfn.XLOOKUP(COMPROMISOS_2025[[#This Row],[concatenado]],PAA[[#All],[RCP-RUBRO]],PAA[[#All],[Actividad3]],VLOOKUP(COMPROMISOS_2025[[#This Row],[Indicador Principal]],$AC$2:$AD$17,2,0),0),"")</f>
        <v/>
      </c>
      <c r="AC15" s="1">
        <v>41080101</v>
      </c>
      <c r="AD15" s="1" t="s">
        <v>2505</v>
      </c>
    </row>
    <row r="16" spans="1:30" hidden="1" x14ac:dyDescent="0.25">
      <c r="A16">
        <v>46</v>
      </c>
      <c r="B16" t="s">
        <v>2483</v>
      </c>
      <c r="C16" t="s">
        <v>1043</v>
      </c>
      <c r="D16" t="s">
        <v>1690</v>
      </c>
      <c r="F16">
        <v>61</v>
      </c>
      <c r="G16">
        <v>4</v>
      </c>
      <c r="H16" t="s">
        <v>60</v>
      </c>
      <c r="I16" t="s">
        <v>1710</v>
      </c>
      <c r="J16">
        <v>39308772</v>
      </c>
      <c r="K16">
        <v>2025</v>
      </c>
      <c r="L16">
        <v>811007127</v>
      </c>
      <c r="M16" t="s">
        <v>2481</v>
      </c>
      <c r="N16" t="s">
        <v>1688</v>
      </c>
      <c r="O16" t="s">
        <v>1686</v>
      </c>
      <c r="P16">
        <v>0</v>
      </c>
      <c r="Q16">
        <v>39308772</v>
      </c>
      <c r="R16">
        <v>0</v>
      </c>
      <c r="S16">
        <v>0</v>
      </c>
      <c r="T16" t="str">
        <f t="shared" si="0"/>
        <v>461.00.0000.00.0-205616.2.1.1.01.01.001.07.</v>
      </c>
      <c r="U16" t="e" cm="1">
        <f t="array" aca="1" ref="U16" ca="1">+IF(COMPROMISOS_2025[[#This Row],[P]]="20","41080111",_xlfn.XLOOKUP(COMPROMISOS_2025[[#This Row],[concatenado]],PAA[[#All],[RCP-RUBRO]],PAA[[#All],[INDICADOR]],"",0))</f>
        <v>#NAME?</v>
      </c>
      <c r="V16" s="144" t="str">
        <f t="shared" si="1"/>
        <v>00</v>
      </c>
      <c r="W16" s="136">
        <f>+COMPROMISOS_2025[[#This Row],[valor_total]]-COMPROMISOS_2025[[#This Row],[total_cancelado]]</f>
        <v>39308772</v>
      </c>
      <c r="X16" s="136">
        <f>COMPROMISOS_2025[[#This Row],[total_ordenes]]</f>
        <v>39308772</v>
      </c>
      <c r="Y16" t="str" cm="1">
        <f t="array" aca="1" ref="Y16" ca="1">IFERROR(_xlfn.XLOOKUP(COMPROMISOS_2025[[#This Row],[concatenado]],PAA[[#All],[RCP-RUBRO]],PAA[[#All],[Actividad3]],VLOOKUP(COMPROMISOS_2025[[#This Row],[Indicador Principal]],$AC$2:$AD$17,2,0),0),"")</f>
        <v/>
      </c>
      <c r="AC16" s="1">
        <v>41080111</v>
      </c>
      <c r="AD16" s="1" t="s">
        <v>2506</v>
      </c>
    </row>
    <row r="17" spans="1:30" hidden="1" x14ac:dyDescent="0.25">
      <c r="A17">
        <v>109</v>
      </c>
      <c r="B17" t="s">
        <v>2485</v>
      </c>
      <c r="C17" t="s">
        <v>1043</v>
      </c>
      <c r="D17" t="s">
        <v>1692</v>
      </c>
      <c r="F17">
        <v>319</v>
      </c>
      <c r="G17">
        <v>4</v>
      </c>
      <c r="H17" t="s">
        <v>60</v>
      </c>
      <c r="I17" t="s">
        <v>1710</v>
      </c>
      <c r="J17">
        <v>29283120</v>
      </c>
      <c r="K17">
        <v>2025</v>
      </c>
      <c r="L17">
        <v>811007127</v>
      </c>
      <c r="M17" t="s">
        <v>2481</v>
      </c>
      <c r="N17" t="s">
        <v>1688</v>
      </c>
      <c r="O17" t="s">
        <v>1686</v>
      </c>
      <c r="P17">
        <v>0</v>
      </c>
      <c r="Q17">
        <v>29283120</v>
      </c>
      <c r="R17">
        <v>0</v>
      </c>
      <c r="S17">
        <v>0</v>
      </c>
      <c r="T17" t="str">
        <f t="shared" si="0"/>
        <v>1091.00.0000.00.0-205616.2.1.1.01.01.001.07.</v>
      </c>
      <c r="U17" t="e" cm="1">
        <f t="array" aca="1" ref="U17" ca="1">+IF(COMPROMISOS_2025[[#This Row],[P]]="20","41080111",_xlfn.XLOOKUP(COMPROMISOS_2025[[#This Row],[concatenado]],PAA[[#All],[RCP-RUBRO]],PAA[[#All],[INDICADOR]],"",0))</f>
        <v>#NAME?</v>
      </c>
      <c r="V17" s="144" t="str">
        <f t="shared" si="1"/>
        <v>00</v>
      </c>
      <c r="W17" s="136">
        <f>+COMPROMISOS_2025[[#This Row],[valor_total]]-COMPROMISOS_2025[[#This Row],[total_cancelado]]</f>
        <v>29283120</v>
      </c>
      <c r="X17" s="136">
        <f>COMPROMISOS_2025[[#This Row],[total_ordenes]]</f>
        <v>29283120</v>
      </c>
      <c r="Y17" t="str" cm="1">
        <f t="array" aca="1" ref="Y17" ca="1">IFERROR(_xlfn.XLOOKUP(COMPROMISOS_2025[[#This Row],[concatenado]],PAA[[#All],[RCP-RUBRO]],PAA[[#All],[Actividad3]],VLOOKUP(COMPROMISOS_2025[[#This Row],[Indicador Principal]],$AC$2:$AD$17,2,0),0),"")</f>
        <v/>
      </c>
      <c r="AC17" s="1">
        <v>1</v>
      </c>
      <c r="AD17" s="1" t="s">
        <v>2507</v>
      </c>
    </row>
    <row r="18" spans="1:30" hidden="1" x14ac:dyDescent="0.25">
      <c r="A18">
        <v>110</v>
      </c>
      <c r="B18" t="s">
        <v>2485</v>
      </c>
      <c r="C18" t="s">
        <v>1043</v>
      </c>
      <c r="D18" t="s">
        <v>1703</v>
      </c>
      <c r="F18">
        <v>320</v>
      </c>
      <c r="G18">
        <v>4</v>
      </c>
      <c r="H18" t="s">
        <v>60</v>
      </c>
      <c r="I18" t="s">
        <v>1710</v>
      </c>
      <c r="J18">
        <v>1028833</v>
      </c>
      <c r="K18">
        <v>2025</v>
      </c>
      <c r="L18">
        <v>325269585</v>
      </c>
      <c r="M18" t="s">
        <v>2497</v>
      </c>
      <c r="N18" t="s">
        <v>1688</v>
      </c>
      <c r="O18" t="s">
        <v>1686</v>
      </c>
      <c r="P18">
        <v>0</v>
      </c>
      <c r="Q18">
        <v>1028833</v>
      </c>
      <c r="R18">
        <v>0</v>
      </c>
      <c r="S18">
        <v>0</v>
      </c>
      <c r="T18" t="str">
        <f t="shared" si="0"/>
        <v>1101.00.0000.00.0-205616.2.1.1.01.01.001.07.</v>
      </c>
      <c r="U18" t="e" cm="1">
        <f t="array" aca="1" ref="U18" ca="1">+IF(COMPROMISOS_2025[[#This Row],[P]]="20","41080111",_xlfn.XLOOKUP(COMPROMISOS_2025[[#This Row],[concatenado]],PAA[[#All],[RCP-RUBRO]],PAA[[#All],[INDICADOR]],"",0))</f>
        <v>#NAME?</v>
      </c>
      <c r="V18" s="144" t="str">
        <f t="shared" si="1"/>
        <v>00</v>
      </c>
      <c r="W18" s="136">
        <f>+COMPROMISOS_2025[[#This Row],[valor_total]]-COMPROMISOS_2025[[#This Row],[total_cancelado]]</f>
        <v>1028833</v>
      </c>
      <c r="X18" s="136">
        <f>COMPROMISOS_2025[[#This Row],[total_ordenes]]</f>
        <v>1028833</v>
      </c>
      <c r="Y18" t="str" cm="1">
        <f t="array" aca="1" ref="Y18" ca="1">IFERROR(_xlfn.XLOOKUP(COMPROMISOS_2025[[#This Row],[concatenado]],PAA[[#All],[RCP-RUBRO]],PAA[[#All],[Actividad3]],VLOOKUP(COMPROMISOS_2025[[#This Row],[Indicador Principal]],$AC$2:$AD$17,2,0),0),"")</f>
        <v/>
      </c>
    </row>
    <row r="19" spans="1:30" hidden="1" x14ac:dyDescent="0.25">
      <c r="A19">
        <v>429</v>
      </c>
      <c r="B19" t="s">
        <v>2487</v>
      </c>
      <c r="C19" t="s">
        <v>1043</v>
      </c>
      <c r="D19" t="s">
        <v>1694</v>
      </c>
      <c r="F19">
        <v>356</v>
      </c>
      <c r="G19">
        <v>4</v>
      </c>
      <c r="H19" t="s">
        <v>60</v>
      </c>
      <c r="I19" t="s">
        <v>1710</v>
      </c>
      <c r="J19">
        <v>3909762</v>
      </c>
      <c r="K19">
        <v>2025</v>
      </c>
      <c r="L19">
        <v>811007127</v>
      </c>
      <c r="M19" t="s">
        <v>2481</v>
      </c>
      <c r="N19" t="s">
        <v>1688</v>
      </c>
      <c r="O19" t="s">
        <v>1686</v>
      </c>
      <c r="P19">
        <v>0</v>
      </c>
      <c r="Q19">
        <v>3909762</v>
      </c>
      <c r="R19">
        <v>0</v>
      </c>
      <c r="S19">
        <v>0</v>
      </c>
      <c r="T19" t="str">
        <f t="shared" si="0"/>
        <v>4291.00.0000.00.0-205616.2.1.1.01.01.001.07.</v>
      </c>
      <c r="U19" t="e" cm="1">
        <f t="array" aca="1" ref="U19" ca="1">+IF(COMPROMISOS_2025[[#This Row],[P]]="20","41080111",_xlfn.XLOOKUP(COMPROMISOS_2025[[#This Row],[concatenado]],PAA[[#All],[RCP-RUBRO]],PAA[[#All],[INDICADOR]],"",0))</f>
        <v>#NAME?</v>
      </c>
      <c r="V19" s="144" t="str">
        <f t="shared" si="1"/>
        <v>00</v>
      </c>
      <c r="W19" s="136">
        <f>+COMPROMISOS_2025[[#This Row],[valor_total]]-COMPROMISOS_2025[[#This Row],[total_cancelado]]</f>
        <v>3909762</v>
      </c>
      <c r="X19" s="136">
        <f>COMPROMISOS_2025[[#This Row],[total_ordenes]]</f>
        <v>3909762</v>
      </c>
      <c r="Y19" t="str" cm="1">
        <f t="array" aca="1" ref="Y19" ca="1">IFERROR(_xlfn.XLOOKUP(COMPROMISOS_2025[[#This Row],[concatenado]],PAA[[#All],[RCP-RUBRO]],PAA[[#All],[Actividad3]],VLOOKUP(COMPROMISOS_2025[[#This Row],[Indicador Principal]],$AC$2:$AD$17,2,0),0),"")</f>
        <v/>
      </c>
    </row>
    <row r="20" spans="1:30" hidden="1" x14ac:dyDescent="0.25">
      <c r="A20">
        <v>436</v>
      </c>
      <c r="B20" t="s">
        <v>2489</v>
      </c>
      <c r="C20" t="s">
        <v>1043</v>
      </c>
      <c r="D20" t="s">
        <v>1696</v>
      </c>
      <c r="F20">
        <v>381</v>
      </c>
      <c r="G20">
        <v>4</v>
      </c>
      <c r="H20" t="s">
        <v>60</v>
      </c>
      <c r="I20" t="s">
        <v>1710</v>
      </c>
      <c r="J20">
        <v>19514681</v>
      </c>
      <c r="K20">
        <v>2025</v>
      </c>
      <c r="L20">
        <v>811007127</v>
      </c>
      <c r="M20" t="s">
        <v>2481</v>
      </c>
      <c r="N20" t="s">
        <v>1688</v>
      </c>
      <c r="O20" t="s">
        <v>1686</v>
      </c>
      <c r="P20">
        <v>0</v>
      </c>
      <c r="Q20">
        <v>19514681</v>
      </c>
      <c r="R20">
        <v>0</v>
      </c>
      <c r="S20">
        <v>0</v>
      </c>
      <c r="T20" t="str">
        <f t="shared" si="0"/>
        <v>4361.00.0000.00.0-205616.2.1.1.01.01.001.07.</v>
      </c>
      <c r="U20" t="e" cm="1">
        <f t="array" aca="1" ref="U20" ca="1">+IF(COMPROMISOS_2025[[#This Row],[P]]="20","41080111",_xlfn.XLOOKUP(COMPROMISOS_2025[[#This Row],[concatenado]],PAA[[#All],[RCP-RUBRO]],PAA[[#All],[INDICADOR]],"",0))</f>
        <v>#NAME?</v>
      </c>
      <c r="V20" s="144" t="str">
        <f t="shared" si="1"/>
        <v>00</v>
      </c>
      <c r="W20" s="136">
        <f>+COMPROMISOS_2025[[#This Row],[valor_total]]-COMPROMISOS_2025[[#This Row],[total_cancelado]]</f>
        <v>19514681</v>
      </c>
      <c r="X20" s="136">
        <f>COMPROMISOS_2025[[#This Row],[total_ordenes]]</f>
        <v>19514681</v>
      </c>
      <c r="Y20" t="str" cm="1">
        <f t="array" aca="1" ref="Y20" ca="1">IFERROR(_xlfn.XLOOKUP(COMPROMISOS_2025[[#This Row],[concatenado]],PAA[[#All],[RCP-RUBRO]],PAA[[#All],[Actividad3]],VLOOKUP(COMPROMISOS_2025[[#This Row],[Indicador Principal]],$AC$2:$AD$17,2,0),0),"")</f>
        <v/>
      </c>
    </row>
    <row r="21" spans="1:30" hidden="1" x14ac:dyDescent="0.25">
      <c r="A21">
        <v>811</v>
      </c>
      <c r="B21" t="s">
        <v>2499</v>
      </c>
      <c r="C21" t="s">
        <v>1043</v>
      </c>
      <c r="D21" t="s">
        <v>1706</v>
      </c>
      <c r="F21">
        <v>395</v>
      </c>
      <c r="G21">
        <v>4</v>
      </c>
      <c r="H21" t="s">
        <v>60</v>
      </c>
      <c r="I21" t="s">
        <v>1710</v>
      </c>
      <c r="J21">
        <v>6023826</v>
      </c>
      <c r="K21">
        <v>2025</v>
      </c>
      <c r="L21">
        <v>715931405</v>
      </c>
      <c r="M21" t="s">
        <v>2500</v>
      </c>
      <c r="N21" t="s">
        <v>1688</v>
      </c>
      <c r="O21" t="s">
        <v>1686</v>
      </c>
      <c r="P21">
        <v>0</v>
      </c>
      <c r="Q21">
        <v>6023826</v>
      </c>
      <c r="R21">
        <v>0</v>
      </c>
      <c r="S21">
        <v>0</v>
      </c>
      <c r="T21" t="str">
        <f t="shared" si="0"/>
        <v>8111.00.0000.00.0-205616.2.1.1.01.01.001.07.</v>
      </c>
      <c r="U21" t="e" cm="1">
        <f t="array" aca="1" ref="U21" ca="1">+IF(COMPROMISOS_2025[[#This Row],[P]]="20","41080111",_xlfn.XLOOKUP(COMPROMISOS_2025[[#This Row],[concatenado]],PAA[[#All],[RCP-RUBRO]],PAA[[#All],[INDICADOR]],"",0))</f>
        <v>#NAME?</v>
      </c>
      <c r="V21" s="144" t="str">
        <f t="shared" si="1"/>
        <v>00</v>
      </c>
      <c r="W21" s="136">
        <f>+COMPROMISOS_2025[[#This Row],[valor_total]]-COMPROMISOS_2025[[#This Row],[total_cancelado]]</f>
        <v>6023826</v>
      </c>
      <c r="X21" s="136">
        <f>COMPROMISOS_2025[[#This Row],[total_ordenes]]</f>
        <v>6023826</v>
      </c>
      <c r="Y21" t="str" cm="1">
        <f t="array" aca="1" ref="Y21" ca="1">IFERROR(_xlfn.XLOOKUP(COMPROMISOS_2025[[#This Row],[concatenado]],PAA[[#All],[RCP-RUBRO]],PAA[[#All],[Actividad3]],VLOOKUP(COMPROMISOS_2025[[#This Row],[Indicador Principal]],$AC$2:$AD$17,2,0),0),"")</f>
        <v/>
      </c>
    </row>
    <row r="22" spans="1:30" hidden="1" x14ac:dyDescent="0.25">
      <c r="A22">
        <v>812</v>
      </c>
      <c r="B22" t="s">
        <v>2499</v>
      </c>
      <c r="C22" t="s">
        <v>1043</v>
      </c>
      <c r="D22" t="s">
        <v>1706</v>
      </c>
      <c r="F22">
        <v>396</v>
      </c>
      <c r="G22">
        <v>4</v>
      </c>
      <c r="H22" t="s">
        <v>60</v>
      </c>
      <c r="I22" t="s">
        <v>1710</v>
      </c>
      <c r="J22">
        <v>3303451</v>
      </c>
      <c r="K22">
        <v>2025</v>
      </c>
      <c r="L22">
        <v>1040043775</v>
      </c>
      <c r="M22" t="s">
        <v>2501</v>
      </c>
      <c r="N22" t="s">
        <v>1688</v>
      </c>
      <c r="O22" t="s">
        <v>1686</v>
      </c>
      <c r="P22">
        <v>0</v>
      </c>
      <c r="Q22">
        <v>3303451</v>
      </c>
      <c r="R22">
        <v>0</v>
      </c>
      <c r="S22">
        <v>0</v>
      </c>
      <c r="T22" t="str">
        <f t="shared" si="0"/>
        <v>8121.00.0000.00.0-205616.2.1.1.01.01.001.07.</v>
      </c>
      <c r="U22" t="e" cm="1">
        <f t="array" aca="1" ref="U22" ca="1">+IF(COMPROMISOS_2025[[#This Row],[P]]="20","41080111",_xlfn.XLOOKUP(COMPROMISOS_2025[[#This Row],[concatenado]],PAA[[#All],[RCP-RUBRO]],PAA[[#All],[INDICADOR]],"",0))</f>
        <v>#NAME?</v>
      </c>
      <c r="V22" s="144" t="str">
        <f t="shared" si="1"/>
        <v>00</v>
      </c>
      <c r="W22" s="136">
        <f>+COMPROMISOS_2025[[#This Row],[valor_total]]-COMPROMISOS_2025[[#This Row],[total_cancelado]]</f>
        <v>3303451</v>
      </c>
      <c r="X22" s="136">
        <f>COMPROMISOS_2025[[#This Row],[total_ordenes]]</f>
        <v>3303451</v>
      </c>
      <c r="Y22" t="str" cm="1">
        <f t="array" aca="1" ref="Y22" ca="1">IFERROR(_xlfn.XLOOKUP(COMPROMISOS_2025[[#This Row],[concatenado]],PAA[[#All],[RCP-RUBRO]],PAA[[#All],[Actividad3]],VLOOKUP(COMPROMISOS_2025[[#This Row],[Indicador Principal]],$AC$2:$AD$17,2,0),0),"")</f>
        <v/>
      </c>
    </row>
    <row r="23" spans="1:30" hidden="1" x14ac:dyDescent="0.25">
      <c r="A23">
        <v>1618</v>
      </c>
      <c r="B23" t="s">
        <v>2491</v>
      </c>
      <c r="C23" t="s">
        <v>1043</v>
      </c>
      <c r="D23" t="s">
        <v>1698</v>
      </c>
      <c r="F23">
        <v>412</v>
      </c>
      <c r="G23">
        <v>4</v>
      </c>
      <c r="H23" t="s">
        <v>60</v>
      </c>
      <c r="I23" t="s">
        <v>1710</v>
      </c>
      <c r="J23">
        <v>12428993</v>
      </c>
      <c r="K23">
        <v>2025</v>
      </c>
      <c r="L23">
        <v>811007127</v>
      </c>
      <c r="M23" t="s">
        <v>2481</v>
      </c>
      <c r="N23" t="s">
        <v>1688</v>
      </c>
      <c r="O23" t="s">
        <v>1686</v>
      </c>
      <c r="P23">
        <v>0</v>
      </c>
      <c r="Q23">
        <v>12428993</v>
      </c>
      <c r="R23">
        <v>0</v>
      </c>
      <c r="S23">
        <v>0</v>
      </c>
      <c r="T23" t="str">
        <f t="shared" si="0"/>
        <v>16181.00.0000.00.0-205616.2.1.1.01.01.001.07.</v>
      </c>
      <c r="U23" t="e" cm="1">
        <f t="array" aca="1" ref="U23" ca="1">+IF(COMPROMISOS_2025[[#This Row],[P]]="20","41080111",_xlfn.XLOOKUP(COMPROMISOS_2025[[#This Row],[concatenado]],PAA[[#All],[RCP-RUBRO]],PAA[[#All],[INDICADOR]],"",0))</f>
        <v>#NAME?</v>
      </c>
      <c r="V23" s="144" t="str">
        <f t="shared" si="1"/>
        <v>00</v>
      </c>
      <c r="W23" s="136">
        <f>+COMPROMISOS_2025[[#This Row],[valor_total]]-COMPROMISOS_2025[[#This Row],[total_cancelado]]</f>
        <v>12428993</v>
      </c>
      <c r="X23" s="136">
        <f>COMPROMISOS_2025[[#This Row],[total_ordenes]]</f>
        <v>12428993</v>
      </c>
      <c r="Y23" t="str" cm="1">
        <f t="array" aca="1" ref="Y23" ca="1">IFERROR(_xlfn.XLOOKUP(COMPROMISOS_2025[[#This Row],[concatenado]],PAA[[#All],[RCP-RUBRO]],PAA[[#All],[Actividad3]],VLOOKUP(COMPROMISOS_2025[[#This Row],[Indicador Principal]],$AC$2:$AD$17,2,0),0),"")</f>
        <v/>
      </c>
    </row>
    <row r="24" spans="1:30" hidden="1" x14ac:dyDescent="0.25">
      <c r="A24">
        <v>2998</v>
      </c>
      <c r="B24" t="s">
        <v>2493</v>
      </c>
      <c r="C24" t="s">
        <v>1043</v>
      </c>
      <c r="D24" t="s">
        <v>1700</v>
      </c>
      <c r="F24">
        <v>435</v>
      </c>
      <c r="G24">
        <v>4</v>
      </c>
      <c r="H24" t="s">
        <v>60</v>
      </c>
      <c r="I24" t="s">
        <v>1710</v>
      </c>
      <c r="J24">
        <v>7108450</v>
      </c>
      <c r="K24">
        <v>2025</v>
      </c>
      <c r="L24">
        <v>811007127</v>
      </c>
      <c r="M24" t="s">
        <v>2481</v>
      </c>
      <c r="N24" t="s">
        <v>1688</v>
      </c>
      <c r="O24" t="s">
        <v>1686</v>
      </c>
      <c r="P24">
        <v>0</v>
      </c>
      <c r="Q24">
        <v>7108450</v>
      </c>
      <c r="R24">
        <v>0</v>
      </c>
      <c r="S24">
        <v>0</v>
      </c>
      <c r="T24" t="str">
        <f t="shared" si="0"/>
        <v>29981.00.0000.00.0-205616.2.1.1.01.01.001.07.</v>
      </c>
      <c r="U24" t="e" cm="1">
        <f t="array" aca="1" ref="U24" ca="1">+IF(COMPROMISOS_2025[[#This Row],[P]]="20","41080111",_xlfn.XLOOKUP(COMPROMISOS_2025[[#This Row],[concatenado]],PAA[[#All],[RCP-RUBRO]],PAA[[#All],[INDICADOR]],"",0))</f>
        <v>#NAME?</v>
      </c>
      <c r="V24" s="144" t="str">
        <f t="shared" si="1"/>
        <v>00</v>
      </c>
      <c r="W24" s="136">
        <f>+COMPROMISOS_2025[[#This Row],[valor_total]]-COMPROMISOS_2025[[#This Row],[total_cancelado]]</f>
        <v>7108450</v>
      </c>
      <c r="X24" s="136">
        <f>COMPROMISOS_2025[[#This Row],[total_ordenes]]</f>
        <v>7108450</v>
      </c>
      <c r="Y24" t="str" cm="1">
        <f t="array" aca="1" ref="Y24" ca="1">IFERROR(_xlfn.XLOOKUP(COMPROMISOS_2025[[#This Row],[concatenado]],PAA[[#All],[RCP-RUBRO]],PAA[[#All],[Actividad3]],VLOOKUP(COMPROMISOS_2025[[#This Row],[Indicador Principal]],$AC$2:$AD$17,2,0),0),"")</f>
        <v/>
      </c>
    </row>
    <row r="25" spans="1:30" hidden="1" x14ac:dyDescent="0.25">
      <c r="A25">
        <v>2999</v>
      </c>
      <c r="B25" t="s">
        <v>2503</v>
      </c>
      <c r="C25" t="s">
        <v>1043</v>
      </c>
      <c r="D25" t="s">
        <v>1709</v>
      </c>
      <c r="F25">
        <v>438</v>
      </c>
      <c r="G25">
        <v>4</v>
      </c>
      <c r="H25" t="s">
        <v>60</v>
      </c>
      <c r="I25" t="s">
        <v>1710</v>
      </c>
      <c r="J25">
        <v>1462811</v>
      </c>
      <c r="K25">
        <v>2025</v>
      </c>
      <c r="L25">
        <v>11283980193</v>
      </c>
      <c r="M25" t="s">
        <v>2504</v>
      </c>
      <c r="N25" t="s">
        <v>1688</v>
      </c>
      <c r="O25" t="s">
        <v>1686</v>
      </c>
      <c r="P25">
        <v>0</v>
      </c>
      <c r="Q25">
        <v>1462811</v>
      </c>
      <c r="R25">
        <v>0</v>
      </c>
      <c r="S25">
        <v>0</v>
      </c>
      <c r="T25" t="str">
        <f t="shared" si="0"/>
        <v>29991.00.0000.00.0-205616.2.1.1.01.01.001.07.</v>
      </c>
      <c r="U25" t="e" cm="1">
        <f t="array" aca="1" ref="U25" ca="1">+IF(COMPROMISOS_2025[[#This Row],[P]]="20","41080111",_xlfn.XLOOKUP(COMPROMISOS_2025[[#This Row],[concatenado]],PAA[[#All],[RCP-RUBRO]],PAA[[#All],[INDICADOR]],"",0))</f>
        <v>#NAME?</v>
      </c>
      <c r="V25" s="144" t="str">
        <f t="shared" si="1"/>
        <v>00</v>
      </c>
      <c r="W25" s="136">
        <f>+COMPROMISOS_2025[[#This Row],[valor_total]]-COMPROMISOS_2025[[#This Row],[total_cancelado]]</f>
        <v>1462811</v>
      </c>
      <c r="X25" s="136">
        <f>COMPROMISOS_2025[[#This Row],[total_ordenes]]</f>
        <v>1462811</v>
      </c>
      <c r="Y25" t="str" cm="1">
        <f t="array" aca="1" ref="Y25" ca="1">IFERROR(_xlfn.XLOOKUP(COMPROMISOS_2025[[#This Row],[concatenado]],PAA[[#All],[RCP-RUBRO]],PAA[[#All],[Actividad3]],VLOOKUP(COMPROMISOS_2025[[#This Row],[Indicador Principal]],$AC$2:$AD$17,2,0),0),"")</f>
        <v/>
      </c>
    </row>
    <row r="26" spans="1:30" hidden="1" x14ac:dyDescent="0.25">
      <c r="A26">
        <v>110</v>
      </c>
      <c r="B26" t="s">
        <v>2485</v>
      </c>
      <c r="C26" t="s">
        <v>1043</v>
      </c>
      <c r="D26" t="s">
        <v>1703</v>
      </c>
      <c r="F26">
        <v>320</v>
      </c>
      <c r="G26">
        <v>5</v>
      </c>
      <c r="H26" t="s">
        <v>56</v>
      </c>
      <c r="I26" t="s">
        <v>1711</v>
      </c>
      <c r="J26">
        <v>6756920</v>
      </c>
      <c r="K26">
        <v>2025</v>
      </c>
      <c r="L26">
        <v>325269585</v>
      </c>
      <c r="M26" t="s">
        <v>2497</v>
      </c>
      <c r="N26" t="s">
        <v>1688</v>
      </c>
      <c r="O26" t="s">
        <v>1686</v>
      </c>
      <c r="P26">
        <v>0</v>
      </c>
      <c r="Q26">
        <v>6756920</v>
      </c>
      <c r="R26">
        <v>0</v>
      </c>
      <c r="S26">
        <v>0</v>
      </c>
      <c r="T26" t="str">
        <f t="shared" si="0"/>
        <v>1101.00.0000.00.0-205616.2.1.1.01.01.001.08.01</v>
      </c>
      <c r="U26" t="e" cm="1">
        <f t="array" aca="1" ref="U26" ca="1">+IF(COMPROMISOS_2025[[#This Row],[P]]="20","41080111",_xlfn.XLOOKUP(COMPROMISOS_2025[[#This Row],[concatenado]],PAA[[#All],[RCP-RUBRO]],PAA[[#All],[INDICADOR]],"",0))</f>
        <v>#NAME?</v>
      </c>
      <c r="V26" s="144" t="str">
        <f t="shared" si="1"/>
        <v>00</v>
      </c>
      <c r="W26" s="136">
        <f>+COMPROMISOS_2025[[#This Row],[valor_total]]-COMPROMISOS_2025[[#This Row],[total_cancelado]]</f>
        <v>6756920</v>
      </c>
      <c r="X26" s="136">
        <f>COMPROMISOS_2025[[#This Row],[total_ordenes]]</f>
        <v>6756920</v>
      </c>
      <c r="Y26" t="str" cm="1">
        <f t="array" aca="1" ref="Y26" ca="1">IFERROR(_xlfn.XLOOKUP(COMPROMISOS_2025[[#This Row],[concatenado]],PAA[[#All],[RCP-RUBRO]],PAA[[#All],[Actividad3]],VLOOKUP(COMPROMISOS_2025[[#This Row],[Indicador Principal]],$AC$2:$AD$17,2,0),0),"")</f>
        <v/>
      </c>
    </row>
    <row r="27" spans="1:30" hidden="1" x14ac:dyDescent="0.25">
      <c r="A27">
        <v>2999</v>
      </c>
      <c r="B27" t="s">
        <v>2503</v>
      </c>
      <c r="C27" t="s">
        <v>1043</v>
      </c>
      <c r="D27" t="s">
        <v>1709</v>
      </c>
      <c r="F27">
        <v>438</v>
      </c>
      <c r="G27">
        <v>5</v>
      </c>
      <c r="H27" t="s">
        <v>56</v>
      </c>
      <c r="I27" t="s">
        <v>1711</v>
      </c>
      <c r="J27">
        <v>303259</v>
      </c>
      <c r="K27">
        <v>2025</v>
      </c>
      <c r="L27">
        <v>11283980193</v>
      </c>
      <c r="M27" t="s">
        <v>2504</v>
      </c>
      <c r="N27" t="s">
        <v>1688</v>
      </c>
      <c r="O27" t="s">
        <v>1686</v>
      </c>
      <c r="P27">
        <v>0</v>
      </c>
      <c r="Q27">
        <v>303259</v>
      </c>
      <c r="R27">
        <v>0</v>
      </c>
      <c r="S27">
        <v>0</v>
      </c>
      <c r="T27" t="str">
        <f t="shared" si="0"/>
        <v>29991.00.0000.00.0-205616.2.1.1.01.01.001.08.01</v>
      </c>
      <c r="U27" t="e" cm="1">
        <f t="array" aca="1" ref="U27" ca="1">+IF(COMPROMISOS_2025[[#This Row],[P]]="20","41080111",_xlfn.XLOOKUP(COMPROMISOS_2025[[#This Row],[concatenado]],PAA[[#All],[RCP-RUBRO]],PAA[[#All],[INDICADOR]],"",0))</f>
        <v>#NAME?</v>
      </c>
      <c r="V27" s="144" t="str">
        <f t="shared" si="1"/>
        <v>00</v>
      </c>
      <c r="W27" s="136">
        <f>+COMPROMISOS_2025[[#This Row],[valor_total]]-COMPROMISOS_2025[[#This Row],[total_cancelado]]</f>
        <v>303259</v>
      </c>
      <c r="X27" s="136">
        <f>COMPROMISOS_2025[[#This Row],[total_ordenes]]</f>
        <v>303259</v>
      </c>
      <c r="Y27" t="str" cm="1">
        <f t="array" aca="1" ref="Y27" ca="1">IFERROR(_xlfn.XLOOKUP(COMPROMISOS_2025[[#This Row],[concatenado]],PAA[[#All],[RCP-RUBRO]],PAA[[#All],[Actividad3]],VLOOKUP(COMPROMISOS_2025[[#This Row],[Indicador Principal]],$AC$2:$AD$17,2,0),0),"")</f>
        <v/>
      </c>
    </row>
    <row r="28" spans="1:30" hidden="1" x14ac:dyDescent="0.25">
      <c r="A28">
        <v>5</v>
      </c>
      <c r="B28" t="s">
        <v>2480</v>
      </c>
      <c r="C28" t="s">
        <v>1043</v>
      </c>
      <c r="D28" t="s">
        <v>1685</v>
      </c>
      <c r="F28">
        <v>6</v>
      </c>
      <c r="G28">
        <v>6</v>
      </c>
      <c r="H28" t="s">
        <v>58</v>
      </c>
      <c r="I28" t="s">
        <v>1712</v>
      </c>
      <c r="J28">
        <v>15448499</v>
      </c>
      <c r="K28">
        <v>2025</v>
      </c>
      <c r="L28">
        <v>811007127</v>
      </c>
      <c r="M28" t="s">
        <v>2481</v>
      </c>
      <c r="N28" t="s">
        <v>1688</v>
      </c>
      <c r="O28" t="s">
        <v>1686</v>
      </c>
      <c r="P28">
        <v>2146024</v>
      </c>
      <c r="Q28">
        <v>15448499</v>
      </c>
      <c r="R28">
        <v>0</v>
      </c>
      <c r="S28">
        <v>0</v>
      </c>
      <c r="T28" t="str">
        <f t="shared" si="0"/>
        <v>51.00.0000.00.0-205616.2.1.1.01.01.001.08.02</v>
      </c>
      <c r="U28" t="e" cm="1">
        <f t="array" aca="1" ref="U28" ca="1">+IF(COMPROMISOS_2025[[#This Row],[P]]="20","41080111",_xlfn.XLOOKUP(COMPROMISOS_2025[[#This Row],[concatenado]],PAA[[#All],[RCP-RUBRO]],PAA[[#All],[INDICADOR]],"",0))</f>
        <v>#NAME?</v>
      </c>
      <c r="V28" s="144" t="str">
        <f t="shared" si="1"/>
        <v>00</v>
      </c>
      <c r="W28" s="136">
        <f>+COMPROMISOS_2025[[#This Row],[valor_total]]-COMPROMISOS_2025[[#This Row],[total_cancelado]]</f>
        <v>15448499</v>
      </c>
      <c r="X28" s="136">
        <f>COMPROMISOS_2025[[#This Row],[total_ordenes]]</f>
        <v>15448499</v>
      </c>
      <c r="Y28" t="str" cm="1">
        <f t="array" aca="1" ref="Y28" ca="1">IFERROR(_xlfn.XLOOKUP(COMPROMISOS_2025[[#This Row],[concatenado]],PAA[[#All],[RCP-RUBRO]],PAA[[#All],[Actividad3]],VLOOKUP(COMPROMISOS_2025[[#This Row],[Indicador Principal]],$AC$2:$AD$17,2,0),0),"")</f>
        <v/>
      </c>
    </row>
    <row r="29" spans="1:30" hidden="1" x14ac:dyDescent="0.25">
      <c r="A29">
        <v>46</v>
      </c>
      <c r="B29" t="s">
        <v>2483</v>
      </c>
      <c r="C29" t="s">
        <v>1043</v>
      </c>
      <c r="D29" t="s">
        <v>1690</v>
      </c>
      <c r="F29">
        <v>61</v>
      </c>
      <c r="G29">
        <v>6</v>
      </c>
      <c r="H29" t="s">
        <v>58</v>
      </c>
      <c r="I29" t="s">
        <v>1712</v>
      </c>
      <c r="J29">
        <v>9548638</v>
      </c>
      <c r="K29">
        <v>2025</v>
      </c>
      <c r="L29">
        <v>811007127</v>
      </c>
      <c r="M29" t="s">
        <v>2481</v>
      </c>
      <c r="N29" t="s">
        <v>1688</v>
      </c>
      <c r="O29" t="s">
        <v>1686</v>
      </c>
      <c r="P29">
        <v>0</v>
      </c>
      <c r="Q29">
        <v>9548638</v>
      </c>
      <c r="R29">
        <v>0</v>
      </c>
      <c r="S29">
        <v>0</v>
      </c>
      <c r="T29" t="str">
        <f t="shared" si="0"/>
        <v>461.00.0000.00.0-205616.2.1.1.01.01.001.08.02</v>
      </c>
      <c r="U29" t="e" cm="1">
        <f t="array" aca="1" ref="U29" ca="1">+IF(COMPROMISOS_2025[[#This Row],[P]]="20","41080111",_xlfn.XLOOKUP(COMPROMISOS_2025[[#This Row],[concatenado]],PAA[[#All],[RCP-RUBRO]],PAA[[#All],[INDICADOR]],"",0))</f>
        <v>#NAME?</v>
      </c>
      <c r="V29" s="144" t="str">
        <f t="shared" si="1"/>
        <v>00</v>
      </c>
      <c r="W29" s="136">
        <f>+COMPROMISOS_2025[[#This Row],[valor_total]]-COMPROMISOS_2025[[#This Row],[total_cancelado]]</f>
        <v>9548638</v>
      </c>
      <c r="X29" s="136">
        <f>COMPROMISOS_2025[[#This Row],[total_ordenes]]</f>
        <v>9548638</v>
      </c>
      <c r="Y29" t="str" cm="1">
        <f t="array" aca="1" ref="Y29" ca="1">IFERROR(_xlfn.XLOOKUP(COMPROMISOS_2025[[#This Row],[concatenado]],PAA[[#All],[RCP-RUBRO]],PAA[[#All],[Actividad3]],VLOOKUP(COMPROMISOS_2025[[#This Row],[Indicador Principal]],$AC$2:$AD$17,2,0),0),"")</f>
        <v/>
      </c>
    </row>
    <row r="30" spans="1:30" hidden="1" x14ac:dyDescent="0.25">
      <c r="A30">
        <v>109</v>
      </c>
      <c r="B30" t="s">
        <v>2485</v>
      </c>
      <c r="C30" t="s">
        <v>1043</v>
      </c>
      <c r="D30" t="s">
        <v>1692</v>
      </c>
      <c r="F30">
        <v>319</v>
      </c>
      <c r="G30">
        <v>6</v>
      </c>
      <c r="H30" t="s">
        <v>58</v>
      </c>
      <c r="I30" t="s">
        <v>1712</v>
      </c>
      <c r="J30">
        <v>8141815</v>
      </c>
      <c r="K30">
        <v>2025</v>
      </c>
      <c r="L30">
        <v>811007127</v>
      </c>
      <c r="M30" t="s">
        <v>2481</v>
      </c>
      <c r="N30" t="s">
        <v>1688</v>
      </c>
      <c r="O30" t="s">
        <v>1686</v>
      </c>
      <c r="P30">
        <v>0</v>
      </c>
      <c r="Q30">
        <v>8141815</v>
      </c>
      <c r="R30">
        <v>0</v>
      </c>
      <c r="S30">
        <v>0</v>
      </c>
      <c r="T30" t="str">
        <f t="shared" si="0"/>
        <v>1091.00.0000.00.0-205616.2.1.1.01.01.001.08.02</v>
      </c>
      <c r="U30" t="e" cm="1">
        <f t="array" aca="1" ref="U30" ca="1">+IF(COMPROMISOS_2025[[#This Row],[P]]="20","41080111",_xlfn.XLOOKUP(COMPROMISOS_2025[[#This Row],[concatenado]],PAA[[#All],[RCP-RUBRO]],PAA[[#All],[INDICADOR]],"",0))</f>
        <v>#NAME?</v>
      </c>
      <c r="V30" s="144" t="str">
        <f t="shared" si="1"/>
        <v>00</v>
      </c>
      <c r="W30" s="136">
        <f>+COMPROMISOS_2025[[#This Row],[valor_total]]-COMPROMISOS_2025[[#This Row],[total_cancelado]]</f>
        <v>8141815</v>
      </c>
      <c r="X30" s="136">
        <f>COMPROMISOS_2025[[#This Row],[total_ordenes]]</f>
        <v>8141815</v>
      </c>
      <c r="Y30" t="str" cm="1">
        <f t="array" aca="1" ref="Y30" ca="1">IFERROR(_xlfn.XLOOKUP(COMPROMISOS_2025[[#This Row],[concatenado]],PAA[[#All],[RCP-RUBRO]],PAA[[#All],[Actividad3]],VLOOKUP(COMPROMISOS_2025[[#This Row],[Indicador Principal]],$AC$2:$AD$17,2,0),0),"")</f>
        <v/>
      </c>
    </row>
    <row r="31" spans="1:30" hidden="1" x14ac:dyDescent="0.25">
      <c r="A31">
        <v>110</v>
      </c>
      <c r="B31" t="s">
        <v>2485</v>
      </c>
      <c r="C31" t="s">
        <v>1043</v>
      </c>
      <c r="D31" t="s">
        <v>1703</v>
      </c>
      <c r="F31">
        <v>320</v>
      </c>
      <c r="G31">
        <v>6</v>
      </c>
      <c r="H31" t="s">
        <v>58</v>
      </c>
      <c r="I31" t="s">
        <v>1712</v>
      </c>
      <c r="J31">
        <v>5716067</v>
      </c>
      <c r="K31">
        <v>2025</v>
      </c>
      <c r="L31">
        <v>325269585</v>
      </c>
      <c r="M31" t="s">
        <v>2497</v>
      </c>
      <c r="N31" t="s">
        <v>1688</v>
      </c>
      <c r="O31" t="s">
        <v>1686</v>
      </c>
      <c r="P31">
        <v>0</v>
      </c>
      <c r="Q31">
        <v>5716067</v>
      </c>
      <c r="R31">
        <v>0</v>
      </c>
      <c r="S31">
        <v>0</v>
      </c>
      <c r="T31" t="str">
        <f t="shared" si="0"/>
        <v>1101.00.0000.00.0-205616.2.1.1.01.01.001.08.02</v>
      </c>
      <c r="U31" t="e" cm="1">
        <f t="array" aca="1" ref="U31" ca="1">+IF(COMPROMISOS_2025[[#This Row],[P]]="20","41080111",_xlfn.XLOOKUP(COMPROMISOS_2025[[#This Row],[concatenado]],PAA[[#All],[RCP-RUBRO]],PAA[[#All],[INDICADOR]],"",0))</f>
        <v>#NAME?</v>
      </c>
      <c r="V31" s="144" t="str">
        <f t="shared" si="1"/>
        <v>00</v>
      </c>
      <c r="W31" s="136">
        <f>+COMPROMISOS_2025[[#This Row],[valor_total]]-COMPROMISOS_2025[[#This Row],[total_cancelado]]</f>
        <v>5716067</v>
      </c>
      <c r="X31" s="136">
        <f>COMPROMISOS_2025[[#This Row],[total_ordenes]]</f>
        <v>5716067</v>
      </c>
      <c r="Y31" t="str" cm="1">
        <f t="array" aca="1" ref="Y31" ca="1">IFERROR(_xlfn.XLOOKUP(COMPROMISOS_2025[[#This Row],[concatenado]],PAA[[#All],[RCP-RUBRO]],PAA[[#All],[Actividad3]],VLOOKUP(COMPROMISOS_2025[[#This Row],[Indicador Principal]],$AC$2:$AD$17,2,0),0),"")</f>
        <v/>
      </c>
    </row>
    <row r="32" spans="1:30" hidden="1" x14ac:dyDescent="0.25">
      <c r="A32">
        <v>429</v>
      </c>
      <c r="B32" t="s">
        <v>2487</v>
      </c>
      <c r="C32" t="s">
        <v>1043</v>
      </c>
      <c r="D32" t="s">
        <v>1694</v>
      </c>
      <c r="F32">
        <v>356</v>
      </c>
      <c r="G32">
        <v>6</v>
      </c>
      <c r="H32" t="s">
        <v>58</v>
      </c>
      <c r="I32" t="s">
        <v>1712</v>
      </c>
      <c r="J32">
        <v>803322</v>
      </c>
      <c r="K32">
        <v>2025</v>
      </c>
      <c r="L32">
        <v>811007127</v>
      </c>
      <c r="M32" t="s">
        <v>2481</v>
      </c>
      <c r="N32" t="s">
        <v>1688</v>
      </c>
      <c r="O32" t="s">
        <v>1686</v>
      </c>
      <c r="P32">
        <v>111593</v>
      </c>
      <c r="Q32">
        <v>803322</v>
      </c>
      <c r="R32">
        <v>0</v>
      </c>
      <c r="S32">
        <v>0</v>
      </c>
      <c r="T32" t="str">
        <f t="shared" si="0"/>
        <v>4291.00.0000.00.0-205616.2.1.1.01.01.001.08.02</v>
      </c>
      <c r="U32" t="e" cm="1">
        <f t="array" aca="1" ref="U32" ca="1">+IF(COMPROMISOS_2025[[#This Row],[P]]="20","41080111",_xlfn.XLOOKUP(COMPROMISOS_2025[[#This Row],[concatenado]],PAA[[#All],[RCP-RUBRO]],PAA[[#All],[INDICADOR]],"",0))</f>
        <v>#NAME?</v>
      </c>
      <c r="V32" s="144" t="str">
        <f t="shared" si="1"/>
        <v>00</v>
      </c>
      <c r="W32" s="136">
        <f>+COMPROMISOS_2025[[#This Row],[valor_total]]-COMPROMISOS_2025[[#This Row],[total_cancelado]]</f>
        <v>803322</v>
      </c>
      <c r="X32" s="136">
        <f>COMPROMISOS_2025[[#This Row],[total_ordenes]]</f>
        <v>803322</v>
      </c>
      <c r="Y32" t="str" cm="1">
        <f t="array" aca="1" ref="Y32" ca="1">IFERROR(_xlfn.XLOOKUP(COMPROMISOS_2025[[#This Row],[concatenado]],PAA[[#All],[RCP-RUBRO]],PAA[[#All],[Actividad3]],VLOOKUP(COMPROMISOS_2025[[#This Row],[Indicador Principal]],$AC$2:$AD$17,2,0),0),"")</f>
        <v/>
      </c>
    </row>
    <row r="33" spans="1:25" hidden="1" x14ac:dyDescent="0.25">
      <c r="A33">
        <v>436</v>
      </c>
      <c r="B33" t="s">
        <v>2489</v>
      </c>
      <c r="C33" t="s">
        <v>1043</v>
      </c>
      <c r="D33" t="s">
        <v>1696</v>
      </c>
      <c r="F33">
        <v>381</v>
      </c>
      <c r="G33">
        <v>6</v>
      </c>
      <c r="H33" t="s">
        <v>58</v>
      </c>
      <c r="I33" t="s">
        <v>1712</v>
      </c>
      <c r="J33">
        <v>8022329</v>
      </c>
      <c r="K33">
        <v>2025</v>
      </c>
      <c r="L33">
        <v>811007127</v>
      </c>
      <c r="M33" t="s">
        <v>2481</v>
      </c>
      <c r="N33" t="s">
        <v>1688</v>
      </c>
      <c r="O33" t="s">
        <v>1686</v>
      </c>
      <c r="P33">
        <v>0</v>
      </c>
      <c r="Q33">
        <v>8022329</v>
      </c>
      <c r="R33">
        <v>0</v>
      </c>
      <c r="S33">
        <v>0</v>
      </c>
      <c r="T33" t="str">
        <f t="shared" si="0"/>
        <v>4361.00.0000.00.0-205616.2.1.1.01.01.001.08.02</v>
      </c>
      <c r="U33" t="e" cm="1">
        <f t="array" aca="1" ref="U33" ca="1">+IF(COMPROMISOS_2025[[#This Row],[P]]="20","41080111",_xlfn.XLOOKUP(COMPROMISOS_2025[[#This Row],[concatenado]],PAA[[#All],[RCP-RUBRO]],PAA[[#All],[INDICADOR]],"",0))</f>
        <v>#NAME?</v>
      </c>
      <c r="V33" s="144" t="str">
        <f t="shared" si="1"/>
        <v>00</v>
      </c>
      <c r="W33" s="136">
        <f>+COMPROMISOS_2025[[#This Row],[valor_total]]-COMPROMISOS_2025[[#This Row],[total_cancelado]]</f>
        <v>8022329</v>
      </c>
      <c r="X33" s="136">
        <f>COMPROMISOS_2025[[#This Row],[total_ordenes]]</f>
        <v>8022329</v>
      </c>
      <c r="Y33" t="str" cm="1">
        <f t="array" aca="1" ref="Y33" ca="1">IFERROR(_xlfn.XLOOKUP(COMPROMISOS_2025[[#This Row],[concatenado]],PAA[[#All],[RCP-RUBRO]],PAA[[#All],[Actividad3]],VLOOKUP(COMPROMISOS_2025[[#This Row],[Indicador Principal]],$AC$2:$AD$17,2,0),0),"")</f>
        <v/>
      </c>
    </row>
    <row r="34" spans="1:25" hidden="1" x14ac:dyDescent="0.25">
      <c r="A34">
        <v>811</v>
      </c>
      <c r="B34" t="s">
        <v>2499</v>
      </c>
      <c r="C34" t="s">
        <v>1043</v>
      </c>
      <c r="D34" t="s">
        <v>1706</v>
      </c>
      <c r="F34">
        <v>395</v>
      </c>
      <c r="G34">
        <v>6</v>
      </c>
      <c r="H34" t="s">
        <v>58</v>
      </c>
      <c r="I34" t="s">
        <v>1712</v>
      </c>
      <c r="J34">
        <v>8783750</v>
      </c>
      <c r="K34">
        <v>2025</v>
      </c>
      <c r="L34">
        <v>715931405</v>
      </c>
      <c r="M34" t="s">
        <v>2500</v>
      </c>
      <c r="N34" t="s">
        <v>1688</v>
      </c>
      <c r="O34" t="s">
        <v>1686</v>
      </c>
      <c r="P34">
        <v>0</v>
      </c>
      <c r="Q34">
        <v>8783750</v>
      </c>
      <c r="R34">
        <v>0</v>
      </c>
      <c r="S34">
        <v>0</v>
      </c>
      <c r="T34" t="str">
        <f t="shared" si="0"/>
        <v>8111.00.0000.00.0-205616.2.1.1.01.01.001.08.02</v>
      </c>
      <c r="U34" t="e" cm="1">
        <f t="array" aca="1" ref="U34" ca="1">+IF(COMPROMISOS_2025[[#This Row],[P]]="20","41080111",_xlfn.XLOOKUP(COMPROMISOS_2025[[#This Row],[concatenado]],PAA[[#All],[RCP-RUBRO]],PAA[[#All],[INDICADOR]],"",0))</f>
        <v>#NAME?</v>
      </c>
      <c r="V34" s="144" t="str">
        <f t="shared" si="1"/>
        <v>00</v>
      </c>
      <c r="W34" s="136">
        <f>+COMPROMISOS_2025[[#This Row],[valor_total]]-COMPROMISOS_2025[[#This Row],[total_cancelado]]</f>
        <v>8783750</v>
      </c>
      <c r="X34" s="136">
        <f>COMPROMISOS_2025[[#This Row],[total_ordenes]]</f>
        <v>8783750</v>
      </c>
      <c r="Y34" t="str" cm="1">
        <f t="array" aca="1" ref="Y34" ca="1">IFERROR(_xlfn.XLOOKUP(COMPROMISOS_2025[[#This Row],[concatenado]],PAA[[#All],[RCP-RUBRO]],PAA[[#All],[Actividad3]],VLOOKUP(COMPROMISOS_2025[[#This Row],[Indicador Principal]],$AC$2:$AD$17,2,0),0),"")</f>
        <v/>
      </c>
    </row>
    <row r="35" spans="1:25" hidden="1" x14ac:dyDescent="0.25">
      <c r="A35">
        <v>812</v>
      </c>
      <c r="B35" t="s">
        <v>2499</v>
      </c>
      <c r="C35" t="s">
        <v>1043</v>
      </c>
      <c r="D35" t="s">
        <v>1706</v>
      </c>
      <c r="F35">
        <v>396</v>
      </c>
      <c r="G35">
        <v>6</v>
      </c>
      <c r="H35" t="s">
        <v>58</v>
      </c>
      <c r="I35" t="s">
        <v>1712</v>
      </c>
      <c r="J35">
        <v>4786946</v>
      </c>
      <c r="K35">
        <v>2025</v>
      </c>
      <c r="L35">
        <v>1040043775</v>
      </c>
      <c r="M35" t="s">
        <v>2501</v>
      </c>
      <c r="N35" t="s">
        <v>1688</v>
      </c>
      <c r="O35" t="s">
        <v>1686</v>
      </c>
      <c r="P35">
        <v>0</v>
      </c>
      <c r="Q35">
        <v>4786946</v>
      </c>
      <c r="R35">
        <v>0</v>
      </c>
      <c r="S35">
        <v>0</v>
      </c>
      <c r="T35" t="str">
        <f t="shared" si="0"/>
        <v>8121.00.0000.00.0-205616.2.1.1.01.01.001.08.02</v>
      </c>
      <c r="U35" t="e" cm="1">
        <f t="array" aca="1" ref="U35" ca="1">+IF(COMPROMISOS_2025[[#This Row],[P]]="20","41080111",_xlfn.XLOOKUP(COMPROMISOS_2025[[#This Row],[concatenado]],PAA[[#All],[RCP-RUBRO]],PAA[[#All],[INDICADOR]],"",0))</f>
        <v>#NAME?</v>
      </c>
      <c r="V35" s="144" t="str">
        <f t="shared" si="1"/>
        <v>00</v>
      </c>
      <c r="W35" s="136">
        <f>+COMPROMISOS_2025[[#This Row],[valor_total]]-COMPROMISOS_2025[[#This Row],[total_cancelado]]</f>
        <v>4786946</v>
      </c>
      <c r="X35" s="136">
        <f>COMPROMISOS_2025[[#This Row],[total_ordenes]]</f>
        <v>4786946</v>
      </c>
      <c r="Y35" t="str" cm="1">
        <f t="array" aca="1" ref="Y35" ca="1">IFERROR(_xlfn.XLOOKUP(COMPROMISOS_2025[[#This Row],[concatenado]],PAA[[#All],[RCP-RUBRO]],PAA[[#All],[Actividad3]],VLOOKUP(COMPROMISOS_2025[[#This Row],[Indicador Principal]],$AC$2:$AD$17,2,0),0),"")</f>
        <v/>
      </c>
    </row>
    <row r="36" spans="1:25" hidden="1" x14ac:dyDescent="0.25">
      <c r="A36">
        <v>1618</v>
      </c>
      <c r="B36" t="s">
        <v>2491</v>
      </c>
      <c r="C36" t="s">
        <v>1043</v>
      </c>
      <c r="D36" t="s">
        <v>1698</v>
      </c>
      <c r="F36">
        <v>412</v>
      </c>
      <c r="G36">
        <v>6</v>
      </c>
      <c r="H36" t="s">
        <v>58</v>
      </c>
      <c r="I36" t="s">
        <v>1712</v>
      </c>
      <c r="J36">
        <v>14687101</v>
      </c>
      <c r="K36">
        <v>2025</v>
      </c>
      <c r="L36">
        <v>811007127</v>
      </c>
      <c r="M36" t="s">
        <v>2481</v>
      </c>
      <c r="N36" t="s">
        <v>1688</v>
      </c>
      <c r="O36" t="s">
        <v>1686</v>
      </c>
      <c r="P36">
        <v>0</v>
      </c>
      <c r="Q36">
        <v>14687101</v>
      </c>
      <c r="R36">
        <v>0</v>
      </c>
      <c r="S36">
        <v>0</v>
      </c>
      <c r="T36" t="str">
        <f t="shared" si="0"/>
        <v>16181.00.0000.00.0-205616.2.1.1.01.01.001.08.02</v>
      </c>
      <c r="U36" t="e" cm="1">
        <f t="array" aca="1" ref="U36" ca="1">+IF(COMPROMISOS_2025[[#This Row],[P]]="20","41080111",_xlfn.XLOOKUP(COMPROMISOS_2025[[#This Row],[concatenado]],PAA[[#All],[RCP-RUBRO]],PAA[[#All],[INDICADOR]],"",0))</f>
        <v>#NAME?</v>
      </c>
      <c r="V36" s="144" t="str">
        <f t="shared" si="1"/>
        <v>00</v>
      </c>
      <c r="W36" s="136">
        <f>+COMPROMISOS_2025[[#This Row],[valor_total]]-COMPROMISOS_2025[[#This Row],[total_cancelado]]</f>
        <v>14687101</v>
      </c>
      <c r="X36" s="136">
        <f>COMPROMISOS_2025[[#This Row],[total_ordenes]]</f>
        <v>14687101</v>
      </c>
      <c r="Y36" t="str" cm="1">
        <f t="array" aca="1" ref="Y36" ca="1">IFERROR(_xlfn.XLOOKUP(COMPROMISOS_2025[[#This Row],[concatenado]],PAA[[#All],[RCP-RUBRO]],PAA[[#All],[Actividad3]],VLOOKUP(COMPROMISOS_2025[[#This Row],[Indicador Principal]],$AC$2:$AD$17,2,0),0),"")</f>
        <v/>
      </c>
    </row>
    <row r="37" spans="1:25" hidden="1" x14ac:dyDescent="0.25">
      <c r="A37">
        <v>2998</v>
      </c>
      <c r="B37" t="s">
        <v>2493</v>
      </c>
      <c r="C37" t="s">
        <v>1043</v>
      </c>
      <c r="D37" t="s">
        <v>1700</v>
      </c>
      <c r="F37">
        <v>435</v>
      </c>
      <c r="G37">
        <v>6</v>
      </c>
      <c r="H37" t="s">
        <v>58</v>
      </c>
      <c r="I37" t="s">
        <v>1712</v>
      </c>
      <c r="J37">
        <v>16040909</v>
      </c>
      <c r="K37">
        <v>2025</v>
      </c>
      <c r="L37">
        <v>811007127</v>
      </c>
      <c r="M37" t="s">
        <v>2481</v>
      </c>
      <c r="N37" t="s">
        <v>1688</v>
      </c>
      <c r="O37" t="s">
        <v>1686</v>
      </c>
      <c r="P37">
        <v>0</v>
      </c>
      <c r="Q37">
        <v>16040909</v>
      </c>
      <c r="R37">
        <v>0</v>
      </c>
      <c r="S37">
        <v>0</v>
      </c>
      <c r="T37" t="str">
        <f t="shared" si="0"/>
        <v>29981.00.0000.00.0-205616.2.1.1.01.01.001.08.02</v>
      </c>
      <c r="U37" t="e" cm="1">
        <f t="array" aca="1" ref="U37" ca="1">+IF(COMPROMISOS_2025[[#This Row],[P]]="20","41080111",_xlfn.XLOOKUP(COMPROMISOS_2025[[#This Row],[concatenado]],PAA[[#All],[RCP-RUBRO]],PAA[[#All],[INDICADOR]],"",0))</f>
        <v>#NAME?</v>
      </c>
      <c r="V37" s="144" t="str">
        <f t="shared" si="1"/>
        <v>00</v>
      </c>
      <c r="W37" s="136">
        <f>+COMPROMISOS_2025[[#This Row],[valor_total]]-COMPROMISOS_2025[[#This Row],[total_cancelado]]</f>
        <v>16040909</v>
      </c>
      <c r="X37" s="136">
        <f>COMPROMISOS_2025[[#This Row],[total_ordenes]]</f>
        <v>16040909</v>
      </c>
      <c r="Y37" t="str" cm="1">
        <f t="array" aca="1" ref="Y37" ca="1">IFERROR(_xlfn.XLOOKUP(COMPROMISOS_2025[[#This Row],[concatenado]],PAA[[#All],[RCP-RUBRO]],PAA[[#All],[Actividad3]],VLOOKUP(COMPROMISOS_2025[[#This Row],[Indicador Principal]],$AC$2:$AD$17,2,0),0),"")</f>
        <v/>
      </c>
    </row>
    <row r="38" spans="1:25" hidden="1" x14ac:dyDescent="0.25">
      <c r="A38">
        <v>2999</v>
      </c>
      <c r="B38" t="s">
        <v>2503</v>
      </c>
      <c r="C38" t="s">
        <v>1043</v>
      </c>
      <c r="D38" t="s">
        <v>1709</v>
      </c>
      <c r="F38">
        <v>438</v>
      </c>
      <c r="G38">
        <v>6</v>
      </c>
      <c r="H38" t="s">
        <v>58</v>
      </c>
      <c r="I38" t="s">
        <v>1712</v>
      </c>
      <c r="J38">
        <v>2092489</v>
      </c>
      <c r="K38">
        <v>2025</v>
      </c>
      <c r="L38">
        <v>11283980193</v>
      </c>
      <c r="M38" t="s">
        <v>2504</v>
      </c>
      <c r="N38" t="s">
        <v>1688</v>
      </c>
      <c r="O38" t="s">
        <v>1686</v>
      </c>
      <c r="P38">
        <v>0</v>
      </c>
      <c r="Q38">
        <v>2092489</v>
      </c>
      <c r="R38">
        <v>0</v>
      </c>
      <c r="S38">
        <v>0</v>
      </c>
      <c r="T38" t="str">
        <f t="shared" si="0"/>
        <v>29991.00.0000.00.0-205616.2.1.1.01.01.001.08.02</v>
      </c>
      <c r="U38" t="e" cm="1">
        <f t="array" aca="1" ref="U38" ca="1">+IF(COMPROMISOS_2025[[#This Row],[P]]="20","41080111",_xlfn.XLOOKUP(COMPROMISOS_2025[[#This Row],[concatenado]],PAA[[#All],[RCP-RUBRO]],PAA[[#All],[INDICADOR]],"",0))</f>
        <v>#NAME?</v>
      </c>
      <c r="V38" s="144" t="str">
        <f t="shared" si="1"/>
        <v>00</v>
      </c>
      <c r="W38" s="136">
        <f>+COMPROMISOS_2025[[#This Row],[valor_total]]-COMPROMISOS_2025[[#This Row],[total_cancelado]]</f>
        <v>2092489</v>
      </c>
      <c r="X38" s="136">
        <f>COMPROMISOS_2025[[#This Row],[total_ordenes]]</f>
        <v>2092489</v>
      </c>
      <c r="Y38" t="str" cm="1">
        <f t="array" aca="1" ref="Y38" ca="1">IFERROR(_xlfn.XLOOKUP(COMPROMISOS_2025[[#This Row],[concatenado]],PAA[[#All],[RCP-RUBRO]],PAA[[#All],[Actividad3]],VLOOKUP(COMPROMISOS_2025[[#This Row],[Indicador Principal]],$AC$2:$AD$17,2,0),0),"")</f>
        <v/>
      </c>
    </row>
    <row r="39" spans="1:25" hidden="1" x14ac:dyDescent="0.25">
      <c r="A39">
        <v>6</v>
      </c>
      <c r="B39" t="s">
        <v>2508</v>
      </c>
      <c r="C39" t="s">
        <v>883</v>
      </c>
      <c r="D39" t="s">
        <v>1714</v>
      </c>
      <c r="F39">
        <v>7</v>
      </c>
      <c r="G39">
        <v>7</v>
      </c>
      <c r="H39" t="s">
        <v>54</v>
      </c>
      <c r="I39" t="s">
        <v>1715</v>
      </c>
      <c r="J39">
        <v>150000000</v>
      </c>
      <c r="K39">
        <v>2025</v>
      </c>
      <c r="L39">
        <v>811007127</v>
      </c>
      <c r="M39" t="s">
        <v>2481</v>
      </c>
      <c r="N39" t="s">
        <v>1688</v>
      </c>
      <c r="O39" t="s">
        <v>1686</v>
      </c>
      <c r="P39">
        <v>0</v>
      </c>
      <c r="Q39">
        <v>16269105</v>
      </c>
      <c r="R39">
        <v>0</v>
      </c>
      <c r="S39">
        <v>133730895</v>
      </c>
      <c r="T39" t="str">
        <f t="shared" si="0"/>
        <v>61.00.0000.00.0-205616.2.1.1.01.01.001.10.</v>
      </c>
      <c r="U39" t="e" cm="1">
        <f t="array" aca="1" ref="U39" ca="1">+IF(COMPROMISOS_2025[[#This Row],[P]]="20","41080111",_xlfn.XLOOKUP(COMPROMISOS_2025[[#This Row],[concatenado]],PAA[[#All],[RCP-RUBRO]],PAA[[#All],[INDICADOR]],"",0))</f>
        <v>#NAME?</v>
      </c>
      <c r="V39" s="144" t="str">
        <f t="shared" si="1"/>
        <v>00</v>
      </c>
      <c r="W39" s="136">
        <f>+COMPROMISOS_2025[[#This Row],[valor_total]]-COMPROMISOS_2025[[#This Row],[total_cancelado]]</f>
        <v>150000000</v>
      </c>
      <c r="X39" s="136">
        <f>COMPROMISOS_2025[[#This Row],[total_ordenes]]</f>
        <v>16269105</v>
      </c>
      <c r="Y39" t="str" cm="1">
        <f t="array" aca="1" ref="Y39" ca="1">IFERROR(_xlfn.XLOOKUP(COMPROMISOS_2025[[#This Row],[concatenado]],PAA[[#All],[RCP-RUBRO]],PAA[[#All],[Actividad3]],VLOOKUP(COMPROMISOS_2025[[#This Row],[Indicador Principal]],$AC$2:$AD$17,2,0),0),"")</f>
        <v/>
      </c>
    </row>
    <row r="40" spans="1:25" hidden="1" x14ac:dyDescent="0.25">
      <c r="A40">
        <v>2865</v>
      </c>
      <c r="B40" t="s">
        <v>2509</v>
      </c>
      <c r="C40" t="s">
        <v>883</v>
      </c>
      <c r="D40" t="s">
        <v>1714</v>
      </c>
      <c r="F40">
        <v>419</v>
      </c>
      <c r="G40">
        <v>7</v>
      </c>
      <c r="H40" t="s">
        <v>54</v>
      </c>
      <c r="I40" t="s">
        <v>1715</v>
      </c>
      <c r="J40">
        <v>3937820</v>
      </c>
      <c r="K40">
        <v>2025</v>
      </c>
      <c r="L40">
        <v>985562063</v>
      </c>
      <c r="M40" t="s">
        <v>2510</v>
      </c>
      <c r="N40" t="s">
        <v>1688</v>
      </c>
      <c r="O40" t="s">
        <v>1686</v>
      </c>
      <c r="P40">
        <v>0</v>
      </c>
      <c r="Q40">
        <v>0</v>
      </c>
      <c r="R40">
        <v>0</v>
      </c>
      <c r="S40">
        <v>3937820</v>
      </c>
      <c r="T40" t="str">
        <f t="shared" si="0"/>
        <v>28651.00.0000.00.0-205616.2.1.1.01.01.001.10.</v>
      </c>
      <c r="U40" t="e" cm="1">
        <f t="array" aca="1" ref="U40" ca="1">+IF(COMPROMISOS_2025[[#This Row],[P]]="20","41080111",_xlfn.XLOOKUP(COMPROMISOS_2025[[#This Row],[concatenado]],PAA[[#All],[RCP-RUBRO]],PAA[[#All],[INDICADOR]],"",0))</f>
        <v>#NAME?</v>
      </c>
      <c r="V40" s="144" t="str">
        <f t="shared" si="1"/>
        <v>00</v>
      </c>
      <c r="W40" s="136">
        <f>+COMPROMISOS_2025[[#This Row],[valor_total]]-COMPROMISOS_2025[[#This Row],[total_cancelado]]</f>
        <v>3937820</v>
      </c>
      <c r="X40" s="136">
        <f>COMPROMISOS_2025[[#This Row],[total_ordenes]]</f>
        <v>0</v>
      </c>
      <c r="Y40" t="str" cm="1">
        <f t="array" aca="1" ref="Y40" ca="1">IFERROR(_xlfn.XLOOKUP(COMPROMISOS_2025[[#This Row],[concatenado]],PAA[[#All],[RCP-RUBRO]],PAA[[#All],[Actividad3]],VLOOKUP(COMPROMISOS_2025[[#This Row],[Indicador Principal]],$AC$2:$AD$17,2,0),0),"")</f>
        <v/>
      </c>
    </row>
    <row r="41" spans="1:25" hidden="1" x14ac:dyDescent="0.25">
      <c r="A41">
        <v>76</v>
      </c>
      <c r="B41" t="s">
        <v>2511</v>
      </c>
      <c r="C41" t="s">
        <v>1043</v>
      </c>
      <c r="D41" t="s">
        <v>1720</v>
      </c>
      <c r="F41">
        <v>283</v>
      </c>
      <c r="G41">
        <v>8</v>
      </c>
      <c r="H41" t="s">
        <v>62</v>
      </c>
      <c r="I41" t="s">
        <v>1721</v>
      </c>
      <c r="J41">
        <v>94920700</v>
      </c>
      <c r="K41">
        <v>2025</v>
      </c>
      <c r="L41">
        <v>9003360047</v>
      </c>
      <c r="M41" t="s">
        <v>2512</v>
      </c>
      <c r="N41" t="s">
        <v>1688</v>
      </c>
      <c r="O41" t="s">
        <v>1686</v>
      </c>
      <c r="P41">
        <v>0</v>
      </c>
      <c r="Q41">
        <v>94920700</v>
      </c>
      <c r="R41">
        <v>0</v>
      </c>
      <c r="S41">
        <v>0</v>
      </c>
      <c r="T41" t="str">
        <f t="shared" si="0"/>
        <v>761.00.0000.00.0-205616.2.1.1.01.02.001.</v>
      </c>
      <c r="U41" t="e" cm="1">
        <f t="array" aca="1" ref="U41" ca="1">+IF(COMPROMISOS_2025[[#This Row],[P]]="20","41080111",_xlfn.XLOOKUP(COMPROMISOS_2025[[#This Row],[concatenado]],PAA[[#All],[RCP-RUBRO]],PAA[[#All],[INDICADOR]],"",0))</f>
        <v>#NAME?</v>
      </c>
      <c r="V41" s="144" t="str">
        <f t="shared" si="1"/>
        <v>00</v>
      </c>
      <c r="W41" s="136">
        <f>+COMPROMISOS_2025[[#This Row],[valor_total]]-COMPROMISOS_2025[[#This Row],[total_cancelado]]</f>
        <v>94920700</v>
      </c>
      <c r="X41" s="136">
        <f>COMPROMISOS_2025[[#This Row],[total_ordenes]]</f>
        <v>94920700</v>
      </c>
      <c r="Y41" t="str" cm="1">
        <f t="array" aca="1" ref="Y41" ca="1">IFERROR(_xlfn.XLOOKUP(COMPROMISOS_2025[[#This Row],[concatenado]],PAA[[#All],[RCP-RUBRO]],PAA[[#All],[Actividad3]],VLOOKUP(COMPROMISOS_2025[[#This Row],[Indicador Principal]],$AC$2:$AD$17,2,0),0),"")</f>
        <v/>
      </c>
    </row>
    <row r="42" spans="1:25" hidden="1" x14ac:dyDescent="0.25">
      <c r="A42">
        <v>77</v>
      </c>
      <c r="B42" t="s">
        <v>2511</v>
      </c>
      <c r="C42" t="s">
        <v>1043</v>
      </c>
      <c r="D42" t="s">
        <v>1720</v>
      </c>
      <c r="F42">
        <v>283</v>
      </c>
      <c r="G42">
        <v>8</v>
      </c>
      <c r="H42" t="s">
        <v>62</v>
      </c>
      <c r="I42" t="s">
        <v>1721</v>
      </c>
      <c r="J42">
        <v>428600</v>
      </c>
      <c r="K42">
        <v>2025</v>
      </c>
      <c r="L42">
        <v>8002279406</v>
      </c>
      <c r="M42" t="s">
        <v>2513</v>
      </c>
      <c r="N42" t="s">
        <v>1688</v>
      </c>
      <c r="O42" t="s">
        <v>1686</v>
      </c>
      <c r="P42">
        <v>0</v>
      </c>
      <c r="Q42">
        <v>428600</v>
      </c>
      <c r="R42">
        <v>0</v>
      </c>
      <c r="S42">
        <v>0</v>
      </c>
      <c r="T42" t="str">
        <f t="shared" si="0"/>
        <v>771.00.0000.00.0-205616.2.1.1.01.02.001.</v>
      </c>
      <c r="U42" t="e" cm="1">
        <f t="array" aca="1" ref="U42" ca="1">+IF(COMPROMISOS_2025[[#This Row],[P]]="20","41080111",_xlfn.XLOOKUP(COMPROMISOS_2025[[#This Row],[concatenado]],PAA[[#All],[RCP-RUBRO]],PAA[[#All],[INDICADOR]],"",0))</f>
        <v>#NAME?</v>
      </c>
      <c r="V42" s="144" t="str">
        <f t="shared" si="1"/>
        <v>00</v>
      </c>
      <c r="W42" s="136">
        <f>+COMPROMISOS_2025[[#This Row],[valor_total]]-COMPROMISOS_2025[[#This Row],[total_cancelado]]</f>
        <v>428600</v>
      </c>
      <c r="X42" s="136">
        <f>COMPROMISOS_2025[[#This Row],[total_ordenes]]</f>
        <v>428600</v>
      </c>
      <c r="Y42" t="str" cm="1">
        <f t="array" aca="1" ref="Y42" ca="1">IFERROR(_xlfn.XLOOKUP(COMPROMISOS_2025[[#This Row],[concatenado]],PAA[[#All],[RCP-RUBRO]],PAA[[#All],[Actividad3]],VLOOKUP(COMPROMISOS_2025[[#This Row],[Indicador Principal]],$AC$2:$AD$17,2,0),0),"")</f>
        <v/>
      </c>
    </row>
    <row r="43" spans="1:25" hidden="1" x14ac:dyDescent="0.25">
      <c r="A43">
        <v>78</v>
      </c>
      <c r="B43" t="s">
        <v>2511</v>
      </c>
      <c r="C43" t="s">
        <v>1043</v>
      </c>
      <c r="D43" t="s">
        <v>1720</v>
      </c>
      <c r="F43">
        <v>283</v>
      </c>
      <c r="G43">
        <v>8</v>
      </c>
      <c r="H43" t="s">
        <v>62</v>
      </c>
      <c r="I43" t="s">
        <v>1721</v>
      </c>
      <c r="J43">
        <v>8504500</v>
      </c>
      <c r="K43">
        <v>2025</v>
      </c>
      <c r="L43">
        <v>8002248088</v>
      </c>
      <c r="M43" t="s">
        <v>2514</v>
      </c>
      <c r="N43" t="s">
        <v>1688</v>
      </c>
      <c r="O43" t="s">
        <v>1686</v>
      </c>
      <c r="P43">
        <v>0</v>
      </c>
      <c r="Q43">
        <v>8504500</v>
      </c>
      <c r="R43">
        <v>0</v>
      </c>
      <c r="S43">
        <v>0</v>
      </c>
      <c r="T43" t="str">
        <f t="shared" si="0"/>
        <v>781.00.0000.00.0-205616.2.1.1.01.02.001.</v>
      </c>
      <c r="U43" t="e" cm="1">
        <f t="array" aca="1" ref="U43" ca="1">+IF(COMPROMISOS_2025[[#This Row],[P]]="20","41080111",_xlfn.XLOOKUP(COMPROMISOS_2025[[#This Row],[concatenado]],PAA[[#All],[RCP-RUBRO]],PAA[[#All],[INDICADOR]],"",0))</f>
        <v>#NAME?</v>
      </c>
      <c r="V43" s="144" t="str">
        <f t="shared" si="1"/>
        <v>00</v>
      </c>
      <c r="W43" s="136">
        <f>+COMPROMISOS_2025[[#This Row],[valor_total]]-COMPROMISOS_2025[[#This Row],[total_cancelado]]</f>
        <v>8504500</v>
      </c>
      <c r="X43" s="136">
        <f>COMPROMISOS_2025[[#This Row],[total_ordenes]]</f>
        <v>8504500</v>
      </c>
      <c r="Y43" t="str" cm="1">
        <f t="array" aca="1" ref="Y43" ca="1">IFERROR(_xlfn.XLOOKUP(COMPROMISOS_2025[[#This Row],[concatenado]],PAA[[#All],[RCP-RUBRO]],PAA[[#All],[Actividad3]],VLOOKUP(COMPROMISOS_2025[[#This Row],[Indicador Principal]],$AC$2:$AD$17,2,0),0),"")</f>
        <v/>
      </c>
    </row>
    <row r="44" spans="1:25" hidden="1" x14ac:dyDescent="0.25">
      <c r="A44">
        <v>79</v>
      </c>
      <c r="B44" t="s">
        <v>2511</v>
      </c>
      <c r="C44" t="s">
        <v>1043</v>
      </c>
      <c r="D44" t="s">
        <v>1720</v>
      </c>
      <c r="F44">
        <v>283</v>
      </c>
      <c r="G44">
        <v>8</v>
      </c>
      <c r="H44" t="s">
        <v>62</v>
      </c>
      <c r="I44" t="s">
        <v>1721</v>
      </c>
      <c r="J44">
        <v>17403500</v>
      </c>
      <c r="K44">
        <v>2025</v>
      </c>
      <c r="L44">
        <v>800229739</v>
      </c>
      <c r="M44" t="s">
        <v>2515</v>
      </c>
      <c r="N44" t="s">
        <v>1688</v>
      </c>
      <c r="O44" t="s">
        <v>1686</v>
      </c>
      <c r="P44">
        <v>0</v>
      </c>
      <c r="Q44">
        <v>17403500</v>
      </c>
      <c r="R44">
        <v>0</v>
      </c>
      <c r="S44">
        <v>0</v>
      </c>
      <c r="T44" t="str">
        <f t="shared" si="0"/>
        <v>791.00.0000.00.0-205616.2.1.1.01.02.001.</v>
      </c>
      <c r="U44" t="e" cm="1">
        <f t="array" aca="1" ref="U44" ca="1">+IF(COMPROMISOS_2025[[#This Row],[P]]="20","41080111",_xlfn.XLOOKUP(COMPROMISOS_2025[[#This Row],[concatenado]],PAA[[#All],[RCP-RUBRO]],PAA[[#All],[INDICADOR]],"",0))</f>
        <v>#NAME?</v>
      </c>
      <c r="V44" s="144" t="str">
        <f t="shared" si="1"/>
        <v>00</v>
      </c>
      <c r="W44" s="136">
        <f>+COMPROMISOS_2025[[#This Row],[valor_total]]-COMPROMISOS_2025[[#This Row],[total_cancelado]]</f>
        <v>17403500</v>
      </c>
      <c r="X44" s="136">
        <f>COMPROMISOS_2025[[#This Row],[total_ordenes]]</f>
        <v>17403500</v>
      </c>
      <c r="Y44" t="str" cm="1">
        <f t="array" aca="1" ref="Y44" ca="1">IFERROR(_xlfn.XLOOKUP(COMPROMISOS_2025[[#This Row],[concatenado]],PAA[[#All],[RCP-RUBRO]],PAA[[#All],[Actividad3]],VLOOKUP(COMPROMISOS_2025[[#This Row],[Indicador Principal]],$AC$2:$AD$17,2,0),0),"")</f>
        <v/>
      </c>
    </row>
    <row r="45" spans="1:25" hidden="1" x14ac:dyDescent="0.25">
      <c r="A45">
        <v>80</v>
      </c>
      <c r="B45" t="s">
        <v>2511</v>
      </c>
      <c r="C45" t="s">
        <v>1043</v>
      </c>
      <c r="D45" t="s">
        <v>1720</v>
      </c>
      <c r="F45">
        <v>283</v>
      </c>
      <c r="G45">
        <v>8</v>
      </c>
      <c r="H45" t="s">
        <v>62</v>
      </c>
      <c r="I45" t="s">
        <v>1721</v>
      </c>
      <c r="J45">
        <v>872300</v>
      </c>
      <c r="K45">
        <v>2025</v>
      </c>
      <c r="L45">
        <v>8001485142</v>
      </c>
      <c r="M45" t="s">
        <v>2516</v>
      </c>
      <c r="N45" t="s">
        <v>1688</v>
      </c>
      <c r="O45" t="s">
        <v>1686</v>
      </c>
      <c r="P45">
        <v>0</v>
      </c>
      <c r="Q45">
        <v>872300</v>
      </c>
      <c r="R45">
        <v>0</v>
      </c>
      <c r="S45">
        <v>0</v>
      </c>
      <c r="T45" t="str">
        <f t="shared" si="0"/>
        <v>801.00.0000.00.0-205616.2.1.1.01.02.001.</v>
      </c>
      <c r="U45" t="e" cm="1">
        <f t="array" aca="1" ref="U45" ca="1">+IF(COMPROMISOS_2025[[#This Row],[P]]="20","41080111",_xlfn.XLOOKUP(COMPROMISOS_2025[[#This Row],[concatenado]],PAA[[#All],[RCP-RUBRO]],PAA[[#All],[INDICADOR]],"",0))</f>
        <v>#NAME?</v>
      </c>
      <c r="V45" s="144" t="str">
        <f t="shared" si="1"/>
        <v>00</v>
      </c>
      <c r="W45" s="136">
        <f>+COMPROMISOS_2025[[#This Row],[valor_total]]-COMPROMISOS_2025[[#This Row],[total_cancelado]]</f>
        <v>872300</v>
      </c>
      <c r="X45" s="136">
        <f>COMPROMISOS_2025[[#This Row],[total_ordenes]]</f>
        <v>872300</v>
      </c>
      <c r="Y45" t="str" cm="1">
        <f t="array" aca="1" ref="Y45" ca="1">IFERROR(_xlfn.XLOOKUP(COMPROMISOS_2025[[#This Row],[concatenado]],PAA[[#All],[RCP-RUBRO]],PAA[[#All],[Actividad3]],VLOOKUP(COMPROMISOS_2025[[#This Row],[Indicador Principal]],$AC$2:$AD$17,2,0),0),"")</f>
        <v/>
      </c>
    </row>
    <row r="46" spans="1:25" hidden="1" x14ac:dyDescent="0.25">
      <c r="A46">
        <v>790</v>
      </c>
      <c r="B46" t="s">
        <v>1722</v>
      </c>
      <c r="C46" t="s">
        <v>1043</v>
      </c>
      <c r="D46" t="s">
        <v>1723</v>
      </c>
      <c r="F46">
        <v>386</v>
      </c>
      <c r="G46">
        <v>8</v>
      </c>
      <c r="H46" t="s">
        <v>62</v>
      </c>
      <c r="I46" t="s">
        <v>1721</v>
      </c>
      <c r="J46">
        <v>93786300</v>
      </c>
      <c r="K46">
        <v>2025</v>
      </c>
      <c r="L46">
        <v>9003360047</v>
      </c>
      <c r="M46" t="s">
        <v>2512</v>
      </c>
      <c r="N46" t="s">
        <v>1688</v>
      </c>
      <c r="O46" t="s">
        <v>1686</v>
      </c>
      <c r="P46">
        <v>0</v>
      </c>
      <c r="Q46">
        <v>93786300</v>
      </c>
      <c r="R46">
        <v>0</v>
      </c>
      <c r="S46">
        <v>0</v>
      </c>
      <c r="T46" t="str">
        <f t="shared" si="0"/>
        <v>7901.00.0000.00.0-205616.2.1.1.01.02.001.</v>
      </c>
      <c r="U46" t="e" cm="1">
        <f t="array" aca="1" ref="U46" ca="1">+IF(COMPROMISOS_2025[[#This Row],[P]]="20","41080111",_xlfn.XLOOKUP(COMPROMISOS_2025[[#This Row],[concatenado]],PAA[[#All],[RCP-RUBRO]],PAA[[#All],[INDICADOR]],"",0))</f>
        <v>#NAME?</v>
      </c>
      <c r="V46" s="144" t="str">
        <f t="shared" si="1"/>
        <v>00</v>
      </c>
      <c r="W46" s="136">
        <f>+COMPROMISOS_2025[[#This Row],[valor_total]]-COMPROMISOS_2025[[#This Row],[total_cancelado]]</f>
        <v>93786300</v>
      </c>
      <c r="X46" s="136">
        <f>COMPROMISOS_2025[[#This Row],[total_ordenes]]</f>
        <v>93786300</v>
      </c>
      <c r="Y46" t="str" cm="1">
        <f t="array" aca="1" ref="Y46" ca="1">IFERROR(_xlfn.XLOOKUP(COMPROMISOS_2025[[#This Row],[concatenado]],PAA[[#All],[RCP-RUBRO]],PAA[[#All],[Actividad3]],VLOOKUP(COMPROMISOS_2025[[#This Row],[Indicador Principal]],$AC$2:$AD$17,2,0),0),"")</f>
        <v/>
      </c>
    </row>
    <row r="47" spans="1:25" hidden="1" x14ac:dyDescent="0.25">
      <c r="A47">
        <v>791</v>
      </c>
      <c r="B47" t="s">
        <v>1722</v>
      </c>
      <c r="C47" t="s">
        <v>1043</v>
      </c>
      <c r="D47" t="s">
        <v>1723</v>
      </c>
      <c r="F47">
        <v>386</v>
      </c>
      <c r="G47">
        <v>8</v>
      </c>
      <c r="H47" t="s">
        <v>62</v>
      </c>
      <c r="I47" t="s">
        <v>1721</v>
      </c>
      <c r="J47">
        <v>439200</v>
      </c>
      <c r="K47">
        <v>2025</v>
      </c>
      <c r="L47">
        <v>8002279406</v>
      </c>
      <c r="M47" t="s">
        <v>2513</v>
      </c>
      <c r="N47" t="s">
        <v>1688</v>
      </c>
      <c r="O47" t="s">
        <v>1686</v>
      </c>
      <c r="P47">
        <v>0</v>
      </c>
      <c r="Q47">
        <v>439200</v>
      </c>
      <c r="R47">
        <v>0</v>
      </c>
      <c r="S47">
        <v>0</v>
      </c>
      <c r="T47" t="str">
        <f t="shared" si="0"/>
        <v>7911.00.0000.00.0-205616.2.1.1.01.02.001.</v>
      </c>
      <c r="U47" t="e" cm="1">
        <f t="array" aca="1" ref="U47" ca="1">+IF(COMPROMISOS_2025[[#This Row],[P]]="20","41080111",_xlfn.XLOOKUP(COMPROMISOS_2025[[#This Row],[concatenado]],PAA[[#All],[RCP-RUBRO]],PAA[[#All],[INDICADOR]],"",0))</f>
        <v>#NAME?</v>
      </c>
      <c r="V47" s="144" t="str">
        <f t="shared" si="1"/>
        <v>00</v>
      </c>
      <c r="W47" s="136">
        <f>+COMPROMISOS_2025[[#This Row],[valor_total]]-COMPROMISOS_2025[[#This Row],[total_cancelado]]</f>
        <v>439200</v>
      </c>
      <c r="X47" s="136">
        <f>COMPROMISOS_2025[[#This Row],[total_ordenes]]</f>
        <v>439200</v>
      </c>
      <c r="Y47" t="str" cm="1">
        <f t="array" aca="1" ref="Y47" ca="1">IFERROR(_xlfn.XLOOKUP(COMPROMISOS_2025[[#This Row],[concatenado]],PAA[[#All],[RCP-RUBRO]],PAA[[#All],[Actividad3]],VLOOKUP(COMPROMISOS_2025[[#This Row],[Indicador Principal]],$AC$2:$AD$17,2,0),0),"")</f>
        <v/>
      </c>
    </row>
    <row r="48" spans="1:25" hidden="1" x14ac:dyDescent="0.25">
      <c r="A48">
        <v>792</v>
      </c>
      <c r="B48" t="s">
        <v>1722</v>
      </c>
      <c r="C48" t="s">
        <v>1043</v>
      </c>
      <c r="D48" t="s">
        <v>1723</v>
      </c>
      <c r="F48">
        <v>386</v>
      </c>
      <c r="G48">
        <v>8</v>
      </c>
      <c r="H48" t="s">
        <v>62</v>
      </c>
      <c r="I48" t="s">
        <v>1721</v>
      </c>
      <c r="J48">
        <v>7572000</v>
      </c>
      <c r="K48">
        <v>2025</v>
      </c>
      <c r="L48">
        <v>8002248088</v>
      </c>
      <c r="M48" t="s">
        <v>2514</v>
      </c>
      <c r="N48" t="s">
        <v>1688</v>
      </c>
      <c r="O48" t="s">
        <v>1686</v>
      </c>
      <c r="P48">
        <v>0</v>
      </c>
      <c r="Q48">
        <v>7572000</v>
      </c>
      <c r="R48">
        <v>0</v>
      </c>
      <c r="S48">
        <v>0</v>
      </c>
      <c r="T48" t="str">
        <f t="shared" si="0"/>
        <v>7921.00.0000.00.0-205616.2.1.1.01.02.001.</v>
      </c>
      <c r="U48" t="e" cm="1">
        <f t="array" aca="1" ref="U48" ca="1">+IF(COMPROMISOS_2025[[#This Row],[P]]="20","41080111",_xlfn.XLOOKUP(COMPROMISOS_2025[[#This Row],[concatenado]],PAA[[#All],[RCP-RUBRO]],PAA[[#All],[INDICADOR]],"",0))</f>
        <v>#NAME?</v>
      </c>
      <c r="V48" s="144" t="str">
        <f t="shared" si="1"/>
        <v>00</v>
      </c>
      <c r="W48" s="136">
        <f>+COMPROMISOS_2025[[#This Row],[valor_total]]-COMPROMISOS_2025[[#This Row],[total_cancelado]]</f>
        <v>7572000</v>
      </c>
      <c r="X48" s="136">
        <f>COMPROMISOS_2025[[#This Row],[total_ordenes]]</f>
        <v>7572000</v>
      </c>
      <c r="Y48" t="str" cm="1">
        <f t="array" aca="1" ref="Y48" ca="1">IFERROR(_xlfn.XLOOKUP(COMPROMISOS_2025[[#This Row],[concatenado]],PAA[[#All],[RCP-RUBRO]],PAA[[#All],[Actividad3]],VLOOKUP(COMPROMISOS_2025[[#This Row],[Indicador Principal]],$AC$2:$AD$17,2,0),0),"")</f>
        <v/>
      </c>
    </row>
    <row r="49" spans="1:25" hidden="1" x14ac:dyDescent="0.25">
      <c r="A49">
        <v>793</v>
      </c>
      <c r="B49" t="s">
        <v>1722</v>
      </c>
      <c r="C49" t="s">
        <v>1043</v>
      </c>
      <c r="D49" t="s">
        <v>1723</v>
      </c>
      <c r="F49">
        <v>386</v>
      </c>
      <c r="G49">
        <v>8</v>
      </c>
      <c r="H49" t="s">
        <v>62</v>
      </c>
      <c r="I49" t="s">
        <v>1721</v>
      </c>
      <c r="J49">
        <v>17356600</v>
      </c>
      <c r="K49">
        <v>2025</v>
      </c>
      <c r="L49">
        <v>800229739</v>
      </c>
      <c r="M49" t="s">
        <v>2515</v>
      </c>
      <c r="N49" t="s">
        <v>1688</v>
      </c>
      <c r="O49" t="s">
        <v>1686</v>
      </c>
      <c r="P49">
        <v>0</v>
      </c>
      <c r="Q49">
        <v>17356600</v>
      </c>
      <c r="R49">
        <v>0</v>
      </c>
      <c r="S49">
        <v>0</v>
      </c>
      <c r="T49" t="str">
        <f t="shared" si="0"/>
        <v>7931.00.0000.00.0-205616.2.1.1.01.02.001.</v>
      </c>
      <c r="U49" t="e" cm="1">
        <f t="array" aca="1" ref="U49" ca="1">+IF(COMPROMISOS_2025[[#This Row],[P]]="20","41080111",_xlfn.XLOOKUP(COMPROMISOS_2025[[#This Row],[concatenado]],PAA[[#All],[RCP-RUBRO]],PAA[[#All],[INDICADOR]],"",0))</f>
        <v>#NAME?</v>
      </c>
      <c r="V49" s="144" t="str">
        <f t="shared" si="1"/>
        <v>00</v>
      </c>
      <c r="W49" s="136">
        <f>+COMPROMISOS_2025[[#This Row],[valor_total]]-COMPROMISOS_2025[[#This Row],[total_cancelado]]</f>
        <v>17356600</v>
      </c>
      <c r="X49" s="136">
        <f>COMPROMISOS_2025[[#This Row],[total_ordenes]]</f>
        <v>17356600</v>
      </c>
      <c r="Y49" t="str" cm="1">
        <f t="array" aca="1" ref="Y49" ca="1">IFERROR(_xlfn.XLOOKUP(COMPROMISOS_2025[[#This Row],[concatenado]],PAA[[#All],[RCP-RUBRO]],PAA[[#All],[Actividad3]],VLOOKUP(COMPROMISOS_2025[[#This Row],[Indicador Principal]],$AC$2:$AD$17,2,0),0),"")</f>
        <v/>
      </c>
    </row>
    <row r="50" spans="1:25" hidden="1" x14ac:dyDescent="0.25">
      <c r="A50">
        <v>794</v>
      </c>
      <c r="B50" t="s">
        <v>1736</v>
      </c>
      <c r="C50" t="s">
        <v>1043</v>
      </c>
      <c r="D50" t="s">
        <v>1723</v>
      </c>
      <c r="F50">
        <v>386</v>
      </c>
      <c r="G50">
        <v>8</v>
      </c>
      <c r="H50" t="s">
        <v>62</v>
      </c>
      <c r="I50" t="s">
        <v>1721</v>
      </c>
      <c r="J50">
        <v>893800</v>
      </c>
      <c r="K50">
        <v>2025</v>
      </c>
      <c r="L50">
        <v>8001485142</v>
      </c>
      <c r="M50" t="s">
        <v>2516</v>
      </c>
      <c r="N50" t="s">
        <v>1688</v>
      </c>
      <c r="O50" t="s">
        <v>1686</v>
      </c>
      <c r="P50">
        <v>0</v>
      </c>
      <c r="Q50">
        <v>893800</v>
      </c>
      <c r="R50">
        <v>0</v>
      </c>
      <c r="S50">
        <v>0</v>
      </c>
      <c r="T50" t="str">
        <f t="shared" si="0"/>
        <v>7941.00.0000.00.0-205616.2.1.1.01.02.001.</v>
      </c>
      <c r="U50" t="e" cm="1">
        <f t="array" aca="1" ref="U50" ca="1">+IF(COMPROMISOS_2025[[#This Row],[P]]="20","41080111",_xlfn.XLOOKUP(COMPROMISOS_2025[[#This Row],[concatenado]],PAA[[#All],[RCP-RUBRO]],PAA[[#All],[INDICADOR]],"",0))</f>
        <v>#NAME?</v>
      </c>
      <c r="V50" s="144" t="str">
        <f t="shared" si="1"/>
        <v>00</v>
      </c>
      <c r="W50" s="136">
        <f>+COMPROMISOS_2025[[#This Row],[valor_total]]-COMPROMISOS_2025[[#This Row],[total_cancelado]]</f>
        <v>893800</v>
      </c>
      <c r="X50" s="136">
        <f>COMPROMISOS_2025[[#This Row],[total_ordenes]]</f>
        <v>893800</v>
      </c>
      <c r="Y50" t="str" cm="1">
        <f t="array" aca="1" ref="Y50" ca="1">IFERROR(_xlfn.XLOOKUP(COMPROMISOS_2025[[#This Row],[concatenado]],PAA[[#All],[RCP-RUBRO]],PAA[[#All],[Actividad3]],VLOOKUP(COMPROMISOS_2025[[#This Row],[Indicador Principal]],$AC$2:$AD$17,2,0),0),"")</f>
        <v/>
      </c>
    </row>
    <row r="51" spans="1:25" hidden="1" x14ac:dyDescent="0.25">
      <c r="A51">
        <v>71</v>
      </c>
      <c r="B51" t="s">
        <v>2517</v>
      </c>
      <c r="C51" t="s">
        <v>1043</v>
      </c>
      <c r="D51" t="s">
        <v>1720</v>
      </c>
      <c r="F51">
        <v>283</v>
      </c>
      <c r="G51">
        <v>9</v>
      </c>
      <c r="H51" t="s">
        <v>64</v>
      </c>
      <c r="I51" t="s">
        <v>1724</v>
      </c>
      <c r="J51">
        <v>5680200</v>
      </c>
      <c r="K51">
        <v>2025</v>
      </c>
      <c r="L51">
        <v>8002514406</v>
      </c>
      <c r="M51" t="s">
        <v>2518</v>
      </c>
      <c r="N51" t="s">
        <v>1688</v>
      </c>
      <c r="O51" t="s">
        <v>1686</v>
      </c>
      <c r="P51">
        <v>0</v>
      </c>
      <c r="Q51">
        <v>5680200</v>
      </c>
      <c r="R51">
        <v>0</v>
      </c>
      <c r="S51">
        <v>0</v>
      </c>
      <c r="T51" t="str">
        <f t="shared" si="0"/>
        <v>711.00.0000.00.0-205616.2.1.1.01.02.002.</v>
      </c>
      <c r="U51" t="e" cm="1">
        <f t="array" aca="1" ref="U51" ca="1">+IF(COMPROMISOS_2025[[#This Row],[P]]="20","41080111",_xlfn.XLOOKUP(COMPROMISOS_2025[[#This Row],[concatenado]],PAA[[#All],[RCP-RUBRO]],PAA[[#All],[INDICADOR]],"",0))</f>
        <v>#NAME?</v>
      </c>
      <c r="V51" s="144" t="str">
        <f t="shared" si="1"/>
        <v>00</v>
      </c>
      <c r="W51" s="136">
        <f>+COMPROMISOS_2025[[#This Row],[valor_total]]-COMPROMISOS_2025[[#This Row],[total_cancelado]]</f>
        <v>5680200</v>
      </c>
      <c r="X51" s="136">
        <f>COMPROMISOS_2025[[#This Row],[total_ordenes]]</f>
        <v>5680200</v>
      </c>
      <c r="Y51" t="str" cm="1">
        <f t="array" aca="1" ref="Y51" ca="1">IFERROR(_xlfn.XLOOKUP(COMPROMISOS_2025[[#This Row],[concatenado]],PAA[[#All],[RCP-RUBRO]],PAA[[#All],[Actividad3]],VLOOKUP(COMPROMISOS_2025[[#This Row],[Indicador Principal]],$AC$2:$AD$17,2,0),0),"")</f>
        <v/>
      </c>
    </row>
    <row r="52" spans="1:25" hidden="1" x14ac:dyDescent="0.25">
      <c r="A52">
        <v>72</v>
      </c>
      <c r="B52" t="s">
        <v>2517</v>
      </c>
      <c r="C52" t="s">
        <v>1043</v>
      </c>
      <c r="D52" t="s">
        <v>1720</v>
      </c>
      <c r="F52">
        <v>283</v>
      </c>
      <c r="G52">
        <v>9</v>
      </c>
      <c r="H52" t="s">
        <v>64</v>
      </c>
      <c r="I52" t="s">
        <v>1724</v>
      </c>
      <c r="J52">
        <v>71921000</v>
      </c>
      <c r="K52">
        <v>2025</v>
      </c>
      <c r="L52">
        <v>8000887022</v>
      </c>
      <c r="M52" t="s">
        <v>2519</v>
      </c>
      <c r="N52" t="s">
        <v>1688</v>
      </c>
      <c r="O52" t="s">
        <v>1686</v>
      </c>
      <c r="P52">
        <v>0</v>
      </c>
      <c r="Q52">
        <v>71921000</v>
      </c>
      <c r="R52">
        <v>0</v>
      </c>
      <c r="S52">
        <v>0</v>
      </c>
      <c r="T52" t="str">
        <f t="shared" si="0"/>
        <v>721.00.0000.00.0-205616.2.1.1.01.02.002.</v>
      </c>
      <c r="U52" t="e" cm="1">
        <f t="array" aca="1" ref="U52" ca="1">+IF(COMPROMISOS_2025[[#This Row],[P]]="20","41080111",_xlfn.XLOOKUP(COMPROMISOS_2025[[#This Row],[concatenado]],PAA[[#All],[RCP-RUBRO]],PAA[[#All],[INDICADOR]],"",0))</f>
        <v>#NAME?</v>
      </c>
      <c r="V52" s="144" t="str">
        <f t="shared" si="1"/>
        <v>00</v>
      </c>
      <c r="W52" s="136">
        <f>+COMPROMISOS_2025[[#This Row],[valor_total]]-COMPROMISOS_2025[[#This Row],[total_cancelado]]</f>
        <v>71921000</v>
      </c>
      <c r="X52" s="136">
        <f>COMPROMISOS_2025[[#This Row],[total_ordenes]]</f>
        <v>71921000</v>
      </c>
      <c r="Y52" t="str" cm="1">
        <f t="array" aca="1" ref="Y52" ca="1">IFERROR(_xlfn.XLOOKUP(COMPROMISOS_2025[[#This Row],[concatenado]],PAA[[#All],[RCP-RUBRO]],PAA[[#All],[Actividad3]],VLOOKUP(COMPROMISOS_2025[[#This Row],[Indicador Principal]],$AC$2:$AD$17,2,0),0),"")</f>
        <v/>
      </c>
    </row>
    <row r="53" spans="1:25" hidden="1" x14ac:dyDescent="0.25">
      <c r="A53">
        <v>73</v>
      </c>
      <c r="B53" t="s">
        <v>2517</v>
      </c>
      <c r="C53" t="s">
        <v>1043</v>
      </c>
      <c r="D53" t="s">
        <v>1720</v>
      </c>
      <c r="F53">
        <v>283</v>
      </c>
      <c r="G53">
        <v>9</v>
      </c>
      <c r="H53" t="s">
        <v>64</v>
      </c>
      <c r="I53" t="s">
        <v>1724</v>
      </c>
      <c r="J53">
        <v>5027200</v>
      </c>
      <c r="K53">
        <v>2025</v>
      </c>
      <c r="L53">
        <v>9001562642</v>
      </c>
      <c r="M53" t="s">
        <v>2520</v>
      </c>
      <c r="N53" t="s">
        <v>1688</v>
      </c>
      <c r="O53" t="s">
        <v>1686</v>
      </c>
      <c r="P53">
        <v>0</v>
      </c>
      <c r="Q53">
        <v>5027200</v>
      </c>
      <c r="R53">
        <v>0</v>
      </c>
      <c r="S53">
        <v>0</v>
      </c>
      <c r="T53" t="str">
        <f t="shared" si="0"/>
        <v>731.00.0000.00.0-205616.2.1.1.01.02.002.</v>
      </c>
      <c r="U53" t="e" cm="1">
        <f t="array" aca="1" ref="U53" ca="1">+IF(COMPROMISOS_2025[[#This Row],[P]]="20","41080111",_xlfn.XLOOKUP(COMPROMISOS_2025[[#This Row],[concatenado]],PAA[[#All],[RCP-RUBRO]],PAA[[#All],[INDICADOR]],"",0))</f>
        <v>#NAME?</v>
      </c>
      <c r="V53" s="144" t="str">
        <f t="shared" si="1"/>
        <v>00</v>
      </c>
      <c r="W53" s="136">
        <f>+COMPROMISOS_2025[[#This Row],[valor_total]]-COMPROMISOS_2025[[#This Row],[total_cancelado]]</f>
        <v>5027200</v>
      </c>
      <c r="X53" s="136">
        <f>COMPROMISOS_2025[[#This Row],[total_ordenes]]</f>
        <v>5027200</v>
      </c>
      <c r="Y53" t="str" cm="1">
        <f t="array" aca="1" ref="Y53" ca="1">IFERROR(_xlfn.XLOOKUP(COMPROMISOS_2025[[#This Row],[concatenado]],PAA[[#All],[RCP-RUBRO]],PAA[[#All],[Actividad3]],VLOOKUP(COMPROMISOS_2025[[#This Row],[Indicador Principal]],$AC$2:$AD$17,2,0),0),"")</f>
        <v/>
      </c>
    </row>
    <row r="54" spans="1:25" hidden="1" x14ac:dyDescent="0.25">
      <c r="A54">
        <v>74</v>
      </c>
      <c r="B54" t="s">
        <v>2511</v>
      </c>
      <c r="C54" t="s">
        <v>1043</v>
      </c>
      <c r="D54" t="s">
        <v>1720</v>
      </c>
      <c r="F54">
        <v>283</v>
      </c>
      <c r="G54">
        <v>9</v>
      </c>
      <c r="H54" t="s">
        <v>64</v>
      </c>
      <c r="I54" t="s">
        <v>1724</v>
      </c>
      <c r="J54">
        <v>3264200</v>
      </c>
      <c r="K54">
        <v>2025</v>
      </c>
      <c r="L54">
        <v>8001309074</v>
      </c>
      <c r="M54" t="s">
        <v>2521</v>
      </c>
      <c r="N54" t="s">
        <v>1688</v>
      </c>
      <c r="O54" t="s">
        <v>1686</v>
      </c>
      <c r="P54">
        <v>0</v>
      </c>
      <c r="Q54">
        <v>3264200</v>
      </c>
      <c r="R54">
        <v>0</v>
      </c>
      <c r="S54">
        <v>0</v>
      </c>
      <c r="T54" t="str">
        <f t="shared" si="0"/>
        <v>741.00.0000.00.0-205616.2.1.1.01.02.002.</v>
      </c>
      <c r="U54" t="e" cm="1">
        <f t="array" aca="1" ref="U54" ca="1">+IF(COMPROMISOS_2025[[#This Row],[P]]="20","41080111",_xlfn.XLOOKUP(COMPROMISOS_2025[[#This Row],[concatenado]],PAA[[#All],[RCP-RUBRO]],PAA[[#All],[INDICADOR]],"",0))</f>
        <v>#NAME?</v>
      </c>
      <c r="V54" s="144" t="str">
        <f t="shared" si="1"/>
        <v>00</v>
      </c>
      <c r="W54" s="136">
        <f>+COMPROMISOS_2025[[#This Row],[valor_total]]-COMPROMISOS_2025[[#This Row],[total_cancelado]]</f>
        <v>3264200</v>
      </c>
      <c r="X54" s="136">
        <f>COMPROMISOS_2025[[#This Row],[total_ordenes]]</f>
        <v>3264200</v>
      </c>
      <c r="Y54" t="str" cm="1">
        <f t="array" aca="1" ref="Y54" ca="1">IFERROR(_xlfn.XLOOKUP(COMPROMISOS_2025[[#This Row],[concatenado]],PAA[[#All],[RCP-RUBRO]],PAA[[#All],[Actividad3]],VLOOKUP(COMPROMISOS_2025[[#This Row],[Indicador Principal]],$AC$2:$AD$17,2,0),0),"")</f>
        <v/>
      </c>
    </row>
    <row r="55" spans="1:25" hidden="1" x14ac:dyDescent="0.25">
      <c r="A55">
        <v>75</v>
      </c>
      <c r="B55" t="s">
        <v>2511</v>
      </c>
      <c r="C55" t="s">
        <v>1043</v>
      </c>
      <c r="D55" t="s">
        <v>1720</v>
      </c>
      <c r="F55">
        <v>283</v>
      </c>
      <c r="G55">
        <v>9</v>
      </c>
      <c r="H55" t="s">
        <v>64</v>
      </c>
      <c r="I55" t="s">
        <v>1724</v>
      </c>
      <c r="J55">
        <v>617900</v>
      </c>
      <c r="K55">
        <v>2025</v>
      </c>
      <c r="L55">
        <v>8909800408</v>
      </c>
      <c r="M55" t="s">
        <v>2522</v>
      </c>
      <c r="N55" t="s">
        <v>1688</v>
      </c>
      <c r="O55" t="s">
        <v>1686</v>
      </c>
      <c r="P55">
        <v>0</v>
      </c>
      <c r="Q55">
        <v>617900</v>
      </c>
      <c r="R55">
        <v>0</v>
      </c>
      <c r="S55">
        <v>0</v>
      </c>
      <c r="T55" t="str">
        <f t="shared" si="0"/>
        <v>751.00.0000.00.0-205616.2.1.1.01.02.002.</v>
      </c>
      <c r="U55" t="e" cm="1">
        <f t="array" aca="1" ref="U55" ca="1">+IF(COMPROMISOS_2025[[#This Row],[P]]="20","41080111",_xlfn.XLOOKUP(COMPROMISOS_2025[[#This Row],[concatenado]],PAA[[#All],[RCP-RUBRO]],PAA[[#All],[INDICADOR]],"",0))</f>
        <v>#NAME?</v>
      </c>
      <c r="V55" s="144" t="str">
        <f t="shared" si="1"/>
        <v>00</v>
      </c>
      <c r="W55" s="136">
        <f>+COMPROMISOS_2025[[#This Row],[valor_total]]-COMPROMISOS_2025[[#This Row],[total_cancelado]]</f>
        <v>617900</v>
      </c>
      <c r="X55" s="136">
        <f>COMPROMISOS_2025[[#This Row],[total_ordenes]]</f>
        <v>617900</v>
      </c>
      <c r="Y55" t="str" cm="1">
        <f t="array" aca="1" ref="Y55" ca="1">IFERROR(_xlfn.XLOOKUP(COMPROMISOS_2025[[#This Row],[concatenado]],PAA[[#All],[RCP-RUBRO]],PAA[[#All],[Actividad3]],VLOOKUP(COMPROMISOS_2025[[#This Row],[Indicador Principal]],$AC$2:$AD$17,2,0),0),"")</f>
        <v/>
      </c>
    </row>
    <row r="56" spans="1:25" hidden="1" x14ac:dyDescent="0.25">
      <c r="A56">
        <v>785</v>
      </c>
      <c r="B56" t="s">
        <v>1722</v>
      </c>
      <c r="C56" t="s">
        <v>1043</v>
      </c>
      <c r="D56" t="s">
        <v>1723</v>
      </c>
      <c r="F56">
        <v>386</v>
      </c>
      <c r="G56">
        <v>9</v>
      </c>
      <c r="H56" t="s">
        <v>64</v>
      </c>
      <c r="I56" t="s">
        <v>1724</v>
      </c>
      <c r="J56">
        <v>6391700</v>
      </c>
      <c r="K56">
        <v>2025</v>
      </c>
      <c r="L56">
        <v>8002514406</v>
      </c>
      <c r="M56" t="s">
        <v>2518</v>
      </c>
      <c r="N56" t="s">
        <v>1688</v>
      </c>
      <c r="O56" t="s">
        <v>1686</v>
      </c>
      <c r="P56">
        <v>0</v>
      </c>
      <c r="Q56">
        <v>6391700</v>
      </c>
      <c r="R56">
        <v>0</v>
      </c>
      <c r="S56">
        <v>0</v>
      </c>
      <c r="T56" t="str">
        <f t="shared" si="0"/>
        <v>7851.00.0000.00.0-205616.2.1.1.01.02.002.</v>
      </c>
      <c r="U56" t="e" cm="1">
        <f t="array" aca="1" ref="U56" ca="1">+IF(COMPROMISOS_2025[[#This Row],[P]]="20","41080111",_xlfn.XLOOKUP(COMPROMISOS_2025[[#This Row],[concatenado]],PAA[[#All],[RCP-RUBRO]],PAA[[#All],[INDICADOR]],"",0))</f>
        <v>#NAME?</v>
      </c>
      <c r="V56" s="144" t="str">
        <f t="shared" si="1"/>
        <v>00</v>
      </c>
      <c r="W56" s="136">
        <f>+COMPROMISOS_2025[[#This Row],[valor_total]]-COMPROMISOS_2025[[#This Row],[total_cancelado]]</f>
        <v>6391700</v>
      </c>
      <c r="X56" s="136">
        <f>COMPROMISOS_2025[[#This Row],[total_ordenes]]</f>
        <v>6391700</v>
      </c>
      <c r="Y56" t="str" cm="1">
        <f t="array" aca="1" ref="Y56" ca="1">IFERROR(_xlfn.XLOOKUP(COMPROMISOS_2025[[#This Row],[concatenado]],PAA[[#All],[RCP-RUBRO]],PAA[[#All],[Actividad3]],VLOOKUP(COMPROMISOS_2025[[#This Row],[Indicador Principal]],$AC$2:$AD$17,2,0),0),"")</f>
        <v/>
      </c>
    </row>
    <row r="57" spans="1:25" hidden="1" x14ac:dyDescent="0.25">
      <c r="A57">
        <v>786</v>
      </c>
      <c r="B57" t="s">
        <v>1722</v>
      </c>
      <c r="C57" t="s">
        <v>1043</v>
      </c>
      <c r="D57" t="s">
        <v>1723</v>
      </c>
      <c r="F57">
        <v>386</v>
      </c>
      <c r="G57">
        <v>9</v>
      </c>
      <c r="H57" t="s">
        <v>64</v>
      </c>
      <c r="I57" t="s">
        <v>1724</v>
      </c>
      <c r="J57">
        <v>68331400</v>
      </c>
      <c r="K57">
        <v>2025</v>
      </c>
      <c r="L57">
        <v>8000887022</v>
      </c>
      <c r="M57" t="s">
        <v>2519</v>
      </c>
      <c r="N57" t="s">
        <v>1688</v>
      </c>
      <c r="O57" t="s">
        <v>1686</v>
      </c>
      <c r="P57">
        <v>0</v>
      </c>
      <c r="Q57">
        <v>68331400</v>
      </c>
      <c r="R57">
        <v>0</v>
      </c>
      <c r="S57">
        <v>0</v>
      </c>
      <c r="T57" t="str">
        <f t="shared" si="0"/>
        <v>7861.00.0000.00.0-205616.2.1.1.01.02.002.</v>
      </c>
      <c r="U57" t="e" cm="1">
        <f t="array" aca="1" ref="U57" ca="1">+IF(COMPROMISOS_2025[[#This Row],[P]]="20","41080111",_xlfn.XLOOKUP(COMPROMISOS_2025[[#This Row],[concatenado]],PAA[[#All],[RCP-RUBRO]],PAA[[#All],[INDICADOR]],"",0))</f>
        <v>#NAME?</v>
      </c>
      <c r="V57" s="144" t="str">
        <f t="shared" si="1"/>
        <v>00</v>
      </c>
      <c r="W57" s="136">
        <f>+COMPROMISOS_2025[[#This Row],[valor_total]]-COMPROMISOS_2025[[#This Row],[total_cancelado]]</f>
        <v>68331400</v>
      </c>
      <c r="X57" s="136">
        <f>COMPROMISOS_2025[[#This Row],[total_ordenes]]</f>
        <v>68331400</v>
      </c>
      <c r="Y57" t="str" cm="1">
        <f t="array" aca="1" ref="Y57" ca="1">IFERROR(_xlfn.XLOOKUP(COMPROMISOS_2025[[#This Row],[concatenado]],PAA[[#All],[RCP-RUBRO]],PAA[[#All],[Actividad3]],VLOOKUP(COMPROMISOS_2025[[#This Row],[Indicador Principal]],$AC$2:$AD$17,2,0),0),"")</f>
        <v/>
      </c>
    </row>
    <row r="58" spans="1:25" hidden="1" x14ac:dyDescent="0.25">
      <c r="A58">
        <v>787</v>
      </c>
      <c r="B58" t="s">
        <v>1722</v>
      </c>
      <c r="C58" t="s">
        <v>1043</v>
      </c>
      <c r="D58" t="s">
        <v>1723</v>
      </c>
      <c r="F58">
        <v>386</v>
      </c>
      <c r="G58">
        <v>9</v>
      </c>
      <c r="H58" t="s">
        <v>64</v>
      </c>
      <c r="I58" t="s">
        <v>1724</v>
      </c>
      <c r="J58">
        <v>5869400</v>
      </c>
      <c r="K58">
        <v>2025</v>
      </c>
      <c r="L58">
        <v>9001562642</v>
      </c>
      <c r="M58" t="s">
        <v>2520</v>
      </c>
      <c r="N58" t="s">
        <v>1688</v>
      </c>
      <c r="O58" t="s">
        <v>1686</v>
      </c>
      <c r="P58">
        <v>0</v>
      </c>
      <c r="Q58">
        <v>5869400</v>
      </c>
      <c r="R58">
        <v>0</v>
      </c>
      <c r="S58">
        <v>0</v>
      </c>
      <c r="T58" t="str">
        <f t="shared" si="0"/>
        <v>7871.00.0000.00.0-205616.2.1.1.01.02.002.</v>
      </c>
      <c r="U58" t="e" cm="1">
        <f t="array" aca="1" ref="U58" ca="1">+IF(COMPROMISOS_2025[[#This Row],[P]]="20","41080111",_xlfn.XLOOKUP(COMPROMISOS_2025[[#This Row],[concatenado]],PAA[[#All],[RCP-RUBRO]],PAA[[#All],[INDICADOR]],"",0))</f>
        <v>#NAME?</v>
      </c>
      <c r="V58" s="144" t="str">
        <f t="shared" si="1"/>
        <v>00</v>
      </c>
      <c r="W58" s="136">
        <f>+COMPROMISOS_2025[[#This Row],[valor_total]]-COMPROMISOS_2025[[#This Row],[total_cancelado]]</f>
        <v>5869400</v>
      </c>
      <c r="X58" s="136">
        <f>COMPROMISOS_2025[[#This Row],[total_ordenes]]</f>
        <v>5869400</v>
      </c>
      <c r="Y58" t="str" cm="1">
        <f t="array" aca="1" ref="Y58" ca="1">IFERROR(_xlfn.XLOOKUP(COMPROMISOS_2025[[#This Row],[concatenado]],PAA[[#All],[RCP-RUBRO]],PAA[[#All],[Actividad3]],VLOOKUP(COMPROMISOS_2025[[#This Row],[Indicador Principal]],$AC$2:$AD$17,2,0),0),"")</f>
        <v/>
      </c>
    </row>
    <row r="59" spans="1:25" hidden="1" x14ac:dyDescent="0.25">
      <c r="A59">
        <v>788</v>
      </c>
      <c r="B59" t="s">
        <v>1722</v>
      </c>
      <c r="C59" t="s">
        <v>1043</v>
      </c>
      <c r="D59" t="s">
        <v>1723</v>
      </c>
      <c r="F59">
        <v>386</v>
      </c>
      <c r="G59">
        <v>9</v>
      </c>
      <c r="H59" t="s">
        <v>64</v>
      </c>
      <c r="I59" t="s">
        <v>1724</v>
      </c>
      <c r="J59">
        <v>3594800</v>
      </c>
      <c r="K59">
        <v>2025</v>
      </c>
      <c r="L59">
        <v>8001309074</v>
      </c>
      <c r="M59" t="s">
        <v>2521</v>
      </c>
      <c r="N59" t="s">
        <v>1688</v>
      </c>
      <c r="O59" t="s">
        <v>1686</v>
      </c>
      <c r="P59">
        <v>0</v>
      </c>
      <c r="Q59">
        <v>3594800</v>
      </c>
      <c r="R59">
        <v>0</v>
      </c>
      <c r="S59">
        <v>0</v>
      </c>
      <c r="T59" t="str">
        <f t="shared" si="0"/>
        <v>7881.00.0000.00.0-205616.2.1.1.01.02.002.</v>
      </c>
      <c r="U59" t="e" cm="1">
        <f t="array" aca="1" ref="U59" ca="1">+IF(COMPROMISOS_2025[[#This Row],[P]]="20","41080111",_xlfn.XLOOKUP(COMPROMISOS_2025[[#This Row],[concatenado]],PAA[[#All],[RCP-RUBRO]],PAA[[#All],[INDICADOR]],"",0))</f>
        <v>#NAME?</v>
      </c>
      <c r="V59" s="144" t="str">
        <f t="shared" si="1"/>
        <v>00</v>
      </c>
      <c r="W59" s="136">
        <f>+COMPROMISOS_2025[[#This Row],[valor_total]]-COMPROMISOS_2025[[#This Row],[total_cancelado]]</f>
        <v>3594800</v>
      </c>
      <c r="X59" s="136">
        <f>COMPROMISOS_2025[[#This Row],[total_ordenes]]</f>
        <v>3594800</v>
      </c>
      <c r="Y59" t="str" cm="1">
        <f t="array" aca="1" ref="Y59" ca="1">IFERROR(_xlfn.XLOOKUP(COMPROMISOS_2025[[#This Row],[concatenado]],PAA[[#All],[RCP-RUBRO]],PAA[[#All],[Actividad3]],VLOOKUP(COMPROMISOS_2025[[#This Row],[Indicador Principal]],$AC$2:$AD$17,2,0),0),"")</f>
        <v/>
      </c>
    </row>
    <row r="60" spans="1:25" hidden="1" x14ac:dyDescent="0.25">
      <c r="A60">
        <v>789</v>
      </c>
      <c r="B60" t="s">
        <v>1722</v>
      </c>
      <c r="C60" t="s">
        <v>1043</v>
      </c>
      <c r="D60" t="s">
        <v>1723</v>
      </c>
      <c r="F60">
        <v>386</v>
      </c>
      <c r="G60">
        <v>9</v>
      </c>
      <c r="H60" t="s">
        <v>64</v>
      </c>
      <c r="I60" t="s">
        <v>1724</v>
      </c>
      <c r="J60">
        <v>849400</v>
      </c>
      <c r="K60">
        <v>2025</v>
      </c>
      <c r="L60">
        <v>8909800408</v>
      </c>
      <c r="M60" t="s">
        <v>2522</v>
      </c>
      <c r="N60" t="s">
        <v>1688</v>
      </c>
      <c r="O60" t="s">
        <v>1686</v>
      </c>
      <c r="P60">
        <v>0</v>
      </c>
      <c r="Q60">
        <v>849400</v>
      </c>
      <c r="R60">
        <v>0</v>
      </c>
      <c r="S60">
        <v>0</v>
      </c>
      <c r="T60" t="str">
        <f t="shared" si="0"/>
        <v>7891.00.0000.00.0-205616.2.1.1.01.02.002.</v>
      </c>
      <c r="U60" t="e" cm="1">
        <f t="array" aca="1" ref="U60" ca="1">+IF(COMPROMISOS_2025[[#This Row],[P]]="20","41080111",_xlfn.XLOOKUP(COMPROMISOS_2025[[#This Row],[concatenado]],PAA[[#All],[RCP-RUBRO]],PAA[[#All],[INDICADOR]],"",0))</f>
        <v>#NAME?</v>
      </c>
      <c r="V60" s="144" t="str">
        <f t="shared" si="1"/>
        <v>00</v>
      </c>
      <c r="W60" s="136">
        <f>+COMPROMISOS_2025[[#This Row],[valor_total]]-COMPROMISOS_2025[[#This Row],[total_cancelado]]</f>
        <v>849400</v>
      </c>
      <c r="X60" s="136">
        <f>COMPROMISOS_2025[[#This Row],[total_ordenes]]</f>
        <v>849400</v>
      </c>
      <c r="Y60" t="str" cm="1">
        <f t="array" aca="1" ref="Y60" ca="1">IFERROR(_xlfn.XLOOKUP(COMPROMISOS_2025[[#This Row],[concatenado]],PAA[[#All],[RCP-RUBRO]],PAA[[#All],[Actividad3]],VLOOKUP(COMPROMISOS_2025[[#This Row],[Indicador Principal]],$AC$2:$AD$17,2,0),0),"")</f>
        <v/>
      </c>
    </row>
    <row r="61" spans="1:25" hidden="1" x14ac:dyDescent="0.25">
      <c r="A61">
        <v>110</v>
      </c>
      <c r="B61" t="s">
        <v>2485</v>
      </c>
      <c r="C61" t="s">
        <v>1043</v>
      </c>
      <c r="D61" t="s">
        <v>1703</v>
      </c>
      <c r="F61">
        <v>320</v>
      </c>
      <c r="G61">
        <v>10</v>
      </c>
      <c r="H61" t="s">
        <v>66</v>
      </c>
      <c r="I61" t="s">
        <v>1727</v>
      </c>
      <c r="J61">
        <v>7392070</v>
      </c>
      <c r="K61">
        <v>2025</v>
      </c>
      <c r="L61">
        <v>325269585</v>
      </c>
      <c r="M61" t="s">
        <v>2497</v>
      </c>
      <c r="N61" t="s">
        <v>1688</v>
      </c>
      <c r="O61" t="s">
        <v>1686</v>
      </c>
      <c r="P61">
        <v>0</v>
      </c>
      <c r="Q61">
        <v>7392070</v>
      </c>
      <c r="R61">
        <v>0</v>
      </c>
      <c r="S61">
        <v>0</v>
      </c>
      <c r="T61" t="str">
        <f t="shared" si="0"/>
        <v>1101.00.0000.00.0-205616.2.1.1.01.02.003.</v>
      </c>
      <c r="U61" t="e" cm="1">
        <f t="array" aca="1" ref="U61" ca="1">+IF(COMPROMISOS_2025[[#This Row],[P]]="20","41080111",_xlfn.XLOOKUP(COMPROMISOS_2025[[#This Row],[concatenado]],PAA[[#All],[RCP-RUBRO]],PAA[[#All],[INDICADOR]],"",0))</f>
        <v>#NAME?</v>
      </c>
      <c r="V61" s="144" t="str">
        <f t="shared" si="1"/>
        <v>00</v>
      </c>
      <c r="W61" s="136">
        <f>+COMPROMISOS_2025[[#This Row],[valor_total]]-COMPROMISOS_2025[[#This Row],[total_cancelado]]</f>
        <v>7392070</v>
      </c>
      <c r="X61" s="136">
        <f>COMPROMISOS_2025[[#This Row],[total_ordenes]]</f>
        <v>7392070</v>
      </c>
      <c r="Y61" t="str" cm="1">
        <f t="array" aca="1" ref="Y61" ca="1">IFERROR(_xlfn.XLOOKUP(COMPROMISOS_2025[[#This Row],[concatenado]],PAA[[#All],[RCP-RUBRO]],PAA[[#All],[Actividad3]],VLOOKUP(COMPROMISOS_2025[[#This Row],[Indicador Principal]],$AC$2:$AD$17,2,0),0),"")</f>
        <v/>
      </c>
    </row>
    <row r="62" spans="1:25" hidden="1" x14ac:dyDescent="0.25">
      <c r="A62">
        <v>114</v>
      </c>
      <c r="B62" t="s">
        <v>2485</v>
      </c>
      <c r="C62" t="s">
        <v>1043</v>
      </c>
      <c r="D62" t="s">
        <v>1730</v>
      </c>
      <c r="F62">
        <v>322</v>
      </c>
      <c r="G62">
        <v>10</v>
      </c>
      <c r="H62" t="s">
        <v>66</v>
      </c>
      <c r="I62" t="s">
        <v>1727</v>
      </c>
      <c r="J62">
        <v>57577</v>
      </c>
      <c r="K62">
        <v>2025</v>
      </c>
      <c r="L62">
        <v>8001381881</v>
      </c>
      <c r="M62" t="s">
        <v>2523</v>
      </c>
      <c r="N62" t="s">
        <v>1688</v>
      </c>
      <c r="O62" t="s">
        <v>1686</v>
      </c>
      <c r="P62">
        <v>0</v>
      </c>
      <c r="Q62">
        <v>57577</v>
      </c>
      <c r="R62">
        <v>0</v>
      </c>
      <c r="S62">
        <v>0</v>
      </c>
      <c r="T62" t="str">
        <f t="shared" si="0"/>
        <v>1141.00.0000.00.0-205616.2.1.1.01.02.003.</v>
      </c>
      <c r="U62" t="e" cm="1">
        <f t="array" aca="1" ref="U62" ca="1">+IF(COMPROMISOS_2025[[#This Row],[P]]="20","41080111",_xlfn.XLOOKUP(COMPROMISOS_2025[[#This Row],[concatenado]],PAA[[#All],[RCP-RUBRO]],PAA[[#All],[INDICADOR]],"",0))</f>
        <v>#NAME?</v>
      </c>
      <c r="V62" s="144" t="str">
        <f t="shared" si="1"/>
        <v>00</v>
      </c>
      <c r="W62" s="136">
        <f>+COMPROMISOS_2025[[#This Row],[valor_total]]-COMPROMISOS_2025[[#This Row],[total_cancelado]]</f>
        <v>57577</v>
      </c>
      <c r="X62" s="136">
        <f>COMPROMISOS_2025[[#This Row],[total_ordenes]]</f>
        <v>57577</v>
      </c>
      <c r="Y62" t="str" cm="1">
        <f t="array" aca="1" ref="Y62" ca="1">IFERROR(_xlfn.XLOOKUP(COMPROMISOS_2025[[#This Row],[concatenado]],PAA[[#All],[RCP-RUBRO]],PAA[[#All],[Actividad3]],VLOOKUP(COMPROMISOS_2025[[#This Row],[Indicador Principal]],$AC$2:$AD$17,2,0),0),"")</f>
        <v/>
      </c>
    </row>
    <row r="63" spans="1:25" hidden="1" x14ac:dyDescent="0.25">
      <c r="A63">
        <v>124</v>
      </c>
      <c r="B63" t="s">
        <v>2524</v>
      </c>
      <c r="C63" t="s">
        <v>1043</v>
      </c>
      <c r="D63" t="s">
        <v>1732</v>
      </c>
      <c r="F63">
        <v>334</v>
      </c>
      <c r="G63">
        <v>10</v>
      </c>
      <c r="H63" t="s">
        <v>66</v>
      </c>
      <c r="I63" t="s">
        <v>1727</v>
      </c>
      <c r="J63">
        <v>58</v>
      </c>
      <c r="K63">
        <v>2025</v>
      </c>
      <c r="L63">
        <v>811007127</v>
      </c>
      <c r="M63" t="s">
        <v>2481</v>
      </c>
      <c r="N63" t="s">
        <v>1688</v>
      </c>
      <c r="O63" t="s">
        <v>1686</v>
      </c>
      <c r="P63">
        <v>0</v>
      </c>
      <c r="Q63">
        <v>58</v>
      </c>
      <c r="R63">
        <v>0</v>
      </c>
      <c r="S63">
        <v>0</v>
      </c>
      <c r="T63" t="str">
        <f t="shared" si="0"/>
        <v>1241.00.0000.00.0-205616.2.1.1.01.02.003.</v>
      </c>
      <c r="U63" t="e" cm="1">
        <f t="array" aca="1" ref="U63" ca="1">+IF(COMPROMISOS_2025[[#This Row],[P]]="20","41080111",_xlfn.XLOOKUP(COMPROMISOS_2025[[#This Row],[concatenado]],PAA[[#All],[RCP-RUBRO]],PAA[[#All],[INDICADOR]],"",0))</f>
        <v>#NAME?</v>
      </c>
      <c r="V63" s="144" t="str">
        <f t="shared" si="1"/>
        <v>00</v>
      </c>
      <c r="W63" s="136">
        <f>+COMPROMISOS_2025[[#This Row],[valor_total]]-COMPROMISOS_2025[[#This Row],[total_cancelado]]</f>
        <v>58</v>
      </c>
      <c r="X63" s="136">
        <f>COMPROMISOS_2025[[#This Row],[total_ordenes]]</f>
        <v>58</v>
      </c>
      <c r="Y63" t="str" cm="1">
        <f t="array" aca="1" ref="Y63" ca="1">IFERROR(_xlfn.XLOOKUP(COMPROMISOS_2025[[#This Row],[concatenado]],PAA[[#All],[RCP-RUBRO]],PAA[[#All],[Actividad3]],VLOOKUP(COMPROMISOS_2025[[#This Row],[Indicador Principal]],$AC$2:$AD$17,2,0),0),"")</f>
        <v/>
      </c>
    </row>
    <row r="64" spans="1:25" hidden="1" x14ac:dyDescent="0.25">
      <c r="A64">
        <v>2999</v>
      </c>
      <c r="B64" t="s">
        <v>2503</v>
      </c>
      <c r="C64" t="s">
        <v>1043</v>
      </c>
      <c r="D64" t="s">
        <v>1709</v>
      </c>
      <c r="F64">
        <v>438</v>
      </c>
      <c r="G64">
        <v>10</v>
      </c>
      <c r="H64" t="s">
        <v>66</v>
      </c>
      <c r="I64" t="s">
        <v>1727</v>
      </c>
      <c r="J64">
        <v>304373</v>
      </c>
      <c r="K64">
        <v>2025</v>
      </c>
      <c r="L64">
        <v>11283980193</v>
      </c>
      <c r="M64" t="s">
        <v>2504</v>
      </c>
      <c r="N64" t="s">
        <v>1688</v>
      </c>
      <c r="O64" t="s">
        <v>1686</v>
      </c>
      <c r="P64">
        <v>0</v>
      </c>
      <c r="Q64">
        <v>304373</v>
      </c>
      <c r="R64">
        <v>0</v>
      </c>
      <c r="S64">
        <v>0</v>
      </c>
      <c r="T64" t="str">
        <f t="shared" si="0"/>
        <v>29991.00.0000.00.0-205616.2.1.1.01.02.003.</v>
      </c>
      <c r="U64" t="e" cm="1">
        <f t="array" aca="1" ref="U64" ca="1">+IF(COMPROMISOS_2025[[#This Row],[P]]="20","41080111",_xlfn.XLOOKUP(COMPROMISOS_2025[[#This Row],[concatenado]],PAA[[#All],[RCP-RUBRO]],PAA[[#All],[INDICADOR]],"",0))</f>
        <v>#NAME?</v>
      </c>
      <c r="V64" s="144" t="str">
        <f t="shared" si="1"/>
        <v>00</v>
      </c>
      <c r="W64" s="136">
        <f>+COMPROMISOS_2025[[#This Row],[valor_total]]-COMPROMISOS_2025[[#This Row],[total_cancelado]]</f>
        <v>304373</v>
      </c>
      <c r="X64" s="136">
        <f>COMPROMISOS_2025[[#This Row],[total_ordenes]]</f>
        <v>304373</v>
      </c>
      <c r="Y64" t="str" cm="1">
        <f t="array" aca="1" ref="Y64" ca="1">IFERROR(_xlfn.XLOOKUP(COMPROMISOS_2025[[#This Row],[concatenado]],PAA[[#All],[RCP-RUBRO]],PAA[[#All],[Actividad3]],VLOOKUP(COMPROMISOS_2025[[#This Row],[Indicador Principal]],$AC$2:$AD$17,2,0),0),"")</f>
        <v/>
      </c>
    </row>
    <row r="65" spans="1:25" hidden="1" x14ac:dyDescent="0.25">
      <c r="A65">
        <v>82</v>
      </c>
      <c r="B65" t="s">
        <v>1733</v>
      </c>
      <c r="C65" t="s">
        <v>1043</v>
      </c>
      <c r="D65" t="s">
        <v>1734</v>
      </c>
      <c r="F65">
        <v>284</v>
      </c>
      <c r="G65">
        <v>11</v>
      </c>
      <c r="H65" t="s">
        <v>68</v>
      </c>
      <c r="I65" t="s">
        <v>1735</v>
      </c>
      <c r="J65">
        <v>42325100</v>
      </c>
      <c r="K65">
        <v>2025</v>
      </c>
      <c r="L65">
        <v>8909008419</v>
      </c>
      <c r="M65" t="s">
        <v>2525</v>
      </c>
      <c r="N65" t="s">
        <v>1688</v>
      </c>
      <c r="O65" t="s">
        <v>1686</v>
      </c>
      <c r="P65">
        <v>0</v>
      </c>
      <c r="Q65">
        <v>42325100</v>
      </c>
      <c r="R65">
        <v>0</v>
      </c>
      <c r="S65">
        <v>0</v>
      </c>
      <c r="T65" t="str">
        <f t="shared" si="0"/>
        <v>821.00.0000.00.0-205616.2.1.1.01.02.004.</v>
      </c>
      <c r="U65" t="e" cm="1">
        <f t="array" aca="1" ref="U65" ca="1">+IF(COMPROMISOS_2025[[#This Row],[P]]="20","41080111",_xlfn.XLOOKUP(COMPROMISOS_2025[[#This Row],[concatenado]],PAA[[#All],[RCP-RUBRO]],PAA[[#All],[INDICADOR]],"",0))</f>
        <v>#NAME?</v>
      </c>
      <c r="V65" s="144" t="str">
        <f t="shared" si="1"/>
        <v>00</v>
      </c>
      <c r="W65" s="136">
        <f>+COMPROMISOS_2025[[#This Row],[valor_total]]-COMPROMISOS_2025[[#This Row],[total_cancelado]]</f>
        <v>42325100</v>
      </c>
      <c r="X65" s="136">
        <f>COMPROMISOS_2025[[#This Row],[total_ordenes]]</f>
        <v>42325100</v>
      </c>
      <c r="Y65" t="str" cm="1">
        <f t="array" aca="1" ref="Y65" ca="1">IFERROR(_xlfn.XLOOKUP(COMPROMISOS_2025[[#This Row],[concatenado]],PAA[[#All],[RCP-RUBRO]],PAA[[#All],[Actividad3]],VLOOKUP(COMPROMISOS_2025[[#This Row],[Indicador Principal]],$AC$2:$AD$17,2,0),0),"")</f>
        <v/>
      </c>
    </row>
    <row r="66" spans="1:25" hidden="1" x14ac:dyDescent="0.25">
      <c r="A66">
        <v>796</v>
      </c>
      <c r="B66" t="s">
        <v>1736</v>
      </c>
      <c r="C66" t="s">
        <v>1043</v>
      </c>
      <c r="D66" t="s">
        <v>1737</v>
      </c>
      <c r="F66">
        <v>387</v>
      </c>
      <c r="G66">
        <v>11</v>
      </c>
      <c r="H66" t="s">
        <v>68</v>
      </c>
      <c r="I66" t="s">
        <v>1735</v>
      </c>
      <c r="J66">
        <v>40358200</v>
      </c>
      <c r="K66">
        <v>2025</v>
      </c>
      <c r="L66">
        <v>8909008419</v>
      </c>
      <c r="M66" t="s">
        <v>2525</v>
      </c>
      <c r="N66" t="s">
        <v>1688</v>
      </c>
      <c r="O66" t="s">
        <v>1686</v>
      </c>
      <c r="P66">
        <v>0</v>
      </c>
      <c r="Q66">
        <v>40358200</v>
      </c>
      <c r="R66">
        <v>0</v>
      </c>
      <c r="S66">
        <v>0</v>
      </c>
      <c r="T66" t="str">
        <f t="shared" ref="T66:T129" si="2">IF(A66&gt;=0,CONCATENATE(A66,H66),"")</f>
        <v>7961.00.0000.00.0-205616.2.1.1.01.02.004.</v>
      </c>
      <c r="U66" t="e" cm="1">
        <f t="array" aca="1" ref="U66" ca="1">+IF(COMPROMISOS_2025[[#This Row],[P]]="20","41080111",_xlfn.XLOOKUP(COMPROMISOS_2025[[#This Row],[concatenado]],PAA[[#All],[RCP-RUBRO]],PAA[[#All],[INDICADOR]],"",0))</f>
        <v>#NAME?</v>
      </c>
      <c r="V66" s="144" t="str">
        <f t="shared" ref="V66:V129" si="3">+MID(H66,11,2)</f>
        <v>00</v>
      </c>
      <c r="W66" s="136">
        <f>+COMPROMISOS_2025[[#This Row],[valor_total]]-COMPROMISOS_2025[[#This Row],[total_cancelado]]</f>
        <v>40358200</v>
      </c>
      <c r="X66" s="136">
        <f>COMPROMISOS_2025[[#This Row],[total_ordenes]]</f>
        <v>40358200</v>
      </c>
      <c r="Y66" t="str" cm="1">
        <f t="array" aca="1" ref="Y66" ca="1">IFERROR(_xlfn.XLOOKUP(COMPROMISOS_2025[[#This Row],[concatenado]],PAA[[#All],[RCP-RUBRO]],PAA[[#All],[Actividad3]],VLOOKUP(COMPROMISOS_2025[[#This Row],[Indicador Principal]],$AC$2:$AD$17,2,0),0),"")</f>
        <v/>
      </c>
    </row>
    <row r="67" spans="1:25" hidden="1" x14ac:dyDescent="0.25">
      <c r="A67">
        <v>81</v>
      </c>
      <c r="B67" t="s">
        <v>2511</v>
      </c>
      <c r="C67" t="s">
        <v>1043</v>
      </c>
      <c r="D67" t="s">
        <v>1720</v>
      </c>
      <c r="F67">
        <v>283</v>
      </c>
      <c r="G67">
        <v>12</v>
      </c>
      <c r="H67" t="s">
        <v>70</v>
      </c>
      <c r="I67" t="s">
        <v>1738</v>
      </c>
      <c r="J67">
        <v>9804900</v>
      </c>
      <c r="K67">
        <v>2025</v>
      </c>
      <c r="L67">
        <v>8002261753</v>
      </c>
      <c r="M67" t="s">
        <v>2526</v>
      </c>
      <c r="N67" t="s">
        <v>1688</v>
      </c>
      <c r="O67" t="s">
        <v>1686</v>
      </c>
      <c r="P67">
        <v>0</v>
      </c>
      <c r="Q67">
        <v>9804900</v>
      </c>
      <c r="R67">
        <v>0</v>
      </c>
      <c r="S67">
        <v>0</v>
      </c>
      <c r="T67" t="str">
        <f t="shared" si="2"/>
        <v>811.00.0000.00.0-205616.2.1.1.01.02.005.</v>
      </c>
      <c r="U67" t="e" cm="1">
        <f t="array" aca="1" ref="U67" ca="1">+IF(COMPROMISOS_2025[[#This Row],[P]]="20","41080111",_xlfn.XLOOKUP(COMPROMISOS_2025[[#This Row],[concatenado]],PAA[[#All],[RCP-RUBRO]],PAA[[#All],[INDICADOR]],"",0))</f>
        <v>#NAME?</v>
      </c>
      <c r="V67" s="144" t="str">
        <f t="shared" si="3"/>
        <v>00</v>
      </c>
      <c r="W67" s="136">
        <f>+COMPROMISOS_2025[[#This Row],[valor_total]]-COMPROMISOS_2025[[#This Row],[total_cancelado]]</f>
        <v>9804900</v>
      </c>
      <c r="X67" s="136">
        <f>COMPROMISOS_2025[[#This Row],[total_ordenes]]</f>
        <v>9804900</v>
      </c>
      <c r="Y67" t="str" cm="1">
        <f t="array" aca="1" ref="Y67" ca="1">IFERROR(_xlfn.XLOOKUP(COMPROMISOS_2025[[#This Row],[concatenado]],PAA[[#All],[RCP-RUBRO]],PAA[[#All],[Actividad3]],VLOOKUP(COMPROMISOS_2025[[#This Row],[Indicador Principal]],$AC$2:$AD$17,2,0),0),"")</f>
        <v/>
      </c>
    </row>
    <row r="68" spans="1:25" hidden="1" x14ac:dyDescent="0.25">
      <c r="A68">
        <v>795</v>
      </c>
      <c r="B68" t="s">
        <v>1736</v>
      </c>
      <c r="C68" t="s">
        <v>1043</v>
      </c>
      <c r="D68" t="s">
        <v>1723</v>
      </c>
      <c r="F68">
        <v>386</v>
      </c>
      <c r="G68">
        <v>12</v>
      </c>
      <c r="H68" t="s">
        <v>70</v>
      </c>
      <c r="I68" t="s">
        <v>1738</v>
      </c>
      <c r="J68">
        <v>10921400</v>
      </c>
      <c r="K68">
        <v>2025</v>
      </c>
      <c r="L68">
        <v>8002261753</v>
      </c>
      <c r="M68" t="s">
        <v>2526</v>
      </c>
      <c r="N68" t="s">
        <v>1688</v>
      </c>
      <c r="O68" t="s">
        <v>1686</v>
      </c>
      <c r="P68">
        <v>0</v>
      </c>
      <c r="Q68">
        <v>10921400</v>
      </c>
      <c r="R68">
        <v>0</v>
      </c>
      <c r="S68">
        <v>0</v>
      </c>
      <c r="T68" t="str">
        <f t="shared" si="2"/>
        <v>7951.00.0000.00.0-205616.2.1.1.01.02.005.</v>
      </c>
      <c r="U68" t="e" cm="1">
        <f t="array" aca="1" ref="U68" ca="1">+IF(COMPROMISOS_2025[[#This Row],[P]]="20","41080111",_xlfn.XLOOKUP(COMPROMISOS_2025[[#This Row],[concatenado]],PAA[[#All],[RCP-RUBRO]],PAA[[#All],[INDICADOR]],"",0))</f>
        <v>#NAME?</v>
      </c>
      <c r="V68" s="144" t="str">
        <f t="shared" si="3"/>
        <v>00</v>
      </c>
      <c r="W68" s="136">
        <f>+COMPROMISOS_2025[[#This Row],[valor_total]]-COMPROMISOS_2025[[#This Row],[total_cancelado]]</f>
        <v>10921400</v>
      </c>
      <c r="X68" s="136">
        <f>COMPROMISOS_2025[[#This Row],[total_ordenes]]</f>
        <v>10921400</v>
      </c>
      <c r="Y68" t="str" cm="1">
        <f t="array" aca="1" ref="Y68" ca="1">IFERROR(_xlfn.XLOOKUP(COMPROMISOS_2025[[#This Row],[concatenado]],PAA[[#All],[RCP-RUBRO]],PAA[[#All],[Actividad3]],VLOOKUP(COMPROMISOS_2025[[#This Row],[Indicador Principal]],$AC$2:$AD$17,2,0),0),"")</f>
        <v/>
      </c>
    </row>
    <row r="69" spans="1:25" hidden="1" x14ac:dyDescent="0.25">
      <c r="A69">
        <v>83</v>
      </c>
      <c r="B69" t="s">
        <v>2527</v>
      </c>
      <c r="C69" t="s">
        <v>1043</v>
      </c>
      <c r="D69" t="s">
        <v>1734</v>
      </c>
      <c r="F69">
        <v>284</v>
      </c>
      <c r="G69">
        <v>13</v>
      </c>
      <c r="H69" t="s">
        <v>72</v>
      </c>
      <c r="I69" t="s">
        <v>1739</v>
      </c>
      <c r="J69">
        <v>31745400</v>
      </c>
      <c r="K69">
        <v>2025</v>
      </c>
      <c r="L69">
        <v>8999992392</v>
      </c>
      <c r="M69" t="s">
        <v>2528</v>
      </c>
      <c r="N69" t="s">
        <v>1688</v>
      </c>
      <c r="O69" t="s">
        <v>1686</v>
      </c>
      <c r="P69">
        <v>0</v>
      </c>
      <c r="Q69">
        <v>31745400</v>
      </c>
      <c r="R69">
        <v>0</v>
      </c>
      <c r="S69">
        <v>0</v>
      </c>
      <c r="T69" t="str">
        <f t="shared" si="2"/>
        <v>831.00.0000.00.0-205616.2.1.1.01.02.006.</v>
      </c>
      <c r="U69" t="e" cm="1">
        <f t="array" aca="1" ref="U69" ca="1">+IF(COMPROMISOS_2025[[#This Row],[P]]="20","41080111",_xlfn.XLOOKUP(COMPROMISOS_2025[[#This Row],[concatenado]],PAA[[#All],[RCP-RUBRO]],PAA[[#All],[INDICADOR]],"",0))</f>
        <v>#NAME?</v>
      </c>
      <c r="V69" s="144" t="str">
        <f t="shared" si="3"/>
        <v>00</v>
      </c>
      <c r="W69" s="136">
        <f>+COMPROMISOS_2025[[#This Row],[valor_total]]-COMPROMISOS_2025[[#This Row],[total_cancelado]]</f>
        <v>31745400</v>
      </c>
      <c r="X69" s="136">
        <f>COMPROMISOS_2025[[#This Row],[total_ordenes]]</f>
        <v>31745400</v>
      </c>
      <c r="Y69" t="str" cm="1">
        <f t="array" aca="1" ref="Y69" ca="1">IFERROR(_xlfn.XLOOKUP(COMPROMISOS_2025[[#This Row],[concatenado]],PAA[[#All],[RCP-RUBRO]],PAA[[#All],[Actividad3]],VLOOKUP(COMPROMISOS_2025[[#This Row],[Indicador Principal]],$AC$2:$AD$17,2,0),0),"")</f>
        <v/>
      </c>
    </row>
    <row r="70" spans="1:25" hidden="1" x14ac:dyDescent="0.25">
      <c r="A70">
        <v>797</v>
      </c>
      <c r="B70" t="s">
        <v>1736</v>
      </c>
      <c r="C70" t="s">
        <v>1043</v>
      </c>
      <c r="D70" t="s">
        <v>1737</v>
      </c>
      <c r="F70">
        <v>387</v>
      </c>
      <c r="G70">
        <v>13</v>
      </c>
      <c r="H70" t="s">
        <v>72</v>
      </c>
      <c r="I70" t="s">
        <v>1739</v>
      </c>
      <c r="J70">
        <v>30270400</v>
      </c>
      <c r="K70">
        <v>2025</v>
      </c>
      <c r="L70">
        <v>8999992392</v>
      </c>
      <c r="M70" t="s">
        <v>2528</v>
      </c>
      <c r="N70" t="s">
        <v>1688</v>
      </c>
      <c r="O70" t="s">
        <v>1686</v>
      </c>
      <c r="P70">
        <v>0</v>
      </c>
      <c r="Q70">
        <v>30270400</v>
      </c>
      <c r="R70">
        <v>0</v>
      </c>
      <c r="S70">
        <v>0</v>
      </c>
      <c r="T70" t="str">
        <f t="shared" si="2"/>
        <v>7971.00.0000.00.0-205616.2.1.1.01.02.006.</v>
      </c>
      <c r="U70" t="e" cm="1">
        <f t="array" aca="1" ref="U70" ca="1">+IF(COMPROMISOS_2025[[#This Row],[P]]="20","41080111",_xlfn.XLOOKUP(COMPROMISOS_2025[[#This Row],[concatenado]],PAA[[#All],[RCP-RUBRO]],PAA[[#All],[INDICADOR]],"",0))</f>
        <v>#NAME?</v>
      </c>
      <c r="V70" s="144" t="str">
        <f t="shared" si="3"/>
        <v>00</v>
      </c>
      <c r="W70" s="136">
        <f>+COMPROMISOS_2025[[#This Row],[valor_total]]-COMPROMISOS_2025[[#This Row],[total_cancelado]]</f>
        <v>30270400</v>
      </c>
      <c r="X70" s="136">
        <f>COMPROMISOS_2025[[#This Row],[total_ordenes]]</f>
        <v>30270400</v>
      </c>
      <c r="Y70" t="str" cm="1">
        <f t="array" aca="1" ref="Y70" ca="1">IFERROR(_xlfn.XLOOKUP(COMPROMISOS_2025[[#This Row],[concatenado]],PAA[[#All],[RCP-RUBRO]],PAA[[#All],[Actividad3]],VLOOKUP(COMPROMISOS_2025[[#This Row],[Indicador Principal]],$AC$2:$AD$17,2,0),0),"")</f>
        <v/>
      </c>
    </row>
    <row r="71" spans="1:25" hidden="1" x14ac:dyDescent="0.25">
      <c r="A71">
        <v>84</v>
      </c>
      <c r="B71" t="s">
        <v>2527</v>
      </c>
      <c r="C71" t="s">
        <v>1043</v>
      </c>
      <c r="D71" t="s">
        <v>1734</v>
      </c>
      <c r="F71">
        <v>284</v>
      </c>
      <c r="G71">
        <v>14</v>
      </c>
      <c r="H71" t="s">
        <v>74</v>
      </c>
      <c r="I71" t="s">
        <v>1740</v>
      </c>
      <c r="J71">
        <v>21167300</v>
      </c>
      <c r="K71">
        <v>2025</v>
      </c>
      <c r="L71">
        <v>8999990341</v>
      </c>
      <c r="M71" t="s">
        <v>2529</v>
      </c>
      <c r="N71" t="s">
        <v>1688</v>
      </c>
      <c r="O71" t="s">
        <v>1686</v>
      </c>
      <c r="P71">
        <v>0</v>
      </c>
      <c r="Q71">
        <v>21167300</v>
      </c>
      <c r="R71">
        <v>0</v>
      </c>
      <c r="S71">
        <v>0</v>
      </c>
      <c r="T71" t="str">
        <f t="shared" si="2"/>
        <v>841.00.0000.00.0-205616.2.1.1.01.02.007.</v>
      </c>
      <c r="U71" t="e" cm="1">
        <f t="array" aca="1" ref="U71" ca="1">+IF(COMPROMISOS_2025[[#This Row],[P]]="20","41080111",_xlfn.XLOOKUP(COMPROMISOS_2025[[#This Row],[concatenado]],PAA[[#All],[RCP-RUBRO]],PAA[[#All],[INDICADOR]],"",0))</f>
        <v>#NAME?</v>
      </c>
      <c r="V71" s="144" t="str">
        <f t="shared" si="3"/>
        <v>00</v>
      </c>
      <c r="W71" s="136">
        <f>+COMPROMISOS_2025[[#This Row],[valor_total]]-COMPROMISOS_2025[[#This Row],[total_cancelado]]</f>
        <v>21167300</v>
      </c>
      <c r="X71" s="136">
        <f>COMPROMISOS_2025[[#This Row],[total_ordenes]]</f>
        <v>21167300</v>
      </c>
      <c r="Y71" t="str" cm="1">
        <f t="array" aca="1" ref="Y71" ca="1">IFERROR(_xlfn.XLOOKUP(COMPROMISOS_2025[[#This Row],[concatenado]],PAA[[#All],[RCP-RUBRO]],PAA[[#All],[Actividad3]],VLOOKUP(COMPROMISOS_2025[[#This Row],[Indicador Principal]],$AC$2:$AD$17,2,0),0),"")</f>
        <v/>
      </c>
    </row>
    <row r="72" spans="1:25" hidden="1" x14ac:dyDescent="0.25">
      <c r="A72">
        <v>798</v>
      </c>
      <c r="B72" t="s">
        <v>1736</v>
      </c>
      <c r="C72" t="s">
        <v>1043</v>
      </c>
      <c r="D72" t="s">
        <v>1737</v>
      </c>
      <c r="F72">
        <v>387</v>
      </c>
      <c r="G72">
        <v>14</v>
      </c>
      <c r="H72" t="s">
        <v>74</v>
      </c>
      <c r="I72" t="s">
        <v>1740</v>
      </c>
      <c r="J72">
        <v>20183100</v>
      </c>
      <c r="K72">
        <v>2025</v>
      </c>
      <c r="L72">
        <v>8999990341</v>
      </c>
      <c r="M72" t="s">
        <v>2529</v>
      </c>
      <c r="N72" t="s">
        <v>1688</v>
      </c>
      <c r="O72" t="s">
        <v>1686</v>
      </c>
      <c r="P72">
        <v>0</v>
      </c>
      <c r="Q72">
        <v>20183100</v>
      </c>
      <c r="R72">
        <v>0</v>
      </c>
      <c r="S72">
        <v>0</v>
      </c>
      <c r="T72" t="str">
        <f t="shared" si="2"/>
        <v>7981.00.0000.00.0-205616.2.1.1.01.02.007.</v>
      </c>
      <c r="U72" t="e" cm="1">
        <f t="array" aca="1" ref="U72" ca="1">+IF(COMPROMISOS_2025[[#This Row],[P]]="20","41080111",_xlfn.XLOOKUP(COMPROMISOS_2025[[#This Row],[concatenado]],PAA[[#All],[RCP-RUBRO]],PAA[[#All],[INDICADOR]],"",0))</f>
        <v>#NAME?</v>
      </c>
      <c r="V72" s="144" t="str">
        <f t="shared" si="3"/>
        <v>00</v>
      </c>
      <c r="W72" s="136">
        <f>+COMPROMISOS_2025[[#This Row],[valor_total]]-COMPROMISOS_2025[[#This Row],[total_cancelado]]</f>
        <v>20183100</v>
      </c>
      <c r="X72" s="136">
        <f>COMPROMISOS_2025[[#This Row],[total_ordenes]]</f>
        <v>20183100</v>
      </c>
      <c r="Y72" t="str" cm="1">
        <f t="array" aca="1" ref="Y72" ca="1">IFERROR(_xlfn.XLOOKUP(COMPROMISOS_2025[[#This Row],[concatenado]],PAA[[#All],[RCP-RUBRO]],PAA[[#All],[Actividad3]],VLOOKUP(COMPROMISOS_2025[[#This Row],[Indicador Principal]],$AC$2:$AD$17,2,0),0),"")</f>
        <v/>
      </c>
    </row>
    <row r="73" spans="1:25" hidden="1" x14ac:dyDescent="0.25">
      <c r="A73">
        <v>5</v>
      </c>
      <c r="B73" t="s">
        <v>2480</v>
      </c>
      <c r="C73" t="s">
        <v>1043</v>
      </c>
      <c r="D73" t="s">
        <v>1685</v>
      </c>
      <c r="F73">
        <v>6</v>
      </c>
      <c r="G73">
        <v>15</v>
      </c>
      <c r="H73" t="s">
        <v>76</v>
      </c>
      <c r="I73" t="s">
        <v>1741</v>
      </c>
      <c r="J73">
        <v>20061907</v>
      </c>
      <c r="K73">
        <v>2025</v>
      </c>
      <c r="L73">
        <v>811007127</v>
      </c>
      <c r="M73" t="s">
        <v>2481</v>
      </c>
      <c r="N73" t="s">
        <v>1688</v>
      </c>
      <c r="O73" t="s">
        <v>1686</v>
      </c>
      <c r="P73">
        <v>2718297</v>
      </c>
      <c r="Q73">
        <v>20061907</v>
      </c>
      <c r="R73">
        <v>0</v>
      </c>
      <c r="S73">
        <v>0</v>
      </c>
      <c r="T73" t="str">
        <f t="shared" si="2"/>
        <v>51.00.0000.00.0-205616.2.1.1.01.03.001.01.</v>
      </c>
      <c r="U73" t="e" cm="1">
        <f t="array" aca="1" ref="U73" ca="1">+IF(COMPROMISOS_2025[[#This Row],[P]]="20","41080111",_xlfn.XLOOKUP(COMPROMISOS_2025[[#This Row],[concatenado]],PAA[[#All],[RCP-RUBRO]],PAA[[#All],[INDICADOR]],"",0))</f>
        <v>#NAME?</v>
      </c>
      <c r="V73" s="144" t="str">
        <f t="shared" si="3"/>
        <v>00</v>
      </c>
      <c r="W73" s="136">
        <f>+COMPROMISOS_2025[[#This Row],[valor_total]]-COMPROMISOS_2025[[#This Row],[total_cancelado]]</f>
        <v>20061907</v>
      </c>
      <c r="X73" s="136">
        <f>COMPROMISOS_2025[[#This Row],[total_ordenes]]</f>
        <v>20061907</v>
      </c>
      <c r="Y73" t="str" cm="1">
        <f t="array" aca="1" ref="Y73" ca="1">IFERROR(_xlfn.XLOOKUP(COMPROMISOS_2025[[#This Row],[concatenado]],PAA[[#All],[RCP-RUBRO]],PAA[[#All],[Actividad3]],VLOOKUP(COMPROMISOS_2025[[#This Row],[Indicador Principal]],$AC$2:$AD$17,2,0),0),"")</f>
        <v/>
      </c>
    </row>
    <row r="74" spans="1:25" hidden="1" x14ac:dyDescent="0.25">
      <c r="A74">
        <v>46</v>
      </c>
      <c r="B74" t="s">
        <v>2483</v>
      </c>
      <c r="C74" t="s">
        <v>1043</v>
      </c>
      <c r="D74" t="s">
        <v>1690</v>
      </c>
      <c r="F74">
        <v>61</v>
      </c>
      <c r="G74">
        <v>15</v>
      </c>
      <c r="H74" t="s">
        <v>76</v>
      </c>
      <c r="I74" t="s">
        <v>1741</v>
      </c>
      <c r="J74">
        <v>12854073</v>
      </c>
      <c r="K74">
        <v>2025</v>
      </c>
      <c r="L74">
        <v>811007127</v>
      </c>
      <c r="M74" t="s">
        <v>2481</v>
      </c>
      <c r="N74" t="s">
        <v>1688</v>
      </c>
      <c r="O74" t="s">
        <v>1686</v>
      </c>
      <c r="P74">
        <v>0</v>
      </c>
      <c r="Q74">
        <v>12854073</v>
      </c>
      <c r="R74">
        <v>0</v>
      </c>
      <c r="S74">
        <v>0</v>
      </c>
      <c r="T74" t="str">
        <f t="shared" si="2"/>
        <v>461.00.0000.00.0-205616.2.1.1.01.03.001.01.</v>
      </c>
      <c r="U74" t="e" cm="1">
        <f t="array" aca="1" ref="U74" ca="1">+IF(COMPROMISOS_2025[[#This Row],[P]]="20","41080111",_xlfn.XLOOKUP(COMPROMISOS_2025[[#This Row],[concatenado]],PAA[[#All],[RCP-RUBRO]],PAA[[#All],[INDICADOR]],"",0))</f>
        <v>#NAME?</v>
      </c>
      <c r="V74" s="144" t="str">
        <f t="shared" si="3"/>
        <v>00</v>
      </c>
      <c r="W74" s="136">
        <f>+COMPROMISOS_2025[[#This Row],[valor_total]]-COMPROMISOS_2025[[#This Row],[total_cancelado]]</f>
        <v>12854073</v>
      </c>
      <c r="X74" s="136">
        <f>COMPROMISOS_2025[[#This Row],[total_ordenes]]</f>
        <v>12854073</v>
      </c>
      <c r="Y74" t="str" cm="1">
        <f t="array" aca="1" ref="Y74" ca="1">IFERROR(_xlfn.XLOOKUP(COMPROMISOS_2025[[#This Row],[concatenado]],PAA[[#All],[RCP-RUBRO]],PAA[[#All],[Actividad3]],VLOOKUP(COMPROMISOS_2025[[#This Row],[Indicador Principal]],$AC$2:$AD$17,2,0),0),"")</f>
        <v/>
      </c>
    </row>
    <row r="75" spans="1:25" hidden="1" x14ac:dyDescent="0.25">
      <c r="A75">
        <v>109</v>
      </c>
      <c r="B75" t="s">
        <v>2485</v>
      </c>
      <c r="C75" t="s">
        <v>1043</v>
      </c>
      <c r="D75" t="s">
        <v>1692</v>
      </c>
      <c r="F75">
        <v>319</v>
      </c>
      <c r="G75">
        <v>15</v>
      </c>
      <c r="H75" t="s">
        <v>76</v>
      </c>
      <c r="I75" t="s">
        <v>1741</v>
      </c>
      <c r="J75">
        <v>12165989</v>
      </c>
      <c r="K75">
        <v>2025</v>
      </c>
      <c r="L75">
        <v>811007127</v>
      </c>
      <c r="M75" t="s">
        <v>2481</v>
      </c>
      <c r="N75" t="s">
        <v>1688</v>
      </c>
      <c r="O75" t="s">
        <v>1686</v>
      </c>
      <c r="P75">
        <v>0</v>
      </c>
      <c r="Q75">
        <v>12165989</v>
      </c>
      <c r="R75">
        <v>0</v>
      </c>
      <c r="S75">
        <v>0</v>
      </c>
      <c r="T75" t="str">
        <f t="shared" si="2"/>
        <v>1091.00.0000.00.0-205616.2.1.1.01.03.001.01.</v>
      </c>
      <c r="U75" t="e" cm="1">
        <f t="array" aca="1" ref="U75" ca="1">+IF(COMPROMISOS_2025[[#This Row],[P]]="20","41080111",_xlfn.XLOOKUP(COMPROMISOS_2025[[#This Row],[concatenado]],PAA[[#All],[RCP-RUBRO]],PAA[[#All],[INDICADOR]],"",0))</f>
        <v>#NAME?</v>
      </c>
      <c r="V75" s="144" t="str">
        <f t="shared" si="3"/>
        <v>00</v>
      </c>
      <c r="W75" s="136">
        <f>+COMPROMISOS_2025[[#This Row],[valor_total]]-COMPROMISOS_2025[[#This Row],[total_cancelado]]</f>
        <v>12165989</v>
      </c>
      <c r="X75" s="136">
        <f>COMPROMISOS_2025[[#This Row],[total_ordenes]]</f>
        <v>12165989</v>
      </c>
      <c r="Y75" t="str" cm="1">
        <f t="array" aca="1" ref="Y75" ca="1">IFERROR(_xlfn.XLOOKUP(COMPROMISOS_2025[[#This Row],[concatenado]],PAA[[#All],[RCP-RUBRO]],PAA[[#All],[Actividad3]],VLOOKUP(COMPROMISOS_2025[[#This Row],[Indicador Principal]],$AC$2:$AD$17,2,0),0),"")</f>
        <v/>
      </c>
    </row>
    <row r="76" spans="1:25" hidden="1" x14ac:dyDescent="0.25">
      <c r="A76">
        <v>110</v>
      </c>
      <c r="B76" t="s">
        <v>2485</v>
      </c>
      <c r="C76" t="s">
        <v>1043</v>
      </c>
      <c r="D76" t="s">
        <v>1703</v>
      </c>
      <c r="F76">
        <v>320</v>
      </c>
      <c r="G76">
        <v>15</v>
      </c>
      <c r="H76" t="s">
        <v>76</v>
      </c>
      <c r="I76" t="s">
        <v>1741</v>
      </c>
      <c r="J76">
        <v>9108903</v>
      </c>
      <c r="K76">
        <v>2025</v>
      </c>
      <c r="L76">
        <v>325269585</v>
      </c>
      <c r="M76" t="s">
        <v>2497</v>
      </c>
      <c r="N76" t="s">
        <v>1688</v>
      </c>
      <c r="O76" t="s">
        <v>1686</v>
      </c>
      <c r="P76">
        <v>0</v>
      </c>
      <c r="Q76">
        <v>9108903</v>
      </c>
      <c r="R76">
        <v>0</v>
      </c>
      <c r="S76">
        <v>0</v>
      </c>
      <c r="T76" t="str">
        <f t="shared" si="2"/>
        <v>1101.00.0000.00.0-205616.2.1.1.01.03.001.01.</v>
      </c>
      <c r="U76" t="e" cm="1">
        <f t="array" aca="1" ref="U76" ca="1">+IF(COMPROMISOS_2025[[#This Row],[P]]="20","41080111",_xlfn.XLOOKUP(COMPROMISOS_2025[[#This Row],[concatenado]],PAA[[#All],[RCP-RUBRO]],PAA[[#All],[INDICADOR]],"",0))</f>
        <v>#NAME?</v>
      </c>
      <c r="V76" s="144" t="str">
        <f t="shared" si="3"/>
        <v>00</v>
      </c>
      <c r="W76" s="136">
        <f>+COMPROMISOS_2025[[#This Row],[valor_total]]-COMPROMISOS_2025[[#This Row],[total_cancelado]]</f>
        <v>9108903</v>
      </c>
      <c r="X76" s="136">
        <f>COMPROMISOS_2025[[#This Row],[total_ordenes]]</f>
        <v>9108903</v>
      </c>
      <c r="Y76" t="str" cm="1">
        <f t="array" aca="1" ref="Y76" ca="1">IFERROR(_xlfn.XLOOKUP(COMPROMISOS_2025[[#This Row],[concatenado]],PAA[[#All],[RCP-RUBRO]],PAA[[#All],[Actividad3]],VLOOKUP(COMPROMISOS_2025[[#This Row],[Indicador Principal]],$AC$2:$AD$17,2,0),0),"")</f>
        <v/>
      </c>
    </row>
    <row r="77" spans="1:25" hidden="1" x14ac:dyDescent="0.25">
      <c r="A77">
        <v>429</v>
      </c>
      <c r="B77" t="s">
        <v>2487</v>
      </c>
      <c r="C77" t="s">
        <v>1043</v>
      </c>
      <c r="D77" t="s">
        <v>1694</v>
      </c>
      <c r="F77">
        <v>356</v>
      </c>
      <c r="G77">
        <v>15</v>
      </c>
      <c r="H77" t="s">
        <v>76</v>
      </c>
      <c r="I77" t="s">
        <v>1741</v>
      </c>
      <c r="J77">
        <v>1043217</v>
      </c>
      <c r="K77">
        <v>2025</v>
      </c>
      <c r="L77">
        <v>811007127</v>
      </c>
      <c r="M77" t="s">
        <v>2481</v>
      </c>
      <c r="N77" t="s">
        <v>1688</v>
      </c>
      <c r="O77" t="s">
        <v>1686</v>
      </c>
      <c r="P77">
        <v>141351</v>
      </c>
      <c r="Q77">
        <v>1043217</v>
      </c>
      <c r="R77">
        <v>0</v>
      </c>
      <c r="S77">
        <v>0</v>
      </c>
      <c r="T77" t="str">
        <f t="shared" si="2"/>
        <v>4291.00.0000.00.0-205616.2.1.1.01.03.001.01.</v>
      </c>
      <c r="U77" t="e" cm="1">
        <f t="array" aca="1" ref="U77" ca="1">+IF(COMPROMISOS_2025[[#This Row],[P]]="20","41080111",_xlfn.XLOOKUP(COMPROMISOS_2025[[#This Row],[concatenado]],PAA[[#All],[RCP-RUBRO]],PAA[[#All],[INDICADOR]],"",0))</f>
        <v>#NAME?</v>
      </c>
      <c r="V77" s="144" t="str">
        <f t="shared" si="3"/>
        <v>00</v>
      </c>
      <c r="W77" s="136">
        <f>+COMPROMISOS_2025[[#This Row],[valor_total]]-COMPROMISOS_2025[[#This Row],[total_cancelado]]</f>
        <v>1043217</v>
      </c>
      <c r="X77" s="136">
        <f>COMPROMISOS_2025[[#This Row],[total_ordenes]]</f>
        <v>1043217</v>
      </c>
      <c r="Y77" t="str" cm="1">
        <f t="array" aca="1" ref="Y77" ca="1">IFERROR(_xlfn.XLOOKUP(COMPROMISOS_2025[[#This Row],[concatenado]],PAA[[#All],[RCP-RUBRO]],PAA[[#All],[Actividad3]],VLOOKUP(COMPROMISOS_2025[[#This Row],[Indicador Principal]],$AC$2:$AD$17,2,0),0),"")</f>
        <v/>
      </c>
    </row>
    <row r="78" spans="1:25" hidden="1" x14ac:dyDescent="0.25">
      <c r="A78">
        <v>436</v>
      </c>
      <c r="B78" t="s">
        <v>2489</v>
      </c>
      <c r="C78" t="s">
        <v>1043</v>
      </c>
      <c r="D78" t="s">
        <v>1696</v>
      </c>
      <c r="F78">
        <v>381</v>
      </c>
      <c r="G78">
        <v>15</v>
      </c>
      <c r="H78" t="s">
        <v>76</v>
      </c>
      <c r="I78" t="s">
        <v>1741</v>
      </c>
      <c r="J78">
        <v>13793275</v>
      </c>
      <c r="K78">
        <v>2025</v>
      </c>
      <c r="L78">
        <v>811007127</v>
      </c>
      <c r="M78" t="s">
        <v>2481</v>
      </c>
      <c r="N78" t="s">
        <v>1688</v>
      </c>
      <c r="O78" t="s">
        <v>1686</v>
      </c>
      <c r="P78">
        <v>0</v>
      </c>
      <c r="Q78">
        <v>13793275</v>
      </c>
      <c r="R78">
        <v>0</v>
      </c>
      <c r="S78">
        <v>0</v>
      </c>
      <c r="T78" t="str">
        <f t="shared" si="2"/>
        <v>4361.00.0000.00.0-205616.2.1.1.01.03.001.01.</v>
      </c>
      <c r="U78" t="e" cm="1">
        <f t="array" aca="1" ref="U78" ca="1">+IF(COMPROMISOS_2025[[#This Row],[P]]="20","41080111",_xlfn.XLOOKUP(COMPROMISOS_2025[[#This Row],[concatenado]],PAA[[#All],[RCP-RUBRO]],PAA[[#All],[INDICADOR]],"",0))</f>
        <v>#NAME?</v>
      </c>
      <c r="V78" s="144" t="str">
        <f t="shared" si="3"/>
        <v>00</v>
      </c>
      <c r="W78" s="136">
        <f>+COMPROMISOS_2025[[#This Row],[valor_total]]-COMPROMISOS_2025[[#This Row],[total_cancelado]]</f>
        <v>13793275</v>
      </c>
      <c r="X78" s="136">
        <f>COMPROMISOS_2025[[#This Row],[total_ordenes]]</f>
        <v>13793275</v>
      </c>
      <c r="Y78" t="str" cm="1">
        <f t="array" aca="1" ref="Y78" ca="1">IFERROR(_xlfn.XLOOKUP(COMPROMISOS_2025[[#This Row],[concatenado]],PAA[[#All],[RCP-RUBRO]],PAA[[#All],[Actividad3]],VLOOKUP(COMPROMISOS_2025[[#This Row],[Indicador Principal]],$AC$2:$AD$17,2,0),0),"")</f>
        <v/>
      </c>
    </row>
    <row r="79" spans="1:25" hidden="1" x14ac:dyDescent="0.25">
      <c r="A79">
        <v>811</v>
      </c>
      <c r="B79" t="s">
        <v>2499</v>
      </c>
      <c r="C79" t="s">
        <v>1043</v>
      </c>
      <c r="D79" t="s">
        <v>1706</v>
      </c>
      <c r="F79">
        <v>395</v>
      </c>
      <c r="G79">
        <v>15</v>
      </c>
      <c r="H79" t="s">
        <v>76</v>
      </c>
      <c r="I79" t="s">
        <v>1741</v>
      </c>
      <c r="J79">
        <v>13932845</v>
      </c>
      <c r="K79">
        <v>2025</v>
      </c>
      <c r="L79">
        <v>715931405</v>
      </c>
      <c r="M79" t="s">
        <v>2500</v>
      </c>
      <c r="N79" t="s">
        <v>1688</v>
      </c>
      <c r="O79" t="s">
        <v>1686</v>
      </c>
      <c r="P79">
        <v>0</v>
      </c>
      <c r="Q79">
        <v>13932845</v>
      </c>
      <c r="R79">
        <v>0</v>
      </c>
      <c r="S79">
        <v>0</v>
      </c>
      <c r="T79" t="str">
        <f t="shared" si="2"/>
        <v>8111.00.0000.00.0-205616.2.1.1.01.03.001.01.</v>
      </c>
      <c r="U79" t="e" cm="1">
        <f t="array" aca="1" ref="U79" ca="1">+IF(COMPROMISOS_2025[[#This Row],[P]]="20","41080111",_xlfn.XLOOKUP(COMPROMISOS_2025[[#This Row],[concatenado]],PAA[[#All],[RCP-RUBRO]],PAA[[#All],[INDICADOR]],"",0))</f>
        <v>#NAME?</v>
      </c>
      <c r="V79" s="144" t="str">
        <f t="shared" si="3"/>
        <v>00</v>
      </c>
      <c r="W79" s="136">
        <f>+COMPROMISOS_2025[[#This Row],[valor_total]]-COMPROMISOS_2025[[#This Row],[total_cancelado]]</f>
        <v>13932845</v>
      </c>
      <c r="X79" s="136">
        <f>COMPROMISOS_2025[[#This Row],[total_ordenes]]</f>
        <v>13932845</v>
      </c>
      <c r="Y79" t="str" cm="1">
        <f t="array" aca="1" ref="Y79" ca="1">IFERROR(_xlfn.XLOOKUP(COMPROMISOS_2025[[#This Row],[concatenado]],PAA[[#All],[RCP-RUBRO]],PAA[[#All],[Actividad3]],VLOOKUP(COMPROMISOS_2025[[#This Row],[Indicador Principal]],$AC$2:$AD$17,2,0),0),"")</f>
        <v/>
      </c>
    </row>
    <row r="80" spans="1:25" hidden="1" x14ac:dyDescent="0.25">
      <c r="A80">
        <v>812</v>
      </c>
      <c r="B80" t="s">
        <v>2499</v>
      </c>
      <c r="C80" t="s">
        <v>1043</v>
      </c>
      <c r="D80" t="s">
        <v>1706</v>
      </c>
      <c r="F80">
        <v>396</v>
      </c>
      <c r="G80">
        <v>15</v>
      </c>
      <c r="H80" t="s">
        <v>76</v>
      </c>
      <c r="I80" t="s">
        <v>1741</v>
      </c>
      <c r="J80">
        <v>7936252</v>
      </c>
      <c r="K80">
        <v>2025</v>
      </c>
      <c r="L80">
        <v>1040043775</v>
      </c>
      <c r="M80" t="s">
        <v>2501</v>
      </c>
      <c r="N80" t="s">
        <v>1688</v>
      </c>
      <c r="O80" t="s">
        <v>1686</v>
      </c>
      <c r="P80">
        <v>0</v>
      </c>
      <c r="Q80">
        <v>7936252</v>
      </c>
      <c r="R80">
        <v>0</v>
      </c>
      <c r="S80">
        <v>0</v>
      </c>
      <c r="T80" t="str">
        <f t="shared" si="2"/>
        <v>8121.00.0000.00.0-205616.2.1.1.01.03.001.01.</v>
      </c>
      <c r="U80" t="e" cm="1">
        <f t="array" aca="1" ref="U80" ca="1">+IF(COMPROMISOS_2025[[#This Row],[P]]="20","41080111",_xlfn.XLOOKUP(COMPROMISOS_2025[[#This Row],[concatenado]],PAA[[#All],[RCP-RUBRO]],PAA[[#All],[INDICADOR]],"",0))</f>
        <v>#NAME?</v>
      </c>
      <c r="V80" s="144" t="str">
        <f t="shared" si="3"/>
        <v>00</v>
      </c>
      <c r="W80" s="136">
        <f>+COMPROMISOS_2025[[#This Row],[valor_total]]-COMPROMISOS_2025[[#This Row],[total_cancelado]]</f>
        <v>7936252</v>
      </c>
      <c r="X80" s="136">
        <f>COMPROMISOS_2025[[#This Row],[total_ordenes]]</f>
        <v>7936252</v>
      </c>
      <c r="Y80" t="str" cm="1">
        <f t="array" aca="1" ref="Y80" ca="1">IFERROR(_xlfn.XLOOKUP(COMPROMISOS_2025[[#This Row],[concatenado]],PAA[[#All],[RCP-RUBRO]],PAA[[#All],[Actividad3]],VLOOKUP(COMPROMISOS_2025[[#This Row],[Indicador Principal]],$AC$2:$AD$17,2,0),0),"")</f>
        <v/>
      </c>
    </row>
    <row r="81" spans="1:25" hidden="1" x14ac:dyDescent="0.25">
      <c r="A81">
        <v>1618</v>
      </c>
      <c r="B81" t="s">
        <v>2491</v>
      </c>
      <c r="C81" t="s">
        <v>1043</v>
      </c>
      <c r="D81" t="s">
        <v>1698</v>
      </c>
      <c r="F81">
        <v>412</v>
      </c>
      <c r="G81">
        <v>15</v>
      </c>
      <c r="H81" t="s">
        <v>76</v>
      </c>
      <c r="I81" t="s">
        <v>1741</v>
      </c>
      <c r="J81">
        <v>20791448</v>
      </c>
      <c r="K81">
        <v>2025</v>
      </c>
      <c r="L81">
        <v>811007127</v>
      </c>
      <c r="M81" t="s">
        <v>2481</v>
      </c>
      <c r="N81" t="s">
        <v>1688</v>
      </c>
      <c r="O81" t="s">
        <v>1686</v>
      </c>
      <c r="P81">
        <v>0</v>
      </c>
      <c r="Q81">
        <v>20791448</v>
      </c>
      <c r="R81">
        <v>0</v>
      </c>
      <c r="S81">
        <v>0</v>
      </c>
      <c r="T81" t="str">
        <f t="shared" si="2"/>
        <v>16181.00.0000.00.0-205616.2.1.1.01.03.001.01.</v>
      </c>
      <c r="U81" t="e" cm="1">
        <f t="array" aca="1" ref="U81" ca="1">+IF(COMPROMISOS_2025[[#This Row],[P]]="20","41080111",_xlfn.XLOOKUP(COMPROMISOS_2025[[#This Row],[concatenado]],PAA[[#All],[RCP-RUBRO]],PAA[[#All],[INDICADOR]],"",0))</f>
        <v>#NAME?</v>
      </c>
      <c r="V81" s="144" t="str">
        <f t="shared" si="3"/>
        <v>00</v>
      </c>
      <c r="W81" s="136">
        <f>+COMPROMISOS_2025[[#This Row],[valor_total]]-COMPROMISOS_2025[[#This Row],[total_cancelado]]</f>
        <v>20791448</v>
      </c>
      <c r="X81" s="136">
        <f>COMPROMISOS_2025[[#This Row],[total_ordenes]]</f>
        <v>20791448</v>
      </c>
      <c r="Y81" t="str" cm="1">
        <f t="array" aca="1" ref="Y81" ca="1">IFERROR(_xlfn.XLOOKUP(COMPROMISOS_2025[[#This Row],[concatenado]],PAA[[#All],[RCP-RUBRO]],PAA[[#All],[Actividad3]],VLOOKUP(COMPROMISOS_2025[[#This Row],[Indicador Principal]],$AC$2:$AD$17,2,0),0),"")</f>
        <v/>
      </c>
    </row>
    <row r="82" spans="1:25" hidden="1" x14ac:dyDescent="0.25">
      <c r="A82">
        <v>2998</v>
      </c>
      <c r="B82" t="s">
        <v>2493</v>
      </c>
      <c r="C82" t="s">
        <v>1043</v>
      </c>
      <c r="D82" t="s">
        <v>1700</v>
      </c>
      <c r="F82">
        <v>435</v>
      </c>
      <c r="G82">
        <v>15</v>
      </c>
      <c r="H82" t="s">
        <v>76</v>
      </c>
      <c r="I82" t="s">
        <v>1741</v>
      </c>
      <c r="J82">
        <v>24753014</v>
      </c>
      <c r="K82">
        <v>2025</v>
      </c>
      <c r="L82">
        <v>811007127</v>
      </c>
      <c r="M82" t="s">
        <v>2481</v>
      </c>
      <c r="N82" t="s">
        <v>1688</v>
      </c>
      <c r="O82" t="s">
        <v>1686</v>
      </c>
      <c r="P82">
        <v>0</v>
      </c>
      <c r="Q82">
        <v>24753014</v>
      </c>
      <c r="R82">
        <v>0</v>
      </c>
      <c r="S82">
        <v>0</v>
      </c>
      <c r="T82" t="str">
        <f t="shared" si="2"/>
        <v>29981.00.0000.00.0-205616.2.1.1.01.03.001.01.</v>
      </c>
      <c r="U82" t="e" cm="1">
        <f t="array" aca="1" ref="U82" ca="1">+IF(COMPROMISOS_2025[[#This Row],[P]]="20","41080111",_xlfn.XLOOKUP(COMPROMISOS_2025[[#This Row],[concatenado]],PAA[[#All],[RCP-RUBRO]],PAA[[#All],[INDICADOR]],"",0))</f>
        <v>#NAME?</v>
      </c>
      <c r="V82" s="144" t="str">
        <f t="shared" si="3"/>
        <v>00</v>
      </c>
      <c r="W82" s="136">
        <f>+COMPROMISOS_2025[[#This Row],[valor_total]]-COMPROMISOS_2025[[#This Row],[total_cancelado]]</f>
        <v>24753014</v>
      </c>
      <c r="X82" s="136">
        <f>COMPROMISOS_2025[[#This Row],[total_ordenes]]</f>
        <v>24753014</v>
      </c>
      <c r="Y82" t="str" cm="1">
        <f t="array" aca="1" ref="Y82" ca="1">IFERROR(_xlfn.XLOOKUP(COMPROMISOS_2025[[#This Row],[concatenado]],PAA[[#All],[RCP-RUBRO]],PAA[[#All],[Actividad3]],VLOOKUP(COMPROMISOS_2025[[#This Row],[Indicador Principal]],$AC$2:$AD$17,2,0),0),"")</f>
        <v/>
      </c>
    </row>
    <row r="83" spans="1:25" hidden="1" x14ac:dyDescent="0.25">
      <c r="A83">
        <v>2999</v>
      </c>
      <c r="B83" t="s">
        <v>2503</v>
      </c>
      <c r="C83" t="s">
        <v>1043</v>
      </c>
      <c r="D83" t="s">
        <v>1709</v>
      </c>
      <c r="F83">
        <v>438</v>
      </c>
      <c r="G83">
        <v>15</v>
      </c>
      <c r="H83" t="s">
        <v>76</v>
      </c>
      <c r="I83" t="s">
        <v>1741</v>
      </c>
      <c r="J83">
        <v>3153896</v>
      </c>
      <c r="K83">
        <v>2025</v>
      </c>
      <c r="L83">
        <v>11283980193</v>
      </c>
      <c r="M83" t="s">
        <v>2504</v>
      </c>
      <c r="N83" t="s">
        <v>1688</v>
      </c>
      <c r="O83" t="s">
        <v>1686</v>
      </c>
      <c r="P83">
        <v>0</v>
      </c>
      <c r="Q83">
        <v>3153896</v>
      </c>
      <c r="R83">
        <v>0</v>
      </c>
      <c r="S83">
        <v>0</v>
      </c>
      <c r="T83" t="str">
        <f t="shared" si="2"/>
        <v>29991.00.0000.00.0-205616.2.1.1.01.03.001.01.</v>
      </c>
      <c r="U83" t="e" cm="1">
        <f t="array" aca="1" ref="U83" ca="1">+IF(COMPROMISOS_2025[[#This Row],[P]]="20","41080111",_xlfn.XLOOKUP(COMPROMISOS_2025[[#This Row],[concatenado]],PAA[[#All],[RCP-RUBRO]],PAA[[#All],[INDICADOR]],"",0))</f>
        <v>#NAME?</v>
      </c>
      <c r="V83" s="144" t="str">
        <f t="shared" si="3"/>
        <v>00</v>
      </c>
      <c r="W83" s="136">
        <f>+COMPROMISOS_2025[[#This Row],[valor_total]]-COMPROMISOS_2025[[#This Row],[total_cancelado]]</f>
        <v>3153896</v>
      </c>
      <c r="X83" s="136">
        <f>COMPROMISOS_2025[[#This Row],[total_ordenes]]</f>
        <v>3153896</v>
      </c>
      <c r="Y83" t="str" cm="1">
        <f t="array" aca="1" ref="Y83" ca="1">IFERROR(_xlfn.XLOOKUP(COMPROMISOS_2025[[#This Row],[concatenado]],PAA[[#All],[RCP-RUBRO]],PAA[[#All],[Actividad3]],VLOOKUP(COMPROMISOS_2025[[#This Row],[Indicador Principal]],$AC$2:$AD$17,2,0),0),"")</f>
        <v/>
      </c>
    </row>
    <row r="84" spans="1:25" hidden="1" x14ac:dyDescent="0.25">
      <c r="A84">
        <v>5</v>
      </c>
      <c r="B84" t="s">
        <v>2480</v>
      </c>
      <c r="C84" t="s">
        <v>1043</v>
      </c>
      <c r="D84" t="s">
        <v>1685</v>
      </c>
      <c r="F84">
        <v>6</v>
      </c>
      <c r="G84">
        <v>17</v>
      </c>
      <c r="H84" t="s">
        <v>80</v>
      </c>
      <c r="I84" t="s">
        <v>1742</v>
      </c>
      <c r="J84">
        <v>1921427</v>
      </c>
      <c r="K84">
        <v>2025</v>
      </c>
      <c r="L84">
        <v>811007127</v>
      </c>
      <c r="M84" t="s">
        <v>2481</v>
      </c>
      <c r="N84" t="s">
        <v>1688</v>
      </c>
      <c r="O84" t="s">
        <v>1686</v>
      </c>
      <c r="P84">
        <v>266906</v>
      </c>
      <c r="Q84">
        <v>1921427</v>
      </c>
      <c r="R84">
        <v>0</v>
      </c>
      <c r="S84">
        <v>0</v>
      </c>
      <c r="T84" t="str">
        <f t="shared" si="2"/>
        <v>51.00.0000.00.0-205616.2.1.1.01.03.001.03.</v>
      </c>
      <c r="U84" t="e" cm="1">
        <f t="array" aca="1" ref="U84" ca="1">+IF(COMPROMISOS_2025[[#This Row],[P]]="20","41080111",_xlfn.XLOOKUP(COMPROMISOS_2025[[#This Row],[concatenado]],PAA[[#All],[RCP-RUBRO]],PAA[[#All],[INDICADOR]],"",0))</f>
        <v>#NAME?</v>
      </c>
      <c r="V84" s="144" t="str">
        <f t="shared" si="3"/>
        <v>00</v>
      </c>
      <c r="W84" s="136">
        <f>+COMPROMISOS_2025[[#This Row],[valor_total]]-COMPROMISOS_2025[[#This Row],[total_cancelado]]</f>
        <v>1921427</v>
      </c>
      <c r="X84" s="136">
        <f>COMPROMISOS_2025[[#This Row],[total_ordenes]]</f>
        <v>1921427</v>
      </c>
      <c r="Y84" t="str" cm="1">
        <f t="array" aca="1" ref="Y84" ca="1">IFERROR(_xlfn.XLOOKUP(COMPROMISOS_2025[[#This Row],[concatenado]],PAA[[#All],[RCP-RUBRO]],PAA[[#All],[Actividad3]],VLOOKUP(COMPROMISOS_2025[[#This Row],[Indicador Principal]],$AC$2:$AD$17,2,0),0),"")</f>
        <v/>
      </c>
    </row>
    <row r="85" spans="1:25" hidden="1" x14ac:dyDescent="0.25">
      <c r="A85">
        <v>46</v>
      </c>
      <c r="B85" t="s">
        <v>2483</v>
      </c>
      <c r="C85" t="s">
        <v>1043</v>
      </c>
      <c r="D85" t="s">
        <v>1690</v>
      </c>
      <c r="F85">
        <v>61</v>
      </c>
      <c r="G85">
        <v>17</v>
      </c>
      <c r="H85" t="s">
        <v>80</v>
      </c>
      <c r="I85" t="s">
        <v>1742</v>
      </c>
      <c r="J85">
        <v>1219977</v>
      </c>
      <c r="K85">
        <v>2025</v>
      </c>
      <c r="L85">
        <v>811007127</v>
      </c>
      <c r="M85" t="s">
        <v>2481</v>
      </c>
      <c r="N85" t="s">
        <v>1688</v>
      </c>
      <c r="O85" t="s">
        <v>1686</v>
      </c>
      <c r="P85">
        <v>0</v>
      </c>
      <c r="Q85">
        <v>1219977</v>
      </c>
      <c r="R85">
        <v>0</v>
      </c>
      <c r="S85">
        <v>0</v>
      </c>
      <c r="T85" t="str">
        <f t="shared" si="2"/>
        <v>461.00.0000.00.0-205616.2.1.1.01.03.001.03.</v>
      </c>
      <c r="U85" t="e" cm="1">
        <f t="array" aca="1" ref="U85" ca="1">+IF(COMPROMISOS_2025[[#This Row],[P]]="20","41080111",_xlfn.XLOOKUP(COMPROMISOS_2025[[#This Row],[concatenado]],PAA[[#All],[RCP-RUBRO]],PAA[[#All],[INDICADOR]],"",0))</f>
        <v>#NAME?</v>
      </c>
      <c r="V85" s="144" t="str">
        <f t="shared" si="3"/>
        <v>00</v>
      </c>
      <c r="W85" s="136">
        <f>+COMPROMISOS_2025[[#This Row],[valor_total]]-COMPROMISOS_2025[[#This Row],[total_cancelado]]</f>
        <v>1219977</v>
      </c>
      <c r="X85" s="136">
        <f>COMPROMISOS_2025[[#This Row],[total_ordenes]]</f>
        <v>1219977</v>
      </c>
      <c r="Y85" t="str" cm="1">
        <f t="array" aca="1" ref="Y85" ca="1">IFERROR(_xlfn.XLOOKUP(COMPROMISOS_2025[[#This Row],[concatenado]],PAA[[#All],[RCP-RUBRO]],PAA[[#All],[Actividad3]],VLOOKUP(COMPROMISOS_2025[[#This Row],[Indicador Principal]],$AC$2:$AD$17,2,0),0),"")</f>
        <v/>
      </c>
    </row>
    <row r="86" spans="1:25" hidden="1" x14ac:dyDescent="0.25">
      <c r="A86">
        <v>109</v>
      </c>
      <c r="B86" t="s">
        <v>2485</v>
      </c>
      <c r="C86" t="s">
        <v>1043</v>
      </c>
      <c r="D86" t="s">
        <v>1692</v>
      </c>
      <c r="F86">
        <v>319</v>
      </c>
      <c r="G86">
        <v>17</v>
      </c>
      <c r="H86" t="s">
        <v>80</v>
      </c>
      <c r="I86" t="s">
        <v>1742</v>
      </c>
      <c r="J86">
        <v>1016049</v>
      </c>
      <c r="K86">
        <v>2025</v>
      </c>
      <c r="L86">
        <v>811007127</v>
      </c>
      <c r="M86" t="s">
        <v>2481</v>
      </c>
      <c r="N86" t="s">
        <v>1688</v>
      </c>
      <c r="O86" t="s">
        <v>1686</v>
      </c>
      <c r="P86">
        <v>0</v>
      </c>
      <c r="Q86">
        <v>1016049</v>
      </c>
      <c r="R86">
        <v>0</v>
      </c>
      <c r="S86">
        <v>0</v>
      </c>
      <c r="T86" t="str">
        <f t="shared" si="2"/>
        <v>1091.00.0000.00.0-205616.2.1.1.01.03.001.03.</v>
      </c>
      <c r="U86" t="e" cm="1">
        <f t="array" aca="1" ref="U86" ca="1">+IF(COMPROMISOS_2025[[#This Row],[P]]="20","41080111",_xlfn.XLOOKUP(COMPROMISOS_2025[[#This Row],[concatenado]],PAA[[#All],[RCP-RUBRO]],PAA[[#All],[INDICADOR]],"",0))</f>
        <v>#NAME?</v>
      </c>
      <c r="V86" s="144" t="str">
        <f t="shared" si="3"/>
        <v>00</v>
      </c>
      <c r="W86" s="136">
        <f>+COMPROMISOS_2025[[#This Row],[valor_total]]-COMPROMISOS_2025[[#This Row],[total_cancelado]]</f>
        <v>1016049</v>
      </c>
      <c r="X86" s="136">
        <f>COMPROMISOS_2025[[#This Row],[total_ordenes]]</f>
        <v>1016049</v>
      </c>
      <c r="Y86" t="str" cm="1">
        <f t="array" aca="1" ref="Y86" ca="1">IFERROR(_xlfn.XLOOKUP(COMPROMISOS_2025[[#This Row],[concatenado]],PAA[[#All],[RCP-RUBRO]],PAA[[#All],[Actividad3]],VLOOKUP(COMPROMISOS_2025[[#This Row],[Indicador Principal]],$AC$2:$AD$17,2,0),0),"")</f>
        <v/>
      </c>
    </row>
    <row r="87" spans="1:25" hidden="1" x14ac:dyDescent="0.25">
      <c r="A87">
        <v>110</v>
      </c>
      <c r="B87" t="s">
        <v>2485</v>
      </c>
      <c r="C87" t="s">
        <v>1043</v>
      </c>
      <c r="D87" t="s">
        <v>1703</v>
      </c>
      <c r="F87">
        <v>320</v>
      </c>
      <c r="G87">
        <v>17</v>
      </c>
      <c r="H87" t="s">
        <v>80</v>
      </c>
      <c r="I87" t="s">
        <v>1742</v>
      </c>
      <c r="J87">
        <v>710921</v>
      </c>
      <c r="K87">
        <v>2025</v>
      </c>
      <c r="L87">
        <v>325269585</v>
      </c>
      <c r="M87" t="s">
        <v>2497</v>
      </c>
      <c r="N87" t="s">
        <v>1688</v>
      </c>
      <c r="O87" t="s">
        <v>1686</v>
      </c>
      <c r="P87">
        <v>0</v>
      </c>
      <c r="Q87">
        <v>710921</v>
      </c>
      <c r="R87">
        <v>0</v>
      </c>
      <c r="S87">
        <v>0</v>
      </c>
      <c r="T87" t="str">
        <f t="shared" si="2"/>
        <v>1101.00.0000.00.0-205616.2.1.1.01.03.001.03.</v>
      </c>
      <c r="U87" t="e" cm="1">
        <f t="array" aca="1" ref="U87" ca="1">+IF(COMPROMISOS_2025[[#This Row],[P]]="20","41080111",_xlfn.XLOOKUP(COMPROMISOS_2025[[#This Row],[concatenado]],PAA[[#All],[RCP-RUBRO]],PAA[[#All],[INDICADOR]],"",0))</f>
        <v>#NAME?</v>
      </c>
      <c r="V87" s="144" t="str">
        <f t="shared" si="3"/>
        <v>00</v>
      </c>
      <c r="W87" s="136">
        <f>+COMPROMISOS_2025[[#This Row],[valor_total]]-COMPROMISOS_2025[[#This Row],[total_cancelado]]</f>
        <v>710921</v>
      </c>
      <c r="X87" s="136">
        <f>COMPROMISOS_2025[[#This Row],[total_ordenes]]</f>
        <v>710921</v>
      </c>
      <c r="Y87" t="str" cm="1">
        <f t="array" aca="1" ref="Y87" ca="1">IFERROR(_xlfn.XLOOKUP(COMPROMISOS_2025[[#This Row],[concatenado]],PAA[[#All],[RCP-RUBRO]],PAA[[#All],[Actividad3]],VLOOKUP(COMPROMISOS_2025[[#This Row],[Indicador Principal]],$AC$2:$AD$17,2,0),0),"")</f>
        <v/>
      </c>
    </row>
    <row r="88" spans="1:25" hidden="1" x14ac:dyDescent="0.25">
      <c r="A88">
        <v>429</v>
      </c>
      <c r="B88" t="s">
        <v>2487</v>
      </c>
      <c r="C88" t="s">
        <v>1043</v>
      </c>
      <c r="D88" t="s">
        <v>1694</v>
      </c>
      <c r="F88">
        <v>356</v>
      </c>
      <c r="G88">
        <v>17</v>
      </c>
      <c r="H88" t="s">
        <v>80</v>
      </c>
      <c r="I88" t="s">
        <v>1742</v>
      </c>
      <c r="J88">
        <v>99913</v>
      </c>
      <c r="K88">
        <v>2025</v>
      </c>
      <c r="L88">
        <v>811007127</v>
      </c>
      <c r="M88" t="s">
        <v>2481</v>
      </c>
      <c r="N88" t="s">
        <v>1688</v>
      </c>
      <c r="O88" t="s">
        <v>1686</v>
      </c>
      <c r="P88">
        <v>13879</v>
      </c>
      <c r="Q88">
        <v>99913</v>
      </c>
      <c r="R88">
        <v>0</v>
      </c>
      <c r="S88">
        <v>0</v>
      </c>
      <c r="T88" t="str">
        <f t="shared" si="2"/>
        <v>4291.00.0000.00.0-205616.2.1.1.01.03.001.03.</v>
      </c>
      <c r="U88" t="e" cm="1">
        <f t="array" aca="1" ref="U88" ca="1">+IF(COMPROMISOS_2025[[#This Row],[P]]="20","41080111",_xlfn.XLOOKUP(COMPROMISOS_2025[[#This Row],[concatenado]],PAA[[#All],[RCP-RUBRO]],PAA[[#All],[INDICADOR]],"",0))</f>
        <v>#NAME?</v>
      </c>
      <c r="V88" s="144" t="str">
        <f t="shared" si="3"/>
        <v>00</v>
      </c>
      <c r="W88" s="136">
        <f>+COMPROMISOS_2025[[#This Row],[valor_total]]-COMPROMISOS_2025[[#This Row],[total_cancelado]]</f>
        <v>99913</v>
      </c>
      <c r="X88" s="136">
        <f>COMPROMISOS_2025[[#This Row],[total_ordenes]]</f>
        <v>99913</v>
      </c>
      <c r="Y88" t="str" cm="1">
        <f t="array" aca="1" ref="Y88" ca="1">IFERROR(_xlfn.XLOOKUP(COMPROMISOS_2025[[#This Row],[concatenado]],PAA[[#All],[RCP-RUBRO]],PAA[[#All],[Actividad3]],VLOOKUP(COMPROMISOS_2025[[#This Row],[Indicador Principal]],$AC$2:$AD$17,2,0),0),"")</f>
        <v/>
      </c>
    </row>
    <row r="89" spans="1:25" hidden="1" x14ac:dyDescent="0.25">
      <c r="A89">
        <v>436</v>
      </c>
      <c r="B89" t="s">
        <v>2489</v>
      </c>
      <c r="C89" t="s">
        <v>1043</v>
      </c>
      <c r="D89" t="s">
        <v>1696</v>
      </c>
      <c r="F89">
        <v>381</v>
      </c>
      <c r="G89">
        <v>17</v>
      </c>
      <c r="H89" t="s">
        <v>80</v>
      </c>
      <c r="I89" t="s">
        <v>1742</v>
      </c>
      <c r="J89">
        <v>1011244</v>
      </c>
      <c r="K89">
        <v>2025</v>
      </c>
      <c r="L89">
        <v>811007127</v>
      </c>
      <c r="M89" t="s">
        <v>2481</v>
      </c>
      <c r="N89" t="s">
        <v>1688</v>
      </c>
      <c r="O89" t="s">
        <v>1686</v>
      </c>
      <c r="P89">
        <v>0</v>
      </c>
      <c r="Q89">
        <v>1011244</v>
      </c>
      <c r="R89">
        <v>0</v>
      </c>
      <c r="S89">
        <v>0</v>
      </c>
      <c r="T89" t="str">
        <f t="shared" si="2"/>
        <v>4361.00.0000.00.0-205616.2.1.1.01.03.001.03.</v>
      </c>
      <c r="U89" t="e" cm="1">
        <f t="array" aca="1" ref="U89" ca="1">+IF(COMPROMISOS_2025[[#This Row],[P]]="20","41080111",_xlfn.XLOOKUP(COMPROMISOS_2025[[#This Row],[concatenado]],PAA[[#All],[RCP-RUBRO]],PAA[[#All],[INDICADOR]],"",0))</f>
        <v>#NAME?</v>
      </c>
      <c r="V89" s="144" t="str">
        <f t="shared" si="3"/>
        <v>00</v>
      </c>
      <c r="W89" s="136">
        <f>+COMPROMISOS_2025[[#This Row],[valor_total]]-COMPROMISOS_2025[[#This Row],[total_cancelado]]</f>
        <v>1011244</v>
      </c>
      <c r="X89" s="136">
        <f>COMPROMISOS_2025[[#This Row],[total_ordenes]]</f>
        <v>1011244</v>
      </c>
      <c r="Y89" t="str" cm="1">
        <f t="array" aca="1" ref="Y89" ca="1">IFERROR(_xlfn.XLOOKUP(COMPROMISOS_2025[[#This Row],[concatenado]],PAA[[#All],[RCP-RUBRO]],PAA[[#All],[Actividad3]],VLOOKUP(COMPROMISOS_2025[[#This Row],[Indicador Principal]],$AC$2:$AD$17,2,0),0),"")</f>
        <v/>
      </c>
    </row>
    <row r="90" spans="1:25" hidden="1" x14ac:dyDescent="0.25">
      <c r="A90">
        <v>811</v>
      </c>
      <c r="B90" t="s">
        <v>2499</v>
      </c>
      <c r="C90" t="s">
        <v>1043</v>
      </c>
      <c r="D90" t="s">
        <v>1706</v>
      </c>
      <c r="F90">
        <v>395</v>
      </c>
      <c r="G90">
        <v>17</v>
      </c>
      <c r="H90" t="s">
        <v>80</v>
      </c>
      <c r="I90" t="s">
        <v>1742</v>
      </c>
      <c r="J90">
        <v>1147395</v>
      </c>
      <c r="K90">
        <v>2025</v>
      </c>
      <c r="L90">
        <v>715931405</v>
      </c>
      <c r="M90" t="s">
        <v>2500</v>
      </c>
      <c r="N90" t="s">
        <v>1688</v>
      </c>
      <c r="O90" t="s">
        <v>1686</v>
      </c>
      <c r="P90">
        <v>0</v>
      </c>
      <c r="Q90">
        <v>1147395</v>
      </c>
      <c r="R90">
        <v>0</v>
      </c>
      <c r="S90">
        <v>0</v>
      </c>
      <c r="T90" t="str">
        <f t="shared" si="2"/>
        <v>8111.00.0000.00.0-205616.2.1.1.01.03.001.03.</v>
      </c>
      <c r="U90" t="e" cm="1">
        <f t="array" aca="1" ref="U90" ca="1">+IF(COMPROMISOS_2025[[#This Row],[P]]="20","41080111",_xlfn.XLOOKUP(COMPROMISOS_2025[[#This Row],[concatenado]],PAA[[#All],[RCP-RUBRO]],PAA[[#All],[INDICADOR]],"",0))</f>
        <v>#NAME?</v>
      </c>
      <c r="V90" s="144" t="str">
        <f t="shared" si="3"/>
        <v>00</v>
      </c>
      <c r="W90" s="136">
        <f>+COMPROMISOS_2025[[#This Row],[valor_total]]-COMPROMISOS_2025[[#This Row],[total_cancelado]]</f>
        <v>1147395</v>
      </c>
      <c r="X90" s="136">
        <f>COMPROMISOS_2025[[#This Row],[total_ordenes]]</f>
        <v>1147395</v>
      </c>
      <c r="Y90" t="str" cm="1">
        <f t="array" aca="1" ref="Y90" ca="1">IFERROR(_xlfn.XLOOKUP(COMPROMISOS_2025[[#This Row],[concatenado]],PAA[[#All],[RCP-RUBRO]],PAA[[#All],[Actividad3]],VLOOKUP(COMPROMISOS_2025[[#This Row],[Indicador Principal]],$AC$2:$AD$17,2,0),0),"")</f>
        <v/>
      </c>
    </row>
    <row r="91" spans="1:25" hidden="1" x14ac:dyDescent="0.25">
      <c r="A91">
        <v>812</v>
      </c>
      <c r="B91" t="s">
        <v>2499</v>
      </c>
      <c r="C91" t="s">
        <v>1043</v>
      </c>
      <c r="D91" t="s">
        <v>1706</v>
      </c>
      <c r="F91">
        <v>396</v>
      </c>
      <c r="G91">
        <v>17</v>
      </c>
      <c r="H91" t="s">
        <v>80</v>
      </c>
      <c r="I91" t="s">
        <v>1742</v>
      </c>
      <c r="J91">
        <v>629229</v>
      </c>
      <c r="K91">
        <v>2025</v>
      </c>
      <c r="L91">
        <v>1040043775</v>
      </c>
      <c r="M91" t="s">
        <v>2501</v>
      </c>
      <c r="N91" t="s">
        <v>1688</v>
      </c>
      <c r="O91" t="s">
        <v>1686</v>
      </c>
      <c r="P91">
        <v>0</v>
      </c>
      <c r="Q91">
        <v>629229</v>
      </c>
      <c r="R91">
        <v>0</v>
      </c>
      <c r="S91">
        <v>0</v>
      </c>
      <c r="T91" t="str">
        <f t="shared" si="2"/>
        <v>8121.00.0000.00.0-205616.2.1.1.01.03.001.03.</v>
      </c>
      <c r="U91" t="e" cm="1">
        <f t="array" aca="1" ref="U91" ca="1">+IF(COMPROMISOS_2025[[#This Row],[P]]="20","41080111",_xlfn.XLOOKUP(COMPROMISOS_2025[[#This Row],[concatenado]],PAA[[#All],[RCP-RUBRO]],PAA[[#All],[INDICADOR]],"",0))</f>
        <v>#NAME?</v>
      </c>
      <c r="V91" s="144" t="str">
        <f t="shared" si="3"/>
        <v>00</v>
      </c>
      <c r="W91" s="136">
        <f>+COMPROMISOS_2025[[#This Row],[valor_total]]-COMPROMISOS_2025[[#This Row],[total_cancelado]]</f>
        <v>629229</v>
      </c>
      <c r="X91" s="136">
        <f>COMPROMISOS_2025[[#This Row],[total_ordenes]]</f>
        <v>629229</v>
      </c>
      <c r="Y91" t="str" cm="1">
        <f t="array" aca="1" ref="Y91" ca="1">IFERROR(_xlfn.XLOOKUP(COMPROMISOS_2025[[#This Row],[concatenado]],PAA[[#All],[RCP-RUBRO]],PAA[[#All],[Actividad3]],VLOOKUP(COMPROMISOS_2025[[#This Row],[Indicador Principal]],$AC$2:$AD$17,2,0),0),"")</f>
        <v/>
      </c>
    </row>
    <row r="92" spans="1:25" hidden="1" x14ac:dyDescent="0.25">
      <c r="A92">
        <v>1618</v>
      </c>
      <c r="B92" t="s">
        <v>2491</v>
      </c>
      <c r="C92" t="s">
        <v>1043</v>
      </c>
      <c r="D92" t="s">
        <v>1698</v>
      </c>
      <c r="F92">
        <v>412</v>
      </c>
      <c r="G92">
        <v>17</v>
      </c>
      <c r="H92" t="s">
        <v>80</v>
      </c>
      <c r="I92" t="s">
        <v>1742</v>
      </c>
      <c r="J92">
        <v>1852895</v>
      </c>
      <c r="K92">
        <v>2025</v>
      </c>
      <c r="L92">
        <v>811007127</v>
      </c>
      <c r="M92" t="s">
        <v>2481</v>
      </c>
      <c r="N92" t="s">
        <v>1688</v>
      </c>
      <c r="O92" t="s">
        <v>1686</v>
      </c>
      <c r="P92">
        <v>0</v>
      </c>
      <c r="Q92">
        <v>1852895</v>
      </c>
      <c r="R92">
        <v>0</v>
      </c>
      <c r="S92">
        <v>0</v>
      </c>
      <c r="T92" t="str">
        <f t="shared" si="2"/>
        <v>16181.00.0000.00.0-205616.2.1.1.01.03.001.03.</v>
      </c>
      <c r="U92" t="e" cm="1">
        <f t="array" aca="1" ref="U92" ca="1">+IF(COMPROMISOS_2025[[#This Row],[P]]="20","41080111",_xlfn.XLOOKUP(COMPROMISOS_2025[[#This Row],[concatenado]],PAA[[#All],[RCP-RUBRO]],PAA[[#All],[INDICADOR]],"",0))</f>
        <v>#NAME?</v>
      </c>
      <c r="V92" s="144" t="str">
        <f t="shared" si="3"/>
        <v>00</v>
      </c>
      <c r="W92" s="136">
        <f>+COMPROMISOS_2025[[#This Row],[valor_total]]-COMPROMISOS_2025[[#This Row],[total_cancelado]]</f>
        <v>1852895</v>
      </c>
      <c r="X92" s="136">
        <f>COMPROMISOS_2025[[#This Row],[total_ordenes]]</f>
        <v>1852895</v>
      </c>
      <c r="Y92" t="str" cm="1">
        <f t="array" aca="1" ref="Y92" ca="1">IFERROR(_xlfn.XLOOKUP(COMPROMISOS_2025[[#This Row],[concatenado]],PAA[[#All],[RCP-RUBRO]],PAA[[#All],[Actividad3]],VLOOKUP(COMPROMISOS_2025[[#This Row],[Indicador Principal]],$AC$2:$AD$17,2,0),0),"")</f>
        <v/>
      </c>
    </row>
    <row r="93" spans="1:25" hidden="1" x14ac:dyDescent="0.25">
      <c r="A93">
        <v>2998</v>
      </c>
      <c r="B93" t="s">
        <v>2493</v>
      </c>
      <c r="C93" t="s">
        <v>1043</v>
      </c>
      <c r="D93" t="s">
        <v>1700</v>
      </c>
      <c r="F93">
        <v>435</v>
      </c>
      <c r="G93">
        <v>17</v>
      </c>
      <c r="H93" t="s">
        <v>80</v>
      </c>
      <c r="I93" t="s">
        <v>1742</v>
      </c>
      <c r="J93">
        <v>1985199</v>
      </c>
      <c r="K93">
        <v>2025</v>
      </c>
      <c r="L93">
        <v>811007127</v>
      </c>
      <c r="M93" t="s">
        <v>2481</v>
      </c>
      <c r="N93" t="s">
        <v>1688</v>
      </c>
      <c r="O93" t="s">
        <v>1686</v>
      </c>
      <c r="P93">
        <v>0</v>
      </c>
      <c r="Q93">
        <v>1985199</v>
      </c>
      <c r="R93">
        <v>0</v>
      </c>
      <c r="S93">
        <v>0</v>
      </c>
      <c r="T93" t="str">
        <f t="shared" si="2"/>
        <v>29981.00.0000.00.0-205616.2.1.1.01.03.001.03.</v>
      </c>
      <c r="U93" t="e" cm="1">
        <f t="array" aca="1" ref="U93" ca="1">+IF(COMPROMISOS_2025[[#This Row],[P]]="20","41080111",_xlfn.XLOOKUP(COMPROMISOS_2025[[#This Row],[concatenado]],PAA[[#All],[RCP-RUBRO]],PAA[[#All],[INDICADOR]],"",0))</f>
        <v>#NAME?</v>
      </c>
      <c r="V93" s="144" t="str">
        <f t="shared" si="3"/>
        <v>00</v>
      </c>
      <c r="W93" s="136">
        <f>+COMPROMISOS_2025[[#This Row],[valor_total]]-COMPROMISOS_2025[[#This Row],[total_cancelado]]</f>
        <v>1985199</v>
      </c>
      <c r="X93" s="136">
        <f>COMPROMISOS_2025[[#This Row],[total_ordenes]]</f>
        <v>1985199</v>
      </c>
      <c r="Y93" t="str" cm="1">
        <f t="array" aca="1" ref="Y93" ca="1">IFERROR(_xlfn.XLOOKUP(COMPROMISOS_2025[[#This Row],[concatenado]],PAA[[#All],[RCP-RUBRO]],PAA[[#All],[Actividad3]],VLOOKUP(COMPROMISOS_2025[[#This Row],[Indicador Principal]],$AC$2:$AD$17,2,0),0),"")</f>
        <v/>
      </c>
    </row>
    <row r="94" spans="1:25" hidden="1" x14ac:dyDescent="0.25">
      <c r="A94">
        <v>2999</v>
      </c>
      <c r="B94" t="s">
        <v>2503</v>
      </c>
      <c r="C94" t="s">
        <v>1043</v>
      </c>
      <c r="D94" t="s">
        <v>1709</v>
      </c>
      <c r="F94">
        <v>438</v>
      </c>
      <c r="G94">
        <v>17</v>
      </c>
      <c r="H94" t="s">
        <v>80</v>
      </c>
      <c r="I94" t="s">
        <v>1742</v>
      </c>
      <c r="J94">
        <v>278631</v>
      </c>
      <c r="K94">
        <v>2025</v>
      </c>
      <c r="L94">
        <v>11283980193</v>
      </c>
      <c r="M94" t="s">
        <v>2504</v>
      </c>
      <c r="N94" t="s">
        <v>1688</v>
      </c>
      <c r="O94" t="s">
        <v>1686</v>
      </c>
      <c r="P94">
        <v>0</v>
      </c>
      <c r="Q94">
        <v>278631</v>
      </c>
      <c r="R94">
        <v>0</v>
      </c>
      <c r="S94">
        <v>0</v>
      </c>
      <c r="T94" t="str">
        <f t="shared" si="2"/>
        <v>29991.00.0000.00.0-205616.2.1.1.01.03.001.03.</v>
      </c>
      <c r="U94" t="e" cm="1">
        <f t="array" aca="1" ref="U94" ca="1">+IF(COMPROMISOS_2025[[#This Row],[P]]="20","41080111",_xlfn.XLOOKUP(COMPROMISOS_2025[[#This Row],[concatenado]],PAA[[#All],[RCP-RUBRO]],PAA[[#All],[INDICADOR]],"",0))</f>
        <v>#NAME?</v>
      </c>
      <c r="V94" s="144" t="str">
        <f t="shared" si="3"/>
        <v>00</v>
      </c>
      <c r="W94" s="136">
        <f>+COMPROMISOS_2025[[#This Row],[valor_total]]-COMPROMISOS_2025[[#This Row],[total_cancelado]]</f>
        <v>278631</v>
      </c>
      <c r="X94" s="136">
        <f>COMPROMISOS_2025[[#This Row],[total_ordenes]]</f>
        <v>278631</v>
      </c>
      <c r="Y94" t="str" cm="1">
        <f t="array" aca="1" ref="Y94" ca="1">IFERROR(_xlfn.XLOOKUP(COMPROMISOS_2025[[#This Row],[concatenado]],PAA[[#All],[RCP-RUBRO]],PAA[[#All],[Actividad3]],VLOOKUP(COMPROMISOS_2025[[#This Row],[Indicador Principal]],$AC$2:$AD$17,2,0),0),"")</f>
        <v/>
      </c>
    </row>
    <row r="95" spans="1:25" hidden="1" x14ac:dyDescent="0.25">
      <c r="A95">
        <v>32</v>
      </c>
      <c r="B95" t="s">
        <v>2530</v>
      </c>
      <c r="C95" t="s">
        <v>883</v>
      </c>
      <c r="D95" t="s">
        <v>2531</v>
      </c>
      <c r="F95">
        <v>16</v>
      </c>
      <c r="G95">
        <v>19</v>
      </c>
      <c r="H95" t="s">
        <v>84</v>
      </c>
      <c r="I95" t="s">
        <v>1745</v>
      </c>
      <c r="J95">
        <v>130000</v>
      </c>
      <c r="K95">
        <v>2025</v>
      </c>
      <c r="L95">
        <v>35076964</v>
      </c>
      <c r="M95" t="s">
        <v>2532</v>
      </c>
      <c r="N95" t="s">
        <v>1688</v>
      </c>
      <c r="O95" t="s">
        <v>1686</v>
      </c>
      <c r="P95">
        <v>0</v>
      </c>
      <c r="Q95">
        <v>130000</v>
      </c>
      <c r="R95">
        <v>0</v>
      </c>
      <c r="S95">
        <v>0</v>
      </c>
      <c r="T95" t="str">
        <f t="shared" si="2"/>
        <v>321.00.0000.00.0-205616.2.1.1.01.03.110.</v>
      </c>
      <c r="U95" t="e" cm="1">
        <f t="array" aca="1" ref="U95" ca="1">+IF(COMPROMISOS_2025[[#This Row],[P]]="20","41080111",_xlfn.XLOOKUP(COMPROMISOS_2025[[#This Row],[concatenado]],PAA[[#All],[RCP-RUBRO]],PAA[[#All],[INDICADOR]],"",0))</f>
        <v>#NAME?</v>
      </c>
      <c r="V95" s="144" t="str">
        <f t="shared" si="3"/>
        <v>00</v>
      </c>
      <c r="W95" s="136">
        <f>+COMPROMISOS_2025[[#This Row],[valor_total]]-COMPROMISOS_2025[[#This Row],[total_cancelado]]</f>
        <v>130000</v>
      </c>
      <c r="X95" s="136">
        <f>COMPROMISOS_2025[[#This Row],[total_ordenes]]</f>
        <v>130000</v>
      </c>
      <c r="Y95" t="str" cm="1">
        <f t="array" aca="1" ref="Y95" ca="1">IFERROR(_xlfn.XLOOKUP(COMPROMISOS_2025[[#This Row],[concatenado]],PAA[[#All],[RCP-RUBRO]],PAA[[#All],[Actividad3]],VLOOKUP(COMPROMISOS_2025[[#This Row],[Indicador Principal]],$AC$2:$AD$17,2,0),0),"")</f>
        <v/>
      </c>
    </row>
    <row r="96" spans="1:25" hidden="1" x14ac:dyDescent="0.25">
      <c r="A96">
        <v>33</v>
      </c>
      <c r="B96" t="s">
        <v>2530</v>
      </c>
      <c r="C96" t="s">
        <v>883</v>
      </c>
      <c r="D96" t="s">
        <v>2531</v>
      </c>
      <c r="F96">
        <v>16</v>
      </c>
      <c r="G96">
        <v>19</v>
      </c>
      <c r="H96" t="s">
        <v>84</v>
      </c>
      <c r="I96" t="s">
        <v>1745</v>
      </c>
      <c r="J96">
        <v>128726</v>
      </c>
      <c r="K96">
        <v>2025</v>
      </c>
      <c r="L96">
        <v>154385741</v>
      </c>
      <c r="M96" t="s">
        <v>2533</v>
      </c>
      <c r="N96" t="s">
        <v>1688</v>
      </c>
      <c r="O96" t="s">
        <v>1686</v>
      </c>
      <c r="P96">
        <v>0</v>
      </c>
      <c r="Q96">
        <v>128726</v>
      </c>
      <c r="R96">
        <v>0</v>
      </c>
      <c r="S96">
        <v>0</v>
      </c>
      <c r="T96" t="str">
        <f t="shared" si="2"/>
        <v>331.00.0000.00.0-205616.2.1.1.01.03.110.</v>
      </c>
      <c r="U96" t="e" cm="1">
        <f t="array" aca="1" ref="U96" ca="1">+IF(COMPROMISOS_2025[[#This Row],[P]]="20","41080111",_xlfn.XLOOKUP(COMPROMISOS_2025[[#This Row],[concatenado]],PAA[[#All],[RCP-RUBRO]],PAA[[#All],[INDICADOR]],"",0))</f>
        <v>#NAME?</v>
      </c>
      <c r="V96" s="144" t="str">
        <f t="shared" si="3"/>
        <v>00</v>
      </c>
      <c r="W96" s="136">
        <f>+COMPROMISOS_2025[[#This Row],[valor_total]]-COMPROMISOS_2025[[#This Row],[total_cancelado]]</f>
        <v>128726</v>
      </c>
      <c r="X96" s="136">
        <f>COMPROMISOS_2025[[#This Row],[total_ordenes]]</f>
        <v>128726</v>
      </c>
      <c r="Y96" t="str" cm="1">
        <f t="array" aca="1" ref="Y96" ca="1">IFERROR(_xlfn.XLOOKUP(COMPROMISOS_2025[[#This Row],[concatenado]],PAA[[#All],[RCP-RUBRO]],PAA[[#All],[Actividad3]],VLOOKUP(COMPROMISOS_2025[[#This Row],[Indicador Principal]],$AC$2:$AD$17,2,0),0),"")</f>
        <v/>
      </c>
    </row>
    <row r="97" spans="1:25" hidden="1" x14ac:dyDescent="0.25">
      <c r="A97">
        <v>34</v>
      </c>
      <c r="B97" t="s">
        <v>2530</v>
      </c>
      <c r="C97" t="s">
        <v>883</v>
      </c>
      <c r="D97" t="s">
        <v>2531</v>
      </c>
      <c r="F97">
        <v>16</v>
      </c>
      <c r="G97">
        <v>19</v>
      </c>
      <c r="H97" t="s">
        <v>84</v>
      </c>
      <c r="I97" t="s">
        <v>1745</v>
      </c>
      <c r="J97">
        <v>130000</v>
      </c>
      <c r="K97">
        <v>2025</v>
      </c>
      <c r="L97">
        <v>322447097</v>
      </c>
      <c r="M97" t="s">
        <v>2534</v>
      </c>
      <c r="N97" t="s">
        <v>1688</v>
      </c>
      <c r="O97" t="s">
        <v>1686</v>
      </c>
      <c r="P97">
        <v>0</v>
      </c>
      <c r="Q97">
        <v>130000</v>
      </c>
      <c r="R97">
        <v>0</v>
      </c>
      <c r="S97">
        <v>0</v>
      </c>
      <c r="T97" t="str">
        <f t="shared" si="2"/>
        <v>341.00.0000.00.0-205616.2.1.1.01.03.110.</v>
      </c>
      <c r="U97" t="e" cm="1">
        <f t="array" aca="1" ref="U97" ca="1">+IF(COMPROMISOS_2025[[#This Row],[P]]="20","41080111",_xlfn.XLOOKUP(COMPROMISOS_2025[[#This Row],[concatenado]],PAA[[#All],[RCP-RUBRO]],PAA[[#All],[INDICADOR]],"",0))</f>
        <v>#NAME?</v>
      </c>
      <c r="V97" s="144" t="str">
        <f t="shared" si="3"/>
        <v>00</v>
      </c>
      <c r="W97" s="136">
        <f>+COMPROMISOS_2025[[#This Row],[valor_total]]-COMPROMISOS_2025[[#This Row],[total_cancelado]]</f>
        <v>130000</v>
      </c>
      <c r="X97" s="136">
        <f>COMPROMISOS_2025[[#This Row],[total_ordenes]]</f>
        <v>130000</v>
      </c>
      <c r="Y97" t="str" cm="1">
        <f t="array" aca="1" ref="Y97" ca="1">IFERROR(_xlfn.XLOOKUP(COMPROMISOS_2025[[#This Row],[concatenado]],PAA[[#All],[RCP-RUBRO]],PAA[[#All],[Actividad3]],VLOOKUP(COMPROMISOS_2025[[#This Row],[Indicador Principal]],$AC$2:$AD$17,2,0),0),"")</f>
        <v/>
      </c>
    </row>
    <row r="98" spans="1:25" hidden="1" x14ac:dyDescent="0.25">
      <c r="A98">
        <v>35</v>
      </c>
      <c r="B98" t="s">
        <v>2530</v>
      </c>
      <c r="C98" t="s">
        <v>883</v>
      </c>
      <c r="D98" t="s">
        <v>2531</v>
      </c>
      <c r="F98">
        <v>16</v>
      </c>
      <c r="G98">
        <v>19</v>
      </c>
      <c r="H98" t="s">
        <v>84</v>
      </c>
      <c r="I98" t="s">
        <v>1745</v>
      </c>
      <c r="J98">
        <v>49900</v>
      </c>
      <c r="K98">
        <v>2025</v>
      </c>
      <c r="L98">
        <v>396197799</v>
      </c>
      <c r="M98" t="s">
        <v>2535</v>
      </c>
      <c r="N98" t="s">
        <v>1688</v>
      </c>
      <c r="O98" t="s">
        <v>1686</v>
      </c>
      <c r="P98">
        <v>0</v>
      </c>
      <c r="Q98">
        <v>49900</v>
      </c>
      <c r="R98">
        <v>0</v>
      </c>
      <c r="S98">
        <v>0</v>
      </c>
      <c r="T98" t="str">
        <f t="shared" si="2"/>
        <v>351.00.0000.00.0-205616.2.1.1.01.03.110.</v>
      </c>
      <c r="U98" t="e" cm="1">
        <f t="array" aca="1" ref="U98" ca="1">+IF(COMPROMISOS_2025[[#This Row],[P]]="20","41080111",_xlfn.XLOOKUP(COMPROMISOS_2025[[#This Row],[concatenado]],PAA[[#All],[RCP-RUBRO]],PAA[[#All],[INDICADOR]],"",0))</f>
        <v>#NAME?</v>
      </c>
      <c r="V98" s="144" t="str">
        <f t="shared" si="3"/>
        <v>00</v>
      </c>
      <c r="W98" s="136">
        <f>+COMPROMISOS_2025[[#This Row],[valor_total]]-COMPROMISOS_2025[[#This Row],[total_cancelado]]</f>
        <v>49900</v>
      </c>
      <c r="X98" s="136">
        <f>COMPROMISOS_2025[[#This Row],[total_ordenes]]</f>
        <v>49900</v>
      </c>
      <c r="Y98" t="str" cm="1">
        <f t="array" aca="1" ref="Y98" ca="1">IFERROR(_xlfn.XLOOKUP(COMPROMISOS_2025[[#This Row],[concatenado]],PAA[[#All],[RCP-RUBRO]],PAA[[#All],[Actividad3]],VLOOKUP(COMPROMISOS_2025[[#This Row],[Indicador Principal]],$AC$2:$AD$17,2,0),0),"")</f>
        <v/>
      </c>
    </row>
    <row r="99" spans="1:25" hidden="1" x14ac:dyDescent="0.25">
      <c r="A99">
        <v>36</v>
      </c>
      <c r="B99" t="s">
        <v>2530</v>
      </c>
      <c r="C99" t="s">
        <v>883</v>
      </c>
      <c r="D99" t="s">
        <v>2531</v>
      </c>
      <c r="F99">
        <v>16</v>
      </c>
      <c r="G99">
        <v>19</v>
      </c>
      <c r="H99" t="s">
        <v>84</v>
      </c>
      <c r="I99" t="s">
        <v>1745</v>
      </c>
      <c r="J99">
        <v>130000</v>
      </c>
      <c r="K99">
        <v>2025</v>
      </c>
      <c r="L99">
        <v>435195243</v>
      </c>
      <c r="M99" t="s">
        <v>2536</v>
      </c>
      <c r="N99" t="s">
        <v>1688</v>
      </c>
      <c r="O99" t="s">
        <v>1686</v>
      </c>
      <c r="P99">
        <v>0</v>
      </c>
      <c r="Q99">
        <v>130000</v>
      </c>
      <c r="R99">
        <v>0</v>
      </c>
      <c r="S99">
        <v>0</v>
      </c>
      <c r="T99" t="str">
        <f t="shared" si="2"/>
        <v>361.00.0000.00.0-205616.2.1.1.01.03.110.</v>
      </c>
      <c r="U99" t="e" cm="1">
        <f t="array" aca="1" ref="U99" ca="1">+IF(COMPROMISOS_2025[[#This Row],[P]]="20","41080111",_xlfn.XLOOKUP(COMPROMISOS_2025[[#This Row],[concatenado]],PAA[[#All],[RCP-RUBRO]],PAA[[#All],[INDICADOR]],"",0))</f>
        <v>#NAME?</v>
      </c>
      <c r="V99" s="144" t="str">
        <f t="shared" si="3"/>
        <v>00</v>
      </c>
      <c r="W99" s="136">
        <f>+COMPROMISOS_2025[[#This Row],[valor_total]]-COMPROMISOS_2025[[#This Row],[total_cancelado]]</f>
        <v>130000</v>
      </c>
      <c r="X99" s="136">
        <f>COMPROMISOS_2025[[#This Row],[total_ordenes]]</f>
        <v>130000</v>
      </c>
      <c r="Y99" t="str" cm="1">
        <f t="array" aca="1" ref="Y99" ca="1">IFERROR(_xlfn.XLOOKUP(COMPROMISOS_2025[[#This Row],[concatenado]],PAA[[#All],[RCP-RUBRO]],PAA[[#All],[Actividad3]],VLOOKUP(COMPROMISOS_2025[[#This Row],[Indicador Principal]],$AC$2:$AD$17,2,0),0),"")</f>
        <v/>
      </c>
    </row>
    <row r="100" spans="1:25" hidden="1" x14ac:dyDescent="0.25">
      <c r="A100">
        <v>37</v>
      </c>
      <c r="B100" t="s">
        <v>2530</v>
      </c>
      <c r="C100" t="s">
        <v>883</v>
      </c>
      <c r="D100" t="s">
        <v>2531</v>
      </c>
      <c r="F100">
        <v>16</v>
      </c>
      <c r="G100">
        <v>19</v>
      </c>
      <c r="H100" t="s">
        <v>84</v>
      </c>
      <c r="I100" t="s">
        <v>1745</v>
      </c>
      <c r="J100">
        <v>130000</v>
      </c>
      <c r="K100">
        <v>2025</v>
      </c>
      <c r="L100">
        <v>438166141</v>
      </c>
      <c r="M100" t="s">
        <v>2537</v>
      </c>
      <c r="N100" t="s">
        <v>1688</v>
      </c>
      <c r="O100" t="s">
        <v>1686</v>
      </c>
      <c r="P100">
        <v>0</v>
      </c>
      <c r="Q100">
        <v>130000</v>
      </c>
      <c r="R100">
        <v>0</v>
      </c>
      <c r="S100">
        <v>0</v>
      </c>
      <c r="T100" t="str">
        <f t="shared" si="2"/>
        <v>371.00.0000.00.0-205616.2.1.1.01.03.110.</v>
      </c>
      <c r="U100" t="e" cm="1">
        <f t="array" aca="1" ref="U100" ca="1">+IF(COMPROMISOS_2025[[#This Row],[P]]="20","41080111",_xlfn.XLOOKUP(COMPROMISOS_2025[[#This Row],[concatenado]],PAA[[#All],[RCP-RUBRO]],PAA[[#All],[INDICADOR]],"",0))</f>
        <v>#NAME?</v>
      </c>
      <c r="V100" s="144" t="str">
        <f t="shared" si="3"/>
        <v>00</v>
      </c>
      <c r="W100" s="136">
        <f>+COMPROMISOS_2025[[#This Row],[valor_total]]-COMPROMISOS_2025[[#This Row],[total_cancelado]]</f>
        <v>130000</v>
      </c>
      <c r="X100" s="136">
        <f>COMPROMISOS_2025[[#This Row],[total_ordenes]]</f>
        <v>130000</v>
      </c>
      <c r="Y100" t="str" cm="1">
        <f t="array" aca="1" ref="Y100" ca="1">IFERROR(_xlfn.XLOOKUP(COMPROMISOS_2025[[#This Row],[concatenado]],PAA[[#All],[RCP-RUBRO]],PAA[[#All],[Actividad3]],VLOOKUP(COMPROMISOS_2025[[#This Row],[Indicador Principal]],$AC$2:$AD$17,2,0),0),"")</f>
        <v/>
      </c>
    </row>
    <row r="101" spans="1:25" hidden="1" x14ac:dyDescent="0.25">
      <c r="A101">
        <v>38</v>
      </c>
      <c r="B101" t="s">
        <v>2530</v>
      </c>
      <c r="C101" t="s">
        <v>883</v>
      </c>
      <c r="D101" t="s">
        <v>2531</v>
      </c>
      <c r="F101">
        <v>16</v>
      </c>
      <c r="G101">
        <v>19</v>
      </c>
      <c r="H101" t="s">
        <v>84</v>
      </c>
      <c r="I101" t="s">
        <v>1745</v>
      </c>
      <c r="J101">
        <v>130000</v>
      </c>
      <c r="K101">
        <v>2025</v>
      </c>
      <c r="L101">
        <v>518097551</v>
      </c>
      <c r="M101" t="s">
        <v>2538</v>
      </c>
      <c r="N101" t="s">
        <v>1688</v>
      </c>
      <c r="O101" t="s">
        <v>1686</v>
      </c>
      <c r="P101">
        <v>0</v>
      </c>
      <c r="Q101">
        <v>130000</v>
      </c>
      <c r="R101">
        <v>0</v>
      </c>
      <c r="S101">
        <v>0</v>
      </c>
      <c r="T101" t="str">
        <f t="shared" si="2"/>
        <v>381.00.0000.00.0-205616.2.1.1.01.03.110.</v>
      </c>
      <c r="U101" t="e" cm="1">
        <f t="array" aca="1" ref="U101" ca="1">+IF(COMPROMISOS_2025[[#This Row],[P]]="20","41080111",_xlfn.XLOOKUP(COMPROMISOS_2025[[#This Row],[concatenado]],PAA[[#All],[RCP-RUBRO]],PAA[[#All],[INDICADOR]],"",0))</f>
        <v>#NAME?</v>
      </c>
      <c r="V101" s="144" t="str">
        <f t="shared" si="3"/>
        <v>00</v>
      </c>
      <c r="W101" s="136">
        <f>+COMPROMISOS_2025[[#This Row],[valor_total]]-COMPROMISOS_2025[[#This Row],[total_cancelado]]</f>
        <v>130000</v>
      </c>
      <c r="X101" s="136">
        <f>COMPROMISOS_2025[[#This Row],[total_ordenes]]</f>
        <v>130000</v>
      </c>
      <c r="Y101" t="str" cm="1">
        <f t="array" aca="1" ref="Y101" ca="1">IFERROR(_xlfn.XLOOKUP(COMPROMISOS_2025[[#This Row],[concatenado]],PAA[[#All],[RCP-RUBRO]],PAA[[#All],[Actividad3]],VLOOKUP(COMPROMISOS_2025[[#This Row],[Indicador Principal]],$AC$2:$AD$17,2,0),0),"")</f>
        <v/>
      </c>
    </row>
    <row r="102" spans="1:25" hidden="1" x14ac:dyDescent="0.25">
      <c r="A102">
        <v>39</v>
      </c>
      <c r="B102" t="s">
        <v>2530</v>
      </c>
      <c r="C102" t="s">
        <v>883</v>
      </c>
      <c r="D102" t="s">
        <v>2531</v>
      </c>
      <c r="F102">
        <v>16</v>
      </c>
      <c r="G102">
        <v>19</v>
      </c>
      <c r="H102" t="s">
        <v>84</v>
      </c>
      <c r="I102" t="s">
        <v>1745</v>
      </c>
      <c r="J102">
        <v>130000</v>
      </c>
      <c r="K102">
        <v>2025</v>
      </c>
      <c r="L102">
        <v>712654768</v>
      </c>
      <c r="M102" t="s">
        <v>2539</v>
      </c>
      <c r="N102" t="s">
        <v>1688</v>
      </c>
      <c r="O102" t="s">
        <v>1686</v>
      </c>
      <c r="P102">
        <v>0</v>
      </c>
      <c r="Q102">
        <v>130000</v>
      </c>
      <c r="R102">
        <v>0</v>
      </c>
      <c r="S102">
        <v>0</v>
      </c>
      <c r="T102" t="str">
        <f t="shared" si="2"/>
        <v>391.00.0000.00.0-205616.2.1.1.01.03.110.</v>
      </c>
      <c r="U102" t="e" cm="1">
        <f t="array" aca="1" ref="U102" ca="1">+IF(COMPROMISOS_2025[[#This Row],[P]]="20","41080111",_xlfn.XLOOKUP(COMPROMISOS_2025[[#This Row],[concatenado]],PAA[[#All],[RCP-RUBRO]],PAA[[#All],[INDICADOR]],"",0))</f>
        <v>#NAME?</v>
      </c>
      <c r="V102" s="144" t="str">
        <f t="shared" si="3"/>
        <v>00</v>
      </c>
      <c r="W102" s="136">
        <f>+COMPROMISOS_2025[[#This Row],[valor_total]]-COMPROMISOS_2025[[#This Row],[total_cancelado]]</f>
        <v>130000</v>
      </c>
      <c r="X102" s="136">
        <f>COMPROMISOS_2025[[#This Row],[total_ordenes]]</f>
        <v>130000</v>
      </c>
      <c r="Y102" t="str" cm="1">
        <f t="array" aca="1" ref="Y102" ca="1">IFERROR(_xlfn.XLOOKUP(COMPROMISOS_2025[[#This Row],[concatenado]],PAA[[#All],[RCP-RUBRO]],PAA[[#All],[Actividad3]],VLOOKUP(COMPROMISOS_2025[[#This Row],[Indicador Principal]],$AC$2:$AD$17,2,0),0),"")</f>
        <v/>
      </c>
    </row>
    <row r="103" spans="1:25" hidden="1" x14ac:dyDescent="0.25">
      <c r="A103">
        <v>40</v>
      </c>
      <c r="B103" t="s">
        <v>2530</v>
      </c>
      <c r="C103" t="s">
        <v>883</v>
      </c>
      <c r="D103" t="s">
        <v>2531</v>
      </c>
      <c r="F103">
        <v>16</v>
      </c>
      <c r="G103">
        <v>19</v>
      </c>
      <c r="H103" t="s">
        <v>84</v>
      </c>
      <c r="I103" t="s">
        <v>1745</v>
      </c>
      <c r="J103">
        <v>130000</v>
      </c>
      <c r="K103">
        <v>2025</v>
      </c>
      <c r="L103">
        <v>912992841</v>
      </c>
      <c r="M103" t="s">
        <v>2540</v>
      </c>
      <c r="N103" t="s">
        <v>1688</v>
      </c>
      <c r="O103" t="s">
        <v>1686</v>
      </c>
      <c r="P103">
        <v>0</v>
      </c>
      <c r="Q103">
        <v>130000</v>
      </c>
      <c r="R103">
        <v>0</v>
      </c>
      <c r="S103">
        <v>0</v>
      </c>
      <c r="T103" t="str">
        <f t="shared" si="2"/>
        <v>401.00.0000.00.0-205616.2.1.1.01.03.110.</v>
      </c>
      <c r="U103" t="e" cm="1">
        <f t="array" aca="1" ref="U103" ca="1">+IF(COMPROMISOS_2025[[#This Row],[P]]="20","41080111",_xlfn.XLOOKUP(COMPROMISOS_2025[[#This Row],[concatenado]],PAA[[#All],[RCP-RUBRO]],PAA[[#All],[INDICADOR]],"",0))</f>
        <v>#NAME?</v>
      </c>
      <c r="V103" s="144" t="str">
        <f t="shared" si="3"/>
        <v>00</v>
      </c>
      <c r="W103" s="136">
        <f>+COMPROMISOS_2025[[#This Row],[valor_total]]-COMPROMISOS_2025[[#This Row],[total_cancelado]]</f>
        <v>130000</v>
      </c>
      <c r="X103" s="136">
        <f>COMPROMISOS_2025[[#This Row],[total_ordenes]]</f>
        <v>130000</v>
      </c>
      <c r="Y103" t="str" cm="1">
        <f t="array" aca="1" ref="Y103" ca="1">IFERROR(_xlfn.XLOOKUP(COMPROMISOS_2025[[#This Row],[concatenado]],PAA[[#All],[RCP-RUBRO]],PAA[[#All],[Actividad3]],VLOOKUP(COMPROMISOS_2025[[#This Row],[Indicador Principal]],$AC$2:$AD$17,2,0),0),"")</f>
        <v/>
      </c>
    </row>
    <row r="104" spans="1:25" hidden="1" x14ac:dyDescent="0.25">
      <c r="A104">
        <v>41</v>
      </c>
      <c r="B104" t="s">
        <v>2530</v>
      </c>
      <c r="C104" t="s">
        <v>883</v>
      </c>
      <c r="D104" t="s">
        <v>2531</v>
      </c>
      <c r="F104">
        <v>16</v>
      </c>
      <c r="G104">
        <v>19</v>
      </c>
      <c r="H104" t="s">
        <v>84</v>
      </c>
      <c r="I104" t="s">
        <v>1745</v>
      </c>
      <c r="J104">
        <v>130000</v>
      </c>
      <c r="K104">
        <v>2025</v>
      </c>
      <c r="L104">
        <v>1017141155</v>
      </c>
      <c r="M104" t="s">
        <v>2541</v>
      </c>
      <c r="N104" t="s">
        <v>1688</v>
      </c>
      <c r="O104" t="s">
        <v>1686</v>
      </c>
      <c r="P104">
        <v>0</v>
      </c>
      <c r="Q104">
        <v>130000</v>
      </c>
      <c r="R104">
        <v>0</v>
      </c>
      <c r="S104">
        <v>0</v>
      </c>
      <c r="T104" t="str">
        <f t="shared" si="2"/>
        <v>411.00.0000.00.0-205616.2.1.1.01.03.110.</v>
      </c>
      <c r="U104" t="e" cm="1">
        <f t="array" aca="1" ref="U104" ca="1">+IF(COMPROMISOS_2025[[#This Row],[P]]="20","41080111",_xlfn.XLOOKUP(COMPROMISOS_2025[[#This Row],[concatenado]],PAA[[#All],[RCP-RUBRO]],PAA[[#All],[INDICADOR]],"",0))</f>
        <v>#NAME?</v>
      </c>
      <c r="V104" s="144" t="str">
        <f t="shared" si="3"/>
        <v>00</v>
      </c>
      <c r="W104" s="136">
        <f>+COMPROMISOS_2025[[#This Row],[valor_total]]-COMPROMISOS_2025[[#This Row],[total_cancelado]]</f>
        <v>130000</v>
      </c>
      <c r="X104" s="136">
        <f>COMPROMISOS_2025[[#This Row],[total_ordenes]]</f>
        <v>130000</v>
      </c>
      <c r="Y104" t="str" cm="1">
        <f t="array" aca="1" ref="Y104" ca="1">IFERROR(_xlfn.XLOOKUP(COMPROMISOS_2025[[#This Row],[concatenado]],PAA[[#All],[RCP-RUBRO]],PAA[[#All],[Actividad3]],VLOOKUP(COMPROMISOS_2025[[#This Row],[Indicador Principal]],$AC$2:$AD$17,2,0),0),"")</f>
        <v/>
      </c>
    </row>
    <row r="105" spans="1:25" hidden="1" x14ac:dyDescent="0.25">
      <c r="A105">
        <v>42</v>
      </c>
      <c r="B105" t="s">
        <v>2530</v>
      </c>
      <c r="C105" t="s">
        <v>883</v>
      </c>
      <c r="D105" t="s">
        <v>2542</v>
      </c>
      <c r="F105">
        <v>16</v>
      </c>
      <c r="G105">
        <v>19</v>
      </c>
      <c r="H105" t="s">
        <v>84</v>
      </c>
      <c r="I105" t="s">
        <v>1745</v>
      </c>
      <c r="J105">
        <v>270000</v>
      </c>
      <c r="K105">
        <v>2025</v>
      </c>
      <c r="L105">
        <v>439103353</v>
      </c>
      <c r="M105" t="s">
        <v>2543</v>
      </c>
      <c r="N105" t="s">
        <v>1688</v>
      </c>
      <c r="O105" t="s">
        <v>1686</v>
      </c>
      <c r="P105">
        <v>0</v>
      </c>
      <c r="Q105">
        <v>270000</v>
      </c>
      <c r="R105">
        <v>0</v>
      </c>
      <c r="S105">
        <v>0</v>
      </c>
      <c r="T105" t="str">
        <f t="shared" si="2"/>
        <v>421.00.0000.00.0-205616.2.1.1.01.03.110.</v>
      </c>
      <c r="U105" t="e" cm="1">
        <f t="array" aca="1" ref="U105" ca="1">+IF(COMPROMISOS_2025[[#This Row],[P]]="20","41080111",_xlfn.XLOOKUP(COMPROMISOS_2025[[#This Row],[concatenado]],PAA[[#All],[RCP-RUBRO]],PAA[[#All],[INDICADOR]],"",0))</f>
        <v>#NAME?</v>
      </c>
      <c r="V105" s="144" t="str">
        <f t="shared" si="3"/>
        <v>00</v>
      </c>
      <c r="W105" s="136">
        <f>+COMPROMISOS_2025[[#This Row],[valor_total]]-COMPROMISOS_2025[[#This Row],[total_cancelado]]</f>
        <v>270000</v>
      </c>
      <c r="X105" s="136">
        <f>COMPROMISOS_2025[[#This Row],[total_ordenes]]</f>
        <v>270000</v>
      </c>
      <c r="Y105" t="str" cm="1">
        <f t="array" aca="1" ref="Y105" ca="1">IFERROR(_xlfn.XLOOKUP(COMPROMISOS_2025[[#This Row],[concatenado]],PAA[[#All],[RCP-RUBRO]],PAA[[#All],[Actividad3]],VLOOKUP(COMPROMISOS_2025[[#This Row],[Indicador Principal]],$AC$2:$AD$17,2,0),0),"")</f>
        <v/>
      </c>
    </row>
    <row r="106" spans="1:25" hidden="1" x14ac:dyDescent="0.25">
      <c r="A106">
        <v>43</v>
      </c>
      <c r="B106" t="s">
        <v>2530</v>
      </c>
      <c r="C106" t="s">
        <v>883</v>
      </c>
      <c r="D106" t="s">
        <v>2542</v>
      </c>
      <c r="F106">
        <v>16</v>
      </c>
      <c r="G106">
        <v>19</v>
      </c>
      <c r="H106" t="s">
        <v>84</v>
      </c>
      <c r="I106" t="s">
        <v>1745</v>
      </c>
      <c r="J106">
        <v>325000</v>
      </c>
      <c r="K106">
        <v>2025</v>
      </c>
      <c r="L106">
        <v>713658358</v>
      </c>
      <c r="M106" t="s">
        <v>2544</v>
      </c>
      <c r="N106" t="s">
        <v>1688</v>
      </c>
      <c r="O106" t="s">
        <v>1686</v>
      </c>
      <c r="P106">
        <v>0</v>
      </c>
      <c r="Q106">
        <v>325000</v>
      </c>
      <c r="R106">
        <v>0</v>
      </c>
      <c r="S106">
        <v>0</v>
      </c>
      <c r="T106" t="str">
        <f t="shared" si="2"/>
        <v>431.00.0000.00.0-205616.2.1.1.01.03.110.</v>
      </c>
      <c r="U106" t="e" cm="1">
        <f t="array" aca="1" ref="U106" ca="1">+IF(COMPROMISOS_2025[[#This Row],[P]]="20","41080111",_xlfn.XLOOKUP(COMPROMISOS_2025[[#This Row],[concatenado]],PAA[[#All],[RCP-RUBRO]],PAA[[#All],[INDICADOR]],"",0))</f>
        <v>#NAME?</v>
      </c>
      <c r="V106" s="144" t="str">
        <f t="shared" si="3"/>
        <v>00</v>
      </c>
      <c r="W106" s="136">
        <f>+COMPROMISOS_2025[[#This Row],[valor_total]]-COMPROMISOS_2025[[#This Row],[total_cancelado]]</f>
        <v>325000</v>
      </c>
      <c r="X106" s="136">
        <f>COMPROMISOS_2025[[#This Row],[total_ordenes]]</f>
        <v>325000</v>
      </c>
      <c r="Y106" t="str" cm="1">
        <f t="array" aca="1" ref="Y106" ca="1">IFERROR(_xlfn.XLOOKUP(COMPROMISOS_2025[[#This Row],[concatenado]],PAA[[#All],[RCP-RUBRO]],PAA[[#All],[Actividad3]],VLOOKUP(COMPROMISOS_2025[[#This Row],[Indicador Principal]],$AC$2:$AD$17,2,0),0),"")</f>
        <v/>
      </c>
    </row>
    <row r="107" spans="1:25" hidden="1" x14ac:dyDescent="0.25">
      <c r="A107">
        <v>44</v>
      </c>
      <c r="B107" t="s">
        <v>2530</v>
      </c>
      <c r="C107" t="s">
        <v>883</v>
      </c>
      <c r="D107" t="s">
        <v>2542</v>
      </c>
      <c r="F107">
        <v>16</v>
      </c>
      <c r="G107">
        <v>19</v>
      </c>
      <c r="H107" t="s">
        <v>84</v>
      </c>
      <c r="I107" t="s">
        <v>1745</v>
      </c>
      <c r="J107">
        <v>325000</v>
      </c>
      <c r="K107">
        <v>2025</v>
      </c>
      <c r="L107">
        <v>71757610</v>
      </c>
      <c r="M107" t="s">
        <v>2545</v>
      </c>
      <c r="N107" t="s">
        <v>1688</v>
      </c>
      <c r="O107" t="s">
        <v>1686</v>
      </c>
      <c r="P107">
        <v>0</v>
      </c>
      <c r="Q107">
        <v>325000</v>
      </c>
      <c r="R107">
        <v>0</v>
      </c>
      <c r="S107">
        <v>0</v>
      </c>
      <c r="T107" t="str">
        <f t="shared" si="2"/>
        <v>441.00.0000.00.0-205616.2.1.1.01.03.110.</v>
      </c>
      <c r="U107" t="e" cm="1">
        <f t="array" aca="1" ref="U107" ca="1">+IF(COMPROMISOS_2025[[#This Row],[P]]="20","41080111",_xlfn.XLOOKUP(COMPROMISOS_2025[[#This Row],[concatenado]],PAA[[#All],[RCP-RUBRO]],PAA[[#All],[INDICADOR]],"",0))</f>
        <v>#NAME?</v>
      </c>
      <c r="V107" s="144" t="str">
        <f t="shared" si="3"/>
        <v>00</v>
      </c>
      <c r="W107" s="136">
        <f>+COMPROMISOS_2025[[#This Row],[valor_total]]-COMPROMISOS_2025[[#This Row],[total_cancelado]]</f>
        <v>325000</v>
      </c>
      <c r="X107" s="136">
        <f>COMPROMISOS_2025[[#This Row],[total_ordenes]]</f>
        <v>325000</v>
      </c>
      <c r="Y107" t="str" cm="1">
        <f t="array" aca="1" ref="Y107" ca="1">IFERROR(_xlfn.XLOOKUP(COMPROMISOS_2025[[#This Row],[concatenado]],PAA[[#All],[RCP-RUBRO]],PAA[[#All],[Actividad3]],VLOOKUP(COMPROMISOS_2025[[#This Row],[Indicador Principal]],$AC$2:$AD$17,2,0),0),"")</f>
        <v/>
      </c>
    </row>
    <row r="108" spans="1:25" hidden="1" x14ac:dyDescent="0.25">
      <c r="A108">
        <v>190</v>
      </c>
      <c r="B108" t="s">
        <v>2546</v>
      </c>
      <c r="C108" t="s">
        <v>883</v>
      </c>
      <c r="D108" t="s">
        <v>2547</v>
      </c>
      <c r="F108">
        <v>336</v>
      </c>
      <c r="G108">
        <v>19</v>
      </c>
      <c r="H108" t="s">
        <v>84</v>
      </c>
      <c r="I108" t="s">
        <v>1745</v>
      </c>
      <c r="J108">
        <v>142350</v>
      </c>
      <c r="K108">
        <v>2025</v>
      </c>
      <c r="L108">
        <v>35076964</v>
      </c>
      <c r="M108" t="s">
        <v>2532</v>
      </c>
      <c r="N108" t="s">
        <v>1688</v>
      </c>
      <c r="O108" t="s">
        <v>1686</v>
      </c>
      <c r="P108">
        <v>0</v>
      </c>
      <c r="Q108">
        <v>142350</v>
      </c>
      <c r="R108">
        <v>0</v>
      </c>
      <c r="S108">
        <v>0</v>
      </c>
      <c r="T108" t="str">
        <f t="shared" si="2"/>
        <v>1901.00.0000.00.0-205616.2.1.1.01.03.110.</v>
      </c>
      <c r="U108" t="e" cm="1">
        <f t="array" aca="1" ref="U108" ca="1">+IF(COMPROMISOS_2025[[#This Row],[P]]="20","41080111",_xlfn.XLOOKUP(COMPROMISOS_2025[[#This Row],[concatenado]],PAA[[#All],[RCP-RUBRO]],PAA[[#All],[INDICADOR]],"",0))</f>
        <v>#NAME?</v>
      </c>
      <c r="V108" s="144" t="str">
        <f t="shared" si="3"/>
        <v>00</v>
      </c>
      <c r="W108" s="136">
        <f>+COMPROMISOS_2025[[#This Row],[valor_total]]-COMPROMISOS_2025[[#This Row],[total_cancelado]]</f>
        <v>142350</v>
      </c>
      <c r="X108" s="136">
        <f>COMPROMISOS_2025[[#This Row],[total_ordenes]]</f>
        <v>142350</v>
      </c>
      <c r="Y108" t="str" cm="1">
        <f t="array" aca="1" ref="Y108" ca="1">IFERROR(_xlfn.XLOOKUP(COMPROMISOS_2025[[#This Row],[concatenado]],PAA[[#All],[RCP-RUBRO]],PAA[[#All],[Actividad3]],VLOOKUP(COMPROMISOS_2025[[#This Row],[Indicador Principal]],$AC$2:$AD$17,2,0),0),"")</f>
        <v/>
      </c>
    </row>
    <row r="109" spans="1:25" hidden="1" x14ac:dyDescent="0.25">
      <c r="A109">
        <v>191</v>
      </c>
      <c r="B109" t="s">
        <v>2546</v>
      </c>
      <c r="C109" t="s">
        <v>883</v>
      </c>
      <c r="D109" t="s">
        <v>2547</v>
      </c>
      <c r="F109">
        <v>336</v>
      </c>
      <c r="G109">
        <v>19</v>
      </c>
      <c r="H109" t="s">
        <v>84</v>
      </c>
      <c r="I109" t="s">
        <v>1745</v>
      </c>
      <c r="J109">
        <v>142350</v>
      </c>
      <c r="K109">
        <v>2025</v>
      </c>
      <c r="L109">
        <v>8103470</v>
      </c>
      <c r="M109" t="s">
        <v>2548</v>
      </c>
      <c r="N109" t="s">
        <v>1688</v>
      </c>
      <c r="O109" t="s">
        <v>1686</v>
      </c>
      <c r="P109">
        <v>0</v>
      </c>
      <c r="Q109">
        <v>142350</v>
      </c>
      <c r="R109">
        <v>0</v>
      </c>
      <c r="S109">
        <v>0</v>
      </c>
      <c r="T109" t="str">
        <f t="shared" si="2"/>
        <v>1911.00.0000.00.0-205616.2.1.1.01.03.110.</v>
      </c>
      <c r="U109" t="e" cm="1">
        <f t="array" aca="1" ref="U109" ca="1">+IF(COMPROMISOS_2025[[#This Row],[P]]="20","41080111",_xlfn.XLOOKUP(COMPROMISOS_2025[[#This Row],[concatenado]],PAA[[#All],[RCP-RUBRO]],PAA[[#All],[INDICADOR]],"",0))</f>
        <v>#NAME?</v>
      </c>
      <c r="V109" s="144" t="str">
        <f t="shared" si="3"/>
        <v>00</v>
      </c>
      <c r="W109" s="136">
        <f>+COMPROMISOS_2025[[#This Row],[valor_total]]-COMPROMISOS_2025[[#This Row],[total_cancelado]]</f>
        <v>142350</v>
      </c>
      <c r="X109" s="136">
        <f>COMPROMISOS_2025[[#This Row],[total_ordenes]]</f>
        <v>142350</v>
      </c>
      <c r="Y109" t="str" cm="1">
        <f t="array" aca="1" ref="Y109" ca="1">IFERROR(_xlfn.XLOOKUP(COMPROMISOS_2025[[#This Row],[concatenado]],PAA[[#All],[RCP-RUBRO]],PAA[[#All],[Actividad3]],VLOOKUP(COMPROMISOS_2025[[#This Row],[Indicador Principal]],$AC$2:$AD$17,2,0),0),"")</f>
        <v/>
      </c>
    </row>
    <row r="110" spans="1:25" hidden="1" x14ac:dyDescent="0.25">
      <c r="A110">
        <v>192</v>
      </c>
      <c r="B110" t="s">
        <v>2546</v>
      </c>
      <c r="C110" t="s">
        <v>883</v>
      </c>
      <c r="D110" t="s">
        <v>2547</v>
      </c>
      <c r="F110">
        <v>336</v>
      </c>
      <c r="G110">
        <v>19</v>
      </c>
      <c r="H110" t="s">
        <v>84</v>
      </c>
      <c r="I110" t="s">
        <v>1745</v>
      </c>
      <c r="J110">
        <v>142350</v>
      </c>
      <c r="K110">
        <v>2025</v>
      </c>
      <c r="L110">
        <v>102671896</v>
      </c>
      <c r="M110" t="s">
        <v>2549</v>
      </c>
      <c r="N110" t="s">
        <v>1688</v>
      </c>
      <c r="O110" t="s">
        <v>1686</v>
      </c>
      <c r="P110">
        <v>0</v>
      </c>
      <c r="Q110">
        <v>142350</v>
      </c>
      <c r="R110">
        <v>0</v>
      </c>
      <c r="S110">
        <v>0</v>
      </c>
      <c r="T110" t="str">
        <f t="shared" si="2"/>
        <v>1921.00.0000.00.0-205616.2.1.1.01.03.110.</v>
      </c>
      <c r="U110" t="e" cm="1">
        <f t="array" aca="1" ref="U110" ca="1">+IF(COMPROMISOS_2025[[#This Row],[P]]="20","41080111",_xlfn.XLOOKUP(COMPROMISOS_2025[[#This Row],[concatenado]],PAA[[#All],[RCP-RUBRO]],PAA[[#All],[INDICADOR]],"",0))</f>
        <v>#NAME?</v>
      </c>
      <c r="V110" s="144" t="str">
        <f t="shared" si="3"/>
        <v>00</v>
      </c>
      <c r="W110" s="136">
        <f>+COMPROMISOS_2025[[#This Row],[valor_total]]-COMPROMISOS_2025[[#This Row],[total_cancelado]]</f>
        <v>142350</v>
      </c>
      <c r="X110" s="136">
        <f>COMPROMISOS_2025[[#This Row],[total_ordenes]]</f>
        <v>142350</v>
      </c>
      <c r="Y110" t="str" cm="1">
        <f t="array" aca="1" ref="Y110" ca="1">IFERROR(_xlfn.XLOOKUP(COMPROMISOS_2025[[#This Row],[concatenado]],PAA[[#All],[RCP-RUBRO]],PAA[[#All],[Actividad3]],VLOOKUP(COMPROMISOS_2025[[#This Row],[Indicador Principal]],$AC$2:$AD$17,2,0),0),"")</f>
        <v/>
      </c>
    </row>
    <row r="111" spans="1:25" hidden="1" x14ac:dyDescent="0.25">
      <c r="A111">
        <v>193</v>
      </c>
      <c r="B111" t="s">
        <v>2546</v>
      </c>
      <c r="C111" t="s">
        <v>883</v>
      </c>
      <c r="D111" t="s">
        <v>2547</v>
      </c>
      <c r="F111">
        <v>336</v>
      </c>
      <c r="G111">
        <v>19</v>
      </c>
      <c r="H111" t="s">
        <v>84</v>
      </c>
      <c r="I111" t="s">
        <v>1745</v>
      </c>
      <c r="J111">
        <v>136063</v>
      </c>
      <c r="K111">
        <v>2025</v>
      </c>
      <c r="L111">
        <v>154385741</v>
      </c>
      <c r="M111" t="s">
        <v>2533</v>
      </c>
      <c r="N111" t="s">
        <v>1688</v>
      </c>
      <c r="O111" t="s">
        <v>1686</v>
      </c>
      <c r="P111">
        <v>0</v>
      </c>
      <c r="Q111">
        <v>136063</v>
      </c>
      <c r="R111">
        <v>0</v>
      </c>
      <c r="S111">
        <v>0</v>
      </c>
      <c r="T111" t="str">
        <f t="shared" si="2"/>
        <v>1931.00.0000.00.0-205616.2.1.1.01.03.110.</v>
      </c>
      <c r="U111" t="e" cm="1">
        <f t="array" aca="1" ref="U111" ca="1">+IF(COMPROMISOS_2025[[#This Row],[P]]="20","41080111",_xlfn.XLOOKUP(COMPROMISOS_2025[[#This Row],[concatenado]],PAA[[#All],[RCP-RUBRO]],PAA[[#All],[INDICADOR]],"",0))</f>
        <v>#NAME?</v>
      </c>
      <c r="V111" s="144" t="str">
        <f t="shared" si="3"/>
        <v>00</v>
      </c>
      <c r="W111" s="136">
        <f>+COMPROMISOS_2025[[#This Row],[valor_total]]-COMPROMISOS_2025[[#This Row],[total_cancelado]]</f>
        <v>136063</v>
      </c>
      <c r="X111" s="136">
        <f>COMPROMISOS_2025[[#This Row],[total_ordenes]]</f>
        <v>136063</v>
      </c>
      <c r="Y111" t="str" cm="1">
        <f t="array" aca="1" ref="Y111" ca="1">IFERROR(_xlfn.XLOOKUP(COMPROMISOS_2025[[#This Row],[concatenado]],PAA[[#All],[RCP-RUBRO]],PAA[[#All],[Actividad3]],VLOOKUP(COMPROMISOS_2025[[#This Row],[Indicador Principal]],$AC$2:$AD$17,2,0),0),"")</f>
        <v/>
      </c>
    </row>
    <row r="112" spans="1:25" hidden="1" x14ac:dyDescent="0.25">
      <c r="A112">
        <v>194</v>
      </c>
      <c r="B112" t="s">
        <v>2546</v>
      </c>
      <c r="C112" t="s">
        <v>883</v>
      </c>
      <c r="D112" t="s">
        <v>2547</v>
      </c>
      <c r="F112">
        <v>336</v>
      </c>
      <c r="G112">
        <v>19</v>
      </c>
      <c r="H112" t="s">
        <v>84</v>
      </c>
      <c r="I112" t="s">
        <v>1745</v>
      </c>
      <c r="J112">
        <v>142350</v>
      </c>
      <c r="K112">
        <v>2025</v>
      </c>
      <c r="L112">
        <v>155118841</v>
      </c>
      <c r="M112" t="s">
        <v>2550</v>
      </c>
      <c r="N112" t="s">
        <v>1688</v>
      </c>
      <c r="O112" t="s">
        <v>1686</v>
      </c>
      <c r="P112">
        <v>0</v>
      </c>
      <c r="Q112">
        <v>142350</v>
      </c>
      <c r="R112">
        <v>0</v>
      </c>
      <c r="S112">
        <v>0</v>
      </c>
      <c r="T112" t="str">
        <f t="shared" si="2"/>
        <v>1941.00.0000.00.0-205616.2.1.1.01.03.110.</v>
      </c>
      <c r="U112" t="e" cm="1">
        <f t="array" aca="1" ref="U112" ca="1">+IF(COMPROMISOS_2025[[#This Row],[P]]="20","41080111",_xlfn.XLOOKUP(COMPROMISOS_2025[[#This Row],[concatenado]],PAA[[#All],[RCP-RUBRO]],PAA[[#All],[INDICADOR]],"",0))</f>
        <v>#NAME?</v>
      </c>
      <c r="V112" s="144" t="str">
        <f t="shared" si="3"/>
        <v>00</v>
      </c>
      <c r="W112" s="136">
        <f>+COMPROMISOS_2025[[#This Row],[valor_total]]-COMPROMISOS_2025[[#This Row],[total_cancelado]]</f>
        <v>142350</v>
      </c>
      <c r="X112" s="136">
        <f>COMPROMISOS_2025[[#This Row],[total_ordenes]]</f>
        <v>142350</v>
      </c>
      <c r="Y112" t="str" cm="1">
        <f t="array" aca="1" ref="Y112" ca="1">IFERROR(_xlfn.XLOOKUP(COMPROMISOS_2025[[#This Row],[concatenado]],PAA[[#All],[RCP-RUBRO]],PAA[[#All],[Actividad3]],VLOOKUP(COMPROMISOS_2025[[#This Row],[Indicador Principal]],$AC$2:$AD$17,2,0),0),"")</f>
        <v/>
      </c>
    </row>
    <row r="113" spans="1:25" hidden="1" x14ac:dyDescent="0.25">
      <c r="A113">
        <v>195</v>
      </c>
      <c r="B113" t="s">
        <v>2546</v>
      </c>
      <c r="C113" t="s">
        <v>883</v>
      </c>
      <c r="D113" t="s">
        <v>2547</v>
      </c>
      <c r="F113">
        <v>336</v>
      </c>
      <c r="G113">
        <v>19</v>
      </c>
      <c r="H113" t="s">
        <v>84</v>
      </c>
      <c r="I113" t="s">
        <v>1745</v>
      </c>
      <c r="J113">
        <v>142350</v>
      </c>
      <c r="K113">
        <v>2025</v>
      </c>
      <c r="L113">
        <v>194241394</v>
      </c>
      <c r="M113" t="s">
        <v>2551</v>
      </c>
      <c r="N113" t="s">
        <v>1688</v>
      </c>
      <c r="O113" t="s">
        <v>1686</v>
      </c>
      <c r="P113">
        <v>0</v>
      </c>
      <c r="Q113">
        <v>142350</v>
      </c>
      <c r="R113">
        <v>0</v>
      </c>
      <c r="S113">
        <v>0</v>
      </c>
      <c r="T113" t="str">
        <f t="shared" si="2"/>
        <v>1951.00.0000.00.0-205616.2.1.1.01.03.110.</v>
      </c>
      <c r="U113" t="e" cm="1">
        <f t="array" aca="1" ref="U113" ca="1">+IF(COMPROMISOS_2025[[#This Row],[P]]="20","41080111",_xlfn.XLOOKUP(COMPROMISOS_2025[[#This Row],[concatenado]],PAA[[#All],[RCP-RUBRO]],PAA[[#All],[INDICADOR]],"",0))</f>
        <v>#NAME?</v>
      </c>
      <c r="V113" s="144" t="str">
        <f t="shared" si="3"/>
        <v>00</v>
      </c>
      <c r="W113" s="136">
        <f>+COMPROMISOS_2025[[#This Row],[valor_total]]-COMPROMISOS_2025[[#This Row],[total_cancelado]]</f>
        <v>142350</v>
      </c>
      <c r="X113" s="136">
        <f>COMPROMISOS_2025[[#This Row],[total_ordenes]]</f>
        <v>142350</v>
      </c>
      <c r="Y113" t="str" cm="1">
        <f t="array" aca="1" ref="Y113" ca="1">IFERROR(_xlfn.XLOOKUP(COMPROMISOS_2025[[#This Row],[concatenado]],PAA[[#All],[RCP-RUBRO]],PAA[[#All],[Actividad3]],VLOOKUP(COMPROMISOS_2025[[#This Row],[Indicador Principal]],$AC$2:$AD$17,2,0),0),"")</f>
        <v/>
      </c>
    </row>
    <row r="114" spans="1:25" hidden="1" x14ac:dyDescent="0.25">
      <c r="A114">
        <v>196</v>
      </c>
      <c r="B114" t="s">
        <v>2546</v>
      </c>
      <c r="C114" t="s">
        <v>883</v>
      </c>
      <c r="D114" t="s">
        <v>2547</v>
      </c>
      <c r="F114">
        <v>336</v>
      </c>
      <c r="G114">
        <v>19</v>
      </c>
      <c r="H114" t="s">
        <v>84</v>
      </c>
      <c r="I114" t="s">
        <v>1745</v>
      </c>
      <c r="J114">
        <v>142350</v>
      </c>
      <c r="K114">
        <v>2025</v>
      </c>
      <c r="L114">
        <v>214908938</v>
      </c>
      <c r="M114" t="s">
        <v>2552</v>
      </c>
      <c r="N114" t="s">
        <v>1688</v>
      </c>
      <c r="O114" t="s">
        <v>1686</v>
      </c>
      <c r="P114">
        <v>0</v>
      </c>
      <c r="Q114">
        <v>142350</v>
      </c>
      <c r="R114">
        <v>0</v>
      </c>
      <c r="S114">
        <v>0</v>
      </c>
      <c r="T114" t="str">
        <f t="shared" si="2"/>
        <v>1961.00.0000.00.0-205616.2.1.1.01.03.110.</v>
      </c>
      <c r="U114" t="e" cm="1">
        <f t="array" aca="1" ref="U114" ca="1">+IF(COMPROMISOS_2025[[#This Row],[P]]="20","41080111",_xlfn.XLOOKUP(COMPROMISOS_2025[[#This Row],[concatenado]],PAA[[#All],[RCP-RUBRO]],PAA[[#All],[INDICADOR]],"",0))</f>
        <v>#NAME?</v>
      </c>
      <c r="V114" s="144" t="str">
        <f t="shared" si="3"/>
        <v>00</v>
      </c>
      <c r="W114" s="136">
        <f>+COMPROMISOS_2025[[#This Row],[valor_total]]-COMPROMISOS_2025[[#This Row],[total_cancelado]]</f>
        <v>142350</v>
      </c>
      <c r="X114" s="136">
        <f>COMPROMISOS_2025[[#This Row],[total_ordenes]]</f>
        <v>142350</v>
      </c>
      <c r="Y114" t="str" cm="1">
        <f t="array" aca="1" ref="Y114" ca="1">IFERROR(_xlfn.XLOOKUP(COMPROMISOS_2025[[#This Row],[concatenado]],PAA[[#All],[RCP-RUBRO]],PAA[[#All],[Actividad3]],VLOOKUP(COMPROMISOS_2025[[#This Row],[Indicador Principal]],$AC$2:$AD$17,2,0),0),"")</f>
        <v/>
      </c>
    </row>
    <row r="115" spans="1:25" hidden="1" x14ac:dyDescent="0.25">
      <c r="A115">
        <v>197</v>
      </c>
      <c r="B115" t="s">
        <v>2546</v>
      </c>
      <c r="C115" t="s">
        <v>883</v>
      </c>
      <c r="D115" t="s">
        <v>2547</v>
      </c>
      <c r="F115">
        <v>336</v>
      </c>
      <c r="G115">
        <v>19</v>
      </c>
      <c r="H115" t="s">
        <v>84</v>
      </c>
      <c r="I115" t="s">
        <v>1745</v>
      </c>
      <c r="J115">
        <v>142350</v>
      </c>
      <c r="K115">
        <v>2025</v>
      </c>
      <c r="L115">
        <v>215092705</v>
      </c>
      <c r="M115" t="s">
        <v>2553</v>
      </c>
      <c r="N115" t="s">
        <v>1688</v>
      </c>
      <c r="O115" t="s">
        <v>1686</v>
      </c>
      <c r="P115">
        <v>0</v>
      </c>
      <c r="Q115">
        <v>142350</v>
      </c>
      <c r="R115">
        <v>0</v>
      </c>
      <c r="S115">
        <v>0</v>
      </c>
      <c r="T115" t="str">
        <f t="shared" si="2"/>
        <v>1971.00.0000.00.0-205616.2.1.1.01.03.110.</v>
      </c>
      <c r="U115" t="e" cm="1">
        <f t="array" aca="1" ref="U115" ca="1">+IF(COMPROMISOS_2025[[#This Row],[P]]="20","41080111",_xlfn.XLOOKUP(COMPROMISOS_2025[[#This Row],[concatenado]],PAA[[#All],[RCP-RUBRO]],PAA[[#All],[INDICADOR]],"",0))</f>
        <v>#NAME?</v>
      </c>
      <c r="V115" s="144" t="str">
        <f t="shared" si="3"/>
        <v>00</v>
      </c>
      <c r="W115" s="136">
        <f>+COMPROMISOS_2025[[#This Row],[valor_total]]-COMPROMISOS_2025[[#This Row],[total_cancelado]]</f>
        <v>142350</v>
      </c>
      <c r="X115" s="136">
        <f>COMPROMISOS_2025[[#This Row],[total_ordenes]]</f>
        <v>142350</v>
      </c>
      <c r="Y115" t="str" cm="1">
        <f t="array" aca="1" ref="Y115" ca="1">IFERROR(_xlfn.XLOOKUP(COMPROMISOS_2025[[#This Row],[concatenado]],PAA[[#All],[RCP-RUBRO]],PAA[[#All],[Actividad3]],VLOOKUP(COMPROMISOS_2025[[#This Row],[Indicador Principal]],$AC$2:$AD$17,2,0),0),"")</f>
        <v/>
      </c>
    </row>
    <row r="116" spans="1:25" hidden="1" x14ac:dyDescent="0.25">
      <c r="A116">
        <v>198</v>
      </c>
      <c r="B116" t="s">
        <v>2546</v>
      </c>
      <c r="C116" t="s">
        <v>883</v>
      </c>
      <c r="D116" t="s">
        <v>2547</v>
      </c>
      <c r="F116">
        <v>336</v>
      </c>
      <c r="G116">
        <v>19</v>
      </c>
      <c r="H116" t="s">
        <v>84</v>
      </c>
      <c r="I116" t="s">
        <v>1745</v>
      </c>
      <c r="J116">
        <v>136063</v>
      </c>
      <c r="K116">
        <v>2025</v>
      </c>
      <c r="L116">
        <v>218528561</v>
      </c>
      <c r="M116" t="s">
        <v>2554</v>
      </c>
      <c r="N116" t="s">
        <v>1688</v>
      </c>
      <c r="O116" t="s">
        <v>1686</v>
      </c>
      <c r="P116">
        <v>0</v>
      </c>
      <c r="Q116">
        <v>136063</v>
      </c>
      <c r="R116">
        <v>0</v>
      </c>
      <c r="S116">
        <v>0</v>
      </c>
      <c r="T116" t="str">
        <f t="shared" si="2"/>
        <v>1981.00.0000.00.0-205616.2.1.1.01.03.110.</v>
      </c>
      <c r="U116" t="e" cm="1">
        <f t="array" aca="1" ref="U116" ca="1">+IF(COMPROMISOS_2025[[#This Row],[P]]="20","41080111",_xlfn.XLOOKUP(COMPROMISOS_2025[[#This Row],[concatenado]],PAA[[#All],[RCP-RUBRO]],PAA[[#All],[INDICADOR]],"",0))</f>
        <v>#NAME?</v>
      </c>
      <c r="V116" s="144" t="str">
        <f t="shared" si="3"/>
        <v>00</v>
      </c>
      <c r="W116" s="136">
        <f>+COMPROMISOS_2025[[#This Row],[valor_total]]-COMPROMISOS_2025[[#This Row],[total_cancelado]]</f>
        <v>136063</v>
      </c>
      <c r="X116" s="136">
        <f>COMPROMISOS_2025[[#This Row],[total_ordenes]]</f>
        <v>136063</v>
      </c>
      <c r="Y116" t="str" cm="1">
        <f t="array" aca="1" ref="Y116" ca="1">IFERROR(_xlfn.XLOOKUP(COMPROMISOS_2025[[#This Row],[concatenado]],PAA[[#All],[RCP-RUBRO]],PAA[[#All],[Actividad3]],VLOOKUP(COMPROMISOS_2025[[#This Row],[Indicador Principal]],$AC$2:$AD$17,2,0),0),"")</f>
        <v/>
      </c>
    </row>
    <row r="117" spans="1:25" hidden="1" x14ac:dyDescent="0.25">
      <c r="A117">
        <v>199</v>
      </c>
      <c r="B117" t="s">
        <v>2546</v>
      </c>
      <c r="C117" t="s">
        <v>883</v>
      </c>
      <c r="D117" t="s">
        <v>2547</v>
      </c>
      <c r="F117">
        <v>336</v>
      </c>
      <c r="G117">
        <v>19</v>
      </c>
      <c r="H117" t="s">
        <v>84</v>
      </c>
      <c r="I117" t="s">
        <v>1745</v>
      </c>
      <c r="J117">
        <v>53100</v>
      </c>
      <c r="K117">
        <v>2025</v>
      </c>
      <c r="L117">
        <v>243696588</v>
      </c>
      <c r="M117" t="s">
        <v>2555</v>
      </c>
      <c r="N117" t="s">
        <v>1688</v>
      </c>
      <c r="O117" t="s">
        <v>1686</v>
      </c>
      <c r="P117">
        <v>0</v>
      </c>
      <c r="Q117">
        <v>53100</v>
      </c>
      <c r="R117">
        <v>0</v>
      </c>
      <c r="S117">
        <v>0</v>
      </c>
      <c r="T117" t="str">
        <f t="shared" si="2"/>
        <v>1991.00.0000.00.0-205616.2.1.1.01.03.110.</v>
      </c>
      <c r="U117" t="e" cm="1">
        <f t="array" aca="1" ref="U117" ca="1">+IF(COMPROMISOS_2025[[#This Row],[P]]="20","41080111",_xlfn.XLOOKUP(COMPROMISOS_2025[[#This Row],[concatenado]],PAA[[#All],[RCP-RUBRO]],PAA[[#All],[INDICADOR]],"",0))</f>
        <v>#NAME?</v>
      </c>
      <c r="V117" s="144" t="str">
        <f t="shared" si="3"/>
        <v>00</v>
      </c>
      <c r="W117" s="136">
        <f>+COMPROMISOS_2025[[#This Row],[valor_total]]-COMPROMISOS_2025[[#This Row],[total_cancelado]]</f>
        <v>53100</v>
      </c>
      <c r="X117" s="136">
        <f>COMPROMISOS_2025[[#This Row],[total_ordenes]]</f>
        <v>53100</v>
      </c>
      <c r="Y117" t="str" cm="1">
        <f t="array" aca="1" ref="Y117" ca="1">IFERROR(_xlfn.XLOOKUP(COMPROMISOS_2025[[#This Row],[concatenado]],PAA[[#All],[RCP-RUBRO]],PAA[[#All],[Actividad3]],VLOOKUP(COMPROMISOS_2025[[#This Row],[Indicador Principal]],$AC$2:$AD$17,2,0),0),"")</f>
        <v/>
      </c>
    </row>
    <row r="118" spans="1:25" hidden="1" x14ac:dyDescent="0.25">
      <c r="A118">
        <v>200</v>
      </c>
      <c r="B118" t="s">
        <v>2546</v>
      </c>
      <c r="C118" t="s">
        <v>883</v>
      </c>
      <c r="D118" t="s">
        <v>2547</v>
      </c>
      <c r="F118">
        <v>336</v>
      </c>
      <c r="G118">
        <v>19</v>
      </c>
      <c r="H118" t="s">
        <v>84</v>
      </c>
      <c r="I118" t="s">
        <v>1745</v>
      </c>
      <c r="J118">
        <v>142350</v>
      </c>
      <c r="K118">
        <v>2025</v>
      </c>
      <c r="L118">
        <v>322207996</v>
      </c>
      <c r="M118" t="s">
        <v>2556</v>
      </c>
      <c r="N118" t="s">
        <v>1688</v>
      </c>
      <c r="O118" t="s">
        <v>1686</v>
      </c>
      <c r="P118">
        <v>0</v>
      </c>
      <c r="Q118">
        <v>142350</v>
      </c>
      <c r="R118">
        <v>0</v>
      </c>
      <c r="S118">
        <v>0</v>
      </c>
      <c r="T118" t="str">
        <f t="shared" si="2"/>
        <v>2001.00.0000.00.0-205616.2.1.1.01.03.110.</v>
      </c>
      <c r="U118" t="e" cm="1">
        <f t="array" aca="1" ref="U118" ca="1">+IF(COMPROMISOS_2025[[#This Row],[P]]="20","41080111",_xlfn.XLOOKUP(COMPROMISOS_2025[[#This Row],[concatenado]],PAA[[#All],[RCP-RUBRO]],PAA[[#All],[INDICADOR]],"",0))</f>
        <v>#NAME?</v>
      </c>
      <c r="V118" s="144" t="str">
        <f t="shared" si="3"/>
        <v>00</v>
      </c>
      <c r="W118" s="136">
        <f>+COMPROMISOS_2025[[#This Row],[valor_total]]-COMPROMISOS_2025[[#This Row],[total_cancelado]]</f>
        <v>142350</v>
      </c>
      <c r="X118" s="136">
        <f>COMPROMISOS_2025[[#This Row],[total_ordenes]]</f>
        <v>142350</v>
      </c>
      <c r="Y118" t="str" cm="1">
        <f t="array" aca="1" ref="Y118" ca="1">IFERROR(_xlfn.XLOOKUP(COMPROMISOS_2025[[#This Row],[concatenado]],PAA[[#All],[RCP-RUBRO]],PAA[[#All],[Actividad3]],VLOOKUP(COMPROMISOS_2025[[#This Row],[Indicador Principal]],$AC$2:$AD$17,2,0),0),"")</f>
        <v/>
      </c>
    </row>
    <row r="119" spans="1:25" hidden="1" x14ac:dyDescent="0.25">
      <c r="A119">
        <v>201</v>
      </c>
      <c r="B119" t="s">
        <v>2546</v>
      </c>
      <c r="C119" t="s">
        <v>883</v>
      </c>
      <c r="D119" t="s">
        <v>2547</v>
      </c>
      <c r="F119">
        <v>336</v>
      </c>
      <c r="G119">
        <v>19</v>
      </c>
      <c r="H119" t="s">
        <v>84</v>
      </c>
      <c r="I119" t="s">
        <v>1745</v>
      </c>
      <c r="J119">
        <v>142350</v>
      </c>
      <c r="K119">
        <v>2025</v>
      </c>
      <c r="L119">
        <v>322447097</v>
      </c>
      <c r="M119" t="s">
        <v>2534</v>
      </c>
      <c r="N119" t="s">
        <v>1688</v>
      </c>
      <c r="O119" t="s">
        <v>1686</v>
      </c>
      <c r="P119">
        <v>0</v>
      </c>
      <c r="Q119">
        <v>142350</v>
      </c>
      <c r="R119">
        <v>0</v>
      </c>
      <c r="S119">
        <v>0</v>
      </c>
      <c r="T119" t="str">
        <f t="shared" si="2"/>
        <v>2011.00.0000.00.0-205616.2.1.1.01.03.110.</v>
      </c>
      <c r="U119" t="e" cm="1">
        <f t="array" aca="1" ref="U119" ca="1">+IF(COMPROMISOS_2025[[#This Row],[P]]="20","41080111",_xlfn.XLOOKUP(COMPROMISOS_2025[[#This Row],[concatenado]],PAA[[#All],[RCP-RUBRO]],PAA[[#All],[INDICADOR]],"",0))</f>
        <v>#NAME?</v>
      </c>
      <c r="V119" s="144" t="str">
        <f t="shared" si="3"/>
        <v>00</v>
      </c>
      <c r="W119" s="136">
        <f>+COMPROMISOS_2025[[#This Row],[valor_total]]-COMPROMISOS_2025[[#This Row],[total_cancelado]]</f>
        <v>142350</v>
      </c>
      <c r="X119" s="136">
        <f>COMPROMISOS_2025[[#This Row],[total_ordenes]]</f>
        <v>142350</v>
      </c>
      <c r="Y119" t="str" cm="1">
        <f t="array" aca="1" ref="Y119" ca="1">IFERROR(_xlfn.XLOOKUP(COMPROMISOS_2025[[#This Row],[concatenado]],PAA[[#All],[RCP-RUBRO]],PAA[[#All],[Actividad3]],VLOOKUP(COMPROMISOS_2025[[#This Row],[Indicador Principal]],$AC$2:$AD$17,2,0),0),"")</f>
        <v/>
      </c>
    </row>
    <row r="120" spans="1:25" hidden="1" x14ac:dyDescent="0.25">
      <c r="A120">
        <v>202</v>
      </c>
      <c r="B120" t="s">
        <v>2546</v>
      </c>
      <c r="C120" t="s">
        <v>883</v>
      </c>
      <c r="D120" t="s">
        <v>2547</v>
      </c>
      <c r="F120">
        <v>336</v>
      </c>
      <c r="G120">
        <v>19</v>
      </c>
      <c r="H120" t="s">
        <v>84</v>
      </c>
      <c r="I120" t="s">
        <v>1745</v>
      </c>
      <c r="J120">
        <v>142350</v>
      </c>
      <c r="K120">
        <v>2025</v>
      </c>
      <c r="L120">
        <v>322775813</v>
      </c>
      <c r="M120" t="s">
        <v>2557</v>
      </c>
      <c r="N120" t="s">
        <v>1688</v>
      </c>
      <c r="O120" t="s">
        <v>1686</v>
      </c>
      <c r="P120">
        <v>0</v>
      </c>
      <c r="Q120">
        <v>142350</v>
      </c>
      <c r="R120">
        <v>0</v>
      </c>
      <c r="S120">
        <v>0</v>
      </c>
      <c r="T120" t="str">
        <f t="shared" si="2"/>
        <v>2021.00.0000.00.0-205616.2.1.1.01.03.110.</v>
      </c>
      <c r="U120" t="e" cm="1">
        <f t="array" aca="1" ref="U120" ca="1">+IF(COMPROMISOS_2025[[#This Row],[P]]="20","41080111",_xlfn.XLOOKUP(COMPROMISOS_2025[[#This Row],[concatenado]],PAA[[#All],[RCP-RUBRO]],PAA[[#All],[INDICADOR]],"",0))</f>
        <v>#NAME?</v>
      </c>
      <c r="V120" s="144" t="str">
        <f t="shared" si="3"/>
        <v>00</v>
      </c>
      <c r="W120" s="136">
        <f>+COMPROMISOS_2025[[#This Row],[valor_total]]-COMPROMISOS_2025[[#This Row],[total_cancelado]]</f>
        <v>142350</v>
      </c>
      <c r="X120" s="136">
        <f>COMPROMISOS_2025[[#This Row],[total_ordenes]]</f>
        <v>142350</v>
      </c>
      <c r="Y120" t="str" cm="1">
        <f t="array" aca="1" ref="Y120" ca="1">IFERROR(_xlfn.XLOOKUP(COMPROMISOS_2025[[#This Row],[concatenado]],PAA[[#All],[RCP-RUBRO]],PAA[[#All],[Actividad3]],VLOOKUP(COMPROMISOS_2025[[#This Row],[Indicador Principal]],$AC$2:$AD$17,2,0),0),"")</f>
        <v/>
      </c>
    </row>
    <row r="121" spans="1:25" hidden="1" x14ac:dyDescent="0.25">
      <c r="A121">
        <v>203</v>
      </c>
      <c r="B121" t="s">
        <v>2546</v>
      </c>
      <c r="C121" t="s">
        <v>883</v>
      </c>
      <c r="D121" t="s">
        <v>2547</v>
      </c>
      <c r="F121">
        <v>336</v>
      </c>
      <c r="G121">
        <v>19</v>
      </c>
      <c r="H121" t="s">
        <v>84</v>
      </c>
      <c r="I121" t="s">
        <v>1745</v>
      </c>
      <c r="J121">
        <v>142350</v>
      </c>
      <c r="K121">
        <v>2025</v>
      </c>
      <c r="L121">
        <v>333762104</v>
      </c>
      <c r="M121" t="s">
        <v>2558</v>
      </c>
      <c r="N121" t="s">
        <v>1688</v>
      </c>
      <c r="O121" t="s">
        <v>1686</v>
      </c>
      <c r="P121">
        <v>0</v>
      </c>
      <c r="Q121">
        <v>142350</v>
      </c>
      <c r="R121">
        <v>0</v>
      </c>
      <c r="S121">
        <v>0</v>
      </c>
      <c r="T121" t="str">
        <f t="shared" si="2"/>
        <v>2031.00.0000.00.0-205616.2.1.1.01.03.110.</v>
      </c>
      <c r="U121" t="e" cm="1">
        <f t="array" aca="1" ref="U121" ca="1">+IF(COMPROMISOS_2025[[#This Row],[P]]="20","41080111",_xlfn.XLOOKUP(COMPROMISOS_2025[[#This Row],[concatenado]],PAA[[#All],[RCP-RUBRO]],PAA[[#All],[INDICADOR]],"",0))</f>
        <v>#NAME?</v>
      </c>
      <c r="V121" s="144" t="str">
        <f t="shared" si="3"/>
        <v>00</v>
      </c>
      <c r="W121" s="136">
        <f>+COMPROMISOS_2025[[#This Row],[valor_total]]-COMPROMISOS_2025[[#This Row],[total_cancelado]]</f>
        <v>142350</v>
      </c>
      <c r="X121" s="136">
        <f>COMPROMISOS_2025[[#This Row],[total_ordenes]]</f>
        <v>142350</v>
      </c>
      <c r="Y121" t="str" cm="1">
        <f t="array" aca="1" ref="Y121" ca="1">IFERROR(_xlfn.XLOOKUP(COMPROMISOS_2025[[#This Row],[concatenado]],PAA[[#All],[RCP-RUBRO]],PAA[[#All],[Actividad3]],VLOOKUP(COMPROMISOS_2025[[#This Row],[Indicador Principal]],$AC$2:$AD$17,2,0),0),"")</f>
        <v/>
      </c>
    </row>
    <row r="122" spans="1:25" hidden="1" x14ac:dyDescent="0.25">
      <c r="A122">
        <v>204</v>
      </c>
      <c r="B122" t="s">
        <v>2546</v>
      </c>
      <c r="C122" t="s">
        <v>883</v>
      </c>
      <c r="D122" t="s">
        <v>2547</v>
      </c>
      <c r="F122">
        <v>336</v>
      </c>
      <c r="G122">
        <v>19</v>
      </c>
      <c r="H122" t="s">
        <v>84</v>
      </c>
      <c r="I122" t="s">
        <v>1745</v>
      </c>
      <c r="J122">
        <v>142350</v>
      </c>
      <c r="K122">
        <v>2025</v>
      </c>
      <c r="L122">
        <v>370030331</v>
      </c>
      <c r="M122" t="s">
        <v>2559</v>
      </c>
      <c r="N122" t="s">
        <v>1688</v>
      </c>
      <c r="O122" t="s">
        <v>1686</v>
      </c>
      <c r="P122">
        <v>0</v>
      </c>
      <c r="Q122">
        <v>142350</v>
      </c>
      <c r="R122">
        <v>0</v>
      </c>
      <c r="S122">
        <v>0</v>
      </c>
      <c r="T122" t="str">
        <f t="shared" si="2"/>
        <v>2041.00.0000.00.0-205616.2.1.1.01.03.110.</v>
      </c>
      <c r="U122" t="e" cm="1">
        <f t="array" aca="1" ref="U122" ca="1">+IF(COMPROMISOS_2025[[#This Row],[P]]="20","41080111",_xlfn.XLOOKUP(COMPROMISOS_2025[[#This Row],[concatenado]],PAA[[#All],[RCP-RUBRO]],PAA[[#All],[INDICADOR]],"",0))</f>
        <v>#NAME?</v>
      </c>
      <c r="V122" s="144" t="str">
        <f t="shared" si="3"/>
        <v>00</v>
      </c>
      <c r="W122" s="136">
        <f>+COMPROMISOS_2025[[#This Row],[valor_total]]-COMPROMISOS_2025[[#This Row],[total_cancelado]]</f>
        <v>142350</v>
      </c>
      <c r="X122" s="136">
        <f>COMPROMISOS_2025[[#This Row],[total_ordenes]]</f>
        <v>142350</v>
      </c>
      <c r="Y122" t="str" cm="1">
        <f t="array" aca="1" ref="Y122" ca="1">IFERROR(_xlfn.XLOOKUP(COMPROMISOS_2025[[#This Row],[concatenado]],PAA[[#All],[RCP-RUBRO]],PAA[[#All],[Actividad3]],VLOOKUP(COMPROMISOS_2025[[#This Row],[Indicador Principal]],$AC$2:$AD$17,2,0),0),"")</f>
        <v/>
      </c>
    </row>
    <row r="123" spans="1:25" hidden="1" x14ac:dyDescent="0.25">
      <c r="A123">
        <v>205</v>
      </c>
      <c r="B123" t="s">
        <v>2546</v>
      </c>
      <c r="C123" t="s">
        <v>883</v>
      </c>
      <c r="D123" t="s">
        <v>2547</v>
      </c>
      <c r="F123">
        <v>336</v>
      </c>
      <c r="G123">
        <v>19</v>
      </c>
      <c r="H123" t="s">
        <v>84</v>
      </c>
      <c r="I123" t="s">
        <v>1745</v>
      </c>
      <c r="J123">
        <v>142350</v>
      </c>
      <c r="K123">
        <v>2025</v>
      </c>
      <c r="L123">
        <v>378647411</v>
      </c>
      <c r="M123" t="s">
        <v>2560</v>
      </c>
      <c r="N123" t="s">
        <v>1688</v>
      </c>
      <c r="O123" t="s">
        <v>1686</v>
      </c>
      <c r="P123">
        <v>0</v>
      </c>
      <c r="Q123">
        <v>142350</v>
      </c>
      <c r="R123">
        <v>0</v>
      </c>
      <c r="S123">
        <v>0</v>
      </c>
      <c r="T123" t="str">
        <f t="shared" si="2"/>
        <v>2051.00.0000.00.0-205616.2.1.1.01.03.110.</v>
      </c>
      <c r="U123" t="e" cm="1">
        <f t="array" aca="1" ref="U123" ca="1">+IF(COMPROMISOS_2025[[#This Row],[P]]="20","41080111",_xlfn.XLOOKUP(COMPROMISOS_2025[[#This Row],[concatenado]],PAA[[#All],[RCP-RUBRO]],PAA[[#All],[INDICADOR]],"",0))</f>
        <v>#NAME?</v>
      </c>
      <c r="V123" s="144" t="str">
        <f t="shared" si="3"/>
        <v>00</v>
      </c>
      <c r="W123" s="136">
        <f>+COMPROMISOS_2025[[#This Row],[valor_total]]-COMPROMISOS_2025[[#This Row],[total_cancelado]]</f>
        <v>142350</v>
      </c>
      <c r="X123" s="136">
        <f>COMPROMISOS_2025[[#This Row],[total_ordenes]]</f>
        <v>142350</v>
      </c>
      <c r="Y123" t="str" cm="1">
        <f t="array" aca="1" ref="Y123" ca="1">IFERROR(_xlfn.XLOOKUP(COMPROMISOS_2025[[#This Row],[concatenado]],PAA[[#All],[RCP-RUBRO]],PAA[[#All],[Actividad3]],VLOOKUP(COMPROMISOS_2025[[#This Row],[Indicador Principal]],$AC$2:$AD$17,2,0),0),"")</f>
        <v/>
      </c>
    </row>
    <row r="124" spans="1:25" hidden="1" x14ac:dyDescent="0.25">
      <c r="A124">
        <v>206</v>
      </c>
      <c r="B124" t="s">
        <v>2546</v>
      </c>
      <c r="C124" t="s">
        <v>883</v>
      </c>
      <c r="D124" t="s">
        <v>2547</v>
      </c>
      <c r="F124">
        <v>336</v>
      </c>
      <c r="G124">
        <v>19</v>
      </c>
      <c r="H124" t="s">
        <v>84</v>
      </c>
      <c r="I124" t="s">
        <v>1745</v>
      </c>
      <c r="J124">
        <v>142350</v>
      </c>
      <c r="K124">
        <v>2025</v>
      </c>
      <c r="L124">
        <v>391760387</v>
      </c>
      <c r="M124" t="s">
        <v>2561</v>
      </c>
      <c r="N124" t="s">
        <v>1688</v>
      </c>
      <c r="O124" t="s">
        <v>1686</v>
      </c>
      <c r="P124">
        <v>0</v>
      </c>
      <c r="Q124">
        <v>142350</v>
      </c>
      <c r="R124">
        <v>0</v>
      </c>
      <c r="S124">
        <v>0</v>
      </c>
      <c r="T124" t="str">
        <f t="shared" si="2"/>
        <v>2061.00.0000.00.0-205616.2.1.1.01.03.110.</v>
      </c>
      <c r="U124" t="e" cm="1">
        <f t="array" aca="1" ref="U124" ca="1">+IF(COMPROMISOS_2025[[#This Row],[P]]="20","41080111",_xlfn.XLOOKUP(COMPROMISOS_2025[[#This Row],[concatenado]],PAA[[#All],[RCP-RUBRO]],PAA[[#All],[INDICADOR]],"",0))</f>
        <v>#NAME?</v>
      </c>
      <c r="V124" s="144" t="str">
        <f t="shared" si="3"/>
        <v>00</v>
      </c>
      <c r="W124" s="136">
        <f>+COMPROMISOS_2025[[#This Row],[valor_total]]-COMPROMISOS_2025[[#This Row],[total_cancelado]]</f>
        <v>142350</v>
      </c>
      <c r="X124" s="136">
        <f>COMPROMISOS_2025[[#This Row],[total_ordenes]]</f>
        <v>142350</v>
      </c>
      <c r="Y124" t="str" cm="1">
        <f t="array" aca="1" ref="Y124" ca="1">IFERROR(_xlfn.XLOOKUP(COMPROMISOS_2025[[#This Row],[concatenado]],PAA[[#All],[RCP-RUBRO]],PAA[[#All],[Actividad3]],VLOOKUP(COMPROMISOS_2025[[#This Row],[Indicador Principal]],$AC$2:$AD$17,2,0),0),"")</f>
        <v/>
      </c>
    </row>
    <row r="125" spans="1:25" hidden="1" x14ac:dyDescent="0.25">
      <c r="A125">
        <v>207</v>
      </c>
      <c r="B125" t="s">
        <v>2546</v>
      </c>
      <c r="C125" t="s">
        <v>883</v>
      </c>
      <c r="D125" t="s">
        <v>2547</v>
      </c>
      <c r="F125">
        <v>336</v>
      </c>
      <c r="G125">
        <v>19</v>
      </c>
      <c r="H125" t="s">
        <v>84</v>
      </c>
      <c r="I125" t="s">
        <v>1745</v>
      </c>
      <c r="J125">
        <v>49900</v>
      </c>
      <c r="K125">
        <v>2025</v>
      </c>
      <c r="L125">
        <v>396197799</v>
      </c>
      <c r="M125" t="s">
        <v>2535</v>
      </c>
      <c r="N125" t="s">
        <v>1688</v>
      </c>
      <c r="O125" t="s">
        <v>1686</v>
      </c>
      <c r="P125">
        <v>0</v>
      </c>
      <c r="Q125">
        <v>49900</v>
      </c>
      <c r="R125">
        <v>0</v>
      </c>
      <c r="S125">
        <v>0</v>
      </c>
      <c r="T125" t="str">
        <f t="shared" si="2"/>
        <v>2071.00.0000.00.0-205616.2.1.1.01.03.110.</v>
      </c>
      <c r="U125" t="e" cm="1">
        <f t="array" aca="1" ref="U125" ca="1">+IF(COMPROMISOS_2025[[#This Row],[P]]="20","41080111",_xlfn.XLOOKUP(COMPROMISOS_2025[[#This Row],[concatenado]],PAA[[#All],[RCP-RUBRO]],PAA[[#All],[INDICADOR]],"",0))</f>
        <v>#NAME?</v>
      </c>
      <c r="V125" s="144" t="str">
        <f t="shared" si="3"/>
        <v>00</v>
      </c>
      <c r="W125" s="136">
        <f>+COMPROMISOS_2025[[#This Row],[valor_total]]-COMPROMISOS_2025[[#This Row],[total_cancelado]]</f>
        <v>49900</v>
      </c>
      <c r="X125" s="136">
        <f>COMPROMISOS_2025[[#This Row],[total_ordenes]]</f>
        <v>49900</v>
      </c>
      <c r="Y125" t="str" cm="1">
        <f t="array" aca="1" ref="Y125" ca="1">IFERROR(_xlfn.XLOOKUP(COMPROMISOS_2025[[#This Row],[concatenado]],PAA[[#All],[RCP-RUBRO]],PAA[[#All],[Actividad3]],VLOOKUP(COMPROMISOS_2025[[#This Row],[Indicador Principal]],$AC$2:$AD$17,2,0),0),"")</f>
        <v/>
      </c>
    </row>
    <row r="126" spans="1:25" hidden="1" x14ac:dyDescent="0.25">
      <c r="A126">
        <v>208</v>
      </c>
      <c r="B126" t="s">
        <v>2546</v>
      </c>
      <c r="C126" t="s">
        <v>883</v>
      </c>
      <c r="D126" t="s">
        <v>2547</v>
      </c>
      <c r="F126">
        <v>336</v>
      </c>
      <c r="G126">
        <v>19</v>
      </c>
      <c r="H126" t="s">
        <v>84</v>
      </c>
      <c r="I126" t="s">
        <v>1745</v>
      </c>
      <c r="J126">
        <v>106199</v>
      </c>
      <c r="K126">
        <v>2025</v>
      </c>
      <c r="L126">
        <v>409863019</v>
      </c>
      <c r="M126" t="s">
        <v>2562</v>
      </c>
      <c r="N126" t="s">
        <v>1688</v>
      </c>
      <c r="O126" t="s">
        <v>1686</v>
      </c>
      <c r="P126">
        <v>0</v>
      </c>
      <c r="Q126">
        <v>106199</v>
      </c>
      <c r="R126">
        <v>0</v>
      </c>
      <c r="S126">
        <v>0</v>
      </c>
      <c r="T126" t="str">
        <f t="shared" si="2"/>
        <v>2081.00.0000.00.0-205616.2.1.1.01.03.110.</v>
      </c>
      <c r="U126" t="e" cm="1">
        <f t="array" aca="1" ref="U126" ca="1">+IF(COMPROMISOS_2025[[#This Row],[P]]="20","41080111",_xlfn.XLOOKUP(COMPROMISOS_2025[[#This Row],[concatenado]],PAA[[#All],[RCP-RUBRO]],PAA[[#All],[INDICADOR]],"",0))</f>
        <v>#NAME?</v>
      </c>
      <c r="V126" s="144" t="str">
        <f t="shared" si="3"/>
        <v>00</v>
      </c>
      <c r="W126" s="136">
        <f>+COMPROMISOS_2025[[#This Row],[valor_total]]-COMPROMISOS_2025[[#This Row],[total_cancelado]]</f>
        <v>106199</v>
      </c>
      <c r="X126" s="136">
        <f>COMPROMISOS_2025[[#This Row],[total_ordenes]]</f>
        <v>106199</v>
      </c>
      <c r="Y126" t="str" cm="1">
        <f t="array" aca="1" ref="Y126" ca="1">IFERROR(_xlfn.XLOOKUP(COMPROMISOS_2025[[#This Row],[concatenado]],PAA[[#All],[RCP-RUBRO]],PAA[[#All],[Actividad3]],VLOOKUP(COMPROMISOS_2025[[#This Row],[Indicador Principal]],$AC$2:$AD$17,2,0),0),"")</f>
        <v/>
      </c>
    </row>
    <row r="127" spans="1:25" hidden="1" x14ac:dyDescent="0.25">
      <c r="A127">
        <v>209</v>
      </c>
      <c r="B127" t="s">
        <v>2546</v>
      </c>
      <c r="C127" t="s">
        <v>883</v>
      </c>
      <c r="D127" t="s">
        <v>2547</v>
      </c>
      <c r="F127">
        <v>336</v>
      </c>
      <c r="G127">
        <v>19</v>
      </c>
      <c r="H127" t="s">
        <v>84</v>
      </c>
      <c r="I127" t="s">
        <v>1745</v>
      </c>
      <c r="J127">
        <v>142350</v>
      </c>
      <c r="K127">
        <v>2025</v>
      </c>
      <c r="L127">
        <v>426904187</v>
      </c>
      <c r="M127" t="s">
        <v>2563</v>
      </c>
      <c r="N127" t="s">
        <v>1688</v>
      </c>
      <c r="O127" t="s">
        <v>1686</v>
      </c>
      <c r="P127">
        <v>0</v>
      </c>
      <c r="Q127">
        <v>142350</v>
      </c>
      <c r="R127">
        <v>0</v>
      </c>
      <c r="S127">
        <v>0</v>
      </c>
      <c r="T127" t="str">
        <f t="shared" si="2"/>
        <v>2091.00.0000.00.0-205616.2.1.1.01.03.110.</v>
      </c>
      <c r="U127" t="e" cm="1">
        <f t="array" aca="1" ref="U127" ca="1">+IF(COMPROMISOS_2025[[#This Row],[P]]="20","41080111",_xlfn.XLOOKUP(COMPROMISOS_2025[[#This Row],[concatenado]],PAA[[#All],[RCP-RUBRO]],PAA[[#All],[INDICADOR]],"",0))</f>
        <v>#NAME?</v>
      </c>
      <c r="V127" s="144" t="str">
        <f t="shared" si="3"/>
        <v>00</v>
      </c>
      <c r="W127" s="136">
        <f>+COMPROMISOS_2025[[#This Row],[valor_total]]-COMPROMISOS_2025[[#This Row],[total_cancelado]]</f>
        <v>142350</v>
      </c>
      <c r="X127" s="136">
        <f>COMPROMISOS_2025[[#This Row],[total_ordenes]]</f>
        <v>142350</v>
      </c>
      <c r="Y127" t="str" cm="1">
        <f t="array" aca="1" ref="Y127" ca="1">IFERROR(_xlfn.XLOOKUP(COMPROMISOS_2025[[#This Row],[concatenado]],PAA[[#All],[RCP-RUBRO]],PAA[[#All],[Actividad3]],VLOOKUP(COMPROMISOS_2025[[#This Row],[Indicador Principal]],$AC$2:$AD$17,2,0),0),"")</f>
        <v/>
      </c>
    </row>
    <row r="128" spans="1:25" hidden="1" x14ac:dyDescent="0.25">
      <c r="A128">
        <v>210</v>
      </c>
      <c r="B128" t="s">
        <v>2546</v>
      </c>
      <c r="C128" t="s">
        <v>883</v>
      </c>
      <c r="D128" t="s">
        <v>2547</v>
      </c>
      <c r="F128">
        <v>336</v>
      </c>
      <c r="G128">
        <v>19</v>
      </c>
      <c r="H128" t="s">
        <v>84</v>
      </c>
      <c r="I128" t="s">
        <v>1745</v>
      </c>
      <c r="J128">
        <v>142350</v>
      </c>
      <c r="K128">
        <v>2025</v>
      </c>
      <c r="L128">
        <v>430562122</v>
      </c>
      <c r="M128" t="s">
        <v>2564</v>
      </c>
      <c r="N128" t="s">
        <v>1688</v>
      </c>
      <c r="O128" t="s">
        <v>1686</v>
      </c>
      <c r="P128">
        <v>0</v>
      </c>
      <c r="Q128">
        <v>142350</v>
      </c>
      <c r="R128">
        <v>0</v>
      </c>
      <c r="S128">
        <v>0</v>
      </c>
      <c r="T128" t="str">
        <f t="shared" si="2"/>
        <v>2101.00.0000.00.0-205616.2.1.1.01.03.110.</v>
      </c>
      <c r="U128" t="e" cm="1">
        <f t="array" aca="1" ref="U128" ca="1">+IF(COMPROMISOS_2025[[#This Row],[P]]="20","41080111",_xlfn.XLOOKUP(COMPROMISOS_2025[[#This Row],[concatenado]],PAA[[#All],[RCP-RUBRO]],PAA[[#All],[INDICADOR]],"",0))</f>
        <v>#NAME?</v>
      </c>
      <c r="V128" s="144" t="str">
        <f t="shared" si="3"/>
        <v>00</v>
      </c>
      <c r="W128" s="136">
        <f>+COMPROMISOS_2025[[#This Row],[valor_total]]-COMPROMISOS_2025[[#This Row],[total_cancelado]]</f>
        <v>142350</v>
      </c>
      <c r="X128" s="136">
        <f>COMPROMISOS_2025[[#This Row],[total_ordenes]]</f>
        <v>142350</v>
      </c>
      <c r="Y128" t="str" cm="1">
        <f t="array" aca="1" ref="Y128" ca="1">IFERROR(_xlfn.XLOOKUP(COMPROMISOS_2025[[#This Row],[concatenado]],PAA[[#All],[RCP-RUBRO]],PAA[[#All],[Actividad3]],VLOOKUP(COMPROMISOS_2025[[#This Row],[Indicador Principal]],$AC$2:$AD$17,2,0),0),"")</f>
        <v/>
      </c>
    </row>
    <row r="129" spans="1:25" hidden="1" x14ac:dyDescent="0.25">
      <c r="A129">
        <v>211</v>
      </c>
      <c r="B129" t="s">
        <v>2546</v>
      </c>
      <c r="C129" t="s">
        <v>883</v>
      </c>
      <c r="D129" t="s">
        <v>2547</v>
      </c>
      <c r="F129">
        <v>336</v>
      </c>
      <c r="G129">
        <v>19</v>
      </c>
      <c r="H129" t="s">
        <v>84</v>
      </c>
      <c r="I129" t="s">
        <v>1745</v>
      </c>
      <c r="J129">
        <v>142350</v>
      </c>
      <c r="K129">
        <v>2025</v>
      </c>
      <c r="L129">
        <v>43150744</v>
      </c>
      <c r="M129" t="s">
        <v>2565</v>
      </c>
      <c r="N129" t="s">
        <v>1688</v>
      </c>
      <c r="O129" t="s">
        <v>1686</v>
      </c>
      <c r="P129">
        <v>0</v>
      </c>
      <c r="Q129">
        <v>142350</v>
      </c>
      <c r="R129">
        <v>0</v>
      </c>
      <c r="S129">
        <v>0</v>
      </c>
      <c r="T129" t="str">
        <f t="shared" si="2"/>
        <v>2111.00.0000.00.0-205616.2.1.1.01.03.110.</v>
      </c>
      <c r="U129" t="e" cm="1">
        <f t="array" aca="1" ref="U129" ca="1">+IF(COMPROMISOS_2025[[#This Row],[P]]="20","41080111",_xlfn.XLOOKUP(COMPROMISOS_2025[[#This Row],[concatenado]],PAA[[#All],[RCP-RUBRO]],PAA[[#All],[INDICADOR]],"",0))</f>
        <v>#NAME?</v>
      </c>
      <c r="V129" s="144" t="str">
        <f t="shared" si="3"/>
        <v>00</v>
      </c>
      <c r="W129" s="136">
        <f>+COMPROMISOS_2025[[#This Row],[valor_total]]-COMPROMISOS_2025[[#This Row],[total_cancelado]]</f>
        <v>142350</v>
      </c>
      <c r="X129" s="136">
        <f>COMPROMISOS_2025[[#This Row],[total_ordenes]]</f>
        <v>142350</v>
      </c>
      <c r="Y129" t="str" cm="1">
        <f t="array" aca="1" ref="Y129" ca="1">IFERROR(_xlfn.XLOOKUP(COMPROMISOS_2025[[#This Row],[concatenado]],PAA[[#All],[RCP-RUBRO]],PAA[[#All],[Actividad3]],VLOOKUP(COMPROMISOS_2025[[#This Row],[Indicador Principal]],$AC$2:$AD$17,2,0),0),"")</f>
        <v/>
      </c>
    </row>
    <row r="130" spans="1:25" hidden="1" x14ac:dyDescent="0.25">
      <c r="A130">
        <v>212</v>
      </c>
      <c r="B130" t="s">
        <v>2546</v>
      </c>
      <c r="C130" t="s">
        <v>883</v>
      </c>
      <c r="D130" t="s">
        <v>2547</v>
      </c>
      <c r="F130">
        <v>336</v>
      </c>
      <c r="G130">
        <v>19</v>
      </c>
      <c r="H130" t="s">
        <v>84</v>
      </c>
      <c r="I130" t="s">
        <v>1745</v>
      </c>
      <c r="J130">
        <v>53289</v>
      </c>
      <c r="K130">
        <v>2025</v>
      </c>
      <c r="L130">
        <v>432089979</v>
      </c>
      <c r="M130" t="s">
        <v>2566</v>
      </c>
      <c r="N130" t="s">
        <v>1688</v>
      </c>
      <c r="O130" t="s">
        <v>1686</v>
      </c>
      <c r="P130">
        <v>0</v>
      </c>
      <c r="Q130">
        <v>53289</v>
      </c>
      <c r="R130">
        <v>0</v>
      </c>
      <c r="S130">
        <v>0</v>
      </c>
      <c r="T130" t="str">
        <f t="shared" ref="T130:T193" si="4">IF(A130&gt;=0,CONCATENATE(A130,H130),"")</f>
        <v>2121.00.0000.00.0-205616.2.1.1.01.03.110.</v>
      </c>
      <c r="U130" t="e" cm="1">
        <f t="array" aca="1" ref="U130" ca="1">+IF(COMPROMISOS_2025[[#This Row],[P]]="20","41080111",_xlfn.XLOOKUP(COMPROMISOS_2025[[#This Row],[concatenado]],PAA[[#All],[RCP-RUBRO]],PAA[[#All],[INDICADOR]],"",0))</f>
        <v>#NAME?</v>
      </c>
      <c r="V130" s="144" t="str">
        <f t="shared" ref="V130:V193" si="5">+MID(H130,11,2)</f>
        <v>00</v>
      </c>
      <c r="W130" s="136">
        <f>+COMPROMISOS_2025[[#This Row],[valor_total]]-COMPROMISOS_2025[[#This Row],[total_cancelado]]</f>
        <v>53289</v>
      </c>
      <c r="X130" s="136">
        <f>COMPROMISOS_2025[[#This Row],[total_ordenes]]</f>
        <v>53289</v>
      </c>
      <c r="Y130" t="str" cm="1">
        <f t="array" aca="1" ref="Y130" ca="1">IFERROR(_xlfn.XLOOKUP(COMPROMISOS_2025[[#This Row],[concatenado]],PAA[[#All],[RCP-RUBRO]],PAA[[#All],[Actividad3]],VLOOKUP(COMPROMISOS_2025[[#This Row],[Indicador Principal]],$AC$2:$AD$17,2,0),0),"")</f>
        <v/>
      </c>
    </row>
    <row r="131" spans="1:25" hidden="1" x14ac:dyDescent="0.25">
      <c r="A131">
        <v>213</v>
      </c>
      <c r="B131" t="s">
        <v>2546</v>
      </c>
      <c r="C131" t="s">
        <v>883</v>
      </c>
      <c r="D131" t="s">
        <v>2547</v>
      </c>
      <c r="F131">
        <v>336</v>
      </c>
      <c r="G131">
        <v>19</v>
      </c>
      <c r="H131" t="s">
        <v>84</v>
      </c>
      <c r="I131" t="s">
        <v>1745</v>
      </c>
      <c r="J131">
        <v>142350</v>
      </c>
      <c r="K131">
        <v>2025</v>
      </c>
      <c r="L131">
        <v>432518775</v>
      </c>
      <c r="M131" t="s">
        <v>2567</v>
      </c>
      <c r="N131" t="s">
        <v>1688</v>
      </c>
      <c r="O131" t="s">
        <v>1686</v>
      </c>
      <c r="P131">
        <v>0</v>
      </c>
      <c r="Q131">
        <v>142350</v>
      </c>
      <c r="R131">
        <v>0</v>
      </c>
      <c r="S131">
        <v>0</v>
      </c>
      <c r="T131" t="str">
        <f t="shared" si="4"/>
        <v>2131.00.0000.00.0-205616.2.1.1.01.03.110.</v>
      </c>
      <c r="U131" t="e" cm="1">
        <f t="array" aca="1" ref="U131" ca="1">+IF(COMPROMISOS_2025[[#This Row],[P]]="20","41080111",_xlfn.XLOOKUP(COMPROMISOS_2025[[#This Row],[concatenado]],PAA[[#All],[RCP-RUBRO]],PAA[[#All],[INDICADOR]],"",0))</f>
        <v>#NAME?</v>
      </c>
      <c r="V131" s="144" t="str">
        <f t="shared" si="5"/>
        <v>00</v>
      </c>
      <c r="W131" s="136">
        <f>+COMPROMISOS_2025[[#This Row],[valor_total]]-COMPROMISOS_2025[[#This Row],[total_cancelado]]</f>
        <v>142350</v>
      </c>
      <c r="X131" s="136">
        <f>COMPROMISOS_2025[[#This Row],[total_ordenes]]</f>
        <v>142350</v>
      </c>
      <c r="Y131" t="str" cm="1">
        <f t="array" aca="1" ref="Y131" ca="1">IFERROR(_xlfn.XLOOKUP(COMPROMISOS_2025[[#This Row],[concatenado]],PAA[[#All],[RCP-RUBRO]],PAA[[#All],[Actividad3]],VLOOKUP(COMPROMISOS_2025[[#This Row],[Indicador Principal]],$AC$2:$AD$17,2,0),0),"")</f>
        <v/>
      </c>
    </row>
    <row r="132" spans="1:25" hidden="1" x14ac:dyDescent="0.25">
      <c r="A132">
        <v>214</v>
      </c>
      <c r="B132" t="s">
        <v>2546</v>
      </c>
      <c r="C132" t="s">
        <v>883</v>
      </c>
      <c r="D132" t="s">
        <v>2547</v>
      </c>
      <c r="F132">
        <v>336</v>
      </c>
      <c r="G132">
        <v>19</v>
      </c>
      <c r="H132" t="s">
        <v>84</v>
      </c>
      <c r="I132" t="s">
        <v>1745</v>
      </c>
      <c r="J132">
        <v>142350</v>
      </c>
      <c r="K132">
        <v>2025</v>
      </c>
      <c r="L132">
        <v>432634054</v>
      </c>
      <c r="M132" t="s">
        <v>2568</v>
      </c>
      <c r="N132" t="s">
        <v>1688</v>
      </c>
      <c r="O132" t="s">
        <v>1686</v>
      </c>
      <c r="P132">
        <v>0</v>
      </c>
      <c r="Q132">
        <v>142350</v>
      </c>
      <c r="R132">
        <v>0</v>
      </c>
      <c r="S132">
        <v>0</v>
      </c>
      <c r="T132" t="str">
        <f t="shared" si="4"/>
        <v>2141.00.0000.00.0-205616.2.1.1.01.03.110.</v>
      </c>
      <c r="U132" t="e" cm="1">
        <f t="array" aca="1" ref="U132" ca="1">+IF(COMPROMISOS_2025[[#This Row],[P]]="20","41080111",_xlfn.XLOOKUP(COMPROMISOS_2025[[#This Row],[concatenado]],PAA[[#All],[RCP-RUBRO]],PAA[[#All],[INDICADOR]],"",0))</f>
        <v>#NAME?</v>
      </c>
      <c r="V132" s="144" t="str">
        <f t="shared" si="5"/>
        <v>00</v>
      </c>
      <c r="W132" s="136">
        <f>+COMPROMISOS_2025[[#This Row],[valor_total]]-COMPROMISOS_2025[[#This Row],[total_cancelado]]</f>
        <v>142350</v>
      </c>
      <c r="X132" s="136">
        <f>COMPROMISOS_2025[[#This Row],[total_ordenes]]</f>
        <v>142350</v>
      </c>
      <c r="Y132" t="str" cm="1">
        <f t="array" aca="1" ref="Y132" ca="1">IFERROR(_xlfn.XLOOKUP(COMPROMISOS_2025[[#This Row],[concatenado]],PAA[[#All],[RCP-RUBRO]],PAA[[#All],[Actividad3]],VLOOKUP(COMPROMISOS_2025[[#This Row],[Indicador Principal]],$AC$2:$AD$17,2,0),0),"")</f>
        <v/>
      </c>
    </row>
    <row r="133" spans="1:25" hidden="1" x14ac:dyDescent="0.25">
      <c r="A133">
        <v>215</v>
      </c>
      <c r="B133" t="s">
        <v>2546</v>
      </c>
      <c r="C133" t="s">
        <v>883</v>
      </c>
      <c r="D133" t="s">
        <v>2547</v>
      </c>
      <c r="F133">
        <v>336</v>
      </c>
      <c r="G133">
        <v>19</v>
      </c>
      <c r="H133" t="s">
        <v>84</v>
      </c>
      <c r="I133" t="s">
        <v>1745</v>
      </c>
      <c r="J133">
        <v>142350</v>
      </c>
      <c r="K133">
        <v>2025</v>
      </c>
      <c r="L133">
        <v>435157954</v>
      </c>
      <c r="M133" t="s">
        <v>2569</v>
      </c>
      <c r="N133" t="s">
        <v>1688</v>
      </c>
      <c r="O133" t="s">
        <v>1686</v>
      </c>
      <c r="P133">
        <v>0</v>
      </c>
      <c r="Q133">
        <v>142350</v>
      </c>
      <c r="R133">
        <v>0</v>
      </c>
      <c r="S133">
        <v>0</v>
      </c>
      <c r="T133" t="str">
        <f t="shared" si="4"/>
        <v>2151.00.0000.00.0-205616.2.1.1.01.03.110.</v>
      </c>
      <c r="U133" t="e" cm="1">
        <f t="array" aca="1" ref="U133" ca="1">+IF(COMPROMISOS_2025[[#This Row],[P]]="20","41080111",_xlfn.XLOOKUP(COMPROMISOS_2025[[#This Row],[concatenado]],PAA[[#All],[RCP-RUBRO]],PAA[[#All],[INDICADOR]],"",0))</f>
        <v>#NAME?</v>
      </c>
      <c r="V133" s="144" t="str">
        <f t="shared" si="5"/>
        <v>00</v>
      </c>
      <c r="W133" s="136">
        <f>+COMPROMISOS_2025[[#This Row],[valor_total]]-COMPROMISOS_2025[[#This Row],[total_cancelado]]</f>
        <v>142350</v>
      </c>
      <c r="X133" s="136">
        <f>COMPROMISOS_2025[[#This Row],[total_ordenes]]</f>
        <v>142350</v>
      </c>
      <c r="Y133" t="str" cm="1">
        <f t="array" aca="1" ref="Y133" ca="1">IFERROR(_xlfn.XLOOKUP(COMPROMISOS_2025[[#This Row],[concatenado]],PAA[[#All],[RCP-RUBRO]],PAA[[#All],[Actividad3]],VLOOKUP(COMPROMISOS_2025[[#This Row],[Indicador Principal]],$AC$2:$AD$17,2,0),0),"")</f>
        <v/>
      </c>
    </row>
    <row r="134" spans="1:25" hidden="1" x14ac:dyDescent="0.25">
      <c r="A134">
        <v>216</v>
      </c>
      <c r="B134" t="s">
        <v>2546</v>
      </c>
      <c r="C134" t="s">
        <v>883</v>
      </c>
      <c r="D134" t="s">
        <v>2547</v>
      </c>
      <c r="F134">
        <v>336</v>
      </c>
      <c r="G134">
        <v>19</v>
      </c>
      <c r="H134" t="s">
        <v>84</v>
      </c>
      <c r="I134" t="s">
        <v>1745</v>
      </c>
      <c r="J134">
        <v>107600</v>
      </c>
      <c r="K134">
        <v>2025</v>
      </c>
      <c r="L134">
        <v>435237514</v>
      </c>
      <c r="M134" t="s">
        <v>2570</v>
      </c>
      <c r="N134" t="s">
        <v>1688</v>
      </c>
      <c r="O134" t="s">
        <v>1686</v>
      </c>
      <c r="P134">
        <v>0</v>
      </c>
      <c r="Q134">
        <v>107600</v>
      </c>
      <c r="R134">
        <v>0</v>
      </c>
      <c r="S134">
        <v>0</v>
      </c>
      <c r="T134" t="str">
        <f t="shared" si="4"/>
        <v>2161.00.0000.00.0-205616.2.1.1.01.03.110.</v>
      </c>
      <c r="U134" t="e" cm="1">
        <f t="array" aca="1" ref="U134" ca="1">+IF(COMPROMISOS_2025[[#This Row],[P]]="20","41080111",_xlfn.XLOOKUP(COMPROMISOS_2025[[#This Row],[concatenado]],PAA[[#All],[RCP-RUBRO]],PAA[[#All],[INDICADOR]],"",0))</f>
        <v>#NAME?</v>
      </c>
      <c r="V134" s="144" t="str">
        <f t="shared" si="5"/>
        <v>00</v>
      </c>
      <c r="W134" s="136">
        <f>+COMPROMISOS_2025[[#This Row],[valor_total]]-COMPROMISOS_2025[[#This Row],[total_cancelado]]</f>
        <v>107600</v>
      </c>
      <c r="X134" s="136">
        <f>COMPROMISOS_2025[[#This Row],[total_ordenes]]</f>
        <v>107600</v>
      </c>
      <c r="Y134" t="str" cm="1">
        <f t="array" aca="1" ref="Y134" ca="1">IFERROR(_xlfn.XLOOKUP(COMPROMISOS_2025[[#This Row],[concatenado]],PAA[[#All],[RCP-RUBRO]],PAA[[#All],[Actividad3]],VLOOKUP(COMPROMISOS_2025[[#This Row],[Indicador Principal]],$AC$2:$AD$17,2,0),0),"")</f>
        <v/>
      </c>
    </row>
    <row r="135" spans="1:25" hidden="1" x14ac:dyDescent="0.25">
      <c r="A135">
        <v>217</v>
      </c>
      <c r="B135" t="s">
        <v>2546</v>
      </c>
      <c r="C135" t="s">
        <v>883</v>
      </c>
      <c r="D135" t="s">
        <v>2547</v>
      </c>
      <c r="F135">
        <v>336</v>
      </c>
      <c r="G135">
        <v>19</v>
      </c>
      <c r="H135" t="s">
        <v>84</v>
      </c>
      <c r="I135" t="s">
        <v>1745</v>
      </c>
      <c r="J135">
        <v>142350</v>
      </c>
      <c r="K135">
        <v>2025</v>
      </c>
      <c r="L135">
        <v>435482045</v>
      </c>
      <c r="M135" t="s">
        <v>2571</v>
      </c>
      <c r="N135" t="s">
        <v>1688</v>
      </c>
      <c r="O135" t="s">
        <v>1686</v>
      </c>
      <c r="P135">
        <v>0</v>
      </c>
      <c r="Q135">
        <v>142350</v>
      </c>
      <c r="R135">
        <v>0</v>
      </c>
      <c r="S135">
        <v>0</v>
      </c>
      <c r="T135" t="str">
        <f t="shared" si="4"/>
        <v>2171.00.0000.00.0-205616.2.1.1.01.03.110.</v>
      </c>
      <c r="U135" t="e" cm="1">
        <f t="array" aca="1" ref="U135" ca="1">+IF(COMPROMISOS_2025[[#This Row],[P]]="20","41080111",_xlfn.XLOOKUP(COMPROMISOS_2025[[#This Row],[concatenado]],PAA[[#All],[RCP-RUBRO]],PAA[[#All],[INDICADOR]],"",0))</f>
        <v>#NAME?</v>
      </c>
      <c r="V135" s="144" t="str">
        <f t="shared" si="5"/>
        <v>00</v>
      </c>
      <c r="W135" s="136">
        <f>+COMPROMISOS_2025[[#This Row],[valor_total]]-COMPROMISOS_2025[[#This Row],[total_cancelado]]</f>
        <v>142350</v>
      </c>
      <c r="X135" s="136">
        <f>COMPROMISOS_2025[[#This Row],[total_ordenes]]</f>
        <v>142350</v>
      </c>
      <c r="Y135" t="str" cm="1">
        <f t="array" aca="1" ref="Y135" ca="1">IFERROR(_xlfn.XLOOKUP(COMPROMISOS_2025[[#This Row],[concatenado]],PAA[[#All],[RCP-RUBRO]],PAA[[#All],[Actividad3]],VLOOKUP(COMPROMISOS_2025[[#This Row],[Indicador Principal]],$AC$2:$AD$17,2,0),0),"")</f>
        <v/>
      </c>
    </row>
    <row r="136" spans="1:25" hidden="1" x14ac:dyDescent="0.25">
      <c r="A136">
        <v>218</v>
      </c>
      <c r="B136" t="s">
        <v>2546</v>
      </c>
      <c r="C136" t="s">
        <v>883</v>
      </c>
      <c r="D136" t="s">
        <v>2547</v>
      </c>
      <c r="F136">
        <v>336</v>
      </c>
      <c r="G136">
        <v>19</v>
      </c>
      <c r="H136" t="s">
        <v>84</v>
      </c>
      <c r="I136" t="s">
        <v>1745</v>
      </c>
      <c r="J136">
        <v>142350</v>
      </c>
      <c r="K136">
        <v>2025</v>
      </c>
      <c r="L136">
        <v>435759807</v>
      </c>
      <c r="M136" t="s">
        <v>2572</v>
      </c>
      <c r="N136" t="s">
        <v>1688</v>
      </c>
      <c r="O136" t="s">
        <v>1686</v>
      </c>
      <c r="P136">
        <v>0</v>
      </c>
      <c r="Q136">
        <v>142350</v>
      </c>
      <c r="R136">
        <v>0</v>
      </c>
      <c r="S136">
        <v>0</v>
      </c>
      <c r="T136" t="str">
        <f t="shared" si="4"/>
        <v>2181.00.0000.00.0-205616.2.1.1.01.03.110.</v>
      </c>
      <c r="U136" t="e" cm="1">
        <f t="array" aca="1" ref="U136" ca="1">+IF(COMPROMISOS_2025[[#This Row],[P]]="20","41080111",_xlfn.XLOOKUP(COMPROMISOS_2025[[#This Row],[concatenado]],PAA[[#All],[RCP-RUBRO]],PAA[[#All],[INDICADOR]],"",0))</f>
        <v>#NAME?</v>
      </c>
      <c r="V136" s="144" t="str">
        <f t="shared" si="5"/>
        <v>00</v>
      </c>
      <c r="W136" s="136">
        <f>+COMPROMISOS_2025[[#This Row],[valor_total]]-COMPROMISOS_2025[[#This Row],[total_cancelado]]</f>
        <v>142350</v>
      </c>
      <c r="X136" s="136">
        <f>COMPROMISOS_2025[[#This Row],[total_ordenes]]</f>
        <v>142350</v>
      </c>
      <c r="Y136" t="str" cm="1">
        <f t="array" aca="1" ref="Y136" ca="1">IFERROR(_xlfn.XLOOKUP(COMPROMISOS_2025[[#This Row],[concatenado]],PAA[[#All],[RCP-RUBRO]],PAA[[#All],[Actividad3]],VLOOKUP(COMPROMISOS_2025[[#This Row],[Indicador Principal]],$AC$2:$AD$17,2,0),0),"")</f>
        <v/>
      </c>
    </row>
    <row r="137" spans="1:25" hidden="1" x14ac:dyDescent="0.25">
      <c r="A137">
        <v>219</v>
      </c>
      <c r="B137" t="s">
        <v>2546</v>
      </c>
      <c r="C137" t="s">
        <v>883</v>
      </c>
      <c r="D137" t="s">
        <v>2547</v>
      </c>
      <c r="F137">
        <v>336</v>
      </c>
      <c r="G137">
        <v>19</v>
      </c>
      <c r="H137" t="s">
        <v>84</v>
      </c>
      <c r="I137" t="s">
        <v>1745</v>
      </c>
      <c r="J137">
        <v>142350</v>
      </c>
      <c r="K137">
        <v>2025</v>
      </c>
      <c r="L137">
        <v>435787567</v>
      </c>
      <c r="M137" t="s">
        <v>2573</v>
      </c>
      <c r="N137" t="s">
        <v>1688</v>
      </c>
      <c r="O137" t="s">
        <v>1686</v>
      </c>
      <c r="P137">
        <v>0</v>
      </c>
      <c r="Q137">
        <v>142350</v>
      </c>
      <c r="R137">
        <v>0</v>
      </c>
      <c r="S137">
        <v>0</v>
      </c>
      <c r="T137" t="str">
        <f t="shared" si="4"/>
        <v>2191.00.0000.00.0-205616.2.1.1.01.03.110.</v>
      </c>
      <c r="U137" t="e" cm="1">
        <f t="array" aca="1" ref="U137" ca="1">+IF(COMPROMISOS_2025[[#This Row],[P]]="20","41080111",_xlfn.XLOOKUP(COMPROMISOS_2025[[#This Row],[concatenado]],PAA[[#All],[RCP-RUBRO]],PAA[[#All],[INDICADOR]],"",0))</f>
        <v>#NAME?</v>
      </c>
      <c r="V137" s="144" t="str">
        <f t="shared" si="5"/>
        <v>00</v>
      </c>
      <c r="W137" s="136">
        <f>+COMPROMISOS_2025[[#This Row],[valor_total]]-COMPROMISOS_2025[[#This Row],[total_cancelado]]</f>
        <v>142350</v>
      </c>
      <c r="X137" s="136">
        <f>COMPROMISOS_2025[[#This Row],[total_ordenes]]</f>
        <v>142350</v>
      </c>
      <c r="Y137" t="str" cm="1">
        <f t="array" aca="1" ref="Y137" ca="1">IFERROR(_xlfn.XLOOKUP(COMPROMISOS_2025[[#This Row],[concatenado]],PAA[[#All],[RCP-RUBRO]],PAA[[#All],[Actividad3]],VLOOKUP(COMPROMISOS_2025[[#This Row],[Indicador Principal]],$AC$2:$AD$17,2,0),0),"")</f>
        <v/>
      </c>
    </row>
    <row r="138" spans="1:25" hidden="1" x14ac:dyDescent="0.25">
      <c r="A138">
        <v>220</v>
      </c>
      <c r="B138" t="s">
        <v>2546</v>
      </c>
      <c r="C138" t="s">
        <v>883</v>
      </c>
      <c r="D138" t="s">
        <v>2547</v>
      </c>
      <c r="F138">
        <v>336</v>
      </c>
      <c r="G138">
        <v>19</v>
      </c>
      <c r="H138" t="s">
        <v>84</v>
      </c>
      <c r="I138" t="s">
        <v>1745</v>
      </c>
      <c r="J138">
        <v>142350</v>
      </c>
      <c r="K138">
        <v>2025</v>
      </c>
      <c r="L138">
        <v>435863844</v>
      </c>
      <c r="M138" t="s">
        <v>2574</v>
      </c>
      <c r="N138" t="s">
        <v>1688</v>
      </c>
      <c r="O138" t="s">
        <v>1686</v>
      </c>
      <c r="P138">
        <v>0</v>
      </c>
      <c r="Q138">
        <v>142350</v>
      </c>
      <c r="R138">
        <v>0</v>
      </c>
      <c r="S138">
        <v>0</v>
      </c>
      <c r="T138" t="str">
        <f t="shared" si="4"/>
        <v>2201.00.0000.00.0-205616.2.1.1.01.03.110.</v>
      </c>
      <c r="U138" t="e" cm="1">
        <f t="array" aca="1" ref="U138" ca="1">+IF(COMPROMISOS_2025[[#This Row],[P]]="20","41080111",_xlfn.XLOOKUP(COMPROMISOS_2025[[#This Row],[concatenado]],PAA[[#All],[RCP-RUBRO]],PAA[[#All],[INDICADOR]],"",0))</f>
        <v>#NAME?</v>
      </c>
      <c r="V138" s="144" t="str">
        <f t="shared" si="5"/>
        <v>00</v>
      </c>
      <c r="W138" s="136">
        <f>+COMPROMISOS_2025[[#This Row],[valor_total]]-COMPROMISOS_2025[[#This Row],[total_cancelado]]</f>
        <v>142350</v>
      </c>
      <c r="X138" s="136">
        <f>COMPROMISOS_2025[[#This Row],[total_ordenes]]</f>
        <v>142350</v>
      </c>
      <c r="Y138" t="str" cm="1">
        <f t="array" aca="1" ref="Y138" ca="1">IFERROR(_xlfn.XLOOKUP(COMPROMISOS_2025[[#This Row],[concatenado]],PAA[[#All],[RCP-RUBRO]],PAA[[#All],[Actividad3]],VLOOKUP(COMPROMISOS_2025[[#This Row],[Indicador Principal]],$AC$2:$AD$17,2,0),0),"")</f>
        <v/>
      </c>
    </row>
    <row r="139" spans="1:25" hidden="1" x14ac:dyDescent="0.25">
      <c r="A139">
        <v>221</v>
      </c>
      <c r="B139" t="s">
        <v>2546</v>
      </c>
      <c r="C139" t="s">
        <v>883</v>
      </c>
      <c r="D139" t="s">
        <v>2547</v>
      </c>
      <c r="F139">
        <v>336</v>
      </c>
      <c r="G139">
        <v>19</v>
      </c>
      <c r="H139" t="s">
        <v>84</v>
      </c>
      <c r="I139" t="s">
        <v>1745</v>
      </c>
      <c r="J139">
        <v>142350</v>
      </c>
      <c r="K139">
        <v>2025</v>
      </c>
      <c r="L139">
        <v>435954059</v>
      </c>
      <c r="M139" t="s">
        <v>2575</v>
      </c>
      <c r="N139" t="s">
        <v>1688</v>
      </c>
      <c r="O139" t="s">
        <v>1686</v>
      </c>
      <c r="P139">
        <v>0</v>
      </c>
      <c r="Q139">
        <v>142350</v>
      </c>
      <c r="R139">
        <v>0</v>
      </c>
      <c r="S139">
        <v>0</v>
      </c>
      <c r="T139" t="str">
        <f t="shared" si="4"/>
        <v>2211.00.0000.00.0-205616.2.1.1.01.03.110.</v>
      </c>
      <c r="U139" t="e" cm="1">
        <f t="array" aca="1" ref="U139" ca="1">+IF(COMPROMISOS_2025[[#This Row],[P]]="20","41080111",_xlfn.XLOOKUP(COMPROMISOS_2025[[#This Row],[concatenado]],PAA[[#All],[RCP-RUBRO]],PAA[[#All],[INDICADOR]],"",0))</f>
        <v>#NAME?</v>
      </c>
      <c r="V139" s="144" t="str">
        <f t="shared" si="5"/>
        <v>00</v>
      </c>
      <c r="W139" s="136">
        <f>+COMPROMISOS_2025[[#This Row],[valor_total]]-COMPROMISOS_2025[[#This Row],[total_cancelado]]</f>
        <v>142350</v>
      </c>
      <c r="X139" s="136">
        <f>COMPROMISOS_2025[[#This Row],[total_ordenes]]</f>
        <v>142350</v>
      </c>
      <c r="Y139" t="str" cm="1">
        <f t="array" aca="1" ref="Y139" ca="1">IFERROR(_xlfn.XLOOKUP(COMPROMISOS_2025[[#This Row],[concatenado]],PAA[[#All],[RCP-RUBRO]],PAA[[#All],[Actividad3]],VLOOKUP(COMPROMISOS_2025[[#This Row],[Indicador Principal]],$AC$2:$AD$17,2,0),0),"")</f>
        <v/>
      </c>
    </row>
    <row r="140" spans="1:25" hidden="1" x14ac:dyDescent="0.25">
      <c r="A140">
        <v>222</v>
      </c>
      <c r="B140" t="s">
        <v>2546</v>
      </c>
      <c r="C140" t="s">
        <v>883</v>
      </c>
      <c r="D140" t="s">
        <v>2547</v>
      </c>
      <c r="F140">
        <v>336</v>
      </c>
      <c r="G140">
        <v>19</v>
      </c>
      <c r="H140" t="s">
        <v>84</v>
      </c>
      <c r="I140" t="s">
        <v>1745</v>
      </c>
      <c r="J140">
        <v>142350</v>
      </c>
      <c r="K140">
        <v>2025</v>
      </c>
      <c r="L140">
        <v>43610005</v>
      </c>
      <c r="M140" t="s">
        <v>2576</v>
      </c>
      <c r="N140" t="s">
        <v>1688</v>
      </c>
      <c r="O140" t="s">
        <v>1686</v>
      </c>
      <c r="P140">
        <v>0</v>
      </c>
      <c r="Q140">
        <v>142350</v>
      </c>
      <c r="R140">
        <v>0</v>
      </c>
      <c r="S140">
        <v>0</v>
      </c>
      <c r="T140" t="str">
        <f t="shared" si="4"/>
        <v>2221.00.0000.00.0-205616.2.1.1.01.03.110.</v>
      </c>
      <c r="U140" t="e" cm="1">
        <f t="array" aca="1" ref="U140" ca="1">+IF(COMPROMISOS_2025[[#This Row],[P]]="20","41080111",_xlfn.XLOOKUP(COMPROMISOS_2025[[#This Row],[concatenado]],PAA[[#All],[RCP-RUBRO]],PAA[[#All],[INDICADOR]],"",0))</f>
        <v>#NAME?</v>
      </c>
      <c r="V140" s="144" t="str">
        <f t="shared" si="5"/>
        <v>00</v>
      </c>
      <c r="W140" s="136">
        <f>+COMPROMISOS_2025[[#This Row],[valor_total]]-COMPROMISOS_2025[[#This Row],[total_cancelado]]</f>
        <v>142350</v>
      </c>
      <c r="X140" s="136">
        <f>COMPROMISOS_2025[[#This Row],[total_ordenes]]</f>
        <v>142350</v>
      </c>
      <c r="Y140" t="str" cm="1">
        <f t="array" aca="1" ref="Y140" ca="1">IFERROR(_xlfn.XLOOKUP(COMPROMISOS_2025[[#This Row],[concatenado]],PAA[[#All],[RCP-RUBRO]],PAA[[#All],[Actividad3]],VLOOKUP(COMPROMISOS_2025[[#This Row],[Indicador Principal]],$AC$2:$AD$17,2,0),0),"")</f>
        <v/>
      </c>
    </row>
    <row r="141" spans="1:25" hidden="1" x14ac:dyDescent="0.25">
      <c r="A141">
        <v>223</v>
      </c>
      <c r="B141" t="s">
        <v>2546</v>
      </c>
      <c r="C141" t="s">
        <v>883</v>
      </c>
      <c r="D141" t="s">
        <v>2547</v>
      </c>
      <c r="F141">
        <v>336</v>
      </c>
      <c r="G141">
        <v>19</v>
      </c>
      <c r="H141" t="s">
        <v>84</v>
      </c>
      <c r="I141" t="s">
        <v>1745</v>
      </c>
      <c r="J141">
        <v>142350</v>
      </c>
      <c r="K141">
        <v>2025</v>
      </c>
      <c r="L141">
        <v>436356857</v>
      </c>
      <c r="M141" t="s">
        <v>2577</v>
      </c>
      <c r="N141" t="s">
        <v>1688</v>
      </c>
      <c r="O141" t="s">
        <v>1686</v>
      </c>
      <c r="P141">
        <v>0</v>
      </c>
      <c r="Q141">
        <v>142350</v>
      </c>
      <c r="R141">
        <v>0</v>
      </c>
      <c r="S141">
        <v>0</v>
      </c>
      <c r="T141" t="str">
        <f t="shared" si="4"/>
        <v>2231.00.0000.00.0-205616.2.1.1.01.03.110.</v>
      </c>
      <c r="U141" t="e" cm="1">
        <f t="array" aca="1" ref="U141" ca="1">+IF(COMPROMISOS_2025[[#This Row],[P]]="20","41080111",_xlfn.XLOOKUP(COMPROMISOS_2025[[#This Row],[concatenado]],PAA[[#All],[RCP-RUBRO]],PAA[[#All],[INDICADOR]],"",0))</f>
        <v>#NAME?</v>
      </c>
      <c r="V141" s="144" t="str">
        <f t="shared" si="5"/>
        <v>00</v>
      </c>
      <c r="W141" s="136">
        <f>+COMPROMISOS_2025[[#This Row],[valor_total]]-COMPROMISOS_2025[[#This Row],[total_cancelado]]</f>
        <v>142350</v>
      </c>
      <c r="X141" s="136">
        <f>COMPROMISOS_2025[[#This Row],[total_ordenes]]</f>
        <v>142350</v>
      </c>
      <c r="Y141" t="str" cm="1">
        <f t="array" aca="1" ref="Y141" ca="1">IFERROR(_xlfn.XLOOKUP(COMPROMISOS_2025[[#This Row],[concatenado]],PAA[[#All],[RCP-RUBRO]],PAA[[#All],[Actividad3]],VLOOKUP(COMPROMISOS_2025[[#This Row],[Indicador Principal]],$AC$2:$AD$17,2,0),0),"")</f>
        <v/>
      </c>
    </row>
    <row r="142" spans="1:25" hidden="1" x14ac:dyDescent="0.25">
      <c r="A142">
        <v>224</v>
      </c>
      <c r="B142" t="s">
        <v>2546</v>
      </c>
      <c r="C142" t="s">
        <v>883</v>
      </c>
      <c r="D142" t="s">
        <v>2547</v>
      </c>
      <c r="F142">
        <v>336</v>
      </c>
      <c r="G142">
        <v>19</v>
      </c>
      <c r="H142" t="s">
        <v>84</v>
      </c>
      <c r="I142" t="s">
        <v>1745</v>
      </c>
      <c r="J142">
        <v>142350</v>
      </c>
      <c r="K142">
        <v>2025</v>
      </c>
      <c r="L142">
        <v>436718286</v>
      </c>
      <c r="M142" t="s">
        <v>2578</v>
      </c>
      <c r="N142" t="s">
        <v>1688</v>
      </c>
      <c r="O142" t="s">
        <v>1686</v>
      </c>
      <c r="P142">
        <v>0</v>
      </c>
      <c r="Q142">
        <v>142350</v>
      </c>
      <c r="R142">
        <v>0</v>
      </c>
      <c r="S142">
        <v>0</v>
      </c>
      <c r="T142" t="str">
        <f t="shared" si="4"/>
        <v>2241.00.0000.00.0-205616.2.1.1.01.03.110.</v>
      </c>
      <c r="U142" t="e" cm="1">
        <f t="array" aca="1" ref="U142" ca="1">+IF(COMPROMISOS_2025[[#This Row],[P]]="20","41080111",_xlfn.XLOOKUP(COMPROMISOS_2025[[#This Row],[concatenado]],PAA[[#All],[RCP-RUBRO]],PAA[[#All],[INDICADOR]],"",0))</f>
        <v>#NAME?</v>
      </c>
      <c r="V142" s="144" t="str">
        <f t="shared" si="5"/>
        <v>00</v>
      </c>
      <c r="W142" s="136">
        <f>+COMPROMISOS_2025[[#This Row],[valor_total]]-COMPROMISOS_2025[[#This Row],[total_cancelado]]</f>
        <v>142350</v>
      </c>
      <c r="X142" s="136">
        <f>COMPROMISOS_2025[[#This Row],[total_ordenes]]</f>
        <v>142350</v>
      </c>
      <c r="Y142" t="str" cm="1">
        <f t="array" aca="1" ref="Y142" ca="1">IFERROR(_xlfn.XLOOKUP(COMPROMISOS_2025[[#This Row],[concatenado]],PAA[[#All],[RCP-RUBRO]],PAA[[#All],[Actividad3]],VLOOKUP(COMPROMISOS_2025[[#This Row],[Indicador Principal]],$AC$2:$AD$17,2,0),0),"")</f>
        <v/>
      </c>
    </row>
    <row r="143" spans="1:25" hidden="1" x14ac:dyDescent="0.25">
      <c r="A143">
        <v>225</v>
      </c>
      <c r="B143" t="s">
        <v>2546</v>
      </c>
      <c r="C143" t="s">
        <v>883</v>
      </c>
      <c r="D143" t="s">
        <v>2547</v>
      </c>
      <c r="F143">
        <v>336</v>
      </c>
      <c r="G143">
        <v>19</v>
      </c>
      <c r="H143" t="s">
        <v>84</v>
      </c>
      <c r="I143" t="s">
        <v>1745</v>
      </c>
      <c r="J143">
        <v>142350</v>
      </c>
      <c r="K143">
        <v>2025</v>
      </c>
      <c r="L143">
        <v>437049643</v>
      </c>
      <c r="M143" t="s">
        <v>2579</v>
      </c>
      <c r="N143" t="s">
        <v>1688</v>
      </c>
      <c r="O143" t="s">
        <v>1686</v>
      </c>
      <c r="P143">
        <v>0</v>
      </c>
      <c r="Q143">
        <v>142350</v>
      </c>
      <c r="R143">
        <v>0</v>
      </c>
      <c r="S143">
        <v>0</v>
      </c>
      <c r="T143" t="str">
        <f t="shared" si="4"/>
        <v>2251.00.0000.00.0-205616.2.1.1.01.03.110.</v>
      </c>
      <c r="U143" t="e" cm="1">
        <f t="array" aca="1" ref="U143" ca="1">+IF(COMPROMISOS_2025[[#This Row],[P]]="20","41080111",_xlfn.XLOOKUP(COMPROMISOS_2025[[#This Row],[concatenado]],PAA[[#All],[RCP-RUBRO]],PAA[[#All],[INDICADOR]],"",0))</f>
        <v>#NAME?</v>
      </c>
      <c r="V143" s="144" t="str">
        <f t="shared" si="5"/>
        <v>00</v>
      </c>
      <c r="W143" s="136">
        <f>+COMPROMISOS_2025[[#This Row],[valor_total]]-COMPROMISOS_2025[[#This Row],[total_cancelado]]</f>
        <v>142350</v>
      </c>
      <c r="X143" s="136">
        <f>COMPROMISOS_2025[[#This Row],[total_ordenes]]</f>
        <v>142350</v>
      </c>
      <c r="Y143" t="str" cm="1">
        <f t="array" aca="1" ref="Y143" ca="1">IFERROR(_xlfn.XLOOKUP(COMPROMISOS_2025[[#This Row],[concatenado]],PAA[[#All],[RCP-RUBRO]],PAA[[#All],[Actividad3]],VLOOKUP(COMPROMISOS_2025[[#This Row],[Indicador Principal]],$AC$2:$AD$17,2,0),0),"")</f>
        <v/>
      </c>
    </row>
    <row r="144" spans="1:25" hidden="1" x14ac:dyDescent="0.25">
      <c r="A144">
        <v>226</v>
      </c>
      <c r="B144" t="s">
        <v>2546</v>
      </c>
      <c r="C144" t="s">
        <v>883</v>
      </c>
      <c r="D144" t="s">
        <v>2547</v>
      </c>
      <c r="F144">
        <v>336</v>
      </c>
      <c r="G144">
        <v>19</v>
      </c>
      <c r="H144" t="s">
        <v>84</v>
      </c>
      <c r="I144" t="s">
        <v>1745</v>
      </c>
      <c r="J144">
        <v>142350</v>
      </c>
      <c r="K144">
        <v>2025</v>
      </c>
      <c r="L144">
        <v>437280643</v>
      </c>
      <c r="M144" t="s">
        <v>2580</v>
      </c>
      <c r="N144" t="s">
        <v>1688</v>
      </c>
      <c r="O144" t="s">
        <v>1686</v>
      </c>
      <c r="P144">
        <v>0</v>
      </c>
      <c r="Q144">
        <v>142350</v>
      </c>
      <c r="R144">
        <v>0</v>
      </c>
      <c r="S144">
        <v>0</v>
      </c>
      <c r="T144" t="str">
        <f t="shared" si="4"/>
        <v>2261.00.0000.00.0-205616.2.1.1.01.03.110.</v>
      </c>
      <c r="U144" t="e" cm="1">
        <f t="array" aca="1" ref="U144" ca="1">+IF(COMPROMISOS_2025[[#This Row],[P]]="20","41080111",_xlfn.XLOOKUP(COMPROMISOS_2025[[#This Row],[concatenado]],PAA[[#All],[RCP-RUBRO]],PAA[[#All],[INDICADOR]],"",0))</f>
        <v>#NAME?</v>
      </c>
      <c r="V144" s="144" t="str">
        <f t="shared" si="5"/>
        <v>00</v>
      </c>
      <c r="W144" s="136">
        <f>+COMPROMISOS_2025[[#This Row],[valor_total]]-COMPROMISOS_2025[[#This Row],[total_cancelado]]</f>
        <v>142350</v>
      </c>
      <c r="X144" s="136">
        <f>COMPROMISOS_2025[[#This Row],[total_ordenes]]</f>
        <v>142350</v>
      </c>
      <c r="Y144" t="str" cm="1">
        <f t="array" aca="1" ref="Y144" ca="1">IFERROR(_xlfn.XLOOKUP(COMPROMISOS_2025[[#This Row],[concatenado]],PAA[[#All],[RCP-RUBRO]],PAA[[#All],[Actividad3]],VLOOKUP(COMPROMISOS_2025[[#This Row],[Indicador Principal]],$AC$2:$AD$17,2,0),0),"")</f>
        <v/>
      </c>
    </row>
    <row r="145" spans="1:25" hidden="1" x14ac:dyDescent="0.25">
      <c r="A145">
        <v>227</v>
      </c>
      <c r="B145" t="s">
        <v>2546</v>
      </c>
      <c r="C145" t="s">
        <v>883</v>
      </c>
      <c r="D145" t="s">
        <v>2547</v>
      </c>
      <c r="F145">
        <v>336</v>
      </c>
      <c r="G145">
        <v>19</v>
      </c>
      <c r="H145" t="s">
        <v>84</v>
      </c>
      <c r="I145" t="s">
        <v>1745</v>
      </c>
      <c r="J145">
        <v>142350</v>
      </c>
      <c r="K145">
        <v>2025</v>
      </c>
      <c r="L145">
        <v>437549432</v>
      </c>
      <c r="M145" t="s">
        <v>2581</v>
      </c>
      <c r="N145" t="s">
        <v>1688</v>
      </c>
      <c r="O145" t="s">
        <v>1686</v>
      </c>
      <c r="P145">
        <v>0</v>
      </c>
      <c r="Q145">
        <v>142350</v>
      </c>
      <c r="R145">
        <v>0</v>
      </c>
      <c r="S145">
        <v>0</v>
      </c>
      <c r="T145" t="str">
        <f t="shared" si="4"/>
        <v>2271.00.0000.00.0-205616.2.1.1.01.03.110.</v>
      </c>
      <c r="U145" t="e" cm="1">
        <f t="array" aca="1" ref="U145" ca="1">+IF(COMPROMISOS_2025[[#This Row],[P]]="20","41080111",_xlfn.XLOOKUP(COMPROMISOS_2025[[#This Row],[concatenado]],PAA[[#All],[RCP-RUBRO]],PAA[[#All],[INDICADOR]],"",0))</f>
        <v>#NAME?</v>
      </c>
      <c r="V145" s="144" t="str">
        <f t="shared" si="5"/>
        <v>00</v>
      </c>
      <c r="W145" s="136">
        <f>+COMPROMISOS_2025[[#This Row],[valor_total]]-COMPROMISOS_2025[[#This Row],[total_cancelado]]</f>
        <v>142350</v>
      </c>
      <c r="X145" s="136">
        <f>COMPROMISOS_2025[[#This Row],[total_ordenes]]</f>
        <v>142350</v>
      </c>
      <c r="Y145" t="str" cm="1">
        <f t="array" aca="1" ref="Y145" ca="1">IFERROR(_xlfn.XLOOKUP(COMPROMISOS_2025[[#This Row],[concatenado]],PAA[[#All],[RCP-RUBRO]],PAA[[#All],[Actividad3]],VLOOKUP(COMPROMISOS_2025[[#This Row],[Indicador Principal]],$AC$2:$AD$17,2,0),0),"")</f>
        <v/>
      </c>
    </row>
    <row r="146" spans="1:25" hidden="1" x14ac:dyDescent="0.25">
      <c r="A146">
        <v>228</v>
      </c>
      <c r="B146" t="s">
        <v>2546</v>
      </c>
      <c r="C146" t="s">
        <v>883</v>
      </c>
      <c r="D146" t="s">
        <v>2547</v>
      </c>
      <c r="F146">
        <v>336</v>
      </c>
      <c r="G146">
        <v>19</v>
      </c>
      <c r="H146" t="s">
        <v>84</v>
      </c>
      <c r="I146" t="s">
        <v>1745</v>
      </c>
      <c r="J146">
        <v>142350</v>
      </c>
      <c r="K146">
        <v>2025</v>
      </c>
      <c r="L146">
        <v>438068629</v>
      </c>
      <c r="M146" t="s">
        <v>2582</v>
      </c>
      <c r="N146" t="s">
        <v>1688</v>
      </c>
      <c r="O146" t="s">
        <v>1686</v>
      </c>
      <c r="P146">
        <v>0</v>
      </c>
      <c r="Q146">
        <v>142350</v>
      </c>
      <c r="R146">
        <v>0</v>
      </c>
      <c r="S146">
        <v>0</v>
      </c>
      <c r="T146" t="str">
        <f t="shared" si="4"/>
        <v>2281.00.0000.00.0-205616.2.1.1.01.03.110.</v>
      </c>
      <c r="U146" t="e" cm="1">
        <f t="array" aca="1" ref="U146" ca="1">+IF(COMPROMISOS_2025[[#This Row],[P]]="20","41080111",_xlfn.XLOOKUP(COMPROMISOS_2025[[#This Row],[concatenado]],PAA[[#All],[RCP-RUBRO]],PAA[[#All],[INDICADOR]],"",0))</f>
        <v>#NAME?</v>
      </c>
      <c r="V146" s="144" t="str">
        <f t="shared" si="5"/>
        <v>00</v>
      </c>
      <c r="W146" s="136">
        <f>+COMPROMISOS_2025[[#This Row],[valor_total]]-COMPROMISOS_2025[[#This Row],[total_cancelado]]</f>
        <v>142350</v>
      </c>
      <c r="X146" s="136">
        <f>COMPROMISOS_2025[[#This Row],[total_ordenes]]</f>
        <v>142350</v>
      </c>
      <c r="Y146" t="str" cm="1">
        <f t="array" aca="1" ref="Y146" ca="1">IFERROR(_xlfn.XLOOKUP(COMPROMISOS_2025[[#This Row],[concatenado]],PAA[[#All],[RCP-RUBRO]],PAA[[#All],[Actividad3]],VLOOKUP(COMPROMISOS_2025[[#This Row],[Indicador Principal]],$AC$2:$AD$17,2,0),0),"")</f>
        <v/>
      </c>
    </row>
    <row r="147" spans="1:25" hidden="1" x14ac:dyDescent="0.25">
      <c r="A147">
        <v>229</v>
      </c>
      <c r="B147" t="s">
        <v>2546</v>
      </c>
      <c r="C147" t="s">
        <v>883</v>
      </c>
      <c r="D147" t="s">
        <v>2547</v>
      </c>
      <c r="F147">
        <v>336</v>
      </c>
      <c r="G147">
        <v>19</v>
      </c>
      <c r="H147" t="s">
        <v>84</v>
      </c>
      <c r="I147" t="s">
        <v>1745</v>
      </c>
      <c r="J147">
        <v>142350</v>
      </c>
      <c r="K147">
        <v>2025</v>
      </c>
      <c r="L147">
        <v>438142995</v>
      </c>
      <c r="M147" t="s">
        <v>2583</v>
      </c>
      <c r="N147" t="s">
        <v>1688</v>
      </c>
      <c r="O147" t="s">
        <v>1686</v>
      </c>
      <c r="P147">
        <v>0</v>
      </c>
      <c r="Q147">
        <v>142350</v>
      </c>
      <c r="R147">
        <v>0</v>
      </c>
      <c r="S147">
        <v>0</v>
      </c>
      <c r="T147" t="str">
        <f t="shared" si="4"/>
        <v>2291.00.0000.00.0-205616.2.1.1.01.03.110.</v>
      </c>
      <c r="U147" t="e" cm="1">
        <f t="array" aca="1" ref="U147" ca="1">+IF(COMPROMISOS_2025[[#This Row],[P]]="20","41080111",_xlfn.XLOOKUP(COMPROMISOS_2025[[#This Row],[concatenado]],PAA[[#All],[RCP-RUBRO]],PAA[[#All],[INDICADOR]],"",0))</f>
        <v>#NAME?</v>
      </c>
      <c r="V147" s="144" t="str">
        <f t="shared" si="5"/>
        <v>00</v>
      </c>
      <c r="W147" s="136">
        <f>+COMPROMISOS_2025[[#This Row],[valor_total]]-COMPROMISOS_2025[[#This Row],[total_cancelado]]</f>
        <v>142350</v>
      </c>
      <c r="X147" s="136">
        <f>COMPROMISOS_2025[[#This Row],[total_ordenes]]</f>
        <v>142350</v>
      </c>
      <c r="Y147" t="str" cm="1">
        <f t="array" aca="1" ref="Y147" ca="1">IFERROR(_xlfn.XLOOKUP(COMPROMISOS_2025[[#This Row],[concatenado]],PAA[[#All],[RCP-RUBRO]],PAA[[#All],[Actividad3]],VLOOKUP(COMPROMISOS_2025[[#This Row],[Indicador Principal]],$AC$2:$AD$17,2,0),0),"")</f>
        <v/>
      </c>
    </row>
    <row r="148" spans="1:25" hidden="1" x14ac:dyDescent="0.25">
      <c r="A148">
        <v>230</v>
      </c>
      <c r="B148" t="s">
        <v>2546</v>
      </c>
      <c r="C148" t="s">
        <v>883</v>
      </c>
      <c r="D148" t="s">
        <v>2547</v>
      </c>
      <c r="F148">
        <v>336</v>
      </c>
      <c r="G148">
        <v>19</v>
      </c>
      <c r="H148" t="s">
        <v>84</v>
      </c>
      <c r="I148" t="s">
        <v>1745</v>
      </c>
      <c r="J148">
        <v>142350</v>
      </c>
      <c r="K148">
        <v>2025</v>
      </c>
      <c r="L148">
        <v>438166141</v>
      </c>
      <c r="M148" t="s">
        <v>2537</v>
      </c>
      <c r="N148" t="s">
        <v>1688</v>
      </c>
      <c r="O148" t="s">
        <v>1686</v>
      </c>
      <c r="P148">
        <v>0</v>
      </c>
      <c r="Q148">
        <v>142350</v>
      </c>
      <c r="R148">
        <v>0</v>
      </c>
      <c r="S148">
        <v>0</v>
      </c>
      <c r="T148" t="str">
        <f t="shared" si="4"/>
        <v>2301.00.0000.00.0-205616.2.1.1.01.03.110.</v>
      </c>
      <c r="U148" t="e" cm="1">
        <f t="array" aca="1" ref="U148" ca="1">+IF(COMPROMISOS_2025[[#This Row],[P]]="20","41080111",_xlfn.XLOOKUP(COMPROMISOS_2025[[#This Row],[concatenado]],PAA[[#All],[RCP-RUBRO]],PAA[[#All],[INDICADOR]],"",0))</f>
        <v>#NAME?</v>
      </c>
      <c r="V148" s="144" t="str">
        <f t="shared" si="5"/>
        <v>00</v>
      </c>
      <c r="W148" s="136">
        <f>+COMPROMISOS_2025[[#This Row],[valor_total]]-COMPROMISOS_2025[[#This Row],[total_cancelado]]</f>
        <v>142350</v>
      </c>
      <c r="X148" s="136">
        <f>COMPROMISOS_2025[[#This Row],[total_ordenes]]</f>
        <v>142350</v>
      </c>
      <c r="Y148" t="str" cm="1">
        <f t="array" aca="1" ref="Y148" ca="1">IFERROR(_xlfn.XLOOKUP(COMPROMISOS_2025[[#This Row],[concatenado]],PAA[[#All],[RCP-RUBRO]],PAA[[#All],[Actividad3]],VLOOKUP(COMPROMISOS_2025[[#This Row],[Indicador Principal]],$AC$2:$AD$17,2,0),0),"")</f>
        <v/>
      </c>
    </row>
    <row r="149" spans="1:25" hidden="1" x14ac:dyDescent="0.25">
      <c r="A149">
        <v>231</v>
      </c>
      <c r="B149" t="s">
        <v>2546</v>
      </c>
      <c r="C149" t="s">
        <v>883</v>
      </c>
      <c r="D149" t="s">
        <v>2547</v>
      </c>
      <c r="F149">
        <v>336</v>
      </c>
      <c r="G149">
        <v>19</v>
      </c>
      <c r="H149" t="s">
        <v>84</v>
      </c>
      <c r="I149" t="s">
        <v>1745</v>
      </c>
      <c r="J149">
        <v>142350</v>
      </c>
      <c r="K149">
        <v>2025</v>
      </c>
      <c r="L149">
        <v>438652109</v>
      </c>
      <c r="M149" t="s">
        <v>2584</v>
      </c>
      <c r="N149" t="s">
        <v>1688</v>
      </c>
      <c r="O149" t="s">
        <v>1686</v>
      </c>
      <c r="P149">
        <v>0</v>
      </c>
      <c r="Q149">
        <v>142350</v>
      </c>
      <c r="R149">
        <v>0</v>
      </c>
      <c r="S149">
        <v>0</v>
      </c>
      <c r="T149" t="str">
        <f t="shared" si="4"/>
        <v>2311.00.0000.00.0-205616.2.1.1.01.03.110.</v>
      </c>
      <c r="U149" t="e" cm="1">
        <f t="array" aca="1" ref="U149" ca="1">+IF(COMPROMISOS_2025[[#This Row],[P]]="20","41080111",_xlfn.XLOOKUP(COMPROMISOS_2025[[#This Row],[concatenado]],PAA[[#All],[RCP-RUBRO]],PAA[[#All],[INDICADOR]],"",0))</f>
        <v>#NAME?</v>
      </c>
      <c r="V149" s="144" t="str">
        <f t="shared" si="5"/>
        <v>00</v>
      </c>
      <c r="W149" s="136">
        <f>+COMPROMISOS_2025[[#This Row],[valor_total]]-COMPROMISOS_2025[[#This Row],[total_cancelado]]</f>
        <v>142350</v>
      </c>
      <c r="X149" s="136">
        <f>COMPROMISOS_2025[[#This Row],[total_ordenes]]</f>
        <v>142350</v>
      </c>
      <c r="Y149" t="str" cm="1">
        <f t="array" aca="1" ref="Y149" ca="1">IFERROR(_xlfn.XLOOKUP(COMPROMISOS_2025[[#This Row],[concatenado]],PAA[[#All],[RCP-RUBRO]],PAA[[#All],[Actividad3]],VLOOKUP(COMPROMISOS_2025[[#This Row],[Indicador Principal]],$AC$2:$AD$17,2,0),0),"")</f>
        <v/>
      </c>
    </row>
    <row r="150" spans="1:25" hidden="1" x14ac:dyDescent="0.25">
      <c r="A150">
        <v>232</v>
      </c>
      <c r="B150" t="s">
        <v>2546</v>
      </c>
      <c r="C150" t="s">
        <v>883</v>
      </c>
      <c r="D150" t="s">
        <v>2547</v>
      </c>
      <c r="F150">
        <v>336</v>
      </c>
      <c r="G150">
        <v>19</v>
      </c>
      <c r="H150" t="s">
        <v>84</v>
      </c>
      <c r="I150" t="s">
        <v>1745</v>
      </c>
      <c r="J150">
        <v>142350</v>
      </c>
      <c r="K150">
        <v>2025</v>
      </c>
      <c r="L150">
        <v>438730897</v>
      </c>
      <c r="M150" t="s">
        <v>2585</v>
      </c>
      <c r="N150" t="s">
        <v>1688</v>
      </c>
      <c r="O150" t="s">
        <v>1686</v>
      </c>
      <c r="P150">
        <v>0</v>
      </c>
      <c r="Q150">
        <v>142350</v>
      </c>
      <c r="R150">
        <v>0</v>
      </c>
      <c r="S150">
        <v>0</v>
      </c>
      <c r="T150" t="str">
        <f t="shared" si="4"/>
        <v>2321.00.0000.00.0-205616.2.1.1.01.03.110.</v>
      </c>
      <c r="U150" t="e" cm="1">
        <f t="array" aca="1" ref="U150" ca="1">+IF(COMPROMISOS_2025[[#This Row],[P]]="20","41080111",_xlfn.XLOOKUP(COMPROMISOS_2025[[#This Row],[concatenado]],PAA[[#All],[RCP-RUBRO]],PAA[[#All],[INDICADOR]],"",0))</f>
        <v>#NAME?</v>
      </c>
      <c r="V150" s="144" t="str">
        <f t="shared" si="5"/>
        <v>00</v>
      </c>
      <c r="W150" s="136">
        <f>+COMPROMISOS_2025[[#This Row],[valor_total]]-COMPROMISOS_2025[[#This Row],[total_cancelado]]</f>
        <v>142350</v>
      </c>
      <c r="X150" s="136">
        <f>COMPROMISOS_2025[[#This Row],[total_ordenes]]</f>
        <v>142350</v>
      </c>
      <c r="Y150" t="str" cm="1">
        <f t="array" aca="1" ref="Y150" ca="1">IFERROR(_xlfn.XLOOKUP(COMPROMISOS_2025[[#This Row],[concatenado]],PAA[[#All],[RCP-RUBRO]],PAA[[#All],[Actividad3]],VLOOKUP(COMPROMISOS_2025[[#This Row],[Indicador Principal]],$AC$2:$AD$17,2,0),0),"")</f>
        <v/>
      </c>
    </row>
    <row r="151" spans="1:25" hidden="1" x14ac:dyDescent="0.25">
      <c r="A151">
        <v>233</v>
      </c>
      <c r="B151" t="s">
        <v>2546</v>
      </c>
      <c r="C151" t="s">
        <v>883</v>
      </c>
      <c r="D151" t="s">
        <v>2547</v>
      </c>
      <c r="F151">
        <v>336</v>
      </c>
      <c r="G151">
        <v>19</v>
      </c>
      <c r="H151" t="s">
        <v>84</v>
      </c>
      <c r="I151" t="s">
        <v>1745</v>
      </c>
      <c r="J151">
        <v>142350</v>
      </c>
      <c r="K151">
        <v>2025</v>
      </c>
      <c r="L151">
        <v>439061011</v>
      </c>
      <c r="M151" t="s">
        <v>2586</v>
      </c>
      <c r="N151" t="s">
        <v>1688</v>
      </c>
      <c r="O151" t="s">
        <v>1686</v>
      </c>
      <c r="P151">
        <v>0</v>
      </c>
      <c r="Q151">
        <v>142350</v>
      </c>
      <c r="R151">
        <v>0</v>
      </c>
      <c r="S151">
        <v>0</v>
      </c>
      <c r="T151" t="str">
        <f t="shared" si="4"/>
        <v>2331.00.0000.00.0-205616.2.1.1.01.03.110.</v>
      </c>
      <c r="U151" t="e" cm="1">
        <f t="array" aca="1" ref="U151" ca="1">+IF(COMPROMISOS_2025[[#This Row],[P]]="20","41080111",_xlfn.XLOOKUP(COMPROMISOS_2025[[#This Row],[concatenado]],PAA[[#All],[RCP-RUBRO]],PAA[[#All],[INDICADOR]],"",0))</f>
        <v>#NAME?</v>
      </c>
      <c r="V151" s="144" t="str">
        <f t="shared" si="5"/>
        <v>00</v>
      </c>
      <c r="W151" s="136">
        <f>+COMPROMISOS_2025[[#This Row],[valor_total]]-COMPROMISOS_2025[[#This Row],[total_cancelado]]</f>
        <v>142350</v>
      </c>
      <c r="X151" s="136">
        <f>COMPROMISOS_2025[[#This Row],[total_ordenes]]</f>
        <v>142350</v>
      </c>
      <c r="Y151" t="str" cm="1">
        <f t="array" aca="1" ref="Y151" ca="1">IFERROR(_xlfn.XLOOKUP(COMPROMISOS_2025[[#This Row],[concatenado]],PAA[[#All],[RCP-RUBRO]],PAA[[#All],[Actividad3]],VLOOKUP(COMPROMISOS_2025[[#This Row],[Indicador Principal]],$AC$2:$AD$17,2,0),0),"")</f>
        <v/>
      </c>
    </row>
    <row r="152" spans="1:25" hidden="1" x14ac:dyDescent="0.25">
      <c r="A152">
        <v>234</v>
      </c>
      <c r="B152" t="s">
        <v>2546</v>
      </c>
      <c r="C152" t="s">
        <v>883</v>
      </c>
      <c r="D152" t="s">
        <v>2547</v>
      </c>
      <c r="F152">
        <v>336</v>
      </c>
      <c r="G152">
        <v>19</v>
      </c>
      <c r="H152" t="s">
        <v>84</v>
      </c>
      <c r="I152" t="s">
        <v>1745</v>
      </c>
      <c r="J152">
        <v>142350</v>
      </c>
      <c r="K152">
        <v>2025</v>
      </c>
      <c r="L152">
        <v>439103353</v>
      </c>
      <c r="M152" t="s">
        <v>2543</v>
      </c>
      <c r="N152" t="s">
        <v>1688</v>
      </c>
      <c r="O152" t="s">
        <v>1686</v>
      </c>
      <c r="P152">
        <v>0</v>
      </c>
      <c r="Q152">
        <v>142350</v>
      </c>
      <c r="R152">
        <v>0</v>
      </c>
      <c r="S152">
        <v>0</v>
      </c>
      <c r="T152" t="str">
        <f t="shared" si="4"/>
        <v>2341.00.0000.00.0-205616.2.1.1.01.03.110.</v>
      </c>
      <c r="U152" t="e" cm="1">
        <f t="array" aca="1" ref="U152" ca="1">+IF(COMPROMISOS_2025[[#This Row],[P]]="20","41080111",_xlfn.XLOOKUP(COMPROMISOS_2025[[#This Row],[concatenado]],PAA[[#All],[RCP-RUBRO]],PAA[[#All],[INDICADOR]],"",0))</f>
        <v>#NAME?</v>
      </c>
      <c r="V152" s="144" t="str">
        <f t="shared" si="5"/>
        <v>00</v>
      </c>
      <c r="W152" s="136">
        <f>+COMPROMISOS_2025[[#This Row],[valor_total]]-COMPROMISOS_2025[[#This Row],[total_cancelado]]</f>
        <v>142350</v>
      </c>
      <c r="X152" s="136">
        <f>COMPROMISOS_2025[[#This Row],[total_ordenes]]</f>
        <v>142350</v>
      </c>
      <c r="Y152" t="str" cm="1">
        <f t="array" aca="1" ref="Y152" ca="1">IFERROR(_xlfn.XLOOKUP(COMPROMISOS_2025[[#This Row],[concatenado]],PAA[[#All],[RCP-RUBRO]],PAA[[#All],[Actividad3]],VLOOKUP(COMPROMISOS_2025[[#This Row],[Indicador Principal]],$AC$2:$AD$17,2,0),0),"")</f>
        <v/>
      </c>
    </row>
    <row r="153" spans="1:25" hidden="1" x14ac:dyDescent="0.25">
      <c r="A153">
        <v>235</v>
      </c>
      <c r="B153" t="s">
        <v>2546</v>
      </c>
      <c r="C153" t="s">
        <v>883</v>
      </c>
      <c r="D153" t="s">
        <v>2547</v>
      </c>
      <c r="F153">
        <v>336</v>
      </c>
      <c r="G153">
        <v>19</v>
      </c>
      <c r="H153" t="s">
        <v>84</v>
      </c>
      <c r="I153" t="s">
        <v>1745</v>
      </c>
      <c r="J153">
        <v>142350</v>
      </c>
      <c r="K153">
        <v>2025</v>
      </c>
      <c r="L153">
        <v>518097551</v>
      </c>
      <c r="M153" t="s">
        <v>2538</v>
      </c>
      <c r="N153" t="s">
        <v>1688</v>
      </c>
      <c r="O153" t="s">
        <v>1686</v>
      </c>
      <c r="P153">
        <v>0</v>
      </c>
      <c r="Q153">
        <v>142350</v>
      </c>
      <c r="R153">
        <v>0</v>
      </c>
      <c r="S153">
        <v>0</v>
      </c>
      <c r="T153" t="str">
        <f t="shared" si="4"/>
        <v>2351.00.0000.00.0-205616.2.1.1.01.03.110.</v>
      </c>
      <c r="U153" t="e" cm="1">
        <f t="array" aca="1" ref="U153" ca="1">+IF(COMPROMISOS_2025[[#This Row],[P]]="20","41080111",_xlfn.XLOOKUP(COMPROMISOS_2025[[#This Row],[concatenado]],PAA[[#All],[RCP-RUBRO]],PAA[[#All],[INDICADOR]],"",0))</f>
        <v>#NAME?</v>
      </c>
      <c r="V153" s="144" t="str">
        <f t="shared" si="5"/>
        <v>00</v>
      </c>
      <c r="W153" s="136">
        <f>+COMPROMISOS_2025[[#This Row],[valor_total]]-COMPROMISOS_2025[[#This Row],[total_cancelado]]</f>
        <v>142350</v>
      </c>
      <c r="X153" s="136">
        <f>COMPROMISOS_2025[[#This Row],[total_ordenes]]</f>
        <v>142350</v>
      </c>
      <c r="Y153" t="str" cm="1">
        <f t="array" aca="1" ref="Y153" ca="1">IFERROR(_xlfn.XLOOKUP(COMPROMISOS_2025[[#This Row],[concatenado]],PAA[[#All],[RCP-RUBRO]],PAA[[#All],[Actividad3]],VLOOKUP(COMPROMISOS_2025[[#This Row],[Indicador Principal]],$AC$2:$AD$17,2,0),0),"")</f>
        <v/>
      </c>
    </row>
    <row r="154" spans="1:25" hidden="1" x14ac:dyDescent="0.25">
      <c r="A154">
        <v>236</v>
      </c>
      <c r="B154" t="s">
        <v>2546</v>
      </c>
      <c r="C154" t="s">
        <v>883</v>
      </c>
      <c r="D154" t="s">
        <v>2547</v>
      </c>
      <c r="F154">
        <v>336</v>
      </c>
      <c r="G154">
        <v>19</v>
      </c>
      <c r="H154" t="s">
        <v>84</v>
      </c>
      <c r="I154" t="s">
        <v>1745</v>
      </c>
      <c r="J154">
        <v>142350</v>
      </c>
      <c r="K154">
        <v>2025</v>
      </c>
      <c r="L154">
        <v>701406471</v>
      </c>
      <c r="M154" t="s">
        <v>2587</v>
      </c>
      <c r="N154" t="s">
        <v>1688</v>
      </c>
      <c r="O154" t="s">
        <v>1686</v>
      </c>
      <c r="P154">
        <v>0</v>
      </c>
      <c r="Q154">
        <v>142350</v>
      </c>
      <c r="R154">
        <v>0</v>
      </c>
      <c r="S154">
        <v>0</v>
      </c>
      <c r="T154" t="str">
        <f t="shared" si="4"/>
        <v>2361.00.0000.00.0-205616.2.1.1.01.03.110.</v>
      </c>
      <c r="U154" t="e" cm="1">
        <f t="array" aca="1" ref="U154" ca="1">+IF(COMPROMISOS_2025[[#This Row],[P]]="20","41080111",_xlfn.XLOOKUP(COMPROMISOS_2025[[#This Row],[concatenado]],PAA[[#All],[RCP-RUBRO]],PAA[[#All],[INDICADOR]],"",0))</f>
        <v>#NAME?</v>
      </c>
      <c r="V154" s="144" t="str">
        <f t="shared" si="5"/>
        <v>00</v>
      </c>
      <c r="W154" s="136">
        <f>+COMPROMISOS_2025[[#This Row],[valor_total]]-COMPROMISOS_2025[[#This Row],[total_cancelado]]</f>
        <v>142350</v>
      </c>
      <c r="X154" s="136">
        <f>COMPROMISOS_2025[[#This Row],[total_ordenes]]</f>
        <v>142350</v>
      </c>
      <c r="Y154" t="str" cm="1">
        <f t="array" aca="1" ref="Y154" ca="1">IFERROR(_xlfn.XLOOKUP(COMPROMISOS_2025[[#This Row],[concatenado]],PAA[[#All],[RCP-RUBRO]],PAA[[#All],[Actividad3]],VLOOKUP(COMPROMISOS_2025[[#This Row],[Indicador Principal]],$AC$2:$AD$17,2,0),0),"")</f>
        <v/>
      </c>
    </row>
    <row r="155" spans="1:25" hidden="1" x14ac:dyDescent="0.25">
      <c r="A155">
        <v>237</v>
      </c>
      <c r="B155" t="s">
        <v>2546</v>
      </c>
      <c r="C155" t="s">
        <v>883</v>
      </c>
      <c r="D155" t="s">
        <v>2547</v>
      </c>
      <c r="F155">
        <v>336</v>
      </c>
      <c r="G155">
        <v>19</v>
      </c>
      <c r="H155" t="s">
        <v>84</v>
      </c>
      <c r="I155" t="s">
        <v>1745</v>
      </c>
      <c r="J155">
        <v>142350</v>
      </c>
      <c r="K155">
        <v>2025</v>
      </c>
      <c r="L155">
        <v>70557456</v>
      </c>
      <c r="M155" t="s">
        <v>2588</v>
      </c>
      <c r="N155" t="s">
        <v>1688</v>
      </c>
      <c r="O155" t="s">
        <v>1686</v>
      </c>
      <c r="P155">
        <v>0</v>
      </c>
      <c r="Q155">
        <v>142350</v>
      </c>
      <c r="R155">
        <v>0</v>
      </c>
      <c r="S155">
        <v>0</v>
      </c>
      <c r="T155" t="str">
        <f t="shared" si="4"/>
        <v>2371.00.0000.00.0-205616.2.1.1.01.03.110.</v>
      </c>
      <c r="U155" t="e" cm="1">
        <f t="array" aca="1" ref="U155" ca="1">+IF(COMPROMISOS_2025[[#This Row],[P]]="20","41080111",_xlfn.XLOOKUP(COMPROMISOS_2025[[#This Row],[concatenado]],PAA[[#All],[RCP-RUBRO]],PAA[[#All],[INDICADOR]],"",0))</f>
        <v>#NAME?</v>
      </c>
      <c r="V155" s="144" t="str">
        <f t="shared" si="5"/>
        <v>00</v>
      </c>
      <c r="W155" s="136">
        <f>+COMPROMISOS_2025[[#This Row],[valor_total]]-COMPROMISOS_2025[[#This Row],[total_cancelado]]</f>
        <v>142350</v>
      </c>
      <c r="X155" s="136">
        <f>COMPROMISOS_2025[[#This Row],[total_ordenes]]</f>
        <v>142350</v>
      </c>
      <c r="Y155" t="str" cm="1">
        <f t="array" aca="1" ref="Y155" ca="1">IFERROR(_xlfn.XLOOKUP(COMPROMISOS_2025[[#This Row],[concatenado]],PAA[[#All],[RCP-RUBRO]],PAA[[#All],[Actividad3]],VLOOKUP(COMPROMISOS_2025[[#This Row],[Indicador Principal]],$AC$2:$AD$17,2,0),0),"")</f>
        <v/>
      </c>
    </row>
    <row r="156" spans="1:25" hidden="1" x14ac:dyDescent="0.25">
      <c r="A156">
        <v>238</v>
      </c>
      <c r="B156" t="s">
        <v>2546</v>
      </c>
      <c r="C156" t="s">
        <v>883</v>
      </c>
      <c r="D156" t="s">
        <v>2547</v>
      </c>
      <c r="F156">
        <v>336</v>
      </c>
      <c r="G156">
        <v>19</v>
      </c>
      <c r="H156" t="s">
        <v>84</v>
      </c>
      <c r="I156" t="s">
        <v>1745</v>
      </c>
      <c r="J156">
        <v>142350</v>
      </c>
      <c r="K156">
        <v>2025</v>
      </c>
      <c r="L156">
        <v>708790807</v>
      </c>
      <c r="M156" t="s">
        <v>2589</v>
      </c>
      <c r="N156" t="s">
        <v>1688</v>
      </c>
      <c r="O156" t="s">
        <v>1686</v>
      </c>
      <c r="P156">
        <v>0</v>
      </c>
      <c r="Q156">
        <v>142350</v>
      </c>
      <c r="R156">
        <v>0</v>
      </c>
      <c r="S156">
        <v>0</v>
      </c>
      <c r="T156" t="str">
        <f t="shared" si="4"/>
        <v>2381.00.0000.00.0-205616.2.1.1.01.03.110.</v>
      </c>
      <c r="U156" t="e" cm="1">
        <f t="array" aca="1" ref="U156" ca="1">+IF(COMPROMISOS_2025[[#This Row],[P]]="20","41080111",_xlfn.XLOOKUP(COMPROMISOS_2025[[#This Row],[concatenado]],PAA[[#All],[RCP-RUBRO]],PAA[[#All],[INDICADOR]],"",0))</f>
        <v>#NAME?</v>
      </c>
      <c r="V156" s="144" t="str">
        <f t="shared" si="5"/>
        <v>00</v>
      </c>
      <c r="W156" s="136">
        <f>+COMPROMISOS_2025[[#This Row],[valor_total]]-COMPROMISOS_2025[[#This Row],[total_cancelado]]</f>
        <v>142350</v>
      </c>
      <c r="X156" s="136">
        <f>COMPROMISOS_2025[[#This Row],[total_ordenes]]</f>
        <v>142350</v>
      </c>
      <c r="Y156" t="str" cm="1">
        <f t="array" aca="1" ref="Y156" ca="1">IFERROR(_xlfn.XLOOKUP(COMPROMISOS_2025[[#This Row],[concatenado]],PAA[[#All],[RCP-RUBRO]],PAA[[#All],[Actividad3]],VLOOKUP(COMPROMISOS_2025[[#This Row],[Indicador Principal]],$AC$2:$AD$17,2,0),0),"")</f>
        <v/>
      </c>
    </row>
    <row r="157" spans="1:25" hidden="1" x14ac:dyDescent="0.25">
      <c r="A157">
        <v>239</v>
      </c>
      <c r="B157" t="s">
        <v>2546</v>
      </c>
      <c r="C157" t="s">
        <v>883</v>
      </c>
      <c r="D157" t="s">
        <v>2547</v>
      </c>
      <c r="F157">
        <v>336</v>
      </c>
      <c r="G157">
        <v>19</v>
      </c>
      <c r="H157" t="s">
        <v>84</v>
      </c>
      <c r="I157" t="s">
        <v>1745</v>
      </c>
      <c r="J157">
        <v>142350</v>
      </c>
      <c r="K157">
        <v>2025</v>
      </c>
      <c r="L157">
        <v>710234096</v>
      </c>
      <c r="M157" t="s">
        <v>2590</v>
      </c>
      <c r="N157" t="s">
        <v>1688</v>
      </c>
      <c r="O157" t="s">
        <v>1686</v>
      </c>
      <c r="P157">
        <v>0</v>
      </c>
      <c r="Q157">
        <v>142350</v>
      </c>
      <c r="R157">
        <v>0</v>
      </c>
      <c r="S157">
        <v>0</v>
      </c>
      <c r="T157" t="str">
        <f t="shared" si="4"/>
        <v>2391.00.0000.00.0-205616.2.1.1.01.03.110.</v>
      </c>
      <c r="U157" t="e" cm="1">
        <f t="array" aca="1" ref="U157" ca="1">+IF(COMPROMISOS_2025[[#This Row],[P]]="20","41080111",_xlfn.XLOOKUP(COMPROMISOS_2025[[#This Row],[concatenado]],PAA[[#All],[RCP-RUBRO]],PAA[[#All],[INDICADOR]],"",0))</f>
        <v>#NAME?</v>
      </c>
      <c r="V157" s="144" t="str">
        <f t="shared" si="5"/>
        <v>00</v>
      </c>
      <c r="W157" s="136">
        <f>+COMPROMISOS_2025[[#This Row],[valor_total]]-COMPROMISOS_2025[[#This Row],[total_cancelado]]</f>
        <v>142350</v>
      </c>
      <c r="X157" s="136">
        <f>COMPROMISOS_2025[[#This Row],[total_ordenes]]</f>
        <v>142350</v>
      </c>
      <c r="Y157" t="str" cm="1">
        <f t="array" aca="1" ref="Y157" ca="1">IFERROR(_xlfn.XLOOKUP(COMPROMISOS_2025[[#This Row],[concatenado]],PAA[[#All],[RCP-RUBRO]],PAA[[#All],[Actividad3]],VLOOKUP(COMPROMISOS_2025[[#This Row],[Indicador Principal]],$AC$2:$AD$17,2,0),0),"")</f>
        <v/>
      </c>
    </row>
    <row r="158" spans="1:25" hidden="1" x14ac:dyDescent="0.25">
      <c r="A158">
        <v>240</v>
      </c>
      <c r="B158" t="s">
        <v>2546</v>
      </c>
      <c r="C158" t="s">
        <v>883</v>
      </c>
      <c r="D158" t="s">
        <v>2547</v>
      </c>
      <c r="F158">
        <v>336</v>
      </c>
      <c r="G158">
        <v>19</v>
      </c>
      <c r="H158" t="s">
        <v>84</v>
      </c>
      <c r="I158" t="s">
        <v>1745</v>
      </c>
      <c r="J158">
        <v>142350</v>
      </c>
      <c r="K158">
        <v>2025</v>
      </c>
      <c r="L158">
        <v>712654768</v>
      </c>
      <c r="M158" t="s">
        <v>2539</v>
      </c>
      <c r="N158" t="s">
        <v>1688</v>
      </c>
      <c r="O158" t="s">
        <v>1686</v>
      </c>
      <c r="P158">
        <v>0</v>
      </c>
      <c r="Q158">
        <v>142350</v>
      </c>
      <c r="R158">
        <v>0</v>
      </c>
      <c r="S158">
        <v>0</v>
      </c>
      <c r="T158" t="str">
        <f t="shared" si="4"/>
        <v>2401.00.0000.00.0-205616.2.1.1.01.03.110.</v>
      </c>
      <c r="U158" t="e" cm="1">
        <f t="array" aca="1" ref="U158" ca="1">+IF(COMPROMISOS_2025[[#This Row],[P]]="20","41080111",_xlfn.XLOOKUP(COMPROMISOS_2025[[#This Row],[concatenado]],PAA[[#All],[RCP-RUBRO]],PAA[[#All],[INDICADOR]],"",0))</f>
        <v>#NAME?</v>
      </c>
      <c r="V158" s="144" t="str">
        <f t="shared" si="5"/>
        <v>00</v>
      </c>
      <c r="W158" s="136">
        <f>+COMPROMISOS_2025[[#This Row],[valor_total]]-COMPROMISOS_2025[[#This Row],[total_cancelado]]</f>
        <v>142350</v>
      </c>
      <c r="X158" s="136">
        <f>COMPROMISOS_2025[[#This Row],[total_ordenes]]</f>
        <v>142350</v>
      </c>
      <c r="Y158" t="str" cm="1">
        <f t="array" aca="1" ref="Y158" ca="1">IFERROR(_xlfn.XLOOKUP(COMPROMISOS_2025[[#This Row],[concatenado]],PAA[[#All],[RCP-RUBRO]],PAA[[#All],[Actividad3]],VLOOKUP(COMPROMISOS_2025[[#This Row],[Indicador Principal]],$AC$2:$AD$17,2,0),0),"")</f>
        <v/>
      </c>
    </row>
    <row r="159" spans="1:25" hidden="1" x14ac:dyDescent="0.25">
      <c r="A159">
        <v>241</v>
      </c>
      <c r="B159" t="s">
        <v>2546</v>
      </c>
      <c r="C159" t="s">
        <v>883</v>
      </c>
      <c r="D159" t="s">
        <v>2547</v>
      </c>
      <c r="F159">
        <v>336</v>
      </c>
      <c r="G159">
        <v>19</v>
      </c>
      <c r="H159" t="s">
        <v>84</v>
      </c>
      <c r="I159" t="s">
        <v>1745</v>
      </c>
      <c r="J159">
        <v>142350</v>
      </c>
      <c r="K159">
        <v>2025</v>
      </c>
      <c r="L159">
        <v>716748582</v>
      </c>
      <c r="M159" t="s">
        <v>2591</v>
      </c>
      <c r="N159" t="s">
        <v>1688</v>
      </c>
      <c r="O159" t="s">
        <v>1686</v>
      </c>
      <c r="P159">
        <v>0</v>
      </c>
      <c r="Q159">
        <v>142350</v>
      </c>
      <c r="R159">
        <v>0</v>
      </c>
      <c r="S159">
        <v>0</v>
      </c>
      <c r="T159" t="str">
        <f t="shared" si="4"/>
        <v>2411.00.0000.00.0-205616.2.1.1.01.03.110.</v>
      </c>
      <c r="U159" t="e" cm="1">
        <f t="array" aca="1" ref="U159" ca="1">+IF(COMPROMISOS_2025[[#This Row],[P]]="20","41080111",_xlfn.XLOOKUP(COMPROMISOS_2025[[#This Row],[concatenado]],PAA[[#All],[RCP-RUBRO]],PAA[[#All],[INDICADOR]],"",0))</f>
        <v>#NAME?</v>
      </c>
      <c r="V159" s="144" t="str">
        <f t="shared" si="5"/>
        <v>00</v>
      </c>
      <c r="W159" s="136">
        <f>+COMPROMISOS_2025[[#This Row],[valor_total]]-COMPROMISOS_2025[[#This Row],[total_cancelado]]</f>
        <v>142350</v>
      </c>
      <c r="X159" s="136">
        <f>COMPROMISOS_2025[[#This Row],[total_ordenes]]</f>
        <v>142350</v>
      </c>
      <c r="Y159" t="str" cm="1">
        <f t="array" aca="1" ref="Y159" ca="1">IFERROR(_xlfn.XLOOKUP(COMPROMISOS_2025[[#This Row],[concatenado]],PAA[[#All],[RCP-RUBRO]],PAA[[#All],[Actividad3]],VLOOKUP(COMPROMISOS_2025[[#This Row],[Indicador Principal]],$AC$2:$AD$17,2,0),0),"")</f>
        <v/>
      </c>
    </row>
    <row r="160" spans="1:25" hidden="1" x14ac:dyDescent="0.25">
      <c r="A160">
        <v>242</v>
      </c>
      <c r="B160" t="s">
        <v>2546</v>
      </c>
      <c r="C160" t="s">
        <v>883</v>
      </c>
      <c r="D160" t="s">
        <v>2547</v>
      </c>
      <c r="F160">
        <v>336</v>
      </c>
      <c r="G160">
        <v>19</v>
      </c>
      <c r="H160" t="s">
        <v>84</v>
      </c>
      <c r="I160" t="s">
        <v>1745</v>
      </c>
      <c r="J160">
        <v>142350</v>
      </c>
      <c r="K160">
        <v>2025</v>
      </c>
      <c r="L160">
        <v>71757610</v>
      </c>
      <c r="M160" t="s">
        <v>2545</v>
      </c>
      <c r="N160" t="s">
        <v>1688</v>
      </c>
      <c r="O160" t="s">
        <v>1686</v>
      </c>
      <c r="P160">
        <v>0</v>
      </c>
      <c r="Q160">
        <v>142350</v>
      </c>
      <c r="R160">
        <v>0</v>
      </c>
      <c r="S160">
        <v>0</v>
      </c>
      <c r="T160" t="str">
        <f t="shared" si="4"/>
        <v>2421.00.0000.00.0-205616.2.1.1.01.03.110.</v>
      </c>
      <c r="U160" t="e" cm="1">
        <f t="array" aca="1" ref="U160" ca="1">+IF(COMPROMISOS_2025[[#This Row],[P]]="20","41080111",_xlfn.XLOOKUP(COMPROMISOS_2025[[#This Row],[concatenado]],PAA[[#All],[RCP-RUBRO]],PAA[[#All],[INDICADOR]],"",0))</f>
        <v>#NAME?</v>
      </c>
      <c r="V160" s="144" t="str">
        <f t="shared" si="5"/>
        <v>00</v>
      </c>
      <c r="W160" s="136">
        <f>+COMPROMISOS_2025[[#This Row],[valor_total]]-COMPROMISOS_2025[[#This Row],[total_cancelado]]</f>
        <v>142350</v>
      </c>
      <c r="X160" s="136">
        <f>COMPROMISOS_2025[[#This Row],[total_ordenes]]</f>
        <v>142350</v>
      </c>
      <c r="Y160" t="str" cm="1">
        <f t="array" aca="1" ref="Y160" ca="1">IFERROR(_xlfn.XLOOKUP(COMPROMISOS_2025[[#This Row],[concatenado]],PAA[[#All],[RCP-RUBRO]],PAA[[#All],[Actividad3]],VLOOKUP(COMPROMISOS_2025[[#This Row],[Indicador Principal]],$AC$2:$AD$17,2,0),0),"")</f>
        <v/>
      </c>
    </row>
    <row r="161" spans="1:25" hidden="1" x14ac:dyDescent="0.25">
      <c r="A161">
        <v>243</v>
      </c>
      <c r="B161" t="s">
        <v>2546</v>
      </c>
      <c r="C161" t="s">
        <v>883</v>
      </c>
      <c r="D161" t="s">
        <v>2547</v>
      </c>
      <c r="F161">
        <v>336</v>
      </c>
      <c r="G161">
        <v>19</v>
      </c>
      <c r="H161" t="s">
        <v>84</v>
      </c>
      <c r="I161" t="s">
        <v>1745</v>
      </c>
      <c r="J161">
        <v>142350</v>
      </c>
      <c r="K161">
        <v>2025</v>
      </c>
      <c r="L161">
        <v>717651862</v>
      </c>
      <c r="M161" t="s">
        <v>2592</v>
      </c>
      <c r="N161" t="s">
        <v>1688</v>
      </c>
      <c r="O161" t="s">
        <v>1686</v>
      </c>
      <c r="P161">
        <v>0</v>
      </c>
      <c r="Q161">
        <v>142350</v>
      </c>
      <c r="R161">
        <v>0</v>
      </c>
      <c r="S161">
        <v>0</v>
      </c>
      <c r="T161" t="str">
        <f t="shared" si="4"/>
        <v>2431.00.0000.00.0-205616.2.1.1.01.03.110.</v>
      </c>
      <c r="U161" t="e" cm="1">
        <f t="array" aca="1" ref="U161" ca="1">+IF(COMPROMISOS_2025[[#This Row],[P]]="20","41080111",_xlfn.XLOOKUP(COMPROMISOS_2025[[#This Row],[concatenado]],PAA[[#All],[RCP-RUBRO]],PAA[[#All],[INDICADOR]],"",0))</f>
        <v>#NAME?</v>
      </c>
      <c r="V161" s="144" t="str">
        <f t="shared" si="5"/>
        <v>00</v>
      </c>
      <c r="W161" s="136">
        <f>+COMPROMISOS_2025[[#This Row],[valor_total]]-COMPROMISOS_2025[[#This Row],[total_cancelado]]</f>
        <v>142350</v>
      </c>
      <c r="X161" s="136">
        <f>COMPROMISOS_2025[[#This Row],[total_ordenes]]</f>
        <v>142350</v>
      </c>
      <c r="Y161" t="str" cm="1">
        <f t="array" aca="1" ref="Y161" ca="1">IFERROR(_xlfn.XLOOKUP(COMPROMISOS_2025[[#This Row],[concatenado]],PAA[[#All],[RCP-RUBRO]],PAA[[#All],[Actividad3]],VLOOKUP(COMPROMISOS_2025[[#This Row],[Indicador Principal]],$AC$2:$AD$17,2,0),0),"")</f>
        <v/>
      </c>
    </row>
    <row r="162" spans="1:25" hidden="1" x14ac:dyDescent="0.25">
      <c r="A162">
        <v>244</v>
      </c>
      <c r="B162" t="s">
        <v>2546</v>
      </c>
      <c r="C162" t="s">
        <v>883</v>
      </c>
      <c r="D162" t="s">
        <v>2547</v>
      </c>
      <c r="F162">
        <v>336</v>
      </c>
      <c r="G162">
        <v>19</v>
      </c>
      <c r="H162" t="s">
        <v>84</v>
      </c>
      <c r="I162" t="s">
        <v>1745</v>
      </c>
      <c r="J162">
        <v>142350</v>
      </c>
      <c r="K162">
        <v>2025</v>
      </c>
      <c r="L162">
        <v>71794994</v>
      </c>
      <c r="M162" t="s">
        <v>2593</v>
      </c>
      <c r="N162" t="s">
        <v>1688</v>
      </c>
      <c r="O162" t="s">
        <v>1686</v>
      </c>
      <c r="P162">
        <v>0</v>
      </c>
      <c r="Q162">
        <v>142350</v>
      </c>
      <c r="R162">
        <v>0</v>
      </c>
      <c r="S162">
        <v>0</v>
      </c>
      <c r="T162" t="str">
        <f t="shared" si="4"/>
        <v>2441.00.0000.00.0-205616.2.1.1.01.03.110.</v>
      </c>
      <c r="U162" t="e" cm="1">
        <f t="array" aca="1" ref="U162" ca="1">+IF(COMPROMISOS_2025[[#This Row],[P]]="20","41080111",_xlfn.XLOOKUP(COMPROMISOS_2025[[#This Row],[concatenado]],PAA[[#All],[RCP-RUBRO]],PAA[[#All],[INDICADOR]],"",0))</f>
        <v>#NAME?</v>
      </c>
      <c r="V162" s="144" t="str">
        <f t="shared" si="5"/>
        <v>00</v>
      </c>
      <c r="W162" s="136">
        <f>+COMPROMISOS_2025[[#This Row],[valor_total]]-COMPROMISOS_2025[[#This Row],[total_cancelado]]</f>
        <v>142350</v>
      </c>
      <c r="X162" s="136">
        <f>COMPROMISOS_2025[[#This Row],[total_ordenes]]</f>
        <v>142350</v>
      </c>
      <c r="Y162" t="str" cm="1">
        <f t="array" aca="1" ref="Y162" ca="1">IFERROR(_xlfn.XLOOKUP(COMPROMISOS_2025[[#This Row],[concatenado]],PAA[[#All],[RCP-RUBRO]],PAA[[#All],[Actividad3]],VLOOKUP(COMPROMISOS_2025[[#This Row],[Indicador Principal]],$AC$2:$AD$17,2,0),0),"")</f>
        <v/>
      </c>
    </row>
    <row r="163" spans="1:25" hidden="1" x14ac:dyDescent="0.25">
      <c r="A163">
        <v>245</v>
      </c>
      <c r="B163" t="s">
        <v>2546</v>
      </c>
      <c r="C163" t="s">
        <v>883</v>
      </c>
      <c r="D163" t="s">
        <v>2547</v>
      </c>
      <c r="F163">
        <v>336</v>
      </c>
      <c r="G163">
        <v>19</v>
      </c>
      <c r="H163" t="s">
        <v>84</v>
      </c>
      <c r="I163" t="s">
        <v>1745</v>
      </c>
      <c r="J163">
        <v>142350</v>
      </c>
      <c r="K163">
        <v>2025</v>
      </c>
      <c r="L163">
        <v>750751501</v>
      </c>
      <c r="M163" t="s">
        <v>2594</v>
      </c>
      <c r="N163" t="s">
        <v>1688</v>
      </c>
      <c r="O163" t="s">
        <v>1686</v>
      </c>
      <c r="P163">
        <v>0</v>
      </c>
      <c r="Q163">
        <v>142350</v>
      </c>
      <c r="R163">
        <v>0</v>
      </c>
      <c r="S163">
        <v>0</v>
      </c>
      <c r="T163" t="str">
        <f t="shared" si="4"/>
        <v>2451.00.0000.00.0-205616.2.1.1.01.03.110.</v>
      </c>
      <c r="U163" t="e" cm="1">
        <f t="array" aca="1" ref="U163" ca="1">+IF(COMPROMISOS_2025[[#This Row],[P]]="20","41080111",_xlfn.XLOOKUP(COMPROMISOS_2025[[#This Row],[concatenado]],PAA[[#All],[RCP-RUBRO]],PAA[[#All],[INDICADOR]],"",0))</f>
        <v>#NAME?</v>
      </c>
      <c r="V163" s="144" t="str">
        <f t="shared" si="5"/>
        <v>00</v>
      </c>
      <c r="W163" s="136">
        <f>+COMPROMISOS_2025[[#This Row],[valor_total]]-COMPROMISOS_2025[[#This Row],[total_cancelado]]</f>
        <v>142350</v>
      </c>
      <c r="X163" s="136">
        <f>COMPROMISOS_2025[[#This Row],[total_ordenes]]</f>
        <v>142350</v>
      </c>
      <c r="Y163" t="str" cm="1">
        <f t="array" aca="1" ref="Y163" ca="1">IFERROR(_xlfn.XLOOKUP(COMPROMISOS_2025[[#This Row],[concatenado]],PAA[[#All],[RCP-RUBRO]],PAA[[#All],[Actividad3]],VLOOKUP(COMPROMISOS_2025[[#This Row],[Indicador Principal]],$AC$2:$AD$17,2,0),0),"")</f>
        <v/>
      </c>
    </row>
    <row r="164" spans="1:25" hidden="1" x14ac:dyDescent="0.25">
      <c r="A164">
        <v>246</v>
      </c>
      <c r="B164" t="s">
        <v>2546</v>
      </c>
      <c r="C164" t="s">
        <v>883</v>
      </c>
      <c r="D164" t="s">
        <v>2547</v>
      </c>
      <c r="F164">
        <v>336</v>
      </c>
      <c r="G164">
        <v>19</v>
      </c>
      <c r="H164" t="s">
        <v>84</v>
      </c>
      <c r="I164" t="s">
        <v>1745</v>
      </c>
      <c r="J164">
        <v>142350</v>
      </c>
      <c r="K164">
        <v>2025</v>
      </c>
      <c r="L164">
        <v>912992841</v>
      </c>
      <c r="M164" t="s">
        <v>2540</v>
      </c>
      <c r="N164" t="s">
        <v>1688</v>
      </c>
      <c r="O164" t="s">
        <v>1686</v>
      </c>
      <c r="P164">
        <v>0</v>
      </c>
      <c r="Q164">
        <v>142350</v>
      </c>
      <c r="R164">
        <v>0</v>
      </c>
      <c r="S164">
        <v>0</v>
      </c>
      <c r="T164" t="str">
        <f t="shared" si="4"/>
        <v>2461.00.0000.00.0-205616.2.1.1.01.03.110.</v>
      </c>
      <c r="U164" t="e" cm="1">
        <f t="array" aca="1" ref="U164" ca="1">+IF(COMPROMISOS_2025[[#This Row],[P]]="20","41080111",_xlfn.XLOOKUP(COMPROMISOS_2025[[#This Row],[concatenado]],PAA[[#All],[RCP-RUBRO]],PAA[[#All],[INDICADOR]],"",0))</f>
        <v>#NAME?</v>
      </c>
      <c r="V164" s="144" t="str">
        <f t="shared" si="5"/>
        <v>00</v>
      </c>
      <c r="W164" s="136">
        <f>+COMPROMISOS_2025[[#This Row],[valor_total]]-COMPROMISOS_2025[[#This Row],[total_cancelado]]</f>
        <v>142350</v>
      </c>
      <c r="X164" s="136">
        <f>COMPROMISOS_2025[[#This Row],[total_ordenes]]</f>
        <v>142350</v>
      </c>
      <c r="Y164" t="str" cm="1">
        <f t="array" aca="1" ref="Y164" ca="1">IFERROR(_xlfn.XLOOKUP(COMPROMISOS_2025[[#This Row],[concatenado]],PAA[[#All],[RCP-RUBRO]],PAA[[#All],[Actividad3]],VLOOKUP(COMPROMISOS_2025[[#This Row],[Indicador Principal]],$AC$2:$AD$17,2,0),0),"")</f>
        <v/>
      </c>
    </row>
    <row r="165" spans="1:25" hidden="1" x14ac:dyDescent="0.25">
      <c r="A165">
        <v>247</v>
      </c>
      <c r="B165" t="s">
        <v>2546</v>
      </c>
      <c r="C165" t="s">
        <v>883</v>
      </c>
      <c r="D165" t="s">
        <v>2547</v>
      </c>
      <c r="F165">
        <v>336</v>
      </c>
      <c r="G165">
        <v>19</v>
      </c>
      <c r="H165" t="s">
        <v>84</v>
      </c>
      <c r="I165" t="s">
        <v>1745</v>
      </c>
      <c r="J165">
        <v>142350</v>
      </c>
      <c r="K165">
        <v>2025</v>
      </c>
      <c r="L165">
        <v>985206512</v>
      </c>
      <c r="M165" t="s">
        <v>2595</v>
      </c>
      <c r="N165" t="s">
        <v>1688</v>
      </c>
      <c r="O165" t="s">
        <v>1686</v>
      </c>
      <c r="P165">
        <v>0</v>
      </c>
      <c r="Q165">
        <v>142350</v>
      </c>
      <c r="R165">
        <v>0</v>
      </c>
      <c r="S165">
        <v>0</v>
      </c>
      <c r="T165" t="str">
        <f t="shared" si="4"/>
        <v>2471.00.0000.00.0-205616.2.1.1.01.03.110.</v>
      </c>
      <c r="U165" t="e" cm="1">
        <f t="array" aca="1" ref="U165" ca="1">+IF(COMPROMISOS_2025[[#This Row],[P]]="20","41080111",_xlfn.XLOOKUP(COMPROMISOS_2025[[#This Row],[concatenado]],PAA[[#All],[RCP-RUBRO]],PAA[[#All],[INDICADOR]],"",0))</f>
        <v>#NAME?</v>
      </c>
      <c r="V165" s="144" t="str">
        <f t="shared" si="5"/>
        <v>00</v>
      </c>
      <c r="W165" s="136">
        <f>+COMPROMISOS_2025[[#This Row],[valor_total]]-COMPROMISOS_2025[[#This Row],[total_cancelado]]</f>
        <v>142350</v>
      </c>
      <c r="X165" s="136">
        <f>COMPROMISOS_2025[[#This Row],[total_ordenes]]</f>
        <v>142350</v>
      </c>
      <c r="Y165" t="str" cm="1">
        <f t="array" aca="1" ref="Y165" ca="1">IFERROR(_xlfn.XLOOKUP(COMPROMISOS_2025[[#This Row],[concatenado]],PAA[[#All],[RCP-RUBRO]],PAA[[#All],[Actividad3]],VLOOKUP(COMPROMISOS_2025[[#This Row],[Indicador Principal]],$AC$2:$AD$17,2,0),0),"")</f>
        <v/>
      </c>
    </row>
    <row r="166" spans="1:25" hidden="1" x14ac:dyDescent="0.25">
      <c r="A166">
        <v>248</v>
      </c>
      <c r="B166" t="s">
        <v>2546</v>
      </c>
      <c r="C166" t="s">
        <v>883</v>
      </c>
      <c r="D166" t="s">
        <v>2547</v>
      </c>
      <c r="F166">
        <v>336</v>
      </c>
      <c r="G166">
        <v>19</v>
      </c>
      <c r="H166" t="s">
        <v>84</v>
      </c>
      <c r="I166" t="s">
        <v>1745</v>
      </c>
      <c r="J166">
        <v>142350</v>
      </c>
      <c r="K166">
        <v>2025</v>
      </c>
      <c r="L166">
        <v>985529671</v>
      </c>
      <c r="M166" t="s">
        <v>2596</v>
      </c>
      <c r="N166" t="s">
        <v>1688</v>
      </c>
      <c r="O166" t="s">
        <v>1686</v>
      </c>
      <c r="P166">
        <v>0</v>
      </c>
      <c r="Q166">
        <v>142350</v>
      </c>
      <c r="R166">
        <v>0</v>
      </c>
      <c r="S166">
        <v>0</v>
      </c>
      <c r="T166" t="str">
        <f t="shared" si="4"/>
        <v>2481.00.0000.00.0-205616.2.1.1.01.03.110.</v>
      </c>
      <c r="U166" t="e" cm="1">
        <f t="array" aca="1" ref="U166" ca="1">+IF(COMPROMISOS_2025[[#This Row],[P]]="20","41080111",_xlfn.XLOOKUP(COMPROMISOS_2025[[#This Row],[concatenado]],PAA[[#All],[RCP-RUBRO]],PAA[[#All],[INDICADOR]],"",0))</f>
        <v>#NAME?</v>
      </c>
      <c r="V166" s="144" t="str">
        <f t="shared" si="5"/>
        <v>00</v>
      </c>
      <c r="W166" s="136">
        <f>+COMPROMISOS_2025[[#This Row],[valor_total]]-COMPROMISOS_2025[[#This Row],[total_cancelado]]</f>
        <v>142350</v>
      </c>
      <c r="X166" s="136">
        <f>COMPROMISOS_2025[[#This Row],[total_ordenes]]</f>
        <v>142350</v>
      </c>
      <c r="Y166" t="str" cm="1">
        <f t="array" aca="1" ref="Y166" ca="1">IFERROR(_xlfn.XLOOKUP(COMPROMISOS_2025[[#This Row],[concatenado]],PAA[[#All],[RCP-RUBRO]],PAA[[#All],[Actividad3]],VLOOKUP(COMPROMISOS_2025[[#This Row],[Indicador Principal]],$AC$2:$AD$17,2,0),0),"")</f>
        <v/>
      </c>
    </row>
    <row r="167" spans="1:25" hidden="1" x14ac:dyDescent="0.25">
      <c r="A167">
        <v>249</v>
      </c>
      <c r="B167" t="s">
        <v>2546</v>
      </c>
      <c r="C167" t="s">
        <v>883</v>
      </c>
      <c r="D167" t="s">
        <v>2547</v>
      </c>
      <c r="F167">
        <v>336</v>
      </c>
      <c r="G167">
        <v>19</v>
      </c>
      <c r="H167" t="s">
        <v>84</v>
      </c>
      <c r="I167" t="s">
        <v>1745</v>
      </c>
      <c r="J167">
        <v>142350</v>
      </c>
      <c r="K167">
        <v>2025</v>
      </c>
      <c r="L167">
        <v>985562063</v>
      </c>
      <c r="M167" t="s">
        <v>2510</v>
      </c>
      <c r="N167" t="s">
        <v>1688</v>
      </c>
      <c r="O167" t="s">
        <v>1686</v>
      </c>
      <c r="P167">
        <v>0</v>
      </c>
      <c r="Q167">
        <v>142350</v>
      </c>
      <c r="R167">
        <v>0</v>
      </c>
      <c r="S167">
        <v>0</v>
      </c>
      <c r="T167" t="str">
        <f t="shared" si="4"/>
        <v>2491.00.0000.00.0-205616.2.1.1.01.03.110.</v>
      </c>
      <c r="U167" t="e" cm="1">
        <f t="array" aca="1" ref="U167" ca="1">+IF(COMPROMISOS_2025[[#This Row],[P]]="20","41080111",_xlfn.XLOOKUP(COMPROMISOS_2025[[#This Row],[concatenado]],PAA[[#All],[RCP-RUBRO]],PAA[[#All],[INDICADOR]],"",0))</f>
        <v>#NAME?</v>
      </c>
      <c r="V167" s="144" t="str">
        <f t="shared" si="5"/>
        <v>00</v>
      </c>
      <c r="W167" s="136">
        <f>+COMPROMISOS_2025[[#This Row],[valor_total]]-COMPROMISOS_2025[[#This Row],[total_cancelado]]</f>
        <v>142350</v>
      </c>
      <c r="X167" s="136">
        <f>COMPROMISOS_2025[[#This Row],[total_ordenes]]</f>
        <v>142350</v>
      </c>
      <c r="Y167" t="str" cm="1">
        <f t="array" aca="1" ref="Y167" ca="1">IFERROR(_xlfn.XLOOKUP(COMPROMISOS_2025[[#This Row],[concatenado]],PAA[[#All],[RCP-RUBRO]],PAA[[#All],[Actividad3]],VLOOKUP(COMPROMISOS_2025[[#This Row],[Indicador Principal]],$AC$2:$AD$17,2,0),0),"")</f>
        <v/>
      </c>
    </row>
    <row r="168" spans="1:25" hidden="1" x14ac:dyDescent="0.25">
      <c r="A168">
        <v>250</v>
      </c>
      <c r="B168" t="s">
        <v>2546</v>
      </c>
      <c r="C168" t="s">
        <v>883</v>
      </c>
      <c r="D168" t="s">
        <v>2547</v>
      </c>
      <c r="F168">
        <v>336</v>
      </c>
      <c r="G168">
        <v>19</v>
      </c>
      <c r="H168" t="s">
        <v>84</v>
      </c>
      <c r="I168" t="s">
        <v>1745</v>
      </c>
      <c r="J168">
        <v>142350</v>
      </c>
      <c r="K168">
        <v>2025</v>
      </c>
      <c r="L168">
        <v>985564962</v>
      </c>
      <c r="M168" t="s">
        <v>2597</v>
      </c>
      <c r="N168" t="s">
        <v>1688</v>
      </c>
      <c r="O168" t="s">
        <v>1686</v>
      </c>
      <c r="P168">
        <v>0</v>
      </c>
      <c r="Q168">
        <v>142350</v>
      </c>
      <c r="R168">
        <v>0</v>
      </c>
      <c r="S168">
        <v>0</v>
      </c>
      <c r="T168" t="str">
        <f t="shared" si="4"/>
        <v>2501.00.0000.00.0-205616.2.1.1.01.03.110.</v>
      </c>
      <c r="U168" t="e" cm="1">
        <f t="array" aca="1" ref="U168" ca="1">+IF(COMPROMISOS_2025[[#This Row],[P]]="20","41080111",_xlfn.XLOOKUP(COMPROMISOS_2025[[#This Row],[concatenado]],PAA[[#All],[RCP-RUBRO]],PAA[[#All],[INDICADOR]],"",0))</f>
        <v>#NAME?</v>
      </c>
      <c r="V168" s="144" t="str">
        <f t="shared" si="5"/>
        <v>00</v>
      </c>
      <c r="W168" s="136">
        <f>+COMPROMISOS_2025[[#This Row],[valor_total]]-COMPROMISOS_2025[[#This Row],[total_cancelado]]</f>
        <v>142350</v>
      </c>
      <c r="X168" s="136">
        <f>COMPROMISOS_2025[[#This Row],[total_ordenes]]</f>
        <v>142350</v>
      </c>
      <c r="Y168" t="str" cm="1">
        <f t="array" aca="1" ref="Y168" ca="1">IFERROR(_xlfn.XLOOKUP(COMPROMISOS_2025[[#This Row],[concatenado]],PAA[[#All],[RCP-RUBRO]],PAA[[#All],[Actividad3]],VLOOKUP(COMPROMISOS_2025[[#This Row],[Indicador Principal]],$AC$2:$AD$17,2,0),0),"")</f>
        <v/>
      </c>
    </row>
    <row r="169" spans="1:25" hidden="1" x14ac:dyDescent="0.25">
      <c r="A169">
        <v>251</v>
      </c>
      <c r="B169" t="s">
        <v>2546</v>
      </c>
      <c r="C169" t="s">
        <v>883</v>
      </c>
      <c r="D169" t="s">
        <v>2547</v>
      </c>
      <c r="F169">
        <v>336</v>
      </c>
      <c r="G169">
        <v>19</v>
      </c>
      <c r="H169" t="s">
        <v>84</v>
      </c>
      <c r="I169" t="s">
        <v>1745</v>
      </c>
      <c r="J169">
        <v>142350</v>
      </c>
      <c r="K169">
        <v>2025</v>
      </c>
      <c r="L169">
        <v>986288618</v>
      </c>
      <c r="M169" t="s">
        <v>2598</v>
      </c>
      <c r="N169" t="s">
        <v>1688</v>
      </c>
      <c r="O169" t="s">
        <v>1686</v>
      </c>
      <c r="P169">
        <v>0</v>
      </c>
      <c r="Q169">
        <v>142350</v>
      </c>
      <c r="R169">
        <v>0</v>
      </c>
      <c r="S169">
        <v>0</v>
      </c>
      <c r="T169" t="str">
        <f t="shared" si="4"/>
        <v>2511.00.0000.00.0-205616.2.1.1.01.03.110.</v>
      </c>
      <c r="U169" t="e" cm="1">
        <f t="array" aca="1" ref="U169" ca="1">+IF(COMPROMISOS_2025[[#This Row],[P]]="20","41080111",_xlfn.XLOOKUP(COMPROMISOS_2025[[#This Row],[concatenado]],PAA[[#All],[RCP-RUBRO]],PAA[[#All],[INDICADOR]],"",0))</f>
        <v>#NAME?</v>
      </c>
      <c r="V169" s="144" t="str">
        <f t="shared" si="5"/>
        <v>00</v>
      </c>
      <c r="W169" s="136">
        <f>+COMPROMISOS_2025[[#This Row],[valor_total]]-COMPROMISOS_2025[[#This Row],[total_cancelado]]</f>
        <v>142350</v>
      </c>
      <c r="X169" s="136">
        <f>COMPROMISOS_2025[[#This Row],[total_ordenes]]</f>
        <v>142350</v>
      </c>
      <c r="Y169" t="str" cm="1">
        <f t="array" aca="1" ref="Y169" ca="1">IFERROR(_xlfn.XLOOKUP(COMPROMISOS_2025[[#This Row],[concatenado]],PAA[[#All],[RCP-RUBRO]],PAA[[#All],[Actividad3]],VLOOKUP(COMPROMISOS_2025[[#This Row],[Indicador Principal]],$AC$2:$AD$17,2,0),0),"")</f>
        <v/>
      </c>
    </row>
    <row r="170" spans="1:25" hidden="1" x14ac:dyDescent="0.25">
      <c r="A170">
        <v>252</v>
      </c>
      <c r="B170" t="s">
        <v>2546</v>
      </c>
      <c r="C170" t="s">
        <v>883</v>
      </c>
      <c r="D170" t="s">
        <v>2547</v>
      </c>
      <c r="F170">
        <v>336</v>
      </c>
      <c r="G170">
        <v>19</v>
      </c>
      <c r="H170" t="s">
        <v>84</v>
      </c>
      <c r="I170" t="s">
        <v>1745</v>
      </c>
      <c r="J170">
        <v>142350</v>
      </c>
      <c r="K170">
        <v>2025</v>
      </c>
      <c r="L170">
        <v>10171306561</v>
      </c>
      <c r="M170" t="s">
        <v>2599</v>
      </c>
      <c r="N170" t="s">
        <v>1688</v>
      </c>
      <c r="O170" t="s">
        <v>1686</v>
      </c>
      <c r="P170">
        <v>0</v>
      </c>
      <c r="Q170">
        <v>142350</v>
      </c>
      <c r="R170">
        <v>0</v>
      </c>
      <c r="S170">
        <v>0</v>
      </c>
      <c r="T170" t="str">
        <f t="shared" si="4"/>
        <v>2521.00.0000.00.0-205616.2.1.1.01.03.110.</v>
      </c>
      <c r="U170" t="e" cm="1">
        <f t="array" aca="1" ref="U170" ca="1">+IF(COMPROMISOS_2025[[#This Row],[P]]="20","41080111",_xlfn.XLOOKUP(COMPROMISOS_2025[[#This Row],[concatenado]],PAA[[#All],[RCP-RUBRO]],PAA[[#All],[INDICADOR]],"",0))</f>
        <v>#NAME?</v>
      </c>
      <c r="V170" s="144" t="str">
        <f t="shared" si="5"/>
        <v>00</v>
      </c>
      <c r="W170" s="136">
        <f>+COMPROMISOS_2025[[#This Row],[valor_total]]-COMPROMISOS_2025[[#This Row],[total_cancelado]]</f>
        <v>142350</v>
      </c>
      <c r="X170" s="136">
        <f>COMPROMISOS_2025[[#This Row],[total_ordenes]]</f>
        <v>142350</v>
      </c>
      <c r="Y170" t="str" cm="1">
        <f t="array" aca="1" ref="Y170" ca="1">IFERROR(_xlfn.XLOOKUP(COMPROMISOS_2025[[#This Row],[concatenado]],PAA[[#All],[RCP-RUBRO]],PAA[[#All],[Actividad3]],VLOOKUP(COMPROMISOS_2025[[#This Row],[Indicador Principal]],$AC$2:$AD$17,2,0),0),"")</f>
        <v/>
      </c>
    </row>
    <row r="171" spans="1:25" hidden="1" x14ac:dyDescent="0.25">
      <c r="A171">
        <v>253</v>
      </c>
      <c r="B171" t="s">
        <v>2546</v>
      </c>
      <c r="C171" t="s">
        <v>883</v>
      </c>
      <c r="D171" t="s">
        <v>2547</v>
      </c>
      <c r="F171">
        <v>336</v>
      </c>
      <c r="G171">
        <v>19</v>
      </c>
      <c r="H171" t="s">
        <v>84</v>
      </c>
      <c r="I171" t="s">
        <v>1745</v>
      </c>
      <c r="J171">
        <v>141901</v>
      </c>
      <c r="K171">
        <v>2025</v>
      </c>
      <c r="L171">
        <v>1017141155</v>
      </c>
      <c r="M171" t="s">
        <v>2541</v>
      </c>
      <c r="N171" t="s">
        <v>1688</v>
      </c>
      <c r="O171" t="s">
        <v>1686</v>
      </c>
      <c r="P171">
        <v>0</v>
      </c>
      <c r="Q171">
        <v>141901</v>
      </c>
      <c r="R171">
        <v>0</v>
      </c>
      <c r="S171">
        <v>0</v>
      </c>
      <c r="T171" t="str">
        <f t="shared" si="4"/>
        <v>2531.00.0000.00.0-205616.2.1.1.01.03.110.</v>
      </c>
      <c r="U171" t="e" cm="1">
        <f t="array" aca="1" ref="U171" ca="1">+IF(COMPROMISOS_2025[[#This Row],[P]]="20","41080111",_xlfn.XLOOKUP(COMPROMISOS_2025[[#This Row],[concatenado]],PAA[[#All],[RCP-RUBRO]],PAA[[#All],[INDICADOR]],"",0))</f>
        <v>#NAME?</v>
      </c>
      <c r="V171" s="144" t="str">
        <f t="shared" si="5"/>
        <v>00</v>
      </c>
      <c r="W171" s="136">
        <f>+COMPROMISOS_2025[[#This Row],[valor_total]]-COMPROMISOS_2025[[#This Row],[total_cancelado]]</f>
        <v>141901</v>
      </c>
      <c r="X171" s="136">
        <f>COMPROMISOS_2025[[#This Row],[total_ordenes]]</f>
        <v>141901</v>
      </c>
      <c r="Y171" t="str" cm="1">
        <f t="array" aca="1" ref="Y171" ca="1">IFERROR(_xlfn.XLOOKUP(COMPROMISOS_2025[[#This Row],[concatenado]],PAA[[#All],[RCP-RUBRO]],PAA[[#All],[Actividad3]],VLOOKUP(COMPROMISOS_2025[[#This Row],[Indicador Principal]],$AC$2:$AD$17,2,0),0),"")</f>
        <v/>
      </c>
    </row>
    <row r="172" spans="1:25" hidden="1" x14ac:dyDescent="0.25">
      <c r="A172">
        <v>254</v>
      </c>
      <c r="B172" t="s">
        <v>2546</v>
      </c>
      <c r="C172" t="s">
        <v>883</v>
      </c>
      <c r="D172" t="s">
        <v>2547</v>
      </c>
      <c r="F172">
        <v>336</v>
      </c>
      <c r="G172">
        <v>19</v>
      </c>
      <c r="H172" t="s">
        <v>84</v>
      </c>
      <c r="I172" t="s">
        <v>1745</v>
      </c>
      <c r="J172">
        <v>142350</v>
      </c>
      <c r="K172">
        <v>2025</v>
      </c>
      <c r="L172">
        <v>10171511071</v>
      </c>
      <c r="M172" t="s">
        <v>2600</v>
      </c>
      <c r="N172" t="s">
        <v>1688</v>
      </c>
      <c r="O172" t="s">
        <v>1686</v>
      </c>
      <c r="P172">
        <v>0</v>
      </c>
      <c r="Q172">
        <v>142350</v>
      </c>
      <c r="R172">
        <v>0</v>
      </c>
      <c r="S172">
        <v>0</v>
      </c>
      <c r="T172" t="str">
        <f t="shared" si="4"/>
        <v>2541.00.0000.00.0-205616.2.1.1.01.03.110.</v>
      </c>
      <c r="U172" t="e" cm="1">
        <f t="array" aca="1" ref="U172" ca="1">+IF(COMPROMISOS_2025[[#This Row],[P]]="20","41080111",_xlfn.XLOOKUP(COMPROMISOS_2025[[#This Row],[concatenado]],PAA[[#All],[RCP-RUBRO]],PAA[[#All],[INDICADOR]],"",0))</f>
        <v>#NAME?</v>
      </c>
      <c r="V172" s="144" t="str">
        <f t="shared" si="5"/>
        <v>00</v>
      </c>
      <c r="W172" s="136">
        <f>+COMPROMISOS_2025[[#This Row],[valor_total]]-COMPROMISOS_2025[[#This Row],[total_cancelado]]</f>
        <v>142350</v>
      </c>
      <c r="X172" s="136">
        <f>COMPROMISOS_2025[[#This Row],[total_ordenes]]</f>
        <v>142350</v>
      </c>
      <c r="Y172" t="str" cm="1">
        <f t="array" aca="1" ref="Y172" ca="1">IFERROR(_xlfn.XLOOKUP(COMPROMISOS_2025[[#This Row],[concatenado]],PAA[[#All],[RCP-RUBRO]],PAA[[#All],[Actividad3]],VLOOKUP(COMPROMISOS_2025[[#This Row],[Indicador Principal]],$AC$2:$AD$17,2,0),0),"")</f>
        <v/>
      </c>
    </row>
    <row r="173" spans="1:25" hidden="1" x14ac:dyDescent="0.25">
      <c r="A173">
        <v>255</v>
      </c>
      <c r="B173" t="s">
        <v>2546</v>
      </c>
      <c r="C173" t="s">
        <v>883</v>
      </c>
      <c r="D173" t="s">
        <v>2547</v>
      </c>
      <c r="F173">
        <v>336</v>
      </c>
      <c r="G173">
        <v>19</v>
      </c>
      <c r="H173" t="s">
        <v>84</v>
      </c>
      <c r="I173" t="s">
        <v>1745</v>
      </c>
      <c r="J173">
        <v>142350</v>
      </c>
      <c r="K173">
        <v>2025</v>
      </c>
      <c r="L173">
        <v>10171740887</v>
      </c>
      <c r="M173" t="s">
        <v>2601</v>
      </c>
      <c r="N173" t="s">
        <v>1688</v>
      </c>
      <c r="O173" t="s">
        <v>1686</v>
      </c>
      <c r="P173">
        <v>0</v>
      </c>
      <c r="Q173">
        <v>142350</v>
      </c>
      <c r="R173">
        <v>0</v>
      </c>
      <c r="S173">
        <v>0</v>
      </c>
      <c r="T173" t="str">
        <f t="shared" si="4"/>
        <v>2551.00.0000.00.0-205616.2.1.1.01.03.110.</v>
      </c>
      <c r="U173" t="e" cm="1">
        <f t="array" aca="1" ref="U173" ca="1">+IF(COMPROMISOS_2025[[#This Row],[P]]="20","41080111",_xlfn.XLOOKUP(COMPROMISOS_2025[[#This Row],[concatenado]],PAA[[#All],[RCP-RUBRO]],PAA[[#All],[INDICADOR]],"",0))</f>
        <v>#NAME?</v>
      </c>
      <c r="V173" s="144" t="str">
        <f t="shared" si="5"/>
        <v>00</v>
      </c>
      <c r="W173" s="136">
        <f>+COMPROMISOS_2025[[#This Row],[valor_total]]-COMPROMISOS_2025[[#This Row],[total_cancelado]]</f>
        <v>142350</v>
      </c>
      <c r="X173" s="136">
        <f>COMPROMISOS_2025[[#This Row],[total_ordenes]]</f>
        <v>142350</v>
      </c>
      <c r="Y173" t="str" cm="1">
        <f t="array" aca="1" ref="Y173" ca="1">IFERROR(_xlfn.XLOOKUP(COMPROMISOS_2025[[#This Row],[concatenado]],PAA[[#All],[RCP-RUBRO]],PAA[[#All],[Actividad3]],VLOOKUP(COMPROMISOS_2025[[#This Row],[Indicador Principal]],$AC$2:$AD$17,2,0),0),"")</f>
        <v/>
      </c>
    </row>
    <row r="174" spans="1:25" hidden="1" x14ac:dyDescent="0.25">
      <c r="A174">
        <v>256</v>
      </c>
      <c r="B174" t="s">
        <v>2546</v>
      </c>
      <c r="C174" t="s">
        <v>883</v>
      </c>
      <c r="D174" t="s">
        <v>2547</v>
      </c>
      <c r="F174">
        <v>336</v>
      </c>
      <c r="G174">
        <v>19</v>
      </c>
      <c r="H174" t="s">
        <v>84</v>
      </c>
      <c r="I174" t="s">
        <v>1745</v>
      </c>
      <c r="J174">
        <v>142350</v>
      </c>
      <c r="K174">
        <v>2025</v>
      </c>
      <c r="L174">
        <v>10171798061</v>
      </c>
      <c r="M174" t="s">
        <v>2602</v>
      </c>
      <c r="N174" t="s">
        <v>1688</v>
      </c>
      <c r="O174" t="s">
        <v>1686</v>
      </c>
      <c r="P174">
        <v>0</v>
      </c>
      <c r="Q174">
        <v>142350</v>
      </c>
      <c r="R174">
        <v>0</v>
      </c>
      <c r="S174">
        <v>0</v>
      </c>
      <c r="T174" t="str">
        <f t="shared" si="4"/>
        <v>2561.00.0000.00.0-205616.2.1.1.01.03.110.</v>
      </c>
      <c r="U174" t="e" cm="1">
        <f t="array" aca="1" ref="U174" ca="1">+IF(COMPROMISOS_2025[[#This Row],[P]]="20","41080111",_xlfn.XLOOKUP(COMPROMISOS_2025[[#This Row],[concatenado]],PAA[[#All],[RCP-RUBRO]],PAA[[#All],[INDICADOR]],"",0))</f>
        <v>#NAME?</v>
      </c>
      <c r="V174" s="144" t="str">
        <f t="shared" si="5"/>
        <v>00</v>
      </c>
      <c r="W174" s="136">
        <f>+COMPROMISOS_2025[[#This Row],[valor_total]]-COMPROMISOS_2025[[#This Row],[total_cancelado]]</f>
        <v>142350</v>
      </c>
      <c r="X174" s="136">
        <f>COMPROMISOS_2025[[#This Row],[total_ordenes]]</f>
        <v>142350</v>
      </c>
      <c r="Y174" t="str" cm="1">
        <f t="array" aca="1" ref="Y174" ca="1">IFERROR(_xlfn.XLOOKUP(COMPROMISOS_2025[[#This Row],[concatenado]],PAA[[#All],[RCP-RUBRO]],PAA[[#All],[Actividad3]],VLOOKUP(COMPROMISOS_2025[[#This Row],[Indicador Principal]],$AC$2:$AD$17,2,0),0),"")</f>
        <v/>
      </c>
    </row>
    <row r="175" spans="1:25" hidden="1" x14ac:dyDescent="0.25">
      <c r="A175">
        <v>257</v>
      </c>
      <c r="B175" t="s">
        <v>2546</v>
      </c>
      <c r="C175" t="s">
        <v>883</v>
      </c>
      <c r="D175" t="s">
        <v>2547</v>
      </c>
      <c r="F175">
        <v>336</v>
      </c>
      <c r="G175">
        <v>19</v>
      </c>
      <c r="H175" t="s">
        <v>84</v>
      </c>
      <c r="I175" t="s">
        <v>1745</v>
      </c>
      <c r="J175">
        <v>142350</v>
      </c>
      <c r="K175">
        <v>2025</v>
      </c>
      <c r="L175">
        <v>10171833152</v>
      </c>
      <c r="M175" t="s">
        <v>2603</v>
      </c>
      <c r="N175" t="s">
        <v>1688</v>
      </c>
      <c r="O175" t="s">
        <v>1686</v>
      </c>
      <c r="P175">
        <v>0</v>
      </c>
      <c r="Q175">
        <v>142350</v>
      </c>
      <c r="R175">
        <v>0</v>
      </c>
      <c r="S175">
        <v>0</v>
      </c>
      <c r="T175" t="str">
        <f t="shared" si="4"/>
        <v>2571.00.0000.00.0-205616.2.1.1.01.03.110.</v>
      </c>
      <c r="U175" t="e" cm="1">
        <f t="array" aca="1" ref="U175" ca="1">+IF(COMPROMISOS_2025[[#This Row],[P]]="20","41080111",_xlfn.XLOOKUP(COMPROMISOS_2025[[#This Row],[concatenado]],PAA[[#All],[RCP-RUBRO]],PAA[[#All],[INDICADOR]],"",0))</f>
        <v>#NAME?</v>
      </c>
      <c r="V175" s="144" t="str">
        <f t="shared" si="5"/>
        <v>00</v>
      </c>
      <c r="W175" s="136">
        <f>+COMPROMISOS_2025[[#This Row],[valor_total]]-COMPROMISOS_2025[[#This Row],[total_cancelado]]</f>
        <v>142350</v>
      </c>
      <c r="X175" s="136">
        <f>COMPROMISOS_2025[[#This Row],[total_ordenes]]</f>
        <v>142350</v>
      </c>
      <c r="Y175" t="str" cm="1">
        <f t="array" aca="1" ref="Y175" ca="1">IFERROR(_xlfn.XLOOKUP(COMPROMISOS_2025[[#This Row],[concatenado]],PAA[[#All],[RCP-RUBRO]],PAA[[#All],[Actividad3]],VLOOKUP(COMPROMISOS_2025[[#This Row],[Indicador Principal]],$AC$2:$AD$17,2,0),0),"")</f>
        <v/>
      </c>
    </row>
    <row r="176" spans="1:25" hidden="1" x14ac:dyDescent="0.25">
      <c r="A176">
        <v>258</v>
      </c>
      <c r="B176" t="s">
        <v>2546</v>
      </c>
      <c r="C176" t="s">
        <v>883</v>
      </c>
      <c r="D176" t="s">
        <v>2547</v>
      </c>
      <c r="F176">
        <v>336</v>
      </c>
      <c r="G176">
        <v>19</v>
      </c>
      <c r="H176" t="s">
        <v>84</v>
      </c>
      <c r="I176" t="s">
        <v>1745</v>
      </c>
      <c r="J176">
        <v>142350</v>
      </c>
      <c r="K176">
        <v>2025</v>
      </c>
      <c r="L176">
        <v>1027954329</v>
      </c>
      <c r="M176" t="s">
        <v>2604</v>
      </c>
      <c r="N176" t="s">
        <v>1688</v>
      </c>
      <c r="O176" t="s">
        <v>1686</v>
      </c>
      <c r="P176">
        <v>0</v>
      </c>
      <c r="Q176">
        <v>142350</v>
      </c>
      <c r="R176">
        <v>0</v>
      </c>
      <c r="S176">
        <v>0</v>
      </c>
      <c r="T176" t="str">
        <f t="shared" si="4"/>
        <v>2581.00.0000.00.0-205616.2.1.1.01.03.110.</v>
      </c>
      <c r="U176" t="e" cm="1">
        <f t="array" aca="1" ref="U176" ca="1">+IF(COMPROMISOS_2025[[#This Row],[P]]="20","41080111",_xlfn.XLOOKUP(COMPROMISOS_2025[[#This Row],[concatenado]],PAA[[#All],[RCP-RUBRO]],PAA[[#All],[INDICADOR]],"",0))</f>
        <v>#NAME?</v>
      </c>
      <c r="V176" s="144" t="str">
        <f t="shared" si="5"/>
        <v>00</v>
      </c>
      <c r="W176" s="136">
        <f>+COMPROMISOS_2025[[#This Row],[valor_total]]-COMPROMISOS_2025[[#This Row],[total_cancelado]]</f>
        <v>142350</v>
      </c>
      <c r="X176" s="136">
        <f>COMPROMISOS_2025[[#This Row],[total_ordenes]]</f>
        <v>142350</v>
      </c>
      <c r="Y176" t="str" cm="1">
        <f t="array" aca="1" ref="Y176" ca="1">IFERROR(_xlfn.XLOOKUP(COMPROMISOS_2025[[#This Row],[concatenado]],PAA[[#All],[RCP-RUBRO]],PAA[[#All],[Actividad3]],VLOOKUP(COMPROMISOS_2025[[#This Row],[Indicador Principal]],$AC$2:$AD$17,2,0),0),"")</f>
        <v/>
      </c>
    </row>
    <row r="177" spans="1:25" hidden="1" x14ac:dyDescent="0.25">
      <c r="A177">
        <v>259</v>
      </c>
      <c r="B177" t="s">
        <v>2546</v>
      </c>
      <c r="C177" t="s">
        <v>883</v>
      </c>
      <c r="D177" t="s">
        <v>2547</v>
      </c>
      <c r="F177">
        <v>336</v>
      </c>
      <c r="G177">
        <v>19</v>
      </c>
      <c r="H177" t="s">
        <v>84</v>
      </c>
      <c r="I177" t="s">
        <v>1745</v>
      </c>
      <c r="J177">
        <v>142350</v>
      </c>
      <c r="K177">
        <v>2025</v>
      </c>
      <c r="L177">
        <v>10352318685</v>
      </c>
      <c r="M177" t="s">
        <v>2605</v>
      </c>
      <c r="N177" t="s">
        <v>1688</v>
      </c>
      <c r="O177" t="s">
        <v>1686</v>
      </c>
      <c r="P177">
        <v>0</v>
      </c>
      <c r="Q177">
        <v>142350</v>
      </c>
      <c r="R177">
        <v>0</v>
      </c>
      <c r="S177">
        <v>0</v>
      </c>
      <c r="T177" t="str">
        <f t="shared" si="4"/>
        <v>2591.00.0000.00.0-205616.2.1.1.01.03.110.</v>
      </c>
      <c r="U177" t="e" cm="1">
        <f t="array" aca="1" ref="U177" ca="1">+IF(COMPROMISOS_2025[[#This Row],[P]]="20","41080111",_xlfn.XLOOKUP(COMPROMISOS_2025[[#This Row],[concatenado]],PAA[[#All],[RCP-RUBRO]],PAA[[#All],[INDICADOR]],"",0))</f>
        <v>#NAME?</v>
      </c>
      <c r="V177" s="144" t="str">
        <f t="shared" si="5"/>
        <v>00</v>
      </c>
      <c r="W177" s="136">
        <f>+COMPROMISOS_2025[[#This Row],[valor_total]]-COMPROMISOS_2025[[#This Row],[total_cancelado]]</f>
        <v>142350</v>
      </c>
      <c r="X177" s="136">
        <f>COMPROMISOS_2025[[#This Row],[total_ordenes]]</f>
        <v>142350</v>
      </c>
      <c r="Y177" t="str" cm="1">
        <f t="array" aca="1" ref="Y177" ca="1">IFERROR(_xlfn.XLOOKUP(COMPROMISOS_2025[[#This Row],[concatenado]],PAA[[#All],[RCP-RUBRO]],PAA[[#All],[Actividad3]],VLOOKUP(COMPROMISOS_2025[[#This Row],[Indicador Principal]],$AC$2:$AD$17,2,0),0),"")</f>
        <v/>
      </c>
    </row>
    <row r="178" spans="1:25" hidden="1" x14ac:dyDescent="0.25">
      <c r="A178">
        <v>260</v>
      </c>
      <c r="B178" t="s">
        <v>2546</v>
      </c>
      <c r="C178" t="s">
        <v>883</v>
      </c>
      <c r="D178" t="s">
        <v>2547</v>
      </c>
      <c r="F178">
        <v>336</v>
      </c>
      <c r="G178">
        <v>19</v>
      </c>
      <c r="H178" t="s">
        <v>84</v>
      </c>
      <c r="I178" t="s">
        <v>1745</v>
      </c>
      <c r="J178">
        <v>142350</v>
      </c>
      <c r="K178">
        <v>2025</v>
      </c>
      <c r="L178">
        <v>10354228804</v>
      </c>
      <c r="M178" t="s">
        <v>2606</v>
      </c>
      <c r="N178" t="s">
        <v>1688</v>
      </c>
      <c r="O178" t="s">
        <v>1686</v>
      </c>
      <c r="P178">
        <v>0</v>
      </c>
      <c r="Q178">
        <v>142350</v>
      </c>
      <c r="R178">
        <v>0</v>
      </c>
      <c r="S178">
        <v>0</v>
      </c>
      <c r="T178" t="str">
        <f t="shared" si="4"/>
        <v>2601.00.0000.00.0-205616.2.1.1.01.03.110.</v>
      </c>
      <c r="U178" t="e" cm="1">
        <f t="array" aca="1" ref="U178" ca="1">+IF(COMPROMISOS_2025[[#This Row],[P]]="20","41080111",_xlfn.XLOOKUP(COMPROMISOS_2025[[#This Row],[concatenado]],PAA[[#All],[RCP-RUBRO]],PAA[[#All],[INDICADOR]],"",0))</f>
        <v>#NAME?</v>
      </c>
      <c r="V178" s="144" t="str">
        <f t="shared" si="5"/>
        <v>00</v>
      </c>
      <c r="W178" s="136">
        <f>+COMPROMISOS_2025[[#This Row],[valor_total]]-COMPROMISOS_2025[[#This Row],[total_cancelado]]</f>
        <v>142350</v>
      </c>
      <c r="X178" s="136">
        <f>COMPROMISOS_2025[[#This Row],[total_ordenes]]</f>
        <v>142350</v>
      </c>
      <c r="Y178" t="str" cm="1">
        <f t="array" aca="1" ref="Y178" ca="1">IFERROR(_xlfn.XLOOKUP(COMPROMISOS_2025[[#This Row],[concatenado]],PAA[[#All],[RCP-RUBRO]],PAA[[#All],[Actividad3]],VLOOKUP(COMPROMISOS_2025[[#This Row],[Indicador Principal]],$AC$2:$AD$17,2,0),0),"")</f>
        <v/>
      </c>
    </row>
    <row r="179" spans="1:25" hidden="1" x14ac:dyDescent="0.25">
      <c r="A179">
        <v>261</v>
      </c>
      <c r="B179" t="s">
        <v>2546</v>
      </c>
      <c r="C179" t="s">
        <v>883</v>
      </c>
      <c r="D179" t="s">
        <v>2547</v>
      </c>
      <c r="F179">
        <v>336</v>
      </c>
      <c r="G179">
        <v>19</v>
      </c>
      <c r="H179" t="s">
        <v>84</v>
      </c>
      <c r="I179" t="s">
        <v>1745</v>
      </c>
      <c r="J179">
        <v>142350</v>
      </c>
      <c r="K179">
        <v>2025</v>
      </c>
      <c r="L179">
        <v>10376024983</v>
      </c>
      <c r="M179" t="s">
        <v>2607</v>
      </c>
      <c r="N179" t="s">
        <v>1688</v>
      </c>
      <c r="O179" t="s">
        <v>1686</v>
      </c>
      <c r="P179">
        <v>0</v>
      </c>
      <c r="Q179">
        <v>142350</v>
      </c>
      <c r="R179">
        <v>0</v>
      </c>
      <c r="S179">
        <v>0</v>
      </c>
      <c r="T179" t="str">
        <f t="shared" si="4"/>
        <v>2611.00.0000.00.0-205616.2.1.1.01.03.110.</v>
      </c>
      <c r="U179" t="e" cm="1">
        <f t="array" aca="1" ref="U179" ca="1">+IF(COMPROMISOS_2025[[#This Row],[P]]="20","41080111",_xlfn.XLOOKUP(COMPROMISOS_2025[[#This Row],[concatenado]],PAA[[#All],[RCP-RUBRO]],PAA[[#All],[INDICADOR]],"",0))</f>
        <v>#NAME?</v>
      </c>
      <c r="V179" s="144" t="str">
        <f t="shared" si="5"/>
        <v>00</v>
      </c>
      <c r="W179" s="136">
        <f>+COMPROMISOS_2025[[#This Row],[valor_total]]-COMPROMISOS_2025[[#This Row],[total_cancelado]]</f>
        <v>142350</v>
      </c>
      <c r="X179" s="136">
        <f>COMPROMISOS_2025[[#This Row],[total_ordenes]]</f>
        <v>142350</v>
      </c>
      <c r="Y179" t="str" cm="1">
        <f t="array" aca="1" ref="Y179" ca="1">IFERROR(_xlfn.XLOOKUP(COMPROMISOS_2025[[#This Row],[concatenado]],PAA[[#All],[RCP-RUBRO]],PAA[[#All],[Actividad3]],VLOOKUP(COMPROMISOS_2025[[#This Row],[Indicador Principal]],$AC$2:$AD$17,2,0),0),"")</f>
        <v/>
      </c>
    </row>
    <row r="180" spans="1:25" hidden="1" x14ac:dyDescent="0.25">
      <c r="A180">
        <v>262</v>
      </c>
      <c r="B180" t="s">
        <v>2546</v>
      </c>
      <c r="C180" t="s">
        <v>883</v>
      </c>
      <c r="D180" t="s">
        <v>2547</v>
      </c>
      <c r="F180">
        <v>336</v>
      </c>
      <c r="G180">
        <v>19</v>
      </c>
      <c r="H180" t="s">
        <v>84</v>
      </c>
      <c r="I180" t="s">
        <v>1745</v>
      </c>
      <c r="J180">
        <v>142350</v>
      </c>
      <c r="K180">
        <v>2025</v>
      </c>
      <c r="L180">
        <v>1038116125</v>
      </c>
      <c r="M180" t="s">
        <v>2608</v>
      </c>
      <c r="N180" t="s">
        <v>1688</v>
      </c>
      <c r="O180" t="s">
        <v>1686</v>
      </c>
      <c r="P180">
        <v>0</v>
      </c>
      <c r="Q180">
        <v>142350</v>
      </c>
      <c r="R180">
        <v>0</v>
      </c>
      <c r="S180">
        <v>0</v>
      </c>
      <c r="T180" t="str">
        <f t="shared" si="4"/>
        <v>2621.00.0000.00.0-205616.2.1.1.01.03.110.</v>
      </c>
      <c r="U180" t="e" cm="1">
        <f t="array" aca="1" ref="U180" ca="1">+IF(COMPROMISOS_2025[[#This Row],[P]]="20","41080111",_xlfn.XLOOKUP(COMPROMISOS_2025[[#This Row],[concatenado]],PAA[[#All],[RCP-RUBRO]],PAA[[#All],[INDICADOR]],"",0))</f>
        <v>#NAME?</v>
      </c>
      <c r="V180" s="144" t="str">
        <f t="shared" si="5"/>
        <v>00</v>
      </c>
      <c r="W180" s="136">
        <f>+COMPROMISOS_2025[[#This Row],[valor_total]]-COMPROMISOS_2025[[#This Row],[total_cancelado]]</f>
        <v>142350</v>
      </c>
      <c r="X180" s="136">
        <f>COMPROMISOS_2025[[#This Row],[total_ordenes]]</f>
        <v>142350</v>
      </c>
      <c r="Y180" t="str" cm="1">
        <f t="array" aca="1" ref="Y180" ca="1">IFERROR(_xlfn.XLOOKUP(COMPROMISOS_2025[[#This Row],[concatenado]],PAA[[#All],[RCP-RUBRO]],PAA[[#All],[Actividad3]],VLOOKUP(COMPROMISOS_2025[[#This Row],[Indicador Principal]],$AC$2:$AD$17,2,0),0),"")</f>
        <v/>
      </c>
    </row>
    <row r="181" spans="1:25" hidden="1" x14ac:dyDescent="0.25">
      <c r="A181">
        <v>263</v>
      </c>
      <c r="B181" t="s">
        <v>2546</v>
      </c>
      <c r="C181" t="s">
        <v>883</v>
      </c>
      <c r="D181" t="s">
        <v>2547</v>
      </c>
      <c r="F181">
        <v>336</v>
      </c>
      <c r="G181">
        <v>19</v>
      </c>
      <c r="H181" t="s">
        <v>84</v>
      </c>
      <c r="I181" t="s">
        <v>1745</v>
      </c>
      <c r="J181">
        <v>142350</v>
      </c>
      <c r="K181">
        <v>2025</v>
      </c>
      <c r="L181">
        <v>10394493378</v>
      </c>
      <c r="M181" t="s">
        <v>2609</v>
      </c>
      <c r="N181" t="s">
        <v>1688</v>
      </c>
      <c r="O181" t="s">
        <v>1686</v>
      </c>
      <c r="P181">
        <v>0</v>
      </c>
      <c r="Q181">
        <v>142350</v>
      </c>
      <c r="R181">
        <v>0</v>
      </c>
      <c r="S181">
        <v>0</v>
      </c>
      <c r="T181" t="str">
        <f t="shared" si="4"/>
        <v>2631.00.0000.00.0-205616.2.1.1.01.03.110.</v>
      </c>
      <c r="U181" t="e" cm="1">
        <f t="array" aca="1" ref="U181" ca="1">+IF(COMPROMISOS_2025[[#This Row],[P]]="20","41080111",_xlfn.XLOOKUP(COMPROMISOS_2025[[#This Row],[concatenado]],PAA[[#All],[RCP-RUBRO]],PAA[[#All],[INDICADOR]],"",0))</f>
        <v>#NAME?</v>
      </c>
      <c r="V181" s="144" t="str">
        <f t="shared" si="5"/>
        <v>00</v>
      </c>
      <c r="W181" s="136">
        <f>+COMPROMISOS_2025[[#This Row],[valor_total]]-COMPROMISOS_2025[[#This Row],[total_cancelado]]</f>
        <v>142350</v>
      </c>
      <c r="X181" s="136">
        <f>COMPROMISOS_2025[[#This Row],[total_ordenes]]</f>
        <v>142350</v>
      </c>
      <c r="Y181" t="str" cm="1">
        <f t="array" aca="1" ref="Y181" ca="1">IFERROR(_xlfn.XLOOKUP(COMPROMISOS_2025[[#This Row],[concatenado]],PAA[[#All],[RCP-RUBRO]],PAA[[#All],[Actividad3]],VLOOKUP(COMPROMISOS_2025[[#This Row],[Indicador Principal]],$AC$2:$AD$17,2,0),0),"")</f>
        <v/>
      </c>
    </row>
    <row r="182" spans="1:25" hidden="1" x14ac:dyDescent="0.25">
      <c r="A182">
        <v>264</v>
      </c>
      <c r="B182" t="s">
        <v>2546</v>
      </c>
      <c r="C182" t="s">
        <v>883</v>
      </c>
      <c r="D182" t="s">
        <v>2547</v>
      </c>
      <c r="F182">
        <v>336</v>
      </c>
      <c r="G182">
        <v>19</v>
      </c>
      <c r="H182" t="s">
        <v>84</v>
      </c>
      <c r="I182" t="s">
        <v>1745</v>
      </c>
      <c r="J182">
        <v>142350</v>
      </c>
      <c r="K182">
        <v>2025</v>
      </c>
      <c r="L182">
        <v>1146436016</v>
      </c>
      <c r="M182" t="s">
        <v>2610</v>
      </c>
      <c r="N182" t="s">
        <v>1688</v>
      </c>
      <c r="O182" t="s">
        <v>1686</v>
      </c>
      <c r="P182">
        <v>0</v>
      </c>
      <c r="Q182">
        <v>142350</v>
      </c>
      <c r="R182">
        <v>0</v>
      </c>
      <c r="S182">
        <v>0</v>
      </c>
      <c r="T182" t="str">
        <f t="shared" si="4"/>
        <v>2641.00.0000.00.0-205616.2.1.1.01.03.110.</v>
      </c>
      <c r="U182" t="e" cm="1">
        <f t="array" aca="1" ref="U182" ca="1">+IF(COMPROMISOS_2025[[#This Row],[P]]="20","41080111",_xlfn.XLOOKUP(COMPROMISOS_2025[[#This Row],[concatenado]],PAA[[#All],[RCP-RUBRO]],PAA[[#All],[INDICADOR]],"",0))</f>
        <v>#NAME?</v>
      </c>
      <c r="V182" s="144" t="str">
        <f t="shared" si="5"/>
        <v>00</v>
      </c>
      <c r="W182" s="136">
        <f>+COMPROMISOS_2025[[#This Row],[valor_total]]-COMPROMISOS_2025[[#This Row],[total_cancelado]]</f>
        <v>142350</v>
      </c>
      <c r="X182" s="136">
        <f>COMPROMISOS_2025[[#This Row],[total_ordenes]]</f>
        <v>142350</v>
      </c>
      <c r="Y182" t="str" cm="1">
        <f t="array" aca="1" ref="Y182" ca="1">IFERROR(_xlfn.XLOOKUP(COMPROMISOS_2025[[#This Row],[concatenado]],PAA[[#All],[RCP-RUBRO]],PAA[[#All],[Actividad3]],VLOOKUP(COMPROMISOS_2025[[#This Row],[Indicador Principal]],$AC$2:$AD$17,2,0),0),"")</f>
        <v/>
      </c>
    </row>
    <row r="183" spans="1:25" hidden="1" x14ac:dyDescent="0.25">
      <c r="A183">
        <v>265</v>
      </c>
      <c r="B183" t="s">
        <v>2546</v>
      </c>
      <c r="C183" t="s">
        <v>883</v>
      </c>
      <c r="D183" t="s">
        <v>2547</v>
      </c>
      <c r="F183">
        <v>336</v>
      </c>
      <c r="G183">
        <v>19</v>
      </c>
      <c r="H183" t="s">
        <v>84</v>
      </c>
      <c r="I183" t="s">
        <v>1745</v>
      </c>
      <c r="J183">
        <v>142350</v>
      </c>
      <c r="K183">
        <v>2025</v>
      </c>
      <c r="L183">
        <v>11522098086</v>
      </c>
      <c r="M183" t="s">
        <v>2611</v>
      </c>
      <c r="N183" t="s">
        <v>1688</v>
      </c>
      <c r="O183" t="s">
        <v>1686</v>
      </c>
      <c r="P183">
        <v>0</v>
      </c>
      <c r="Q183">
        <v>142350</v>
      </c>
      <c r="R183">
        <v>0</v>
      </c>
      <c r="S183">
        <v>0</v>
      </c>
      <c r="T183" t="str">
        <f t="shared" si="4"/>
        <v>2651.00.0000.00.0-205616.2.1.1.01.03.110.</v>
      </c>
      <c r="U183" t="e" cm="1">
        <f t="array" aca="1" ref="U183" ca="1">+IF(COMPROMISOS_2025[[#This Row],[P]]="20","41080111",_xlfn.XLOOKUP(COMPROMISOS_2025[[#This Row],[concatenado]],PAA[[#All],[RCP-RUBRO]],PAA[[#All],[INDICADOR]],"",0))</f>
        <v>#NAME?</v>
      </c>
      <c r="V183" s="144" t="str">
        <f t="shared" si="5"/>
        <v>00</v>
      </c>
      <c r="W183" s="136">
        <f>+COMPROMISOS_2025[[#This Row],[valor_total]]-COMPROMISOS_2025[[#This Row],[total_cancelado]]</f>
        <v>142350</v>
      </c>
      <c r="X183" s="136">
        <f>COMPROMISOS_2025[[#This Row],[total_ordenes]]</f>
        <v>142350</v>
      </c>
      <c r="Y183" t="str" cm="1">
        <f t="array" aca="1" ref="Y183" ca="1">IFERROR(_xlfn.XLOOKUP(COMPROMISOS_2025[[#This Row],[concatenado]],PAA[[#All],[RCP-RUBRO]],PAA[[#All],[Actividad3]],VLOOKUP(COMPROMISOS_2025[[#This Row],[Indicador Principal]],$AC$2:$AD$17,2,0),0),"")</f>
        <v/>
      </c>
    </row>
    <row r="184" spans="1:25" hidden="1" x14ac:dyDescent="0.25">
      <c r="A184">
        <v>267</v>
      </c>
      <c r="B184" t="s">
        <v>2546</v>
      </c>
      <c r="C184" t="s">
        <v>883</v>
      </c>
      <c r="D184" t="s">
        <v>2547</v>
      </c>
      <c r="F184">
        <v>336</v>
      </c>
      <c r="G184">
        <v>19</v>
      </c>
      <c r="H184" t="s">
        <v>84</v>
      </c>
      <c r="I184" t="s">
        <v>1745</v>
      </c>
      <c r="J184">
        <v>142350</v>
      </c>
      <c r="K184">
        <v>2025</v>
      </c>
      <c r="L184">
        <v>712129682</v>
      </c>
      <c r="M184" t="s">
        <v>2612</v>
      </c>
      <c r="N184" t="s">
        <v>1688</v>
      </c>
      <c r="O184" t="s">
        <v>1686</v>
      </c>
      <c r="P184">
        <v>0</v>
      </c>
      <c r="Q184">
        <v>142350</v>
      </c>
      <c r="R184">
        <v>0</v>
      </c>
      <c r="S184">
        <v>0</v>
      </c>
      <c r="T184" t="str">
        <f t="shared" si="4"/>
        <v>2671.00.0000.00.0-205616.2.1.1.01.03.110.</v>
      </c>
      <c r="U184" t="e" cm="1">
        <f t="array" aca="1" ref="U184" ca="1">+IF(COMPROMISOS_2025[[#This Row],[P]]="20","41080111",_xlfn.XLOOKUP(COMPROMISOS_2025[[#This Row],[concatenado]],PAA[[#All],[RCP-RUBRO]],PAA[[#All],[INDICADOR]],"",0))</f>
        <v>#NAME?</v>
      </c>
      <c r="V184" s="144" t="str">
        <f t="shared" si="5"/>
        <v>00</v>
      </c>
      <c r="W184" s="136">
        <f>+COMPROMISOS_2025[[#This Row],[valor_total]]-COMPROMISOS_2025[[#This Row],[total_cancelado]]</f>
        <v>142350</v>
      </c>
      <c r="X184" s="136">
        <f>COMPROMISOS_2025[[#This Row],[total_ordenes]]</f>
        <v>142350</v>
      </c>
      <c r="Y184" t="str" cm="1">
        <f t="array" aca="1" ref="Y184" ca="1">IFERROR(_xlfn.XLOOKUP(COMPROMISOS_2025[[#This Row],[concatenado]],PAA[[#All],[RCP-RUBRO]],PAA[[#All],[Actividad3]],VLOOKUP(COMPROMISOS_2025[[#This Row],[Indicador Principal]],$AC$2:$AD$17,2,0),0),"")</f>
        <v/>
      </c>
    </row>
    <row r="185" spans="1:25" hidden="1" x14ac:dyDescent="0.25">
      <c r="A185">
        <v>274</v>
      </c>
      <c r="B185" t="s">
        <v>2546</v>
      </c>
      <c r="C185" t="s">
        <v>883</v>
      </c>
      <c r="D185" t="s">
        <v>2613</v>
      </c>
      <c r="F185">
        <v>337</v>
      </c>
      <c r="G185">
        <v>19</v>
      </c>
      <c r="H185" t="s">
        <v>84</v>
      </c>
      <c r="I185" t="s">
        <v>1745</v>
      </c>
      <c r="J185">
        <v>300000</v>
      </c>
      <c r="K185">
        <v>2025</v>
      </c>
      <c r="L185">
        <v>155112835</v>
      </c>
      <c r="M185" t="s">
        <v>2614</v>
      </c>
      <c r="N185" t="s">
        <v>1688</v>
      </c>
      <c r="O185" t="s">
        <v>1686</v>
      </c>
      <c r="P185">
        <v>0</v>
      </c>
      <c r="Q185">
        <v>300000</v>
      </c>
      <c r="R185">
        <v>0</v>
      </c>
      <c r="S185">
        <v>0</v>
      </c>
      <c r="T185" t="str">
        <f t="shared" si="4"/>
        <v>2741.00.0000.00.0-205616.2.1.1.01.03.110.</v>
      </c>
      <c r="U185" t="e" cm="1">
        <f t="array" aca="1" ref="U185" ca="1">+IF(COMPROMISOS_2025[[#This Row],[P]]="20","41080111",_xlfn.XLOOKUP(COMPROMISOS_2025[[#This Row],[concatenado]],PAA[[#All],[RCP-RUBRO]],PAA[[#All],[INDICADOR]],"",0))</f>
        <v>#NAME?</v>
      </c>
      <c r="V185" s="144" t="str">
        <f t="shared" si="5"/>
        <v>00</v>
      </c>
      <c r="W185" s="136">
        <f>+COMPROMISOS_2025[[#This Row],[valor_total]]-COMPROMISOS_2025[[#This Row],[total_cancelado]]</f>
        <v>300000</v>
      </c>
      <c r="X185" s="136">
        <f>COMPROMISOS_2025[[#This Row],[total_ordenes]]</f>
        <v>300000</v>
      </c>
      <c r="Y185" t="str" cm="1">
        <f t="array" aca="1" ref="Y185" ca="1">IFERROR(_xlfn.XLOOKUP(COMPROMISOS_2025[[#This Row],[concatenado]],PAA[[#All],[RCP-RUBRO]],PAA[[#All],[Actividad3]],VLOOKUP(COMPROMISOS_2025[[#This Row],[Indicador Principal]],$AC$2:$AD$17,2,0),0),"")</f>
        <v/>
      </c>
    </row>
    <row r="186" spans="1:25" hidden="1" x14ac:dyDescent="0.25">
      <c r="A186">
        <v>275</v>
      </c>
      <c r="B186" t="s">
        <v>2546</v>
      </c>
      <c r="C186" t="s">
        <v>883</v>
      </c>
      <c r="D186" t="s">
        <v>2613</v>
      </c>
      <c r="F186">
        <v>337</v>
      </c>
      <c r="G186">
        <v>19</v>
      </c>
      <c r="H186" t="s">
        <v>84</v>
      </c>
      <c r="I186" t="s">
        <v>1745</v>
      </c>
      <c r="J186">
        <v>355875</v>
      </c>
      <c r="K186">
        <v>2025</v>
      </c>
      <c r="L186">
        <v>214908938</v>
      </c>
      <c r="M186" t="s">
        <v>2552</v>
      </c>
      <c r="N186" t="s">
        <v>1688</v>
      </c>
      <c r="O186" t="s">
        <v>1686</v>
      </c>
      <c r="P186">
        <v>0</v>
      </c>
      <c r="Q186">
        <v>355875</v>
      </c>
      <c r="R186">
        <v>0</v>
      </c>
      <c r="S186">
        <v>0</v>
      </c>
      <c r="T186" t="str">
        <f t="shared" si="4"/>
        <v>2751.00.0000.00.0-205616.2.1.1.01.03.110.</v>
      </c>
      <c r="U186" t="e" cm="1">
        <f t="array" aca="1" ref="U186" ca="1">+IF(COMPROMISOS_2025[[#This Row],[P]]="20","41080111",_xlfn.XLOOKUP(COMPROMISOS_2025[[#This Row],[concatenado]],PAA[[#All],[RCP-RUBRO]],PAA[[#All],[INDICADOR]],"",0))</f>
        <v>#NAME?</v>
      </c>
      <c r="V186" s="144" t="str">
        <f t="shared" si="5"/>
        <v>00</v>
      </c>
      <c r="W186" s="136">
        <f>+COMPROMISOS_2025[[#This Row],[valor_total]]-COMPROMISOS_2025[[#This Row],[total_cancelado]]</f>
        <v>355875</v>
      </c>
      <c r="X186" s="136">
        <f>COMPROMISOS_2025[[#This Row],[total_ordenes]]</f>
        <v>355875</v>
      </c>
      <c r="Y186" t="str" cm="1">
        <f t="array" aca="1" ref="Y186" ca="1">IFERROR(_xlfn.XLOOKUP(COMPROMISOS_2025[[#This Row],[concatenado]],PAA[[#All],[RCP-RUBRO]],PAA[[#All],[Actividad3]],VLOOKUP(COMPROMISOS_2025[[#This Row],[Indicador Principal]],$AC$2:$AD$17,2,0),0),"")</f>
        <v/>
      </c>
    </row>
    <row r="187" spans="1:25" hidden="1" x14ac:dyDescent="0.25">
      <c r="A187">
        <v>276</v>
      </c>
      <c r="B187" t="s">
        <v>2546</v>
      </c>
      <c r="C187" t="s">
        <v>883</v>
      </c>
      <c r="D187" t="s">
        <v>2613</v>
      </c>
      <c r="F187">
        <v>337</v>
      </c>
      <c r="G187">
        <v>19</v>
      </c>
      <c r="H187" t="s">
        <v>84</v>
      </c>
      <c r="I187" t="s">
        <v>1745</v>
      </c>
      <c r="J187">
        <v>220000</v>
      </c>
      <c r="K187">
        <v>2025</v>
      </c>
      <c r="L187">
        <v>431865432</v>
      </c>
      <c r="M187" t="s">
        <v>2615</v>
      </c>
      <c r="N187" t="s">
        <v>1688</v>
      </c>
      <c r="O187" t="s">
        <v>1686</v>
      </c>
      <c r="P187">
        <v>0</v>
      </c>
      <c r="Q187">
        <v>220000</v>
      </c>
      <c r="R187">
        <v>0</v>
      </c>
      <c r="S187">
        <v>0</v>
      </c>
      <c r="T187" t="str">
        <f t="shared" si="4"/>
        <v>2761.00.0000.00.0-205616.2.1.1.01.03.110.</v>
      </c>
      <c r="U187" t="e" cm="1">
        <f t="array" aca="1" ref="U187" ca="1">+IF(COMPROMISOS_2025[[#This Row],[P]]="20","41080111",_xlfn.XLOOKUP(COMPROMISOS_2025[[#This Row],[concatenado]],PAA[[#All],[RCP-RUBRO]],PAA[[#All],[INDICADOR]],"",0))</f>
        <v>#NAME?</v>
      </c>
      <c r="V187" s="144" t="str">
        <f t="shared" si="5"/>
        <v>00</v>
      </c>
      <c r="W187" s="136">
        <f>+COMPROMISOS_2025[[#This Row],[valor_total]]-COMPROMISOS_2025[[#This Row],[total_cancelado]]</f>
        <v>220000</v>
      </c>
      <c r="X187" s="136">
        <f>COMPROMISOS_2025[[#This Row],[total_ordenes]]</f>
        <v>220000</v>
      </c>
      <c r="Y187" t="str" cm="1">
        <f t="array" aca="1" ref="Y187" ca="1">IFERROR(_xlfn.XLOOKUP(COMPROMISOS_2025[[#This Row],[concatenado]],PAA[[#All],[RCP-RUBRO]],PAA[[#All],[Actividad3]],VLOOKUP(COMPROMISOS_2025[[#This Row],[Indicador Principal]],$AC$2:$AD$17,2,0),0),"")</f>
        <v/>
      </c>
    </row>
    <row r="188" spans="1:25" hidden="1" x14ac:dyDescent="0.25">
      <c r="A188">
        <v>277</v>
      </c>
      <c r="B188" t="s">
        <v>2546</v>
      </c>
      <c r="C188" t="s">
        <v>883</v>
      </c>
      <c r="D188" t="s">
        <v>2613</v>
      </c>
      <c r="F188">
        <v>337</v>
      </c>
      <c r="G188">
        <v>19</v>
      </c>
      <c r="H188" t="s">
        <v>84</v>
      </c>
      <c r="I188" t="s">
        <v>1745</v>
      </c>
      <c r="J188">
        <v>355875</v>
      </c>
      <c r="K188">
        <v>2025</v>
      </c>
      <c r="L188">
        <v>435759807</v>
      </c>
      <c r="M188" t="s">
        <v>2572</v>
      </c>
      <c r="N188" t="s">
        <v>1688</v>
      </c>
      <c r="O188" t="s">
        <v>1686</v>
      </c>
      <c r="P188">
        <v>0</v>
      </c>
      <c r="Q188">
        <v>355875</v>
      </c>
      <c r="R188">
        <v>0</v>
      </c>
      <c r="S188">
        <v>0</v>
      </c>
      <c r="T188" t="str">
        <f t="shared" si="4"/>
        <v>2771.00.0000.00.0-205616.2.1.1.01.03.110.</v>
      </c>
      <c r="U188" t="e" cm="1">
        <f t="array" aca="1" ref="U188" ca="1">+IF(COMPROMISOS_2025[[#This Row],[P]]="20","41080111",_xlfn.XLOOKUP(COMPROMISOS_2025[[#This Row],[concatenado]],PAA[[#All],[RCP-RUBRO]],PAA[[#All],[INDICADOR]],"",0))</f>
        <v>#NAME?</v>
      </c>
      <c r="V188" s="144" t="str">
        <f t="shared" si="5"/>
        <v>00</v>
      </c>
      <c r="W188" s="136">
        <f>+COMPROMISOS_2025[[#This Row],[valor_total]]-COMPROMISOS_2025[[#This Row],[total_cancelado]]</f>
        <v>355875</v>
      </c>
      <c r="X188" s="136">
        <f>COMPROMISOS_2025[[#This Row],[total_ordenes]]</f>
        <v>355875</v>
      </c>
      <c r="Y188" t="str" cm="1">
        <f t="array" aca="1" ref="Y188" ca="1">IFERROR(_xlfn.XLOOKUP(COMPROMISOS_2025[[#This Row],[concatenado]],PAA[[#All],[RCP-RUBRO]],PAA[[#All],[Actividad3]],VLOOKUP(COMPROMISOS_2025[[#This Row],[Indicador Principal]],$AC$2:$AD$17,2,0),0),"")</f>
        <v/>
      </c>
    </row>
    <row r="189" spans="1:25" hidden="1" x14ac:dyDescent="0.25">
      <c r="A189">
        <v>278</v>
      </c>
      <c r="B189" t="s">
        <v>2546</v>
      </c>
      <c r="C189" t="s">
        <v>883</v>
      </c>
      <c r="D189" t="s">
        <v>2613</v>
      </c>
      <c r="F189">
        <v>337</v>
      </c>
      <c r="G189">
        <v>19</v>
      </c>
      <c r="H189" t="s">
        <v>84</v>
      </c>
      <c r="I189" t="s">
        <v>1745</v>
      </c>
      <c r="J189">
        <v>355875</v>
      </c>
      <c r="K189">
        <v>2025</v>
      </c>
      <c r="L189">
        <v>438213448</v>
      </c>
      <c r="M189" t="s">
        <v>2616</v>
      </c>
      <c r="N189" t="s">
        <v>1688</v>
      </c>
      <c r="O189" t="s">
        <v>1686</v>
      </c>
      <c r="P189">
        <v>0</v>
      </c>
      <c r="Q189">
        <v>355875</v>
      </c>
      <c r="R189">
        <v>0</v>
      </c>
      <c r="S189">
        <v>0</v>
      </c>
      <c r="T189" t="str">
        <f t="shared" si="4"/>
        <v>2781.00.0000.00.0-205616.2.1.1.01.03.110.</v>
      </c>
      <c r="U189" t="e" cm="1">
        <f t="array" aca="1" ref="U189" ca="1">+IF(COMPROMISOS_2025[[#This Row],[P]]="20","41080111",_xlfn.XLOOKUP(COMPROMISOS_2025[[#This Row],[concatenado]],PAA[[#All],[RCP-RUBRO]],PAA[[#All],[INDICADOR]],"",0))</f>
        <v>#NAME?</v>
      </c>
      <c r="V189" s="144" t="str">
        <f t="shared" si="5"/>
        <v>00</v>
      </c>
      <c r="W189" s="136">
        <f>+COMPROMISOS_2025[[#This Row],[valor_total]]-COMPROMISOS_2025[[#This Row],[total_cancelado]]</f>
        <v>355875</v>
      </c>
      <c r="X189" s="136">
        <f>COMPROMISOS_2025[[#This Row],[total_ordenes]]</f>
        <v>355875</v>
      </c>
      <c r="Y189" t="str" cm="1">
        <f t="array" aca="1" ref="Y189" ca="1">IFERROR(_xlfn.XLOOKUP(COMPROMISOS_2025[[#This Row],[concatenado]],PAA[[#All],[RCP-RUBRO]],PAA[[#All],[Actividad3]],VLOOKUP(COMPROMISOS_2025[[#This Row],[Indicador Principal]],$AC$2:$AD$17,2,0),0),"")</f>
        <v/>
      </c>
    </row>
    <row r="190" spans="1:25" hidden="1" x14ac:dyDescent="0.25">
      <c r="A190">
        <v>279</v>
      </c>
      <c r="B190" t="s">
        <v>2546</v>
      </c>
      <c r="C190" t="s">
        <v>883</v>
      </c>
      <c r="D190" t="s">
        <v>2613</v>
      </c>
      <c r="F190">
        <v>337</v>
      </c>
      <c r="G190">
        <v>19</v>
      </c>
      <c r="H190" t="s">
        <v>84</v>
      </c>
      <c r="I190" t="s">
        <v>1745</v>
      </c>
      <c r="J190">
        <v>355875</v>
      </c>
      <c r="K190">
        <v>2025</v>
      </c>
      <c r="L190">
        <v>438254247</v>
      </c>
      <c r="M190" t="s">
        <v>2617</v>
      </c>
      <c r="N190" t="s">
        <v>1688</v>
      </c>
      <c r="O190" t="s">
        <v>1686</v>
      </c>
      <c r="P190">
        <v>0</v>
      </c>
      <c r="Q190">
        <v>355875</v>
      </c>
      <c r="R190">
        <v>0</v>
      </c>
      <c r="S190">
        <v>0</v>
      </c>
      <c r="T190" t="str">
        <f t="shared" si="4"/>
        <v>2791.00.0000.00.0-205616.2.1.1.01.03.110.</v>
      </c>
      <c r="U190" t="e" cm="1">
        <f t="array" aca="1" ref="U190" ca="1">+IF(COMPROMISOS_2025[[#This Row],[P]]="20","41080111",_xlfn.XLOOKUP(COMPROMISOS_2025[[#This Row],[concatenado]],PAA[[#All],[RCP-RUBRO]],PAA[[#All],[INDICADOR]],"",0))</f>
        <v>#NAME?</v>
      </c>
      <c r="V190" s="144" t="str">
        <f t="shared" si="5"/>
        <v>00</v>
      </c>
      <c r="W190" s="136">
        <f>+COMPROMISOS_2025[[#This Row],[valor_total]]-COMPROMISOS_2025[[#This Row],[total_cancelado]]</f>
        <v>355875</v>
      </c>
      <c r="X190" s="136">
        <f>COMPROMISOS_2025[[#This Row],[total_ordenes]]</f>
        <v>355875</v>
      </c>
      <c r="Y190" t="str" cm="1">
        <f t="array" aca="1" ref="Y190" ca="1">IFERROR(_xlfn.XLOOKUP(COMPROMISOS_2025[[#This Row],[concatenado]],PAA[[#All],[RCP-RUBRO]],PAA[[#All],[Actividad3]],VLOOKUP(COMPROMISOS_2025[[#This Row],[Indicador Principal]],$AC$2:$AD$17,2,0),0),"")</f>
        <v/>
      </c>
    </row>
    <row r="191" spans="1:25" hidden="1" x14ac:dyDescent="0.25">
      <c r="A191">
        <v>280</v>
      </c>
      <c r="B191" t="s">
        <v>2546</v>
      </c>
      <c r="C191" t="s">
        <v>883</v>
      </c>
      <c r="D191" t="s">
        <v>2613</v>
      </c>
      <c r="F191">
        <v>337</v>
      </c>
      <c r="G191">
        <v>19</v>
      </c>
      <c r="H191" t="s">
        <v>84</v>
      </c>
      <c r="I191" t="s">
        <v>1745</v>
      </c>
      <c r="J191">
        <v>320000</v>
      </c>
      <c r="K191">
        <v>2025</v>
      </c>
      <c r="L191">
        <v>438624205</v>
      </c>
      <c r="M191" t="s">
        <v>2618</v>
      </c>
      <c r="N191" t="s">
        <v>1688</v>
      </c>
      <c r="O191" t="s">
        <v>1686</v>
      </c>
      <c r="P191">
        <v>0</v>
      </c>
      <c r="Q191">
        <v>320000</v>
      </c>
      <c r="R191">
        <v>0</v>
      </c>
      <c r="S191">
        <v>0</v>
      </c>
      <c r="T191" t="str">
        <f t="shared" si="4"/>
        <v>2801.00.0000.00.0-205616.2.1.1.01.03.110.</v>
      </c>
      <c r="U191" t="e" cm="1">
        <f t="array" aca="1" ref="U191" ca="1">+IF(COMPROMISOS_2025[[#This Row],[P]]="20","41080111",_xlfn.XLOOKUP(COMPROMISOS_2025[[#This Row],[concatenado]],PAA[[#All],[RCP-RUBRO]],PAA[[#All],[INDICADOR]],"",0))</f>
        <v>#NAME?</v>
      </c>
      <c r="V191" s="144" t="str">
        <f t="shared" si="5"/>
        <v>00</v>
      </c>
      <c r="W191" s="136">
        <f>+COMPROMISOS_2025[[#This Row],[valor_total]]-COMPROMISOS_2025[[#This Row],[total_cancelado]]</f>
        <v>320000</v>
      </c>
      <c r="X191" s="136">
        <f>COMPROMISOS_2025[[#This Row],[total_ordenes]]</f>
        <v>320000</v>
      </c>
      <c r="Y191" t="str" cm="1">
        <f t="array" aca="1" ref="Y191" ca="1">IFERROR(_xlfn.XLOOKUP(COMPROMISOS_2025[[#This Row],[concatenado]],PAA[[#All],[RCP-RUBRO]],PAA[[#All],[Actividad3]],VLOOKUP(COMPROMISOS_2025[[#This Row],[Indicador Principal]],$AC$2:$AD$17,2,0),0),"")</f>
        <v/>
      </c>
    </row>
    <row r="192" spans="1:25" hidden="1" x14ac:dyDescent="0.25">
      <c r="A192">
        <v>281</v>
      </c>
      <c r="B192" t="s">
        <v>2546</v>
      </c>
      <c r="C192" t="s">
        <v>883</v>
      </c>
      <c r="D192" t="s">
        <v>2613</v>
      </c>
      <c r="F192">
        <v>337</v>
      </c>
      <c r="G192">
        <v>19</v>
      </c>
      <c r="H192" t="s">
        <v>84</v>
      </c>
      <c r="I192" t="s">
        <v>1745</v>
      </c>
      <c r="J192">
        <v>355875</v>
      </c>
      <c r="K192">
        <v>2025</v>
      </c>
      <c r="L192">
        <v>710234096</v>
      </c>
      <c r="M192" t="s">
        <v>2590</v>
      </c>
      <c r="N192" t="s">
        <v>1688</v>
      </c>
      <c r="O192" t="s">
        <v>1686</v>
      </c>
      <c r="P192">
        <v>0</v>
      </c>
      <c r="Q192">
        <v>355875</v>
      </c>
      <c r="R192">
        <v>0</v>
      </c>
      <c r="S192">
        <v>0</v>
      </c>
      <c r="T192" t="str">
        <f t="shared" si="4"/>
        <v>2811.00.0000.00.0-205616.2.1.1.01.03.110.</v>
      </c>
      <c r="U192" t="e" cm="1">
        <f t="array" aca="1" ref="U192" ca="1">+IF(COMPROMISOS_2025[[#This Row],[P]]="20","41080111",_xlfn.XLOOKUP(COMPROMISOS_2025[[#This Row],[concatenado]],PAA[[#All],[RCP-RUBRO]],PAA[[#All],[INDICADOR]],"",0))</f>
        <v>#NAME?</v>
      </c>
      <c r="V192" s="144" t="str">
        <f t="shared" si="5"/>
        <v>00</v>
      </c>
      <c r="W192" s="136">
        <f>+COMPROMISOS_2025[[#This Row],[valor_total]]-COMPROMISOS_2025[[#This Row],[total_cancelado]]</f>
        <v>355875</v>
      </c>
      <c r="X192" s="136">
        <f>COMPROMISOS_2025[[#This Row],[total_ordenes]]</f>
        <v>355875</v>
      </c>
      <c r="Y192" t="str" cm="1">
        <f t="array" aca="1" ref="Y192" ca="1">IFERROR(_xlfn.XLOOKUP(COMPROMISOS_2025[[#This Row],[concatenado]],PAA[[#All],[RCP-RUBRO]],PAA[[#All],[Actividad3]],VLOOKUP(COMPROMISOS_2025[[#This Row],[Indicador Principal]],$AC$2:$AD$17,2,0),0),"")</f>
        <v/>
      </c>
    </row>
    <row r="193" spans="1:25" hidden="1" x14ac:dyDescent="0.25">
      <c r="A193">
        <v>282</v>
      </c>
      <c r="B193" t="s">
        <v>2546</v>
      </c>
      <c r="C193" t="s">
        <v>883</v>
      </c>
      <c r="D193" t="s">
        <v>2613</v>
      </c>
      <c r="F193">
        <v>337</v>
      </c>
      <c r="G193">
        <v>19</v>
      </c>
      <c r="H193" t="s">
        <v>84</v>
      </c>
      <c r="I193" t="s">
        <v>1745</v>
      </c>
      <c r="J193">
        <v>200000</v>
      </c>
      <c r="K193">
        <v>2025</v>
      </c>
      <c r="L193">
        <v>1038116125</v>
      </c>
      <c r="M193" t="s">
        <v>2608</v>
      </c>
      <c r="N193" t="s">
        <v>1688</v>
      </c>
      <c r="O193" t="s">
        <v>1686</v>
      </c>
      <c r="P193">
        <v>0</v>
      </c>
      <c r="Q193">
        <v>200000</v>
      </c>
      <c r="R193">
        <v>0</v>
      </c>
      <c r="S193">
        <v>0</v>
      </c>
      <c r="T193" t="str">
        <f t="shared" si="4"/>
        <v>2821.00.0000.00.0-205616.2.1.1.01.03.110.</v>
      </c>
      <c r="U193" t="e" cm="1">
        <f t="array" aca="1" ref="U193" ca="1">+IF(COMPROMISOS_2025[[#This Row],[P]]="20","41080111",_xlfn.XLOOKUP(COMPROMISOS_2025[[#This Row],[concatenado]],PAA[[#All],[RCP-RUBRO]],PAA[[#All],[INDICADOR]],"",0))</f>
        <v>#NAME?</v>
      </c>
      <c r="V193" s="144" t="str">
        <f t="shared" si="5"/>
        <v>00</v>
      </c>
      <c r="W193" s="136">
        <f>+COMPROMISOS_2025[[#This Row],[valor_total]]-COMPROMISOS_2025[[#This Row],[total_cancelado]]</f>
        <v>200000</v>
      </c>
      <c r="X193" s="136">
        <f>COMPROMISOS_2025[[#This Row],[total_ordenes]]</f>
        <v>200000</v>
      </c>
      <c r="Y193" t="str" cm="1">
        <f t="array" aca="1" ref="Y193" ca="1">IFERROR(_xlfn.XLOOKUP(COMPROMISOS_2025[[#This Row],[concatenado]],PAA[[#All],[RCP-RUBRO]],PAA[[#All],[Actividad3]],VLOOKUP(COMPROMISOS_2025[[#This Row],[Indicador Principal]],$AC$2:$AD$17,2,0),0),"")</f>
        <v/>
      </c>
    </row>
    <row r="194" spans="1:25" hidden="1" x14ac:dyDescent="0.25">
      <c r="A194">
        <v>284</v>
      </c>
      <c r="B194" t="s">
        <v>2546</v>
      </c>
      <c r="C194" t="s">
        <v>883</v>
      </c>
      <c r="D194" t="s">
        <v>2613</v>
      </c>
      <c r="F194">
        <v>337</v>
      </c>
      <c r="G194">
        <v>19</v>
      </c>
      <c r="H194" t="s">
        <v>84</v>
      </c>
      <c r="I194" t="s">
        <v>1745</v>
      </c>
      <c r="J194">
        <v>355875</v>
      </c>
      <c r="K194">
        <v>2025</v>
      </c>
      <c r="L194">
        <v>10171833152</v>
      </c>
      <c r="M194" t="s">
        <v>2603</v>
      </c>
      <c r="N194" t="s">
        <v>1688</v>
      </c>
      <c r="O194" t="s">
        <v>1686</v>
      </c>
      <c r="P194">
        <v>0</v>
      </c>
      <c r="Q194">
        <v>355875</v>
      </c>
      <c r="R194">
        <v>0</v>
      </c>
      <c r="S194">
        <v>0</v>
      </c>
      <c r="T194" t="str">
        <f t="shared" ref="T194:T257" si="6">IF(A194&gt;=0,CONCATENATE(A194,H194),"")</f>
        <v>2841.00.0000.00.0-205616.2.1.1.01.03.110.</v>
      </c>
      <c r="U194" t="e" cm="1">
        <f t="array" aca="1" ref="U194" ca="1">+IF(COMPROMISOS_2025[[#This Row],[P]]="20","41080111",_xlfn.XLOOKUP(COMPROMISOS_2025[[#This Row],[concatenado]],PAA[[#All],[RCP-RUBRO]],PAA[[#All],[INDICADOR]],"",0))</f>
        <v>#NAME?</v>
      </c>
      <c r="V194" s="144" t="str">
        <f t="shared" ref="V194:V257" si="7">+MID(H194,11,2)</f>
        <v>00</v>
      </c>
      <c r="W194" s="136">
        <f>+COMPROMISOS_2025[[#This Row],[valor_total]]-COMPROMISOS_2025[[#This Row],[total_cancelado]]</f>
        <v>355875</v>
      </c>
      <c r="X194" s="136">
        <f>COMPROMISOS_2025[[#This Row],[total_ordenes]]</f>
        <v>355875</v>
      </c>
      <c r="Y194" t="str" cm="1">
        <f t="array" aca="1" ref="Y194" ca="1">IFERROR(_xlfn.XLOOKUP(COMPROMISOS_2025[[#This Row],[concatenado]],PAA[[#All],[RCP-RUBRO]],PAA[[#All],[Actividad3]],VLOOKUP(COMPROMISOS_2025[[#This Row],[Indicador Principal]],$AC$2:$AD$17,2,0),0),"")</f>
        <v/>
      </c>
    </row>
    <row r="195" spans="1:25" hidden="1" x14ac:dyDescent="0.25">
      <c r="A195">
        <v>2873</v>
      </c>
      <c r="B195" t="s">
        <v>2619</v>
      </c>
      <c r="C195" t="s">
        <v>883</v>
      </c>
      <c r="D195" t="s">
        <v>2620</v>
      </c>
      <c r="F195">
        <v>422</v>
      </c>
      <c r="G195">
        <v>19</v>
      </c>
      <c r="H195" t="s">
        <v>84</v>
      </c>
      <c r="I195" t="s">
        <v>1745</v>
      </c>
      <c r="J195">
        <v>142350</v>
      </c>
      <c r="K195">
        <v>2025</v>
      </c>
      <c r="L195">
        <v>35076964</v>
      </c>
      <c r="M195" t="s">
        <v>2532</v>
      </c>
      <c r="N195" t="s">
        <v>1688</v>
      </c>
      <c r="O195" t="s">
        <v>1686</v>
      </c>
      <c r="P195">
        <v>0</v>
      </c>
      <c r="Q195">
        <v>142350</v>
      </c>
      <c r="R195">
        <v>0</v>
      </c>
      <c r="S195">
        <v>0</v>
      </c>
      <c r="T195" t="str">
        <f t="shared" si="6"/>
        <v>28731.00.0000.00.0-205616.2.1.1.01.03.110.</v>
      </c>
      <c r="U195" t="e" cm="1">
        <f t="array" aca="1" ref="U195" ca="1">+IF(COMPROMISOS_2025[[#This Row],[P]]="20","41080111",_xlfn.XLOOKUP(COMPROMISOS_2025[[#This Row],[concatenado]],PAA[[#All],[RCP-RUBRO]],PAA[[#All],[INDICADOR]],"",0))</f>
        <v>#NAME?</v>
      </c>
      <c r="V195" s="144" t="str">
        <f t="shared" si="7"/>
        <v>00</v>
      </c>
      <c r="W195" s="136">
        <f>+COMPROMISOS_2025[[#This Row],[valor_total]]-COMPROMISOS_2025[[#This Row],[total_cancelado]]</f>
        <v>142350</v>
      </c>
      <c r="X195" s="136">
        <f>COMPROMISOS_2025[[#This Row],[total_ordenes]]</f>
        <v>142350</v>
      </c>
      <c r="Y195" t="str" cm="1">
        <f t="array" aca="1" ref="Y195" ca="1">IFERROR(_xlfn.XLOOKUP(COMPROMISOS_2025[[#This Row],[concatenado]],PAA[[#All],[RCP-RUBRO]],PAA[[#All],[Actividad3]],VLOOKUP(COMPROMISOS_2025[[#This Row],[Indicador Principal]],$AC$2:$AD$17,2,0),0),"")</f>
        <v/>
      </c>
    </row>
    <row r="196" spans="1:25" hidden="1" x14ac:dyDescent="0.25">
      <c r="A196">
        <v>2874</v>
      </c>
      <c r="B196" t="s">
        <v>2619</v>
      </c>
      <c r="C196" t="s">
        <v>883</v>
      </c>
      <c r="D196" t="s">
        <v>2620</v>
      </c>
      <c r="F196">
        <v>422</v>
      </c>
      <c r="G196">
        <v>19</v>
      </c>
      <c r="H196" t="s">
        <v>84</v>
      </c>
      <c r="I196" t="s">
        <v>1745</v>
      </c>
      <c r="J196">
        <v>142350</v>
      </c>
      <c r="K196">
        <v>2025</v>
      </c>
      <c r="L196">
        <v>8103470</v>
      </c>
      <c r="M196" t="s">
        <v>2548</v>
      </c>
      <c r="N196" t="s">
        <v>1688</v>
      </c>
      <c r="O196" t="s">
        <v>1686</v>
      </c>
      <c r="P196">
        <v>0</v>
      </c>
      <c r="Q196">
        <v>142350</v>
      </c>
      <c r="R196">
        <v>0</v>
      </c>
      <c r="S196">
        <v>0</v>
      </c>
      <c r="T196" t="str">
        <f t="shared" si="6"/>
        <v>28741.00.0000.00.0-205616.2.1.1.01.03.110.</v>
      </c>
      <c r="U196" t="e" cm="1">
        <f t="array" aca="1" ref="U196" ca="1">+IF(COMPROMISOS_2025[[#This Row],[P]]="20","41080111",_xlfn.XLOOKUP(COMPROMISOS_2025[[#This Row],[concatenado]],PAA[[#All],[RCP-RUBRO]],PAA[[#All],[INDICADOR]],"",0))</f>
        <v>#NAME?</v>
      </c>
      <c r="V196" s="144" t="str">
        <f t="shared" si="7"/>
        <v>00</v>
      </c>
      <c r="W196" s="136">
        <f>+COMPROMISOS_2025[[#This Row],[valor_total]]-COMPROMISOS_2025[[#This Row],[total_cancelado]]</f>
        <v>142350</v>
      </c>
      <c r="X196" s="136">
        <f>COMPROMISOS_2025[[#This Row],[total_ordenes]]</f>
        <v>142350</v>
      </c>
      <c r="Y196" t="str" cm="1">
        <f t="array" aca="1" ref="Y196" ca="1">IFERROR(_xlfn.XLOOKUP(COMPROMISOS_2025[[#This Row],[concatenado]],PAA[[#All],[RCP-RUBRO]],PAA[[#All],[Actividad3]],VLOOKUP(COMPROMISOS_2025[[#This Row],[Indicador Principal]],$AC$2:$AD$17,2,0),0),"")</f>
        <v/>
      </c>
    </row>
    <row r="197" spans="1:25" hidden="1" x14ac:dyDescent="0.25">
      <c r="A197">
        <v>2875</v>
      </c>
      <c r="B197" t="s">
        <v>2619</v>
      </c>
      <c r="C197" t="s">
        <v>883</v>
      </c>
      <c r="D197" t="s">
        <v>2620</v>
      </c>
      <c r="F197">
        <v>422</v>
      </c>
      <c r="G197">
        <v>19</v>
      </c>
      <c r="H197" t="s">
        <v>84</v>
      </c>
      <c r="I197" t="s">
        <v>1745</v>
      </c>
      <c r="J197">
        <v>142350</v>
      </c>
      <c r="K197">
        <v>2025</v>
      </c>
      <c r="L197">
        <v>102671896</v>
      </c>
      <c r="M197" t="s">
        <v>2549</v>
      </c>
      <c r="N197" t="s">
        <v>1688</v>
      </c>
      <c r="O197" t="s">
        <v>1686</v>
      </c>
      <c r="P197">
        <v>0</v>
      </c>
      <c r="Q197">
        <v>142350</v>
      </c>
      <c r="R197">
        <v>0</v>
      </c>
      <c r="S197">
        <v>0</v>
      </c>
      <c r="T197" t="str">
        <f t="shared" si="6"/>
        <v>28751.00.0000.00.0-205616.2.1.1.01.03.110.</v>
      </c>
      <c r="U197" t="e" cm="1">
        <f t="array" aca="1" ref="U197" ca="1">+IF(COMPROMISOS_2025[[#This Row],[P]]="20","41080111",_xlfn.XLOOKUP(COMPROMISOS_2025[[#This Row],[concatenado]],PAA[[#All],[RCP-RUBRO]],PAA[[#All],[INDICADOR]],"",0))</f>
        <v>#NAME?</v>
      </c>
      <c r="V197" s="144" t="str">
        <f t="shared" si="7"/>
        <v>00</v>
      </c>
      <c r="W197" s="136">
        <f>+COMPROMISOS_2025[[#This Row],[valor_total]]-COMPROMISOS_2025[[#This Row],[total_cancelado]]</f>
        <v>142350</v>
      </c>
      <c r="X197" s="136">
        <f>COMPROMISOS_2025[[#This Row],[total_ordenes]]</f>
        <v>142350</v>
      </c>
      <c r="Y197" t="str" cm="1">
        <f t="array" aca="1" ref="Y197" ca="1">IFERROR(_xlfn.XLOOKUP(COMPROMISOS_2025[[#This Row],[concatenado]],PAA[[#All],[RCP-RUBRO]],PAA[[#All],[Actividad3]],VLOOKUP(COMPROMISOS_2025[[#This Row],[Indicador Principal]],$AC$2:$AD$17,2,0),0),"")</f>
        <v/>
      </c>
    </row>
    <row r="198" spans="1:25" hidden="1" x14ac:dyDescent="0.25">
      <c r="A198">
        <v>2876</v>
      </c>
      <c r="B198" t="s">
        <v>2619</v>
      </c>
      <c r="C198" t="s">
        <v>883</v>
      </c>
      <c r="D198" t="s">
        <v>2620</v>
      </c>
      <c r="F198">
        <v>422</v>
      </c>
      <c r="G198">
        <v>19</v>
      </c>
      <c r="H198" t="s">
        <v>84</v>
      </c>
      <c r="I198" t="s">
        <v>1745</v>
      </c>
      <c r="J198">
        <v>136063</v>
      </c>
      <c r="K198">
        <v>2025</v>
      </c>
      <c r="L198">
        <v>154385741</v>
      </c>
      <c r="M198" t="s">
        <v>2533</v>
      </c>
      <c r="N198" t="s">
        <v>1688</v>
      </c>
      <c r="O198" t="s">
        <v>1686</v>
      </c>
      <c r="P198">
        <v>0</v>
      </c>
      <c r="Q198">
        <v>136063</v>
      </c>
      <c r="R198">
        <v>0</v>
      </c>
      <c r="S198">
        <v>0</v>
      </c>
      <c r="T198" t="str">
        <f t="shared" si="6"/>
        <v>28761.00.0000.00.0-205616.2.1.1.01.03.110.</v>
      </c>
      <c r="U198" t="e" cm="1">
        <f t="array" aca="1" ref="U198" ca="1">+IF(COMPROMISOS_2025[[#This Row],[P]]="20","41080111",_xlfn.XLOOKUP(COMPROMISOS_2025[[#This Row],[concatenado]],PAA[[#All],[RCP-RUBRO]],PAA[[#All],[INDICADOR]],"",0))</f>
        <v>#NAME?</v>
      </c>
      <c r="V198" s="144" t="str">
        <f t="shared" si="7"/>
        <v>00</v>
      </c>
      <c r="W198" s="136">
        <f>+COMPROMISOS_2025[[#This Row],[valor_total]]-COMPROMISOS_2025[[#This Row],[total_cancelado]]</f>
        <v>136063</v>
      </c>
      <c r="X198" s="136">
        <f>COMPROMISOS_2025[[#This Row],[total_ordenes]]</f>
        <v>136063</v>
      </c>
      <c r="Y198" t="str" cm="1">
        <f t="array" aca="1" ref="Y198" ca="1">IFERROR(_xlfn.XLOOKUP(COMPROMISOS_2025[[#This Row],[concatenado]],PAA[[#All],[RCP-RUBRO]],PAA[[#All],[Actividad3]],VLOOKUP(COMPROMISOS_2025[[#This Row],[Indicador Principal]],$AC$2:$AD$17,2,0),0),"")</f>
        <v/>
      </c>
    </row>
    <row r="199" spans="1:25" hidden="1" x14ac:dyDescent="0.25">
      <c r="A199">
        <v>2877</v>
      </c>
      <c r="B199" t="s">
        <v>2619</v>
      </c>
      <c r="C199" t="s">
        <v>883</v>
      </c>
      <c r="D199" t="s">
        <v>2620</v>
      </c>
      <c r="F199">
        <v>422</v>
      </c>
      <c r="G199">
        <v>19</v>
      </c>
      <c r="H199" t="s">
        <v>84</v>
      </c>
      <c r="I199" t="s">
        <v>1745</v>
      </c>
      <c r="J199">
        <v>142350</v>
      </c>
      <c r="K199">
        <v>2025</v>
      </c>
      <c r="L199">
        <v>155118841</v>
      </c>
      <c r="M199" t="s">
        <v>2550</v>
      </c>
      <c r="N199" t="s">
        <v>1688</v>
      </c>
      <c r="O199" t="s">
        <v>1686</v>
      </c>
      <c r="P199">
        <v>0</v>
      </c>
      <c r="Q199">
        <v>142350</v>
      </c>
      <c r="R199">
        <v>0</v>
      </c>
      <c r="S199">
        <v>0</v>
      </c>
      <c r="T199" t="str">
        <f t="shared" si="6"/>
        <v>28771.00.0000.00.0-205616.2.1.1.01.03.110.</v>
      </c>
      <c r="U199" t="e" cm="1">
        <f t="array" aca="1" ref="U199" ca="1">+IF(COMPROMISOS_2025[[#This Row],[P]]="20","41080111",_xlfn.XLOOKUP(COMPROMISOS_2025[[#This Row],[concatenado]],PAA[[#All],[RCP-RUBRO]],PAA[[#All],[INDICADOR]],"",0))</f>
        <v>#NAME?</v>
      </c>
      <c r="V199" s="144" t="str">
        <f t="shared" si="7"/>
        <v>00</v>
      </c>
      <c r="W199" s="136">
        <f>+COMPROMISOS_2025[[#This Row],[valor_total]]-COMPROMISOS_2025[[#This Row],[total_cancelado]]</f>
        <v>142350</v>
      </c>
      <c r="X199" s="136">
        <f>COMPROMISOS_2025[[#This Row],[total_ordenes]]</f>
        <v>142350</v>
      </c>
      <c r="Y199" t="str" cm="1">
        <f t="array" aca="1" ref="Y199" ca="1">IFERROR(_xlfn.XLOOKUP(COMPROMISOS_2025[[#This Row],[concatenado]],PAA[[#All],[RCP-RUBRO]],PAA[[#All],[Actividad3]],VLOOKUP(COMPROMISOS_2025[[#This Row],[Indicador Principal]],$AC$2:$AD$17,2,0),0),"")</f>
        <v/>
      </c>
    </row>
    <row r="200" spans="1:25" hidden="1" x14ac:dyDescent="0.25">
      <c r="A200">
        <v>2878</v>
      </c>
      <c r="B200" t="s">
        <v>2619</v>
      </c>
      <c r="C200" t="s">
        <v>883</v>
      </c>
      <c r="D200" t="s">
        <v>2620</v>
      </c>
      <c r="F200">
        <v>422</v>
      </c>
      <c r="G200">
        <v>19</v>
      </c>
      <c r="H200" t="s">
        <v>84</v>
      </c>
      <c r="I200" t="s">
        <v>1745</v>
      </c>
      <c r="J200">
        <v>142350</v>
      </c>
      <c r="K200">
        <v>2025</v>
      </c>
      <c r="L200">
        <v>194241394</v>
      </c>
      <c r="M200" t="s">
        <v>2551</v>
      </c>
      <c r="N200" t="s">
        <v>1688</v>
      </c>
      <c r="O200" t="s">
        <v>1686</v>
      </c>
      <c r="P200">
        <v>0</v>
      </c>
      <c r="Q200">
        <v>142350</v>
      </c>
      <c r="R200">
        <v>0</v>
      </c>
      <c r="S200">
        <v>0</v>
      </c>
      <c r="T200" t="str">
        <f t="shared" si="6"/>
        <v>28781.00.0000.00.0-205616.2.1.1.01.03.110.</v>
      </c>
      <c r="U200" t="e" cm="1">
        <f t="array" aca="1" ref="U200" ca="1">+IF(COMPROMISOS_2025[[#This Row],[P]]="20","41080111",_xlfn.XLOOKUP(COMPROMISOS_2025[[#This Row],[concatenado]],PAA[[#All],[RCP-RUBRO]],PAA[[#All],[INDICADOR]],"",0))</f>
        <v>#NAME?</v>
      </c>
      <c r="V200" s="144" t="str">
        <f t="shared" si="7"/>
        <v>00</v>
      </c>
      <c r="W200" s="136">
        <f>+COMPROMISOS_2025[[#This Row],[valor_total]]-COMPROMISOS_2025[[#This Row],[total_cancelado]]</f>
        <v>142350</v>
      </c>
      <c r="X200" s="136">
        <f>COMPROMISOS_2025[[#This Row],[total_ordenes]]</f>
        <v>142350</v>
      </c>
      <c r="Y200" t="str" cm="1">
        <f t="array" aca="1" ref="Y200" ca="1">IFERROR(_xlfn.XLOOKUP(COMPROMISOS_2025[[#This Row],[concatenado]],PAA[[#All],[RCP-RUBRO]],PAA[[#All],[Actividad3]],VLOOKUP(COMPROMISOS_2025[[#This Row],[Indicador Principal]],$AC$2:$AD$17,2,0),0),"")</f>
        <v/>
      </c>
    </row>
    <row r="201" spans="1:25" hidden="1" x14ac:dyDescent="0.25">
      <c r="A201">
        <v>2879</v>
      </c>
      <c r="B201" t="s">
        <v>2619</v>
      </c>
      <c r="C201" t="s">
        <v>883</v>
      </c>
      <c r="D201" t="s">
        <v>2620</v>
      </c>
      <c r="F201">
        <v>422</v>
      </c>
      <c r="G201">
        <v>19</v>
      </c>
      <c r="H201" t="s">
        <v>84</v>
      </c>
      <c r="I201" t="s">
        <v>1745</v>
      </c>
      <c r="J201">
        <v>142350</v>
      </c>
      <c r="K201">
        <v>2025</v>
      </c>
      <c r="L201">
        <v>214908938</v>
      </c>
      <c r="M201" t="s">
        <v>2552</v>
      </c>
      <c r="N201" t="s">
        <v>1688</v>
      </c>
      <c r="O201" t="s">
        <v>1686</v>
      </c>
      <c r="P201">
        <v>0</v>
      </c>
      <c r="Q201">
        <v>142350</v>
      </c>
      <c r="R201">
        <v>0</v>
      </c>
      <c r="S201">
        <v>0</v>
      </c>
      <c r="T201" t="str">
        <f t="shared" si="6"/>
        <v>28791.00.0000.00.0-205616.2.1.1.01.03.110.</v>
      </c>
      <c r="U201" t="e" cm="1">
        <f t="array" aca="1" ref="U201" ca="1">+IF(COMPROMISOS_2025[[#This Row],[P]]="20","41080111",_xlfn.XLOOKUP(COMPROMISOS_2025[[#This Row],[concatenado]],PAA[[#All],[RCP-RUBRO]],PAA[[#All],[INDICADOR]],"",0))</f>
        <v>#NAME?</v>
      </c>
      <c r="V201" s="144" t="str">
        <f t="shared" si="7"/>
        <v>00</v>
      </c>
      <c r="W201" s="136">
        <f>+COMPROMISOS_2025[[#This Row],[valor_total]]-COMPROMISOS_2025[[#This Row],[total_cancelado]]</f>
        <v>142350</v>
      </c>
      <c r="X201" s="136">
        <f>COMPROMISOS_2025[[#This Row],[total_ordenes]]</f>
        <v>142350</v>
      </c>
      <c r="Y201" t="str" cm="1">
        <f t="array" aca="1" ref="Y201" ca="1">IFERROR(_xlfn.XLOOKUP(COMPROMISOS_2025[[#This Row],[concatenado]],PAA[[#All],[RCP-RUBRO]],PAA[[#All],[Actividad3]],VLOOKUP(COMPROMISOS_2025[[#This Row],[Indicador Principal]],$AC$2:$AD$17,2,0),0),"")</f>
        <v/>
      </c>
    </row>
    <row r="202" spans="1:25" hidden="1" x14ac:dyDescent="0.25">
      <c r="A202">
        <v>2880</v>
      </c>
      <c r="B202" t="s">
        <v>2619</v>
      </c>
      <c r="C202" t="s">
        <v>883</v>
      </c>
      <c r="D202" t="s">
        <v>2620</v>
      </c>
      <c r="F202">
        <v>422</v>
      </c>
      <c r="G202">
        <v>19</v>
      </c>
      <c r="H202" t="s">
        <v>84</v>
      </c>
      <c r="I202" t="s">
        <v>1745</v>
      </c>
      <c r="J202">
        <v>142350</v>
      </c>
      <c r="K202">
        <v>2025</v>
      </c>
      <c r="L202">
        <v>215092705</v>
      </c>
      <c r="M202" t="s">
        <v>2553</v>
      </c>
      <c r="N202" t="s">
        <v>1688</v>
      </c>
      <c r="O202" t="s">
        <v>1686</v>
      </c>
      <c r="P202">
        <v>0</v>
      </c>
      <c r="Q202">
        <v>142350</v>
      </c>
      <c r="R202">
        <v>0</v>
      </c>
      <c r="S202">
        <v>0</v>
      </c>
      <c r="T202" t="str">
        <f t="shared" si="6"/>
        <v>28801.00.0000.00.0-205616.2.1.1.01.03.110.</v>
      </c>
      <c r="U202" t="e" cm="1">
        <f t="array" aca="1" ref="U202" ca="1">+IF(COMPROMISOS_2025[[#This Row],[P]]="20","41080111",_xlfn.XLOOKUP(COMPROMISOS_2025[[#This Row],[concatenado]],PAA[[#All],[RCP-RUBRO]],PAA[[#All],[INDICADOR]],"",0))</f>
        <v>#NAME?</v>
      </c>
      <c r="V202" s="144" t="str">
        <f t="shared" si="7"/>
        <v>00</v>
      </c>
      <c r="W202" s="136">
        <f>+COMPROMISOS_2025[[#This Row],[valor_total]]-COMPROMISOS_2025[[#This Row],[total_cancelado]]</f>
        <v>142350</v>
      </c>
      <c r="X202" s="136">
        <f>COMPROMISOS_2025[[#This Row],[total_ordenes]]</f>
        <v>142350</v>
      </c>
      <c r="Y202" t="str" cm="1">
        <f t="array" aca="1" ref="Y202" ca="1">IFERROR(_xlfn.XLOOKUP(COMPROMISOS_2025[[#This Row],[concatenado]],PAA[[#All],[RCP-RUBRO]],PAA[[#All],[Actividad3]],VLOOKUP(COMPROMISOS_2025[[#This Row],[Indicador Principal]],$AC$2:$AD$17,2,0),0),"")</f>
        <v/>
      </c>
    </row>
    <row r="203" spans="1:25" hidden="1" x14ac:dyDescent="0.25">
      <c r="A203">
        <v>2881</v>
      </c>
      <c r="B203" t="s">
        <v>2619</v>
      </c>
      <c r="C203" t="s">
        <v>883</v>
      </c>
      <c r="D203" t="s">
        <v>2620</v>
      </c>
      <c r="F203">
        <v>422</v>
      </c>
      <c r="G203">
        <v>19</v>
      </c>
      <c r="H203" t="s">
        <v>84</v>
      </c>
      <c r="I203" t="s">
        <v>1745</v>
      </c>
      <c r="J203">
        <v>136063</v>
      </c>
      <c r="K203">
        <v>2025</v>
      </c>
      <c r="L203">
        <v>218528561</v>
      </c>
      <c r="M203" t="s">
        <v>2554</v>
      </c>
      <c r="N203" t="s">
        <v>1688</v>
      </c>
      <c r="O203" t="s">
        <v>1686</v>
      </c>
      <c r="P203">
        <v>0</v>
      </c>
      <c r="Q203">
        <v>136063</v>
      </c>
      <c r="R203">
        <v>0</v>
      </c>
      <c r="S203">
        <v>0</v>
      </c>
      <c r="T203" t="str">
        <f t="shared" si="6"/>
        <v>28811.00.0000.00.0-205616.2.1.1.01.03.110.</v>
      </c>
      <c r="U203" t="e" cm="1">
        <f t="array" aca="1" ref="U203" ca="1">+IF(COMPROMISOS_2025[[#This Row],[P]]="20","41080111",_xlfn.XLOOKUP(COMPROMISOS_2025[[#This Row],[concatenado]],PAA[[#All],[RCP-RUBRO]],PAA[[#All],[INDICADOR]],"",0))</f>
        <v>#NAME?</v>
      </c>
      <c r="V203" s="144" t="str">
        <f t="shared" si="7"/>
        <v>00</v>
      </c>
      <c r="W203" s="136">
        <f>+COMPROMISOS_2025[[#This Row],[valor_total]]-COMPROMISOS_2025[[#This Row],[total_cancelado]]</f>
        <v>136063</v>
      </c>
      <c r="X203" s="136">
        <f>COMPROMISOS_2025[[#This Row],[total_ordenes]]</f>
        <v>136063</v>
      </c>
      <c r="Y203" t="str" cm="1">
        <f t="array" aca="1" ref="Y203" ca="1">IFERROR(_xlfn.XLOOKUP(COMPROMISOS_2025[[#This Row],[concatenado]],PAA[[#All],[RCP-RUBRO]],PAA[[#All],[Actividad3]],VLOOKUP(COMPROMISOS_2025[[#This Row],[Indicador Principal]],$AC$2:$AD$17,2,0),0),"")</f>
        <v/>
      </c>
    </row>
    <row r="204" spans="1:25" hidden="1" x14ac:dyDescent="0.25">
      <c r="A204">
        <v>2882</v>
      </c>
      <c r="B204" t="s">
        <v>2619</v>
      </c>
      <c r="C204" t="s">
        <v>883</v>
      </c>
      <c r="D204" t="s">
        <v>2620</v>
      </c>
      <c r="F204">
        <v>422</v>
      </c>
      <c r="G204">
        <v>19</v>
      </c>
      <c r="H204" t="s">
        <v>84</v>
      </c>
      <c r="I204" t="s">
        <v>1745</v>
      </c>
      <c r="J204">
        <v>53100</v>
      </c>
      <c r="K204">
        <v>2025</v>
      </c>
      <c r="L204">
        <v>243696588</v>
      </c>
      <c r="M204" t="s">
        <v>2555</v>
      </c>
      <c r="N204" t="s">
        <v>1688</v>
      </c>
      <c r="O204" t="s">
        <v>1686</v>
      </c>
      <c r="P204">
        <v>0</v>
      </c>
      <c r="Q204">
        <v>53100</v>
      </c>
      <c r="R204">
        <v>0</v>
      </c>
      <c r="S204">
        <v>0</v>
      </c>
      <c r="T204" t="str">
        <f t="shared" si="6"/>
        <v>28821.00.0000.00.0-205616.2.1.1.01.03.110.</v>
      </c>
      <c r="U204" t="e" cm="1">
        <f t="array" aca="1" ref="U204" ca="1">+IF(COMPROMISOS_2025[[#This Row],[P]]="20","41080111",_xlfn.XLOOKUP(COMPROMISOS_2025[[#This Row],[concatenado]],PAA[[#All],[RCP-RUBRO]],PAA[[#All],[INDICADOR]],"",0))</f>
        <v>#NAME?</v>
      </c>
      <c r="V204" s="144" t="str">
        <f t="shared" si="7"/>
        <v>00</v>
      </c>
      <c r="W204" s="136">
        <f>+COMPROMISOS_2025[[#This Row],[valor_total]]-COMPROMISOS_2025[[#This Row],[total_cancelado]]</f>
        <v>53100</v>
      </c>
      <c r="X204" s="136">
        <f>COMPROMISOS_2025[[#This Row],[total_ordenes]]</f>
        <v>53100</v>
      </c>
      <c r="Y204" t="str" cm="1">
        <f t="array" aca="1" ref="Y204" ca="1">IFERROR(_xlfn.XLOOKUP(COMPROMISOS_2025[[#This Row],[concatenado]],PAA[[#All],[RCP-RUBRO]],PAA[[#All],[Actividad3]],VLOOKUP(COMPROMISOS_2025[[#This Row],[Indicador Principal]],$AC$2:$AD$17,2,0),0),"")</f>
        <v/>
      </c>
    </row>
    <row r="205" spans="1:25" hidden="1" x14ac:dyDescent="0.25">
      <c r="A205">
        <v>2883</v>
      </c>
      <c r="B205" t="s">
        <v>2619</v>
      </c>
      <c r="C205" t="s">
        <v>883</v>
      </c>
      <c r="D205" t="s">
        <v>2620</v>
      </c>
      <c r="F205">
        <v>422</v>
      </c>
      <c r="G205">
        <v>19</v>
      </c>
      <c r="H205" t="s">
        <v>84</v>
      </c>
      <c r="I205" t="s">
        <v>1745</v>
      </c>
      <c r="J205">
        <v>142350</v>
      </c>
      <c r="K205">
        <v>2025</v>
      </c>
      <c r="L205">
        <v>322207996</v>
      </c>
      <c r="M205" t="s">
        <v>2556</v>
      </c>
      <c r="N205" t="s">
        <v>1688</v>
      </c>
      <c r="O205" t="s">
        <v>1686</v>
      </c>
      <c r="P205">
        <v>0</v>
      </c>
      <c r="Q205">
        <v>142350</v>
      </c>
      <c r="R205">
        <v>0</v>
      </c>
      <c r="S205">
        <v>0</v>
      </c>
      <c r="T205" t="str">
        <f t="shared" si="6"/>
        <v>28831.00.0000.00.0-205616.2.1.1.01.03.110.</v>
      </c>
      <c r="U205" t="e" cm="1">
        <f t="array" aca="1" ref="U205" ca="1">+IF(COMPROMISOS_2025[[#This Row],[P]]="20","41080111",_xlfn.XLOOKUP(COMPROMISOS_2025[[#This Row],[concatenado]],PAA[[#All],[RCP-RUBRO]],PAA[[#All],[INDICADOR]],"",0))</f>
        <v>#NAME?</v>
      </c>
      <c r="V205" s="144" t="str">
        <f t="shared" si="7"/>
        <v>00</v>
      </c>
      <c r="W205" s="136">
        <f>+COMPROMISOS_2025[[#This Row],[valor_total]]-COMPROMISOS_2025[[#This Row],[total_cancelado]]</f>
        <v>142350</v>
      </c>
      <c r="X205" s="136">
        <f>COMPROMISOS_2025[[#This Row],[total_ordenes]]</f>
        <v>142350</v>
      </c>
      <c r="Y205" t="str" cm="1">
        <f t="array" aca="1" ref="Y205" ca="1">IFERROR(_xlfn.XLOOKUP(COMPROMISOS_2025[[#This Row],[concatenado]],PAA[[#All],[RCP-RUBRO]],PAA[[#All],[Actividad3]],VLOOKUP(COMPROMISOS_2025[[#This Row],[Indicador Principal]],$AC$2:$AD$17,2,0),0),"")</f>
        <v/>
      </c>
    </row>
    <row r="206" spans="1:25" hidden="1" x14ac:dyDescent="0.25">
      <c r="A206">
        <v>2884</v>
      </c>
      <c r="B206" t="s">
        <v>2619</v>
      </c>
      <c r="C206" t="s">
        <v>883</v>
      </c>
      <c r="D206" t="s">
        <v>2620</v>
      </c>
      <c r="F206">
        <v>422</v>
      </c>
      <c r="G206">
        <v>19</v>
      </c>
      <c r="H206" t="s">
        <v>84</v>
      </c>
      <c r="I206" t="s">
        <v>1745</v>
      </c>
      <c r="J206">
        <v>142350</v>
      </c>
      <c r="K206">
        <v>2025</v>
      </c>
      <c r="L206">
        <v>322447097</v>
      </c>
      <c r="M206" t="s">
        <v>2534</v>
      </c>
      <c r="N206" t="s">
        <v>1688</v>
      </c>
      <c r="O206" t="s">
        <v>1686</v>
      </c>
      <c r="P206">
        <v>0</v>
      </c>
      <c r="Q206">
        <v>142350</v>
      </c>
      <c r="R206">
        <v>0</v>
      </c>
      <c r="S206">
        <v>0</v>
      </c>
      <c r="T206" t="str">
        <f t="shared" si="6"/>
        <v>28841.00.0000.00.0-205616.2.1.1.01.03.110.</v>
      </c>
      <c r="U206" t="e" cm="1">
        <f t="array" aca="1" ref="U206" ca="1">+IF(COMPROMISOS_2025[[#This Row],[P]]="20","41080111",_xlfn.XLOOKUP(COMPROMISOS_2025[[#This Row],[concatenado]],PAA[[#All],[RCP-RUBRO]],PAA[[#All],[INDICADOR]],"",0))</f>
        <v>#NAME?</v>
      </c>
      <c r="V206" s="144" t="str">
        <f t="shared" si="7"/>
        <v>00</v>
      </c>
      <c r="W206" s="136">
        <f>+COMPROMISOS_2025[[#This Row],[valor_total]]-COMPROMISOS_2025[[#This Row],[total_cancelado]]</f>
        <v>142350</v>
      </c>
      <c r="X206" s="136">
        <f>COMPROMISOS_2025[[#This Row],[total_ordenes]]</f>
        <v>142350</v>
      </c>
      <c r="Y206" t="str" cm="1">
        <f t="array" aca="1" ref="Y206" ca="1">IFERROR(_xlfn.XLOOKUP(COMPROMISOS_2025[[#This Row],[concatenado]],PAA[[#All],[RCP-RUBRO]],PAA[[#All],[Actividad3]],VLOOKUP(COMPROMISOS_2025[[#This Row],[Indicador Principal]],$AC$2:$AD$17,2,0),0),"")</f>
        <v/>
      </c>
    </row>
    <row r="207" spans="1:25" hidden="1" x14ac:dyDescent="0.25">
      <c r="A207">
        <v>2885</v>
      </c>
      <c r="B207" t="s">
        <v>2619</v>
      </c>
      <c r="C207" t="s">
        <v>883</v>
      </c>
      <c r="D207" t="s">
        <v>2620</v>
      </c>
      <c r="F207">
        <v>422</v>
      </c>
      <c r="G207">
        <v>19</v>
      </c>
      <c r="H207" t="s">
        <v>84</v>
      </c>
      <c r="I207" t="s">
        <v>1745</v>
      </c>
      <c r="J207">
        <v>142350</v>
      </c>
      <c r="K207">
        <v>2025</v>
      </c>
      <c r="L207">
        <v>322775813</v>
      </c>
      <c r="M207" t="s">
        <v>2557</v>
      </c>
      <c r="N207" t="s">
        <v>1688</v>
      </c>
      <c r="O207" t="s">
        <v>1686</v>
      </c>
      <c r="P207">
        <v>0</v>
      </c>
      <c r="Q207">
        <v>142350</v>
      </c>
      <c r="R207">
        <v>0</v>
      </c>
      <c r="S207">
        <v>0</v>
      </c>
      <c r="T207" t="str">
        <f t="shared" si="6"/>
        <v>28851.00.0000.00.0-205616.2.1.1.01.03.110.</v>
      </c>
      <c r="U207" t="e" cm="1">
        <f t="array" aca="1" ref="U207" ca="1">+IF(COMPROMISOS_2025[[#This Row],[P]]="20","41080111",_xlfn.XLOOKUP(COMPROMISOS_2025[[#This Row],[concatenado]],PAA[[#All],[RCP-RUBRO]],PAA[[#All],[INDICADOR]],"",0))</f>
        <v>#NAME?</v>
      </c>
      <c r="V207" s="144" t="str">
        <f t="shared" si="7"/>
        <v>00</v>
      </c>
      <c r="W207" s="136">
        <f>+COMPROMISOS_2025[[#This Row],[valor_total]]-COMPROMISOS_2025[[#This Row],[total_cancelado]]</f>
        <v>142350</v>
      </c>
      <c r="X207" s="136">
        <f>COMPROMISOS_2025[[#This Row],[total_ordenes]]</f>
        <v>142350</v>
      </c>
      <c r="Y207" t="str" cm="1">
        <f t="array" aca="1" ref="Y207" ca="1">IFERROR(_xlfn.XLOOKUP(COMPROMISOS_2025[[#This Row],[concatenado]],PAA[[#All],[RCP-RUBRO]],PAA[[#All],[Actividad3]],VLOOKUP(COMPROMISOS_2025[[#This Row],[Indicador Principal]],$AC$2:$AD$17,2,0),0),"")</f>
        <v/>
      </c>
    </row>
    <row r="208" spans="1:25" hidden="1" x14ac:dyDescent="0.25">
      <c r="A208">
        <v>2886</v>
      </c>
      <c r="B208" t="s">
        <v>2619</v>
      </c>
      <c r="C208" t="s">
        <v>883</v>
      </c>
      <c r="D208" t="s">
        <v>2620</v>
      </c>
      <c r="F208">
        <v>422</v>
      </c>
      <c r="G208">
        <v>19</v>
      </c>
      <c r="H208" t="s">
        <v>84</v>
      </c>
      <c r="I208" t="s">
        <v>1745</v>
      </c>
      <c r="J208">
        <v>142350</v>
      </c>
      <c r="K208">
        <v>2025</v>
      </c>
      <c r="L208">
        <v>333762104</v>
      </c>
      <c r="M208" t="s">
        <v>2558</v>
      </c>
      <c r="N208" t="s">
        <v>1688</v>
      </c>
      <c r="O208" t="s">
        <v>1686</v>
      </c>
      <c r="P208">
        <v>0</v>
      </c>
      <c r="Q208">
        <v>142350</v>
      </c>
      <c r="R208">
        <v>0</v>
      </c>
      <c r="S208">
        <v>0</v>
      </c>
      <c r="T208" t="str">
        <f t="shared" si="6"/>
        <v>28861.00.0000.00.0-205616.2.1.1.01.03.110.</v>
      </c>
      <c r="U208" t="e" cm="1">
        <f t="array" aca="1" ref="U208" ca="1">+IF(COMPROMISOS_2025[[#This Row],[P]]="20","41080111",_xlfn.XLOOKUP(COMPROMISOS_2025[[#This Row],[concatenado]],PAA[[#All],[RCP-RUBRO]],PAA[[#All],[INDICADOR]],"",0))</f>
        <v>#NAME?</v>
      </c>
      <c r="V208" s="144" t="str">
        <f t="shared" si="7"/>
        <v>00</v>
      </c>
      <c r="W208" s="136">
        <f>+COMPROMISOS_2025[[#This Row],[valor_total]]-COMPROMISOS_2025[[#This Row],[total_cancelado]]</f>
        <v>142350</v>
      </c>
      <c r="X208" s="136">
        <f>COMPROMISOS_2025[[#This Row],[total_ordenes]]</f>
        <v>142350</v>
      </c>
      <c r="Y208" t="str" cm="1">
        <f t="array" aca="1" ref="Y208" ca="1">IFERROR(_xlfn.XLOOKUP(COMPROMISOS_2025[[#This Row],[concatenado]],PAA[[#All],[RCP-RUBRO]],PAA[[#All],[Actividad3]],VLOOKUP(COMPROMISOS_2025[[#This Row],[Indicador Principal]],$AC$2:$AD$17,2,0),0),"")</f>
        <v/>
      </c>
    </row>
    <row r="209" spans="1:25" hidden="1" x14ac:dyDescent="0.25">
      <c r="A209">
        <v>2887</v>
      </c>
      <c r="B209" t="s">
        <v>2619</v>
      </c>
      <c r="C209" t="s">
        <v>883</v>
      </c>
      <c r="D209" t="s">
        <v>2620</v>
      </c>
      <c r="F209">
        <v>422</v>
      </c>
      <c r="G209">
        <v>19</v>
      </c>
      <c r="H209" t="s">
        <v>84</v>
      </c>
      <c r="I209" t="s">
        <v>1745</v>
      </c>
      <c r="J209">
        <v>142350</v>
      </c>
      <c r="K209">
        <v>2025</v>
      </c>
      <c r="L209">
        <v>370030331</v>
      </c>
      <c r="M209" t="s">
        <v>2559</v>
      </c>
      <c r="N209" t="s">
        <v>1688</v>
      </c>
      <c r="O209" t="s">
        <v>1686</v>
      </c>
      <c r="P209">
        <v>0</v>
      </c>
      <c r="Q209">
        <v>142350</v>
      </c>
      <c r="R209">
        <v>0</v>
      </c>
      <c r="S209">
        <v>0</v>
      </c>
      <c r="T209" t="str">
        <f t="shared" si="6"/>
        <v>28871.00.0000.00.0-205616.2.1.1.01.03.110.</v>
      </c>
      <c r="U209" t="e" cm="1">
        <f t="array" aca="1" ref="U209" ca="1">+IF(COMPROMISOS_2025[[#This Row],[P]]="20","41080111",_xlfn.XLOOKUP(COMPROMISOS_2025[[#This Row],[concatenado]],PAA[[#All],[RCP-RUBRO]],PAA[[#All],[INDICADOR]],"",0))</f>
        <v>#NAME?</v>
      </c>
      <c r="V209" s="144" t="str">
        <f t="shared" si="7"/>
        <v>00</v>
      </c>
      <c r="W209" s="136">
        <f>+COMPROMISOS_2025[[#This Row],[valor_total]]-COMPROMISOS_2025[[#This Row],[total_cancelado]]</f>
        <v>142350</v>
      </c>
      <c r="X209" s="136">
        <f>COMPROMISOS_2025[[#This Row],[total_ordenes]]</f>
        <v>142350</v>
      </c>
      <c r="Y209" t="str" cm="1">
        <f t="array" aca="1" ref="Y209" ca="1">IFERROR(_xlfn.XLOOKUP(COMPROMISOS_2025[[#This Row],[concatenado]],PAA[[#All],[RCP-RUBRO]],PAA[[#All],[Actividad3]],VLOOKUP(COMPROMISOS_2025[[#This Row],[Indicador Principal]],$AC$2:$AD$17,2,0),0),"")</f>
        <v/>
      </c>
    </row>
    <row r="210" spans="1:25" hidden="1" x14ac:dyDescent="0.25">
      <c r="A210">
        <v>2888</v>
      </c>
      <c r="B210" t="s">
        <v>2619</v>
      </c>
      <c r="C210" t="s">
        <v>883</v>
      </c>
      <c r="D210" t="s">
        <v>2620</v>
      </c>
      <c r="F210">
        <v>422</v>
      </c>
      <c r="G210">
        <v>19</v>
      </c>
      <c r="H210" t="s">
        <v>84</v>
      </c>
      <c r="I210" t="s">
        <v>1745</v>
      </c>
      <c r="J210">
        <v>142350</v>
      </c>
      <c r="K210">
        <v>2025</v>
      </c>
      <c r="L210">
        <v>378647411</v>
      </c>
      <c r="M210" t="s">
        <v>2560</v>
      </c>
      <c r="N210" t="s">
        <v>1688</v>
      </c>
      <c r="O210" t="s">
        <v>1686</v>
      </c>
      <c r="P210">
        <v>0</v>
      </c>
      <c r="Q210">
        <v>142350</v>
      </c>
      <c r="R210">
        <v>0</v>
      </c>
      <c r="S210">
        <v>0</v>
      </c>
      <c r="T210" t="str">
        <f t="shared" si="6"/>
        <v>28881.00.0000.00.0-205616.2.1.1.01.03.110.</v>
      </c>
      <c r="U210" t="e" cm="1">
        <f t="array" aca="1" ref="U210" ca="1">+IF(COMPROMISOS_2025[[#This Row],[P]]="20","41080111",_xlfn.XLOOKUP(COMPROMISOS_2025[[#This Row],[concatenado]],PAA[[#All],[RCP-RUBRO]],PAA[[#All],[INDICADOR]],"",0))</f>
        <v>#NAME?</v>
      </c>
      <c r="V210" s="144" t="str">
        <f t="shared" si="7"/>
        <v>00</v>
      </c>
      <c r="W210" s="136">
        <f>+COMPROMISOS_2025[[#This Row],[valor_total]]-COMPROMISOS_2025[[#This Row],[total_cancelado]]</f>
        <v>142350</v>
      </c>
      <c r="X210" s="136">
        <f>COMPROMISOS_2025[[#This Row],[total_ordenes]]</f>
        <v>142350</v>
      </c>
      <c r="Y210" t="str" cm="1">
        <f t="array" aca="1" ref="Y210" ca="1">IFERROR(_xlfn.XLOOKUP(COMPROMISOS_2025[[#This Row],[concatenado]],PAA[[#All],[RCP-RUBRO]],PAA[[#All],[Actividad3]],VLOOKUP(COMPROMISOS_2025[[#This Row],[Indicador Principal]],$AC$2:$AD$17,2,0),0),"")</f>
        <v/>
      </c>
    </row>
    <row r="211" spans="1:25" hidden="1" x14ac:dyDescent="0.25">
      <c r="A211">
        <v>2889</v>
      </c>
      <c r="B211" t="s">
        <v>2619</v>
      </c>
      <c r="C211" t="s">
        <v>883</v>
      </c>
      <c r="D211" t="s">
        <v>2620</v>
      </c>
      <c r="F211">
        <v>422</v>
      </c>
      <c r="G211">
        <v>19</v>
      </c>
      <c r="H211" t="s">
        <v>84</v>
      </c>
      <c r="I211" t="s">
        <v>1745</v>
      </c>
      <c r="J211">
        <v>142350</v>
      </c>
      <c r="K211">
        <v>2025</v>
      </c>
      <c r="L211">
        <v>391760387</v>
      </c>
      <c r="M211" t="s">
        <v>2561</v>
      </c>
      <c r="N211" t="s">
        <v>1688</v>
      </c>
      <c r="O211" t="s">
        <v>1686</v>
      </c>
      <c r="P211">
        <v>0</v>
      </c>
      <c r="Q211">
        <v>142350</v>
      </c>
      <c r="R211">
        <v>0</v>
      </c>
      <c r="S211">
        <v>0</v>
      </c>
      <c r="T211" t="str">
        <f t="shared" si="6"/>
        <v>28891.00.0000.00.0-205616.2.1.1.01.03.110.</v>
      </c>
      <c r="U211" t="e" cm="1">
        <f t="array" aca="1" ref="U211" ca="1">+IF(COMPROMISOS_2025[[#This Row],[P]]="20","41080111",_xlfn.XLOOKUP(COMPROMISOS_2025[[#This Row],[concatenado]],PAA[[#All],[RCP-RUBRO]],PAA[[#All],[INDICADOR]],"",0))</f>
        <v>#NAME?</v>
      </c>
      <c r="V211" s="144" t="str">
        <f t="shared" si="7"/>
        <v>00</v>
      </c>
      <c r="W211" s="136">
        <f>+COMPROMISOS_2025[[#This Row],[valor_total]]-COMPROMISOS_2025[[#This Row],[total_cancelado]]</f>
        <v>142350</v>
      </c>
      <c r="X211" s="136">
        <f>COMPROMISOS_2025[[#This Row],[total_ordenes]]</f>
        <v>142350</v>
      </c>
      <c r="Y211" t="str" cm="1">
        <f t="array" aca="1" ref="Y211" ca="1">IFERROR(_xlfn.XLOOKUP(COMPROMISOS_2025[[#This Row],[concatenado]],PAA[[#All],[RCP-RUBRO]],PAA[[#All],[Actividad3]],VLOOKUP(COMPROMISOS_2025[[#This Row],[Indicador Principal]],$AC$2:$AD$17,2,0),0),"")</f>
        <v/>
      </c>
    </row>
    <row r="212" spans="1:25" hidden="1" x14ac:dyDescent="0.25">
      <c r="A212">
        <v>2890</v>
      </c>
      <c r="B212" t="s">
        <v>2619</v>
      </c>
      <c r="C212" t="s">
        <v>883</v>
      </c>
      <c r="D212" t="s">
        <v>2620</v>
      </c>
      <c r="F212">
        <v>422</v>
      </c>
      <c r="G212">
        <v>19</v>
      </c>
      <c r="H212" t="s">
        <v>84</v>
      </c>
      <c r="I212" t="s">
        <v>1745</v>
      </c>
      <c r="J212">
        <v>62500</v>
      </c>
      <c r="K212">
        <v>2025</v>
      </c>
      <c r="L212">
        <v>394194227</v>
      </c>
      <c r="M212" t="s">
        <v>2621</v>
      </c>
      <c r="N212" t="s">
        <v>1688</v>
      </c>
      <c r="O212" t="s">
        <v>1686</v>
      </c>
      <c r="P212">
        <v>0</v>
      </c>
      <c r="Q212">
        <v>62500</v>
      </c>
      <c r="R212">
        <v>0</v>
      </c>
      <c r="S212">
        <v>0</v>
      </c>
      <c r="T212" t="str">
        <f t="shared" si="6"/>
        <v>28901.00.0000.00.0-205616.2.1.1.01.03.110.</v>
      </c>
      <c r="U212" t="e" cm="1">
        <f t="array" aca="1" ref="U212" ca="1">+IF(COMPROMISOS_2025[[#This Row],[P]]="20","41080111",_xlfn.XLOOKUP(COMPROMISOS_2025[[#This Row],[concatenado]],PAA[[#All],[RCP-RUBRO]],PAA[[#All],[INDICADOR]],"",0))</f>
        <v>#NAME?</v>
      </c>
      <c r="V212" s="144" t="str">
        <f t="shared" si="7"/>
        <v>00</v>
      </c>
      <c r="W212" s="136">
        <f>+COMPROMISOS_2025[[#This Row],[valor_total]]-COMPROMISOS_2025[[#This Row],[total_cancelado]]</f>
        <v>62500</v>
      </c>
      <c r="X212" s="136">
        <f>COMPROMISOS_2025[[#This Row],[total_ordenes]]</f>
        <v>62500</v>
      </c>
      <c r="Y212" t="str" cm="1">
        <f t="array" aca="1" ref="Y212" ca="1">IFERROR(_xlfn.XLOOKUP(COMPROMISOS_2025[[#This Row],[concatenado]],PAA[[#All],[RCP-RUBRO]],PAA[[#All],[Actividad3]],VLOOKUP(COMPROMISOS_2025[[#This Row],[Indicador Principal]],$AC$2:$AD$17,2,0),0),"")</f>
        <v/>
      </c>
    </row>
    <row r="213" spans="1:25" hidden="1" x14ac:dyDescent="0.25">
      <c r="A213">
        <v>2891</v>
      </c>
      <c r="B213" t="s">
        <v>2619</v>
      </c>
      <c r="C213" t="s">
        <v>883</v>
      </c>
      <c r="D213" t="s">
        <v>2620</v>
      </c>
      <c r="F213">
        <v>422</v>
      </c>
      <c r="G213">
        <v>19</v>
      </c>
      <c r="H213" t="s">
        <v>84</v>
      </c>
      <c r="I213" t="s">
        <v>1745</v>
      </c>
      <c r="J213">
        <v>42201</v>
      </c>
      <c r="K213">
        <v>2025</v>
      </c>
      <c r="L213">
        <v>396197799</v>
      </c>
      <c r="M213" t="s">
        <v>2535</v>
      </c>
      <c r="N213" t="s">
        <v>1688</v>
      </c>
      <c r="O213" t="s">
        <v>1686</v>
      </c>
      <c r="P213">
        <v>0</v>
      </c>
      <c r="Q213">
        <v>42201</v>
      </c>
      <c r="R213">
        <v>0</v>
      </c>
      <c r="S213">
        <v>0</v>
      </c>
      <c r="T213" t="str">
        <f t="shared" si="6"/>
        <v>28911.00.0000.00.0-205616.2.1.1.01.03.110.</v>
      </c>
      <c r="U213" t="e" cm="1">
        <f t="array" aca="1" ref="U213" ca="1">+IF(COMPROMISOS_2025[[#This Row],[P]]="20","41080111",_xlfn.XLOOKUP(COMPROMISOS_2025[[#This Row],[concatenado]],PAA[[#All],[RCP-RUBRO]],PAA[[#All],[INDICADOR]],"",0))</f>
        <v>#NAME?</v>
      </c>
      <c r="V213" s="144" t="str">
        <f t="shared" si="7"/>
        <v>00</v>
      </c>
      <c r="W213" s="136">
        <f>+COMPROMISOS_2025[[#This Row],[valor_total]]-COMPROMISOS_2025[[#This Row],[total_cancelado]]</f>
        <v>42201</v>
      </c>
      <c r="X213" s="136">
        <f>COMPROMISOS_2025[[#This Row],[total_ordenes]]</f>
        <v>42201</v>
      </c>
      <c r="Y213" t="str" cm="1">
        <f t="array" aca="1" ref="Y213" ca="1">IFERROR(_xlfn.XLOOKUP(COMPROMISOS_2025[[#This Row],[concatenado]],PAA[[#All],[RCP-RUBRO]],PAA[[#All],[Actividad3]],VLOOKUP(COMPROMISOS_2025[[#This Row],[Indicador Principal]],$AC$2:$AD$17,2,0),0),"")</f>
        <v/>
      </c>
    </row>
    <row r="214" spans="1:25" hidden="1" x14ac:dyDescent="0.25">
      <c r="A214">
        <v>2892</v>
      </c>
      <c r="B214" t="s">
        <v>2619</v>
      </c>
      <c r="C214" t="s">
        <v>883</v>
      </c>
      <c r="D214" t="s">
        <v>2620</v>
      </c>
      <c r="F214">
        <v>422</v>
      </c>
      <c r="G214">
        <v>19</v>
      </c>
      <c r="H214" t="s">
        <v>84</v>
      </c>
      <c r="I214" t="s">
        <v>1745</v>
      </c>
      <c r="J214">
        <v>142350</v>
      </c>
      <c r="K214">
        <v>2025</v>
      </c>
      <c r="L214">
        <v>426904187</v>
      </c>
      <c r="M214" t="s">
        <v>2563</v>
      </c>
      <c r="N214" t="s">
        <v>1688</v>
      </c>
      <c r="O214" t="s">
        <v>1686</v>
      </c>
      <c r="P214">
        <v>0</v>
      </c>
      <c r="Q214">
        <v>142350</v>
      </c>
      <c r="R214">
        <v>0</v>
      </c>
      <c r="S214">
        <v>0</v>
      </c>
      <c r="T214" t="str">
        <f t="shared" si="6"/>
        <v>28921.00.0000.00.0-205616.2.1.1.01.03.110.</v>
      </c>
      <c r="U214" t="e" cm="1">
        <f t="array" aca="1" ref="U214" ca="1">+IF(COMPROMISOS_2025[[#This Row],[P]]="20","41080111",_xlfn.XLOOKUP(COMPROMISOS_2025[[#This Row],[concatenado]],PAA[[#All],[RCP-RUBRO]],PAA[[#All],[INDICADOR]],"",0))</f>
        <v>#NAME?</v>
      </c>
      <c r="V214" s="144" t="str">
        <f t="shared" si="7"/>
        <v>00</v>
      </c>
      <c r="W214" s="136">
        <f>+COMPROMISOS_2025[[#This Row],[valor_total]]-COMPROMISOS_2025[[#This Row],[total_cancelado]]</f>
        <v>142350</v>
      </c>
      <c r="X214" s="136">
        <f>COMPROMISOS_2025[[#This Row],[total_ordenes]]</f>
        <v>142350</v>
      </c>
      <c r="Y214" t="str" cm="1">
        <f t="array" aca="1" ref="Y214" ca="1">IFERROR(_xlfn.XLOOKUP(COMPROMISOS_2025[[#This Row],[concatenado]],PAA[[#All],[RCP-RUBRO]],PAA[[#All],[Actividad3]],VLOOKUP(COMPROMISOS_2025[[#This Row],[Indicador Principal]],$AC$2:$AD$17,2,0),0),"")</f>
        <v/>
      </c>
    </row>
    <row r="215" spans="1:25" hidden="1" x14ac:dyDescent="0.25">
      <c r="A215">
        <v>2893</v>
      </c>
      <c r="B215" t="s">
        <v>2619</v>
      </c>
      <c r="C215" t="s">
        <v>883</v>
      </c>
      <c r="D215" t="s">
        <v>2620</v>
      </c>
      <c r="F215">
        <v>422</v>
      </c>
      <c r="G215">
        <v>19</v>
      </c>
      <c r="H215" t="s">
        <v>84</v>
      </c>
      <c r="I215" t="s">
        <v>1745</v>
      </c>
      <c r="J215">
        <v>272350</v>
      </c>
      <c r="K215">
        <v>2025</v>
      </c>
      <c r="L215">
        <v>430562122</v>
      </c>
      <c r="M215" t="s">
        <v>2564</v>
      </c>
      <c r="N215" t="s">
        <v>1688</v>
      </c>
      <c r="O215" t="s">
        <v>1686</v>
      </c>
      <c r="P215">
        <v>0</v>
      </c>
      <c r="Q215">
        <v>272350</v>
      </c>
      <c r="R215">
        <v>0</v>
      </c>
      <c r="S215">
        <v>0</v>
      </c>
      <c r="T215" t="str">
        <f t="shared" si="6"/>
        <v>28931.00.0000.00.0-205616.2.1.1.01.03.110.</v>
      </c>
      <c r="U215" t="e" cm="1">
        <f t="array" aca="1" ref="U215" ca="1">+IF(COMPROMISOS_2025[[#This Row],[P]]="20","41080111",_xlfn.XLOOKUP(COMPROMISOS_2025[[#This Row],[concatenado]],PAA[[#All],[RCP-RUBRO]],PAA[[#All],[INDICADOR]],"",0))</f>
        <v>#NAME?</v>
      </c>
      <c r="V215" s="144" t="str">
        <f t="shared" si="7"/>
        <v>00</v>
      </c>
      <c r="W215" s="136">
        <f>+COMPROMISOS_2025[[#This Row],[valor_total]]-COMPROMISOS_2025[[#This Row],[total_cancelado]]</f>
        <v>272350</v>
      </c>
      <c r="X215" s="136">
        <f>COMPROMISOS_2025[[#This Row],[total_ordenes]]</f>
        <v>272350</v>
      </c>
      <c r="Y215" t="str" cm="1">
        <f t="array" aca="1" ref="Y215" ca="1">IFERROR(_xlfn.XLOOKUP(COMPROMISOS_2025[[#This Row],[concatenado]],PAA[[#All],[RCP-RUBRO]],PAA[[#All],[Actividad3]],VLOOKUP(COMPROMISOS_2025[[#This Row],[Indicador Principal]],$AC$2:$AD$17,2,0),0),"")</f>
        <v/>
      </c>
    </row>
    <row r="216" spans="1:25" hidden="1" x14ac:dyDescent="0.25">
      <c r="A216">
        <v>2894</v>
      </c>
      <c r="B216" t="s">
        <v>2619</v>
      </c>
      <c r="C216" t="s">
        <v>883</v>
      </c>
      <c r="D216" t="s">
        <v>2620</v>
      </c>
      <c r="F216">
        <v>422</v>
      </c>
      <c r="G216">
        <v>19</v>
      </c>
      <c r="H216" t="s">
        <v>84</v>
      </c>
      <c r="I216" t="s">
        <v>1745</v>
      </c>
      <c r="J216">
        <v>142350</v>
      </c>
      <c r="K216">
        <v>2025</v>
      </c>
      <c r="L216">
        <v>43150744</v>
      </c>
      <c r="M216" t="s">
        <v>2565</v>
      </c>
      <c r="N216" t="s">
        <v>1688</v>
      </c>
      <c r="O216" t="s">
        <v>1686</v>
      </c>
      <c r="P216">
        <v>0</v>
      </c>
      <c r="Q216">
        <v>142350</v>
      </c>
      <c r="R216">
        <v>0</v>
      </c>
      <c r="S216">
        <v>0</v>
      </c>
      <c r="T216" t="str">
        <f t="shared" si="6"/>
        <v>28941.00.0000.00.0-205616.2.1.1.01.03.110.</v>
      </c>
      <c r="U216" t="e" cm="1">
        <f t="array" aca="1" ref="U216" ca="1">+IF(COMPROMISOS_2025[[#This Row],[P]]="20","41080111",_xlfn.XLOOKUP(COMPROMISOS_2025[[#This Row],[concatenado]],PAA[[#All],[RCP-RUBRO]],PAA[[#All],[INDICADOR]],"",0))</f>
        <v>#NAME?</v>
      </c>
      <c r="V216" s="144" t="str">
        <f t="shared" si="7"/>
        <v>00</v>
      </c>
      <c r="W216" s="136">
        <f>+COMPROMISOS_2025[[#This Row],[valor_total]]-COMPROMISOS_2025[[#This Row],[total_cancelado]]</f>
        <v>142350</v>
      </c>
      <c r="X216" s="136">
        <f>COMPROMISOS_2025[[#This Row],[total_ordenes]]</f>
        <v>142350</v>
      </c>
      <c r="Y216" t="str" cm="1">
        <f t="array" aca="1" ref="Y216" ca="1">IFERROR(_xlfn.XLOOKUP(COMPROMISOS_2025[[#This Row],[concatenado]],PAA[[#All],[RCP-RUBRO]],PAA[[#All],[Actividad3]],VLOOKUP(COMPROMISOS_2025[[#This Row],[Indicador Principal]],$AC$2:$AD$17,2,0),0),"")</f>
        <v/>
      </c>
    </row>
    <row r="217" spans="1:25" hidden="1" x14ac:dyDescent="0.25">
      <c r="A217">
        <v>2895</v>
      </c>
      <c r="B217" t="s">
        <v>2619</v>
      </c>
      <c r="C217" t="s">
        <v>883</v>
      </c>
      <c r="D217" t="s">
        <v>2620</v>
      </c>
      <c r="F217">
        <v>422</v>
      </c>
      <c r="G217">
        <v>19</v>
      </c>
      <c r="H217" t="s">
        <v>84</v>
      </c>
      <c r="I217" t="s">
        <v>1745</v>
      </c>
      <c r="J217">
        <v>53100</v>
      </c>
      <c r="K217">
        <v>2025</v>
      </c>
      <c r="L217">
        <v>432089979</v>
      </c>
      <c r="M217" t="s">
        <v>2566</v>
      </c>
      <c r="N217" t="s">
        <v>1688</v>
      </c>
      <c r="O217" t="s">
        <v>1686</v>
      </c>
      <c r="P217">
        <v>0</v>
      </c>
      <c r="Q217">
        <v>53100</v>
      </c>
      <c r="R217">
        <v>0</v>
      </c>
      <c r="S217">
        <v>0</v>
      </c>
      <c r="T217" t="str">
        <f t="shared" si="6"/>
        <v>28951.00.0000.00.0-205616.2.1.1.01.03.110.</v>
      </c>
      <c r="U217" t="e" cm="1">
        <f t="array" aca="1" ref="U217" ca="1">+IF(COMPROMISOS_2025[[#This Row],[P]]="20","41080111",_xlfn.XLOOKUP(COMPROMISOS_2025[[#This Row],[concatenado]],PAA[[#All],[RCP-RUBRO]],PAA[[#All],[INDICADOR]],"",0))</f>
        <v>#NAME?</v>
      </c>
      <c r="V217" s="144" t="str">
        <f t="shared" si="7"/>
        <v>00</v>
      </c>
      <c r="W217" s="136">
        <f>+COMPROMISOS_2025[[#This Row],[valor_total]]-COMPROMISOS_2025[[#This Row],[total_cancelado]]</f>
        <v>53100</v>
      </c>
      <c r="X217" s="136">
        <f>COMPROMISOS_2025[[#This Row],[total_ordenes]]</f>
        <v>53100</v>
      </c>
      <c r="Y217" t="str" cm="1">
        <f t="array" aca="1" ref="Y217" ca="1">IFERROR(_xlfn.XLOOKUP(COMPROMISOS_2025[[#This Row],[concatenado]],PAA[[#All],[RCP-RUBRO]],PAA[[#All],[Actividad3]],VLOOKUP(COMPROMISOS_2025[[#This Row],[Indicador Principal]],$AC$2:$AD$17,2,0),0),"")</f>
        <v/>
      </c>
    </row>
    <row r="218" spans="1:25" hidden="1" x14ac:dyDescent="0.25">
      <c r="A218">
        <v>2896</v>
      </c>
      <c r="B218" t="s">
        <v>2619</v>
      </c>
      <c r="C218" t="s">
        <v>883</v>
      </c>
      <c r="D218" t="s">
        <v>2620</v>
      </c>
      <c r="F218">
        <v>422</v>
      </c>
      <c r="G218">
        <v>19</v>
      </c>
      <c r="H218" t="s">
        <v>84</v>
      </c>
      <c r="I218" t="s">
        <v>1745</v>
      </c>
      <c r="J218">
        <v>142350</v>
      </c>
      <c r="K218">
        <v>2025</v>
      </c>
      <c r="L218">
        <v>432518775</v>
      </c>
      <c r="M218" t="s">
        <v>2567</v>
      </c>
      <c r="N218" t="s">
        <v>1688</v>
      </c>
      <c r="O218" t="s">
        <v>1686</v>
      </c>
      <c r="P218">
        <v>0</v>
      </c>
      <c r="Q218">
        <v>142350</v>
      </c>
      <c r="R218">
        <v>0</v>
      </c>
      <c r="S218">
        <v>0</v>
      </c>
      <c r="T218" t="str">
        <f t="shared" si="6"/>
        <v>28961.00.0000.00.0-205616.2.1.1.01.03.110.</v>
      </c>
      <c r="U218" t="e" cm="1">
        <f t="array" aca="1" ref="U218" ca="1">+IF(COMPROMISOS_2025[[#This Row],[P]]="20","41080111",_xlfn.XLOOKUP(COMPROMISOS_2025[[#This Row],[concatenado]],PAA[[#All],[RCP-RUBRO]],PAA[[#All],[INDICADOR]],"",0))</f>
        <v>#NAME?</v>
      </c>
      <c r="V218" s="144" t="str">
        <f t="shared" si="7"/>
        <v>00</v>
      </c>
      <c r="W218" s="136">
        <f>+COMPROMISOS_2025[[#This Row],[valor_total]]-COMPROMISOS_2025[[#This Row],[total_cancelado]]</f>
        <v>142350</v>
      </c>
      <c r="X218" s="136">
        <f>COMPROMISOS_2025[[#This Row],[total_ordenes]]</f>
        <v>142350</v>
      </c>
      <c r="Y218" t="str" cm="1">
        <f t="array" aca="1" ref="Y218" ca="1">IFERROR(_xlfn.XLOOKUP(COMPROMISOS_2025[[#This Row],[concatenado]],PAA[[#All],[RCP-RUBRO]],PAA[[#All],[Actividad3]],VLOOKUP(COMPROMISOS_2025[[#This Row],[Indicador Principal]],$AC$2:$AD$17,2,0),0),"")</f>
        <v/>
      </c>
    </row>
    <row r="219" spans="1:25" hidden="1" x14ac:dyDescent="0.25">
      <c r="A219">
        <v>2897</v>
      </c>
      <c r="B219" t="s">
        <v>2619</v>
      </c>
      <c r="C219" t="s">
        <v>883</v>
      </c>
      <c r="D219" t="s">
        <v>2620</v>
      </c>
      <c r="F219">
        <v>422</v>
      </c>
      <c r="G219">
        <v>19</v>
      </c>
      <c r="H219" t="s">
        <v>84</v>
      </c>
      <c r="I219" t="s">
        <v>1745</v>
      </c>
      <c r="J219">
        <v>142350</v>
      </c>
      <c r="K219">
        <v>2025</v>
      </c>
      <c r="L219">
        <v>435081331</v>
      </c>
      <c r="M219" t="s">
        <v>2622</v>
      </c>
      <c r="N219" t="s">
        <v>1688</v>
      </c>
      <c r="O219" t="s">
        <v>1686</v>
      </c>
      <c r="P219">
        <v>0</v>
      </c>
      <c r="Q219">
        <v>142350</v>
      </c>
      <c r="R219">
        <v>0</v>
      </c>
      <c r="S219">
        <v>0</v>
      </c>
      <c r="T219" t="str">
        <f t="shared" si="6"/>
        <v>28971.00.0000.00.0-205616.2.1.1.01.03.110.</v>
      </c>
      <c r="U219" t="e" cm="1">
        <f t="array" aca="1" ref="U219" ca="1">+IF(COMPROMISOS_2025[[#This Row],[P]]="20","41080111",_xlfn.XLOOKUP(COMPROMISOS_2025[[#This Row],[concatenado]],PAA[[#All],[RCP-RUBRO]],PAA[[#All],[INDICADOR]],"",0))</f>
        <v>#NAME?</v>
      </c>
      <c r="V219" s="144" t="str">
        <f t="shared" si="7"/>
        <v>00</v>
      </c>
      <c r="W219" s="136">
        <f>+COMPROMISOS_2025[[#This Row],[valor_total]]-COMPROMISOS_2025[[#This Row],[total_cancelado]]</f>
        <v>142350</v>
      </c>
      <c r="X219" s="136">
        <f>COMPROMISOS_2025[[#This Row],[total_ordenes]]</f>
        <v>142350</v>
      </c>
      <c r="Y219" t="str" cm="1">
        <f t="array" aca="1" ref="Y219" ca="1">IFERROR(_xlfn.XLOOKUP(COMPROMISOS_2025[[#This Row],[concatenado]],PAA[[#All],[RCP-RUBRO]],PAA[[#All],[Actividad3]],VLOOKUP(COMPROMISOS_2025[[#This Row],[Indicador Principal]],$AC$2:$AD$17,2,0),0),"")</f>
        <v/>
      </c>
    </row>
    <row r="220" spans="1:25" hidden="1" x14ac:dyDescent="0.25">
      <c r="A220">
        <v>2898</v>
      </c>
      <c r="B220" t="s">
        <v>2619</v>
      </c>
      <c r="C220" t="s">
        <v>883</v>
      </c>
      <c r="D220" t="s">
        <v>2620</v>
      </c>
      <c r="F220">
        <v>422</v>
      </c>
      <c r="G220">
        <v>19</v>
      </c>
      <c r="H220" t="s">
        <v>84</v>
      </c>
      <c r="I220" t="s">
        <v>1745</v>
      </c>
      <c r="J220">
        <v>142350</v>
      </c>
      <c r="K220">
        <v>2025</v>
      </c>
      <c r="L220">
        <v>435157954</v>
      </c>
      <c r="M220" t="s">
        <v>2569</v>
      </c>
      <c r="N220" t="s">
        <v>1688</v>
      </c>
      <c r="O220" t="s">
        <v>1686</v>
      </c>
      <c r="P220">
        <v>0</v>
      </c>
      <c r="Q220">
        <v>142350</v>
      </c>
      <c r="R220">
        <v>0</v>
      </c>
      <c r="S220">
        <v>0</v>
      </c>
      <c r="T220" t="str">
        <f t="shared" si="6"/>
        <v>28981.00.0000.00.0-205616.2.1.1.01.03.110.</v>
      </c>
      <c r="U220" t="e" cm="1">
        <f t="array" aca="1" ref="U220" ca="1">+IF(COMPROMISOS_2025[[#This Row],[P]]="20","41080111",_xlfn.XLOOKUP(COMPROMISOS_2025[[#This Row],[concatenado]],PAA[[#All],[RCP-RUBRO]],PAA[[#All],[INDICADOR]],"",0))</f>
        <v>#NAME?</v>
      </c>
      <c r="V220" s="144" t="str">
        <f t="shared" si="7"/>
        <v>00</v>
      </c>
      <c r="W220" s="136">
        <f>+COMPROMISOS_2025[[#This Row],[valor_total]]-COMPROMISOS_2025[[#This Row],[total_cancelado]]</f>
        <v>142350</v>
      </c>
      <c r="X220" s="136">
        <f>COMPROMISOS_2025[[#This Row],[total_ordenes]]</f>
        <v>142350</v>
      </c>
      <c r="Y220" t="str" cm="1">
        <f t="array" aca="1" ref="Y220" ca="1">IFERROR(_xlfn.XLOOKUP(COMPROMISOS_2025[[#This Row],[concatenado]],PAA[[#All],[RCP-RUBRO]],PAA[[#All],[Actividad3]],VLOOKUP(COMPROMISOS_2025[[#This Row],[Indicador Principal]],$AC$2:$AD$17,2,0),0),"")</f>
        <v/>
      </c>
    </row>
    <row r="221" spans="1:25" hidden="1" x14ac:dyDescent="0.25">
      <c r="A221">
        <v>2899</v>
      </c>
      <c r="B221" t="s">
        <v>2619</v>
      </c>
      <c r="C221" t="s">
        <v>883</v>
      </c>
      <c r="D221" t="s">
        <v>2620</v>
      </c>
      <c r="F221">
        <v>422</v>
      </c>
      <c r="G221">
        <v>19</v>
      </c>
      <c r="H221" t="s">
        <v>84</v>
      </c>
      <c r="I221" t="s">
        <v>1745</v>
      </c>
      <c r="J221">
        <v>107600</v>
      </c>
      <c r="K221">
        <v>2025</v>
      </c>
      <c r="L221">
        <v>435237514</v>
      </c>
      <c r="M221" t="s">
        <v>2570</v>
      </c>
      <c r="N221" t="s">
        <v>1688</v>
      </c>
      <c r="O221" t="s">
        <v>1686</v>
      </c>
      <c r="P221">
        <v>0</v>
      </c>
      <c r="Q221">
        <v>107600</v>
      </c>
      <c r="R221">
        <v>0</v>
      </c>
      <c r="S221">
        <v>0</v>
      </c>
      <c r="T221" t="str">
        <f t="shared" si="6"/>
        <v>28991.00.0000.00.0-205616.2.1.1.01.03.110.</v>
      </c>
      <c r="U221" t="e" cm="1">
        <f t="array" aca="1" ref="U221" ca="1">+IF(COMPROMISOS_2025[[#This Row],[P]]="20","41080111",_xlfn.XLOOKUP(COMPROMISOS_2025[[#This Row],[concatenado]],PAA[[#All],[RCP-RUBRO]],PAA[[#All],[INDICADOR]],"",0))</f>
        <v>#NAME?</v>
      </c>
      <c r="V221" s="144" t="str">
        <f t="shared" si="7"/>
        <v>00</v>
      </c>
      <c r="W221" s="136">
        <f>+COMPROMISOS_2025[[#This Row],[valor_total]]-COMPROMISOS_2025[[#This Row],[total_cancelado]]</f>
        <v>107600</v>
      </c>
      <c r="X221" s="136">
        <f>COMPROMISOS_2025[[#This Row],[total_ordenes]]</f>
        <v>107600</v>
      </c>
      <c r="Y221" t="str" cm="1">
        <f t="array" aca="1" ref="Y221" ca="1">IFERROR(_xlfn.XLOOKUP(COMPROMISOS_2025[[#This Row],[concatenado]],PAA[[#All],[RCP-RUBRO]],PAA[[#All],[Actividad3]],VLOOKUP(COMPROMISOS_2025[[#This Row],[Indicador Principal]],$AC$2:$AD$17,2,0),0),"")</f>
        <v/>
      </c>
    </row>
    <row r="222" spans="1:25" hidden="1" x14ac:dyDescent="0.25">
      <c r="A222">
        <v>2900</v>
      </c>
      <c r="B222" t="s">
        <v>2619</v>
      </c>
      <c r="C222" t="s">
        <v>883</v>
      </c>
      <c r="D222" t="s">
        <v>2620</v>
      </c>
      <c r="F222">
        <v>422</v>
      </c>
      <c r="G222">
        <v>19</v>
      </c>
      <c r="H222" t="s">
        <v>84</v>
      </c>
      <c r="I222" t="s">
        <v>1745</v>
      </c>
      <c r="J222">
        <v>142350</v>
      </c>
      <c r="K222">
        <v>2025</v>
      </c>
      <c r="L222">
        <v>435482045</v>
      </c>
      <c r="M222" t="s">
        <v>2571</v>
      </c>
      <c r="N222" t="s">
        <v>1688</v>
      </c>
      <c r="O222" t="s">
        <v>1686</v>
      </c>
      <c r="P222">
        <v>0</v>
      </c>
      <c r="Q222">
        <v>142350</v>
      </c>
      <c r="R222">
        <v>0</v>
      </c>
      <c r="S222">
        <v>0</v>
      </c>
      <c r="T222" t="str">
        <f t="shared" si="6"/>
        <v>29001.00.0000.00.0-205616.2.1.1.01.03.110.</v>
      </c>
      <c r="U222" t="e" cm="1">
        <f t="array" aca="1" ref="U222" ca="1">+IF(COMPROMISOS_2025[[#This Row],[P]]="20","41080111",_xlfn.XLOOKUP(COMPROMISOS_2025[[#This Row],[concatenado]],PAA[[#All],[RCP-RUBRO]],PAA[[#All],[INDICADOR]],"",0))</f>
        <v>#NAME?</v>
      </c>
      <c r="V222" s="144" t="str">
        <f t="shared" si="7"/>
        <v>00</v>
      </c>
      <c r="W222" s="136">
        <f>+COMPROMISOS_2025[[#This Row],[valor_total]]-COMPROMISOS_2025[[#This Row],[total_cancelado]]</f>
        <v>142350</v>
      </c>
      <c r="X222" s="136">
        <f>COMPROMISOS_2025[[#This Row],[total_ordenes]]</f>
        <v>142350</v>
      </c>
      <c r="Y222" t="str" cm="1">
        <f t="array" aca="1" ref="Y222" ca="1">IFERROR(_xlfn.XLOOKUP(COMPROMISOS_2025[[#This Row],[concatenado]],PAA[[#All],[RCP-RUBRO]],PAA[[#All],[Actividad3]],VLOOKUP(COMPROMISOS_2025[[#This Row],[Indicador Principal]],$AC$2:$AD$17,2,0),0),"")</f>
        <v/>
      </c>
    </row>
    <row r="223" spans="1:25" hidden="1" x14ac:dyDescent="0.25">
      <c r="A223">
        <v>2901</v>
      </c>
      <c r="B223" t="s">
        <v>2619</v>
      </c>
      <c r="C223" t="s">
        <v>883</v>
      </c>
      <c r="D223" t="s">
        <v>2620</v>
      </c>
      <c r="F223">
        <v>422</v>
      </c>
      <c r="G223">
        <v>19</v>
      </c>
      <c r="H223" t="s">
        <v>84</v>
      </c>
      <c r="I223" t="s">
        <v>1745</v>
      </c>
      <c r="J223">
        <v>142350</v>
      </c>
      <c r="K223">
        <v>2025</v>
      </c>
      <c r="L223">
        <v>435759807</v>
      </c>
      <c r="M223" t="s">
        <v>2572</v>
      </c>
      <c r="N223" t="s">
        <v>1688</v>
      </c>
      <c r="O223" t="s">
        <v>1686</v>
      </c>
      <c r="P223">
        <v>0</v>
      </c>
      <c r="Q223">
        <v>142350</v>
      </c>
      <c r="R223">
        <v>0</v>
      </c>
      <c r="S223">
        <v>0</v>
      </c>
      <c r="T223" t="str">
        <f t="shared" si="6"/>
        <v>29011.00.0000.00.0-205616.2.1.1.01.03.110.</v>
      </c>
      <c r="U223" t="e" cm="1">
        <f t="array" aca="1" ref="U223" ca="1">+IF(COMPROMISOS_2025[[#This Row],[P]]="20","41080111",_xlfn.XLOOKUP(COMPROMISOS_2025[[#This Row],[concatenado]],PAA[[#All],[RCP-RUBRO]],PAA[[#All],[INDICADOR]],"",0))</f>
        <v>#NAME?</v>
      </c>
      <c r="V223" s="144" t="str">
        <f t="shared" si="7"/>
        <v>00</v>
      </c>
      <c r="W223" s="136">
        <f>+COMPROMISOS_2025[[#This Row],[valor_total]]-COMPROMISOS_2025[[#This Row],[total_cancelado]]</f>
        <v>142350</v>
      </c>
      <c r="X223" s="136">
        <f>COMPROMISOS_2025[[#This Row],[total_ordenes]]</f>
        <v>142350</v>
      </c>
      <c r="Y223" t="str" cm="1">
        <f t="array" aca="1" ref="Y223" ca="1">IFERROR(_xlfn.XLOOKUP(COMPROMISOS_2025[[#This Row],[concatenado]],PAA[[#All],[RCP-RUBRO]],PAA[[#All],[Actividad3]],VLOOKUP(COMPROMISOS_2025[[#This Row],[Indicador Principal]],$AC$2:$AD$17,2,0),0),"")</f>
        <v/>
      </c>
    </row>
    <row r="224" spans="1:25" hidden="1" x14ac:dyDescent="0.25">
      <c r="A224">
        <v>2902</v>
      </c>
      <c r="B224" t="s">
        <v>2619</v>
      </c>
      <c r="C224" t="s">
        <v>883</v>
      </c>
      <c r="D224" t="s">
        <v>2620</v>
      </c>
      <c r="F224">
        <v>422</v>
      </c>
      <c r="G224">
        <v>19</v>
      </c>
      <c r="H224" t="s">
        <v>84</v>
      </c>
      <c r="I224" t="s">
        <v>1745</v>
      </c>
      <c r="J224">
        <v>142350</v>
      </c>
      <c r="K224">
        <v>2025</v>
      </c>
      <c r="L224">
        <v>435787567</v>
      </c>
      <c r="M224" t="s">
        <v>2573</v>
      </c>
      <c r="N224" t="s">
        <v>1688</v>
      </c>
      <c r="O224" t="s">
        <v>1686</v>
      </c>
      <c r="P224">
        <v>0</v>
      </c>
      <c r="Q224">
        <v>142350</v>
      </c>
      <c r="R224">
        <v>0</v>
      </c>
      <c r="S224">
        <v>0</v>
      </c>
      <c r="T224" t="str">
        <f t="shared" si="6"/>
        <v>29021.00.0000.00.0-205616.2.1.1.01.03.110.</v>
      </c>
      <c r="U224" t="e" cm="1">
        <f t="array" aca="1" ref="U224" ca="1">+IF(COMPROMISOS_2025[[#This Row],[P]]="20","41080111",_xlfn.XLOOKUP(COMPROMISOS_2025[[#This Row],[concatenado]],PAA[[#All],[RCP-RUBRO]],PAA[[#All],[INDICADOR]],"",0))</f>
        <v>#NAME?</v>
      </c>
      <c r="V224" s="144" t="str">
        <f t="shared" si="7"/>
        <v>00</v>
      </c>
      <c r="W224" s="136">
        <f>+COMPROMISOS_2025[[#This Row],[valor_total]]-COMPROMISOS_2025[[#This Row],[total_cancelado]]</f>
        <v>142350</v>
      </c>
      <c r="X224" s="136">
        <f>COMPROMISOS_2025[[#This Row],[total_ordenes]]</f>
        <v>142350</v>
      </c>
      <c r="Y224" t="str" cm="1">
        <f t="array" aca="1" ref="Y224" ca="1">IFERROR(_xlfn.XLOOKUP(COMPROMISOS_2025[[#This Row],[concatenado]],PAA[[#All],[RCP-RUBRO]],PAA[[#All],[Actividad3]],VLOOKUP(COMPROMISOS_2025[[#This Row],[Indicador Principal]],$AC$2:$AD$17,2,0),0),"")</f>
        <v/>
      </c>
    </row>
    <row r="225" spans="1:25" hidden="1" x14ac:dyDescent="0.25">
      <c r="A225">
        <v>2903</v>
      </c>
      <c r="B225" t="s">
        <v>2619</v>
      </c>
      <c r="C225" t="s">
        <v>883</v>
      </c>
      <c r="D225" t="s">
        <v>2620</v>
      </c>
      <c r="F225">
        <v>422</v>
      </c>
      <c r="G225">
        <v>19</v>
      </c>
      <c r="H225" t="s">
        <v>84</v>
      </c>
      <c r="I225" t="s">
        <v>1745</v>
      </c>
      <c r="J225">
        <v>142350</v>
      </c>
      <c r="K225">
        <v>2025</v>
      </c>
      <c r="L225">
        <v>435863844</v>
      </c>
      <c r="M225" t="s">
        <v>2574</v>
      </c>
      <c r="N225" t="s">
        <v>1688</v>
      </c>
      <c r="O225" t="s">
        <v>1686</v>
      </c>
      <c r="P225">
        <v>0</v>
      </c>
      <c r="Q225">
        <v>142350</v>
      </c>
      <c r="R225">
        <v>0</v>
      </c>
      <c r="S225">
        <v>0</v>
      </c>
      <c r="T225" t="str">
        <f t="shared" si="6"/>
        <v>29031.00.0000.00.0-205616.2.1.1.01.03.110.</v>
      </c>
      <c r="U225" t="e" cm="1">
        <f t="array" aca="1" ref="U225" ca="1">+IF(COMPROMISOS_2025[[#This Row],[P]]="20","41080111",_xlfn.XLOOKUP(COMPROMISOS_2025[[#This Row],[concatenado]],PAA[[#All],[RCP-RUBRO]],PAA[[#All],[INDICADOR]],"",0))</f>
        <v>#NAME?</v>
      </c>
      <c r="V225" s="144" t="str">
        <f t="shared" si="7"/>
        <v>00</v>
      </c>
      <c r="W225" s="136">
        <f>+COMPROMISOS_2025[[#This Row],[valor_total]]-COMPROMISOS_2025[[#This Row],[total_cancelado]]</f>
        <v>142350</v>
      </c>
      <c r="X225" s="136">
        <f>COMPROMISOS_2025[[#This Row],[total_ordenes]]</f>
        <v>142350</v>
      </c>
      <c r="Y225" t="str" cm="1">
        <f t="array" aca="1" ref="Y225" ca="1">IFERROR(_xlfn.XLOOKUP(COMPROMISOS_2025[[#This Row],[concatenado]],PAA[[#All],[RCP-RUBRO]],PAA[[#All],[Actividad3]],VLOOKUP(COMPROMISOS_2025[[#This Row],[Indicador Principal]],$AC$2:$AD$17,2,0),0),"")</f>
        <v/>
      </c>
    </row>
    <row r="226" spans="1:25" hidden="1" x14ac:dyDescent="0.25">
      <c r="A226">
        <v>2904</v>
      </c>
      <c r="B226" t="s">
        <v>2619</v>
      </c>
      <c r="C226" t="s">
        <v>883</v>
      </c>
      <c r="D226" t="s">
        <v>2620</v>
      </c>
      <c r="F226">
        <v>422</v>
      </c>
      <c r="G226">
        <v>19</v>
      </c>
      <c r="H226" t="s">
        <v>84</v>
      </c>
      <c r="I226" t="s">
        <v>1745</v>
      </c>
      <c r="J226">
        <v>142350</v>
      </c>
      <c r="K226">
        <v>2025</v>
      </c>
      <c r="L226">
        <v>435954059</v>
      </c>
      <c r="M226" t="s">
        <v>2575</v>
      </c>
      <c r="N226" t="s">
        <v>1688</v>
      </c>
      <c r="O226" t="s">
        <v>1686</v>
      </c>
      <c r="P226">
        <v>0</v>
      </c>
      <c r="Q226">
        <v>142350</v>
      </c>
      <c r="R226">
        <v>0</v>
      </c>
      <c r="S226">
        <v>0</v>
      </c>
      <c r="T226" t="str">
        <f t="shared" si="6"/>
        <v>29041.00.0000.00.0-205616.2.1.1.01.03.110.</v>
      </c>
      <c r="U226" t="e" cm="1">
        <f t="array" aca="1" ref="U226" ca="1">+IF(COMPROMISOS_2025[[#This Row],[P]]="20","41080111",_xlfn.XLOOKUP(COMPROMISOS_2025[[#This Row],[concatenado]],PAA[[#All],[RCP-RUBRO]],PAA[[#All],[INDICADOR]],"",0))</f>
        <v>#NAME?</v>
      </c>
      <c r="V226" s="144" t="str">
        <f t="shared" si="7"/>
        <v>00</v>
      </c>
      <c r="W226" s="136">
        <f>+COMPROMISOS_2025[[#This Row],[valor_total]]-COMPROMISOS_2025[[#This Row],[total_cancelado]]</f>
        <v>142350</v>
      </c>
      <c r="X226" s="136">
        <f>COMPROMISOS_2025[[#This Row],[total_ordenes]]</f>
        <v>142350</v>
      </c>
      <c r="Y226" t="str" cm="1">
        <f t="array" aca="1" ref="Y226" ca="1">IFERROR(_xlfn.XLOOKUP(COMPROMISOS_2025[[#This Row],[concatenado]],PAA[[#All],[RCP-RUBRO]],PAA[[#All],[Actividad3]],VLOOKUP(COMPROMISOS_2025[[#This Row],[Indicador Principal]],$AC$2:$AD$17,2,0),0),"")</f>
        <v/>
      </c>
    </row>
    <row r="227" spans="1:25" hidden="1" x14ac:dyDescent="0.25">
      <c r="A227">
        <v>2905</v>
      </c>
      <c r="B227" t="s">
        <v>2619</v>
      </c>
      <c r="C227" t="s">
        <v>883</v>
      </c>
      <c r="D227" t="s">
        <v>2620</v>
      </c>
      <c r="F227">
        <v>422</v>
      </c>
      <c r="G227">
        <v>19</v>
      </c>
      <c r="H227" t="s">
        <v>84</v>
      </c>
      <c r="I227" t="s">
        <v>1745</v>
      </c>
      <c r="J227">
        <v>142350</v>
      </c>
      <c r="K227">
        <v>2025</v>
      </c>
      <c r="L227">
        <v>436356857</v>
      </c>
      <c r="M227" t="s">
        <v>2577</v>
      </c>
      <c r="N227" t="s">
        <v>1688</v>
      </c>
      <c r="O227" t="s">
        <v>1686</v>
      </c>
      <c r="P227">
        <v>0</v>
      </c>
      <c r="Q227">
        <v>142350</v>
      </c>
      <c r="R227">
        <v>0</v>
      </c>
      <c r="S227">
        <v>0</v>
      </c>
      <c r="T227" t="str">
        <f t="shared" si="6"/>
        <v>29051.00.0000.00.0-205616.2.1.1.01.03.110.</v>
      </c>
      <c r="U227" t="e" cm="1">
        <f t="array" aca="1" ref="U227" ca="1">+IF(COMPROMISOS_2025[[#This Row],[P]]="20","41080111",_xlfn.XLOOKUP(COMPROMISOS_2025[[#This Row],[concatenado]],PAA[[#All],[RCP-RUBRO]],PAA[[#All],[INDICADOR]],"",0))</f>
        <v>#NAME?</v>
      </c>
      <c r="V227" s="144" t="str">
        <f t="shared" si="7"/>
        <v>00</v>
      </c>
      <c r="W227" s="136">
        <f>+COMPROMISOS_2025[[#This Row],[valor_total]]-COMPROMISOS_2025[[#This Row],[total_cancelado]]</f>
        <v>142350</v>
      </c>
      <c r="X227" s="136">
        <f>COMPROMISOS_2025[[#This Row],[total_ordenes]]</f>
        <v>142350</v>
      </c>
      <c r="Y227" t="str" cm="1">
        <f t="array" aca="1" ref="Y227" ca="1">IFERROR(_xlfn.XLOOKUP(COMPROMISOS_2025[[#This Row],[concatenado]],PAA[[#All],[RCP-RUBRO]],PAA[[#All],[Actividad3]],VLOOKUP(COMPROMISOS_2025[[#This Row],[Indicador Principal]],$AC$2:$AD$17,2,0),0),"")</f>
        <v/>
      </c>
    </row>
    <row r="228" spans="1:25" hidden="1" x14ac:dyDescent="0.25">
      <c r="A228">
        <v>2906</v>
      </c>
      <c r="B228" t="s">
        <v>2619</v>
      </c>
      <c r="C228" t="s">
        <v>883</v>
      </c>
      <c r="D228" t="s">
        <v>2620</v>
      </c>
      <c r="F228">
        <v>422</v>
      </c>
      <c r="G228">
        <v>19</v>
      </c>
      <c r="H228" t="s">
        <v>84</v>
      </c>
      <c r="I228" t="s">
        <v>1745</v>
      </c>
      <c r="J228">
        <v>142350</v>
      </c>
      <c r="K228">
        <v>2025</v>
      </c>
      <c r="L228">
        <v>436718286</v>
      </c>
      <c r="M228" t="s">
        <v>2578</v>
      </c>
      <c r="N228" t="s">
        <v>1688</v>
      </c>
      <c r="O228" t="s">
        <v>1686</v>
      </c>
      <c r="P228">
        <v>0</v>
      </c>
      <c r="Q228">
        <v>142350</v>
      </c>
      <c r="R228">
        <v>0</v>
      </c>
      <c r="S228">
        <v>0</v>
      </c>
      <c r="T228" t="str">
        <f t="shared" si="6"/>
        <v>29061.00.0000.00.0-205616.2.1.1.01.03.110.</v>
      </c>
      <c r="U228" t="e" cm="1">
        <f t="array" aca="1" ref="U228" ca="1">+IF(COMPROMISOS_2025[[#This Row],[P]]="20","41080111",_xlfn.XLOOKUP(COMPROMISOS_2025[[#This Row],[concatenado]],PAA[[#All],[RCP-RUBRO]],PAA[[#All],[INDICADOR]],"",0))</f>
        <v>#NAME?</v>
      </c>
      <c r="V228" s="144" t="str">
        <f t="shared" si="7"/>
        <v>00</v>
      </c>
      <c r="W228" s="136">
        <f>+COMPROMISOS_2025[[#This Row],[valor_total]]-COMPROMISOS_2025[[#This Row],[total_cancelado]]</f>
        <v>142350</v>
      </c>
      <c r="X228" s="136">
        <f>COMPROMISOS_2025[[#This Row],[total_ordenes]]</f>
        <v>142350</v>
      </c>
      <c r="Y228" t="str" cm="1">
        <f t="array" aca="1" ref="Y228" ca="1">IFERROR(_xlfn.XLOOKUP(COMPROMISOS_2025[[#This Row],[concatenado]],PAA[[#All],[RCP-RUBRO]],PAA[[#All],[Actividad3]],VLOOKUP(COMPROMISOS_2025[[#This Row],[Indicador Principal]],$AC$2:$AD$17,2,0),0),"")</f>
        <v/>
      </c>
    </row>
    <row r="229" spans="1:25" hidden="1" x14ac:dyDescent="0.25">
      <c r="A229">
        <v>2907</v>
      </c>
      <c r="B229" t="s">
        <v>2619</v>
      </c>
      <c r="C229" t="s">
        <v>883</v>
      </c>
      <c r="D229" t="s">
        <v>2620</v>
      </c>
      <c r="F229">
        <v>422</v>
      </c>
      <c r="G229">
        <v>19</v>
      </c>
      <c r="H229" t="s">
        <v>84</v>
      </c>
      <c r="I229" t="s">
        <v>1745</v>
      </c>
      <c r="J229">
        <v>142350</v>
      </c>
      <c r="K229">
        <v>2025</v>
      </c>
      <c r="L229">
        <v>437049643</v>
      </c>
      <c r="M229" t="s">
        <v>2579</v>
      </c>
      <c r="N229" t="s">
        <v>1688</v>
      </c>
      <c r="O229" t="s">
        <v>1686</v>
      </c>
      <c r="P229">
        <v>0</v>
      </c>
      <c r="Q229">
        <v>142350</v>
      </c>
      <c r="R229">
        <v>0</v>
      </c>
      <c r="S229">
        <v>0</v>
      </c>
      <c r="T229" t="str">
        <f t="shared" si="6"/>
        <v>29071.00.0000.00.0-205616.2.1.1.01.03.110.</v>
      </c>
      <c r="U229" t="e" cm="1">
        <f t="array" aca="1" ref="U229" ca="1">+IF(COMPROMISOS_2025[[#This Row],[P]]="20","41080111",_xlfn.XLOOKUP(COMPROMISOS_2025[[#This Row],[concatenado]],PAA[[#All],[RCP-RUBRO]],PAA[[#All],[INDICADOR]],"",0))</f>
        <v>#NAME?</v>
      </c>
      <c r="V229" s="144" t="str">
        <f t="shared" si="7"/>
        <v>00</v>
      </c>
      <c r="W229" s="136">
        <f>+COMPROMISOS_2025[[#This Row],[valor_total]]-COMPROMISOS_2025[[#This Row],[total_cancelado]]</f>
        <v>142350</v>
      </c>
      <c r="X229" s="136">
        <f>COMPROMISOS_2025[[#This Row],[total_ordenes]]</f>
        <v>142350</v>
      </c>
      <c r="Y229" t="str" cm="1">
        <f t="array" aca="1" ref="Y229" ca="1">IFERROR(_xlfn.XLOOKUP(COMPROMISOS_2025[[#This Row],[concatenado]],PAA[[#All],[RCP-RUBRO]],PAA[[#All],[Actividad3]],VLOOKUP(COMPROMISOS_2025[[#This Row],[Indicador Principal]],$AC$2:$AD$17,2,0),0),"")</f>
        <v/>
      </c>
    </row>
    <row r="230" spans="1:25" hidden="1" x14ac:dyDescent="0.25">
      <c r="A230">
        <v>2908</v>
      </c>
      <c r="B230" t="s">
        <v>2619</v>
      </c>
      <c r="C230" t="s">
        <v>883</v>
      </c>
      <c r="D230" t="s">
        <v>2620</v>
      </c>
      <c r="F230">
        <v>422</v>
      </c>
      <c r="G230">
        <v>19</v>
      </c>
      <c r="H230" t="s">
        <v>84</v>
      </c>
      <c r="I230" t="s">
        <v>1745</v>
      </c>
      <c r="J230">
        <v>142350</v>
      </c>
      <c r="K230">
        <v>2025</v>
      </c>
      <c r="L230">
        <v>437280643</v>
      </c>
      <c r="M230" t="s">
        <v>2580</v>
      </c>
      <c r="N230" t="s">
        <v>1688</v>
      </c>
      <c r="O230" t="s">
        <v>1686</v>
      </c>
      <c r="P230">
        <v>0</v>
      </c>
      <c r="Q230">
        <v>142350</v>
      </c>
      <c r="R230">
        <v>0</v>
      </c>
      <c r="S230">
        <v>0</v>
      </c>
      <c r="T230" t="str">
        <f t="shared" si="6"/>
        <v>29081.00.0000.00.0-205616.2.1.1.01.03.110.</v>
      </c>
      <c r="U230" t="e" cm="1">
        <f t="array" aca="1" ref="U230" ca="1">+IF(COMPROMISOS_2025[[#This Row],[P]]="20","41080111",_xlfn.XLOOKUP(COMPROMISOS_2025[[#This Row],[concatenado]],PAA[[#All],[RCP-RUBRO]],PAA[[#All],[INDICADOR]],"",0))</f>
        <v>#NAME?</v>
      </c>
      <c r="V230" s="144" t="str">
        <f t="shared" si="7"/>
        <v>00</v>
      </c>
      <c r="W230" s="136">
        <f>+COMPROMISOS_2025[[#This Row],[valor_total]]-COMPROMISOS_2025[[#This Row],[total_cancelado]]</f>
        <v>142350</v>
      </c>
      <c r="X230" s="136">
        <f>COMPROMISOS_2025[[#This Row],[total_ordenes]]</f>
        <v>142350</v>
      </c>
      <c r="Y230" t="str" cm="1">
        <f t="array" aca="1" ref="Y230" ca="1">IFERROR(_xlfn.XLOOKUP(COMPROMISOS_2025[[#This Row],[concatenado]],PAA[[#All],[RCP-RUBRO]],PAA[[#All],[Actividad3]],VLOOKUP(COMPROMISOS_2025[[#This Row],[Indicador Principal]],$AC$2:$AD$17,2,0),0),"")</f>
        <v/>
      </c>
    </row>
    <row r="231" spans="1:25" hidden="1" x14ac:dyDescent="0.25">
      <c r="A231">
        <v>2909</v>
      </c>
      <c r="B231" t="s">
        <v>2619</v>
      </c>
      <c r="C231" t="s">
        <v>883</v>
      </c>
      <c r="D231" t="s">
        <v>2620</v>
      </c>
      <c r="F231">
        <v>422</v>
      </c>
      <c r="G231">
        <v>19</v>
      </c>
      <c r="H231" t="s">
        <v>84</v>
      </c>
      <c r="I231" t="s">
        <v>1745</v>
      </c>
      <c r="J231">
        <v>142350</v>
      </c>
      <c r="K231">
        <v>2025</v>
      </c>
      <c r="L231">
        <v>437549432</v>
      </c>
      <c r="M231" t="s">
        <v>2581</v>
      </c>
      <c r="N231" t="s">
        <v>1688</v>
      </c>
      <c r="O231" t="s">
        <v>1686</v>
      </c>
      <c r="P231">
        <v>0</v>
      </c>
      <c r="Q231">
        <v>142350</v>
      </c>
      <c r="R231">
        <v>0</v>
      </c>
      <c r="S231">
        <v>0</v>
      </c>
      <c r="T231" t="str">
        <f t="shared" si="6"/>
        <v>29091.00.0000.00.0-205616.2.1.1.01.03.110.</v>
      </c>
      <c r="U231" t="e" cm="1">
        <f t="array" aca="1" ref="U231" ca="1">+IF(COMPROMISOS_2025[[#This Row],[P]]="20","41080111",_xlfn.XLOOKUP(COMPROMISOS_2025[[#This Row],[concatenado]],PAA[[#All],[RCP-RUBRO]],PAA[[#All],[INDICADOR]],"",0))</f>
        <v>#NAME?</v>
      </c>
      <c r="V231" s="144" t="str">
        <f t="shared" si="7"/>
        <v>00</v>
      </c>
      <c r="W231" s="136">
        <f>+COMPROMISOS_2025[[#This Row],[valor_total]]-COMPROMISOS_2025[[#This Row],[total_cancelado]]</f>
        <v>142350</v>
      </c>
      <c r="X231" s="136">
        <f>COMPROMISOS_2025[[#This Row],[total_ordenes]]</f>
        <v>142350</v>
      </c>
      <c r="Y231" t="str" cm="1">
        <f t="array" aca="1" ref="Y231" ca="1">IFERROR(_xlfn.XLOOKUP(COMPROMISOS_2025[[#This Row],[concatenado]],PAA[[#All],[RCP-RUBRO]],PAA[[#All],[Actividad3]],VLOOKUP(COMPROMISOS_2025[[#This Row],[Indicador Principal]],$AC$2:$AD$17,2,0),0),"")</f>
        <v/>
      </c>
    </row>
    <row r="232" spans="1:25" hidden="1" x14ac:dyDescent="0.25">
      <c r="A232">
        <v>2910</v>
      </c>
      <c r="B232" t="s">
        <v>2619</v>
      </c>
      <c r="C232" t="s">
        <v>883</v>
      </c>
      <c r="D232" t="s">
        <v>2620</v>
      </c>
      <c r="F232">
        <v>422</v>
      </c>
      <c r="G232">
        <v>19</v>
      </c>
      <c r="H232" t="s">
        <v>84</v>
      </c>
      <c r="I232" t="s">
        <v>1745</v>
      </c>
      <c r="J232">
        <v>142350</v>
      </c>
      <c r="K232">
        <v>2025</v>
      </c>
      <c r="L232">
        <v>438068629</v>
      </c>
      <c r="M232" t="s">
        <v>2582</v>
      </c>
      <c r="N232" t="s">
        <v>1688</v>
      </c>
      <c r="O232" t="s">
        <v>1686</v>
      </c>
      <c r="P232">
        <v>0</v>
      </c>
      <c r="Q232">
        <v>142350</v>
      </c>
      <c r="R232">
        <v>0</v>
      </c>
      <c r="S232">
        <v>0</v>
      </c>
      <c r="T232" t="str">
        <f t="shared" si="6"/>
        <v>29101.00.0000.00.0-205616.2.1.1.01.03.110.</v>
      </c>
      <c r="U232" t="e" cm="1">
        <f t="array" aca="1" ref="U232" ca="1">+IF(COMPROMISOS_2025[[#This Row],[P]]="20","41080111",_xlfn.XLOOKUP(COMPROMISOS_2025[[#This Row],[concatenado]],PAA[[#All],[RCP-RUBRO]],PAA[[#All],[INDICADOR]],"",0))</f>
        <v>#NAME?</v>
      </c>
      <c r="V232" s="144" t="str">
        <f t="shared" si="7"/>
        <v>00</v>
      </c>
      <c r="W232" s="136">
        <f>+COMPROMISOS_2025[[#This Row],[valor_total]]-COMPROMISOS_2025[[#This Row],[total_cancelado]]</f>
        <v>142350</v>
      </c>
      <c r="X232" s="136">
        <f>COMPROMISOS_2025[[#This Row],[total_ordenes]]</f>
        <v>142350</v>
      </c>
      <c r="Y232" t="str" cm="1">
        <f t="array" aca="1" ref="Y232" ca="1">IFERROR(_xlfn.XLOOKUP(COMPROMISOS_2025[[#This Row],[concatenado]],PAA[[#All],[RCP-RUBRO]],PAA[[#All],[Actividad3]],VLOOKUP(COMPROMISOS_2025[[#This Row],[Indicador Principal]],$AC$2:$AD$17,2,0),0),"")</f>
        <v/>
      </c>
    </row>
    <row r="233" spans="1:25" hidden="1" x14ac:dyDescent="0.25">
      <c r="A233">
        <v>2911</v>
      </c>
      <c r="B233" t="s">
        <v>2619</v>
      </c>
      <c r="C233" t="s">
        <v>883</v>
      </c>
      <c r="D233" t="s">
        <v>2620</v>
      </c>
      <c r="F233">
        <v>422</v>
      </c>
      <c r="G233">
        <v>19</v>
      </c>
      <c r="H233" t="s">
        <v>84</v>
      </c>
      <c r="I233" t="s">
        <v>1745</v>
      </c>
      <c r="J233">
        <v>142350</v>
      </c>
      <c r="K233">
        <v>2025</v>
      </c>
      <c r="L233">
        <v>438142995</v>
      </c>
      <c r="M233" t="s">
        <v>2583</v>
      </c>
      <c r="N233" t="s">
        <v>1688</v>
      </c>
      <c r="O233" t="s">
        <v>1686</v>
      </c>
      <c r="P233">
        <v>0</v>
      </c>
      <c r="Q233">
        <v>142350</v>
      </c>
      <c r="R233">
        <v>0</v>
      </c>
      <c r="S233">
        <v>0</v>
      </c>
      <c r="T233" t="str">
        <f t="shared" si="6"/>
        <v>29111.00.0000.00.0-205616.2.1.1.01.03.110.</v>
      </c>
      <c r="U233" t="e" cm="1">
        <f t="array" aca="1" ref="U233" ca="1">+IF(COMPROMISOS_2025[[#This Row],[P]]="20","41080111",_xlfn.XLOOKUP(COMPROMISOS_2025[[#This Row],[concatenado]],PAA[[#All],[RCP-RUBRO]],PAA[[#All],[INDICADOR]],"",0))</f>
        <v>#NAME?</v>
      </c>
      <c r="V233" s="144" t="str">
        <f t="shared" si="7"/>
        <v>00</v>
      </c>
      <c r="W233" s="136">
        <f>+COMPROMISOS_2025[[#This Row],[valor_total]]-COMPROMISOS_2025[[#This Row],[total_cancelado]]</f>
        <v>142350</v>
      </c>
      <c r="X233" s="136">
        <f>COMPROMISOS_2025[[#This Row],[total_ordenes]]</f>
        <v>142350</v>
      </c>
      <c r="Y233" t="str" cm="1">
        <f t="array" aca="1" ref="Y233" ca="1">IFERROR(_xlfn.XLOOKUP(COMPROMISOS_2025[[#This Row],[concatenado]],PAA[[#All],[RCP-RUBRO]],PAA[[#All],[Actividad3]],VLOOKUP(COMPROMISOS_2025[[#This Row],[Indicador Principal]],$AC$2:$AD$17,2,0),0),"")</f>
        <v/>
      </c>
    </row>
    <row r="234" spans="1:25" hidden="1" x14ac:dyDescent="0.25">
      <c r="A234">
        <v>2912</v>
      </c>
      <c r="B234" t="s">
        <v>2619</v>
      </c>
      <c r="C234" t="s">
        <v>883</v>
      </c>
      <c r="D234" t="s">
        <v>2620</v>
      </c>
      <c r="F234">
        <v>422</v>
      </c>
      <c r="G234">
        <v>19</v>
      </c>
      <c r="H234" t="s">
        <v>84</v>
      </c>
      <c r="I234" t="s">
        <v>1745</v>
      </c>
      <c r="J234">
        <v>142350</v>
      </c>
      <c r="K234">
        <v>2025</v>
      </c>
      <c r="L234">
        <v>438166141</v>
      </c>
      <c r="M234" t="s">
        <v>2537</v>
      </c>
      <c r="N234" t="s">
        <v>1688</v>
      </c>
      <c r="O234" t="s">
        <v>1686</v>
      </c>
      <c r="P234">
        <v>0</v>
      </c>
      <c r="Q234">
        <v>142350</v>
      </c>
      <c r="R234">
        <v>0</v>
      </c>
      <c r="S234">
        <v>0</v>
      </c>
      <c r="T234" t="str">
        <f t="shared" si="6"/>
        <v>29121.00.0000.00.0-205616.2.1.1.01.03.110.</v>
      </c>
      <c r="U234" t="e" cm="1">
        <f t="array" aca="1" ref="U234" ca="1">+IF(COMPROMISOS_2025[[#This Row],[P]]="20","41080111",_xlfn.XLOOKUP(COMPROMISOS_2025[[#This Row],[concatenado]],PAA[[#All],[RCP-RUBRO]],PAA[[#All],[INDICADOR]],"",0))</f>
        <v>#NAME?</v>
      </c>
      <c r="V234" s="144" t="str">
        <f t="shared" si="7"/>
        <v>00</v>
      </c>
      <c r="W234" s="136">
        <f>+COMPROMISOS_2025[[#This Row],[valor_total]]-COMPROMISOS_2025[[#This Row],[total_cancelado]]</f>
        <v>142350</v>
      </c>
      <c r="X234" s="136">
        <f>COMPROMISOS_2025[[#This Row],[total_ordenes]]</f>
        <v>142350</v>
      </c>
      <c r="Y234" t="str" cm="1">
        <f t="array" aca="1" ref="Y234" ca="1">IFERROR(_xlfn.XLOOKUP(COMPROMISOS_2025[[#This Row],[concatenado]],PAA[[#All],[RCP-RUBRO]],PAA[[#All],[Actividad3]],VLOOKUP(COMPROMISOS_2025[[#This Row],[Indicador Principal]],$AC$2:$AD$17,2,0),0),"")</f>
        <v/>
      </c>
    </row>
    <row r="235" spans="1:25" hidden="1" x14ac:dyDescent="0.25">
      <c r="A235">
        <v>2913</v>
      </c>
      <c r="B235" t="s">
        <v>2619</v>
      </c>
      <c r="C235" t="s">
        <v>883</v>
      </c>
      <c r="D235" t="s">
        <v>2620</v>
      </c>
      <c r="F235">
        <v>422</v>
      </c>
      <c r="G235">
        <v>19</v>
      </c>
      <c r="H235" t="s">
        <v>84</v>
      </c>
      <c r="I235" t="s">
        <v>1745</v>
      </c>
      <c r="J235">
        <v>142350</v>
      </c>
      <c r="K235">
        <v>2025</v>
      </c>
      <c r="L235">
        <v>438652109</v>
      </c>
      <c r="M235" t="s">
        <v>2584</v>
      </c>
      <c r="N235" t="s">
        <v>1688</v>
      </c>
      <c r="O235" t="s">
        <v>1686</v>
      </c>
      <c r="P235">
        <v>0</v>
      </c>
      <c r="Q235">
        <v>142350</v>
      </c>
      <c r="R235">
        <v>0</v>
      </c>
      <c r="S235">
        <v>0</v>
      </c>
      <c r="T235" t="str">
        <f t="shared" si="6"/>
        <v>29131.00.0000.00.0-205616.2.1.1.01.03.110.</v>
      </c>
      <c r="U235" t="e" cm="1">
        <f t="array" aca="1" ref="U235" ca="1">+IF(COMPROMISOS_2025[[#This Row],[P]]="20","41080111",_xlfn.XLOOKUP(COMPROMISOS_2025[[#This Row],[concatenado]],PAA[[#All],[RCP-RUBRO]],PAA[[#All],[INDICADOR]],"",0))</f>
        <v>#NAME?</v>
      </c>
      <c r="V235" s="144" t="str">
        <f t="shared" si="7"/>
        <v>00</v>
      </c>
      <c r="W235" s="136">
        <f>+COMPROMISOS_2025[[#This Row],[valor_total]]-COMPROMISOS_2025[[#This Row],[total_cancelado]]</f>
        <v>142350</v>
      </c>
      <c r="X235" s="136">
        <f>COMPROMISOS_2025[[#This Row],[total_ordenes]]</f>
        <v>142350</v>
      </c>
      <c r="Y235" t="str" cm="1">
        <f t="array" aca="1" ref="Y235" ca="1">IFERROR(_xlfn.XLOOKUP(COMPROMISOS_2025[[#This Row],[concatenado]],PAA[[#All],[RCP-RUBRO]],PAA[[#All],[Actividad3]],VLOOKUP(COMPROMISOS_2025[[#This Row],[Indicador Principal]],$AC$2:$AD$17,2,0),0),"")</f>
        <v/>
      </c>
    </row>
    <row r="236" spans="1:25" hidden="1" x14ac:dyDescent="0.25">
      <c r="A236">
        <v>2914</v>
      </c>
      <c r="B236" t="s">
        <v>2619</v>
      </c>
      <c r="C236" t="s">
        <v>883</v>
      </c>
      <c r="D236" t="s">
        <v>2620</v>
      </c>
      <c r="F236">
        <v>422</v>
      </c>
      <c r="G236">
        <v>19</v>
      </c>
      <c r="H236" t="s">
        <v>84</v>
      </c>
      <c r="I236" t="s">
        <v>1745</v>
      </c>
      <c r="J236">
        <v>142350</v>
      </c>
      <c r="K236">
        <v>2025</v>
      </c>
      <c r="L236">
        <v>438730897</v>
      </c>
      <c r="M236" t="s">
        <v>2585</v>
      </c>
      <c r="N236" t="s">
        <v>1688</v>
      </c>
      <c r="O236" t="s">
        <v>1686</v>
      </c>
      <c r="P236">
        <v>0</v>
      </c>
      <c r="Q236">
        <v>142350</v>
      </c>
      <c r="R236">
        <v>0</v>
      </c>
      <c r="S236">
        <v>0</v>
      </c>
      <c r="T236" t="str">
        <f t="shared" si="6"/>
        <v>29141.00.0000.00.0-205616.2.1.1.01.03.110.</v>
      </c>
      <c r="U236" t="e" cm="1">
        <f t="array" aca="1" ref="U236" ca="1">+IF(COMPROMISOS_2025[[#This Row],[P]]="20","41080111",_xlfn.XLOOKUP(COMPROMISOS_2025[[#This Row],[concatenado]],PAA[[#All],[RCP-RUBRO]],PAA[[#All],[INDICADOR]],"",0))</f>
        <v>#NAME?</v>
      </c>
      <c r="V236" s="144" t="str">
        <f t="shared" si="7"/>
        <v>00</v>
      </c>
      <c r="W236" s="136">
        <f>+COMPROMISOS_2025[[#This Row],[valor_total]]-COMPROMISOS_2025[[#This Row],[total_cancelado]]</f>
        <v>142350</v>
      </c>
      <c r="X236" s="136">
        <f>COMPROMISOS_2025[[#This Row],[total_ordenes]]</f>
        <v>142350</v>
      </c>
      <c r="Y236" t="str" cm="1">
        <f t="array" aca="1" ref="Y236" ca="1">IFERROR(_xlfn.XLOOKUP(COMPROMISOS_2025[[#This Row],[concatenado]],PAA[[#All],[RCP-RUBRO]],PAA[[#All],[Actividad3]],VLOOKUP(COMPROMISOS_2025[[#This Row],[Indicador Principal]],$AC$2:$AD$17,2,0),0),"")</f>
        <v/>
      </c>
    </row>
    <row r="237" spans="1:25" hidden="1" x14ac:dyDescent="0.25">
      <c r="A237">
        <v>2915</v>
      </c>
      <c r="B237" t="s">
        <v>2619</v>
      </c>
      <c r="C237" t="s">
        <v>883</v>
      </c>
      <c r="D237" t="s">
        <v>2620</v>
      </c>
      <c r="F237">
        <v>422</v>
      </c>
      <c r="G237">
        <v>19</v>
      </c>
      <c r="H237" t="s">
        <v>84</v>
      </c>
      <c r="I237" t="s">
        <v>1745</v>
      </c>
      <c r="J237">
        <v>142350</v>
      </c>
      <c r="K237">
        <v>2025</v>
      </c>
      <c r="L237">
        <v>439061011</v>
      </c>
      <c r="M237" t="s">
        <v>2586</v>
      </c>
      <c r="N237" t="s">
        <v>1688</v>
      </c>
      <c r="O237" t="s">
        <v>1686</v>
      </c>
      <c r="P237">
        <v>0</v>
      </c>
      <c r="Q237">
        <v>142350</v>
      </c>
      <c r="R237">
        <v>0</v>
      </c>
      <c r="S237">
        <v>0</v>
      </c>
      <c r="T237" t="str">
        <f t="shared" si="6"/>
        <v>29151.00.0000.00.0-205616.2.1.1.01.03.110.</v>
      </c>
      <c r="U237" t="e" cm="1">
        <f t="array" aca="1" ref="U237" ca="1">+IF(COMPROMISOS_2025[[#This Row],[P]]="20","41080111",_xlfn.XLOOKUP(COMPROMISOS_2025[[#This Row],[concatenado]],PAA[[#All],[RCP-RUBRO]],PAA[[#All],[INDICADOR]],"",0))</f>
        <v>#NAME?</v>
      </c>
      <c r="V237" s="144" t="str">
        <f t="shared" si="7"/>
        <v>00</v>
      </c>
      <c r="W237" s="136">
        <f>+COMPROMISOS_2025[[#This Row],[valor_total]]-COMPROMISOS_2025[[#This Row],[total_cancelado]]</f>
        <v>142350</v>
      </c>
      <c r="X237" s="136">
        <f>COMPROMISOS_2025[[#This Row],[total_ordenes]]</f>
        <v>142350</v>
      </c>
      <c r="Y237" t="str" cm="1">
        <f t="array" aca="1" ref="Y237" ca="1">IFERROR(_xlfn.XLOOKUP(COMPROMISOS_2025[[#This Row],[concatenado]],PAA[[#All],[RCP-RUBRO]],PAA[[#All],[Actividad3]],VLOOKUP(COMPROMISOS_2025[[#This Row],[Indicador Principal]],$AC$2:$AD$17,2,0),0),"")</f>
        <v/>
      </c>
    </row>
    <row r="238" spans="1:25" hidden="1" x14ac:dyDescent="0.25">
      <c r="A238">
        <v>2916</v>
      </c>
      <c r="B238" t="s">
        <v>2619</v>
      </c>
      <c r="C238" t="s">
        <v>883</v>
      </c>
      <c r="D238" t="s">
        <v>2620</v>
      </c>
      <c r="F238">
        <v>422</v>
      </c>
      <c r="G238">
        <v>19</v>
      </c>
      <c r="H238" t="s">
        <v>84</v>
      </c>
      <c r="I238" t="s">
        <v>1745</v>
      </c>
      <c r="J238">
        <v>142350</v>
      </c>
      <c r="K238">
        <v>2025</v>
      </c>
      <c r="L238">
        <v>439103353</v>
      </c>
      <c r="M238" t="s">
        <v>2543</v>
      </c>
      <c r="N238" t="s">
        <v>1688</v>
      </c>
      <c r="O238" t="s">
        <v>1686</v>
      </c>
      <c r="P238">
        <v>0</v>
      </c>
      <c r="Q238">
        <v>142350</v>
      </c>
      <c r="R238">
        <v>0</v>
      </c>
      <c r="S238">
        <v>0</v>
      </c>
      <c r="T238" t="str">
        <f t="shared" si="6"/>
        <v>29161.00.0000.00.0-205616.2.1.1.01.03.110.</v>
      </c>
      <c r="U238" t="e" cm="1">
        <f t="array" aca="1" ref="U238" ca="1">+IF(COMPROMISOS_2025[[#This Row],[P]]="20","41080111",_xlfn.XLOOKUP(COMPROMISOS_2025[[#This Row],[concatenado]],PAA[[#All],[RCP-RUBRO]],PAA[[#All],[INDICADOR]],"",0))</f>
        <v>#NAME?</v>
      </c>
      <c r="V238" s="144" t="str">
        <f t="shared" si="7"/>
        <v>00</v>
      </c>
      <c r="W238" s="136">
        <f>+COMPROMISOS_2025[[#This Row],[valor_total]]-COMPROMISOS_2025[[#This Row],[total_cancelado]]</f>
        <v>142350</v>
      </c>
      <c r="X238" s="136">
        <f>COMPROMISOS_2025[[#This Row],[total_ordenes]]</f>
        <v>142350</v>
      </c>
      <c r="Y238" t="str" cm="1">
        <f t="array" aca="1" ref="Y238" ca="1">IFERROR(_xlfn.XLOOKUP(COMPROMISOS_2025[[#This Row],[concatenado]],PAA[[#All],[RCP-RUBRO]],PAA[[#All],[Actividad3]],VLOOKUP(COMPROMISOS_2025[[#This Row],[Indicador Principal]],$AC$2:$AD$17,2,0),0),"")</f>
        <v/>
      </c>
    </row>
    <row r="239" spans="1:25" hidden="1" x14ac:dyDescent="0.25">
      <c r="A239">
        <v>2917</v>
      </c>
      <c r="B239" t="s">
        <v>2619</v>
      </c>
      <c r="C239" t="s">
        <v>883</v>
      </c>
      <c r="D239" t="s">
        <v>2620</v>
      </c>
      <c r="F239">
        <v>422</v>
      </c>
      <c r="G239">
        <v>19</v>
      </c>
      <c r="H239" t="s">
        <v>84</v>
      </c>
      <c r="I239" t="s">
        <v>1745</v>
      </c>
      <c r="J239">
        <v>142350</v>
      </c>
      <c r="K239">
        <v>2025</v>
      </c>
      <c r="L239">
        <v>518097551</v>
      </c>
      <c r="M239" t="s">
        <v>2538</v>
      </c>
      <c r="N239" t="s">
        <v>1688</v>
      </c>
      <c r="O239" t="s">
        <v>1686</v>
      </c>
      <c r="P239">
        <v>0</v>
      </c>
      <c r="Q239">
        <v>142350</v>
      </c>
      <c r="R239">
        <v>0</v>
      </c>
      <c r="S239">
        <v>0</v>
      </c>
      <c r="T239" t="str">
        <f t="shared" si="6"/>
        <v>29171.00.0000.00.0-205616.2.1.1.01.03.110.</v>
      </c>
      <c r="U239" t="e" cm="1">
        <f t="array" aca="1" ref="U239" ca="1">+IF(COMPROMISOS_2025[[#This Row],[P]]="20","41080111",_xlfn.XLOOKUP(COMPROMISOS_2025[[#This Row],[concatenado]],PAA[[#All],[RCP-RUBRO]],PAA[[#All],[INDICADOR]],"",0))</f>
        <v>#NAME?</v>
      </c>
      <c r="V239" s="144" t="str">
        <f t="shared" si="7"/>
        <v>00</v>
      </c>
      <c r="W239" s="136">
        <f>+COMPROMISOS_2025[[#This Row],[valor_total]]-COMPROMISOS_2025[[#This Row],[total_cancelado]]</f>
        <v>142350</v>
      </c>
      <c r="X239" s="136">
        <f>COMPROMISOS_2025[[#This Row],[total_ordenes]]</f>
        <v>142350</v>
      </c>
      <c r="Y239" t="str" cm="1">
        <f t="array" aca="1" ref="Y239" ca="1">IFERROR(_xlfn.XLOOKUP(COMPROMISOS_2025[[#This Row],[concatenado]],PAA[[#All],[RCP-RUBRO]],PAA[[#All],[Actividad3]],VLOOKUP(COMPROMISOS_2025[[#This Row],[Indicador Principal]],$AC$2:$AD$17,2,0),0),"")</f>
        <v/>
      </c>
    </row>
    <row r="240" spans="1:25" hidden="1" x14ac:dyDescent="0.25">
      <c r="A240">
        <v>2918</v>
      </c>
      <c r="B240" t="s">
        <v>2619</v>
      </c>
      <c r="C240" t="s">
        <v>883</v>
      </c>
      <c r="D240" t="s">
        <v>2620</v>
      </c>
      <c r="F240">
        <v>422</v>
      </c>
      <c r="G240">
        <v>19</v>
      </c>
      <c r="H240" t="s">
        <v>84</v>
      </c>
      <c r="I240" t="s">
        <v>1745</v>
      </c>
      <c r="J240">
        <v>142350</v>
      </c>
      <c r="K240">
        <v>2025</v>
      </c>
      <c r="L240">
        <v>701406471</v>
      </c>
      <c r="M240" t="s">
        <v>2587</v>
      </c>
      <c r="N240" t="s">
        <v>1688</v>
      </c>
      <c r="O240" t="s">
        <v>1686</v>
      </c>
      <c r="P240">
        <v>0</v>
      </c>
      <c r="Q240">
        <v>142350</v>
      </c>
      <c r="R240">
        <v>0</v>
      </c>
      <c r="S240">
        <v>0</v>
      </c>
      <c r="T240" t="str">
        <f t="shared" si="6"/>
        <v>29181.00.0000.00.0-205616.2.1.1.01.03.110.</v>
      </c>
      <c r="U240" t="e" cm="1">
        <f t="array" aca="1" ref="U240" ca="1">+IF(COMPROMISOS_2025[[#This Row],[P]]="20","41080111",_xlfn.XLOOKUP(COMPROMISOS_2025[[#This Row],[concatenado]],PAA[[#All],[RCP-RUBRO]],PAA[[#All],[INDICADOR]],"",0))</f>
        <v>#NAME?</v>
      </c>
      <c r="V240" s="144" t="str">
        <f t="shared" si="7"/>
        <v>00</v>
      </c>
      <c r="W240" s="136">
        <f>+COMPROMISOS_2025[[#This Row],[valor_total]]-COMPROMISOS_2025[[#This Row],[total_cancelado]]</f>
        <v>142350</v>
      </c>
      <c r="X240" s="136">
        <f>COMPROMISOS_2025[[#This Row],[total_ordenes]]</f>
        <v>142350</v>
      </c>
      <c r="Y240" t="str" cm="1">
        <f t="array" aca="1" ref="Y240" ca="1">IFERROR(_xlfn.XLOOKUP(COMPROMISOS_2025[[#This Row],[concatenado]],PAA[[#All],[RCP-RUBRO]],PAA[[#All],[Actividad3]],VLOOKUP(COMPROMISOS_2025[[#This Row],[Indicador Principal]],$AC$2:$AD$17,2,0),0),"")</f>
        <v/>
      </c>
    </row>
    <row r="241" spans="1:25" hidden="1" x14ac:dyDescent="0.25">
      <c r="A241">
        <v>2919</v>
      </c>
      <c r="B241" t="s">
        <v>2619</v>
      </c>
      <c r="C241" t="s">
        <v>883</v>
      </c>
      <c r="D241" t="s">
        <v>2620</v>
      </c>
      <c r="F241">
        <v>422</v>
      </c>
      <c r="G241">
        <v>19</v>
      </c>
      <c r="H241" t="s">
        <v>84</v>
      </c>
      <c r="I241" t="s">
        <v>1745</v>
      </c>
      <c r="J241">
        <v>142350</v>
      </c>
      <c r="K241">
        <v>2025</v>
      </c>
      <c r="L241">
        <v>70557456</v>
      </c>
      <c r="M241" t="s">
        <v>2588</v>
      </c>
      <c r="N241" t="s">
        <v>1688</v>
      </c>
      <c r="O241" t="s">
        <v>1686</v>
      </c>
      <c r="P241">
        <v>0</v>
      </c>
      <c r="Q241">
        <v>142350</v>
      </c>
      <c r="R241">
        <v>0</v>
      </c>
      <c r="S241">
        <v>0</v>
      </c>
      <c r="T241" t="str">
        <f t="shared" si="6"/>
        <v>29191.00.0000.00.0-205616.2.1.1.01.03.110.</v>
      </c>
      <c r="U241" t="e" cm="1">
        <f t="array" aca="1" ref="U241" ca="1">+IF(COMPROMISOS_2025[[#This Row],[P]]="20","41080111",_xlfn.XLOOKUP(COMPROMISOS_2025[[#This Row],[concatenado]],PAA[[#All],[RCP-RUBRO]],PAA[[#All],[INDICADOR]],"",0))</f>
        <v>#NAME?</v>
      </c>
      <c r="V241" s="144" t="str">
        <f t="shared" si="7"/>
        <v>00</v>
      </c>
      <c r="W241" s="136">
        <f>+COMPROMISOS_2025[[#This Row],[valor_total]]-COMPROMISOS_2025[[#This Row],[total_cancelado]]</f>
        <v>142350</v>
      </c>
      <c r="X241" s="136">
        <f>COMPROMISOS_2025[[#This Row],[total_ordenes]]</f>
        <v>142350</v>
      </c>
      <c r="Y241" t="str" cm="1">
        <f t="array" aca="1" ref="Y241" ca="1">IFERROR(_xlfn.XLOOKUP(COMPROMISOS_2025[[#This Row],[concatenado]],PAA[[#All],[RCP-RUBRO]],PAA[[#All],[Actividad3]],VLOOKUP(COMPROMISOS_2025[[#This Row],[Indicador Principal]],$AC$2:$AD$17,2,0),0),"")</f>
        <v/>
      </c>
    </row>
    <row r="242" spans="1:25" hidden="1" x14ac:dyDescent="0.25">
      <c r="A242">
        <v>2920</v>
      </c>
      <c r="B242" t="s">
        <v>2619</v>
      </c>
      <c r="C242" t="s">
        <v>883</v>
      </c>
      <c r="D242" t="s">
        <v>2620</v>
      </c>
      <c r="F242">
        <v>422</v>
      </c>
      <c r="G242">
        <v>19</v>
      </c>
      <c r="H242" t="s">
        <v>84</v>
      </c>
      <c r="I242" t="s">
        <v>1745</v>
      </c>
      <c r="J242">
        <v>142350</v>
      </c>
      <c r="K242">
        <v>2025</v>
      </c>
      <c r="L242">
        <v>708790807</v>
      </c>
      <c r="M242" t="s">
        <v>2589</v>
      </c>
      <c r="N242" t="s">
        <v>1688</v>
      </c>
      <c r="O242" t="s">
        <v>1686</v>
      </c>
      <c r="P242">
        <v>0</v>
      </c>
      <c r="Q242">
        <v>142350</v>
      </c>
      <c r="R242">
        <v>0</v>
      </c>
      <c r="S242">
        <v>0</v>
      </c>
      <c r="T242" t="str">
        <f t="shared" si="6"/>
        <v>29201.00.0000.00.0-205616.2.1.1.01.03.110.</v>
      </c>
      <c r="U242" t="e" cm="1">
        <f t="array" aca="1" ref="U242" ca="1">+IF(COMPROMISOS_2025[[#This Row],[P]]="20","41080111",_xlfn.XLOOKUP(COMPROMISOS_2025[[#This Row],[concatenado]],PAA[[#All],[RCP-RUBRO]],PAA[[#All],[INDICADOR]],"",0))</f>
        <v>#NAME?</v>
      </c>
      <c r="V242" s="144" t="str">
        <f t="shared" si="7"/>
        <v>00</v>
      </c>
      <c r="W242" s="136">
        <f>+COMPROMISOS_2025[[#This Row],[valor_total]]-COMPROMISOS_2025[[#This Row],[total_cancelado]]</f>
        <v>142350</v>
      </c>
      <c r="X242" s="136">
        <f>COMPROMISOS_2025[[#This Row],[total_ordenes]]</f>
        <v>142350</v>
      </c>
      <c r="Y242" t="str" cm="1">
        <f t="array" aca="1" ref="Y242" ca="1">IFERROR(_xlfn.XLOOKUP(COMPROMISOS_2025[[#This Row],[concatenado]],PAA[[#All],[RCP-RUBRO]],PAA[[#All],[Actividad3]],VLOOKUP(COMPROMISOS_2025[[#This Row],[Indicador Principal]],$AC$2:$AD$17,2,0),0),"")</f>
        <v/>
      </c>
    </row>
    <row r="243" spans="1:25" hidden="1" x14ac:dyDescent="0.25">
      <c r="A243">
        <v>2921</v>
      </c>
      <c r="B243" t="s">
        <v>2619</v>
      </c>
      <c r="C243" t="s">
        <v>883</v>
      </c>
      <c r="D243" t="s">
        <v>2620</v>
      </c>
      <c r="F243">
        <v>422</v>
      </c>
      <c r="G243">
        <v>19</v>
      </c>
      <c r="H243" t="s">
        <v>84</v>
      </c>
      <c r="I243" t="s">
        <v>1745</v>
      </c>
      <c r="J243">
        <v>142350</v>
      </c>
      <c r="K243">
        <v>2025</v>
      </c>
      <c r="L243">
        <v>710234096</v>
      </c>
      <c r="M243" t="s">
        <v>2590</v>
      </c>
      <c r="N243" t="s">
        <v>1688</v>
      </c>
      <c r="O243" t="s">
        <v>1686</v>
      </c>
      <c r="P243">
        <v>0</v>
      </c>
      <c r="Q243">
        <v>142350</v>
      </c>
      <c r="R243">
        <v>0</v>
      </c>
      <c r="S243">
        <v>0</v>
      </c>
      <c r="T243" t="str">
        <f t="shared" si="6"/>
        <v>29211.00.0000.00.0-205616.2.1.1.01.03.110.</v>
      </c>
      <c r="U243" t="e" cm="1">
        <f t="array" aca="1" ref="U243" ca="1">+IF(COMPROMISOS_2025[[#This Row],[P]]="20","41080111",_xlfn.XLOOKUP(COMPROMISOS_2025[[#This Row],[concatenado]],PAA[[#All],[RCP-RUBRO]],PAA[[#All],[INDICADOR]],"",0))</f>
        <v>#NAME?</v>
      </c>
      <c r="V243" s="144" t="str">
        <f t="shared" si="7"/>
        <v>00</v>
      </c>
      <c r="W243" s="136">
        <f>+COMPROMISOS_2025[[#This Row],[valor_total]]-COMPROMISOS_2025[[#This Row],[total_cancelado]]</f>
        <v>142350</v>
      </c>
      <c r="X243" s="136">
        <f>COMPROMISOS_2025[[#This Row],[total_ordenes]]</f>
        <v>142350</v>
      </c>
      <c r="Y243" t="str" cm="1">
        <f t="array" aca="1" ref="Y243" ca="1">IFERROR(_xlfn.XLOOKUP(COMPROMISOS_2025[[#This Row],[concatenado]],PAA[[#All],[RCP-RUBRO]],PAA[[#All],[Actividad3]],VLOOKUP(COMPROMISOS_2025[[#This Row],[Indicador Principal]],$AC$2:$AD$17,2,0),0),"")</f>
        <v/>
      </c>
    </row>
    <row r="244" spans="1:25" hidden="1" x14ac:dyDescent="0.25">
      <c r="A244">
        <v>2922</v>
      </c>
      <c r="B244" t="s">
        <v>2619</v>
      </c>
      <c r="C244" t="s">
        <v>883</v>
      </c>
      <c r="D244" t="s">
        <v>2620</v>
      </c>
      <c r="F244">
        <v>422</v>
      </c>
      <c r="G244">
        <v>19</v>
      </c>
      <c r="H244" t="s">
        <v>84</v>
      </c>
      <c r="I244" t="s">
        <v>1745</v>
      </c>
      <c r="J244">
        <v>142350</v>
      </c>
      <c r="K244">
        <v>2025</v>
      </c>
      <c r="L244">
        <v>712129682</v>
      </c>
      <c r="M244" t="s">
        <v>2612</v>
      </c>
      <c r="N244" t="s">
        <v>1688</v>
      </c>
      <c r="O244" t="s">
        <v>1686</v>
      </c>
      <c r="P244">
        <v>0</v>
      </c>
      <c r="Q244">
        <v>142350</v>
      </c>
      <c r="R244">
        <v>0</v>
      </c>
      <c r="S244">
        <v>0</v>
      </c>
      <c r="T244" t="str">
        <f t="shared" si="6"/>
        <v>29221.00.0000.00.0-205616.2.1.1.01.03.110.</v>
      </c>
      <c r="U244" t="e" cm="1">
        <f t="array" aca="1" ref="U244" ca="1">+IF(COMPROMISOS_2025[[#This Row],[P]]="20","41080111",_xlfn.XLOOKUP(COMPROMISOS_2025[[#This Row],[concatenado]],PAA[[#All],[RCP-RUBRO]],PAA[[#All],[INDICADOR]],"",0))</f>
        <v>#NAME?</v>
      </c>
      <c r="V244" s="144" t="str">
        <f t="shared" si="7"/>
        <v>00</v>
      </c>
      <c r="W244" s="136">
        <f>+COMPROMISOS_2025[[#This Row],[valor_total]]-COMPROMISOS_2025[[#This Row],[total_cancelado]]</f>
        <v>142350</v>
      </c>
      <c r="X244" s="136">
        <f>COMPROMISOS_2025[[#This Row],[total_ordenes]]</f>
        <v>142350</v>
      </c>
      <c r="Y244" t="str" cm="1">
        <f t="array" aca="1" ref="Y244" ca="1">IFERROR(_xlfn.XLOOKUP(COMPROMISOS_2025[[#This Row],[concatenado]],PAA[[#All],[RCP-RUBRO]],PAA[[#All],[Actividad3]],VLOOKUP(COMPROMISOS_2025[[#This Row],[Indicador Principal]],$AC$2:$AD$17,2,0),0),"")</f>
        <v/>
      </c>
    </row>
    <row r="245" spans="1:25" hidden="1" x14ac:dyDescent="0.25">
      <c r="A245">
        <v>2923</v>
      </c>
      <c r="B245" t="s">
        <v>2619</v>
      </c>
      <c r="C245" t="s">
        <v>883</v>
      </c>
      <c r="D245" t="s">
        <v>2620</v>
      </c>
      <c r="F245">
        <v>422</v>
      </c>
      <c r="G245">
        <v>19</v>
      </c>
      <c r="H245" t="s">
        <v>84</v>
      </c>
      <c r="I245" t="s">
        <v>1745</v>
      </c>
      <c r="J245">
        <v>142350</v>
      </c>
      <c r="K245">
        <v>2025</v>
      </c>
      <c r="L245">
        <v>712654768</v>
      </c>
      <c r="M245" t="s">
        <v>2539</v>
      </c>
      <c r="N245" t="s">
        <v>1688</v>
      </c>
      <c r="O245" t="s">
        <v>1686</v>
      </c>
      <c r="P245">
        <v>0</v>
      </c>
      <c r="Q245">
        <v>142350</v>
      </c>
      <c r="R245">
        <v>0</v>
      </c>
      <c r="S245">
        <v>0</v>
      </c>
      <c r="T245" t="str">
        <f t="shared" si="6"/>
        <v>29231.00.0000.00.0-205616.2.1.1.01.03.110.</v>
      </c>
      <c r="U245" t="e" cm="1">
        <f t="array" aca="1" ref="U245" ca="1">+IF(COMPROMISOS_2025[[#This Row],[P]]="20","41080111",_xlfn.XLOOKUP(COMPROMISOS_2025[[#This Row],[concatenado]],PAA[[#All],[RCP-RUBRO]],PAA[[#All],[INDICADOR]],"",0))</f>
        <v>#NAME?</v>
      </c>
      <c r="V245" s="144" t="str">
        <f t="shared" si="7"/>
        <v>00</v>
      </c>
      <c r="W245" s="136">
        <f>+COMPROMISOS_2025[[#This Row],[valor_total]]-COMPROMISOS_2025[[#This Row],[total_cancelado]]</f>
        <v>142350</v>
      </c>
      <c r="X245" s="136">
        <f>COMPROMISOS_2025[[#This Row],[total_ordenes]]</f>
        <v>142350</v>
      </c>
      <c r="Y245" t="str" cm="1">
        <f t="array" aca="1" ref="Y245" ca="1">IFERROR(_xlfn.XLOOKUP(COMPROMISOS_2025[[#This Row],[concatenado]],PAA[[#All],[RCP-RUBRO]],PAA[[#All],[Actividad3]],VLOOKUP(COMPROMISOS_2025[[#This Row],[Indicador Principal]],$AC$2:$AD$17,2,0),0),"")</f>
        <v/>
      </c>
    </row>
    <row r="246" spans="1:25" hidden="1" x14ac:dyDescent="0.25">
      <c r="A246">
        <v>2924</v>
      </c>
      <c r="B246" t="s">
        <v>2619</v>
      </c>
      <c r="C246" t="s">
        <v>883</v>
      </c>
      <c r="D246" t="s">
        <v>2620</v>
      </c>
      <c r="F246">
        <v>422</v>
      </c>
      <c r="G246">
        <v>19</v>
      </c>
      <c r="H246" t="s">
        <v>84</v>
      </c>
      <c r="I246" t="s">
        <v>1745</v>
      </c>
      <c r="J246">
        <v>142350</v>
      </c>
      <c r="K246">
        <v>2025</v>
      </c>
      <c r="L246">
        <v>716748582</v>
      </c>
      <c r="M246" t="s">
        <v>2591</v>
      </c>
      <c r="N246" t="s">
        <v>1688</v>
      </c>
      <c r="O246" t="s">
        <v>1686</v>
      </c>
      <c r="P246">
        <v>0</v>
      </c>
      <c r="Q246">
        <v>142350</v>
      </c>
      <c r="R246">
        <v>0</v>
      </c>
      <c r="S246">
        <v>0</v>
      </c>
      <c r="T246" t="str">
        <f t="shared" si="6"/>
        <v>29241.00.0000.00.0-205616.2.1.1.01.03.110.</v>
      </c>
      <c r="U246" t="e" cm="1">
        <f t="array" aca="1" ref="U246" ca="1">+IF(COMPROMISOS_2025[[#This Row],[P]]="20","41080111",_xlfn.XLOOKUP(COMPROMISOS_2025[[#This Row],[concatenado]],PAA[[#All],[RCP-RUBRO]],PAA[[#All],[INDICADOR]],"",0))</f>
        <v>#NAME?</v>
      </c>
      <c r="V246" s="144" t="str">
        <f t="shared" si="7"/>
        <v>00</v>
      </c>
      <c r="W246" s="136">
        <f>+COMPROMISOS_2025[[#This Row],[valor_total]]-COMPROMISOS_2025[[#This Row],[total_cancelado]]</f>
        <v>142350</v>
      </c>
      <c r="X246" s="136">
        <f>COMPROMISOS_2025[[#This Row],[total_ordenes]]</f>
        <v>142350</v>
      </c>
      <c r="Y246" t="str" cm="1">
        <f t="array" aca="1" ref="Y246" ca="1">IFERROR(_xlfn.XLOOKUP(COMPROMISOS_2025[[#This Row],[concatenado]],PAA[[#All],[RCP-RUBRO]],PAA[[#All],[Actividad3]],VLOOKUP(COMPROMISOS_2025[[#This Row],[Indicador Principal]],$AC$2:$AD$17,2,0),0),"")</f>
        <v/>
      </c>
    </row>
    <row r="247" spans="1:25" hidden="1" x14ac:dyDescent="0.25">
      <c r="A247">
        <v>2925</v>
      </c>
      <c r="B247" t="s">
        <v>2619</v>
      </c>
      <c r="C247" t="s">
        <v>883</v>
      </c>
      <c r="D247" t="s">
        <v>2620</v>
      </c>
      <c r="F247">
        <v>422</v>
      </c>
      <c r="G247">
        <v>19</v>
      </c>
      <c r="H247" t="s">
        <v>84</v>
      </c>
      <c r="I247" t="s">
        <v>1745</v>
      </c>
      <c r="J247">
        <v>142350</v>
      </c>
      <c r="K247">
        <v>2025</v>
      </c>
      <c r="L247">
        <v>71757610</v>
      </c>
      <c r="M247" t="s">
        <v>2545</v>
      </c>
      <c r="N247" t="s">
        <v>1688</v>
      </c>
      <c r="O247" t="s">
        <v>1686</v>
      </c>
      <c r="P247">
        <v>0</v>
      </c>
      <c r="Q247">
        <v>142350</v>
      </c>
      <c r="R247">
        <v>0</v>
      </c>
      <c r="S247">
        <v>0</v>
      </c>
      <c r="T247" t="str">
        <f t="shared" si="6"/>
        <v>29251.00.0000.00.0-205616.2.1.1.01.03.110.</v>
      </c>
      <c r="U247" t="e" cm="1">
        <f t="array" aca="1" ref="U247" ca="1">+IF(COMPROMISOS_2025[[#This Row],[P]]="20","41080111",_xlfn.XLOOKUP(COMPROMISOS_2025[[#This Row],[concatenado]],PAA[[#All],[RCP-RUBRO]],PAA[[#All],[INDICADOR]],"",0))</f>
        <v>#NAME?</v>
      </c>
      <c r="V247" s="144" t="str">
        <f t="shared" si="7"/>
        <v>00</v>
      </c>
      <c r="W247" s="136">
        <f>+COMPROMISOS_2025[[#This Row],[valor_total]]-COMPROMISOS_2025[[#This Row],[total_cancelado]]</f>
        <v>142350</v>
      </c>
      <c r="X247" s="136">
        <f>COMPROMISOS_2025[[#This Row],[total_ordenes]]</f>
        <v>142350</v>
      </c>
      <c r="Y247" t="str" cm="1">
        <f t="array" aca="1" ref="Y247" ca="1">IFERROR(_xlfn.XLOOKUP(COMPROMISOS_2025[[#This Row],[concatenado]],PAA[[#All],[RCP-RUBRO]],PAA[[#All],[Actividad3]],VLOOKUP(COMPROMISOS_2025[[#This Row],[Indicador Principal]],$AC$2:$AD$17,2,0),0),"")</f>
        <v/>
      </c>
    </row>
    <row r="248" spans="1:25" hidden="1" x14ac:dyDescent="0.25">
      <c r="A248">
        <v>2926</v>
      </c>
      <c r="B248" t="s">
        <v>2619</v>
      </c>
      <c r="C248" t="s">
        <v>883</v>
      </c>
      <c r="D248" t="s">
        <v>2620</v>
      </c>
      <c r="F248">
        <v>422</v>
      </c>
      <c r="G248">
        <v>19</v>
      </c>
      <c r="H248" t="s">
        <v>84</v>
      </c>
      <c r="I248" t="s">
        <v>1745</v>
      </c>
      <c r="J248">
        <v>142350</v>
      </c>
      <c r="K248">
        <v>2025</v>
      </c>
      <c r="L248">
        <v>717651862</v>
      </c>
      <c r="M248" t="s">
        <v>2592</v>
      </c>
      <c r="N248" t="s">
        <v>1688</v>
      </c>
      <c r="O248" t="s">
        <v>1686</v>
      </c>
      <c r="P248">
        <v>0</v>
      </c>
      <c r="Q248">
        <v>142350</v>
      </c>
      <c r="R248">
        <v>0</v>
      </c>
      <c r="S248">
        <v>0</v>
      </c>
      <c r="T248" t="str">
        <f t="shared" si="6"/>
        <v>29261.00.0000.00.0-205616.2.1.1.01.03.110.</v>
      </c>
      <c r="U248" t="e" cm="1">
        <f t="array" aca="1" ref="U248" ca="1">+IF(COMPROMISOS_2025[[#This Row],[P]]="20","41080111",_xlfn.XLOOKUP(COMPROMISOS_2025[[#This Row],[concatenado]],PAA[[#All],[RCP-RUBRO]],PAA[[#All],[INDICADOR]],"",0))</f>
        <v>#NAME?</v>
      </c>
      <c r="V248" s="144" t="str">
        <f t="shared" si="7"/>
        <v>00</v>
      </c>
      <c r="W248" s="136">
        <f>+COMPROMISOS_2025[[#This Row],[valor_total]]-COMPROMISOS_2025[[#This Row],[total_cancelado]]</f>
        <v>142350</v>
      </c>
      <c r="X248" s="136">
        <f>COMPROMISOS_2025[[#This Row],[total_ordenes]]</f>
        <v>142350</v>
      </c>
      <c r="Y248" t="str" cm="1">
        <f t="array" aca="1" ref="Y248" ca="1">IFERROR(_xlfn.XLOOKUP(COMPROMISOS_2025[[#This Row],[concatenado]],PAA[[#All],[RCP-RUBRO]],PAA[[#All],[Actividad3]],VLOOKUP(COMPROMISOS_2025[[#This Row],[Indicador Principal]],$AC$2:$AD$17,2,0),0),"")</f>
        <v/>
      </c>
    </row>
    <row r="249" spans="1:25" hidden="1" x14ac:dyDescent="0.25">
      <c r="A249">
        <v>2927</v>
      </c>
      <c r="B249" t="s">
        <v>2619</v>
      </c>
      <c r="C249" t="s">
        <v>883</v>
      </c>
      <c r="D249" t="s">
        <v>2620</v>
      </c>
      <c r="F249">
        <v>422</v>
      </c>
      <c r="G249">
        <v>19</v>
      </c>
      <c r="H249" t="s">
        <v>84</v>
      </c>
      <c r="I249" t="s">
        <v>1745</v>
      </c>
      <c r="J249">
        <v>142350</v>
      </c>
      <c r="K249">
        <v>2025</v>
      </c>
      <c r="L249">
        <v>71794994</v>
      </c>
      <c r="M249" t="s">
        <v>2593</v>
      </c>
      <c r="N249" t="s">
        <v>1688</v>
      </c>
      <c r="O249" t="s">
        <v>1686</v>
      </c>
      <c r="P249">
        <v>0</v>
      </c>
      <c r="Q249">
        <v>142350</v>
      </c>
      <c r="R249">
        <v>0</v>
      </c>
      <c r="S249">
        <v>0</v>
      </c>
      <c r="T249" t="str">
        <f t="shared" si="6"/>
        <v>29271.00.0000.00.0-205616.2.1.1.01.03.110.</v>
      </c>
      <c r="U249" t="e" cm="1">
        <f t="array" aca="1" ref="U249" ca="1">+IF(COMPROMISOS_2025[[#This Row],[P]]="20","41080111",_xlfn.XLOOKUP(COMPROMISOS_2025[[#This Row],[concatenado]],PAA[[#All],[RCP-RUBRO]],PAA[[#All],[INDICADOR]],"",0))</f>
        <v>#NAME?</v>
      </c>
      <c r="V249" s="144" t="str">
        <f t="shared" si="7"/>
        <v>00</v>
      </c>
      <c r="W249" s="136">
        <f>+COMPROMISOS_2025[[#This Row],[valor_total]]-COMPROMISOS_2025[[#This Row],[total_cancelado]]</f>
        <v>142350</v>
      </c>
      <c r="X249" s="136">
        <f>COMPROMISOS_2025[[#This Row],[total_ordenes]]</f>
        <v>142350</v>
      </c>
      <c r="Y249" t="str" cm="1">
        <f t="array" aca="1" ref="Y249" ca="1">IFERROR(_xlfn.XLOOKUP(COMPROMISOS_2025[[#This Row],[concatenado]],PAA[[#All],[RCP-RUBRO]],PAA[[#All],[Actividad3]],VLOOKUP(COMPROMISOS_2025[[#This Row],[Indicador Principal]],$AC$2:$AD$17,2,0),0),"")</f>
        <v/>
      </c>
    </row>
    <row r="250" spans="1:25" hidden="1" x14ac:dyDescent="0.25">
      <c r="A250">
        <v>2928</v>
      </c>
      <c r="B250" t="s">
        <v>2619</v>
      </c>
      <c r="C250" t="s">
        <v>883</v>
      </c>
      <c r="D250" t="s">
        <v>2620</v>
      </c>
      <c r="F250">
        <v>422</v>
      </c>
      <c r="G250">
        <v>19</v>
      </c>
      <c r="H250" t="s">
        <v>84</v>
      </c>
      <c r="I250" t="s">
        <v>1745</v>
      </c>
      <c r="J250">
        <v>142350</v>
      </c>
      <c r="K250">
        <v>2025</v>
      </c>
      <c r="L250">
        <v>750751501</v>
      </c>
      <c r="M250" t="s">
        <v>2594</v>
      </c>
      <c r="N250" t="s">
        <v>1688</v>
      </c>
      <c r="O250" t="s">
        <v>1686</v>
      </c>
      <c r="P250">
        <v>0</v>
      </c>
      <c r="Q250">
        <v>142350</v>
      </c>
      <c r="R250">
        <v>0</v>
      </c>
      <c r="S250">
        <v>0</v>
      </c>
      <c r="T250" t="str">
        <f t="shared" si="6"/>
        <v>29281.00.0000.00.0-205616.2.1.1.01.03.110.</v>
      </c>
      <c r="U250" t="e" cm="1">
        <f t="array" aca="1" ref="U250" ca="1">+IF(COMPROMISOS_2025[[#This Row],[P]]="20","41080111",_xlfn.XLOOKUP(COMPROMISOS_2025[[#This Row],[concatenado]],PAA[[#All],[RCP-RUBRO]],PAA[[#All],[INDICADOR]],"",0))</f>
        <v>#NAME?</v>
      </c>
      <c r="V250" s="144" t="str">
        <f t="shared" si="7"/>
        <v>00</v>
      </c>
      <c r="W250" s="136">
        <f>+COMPROMISOS_2025[[#This Row],[valor_total]]-COMPROMISOS_2025[[#This Row],[total_cancelado]]</f>
        <v>142350</v>
      </c>
      <c r="X250" s="136">
        <f>COMPROMISOS_2025[[#This Row],[total_ordenes]]</f>
        <v>142350</v>
      </c>
      <c r="Y250" t="str" cm="1">
        <f t="array" aca="1" ref="Y250" ca="1">IFERROR(_xlfn.XLOOKUP(COMPROMISOS_2025[[#This Row],[concatenado]],PAA[[#All],[RCP-RUBRO]],PAA[[#All],[Actividad3]],VLOOKUP(COMPROMISOS_2025[[#This Row],[Indicador Principal]],$AC$2:$AD$17,2,0),0),"")</f>
        <v/>
      </c>
    </row>
    <row r="251" spans="1:25" hidden="1" x14ac:dyDescent="0.25">
      <c r="A251">
        <v>2929</v>
      </c>
      <c r="B251" t="s">
        <v>2619</v>
      </c>
      <c r="C251" t="s">
        <v>883</v>
      </c>
      <c r="D251" t="s">
        <v>2620</v>
      </c>
      <c r="F251">
        <v>422</v>
      </c>
      <c r="G251">
        <v>19</v>
      </c>
      <c r="H251" t="s">
        <v>84</v>
      </c>
      <c r="I251" t="s">
        <v>1745</v>
      </c>
      <c r="J251">
        <v>142350</v>
      </c>
      <c r="K251">
        <v>2025</v>
      </c>
      <c r="L251">
        <v>912992841</v>
      </c>
      <c r="M251" t="s">
        <v>2540</v>
      </c>
      <c r="N251" t="s">
        <v>1688</v>
      </c>
      <c r="O251" t="s">
        <v>1686</v>
      </c>
      <c r="P251">
        <v>0</v>
      </c>
      <c r="Q251">
        <v>142350</v>
      </c>
      <c r="R251">
        <v>0</v>
      </c>
      <c r="S251">
        <v>0</v>
      </c>
      <c r="T251" t="str">
        <f t="shared" si="6"/>
        <v>29291.00.0000.00.0-205616.2.1.1.01.03.110.</v>
      </c>
      <c r="U251" t="e" cm="1">
        <f t="array" aca="1" ref="U251" ca="1">+IF(COMPROMISOS_2025[[#This Row],[P]]="20","41080111",_xlfn.XLOOKUP(COMPROMISOS_2025[[#This Row],[concatenado]],PAA[[#All],[RCP-RUBRO]],PAA[[#All],[INDICADOR]],"",0))</f>
        <v>#NAME?</v>
      </c>
      <c r="V251" s="144" t="str">
        <f t="shared" si="7"/>
        <v>00</v>
      </c>
      <c r="W251" s="136">
        <f>+COMPROMISOS_2025[[#This Row],[valor_total]]-COMPROMISOS_2025[[#This Row],[total_cancelado]]</f>
        <v>142350</v>
      </c>
      <c r="X251" s="136">
        <f>COMPROMISOS_2025[[#This Row],[total_ordenes]]</f>
        <v>142350</v>
      </c>
      <c r="Y251" t="str" cm="1">
        <f t="array" aca="1" ref="Y251" ca="1">IFERROR(_xlfn.XLOOKUP(COMPROMISOS_2025[[#This Row],[concatenado]],PAA[[#All],[RCP-RUBRO]],PAA[[#All],[Actividad3]],VLOOKUP(COMPROMISOS_2025[[#This Row],[Indicador Principal]],$AC$2:$AD$17,2,0),0),"")</f>
        <v/>
      </c>
    </row>
    <row r="252" spans="1:25" hidden="1" x14ac:dyDescent="0.25">
      <c r="A252">
        <v>2930</v>
      </c>
      <c r="B252" t="s">
        <v>2619</v>
      </c>
      <c r="C252" t="s">
        <v>883</v>
      </c>
      <c r="D252" t="s">
        <v>2620</v>
      </c>
      <c r="F252">
        <v>422</v>
      </c>
      <c r="G252">
        <v>19</v>
      </c>
      <c r="H252" t="s">
        <v>84</v>
      </c>
      <c r="I252" t="s">
        <v>1745</v>
      </c>
      <c r="J252">
        <v>142350</v>
      </c>
      <c r="K252">
        <v>2025</v>
      </c>
      <c r="L252">
        <v>985206512</v>
      </c>
      <c r="M252" t="s">
        <v>2595</v>
      </c>
      <c r="N252" t="s">
        <v>1688</v>
      </c>
      <c r="O252" t="s">
        <v>1686</v>
      </c>
      <c r="P252">
        <v>0</v>
      </c>
      <c r="Q252">
        <v>142350</v>
      </c>
      <c r="R252">
        <v>0</v>
      </c>
      <c r="S252">
        <v>0</v>
      </c>
      <c r="T252" t="str">
        <f t="shared" si="6"/>
        <v>29301.00.0000.00.0-205616.2.1.1.01.03.110.</v>
      </c>
      <c r="U252" t="e" cm="1">
        <f t="array" aca="1" ref="U252" ca="1">+IF(COMPROMISOS_2025[[#This Row],[P]]="20","41080111",_xlfn.XLOOKUP(COMPROMISOS_2025[[#This Row],[concatenado]],PAA[[#All],[RCP-RUBRO]],PAA[[#All],[INDICADOR]],"",0))</f>
        <v>#NAME?</v>
      </c>
      <c r="V252" s="144" t="str">
        <f t="shared" si="7"/>
        <v>00</v>
      </c>
      <c r="W252" s="136">
        <f>+COMPROMISOS_2025[[#This Row],[valor_total]]-COMPROMISOS_2025[[#This Row],[total_cancelado]]</f>
        <v>142350</v>
      </c>
      <c r="X252" s="136">
        <f>COMPROMISOS_2025[[#This Row],[total_ordenes]]</f>
        <v>142350</v>
      </c>
      <c r="Y252" t="str" cm="1">
        <f t="array" aca="1" ref="Y252" ca="1">IFERROR(_xlfn.XLOOKUP(COMPROMISOS_2025[[#This Row],[concatenado]],PAA[[#All],[RCP-RUBRO]],PAA[[#All],[Actividad3]],VLOOKUP(COMPROMISOS_2025[[#This Row],[Indicador Principal]],$AC$2:$AD$17,2,0),0),"")</f>
        <v/>
      </c>
    </row>
    <row r="253" spans="1:25" hidden="1" x14ac:dyDescent="0.25">
      <c r="A253">
        <v>2931</v>
      </c>
      <c r="B253" t="s">
        <v>2619</v>
      </c>
      <c r="C253" t="s">
        <v>883</v>
      </c>
      <c r="D253" t="s">
        <v>2620</v>
      </c>
      <c r="F253">
        <v>422</v>
      </c>
      <c r="G253">
        <v>19</v>
      </c>
      <c r="H253" t="s">
        <v>84</v>
      </c>
      <c r="I253" t="s">
        <v>1745</v>
      </c>
      <c r="J253">
        <v>142350</v>
      </c>
      <c r="K253">
        <v>2025</v>
      </c>
      <c r="L253">
        <v>985529671</v>
      </c>
      <c r="M253" t="s">
        <v>2596</v>
      </c>
      <c r="N253" t="s">
        <v>1688</v>
      </c>
      <c r="O253" t="s">
        <v>1686</v>
      </c>
      <c r="P253">
        <v>0</v>
      </c>
      <c r="Q253">
        <v>142350</v>
      </c>
      <c r="R253">
        <v>0</v>
      </c>
      <c r="S253">
        <v>0</v>
      </c>
      <c r="T253" t="str">
        <f t="shared" si="6"/>
        <v>29311.00.0000.00.0-205616.2.1.1.01.03.110.</v>
      </c>
      <c r="U253" t="e" cm="1">
        <f t="array" aca="1" ref="U253" ca="1">+IF(COMPROMISOS_2025[[#This Row],[P]]="20","41080111",_xlfn.XLOOKUP(COMPROMISOS_2025[[#This Row],[concatenado]],PAA[[#All],[RCP-RUBRO]],PAA[[#All],[INDICADOR]],"",0))</f>
        <v>#NAME?</v>
      </c>
      <c r="V253" s="144" t="str">
        <f t="shared" si="7"/>
        <v>00</v>
      </c>
      <c r="W253" s="136">
        <f>+COMPROMISOS_2025[[#This Row],[valor_total]]-COMPROMISOS_2025[[#This Row],[total_cancelado]]</f>
        <v>142350</v>
      </c>
      <c r="X253" s="136">
        <f>COMPROMISOS_2025[[#This Row],[total_ordenes]]</f>
        <v>142350</v>
      </c>
      <c r="Y253" t="str" cm="1">
        <f t="array" aca="1" ref="Y253" ca="1">IFERROR(_xlfn.XLOOKUP(COMPROMISOS_2025[[#This Row],[concatenado]],PAA[[#All],[RCP-RUBRO]],PAA[[#All],[Actividad3]],VLOOKUP(COMPROMISOS_2025[[#This Row],[Indicador Principal]],$AC$2:$AD$17,2,0),0),"")</f>
        <v/>
      </c>
    </row>
    <row r="254" spans="1:25" hidden="1" x14ac:dyDescent="0.25">
      <c r="A254">
        <v>2932</v>
      </c>
      <c r="B254" t="s">
        <v>2619</v>
      </c>
      <c r="C254" t="s">
        <v>883</v>
      </c>
      <c r="D254" t="s">
        <v>2620</v>
      </c>
      <c r="F254">
        <v>422</v>
      </c>
      <c r="G254">
        <v>19</v>
      </c>
      <c r="H254" t="s">
        <v>84</v>
      </c>
      <c r="I254" t="s">
        <v>1745</v>
      </c>
      <c r="J254">
        <v>142350</v>
      </c>
      <c r="K254">
        <v>2025</v>
      </c>
      <c r="L254">
        <v>985562063</v>
      </c>
      <c r="M254" t="s">
        <v>2510</v>
      </c>
      <c r="N254" t="s">
        <v>1688</v>
      </c>
      <c r="O254" t="s">
        <v>1686</v>
      </c>
      <c r="P254">
        <v>0</v>
      </c>
      <c r="Q254">
        <v>142350</v>
      </c>
      <c r="R254">
        <v>0</v>
      </c>
      <c r="S254">
        <v>0</v>
      </c>
      <c r="T254" t="str">
        <f t="shared" si="6"/>
        <v>29321.00.0000.00.0-205616.2.1.1.01.03.110.</v>
      </c>
      <c r="U254" t="e" cm="1">
        <f t="array" aca="1" ref="U254" ca="1">+IF(COMPROMISOS_2025[[#This Row],[P]]="20","41080111",_xlfn.XLOOKUP(COMPROMISOS_2025[[#This Row],[concatenado]],PAA[[#All],[RCP-RUBRO]],PAA[[#All],[INDICADOR]],"",0))</f>
        <v>#NAME?</v>
      </c>
      <c r="V254" s="144" t="str">
        <f t="shared" si="7"/>
        <v>00</v>
      </c>
      <c r="W254" s="136">
        <f>+COMPROMISOS_2025[[#This Row],[valor_total]]-COMPROMISOS_2025[[#This Row],[total_cancelado]]</f>
        <v>142350</v>
      </c>
      <c r="X254" s="136">
        <f>COMPROMISOS_2025[[#This Row],[total_ordenes]]</f>
        <v>142350</v>
      </c>
      <c r="Y254" t="str" cm="1">
        <f t="array" aca="1" ref="Y254" ca="1">IFERROR(_xlfn.XLOOKUP(COMPROMISOS_2025[[#This Row],[concatenado]],PAA[[#All],[RCP-RUBRO]],PAA[[#All],[Actividad3]],VLOOKUP(COMPROMISOS_2025[[#This Row],[Indicador Principal]],$AC$2:$AD$17,2,0),0),"")</f>
        <v/>
      </c>
    </row>
    <row r="255" spans="1:25" hidden="1" x14ac:dyDescent="0.25">
      <c r="A255">
        <v>2933</v>
      </c>
      <c r="B255" t="s">
        <v>2619</v>
      </c>
      <c r="C255" t="s">
        <v>883</v>
      </c>
      <c r="D255" t="s">
        <v>2620</v>
      </c>
      <c r="F255">
        <v>422</v>
      </c>
      <c r="G255">
        <v>19</v>
      </c>
      <c r="H255" t="s">
        <v>84</v>
      </c>
      <c r="I255" t="s">
        <v>1745</v>
      </c>
      <c r="J255">
        <v>142350</v>
      </c>
      <c r="K255">
        <v>2025</v>
      </c>
      <c r="L255">
        <v>985564962</v>
      </c>
      <c r="M255" t="s">
        <v>2597</v>
      </c>
      <c r="N255" t="s">
        <v>1688</v>
      </c>
      <c r="O255" t="s">
        <v>1686</v>
      </c>
      <c r="P255">
        <v>0</v>
      </c>
      <c r="Q255">
        <v>142350</v>
      </c>
      <c r="R255">
        <v>0</v>
      </c>
      <c r="S255">
        <v>0</v>
      </c>
      <c r="T255" t="str">
        <f t="shared" si="6"/>
        <v>29331.00.0000.00.0-205616.2.1.1.01.03.110.</v>
      </c>
      <c r="U255" t="e" cm="1">
        <f t="array" aca="1" ref="U255" ca="1">+IF(COMPROMISOS_2025[[#This Row],[P]]="20","41080111",_xlfn.XLOOKUP(COMPROMISOS_2025[[#This Row],[concatenado]],PAA[[#All],[RCP-RUBRO]],PAA[[#All],[INDICADOR]],"",0))</f>
        <v>#NAME?</v>
      </c>
      <c r="V255" s="144" t="str">
        <f t="shared" si="7"/>
        <v>00</v>
      </c>
      <c r="W255" s="136">
        <f>+COMPROMISOS_2025[[#This Row],[valor_total]]-COMPROMISOS_2025[[#This Row],[total_cancelado]]</f>
        <v>142350</v>
      </c>
      <c r="X255" s="136">
        <f>COMPROMISOS_2025[[#This Row],[total_ordenes]]</f>
        <v>142350</v>
      </c>
      <c r="Y255" t="str" cm="1">
        <f t="array" aca="1" ref="Y255" ca="1">IFERROR(_xlfn.XLOOKUP(COMPROMISOS_2025[[#This Row],[concatenado]],PAA[[#All],[RCP-RUBRO]],PAA[[#All],[Actividad3]],VLOOKUP(COMPROMISOS_2025[[#This Row],[Indicador Principal]],$AC$2:$AD$17,2,0),0),"")</f>
        <v/>
      </c>
    </row>
    <row r="256" spans="1:25" hidden="1" x14ac:dyDescent="0.25">
      <c r="A256">
        <v>2934</v>
      </c>
      <c r="B256" t="s">
        <v>2619</v>
      </c>
      <c r="C256" t="s">
        <v>883</v>
      </c>
      <c r="D256" t="s">
        <v>2620</v>
      </c>
      <c r="F256">
        <v>422</v>
      </c>
      <c r="G256">
        <v>19</v>
      </c>
      <c r="H256" t="s">
        <v>84</v>
      </c>
      <c r="I256" t="s">
        <v>1745</v>
      </c>
      <c r="J256">
        <v>142350</v>
      </c>
      <c r="K256">
        <v>2025</v>
      </c>
      <c r="L256">
        <v>986288618</v>
      </c>
      <c r="M256" t="s">
        <v>2598</v>
      </c>
      <c r="N256" t="s">
        <v>1688</v>
      </c>
      <c r="O256" t="s">
        <v>1686</v>
      </c>
      <c r="P256">
        <v>0</v>
      </c>
      <c r="Q256">
        <v>142350</v>
      </c>
      <c r="R256">
        <v>0</v>
      </c>
      <c r="S256">
        <v>0</v>
      </c>
      <c r="T256" t="str">
        <f t="shared" si="6"/>
        <v>29341.00.0000.00.0-205616.2.1.1.01.03.110.</v>
      </c>
      <c r="U256" t="e" cm="1">
        <f t="array" aca="1" ref="U256" ca="1">+IF(COMPROMISOS_2025[[#This Row],[P]]="20","41080111",_xlfn.XLOOKUP(COMPROMISOS_2025[[#This Row],[concatenado]],PAA[[#All],[RCP-RUBRO]],PAA[[#All],[INDICADOR]],"",0))</f>
        <v>#NAME?</v>
      </c>
      <c r="V256" s="144" t="str">
        <f t="shared" si="7"/>
        <v>00</v>
      </c>
      <c r="W256" s="136">
        <f>+COMPROMISOS_2025[[#This Row],[valor_total]]-COMPROMISOS_2025[[#This Row],[total_cancelado]]</f>
        <v>142350</v>
      </c>
      <c r="X256" s="136">
        <f>COMPROMISOS_2025[[#This Row],[total_ordenes]]</f>
        <v>142350</v>
      </c>
      <c r="Y256" t="str" cm="1">
        <f t="array" aca="1" ref="Y256" ca="1">IFERROR(_xlfn.XLOOKUP(COMPROMISOS_2025[[#This Row],[concatenado]],PAA[[#All],[RCP-RUBRO]],PAA[[#All],[Actividad3]],VLOOKUP(COMPROMISOS_2025[[#This Row],[Indicador Principal]],$AC$2:$AD$17,2,0),0),"")</f>
        <v/>
      </c>
    </row>
    <row r="257" spans="1:25" hidden="1" x14ac:dyDescent="0.25">
      <c r="A257">
        <v>2935</v>
      </c>
      <c r="B257" t="s">
        <v>2619</v>
      </c>
      <c r="C257" t="s">
        <v>883</v>
      </c>
      <c r="D257" t="s">
        <v>2620</v>
      </c>
      <c r="F257">
        <v>422</v>
      </c>
      <c r="G257">
        <v>19</v>
      </c>
      <c r="H257" t="s">
        <v>84</v>
      </c>
      <c r="I257" t="s">
        <v>1745</v>
      </c>
      <c r="J257">
        <v>142350</v>
      </c>
      <c r="K257">
        <v>2025</v>
      </c>
      <c r="L257">
        <v>986991051</v>
      </c>
      <c r="M257" t="s">
        <v>2623</v>
      </c>
      <c r="N257" t="s">
        <v>1688</v>
      </c>
      <c r="O257" t="s">
        <v>1686</v>
      </c>
      <c r="P257">
        <v>0</v>
      </c>
      <c r="Q257">
        <v>142350</v>
      </c>
      <c r="R257">
        <v>0</v>
      </c>
      <c r="S257">
        <v>0</v>
      </c>
      <c r="T257" t="str">
        <f t="shared" si="6"/>
        <v>29351.00.0000.00.0-205616.2.1.1.01.03.110.</v>
      </c>
      <c r="U257" t="e" cm="1">
        <f t="array" aca="1" ref="U257" ca="1">+IF(COMPROMISOS_2025[[#This Row],[P]]="20","41080111",_xlfn.XLOOKUP(COMPROMISOS_2025[[#This Row],[concatenado]],PAA[[#All],[RCP-RUBRO]],PAA[[#All],[INDICADOR]],"",0))</f>
        <v>#NAME?</v>
      </c>
      <c r="V257" s="144" t="str">
        <f t="shared" si="7"/>
        <v>00</v>
      </c>
      <c r="W257" s="136">
        <f>+COMPROMISOS_2025[[#This Row],[valor_total]]-COMPROMISOS_2025[[#This Row],[total_cancelado]]</f>
        <v>142350</v>
      </c>
      <c r="X257" s="136">
        <f>COMPROMISOS_2025[[#This Row],[total_ordenes]]</f>
        <v>142350</v>
      </c>
      <c r="Y257" t="str" cm="1">
        <f t="array" aca="1" ref="Y257" ca="1">IFERROR(_xlfn.XLOOKUP(COMPROMISOS_2025[[#This Row],[concatenado]],PAA[[#All],[RCP-RUBRO]],PAA[[#All],[Actividad3]],VLOOKUP(COMPROMISOS_2025[[#This Row],[Indicador Principal]],$AC$2:$AD$17,2,0),0),"")</f>
        <v/>
      </c>
    </row>
    <row r="258" spans="1:25" hidden="1" x14ac:dyDescent="0.25">
      <c r="A258">
        <v>2936</v>
      </c>
      <c r="B258" t="s">
        <v>2619</v>
      </c>
      <c r="C258" t="s">
        <v>883</v>
      </c>
      <c r="D258" t="s">
        <v>2620</v>
      </c>
      <c r="F258">
        <v>422</v>
      </c>
      <c r="G258">
        <v>19</v>
      </c>
      <c r="H258" t="s">
        <v>84</v>
      </c>
      <c r="I258" t="s">
        <v>1745</v>
      </c>
      <c r="J258">
        <v>142350</v>
      </c>
      <c r="K258">
        <v>2025</v>
      </c>
      <c r="L258">
        <v>10171306561</v>
      </c>
      <c r="M258" t="s">
        <v>2599</v>
      </c>
      <c r="N258" t="s">
        <v>1688</v>
      </c>
      <c r="O258" t="s">
        <v>1686</v>
      </c>
      <c r="P258">
        <v>0</v>
      </c>
      <c r="Q258">
        <v>142350</v>
      </c>
      <c r="R258">
        <v>0</v>
      </c>
      <c r="S258">
        <v>0</v>
      </c>
      <c r="T258" t="str">
        <f t="shared" ref="T258:T321" si="8">IF(A258&gt;=0,CONCATENATE(A258,H258),"")</f>
        <v>29361.00.0000.00.0-205616.2.1.1.01.03.110.</v>
      </c>
      <c r="U258" t="e" cm="1">
        <f t="array" aca="1" ref="U258" ca="1">+IF(COMPROMISOS_2025[[#This Row],[P]]="20","41080111",_xlfn.XLOOKUP(COMPROMISOS_2025[[#This Row],[concatenado]],PAA[[#All],[RCP-RUBRO]],PAA[[#All],[INDICADOR]],"",0))</f>
        <v>#NAME?</v>
      </c>
      <c r="V258" s="144" t="str">
        <f t="shared" ref="V258:V321" si="9">+MID(H258,11,2)</f>
        <v>00</v>
      </c>
      <c r="W258" s="136">
        <f>+COMPROMISOS_2025[[#This Row],[valor_total]]-COMPROMISOS_2025[[#This Row],[total_cancelado]]</f>
        <v>142350</v>
      </c>
      <c r="X258" s="136">
        <f>COMPROMISOS_2025[[#This Row],[total_ordenes]]</f>
        <v>142350</v>
      </c>
      <c r="Y258" t="str" cm="1">
        <f t="array" aca="1" ref="Y258" ca="1">IFERROR(_xlfn.XLOOKUP(COMPROMISOS_2025[[#This Row],[concatenado]],PAA[[#All],[RCP-RUBRO]],PAA[[#All],[Actividad3]],VLOOKUP(COMPROMISOS_2025[[#This Row],[Indicador Principal]],$AC$2:$AD$17,2,0),0),"")</f>
        <v/>
      </c>
    </row>
    <row r="259" spans="1:25" hidden="1" x14ac:dyDescent="0.25">
      <c r="A259">
        <v>2937</v>
      </c>
      <c r="B259" t="s">
        <v>2619</v>
      </c>
      <c r="C259" t="s">
        <v>883</v>
      </c>
      <c r="D259" t="s">
        <v>2620</v>
      </c>
      <c r="F259">
        <v>422</v>
      </c>
      <c r="G259">
        <v>19</v>
      </c>
      <c r="H259" t="s">
        <v>84</v>
      </c>
      <c r="I259" t="s">
        <v>1745</v>
      </c>
      <c r="J259">
        <v>142350</v>
      </c>
      <c r="K259">
        <v>2025</v>
      </c>
      <c r="L259">
        <v>10171511071</v>
      </c>
      <c r="M259" t="s">
        <v>2600</v>
      </c>
      <c r="N259" t="s">
        <v>1688</v>
      </c>
      <c r="O259" t="s">
        <v>1686</v>
      </c>
      <c r="P259">
        <v>0</v>
      </c>
      <c r="Q259">
        <v>142350</v>
      </c>
      <c r="R259">
        <v>0</v>
      </c>
      <c r="S259">
        <v>0</v>
      </c>
      <c r="T259" t="str">
        <f t="shared" si="8"/>
        <v>29371.00.0000.00.0-205616.2.1.1.01.03.110.</v>
      </c>
      <c r="U259" t="e" cm="1">
        <f t="array" aca="1" ref="U259" ca="1">+IF(COMPROMISOS_2025[[#This Row],[P]]="20","41080111",_xlfn.XLOOKUP(COMPROMISOS_2025[[#This Row],[concatenado]],PAA[[#All],[RCP-RUBRO]],PAA[[#All],[INDICADOR]],"",0))</f>
        <v>#NAME?</v>
      </c>
      <c r="V259" s="144" t="str">
        <f t="shared" si="9"/>
        <v>00</v>
      </c>
      <c r="W259" s="136">
        <f>+COMPROMISOS_2025[[#This Row],[valor_total]]-COMPROMISOS_2025[[#This Row],[total_cancelado]]</f>
        <v>142350</v>
      </c>
      <c r="X259" s="136">
        <f>COMPROMISOS_2025[[#This Row],[total_ordenes]]</f>
        <v>142350</v>
      </c>
      <c r="Y259" t="str" cm="1">
        <f t="array" aca="1" ref="Y259" ca="1">IFERROR(_xlfn.XLOOKUP(COMPROMISOS_2025[[#This Row],[concatenado]],PAA[[#All],[RCP-RUBRO]],PAA[[#All],[Actividad3]],VLOOKUP(COMPROMISOS_2025[[#This Row],[Indicador Principal]],$AC$2:$AD$17,2,0),0),"")</f>
        <v/>
      </c>
    </row>
    <row r="260" spans="1:25" hidden="1" x14ac:dyDescent="0.25">
      <c r="A260">
        <v>2938</v>
      </c>
      <c r="B260" t="s">
        <v>2619</v>
      </c>
      <c r="C260" t="s">
        <v>883</v>
      </c>
      <c r="D260" t="s">
        <v>2620</v>
      </c>
      <c r="F260">
        <v>422</v>
      </c>
      <c r="G260">
        <v>19</v>
      </c>
      <c r="H260" t="s">
        <v>84</v>
      </c>
      <c r="I260" t="s">
        <v>1745</v>
      </c>
      <c r="J260">
        <v>142350</v>
      </c>
      <c r="K260">
        <v>2025</v>
      </c>
      <c r="L260">
        <v>10171740887</v>
      </c>
      <c r="M260" t="s">
        <v>2601</v>
      </c>
      <c r="N260" t="s">
        <v>1688</v>
      </c>
      <c r="O260" t="s">
        <v>1686</v>
      </c>
      <c r="P260">
        <v>0</v>
      </c>
      <c r="Q260">
        <v>142350</v>
      </c>
      <c r="R260">
        <v>0</v>
      </c>
      <c r="S260">
        <v>0</v>
      </c>
      <c r="T260" t="str">
        <f t="shared" si="8"/>
        <v>29381.00.0000.00.0-205616.2.1.1.01.03.110.</v>
      </c>
      <c r="U260" t="e" cm="1">
        <f t="array" aca="1" ref="U260" ca="1">+IF(COMPROMISOS_2025[[#This Row],[P]]="20","41080111",_xlfn.XLOOKUP(COMPROMISOS_2025[[#This Row],[concatenado]],PAA[[#All],[RCP-RUBRO]],PAA[[#All],[INDICADOR]],"",0))</f>
        <v>#NAME?</v>
      </c>
      <c r="V260" s="144" t="str">
        <f t="shared" si="9"/>
        <v>00</v>
      </c>
      <c r="W260" s="136">
        <f>+COMPROMISOS_2025[[#This Row],[valor_total]]-COMPROMISOS_2025[[#This Row],[total_cancelado]]</f>
        <v>142350</v>
      </c>
      <c r="X260" s="136">
        <f>COMPROMISOS_2025[[#This Row],[total_ordenes]]</f>
        <v>142350</v>
      </c>
      <c r="Y260" t="str" cm="1">
        <f t="array" aca="1" ref="Y260" ca="1">IFERROR(_xlfn.XLOOKUP(COMPROMISOS_2025[[#This Row],[concatenado]],PAA[[#All],[RCP-RUBRO]],PAA[[#All],[Actividad3]],VLOOKUP(COMPROMISOS_2025[[#This Row],[Indicador Principal]],$AC$2:$AD$17,2,0),0),"")</f>
        <v/>
      </c>
    </row>
    <row r="261" spans="1:25" hidden="1" x14ac:dyDescent="0.25">
      <c r="A261">
        <v>2939</v>
      </c>
      <c r="B261" t="s">
        <v>2619</v>
      </c>
      <c r="C261" t="s">
        <v>883</v>
      </c>
      <c r="D261" t="s">
        <v>2620</v>
      </c>
      <c r="F261">
        <v>422</v>
      </c>
      <c r="G261">
        <v>19</v>
      </c>
      <c r="H261" t="s">
        <v>84</v>
      </c>
      <c r="I261" t="s">
        <v>1745</v>
      </c>
      <c r="J261">
        <v>142350</v>
      </c>
      <c r="K261">
        <v>2025</v>
      </c>
      <c r="L261">
        <v>10171798061</v>
      </c>
      <c r="M261" t="s">
        <v>2602</v>
      </c>
      <c r="N261" t="s">
        <v>1688</v>
      </c>
      <c r="O261" t="s">
        <v>1686</v>
      </c>
      <c r="P261">
        <v>0</v>
      </c>
      <c r="Q261">
        <v>142350</v>
      </c>
      <c r="R261">
        <v>0</v>
      </c>
      <c r="S261">
        <v>0</v>
      </c>
      <c r="T261" t="str">
        <f t="shared" si="8"/>
        <v>29391.00.0000.00.0-205616.2.1.1.01.03.110.</v>
      </c>
      <c r="U261" t="e" cm="1">
        <f t="array" aca="1" ref="U261" ca="1">+IF(COMPROMISOS_2025[[#This Row],[P]]="20","41080111",_xlfn.XLOOKUP(COMPROMISOS_2025[[#This Row],[concatenado]],PAA[[#All],[RCP-RUBRO]],PAA[[#All],[INDICADOR]],"",0))</f>
        <v>#NAME?</v>
      </c>
      <c r="V261" s="144" t="str">
        <f t="shared" si="9"/>
        <v>00</v>
      </c>
      <c r="W261" s="136">
        <f>+COMPROMISOS_2025[[#This Row],[valor_total]]-COMPROMISOS_2025[[#This Row],[total_cancelado]]</f>
        <v>142350</v>
      </c>
      <c r="X261" s="136">
        <f>COMPROMISOS_2025[[#This Row],[total_ordenes]]</f>
        <v>142350</v>
      </c>
      <c r="Y261" t="str" cm="1">
        <f t="array" aca="1" ref="Y261" ca="1">IFERROR(_xlfn.XLOOKUP(COMPROMISOS_2025[[#This Row],[concatenado]],PAA[[#All],[RCP-RUBRO]],PAA[[#All],[Actividad3]],VLOOKUP(COMPROMISOS_2025[[#This Row],[Indicador Principal]],$AC$2:$AD$17,2,0),0),"")</f>
        <v/>
      </c>
    </row>
    <row r="262" spans="1:25" hidden="1" x14ac:dyDescent="0.25">
      <c r="A262">
        <v>2940</v>
      </c>
      <c r="B262" t="s">
        <v>2619</v>
      </c>
      <c r="C262" t="s">
        <v>883</v>
      </c>
      <c r="D262" t="s">
        <v>2620</v>
      </c>
      <c r="F262">
        <v>422</v>
      </c>
      <c r="G262">
        <v>19</v>
      </c>
      <c r="H262" t="s">
        <v>84</v>
      </c>
      <c r="I262" t="s">
        <v>1745</v>
      </c>
      <c r="J262">
        <v>142350</v>
      </c>
      <c r="K262">
        <v>2025</v>
      </c>
      <c r="L262">
        <v>10171833152</v>
      </c>
      <c r="M262" t="s">
        <v>2603</v>
      </c>
      <c r="N262" t="s">
        <v>1688</v>
      </c>
      <c r="O262" t="s">
        <v>1686</v>
      </c>
      <c r="P262">
        <v>0</v>
      </c>
      <c r="Q262">
        <v>142350</v>
      </c>
      <c r="R262">
        <v>0</v>
      </c>
      <c r="S262">
        <v>0</v>
      </c>
      <c r="T262" t="str">
        <f t="shared" si="8"/>
        <v>29401.00.0000.00.0-205616.2.1.1.01.03.110.</v>
      </c>
      <c r="U262" t="e" cm="1">
        <f t="array" aca="1" ref="U262" ca="1">+IF(COMPROMISOS_2025[[#This Row],[P]]="20","41080111",_xlfn.XLOOKUP(COMPROMISOS_2025[[#This Row],[concatenado]],PAA[[#All],[RCP-RUBRO]],PAA[[#All],[INDICADOR]],"",0))</f>
        <v>#NAME?</v>
      </c>
      <c r="V262" s="144" t="str">
        <f t="shared" si="9"/>
        <v>00</v>
      </c>
      <c r="W262" s="136">
        <f>+COMPROMISOS_2025[[#This Row],[valor_total]]-COMPROMISOS_2025[[#This Row],[total_cancelado]]</f>
        <v>142350</v>
      </c>
      <c r="X262" s="136">
        <f>COMPROMISOS_2025[[#This Row],[total_ordenes]]</f>
        <v>142350</v>
      </c>
      <c r="Y262" t="str" cm="1">
        <f t="array" aca="1" ref="Y262" ca="1">IFERROR(_xlfn.XLOOKUP(COMPROMISOS_2025[[#This Row],[concatenado]],PAA[[#All],[RCP-RUBRO]],PAA[[#All],[Actividad3]],VLOOKUP(COMPROMISOS_2025[[#This Row],[Indicador Principal]],$AC$2:$AD$17,2,0),0),"")</f>
        <v/>
      </c>
    </row>
    <row r="263" spans="1:25" hidden="1" x14ac:dyDescent="0.25">
      <c r="A263">
        <v>2941</v>
      </c>
      <c r="B263" t="s">
        <v>2619</v>
      </c>
      <c r="C263" t="s">
        <v>883</v>
      </c>
      <c r="D263" t="s">
        <v>2620</v>
      </c>
      <c r="F263">
        <v>422</v>
      </c>
      <c r="G263">
        <v>19</v>
      </c>
      <c r="H263" t="s">
        <v>84</v>
      </c>
      <c r="I263" t="s">
        <v>1745</v>
      </c>
      <c r="J263">
        <v>142350</v>
      </c>
      <c r="K263">
        <v>2025</v>
      </c>
      <c r="L263">
        <v>1027954329</v>
      </c>
      <c r="M263" t="s">
        <v>2604</v>
      </c>
      <c r="N263" t="s">
        <v>1688</v>
      </c>
      <c r="O263" t="s">
        <v>1686</v>
      </c>
      <c r="P263">
        <v>0</v>
      </c>
      <c r="Q263">
        <v>142350</v>
      </c>
      <c r="R263">
        <v>0</v>
      </c>
      <c r="S263">
        <v>0</v>
      </c>
      <c r="T263" t="str">
        <f t="shared" si="8"/>
        <v>29411.00.0000.00.0-205616.2.1.1.01.03.110.</v>
      </c>
      <c r="U263" t="e" cm="1">
        <f t="array" aca="1" ref="U263" ca="1">+IF(COMPROMISOS_2025[[#This Row],[P]]="20","41080111",_xlfn.XLOOKUP(COMPROMISOS_2025[[#This Row],[concatenado]],PAA[[#All],[RCP-RUBRO]],PAA[[#All],[INDICADOR]],"",0))</f>
        <v>#NAME?</v>
      </c>
      <c r="V263" s="144" t="str">
        <f t="shared" si="9"/>
        <v>00</v>
      </c>
      <c r="W263" s="136">
        <f>+COMPROMISOS_2025[[#This Row],[valor_total]]-COMPROMISOS_2025[[#This Row],[total_cancelado]]</f>
        <v>142350</v>
      </c>
      <c r="X263" s="136">
        <f>COMPROMISOS_2025[[#This Row],[total_ordenes]]</f>
        <v>142350</v>
      </c>
      <c r="Y263" t="str" cm="1">
        <f t="array" aca="1" ref="Y263" ca="1">IFERROR(_xlfn.XLOOKUP(COMPROMISOS_2025[[#This Row],[concatenado]],PAA[[#All],[RCP-RUBRO]],PAA[[#All],[Actividad3]],VLOOKUP(COMPROMISOS_2025[[#This Row],[Indicador Principal]],$AC$2:$AD$17,2,0),0),"")</f>
        <v/>
      </c>
    </row>
    <row r="264" spans="1:25" hidden="1" x14ac:dyDescent="0.25">
      <c r="A264">
        <v>2942</v>
      </c>
      <c r="B264" t="s">
        <v>2619</v>
      </c>
      <c r="C264" t="s">
        <v>883</v>
      </c>
      <c r="D264" t="s">
        <v>2620</v>
      </c>
      <c r="F264">
        <v>422</v>
      </c>
      <c r="G264">
        <v>19</v>
      </c>
      <c r="H264" t="s">
        <v>84</v>
      </c>
      <c r="I264" t="s">
        <v>1745</v>
      </c>
      <c r="J264">
        <v>142350</v>
      </c>
      <c r="K264">
        <v>2025</v>
      </c>
      <c r="L264">
        <v>10352318685</v>
      </c>
      <c r="M264" t="s">
        <v>2605</v>
      </c>
      <c r="N264" t="s">
        <v>1688</v>
      </c>
      <c r="O264" t="s">
        <v>1686</v>
      </c>
      <c r="P264">
        <v>0</v>
      </c>
      <c r="Q264">
        <v>142350</v>
      </c>
      <c r="R264">
        <v>0</v>
      </c>
      <c r="S264">
        <v>0</v>
      </c>
      <c r="T264" t="str">
        <f t="shared" si="8"/>
        <v>29421.00.0000.00.0-205616.2.1.1.01.03.110.</v>
      </c>
      <c r="U264" t="e" cm="1">
        <f t="array" aca="1" ref="U264" ca="1">+IF(COMPROMISOS_2025[[#This Row],[P]]="20","41080111",_xlfn.XLOOKUP(COMPROMISOS_2025[[#This Row],[concatenado]],PAA[[#All],[RCP-RUBRO]],PAA[[#All],[INDICADOR]],"",0))</f>
        <v>#NAME?</v>
      </c>
      <c r="V264" s="144" t="str">
        <f t="shared" si="9"/>
        <v>00</v>
      </c>
      <c r="W264" s="136">
        <f>+COMPROMISOS_2025[[#This Row],[valor_total]]-COMPROMISOS_2025[[#This Row],[total_cancelado]]</f>
        <v>142350</v>
      </c>
      <c r="X264" s="136">
        <f>COMPROMISOS_2025[[#This Row],[total_ordenes]]</f>
        <v>142350</v>
      </c>
      <c r="Y264" t="str" cm="1">
        <f t="array" aca="1" ref="Y264" ca="1">IFERROR(_xlfn.XLOOKUP(COMPROMISOS_2025[[#This Row],[concatenado]],PAA[[#All],[RCP-RUBRO]],PAA[[#All],[Actividad3]],VLOOKUP(COMPROMISOS_2025[[#This Row],[Indicador Principal]],$AC$2:$AD$17,2,0),0),"")</f>
        <v/>
      </c>
    </row>
    <row r="265" spans="1:25" hidden="1" x14ac:dyDescent="0.25">
      <c r="A265">
        <v>2943</v>
      </c>
      <c r="B265" t="s">
        <v>2619</v>
      </c>
      <c r="C265" t="s">
        <v>883</v>
      </c>
      <c r="D265" t="s">
        <v>2620</v>
      </c>
      <c r="F265">
        <v>422</v>
      </c>
      <c r="G265">
        <v>19</v>
      </c>
      <c r="H265" t="s">
        <v>84</v>
      </c>
      <c r="I265" t="s">
        <v>1745</v>
      </c>
      <c r="J265">
        <v>142350</v>
      </c>
      <c r="K265">
        <v>2025</v>
      </c>
      <c r="L265">
        <v>10354228804</v>
      </c>
      <c r="M265" t="s">
        <v>2606</v>
      </c>
      <c r="N265" t="s">
        <v>1688</v>
      </c>
      <c r="O265" t="s">
        <v>1686</v>
      </c>
      <c r="P265">
        <v>0</v>
      </c>
      <c r="Q265">
        <v>142350</v>
      </c>
      <c r="R265">
        <v>0</v>
      </c>
      <c r="S265">
        <v>0</v>
      </c>
      <c r="T265" t="str">
        <f t="shared" si="8"/>
        <v>29431.00.0000.00.0-205616.2.1.1.01.03.110.</v>
      </c>
      <c r="U265" t="e" cm="1">
        <f t="array" aca="1" ref="U265" ca="1">+IF(COMPROMISOS_2025[[#This Row],[P]]="20","41080111",_xlfn.XLOOKUP(COMPROMISOS_2025[[#This Row],[concatenado]],PAA[[#All],[RCP-RUBRO]],PAA[[#All],[INDICADOR]],"",0))</f>
        <v>#NAME?</v>
      </c>
      <c r="V265" s="144" t="str">
        <f t="shared" si="9"/>
        <v>00</v>
      </c>
      <c r="W265" s="136">
        <f>+COMPROMISOS_2025[[#This Row],[valor_total]]-COMPROMISOS_2025[[#This Row],[total_cancelado]]</f>
        <v>142350</v>
      </c>
      <c r="X265" s="136">
        <f>COMPROMISOS_2025[[#This Row],[total_ordenes]]</f>
        <v>142350</v>
      </c>
      <c r="Y265" t="str" cm="1">
        <f t="array" aca="1" ref="Y265" ca="1">IFERROR(_xlfn.XLOOKUP(COMPROMISOS_2025[[#This Row],[concatenado]],PAA[[#All],[RCP-RUBRO]],PAA[[#All],[Actividad3]],VLOOKUP(COMPROMISOS_2025[[#This Row],[Indicador Principal]],$AC$2:$AD$17,2,0),0),"")</f>
        <v/>
      </c>
    </row>
    <row r="266" spans="1:25" hidden="1" x14ac:dyDescent="0.25">
      <c r="A266">
        <v>2944</v>
      </c>
      <c r="B266" t="s">
        <v>2619</v>
      </c>
      <c r="C266" t="s">
        <v>883</v>
      </c>
      <c r="D266" t="s">
        <v>2620</v>
      </c>
      <c r="F266">
        <v>422</v>
      </c>
      <c r="G266">
        <v>19</v>
      </c>
      <c r="H266" t="s">
        <v>84</v>
      </c>
      <c r="I266" t="s">
        <v>1745</v>
      </c>
      <c r="J266">
        <v>142350</v>
      </c>
      <c r="K266">
        <v>2025</v>
      </c>
      <c r="L266">
        <v>10376024983</v>
      </c>
      <c r="M266" t="s">
        <v>2607</v>
      </c>
      <c r="N266" t="s">
        <v>1688</v>
      </c>
      <c r="O266" t="s">
        <v>1686</v>
      </c>
      <c r="P266">
        <v>0</v>
      </c>
      <c r="Q266">
        <v>142350</v>
      </c>
      <c r="R266">
        <v>0</v>
      </c>
      <c r="S266">
        <v>0</v>
      </c>
      <c r="T266" t="str">
        <f t="shared" si="8"/>
        <v>29441.00.0000.00.0-205616.2.1.1.01.03.110.</v>
      </c>
      <c r="U266" t="e" cm="1">
        <f t="array" aca="1" ref="U266" ca="1">+IF(COMPROMISOS_2025[[#This Row],[P]]="20","41080111",_xlfn.XLOOKUP(COMPROMISOS_2025[[#This Row],[concatenado]],PAA[[#All],[RCP-RUBRO]],PAA[[#All],[INDICADOR]],"",0))</f>
        <v>#NAME?</v>
      </c>
      <c r="V266" s="144" t="str">
        <f t="shared" si="9"/>
        <v>00</v>
      </c>
      <c r="W266" s="136">
        <f>+COMPROMISOS_2025[[#This Row],[valor_total]]-COMPROMISOS_2025[[#This Row],[total_cancelado]]</f>
        <v>142350</v>
      </c>
      <c r="X266" s="136">
        <f>COMPROMISOS_2025[[#This Row],[total_ordenes]]</f>
        <v>142350</v>
      </c>
      <c r="Y266" t="str" cm="1">
        <f t="array" aca="1" ref="Y266" ca="1">IFERROR(_xlfn.XLOOKUP(COMPROMISOS_2025[[#This Row],[concatenado]],PAA[[#All],[RCP-RUBRO]],PAA[[#All],[Actividad3]],VLOOKUP(COMPROMISOS_2025[[#This Row],[Indicador Principal]],$AC$2:$AD$17,2,0),0),"")</f>
        <v/>
      </c>
    </row>
    <row r="267" spans="1:25" hidden="1" x14ac:dyDescent="0.25">
      <c r="A267">
        <v>2945</v>
      </c>
      <c r="B267" t="s">
        <v>2619</v>
      </c>
      <c r="C267" t="s">
        <v>883</v>
      </c>
      <c r="D267" t="s">
        <v>2620</v>
      </c>
      <c r="F267">
        <v>422</v>
      </c>
      <c r="G267">
        <v>19</v>
      </c>
      <c r="H267" t="s">
        <v>84</v>
      </c>
      <c r="I267" t="s">
        <v>1745</v>
      </c>
      <c r="J267">
        <v>142350</v>
      </c>
      <c r="K267">
        <v>2025</v>
      </c>
      <c r="L267">
        <v>1038116125</v>
      </c>
      <c r="M267" t="s">
        <v>2608</v>
      </c>
      <c r="N267" t="s">
        <v>1688</v>
      </c>
      <c r="O267" t="s">
        <v>1686</v>
      </c>
      <c r="P267">
        <v>0</v>
      </c>
      <c r="Q267">
        <v>142350</v>
      </c>
      <c r="R267">
        <v>0</v>
      </c>
      <c r="S267">
        <v>0</v>
      </c>
      <c r="T267" t="str">
        <f t="shared" si="8"/>
        <v>29451.00.0000.00.0-205616.2.1.1.01.03.110.</v>
      </c>
      <c r="U267" t="e" cm="1">
        <f t="array" aca="1" ref="U267" ca="1">+IF(COMPROMISOS_2025[[#This Row],[P]]="20","41080111",_xlfn.XLOOKUP(COMPROMISOS_2025[[#This Row],[concatenado]],PAA[[#All],[RCP-RUBRO]],PAA[[#All],[INDICADOR]],"",0))</f>
        <v>#NAME?</v>
      </c>
      <c r="V267" s="144" t="str">
        <f t="shared" si="9"/>
        <v>00</v>
      </c>
      <c r="W267" s="136">
        <f>+COMPROMISOS_2025[[#This Row],[valor_total]]-COMPROMISOS_2025[[#This Row],[total_cancelado]]</f>
        <v>142350</v>
      </c>
      <c r="X267" s="136">
        <f>COMPROMISOS_2025[[#This Row],[total_ordenes]]</f>
        <v>142350</v>
      </c>
      <c r="Y267" t="str" cm="1">
        <f t="array" aca="1" ref="Y267" ca="1">IFERROR(_xlfn.XLOOKUP(COMPROMISOS_2025[[#This Row],[concatenado]],PAA[[#All],[RCP-RUBRO]],PAA[[#All],[Actividad3]],VLOOKUP(COMPROMISOS_2025[[#This Row],[Indicador Principal]],$AC$2:$AD$17,2,0),0),"")</f>
        <v/>
      </c>
    </row>
    <row r="268" spans="1:25" hidden="1" x14ac:dyDescent="0.25">
      <c r="A268">
        <v>2946</v>
      </c>
      <c r="B268" t="s">
        <v>2619</v>
      </c>
      <c r="C268" t="s">
        <v>883</v>
      </c>
      <c r="D268" t="s">
        <v>2620</v>
      </c>
      <c r="F268">
        <v>422</v>
      </c>
      <c r="G268">
        <v>19</v>
      </c>
      <c r="H268" t="s">
        <v>84</v>
      </c>
      <c r="I268" t="s">
        <v>1745</v>
      </c>
      <c r="J268">
        <v>142350</v>
      </c>
      <c r="K268">
        <v>2025</v>
      </c>
      <c r="L268">
        <v>10394493378</v>
      </c>
      <c r="M268" t="s">
        <v>2609</v>
      </c>
      <c r="N268" t="s">
        <v>1688</v>
      </c>
      <c r="O268" t="s">
        <v>1686</v>
      </c>
      <c r="P268">
        <v>0</v>
      </c>
      <c r="Q268">
        <v>142350</v>
      </c>
      <c r="R268">
        <v>0</v>
      </c>
      <c r="S268">
        <v>0</v>
      </c>
      <c r="T268" t="str">
        <f t="shared" si="8"/>
        <v>29461.00.0000.00.0-205616.2.1.1.01.03.110.</v>
      </c>
      <c r="U268" t="e" cm="1">
        <f t="array" aca="1" ref="U268" ca="1">+IF(COMPROMISOS_2025[[#This Row],[P]]="20","41080111",_xlfn.XLOOKUP(COMPROMISOS_2025[[#This Row],[concatenado]],PAA[[#All],[RCP-RUBRO]],PAA[[#All],[INDICADOR]],"",0))</f>
        <v>#NAME?</v>
      </c>
      <c r="V268" s="144" t="str">
        <f t="shared" si="9"/>
        <v>00</v>
      </c>
      <c r="W268" s="136">
        <f>+COMPROMISOS_2025[[#This Row],[valor_total]]-COMPROMISOS_2025[[#This Row],[total_cancelado]]</f>
        <v>142350</v>
      </c>
      <c r="X268" s="136">
        <f>COMPROMISOS_2025[[#This Row],[total_ordenes]]</f>
        <v>142350</v>
      </c>
      <c r="Y268" t="str" cm="1">
        <f t="array" aca="1" ref="Y268" ca="1">IFERROR(_xlfn.XLOOKUP(COMPROMISOS_2025[[#This Row],[concatenado]],PAA[[#All],[RCP-RUBRO]],PAA[[#All],[Actividad3]],VLOOKUP(COMPROMISOS_2025[[#This Row],[Indicador Principal]],$AC$2:$AD$17,2,0),0),"")</f>
        <v/>
      </c>
    </row>
    <row r="269" spans="1:25" hidden="1" x14ac:dyDescent="0.25">
      <c r="A269">
        <v>2947</v>
      </c>
      <c r="B269" t="s">
        <v>2619</v>
      </c>
      <c r="C269" t="s">
        <v>883</v>
      </c>
      <c r="D269" t="s">
        <v>2620</v>
      </c>
      <c r="F269">
        <v>422</v>
      </c>
      <c r="G269">
        <v>19</v>
      </c>
      <c r="H269" t="s">
        <v>84</v>
      </c>
      <c r="I269" t="s">
        <v>1745</v>
      </c>
      <c r="J269">
        <v>284700</v>
      </c>
      <c r="K269">
        <v>2025</v>
      </c>
      <c r="L269">
        <v>10882600591</v>
      </c>
      <c r="M269" t="s">
        <v>2624</v>
      </c>
      <c r="N269" t="s">
        <v>1688</v>
      </c>
      <c r="O269" t="s">
        <v>1686</v>
      </c>
      <c r="P269">
        <v>0</v>
      </c>
      <c r="Q269">
        <v>284700</v>
      </c>
      <c r="R269">
        <v>0</v>
      </c>
      <c r="S269">
        <v>0</v>
      </c>
      <c r="T269" t="str">
        <f t="shared" si="8"/>
        <v>29471.00.0000.00.0-205616.2.1.1.01.03.110.</v>
      </c>
      <c r="U269" t="e" cm="1">
        <f t="array" aca="1" ref="U269" ca="1">+IF(COMPROMISOS_2025[[#This Row],[P]]="20","41080111",_xlfn.XLOOKUP(COMPROMISOS_2025[[#This Row],[concatenado]],PAA[[#All],[RCP-RUBRO]],PAA[[#All],[INDICADOR]],"",0))</f>
        <v>#NAME?</v>
      </c>
      <c r="V269" s="144" t="str">
        <f t="shared" si="9"/>
        <v>00</v>
      </c>
      <c r="W269" s="136">
        <f>+COMPROMISOS_2025[[#This Row],[valor_total]]-COMPROMISOS_2025[[#This Row],[total_cancelado]]</f>
        <v>284700</v>
      </c>
      <c r="X269" s="136">
        <f>COMPROMISOS_2025[[#This Row],[total_ordenes]]</f>
        <v>284700</v>
      </c>
      <c r="Y269" t="str" cm="1">
        <f t="array" aca="1" ref="Y269" ca="1">IFERROR(_xlfn.XLOOKUP(COMPROMISOS_2025[[#This Row],[concatenado]],PAA[[#All],[RCP-RUBRO]],PAA[[#All],[Actividad3]],VLOOKUP(COMPROMISOS_2025[[#This Row],[Indicador Principal]],$AC$2:$AD$17,2,0),0),"")</f>
        <v/>
      </c>
    </row>
    <row r="270" spans="1:25" hidden="1" x14ac:dyDescent="0.25">
      <c r="A270">
        <v>2948</v>
      </c>
      <c r="B270" t="s">
        <v>2619</v>
      </c>
      <c r="C270" t="s">
        <v>883</v>
      </c>
      <c r="D270" t="s">
        <v>2620</v>
      </c>
      <c r="F270">
        <v>422</v>
      </c>
      <c r="G270">
        <v>19</v>
      </c>
      <c r="H270" t="s">
        <v>84</v>
      </c>
      <c r="I270" t="s">
        <v>1745</v>
      </c>
      <c r="J270">
        <v>142350</v>
      </c>
      <c r="K270">
        <v>2025</v>
      </c>
      <c r="L270">
        <v>1146436016</v>
      </c>
      <c r="M270" t="s">
        <v>2610</v>
      </c>
      <c r="N270" t="s">
        <v>1688</v>
      </c>
      <c r="O270" t="s">
        <v>1686</v>
      </c>
      <c r="P270">
        <v>0</v>
      </c>
      <c r="Q270">
        <v>142350</v>
      </c>
      <c r="R270">
        <v>0</v>
      </c>
      <c r="S270">
        <v>0</v>
      </c>
      <c r="T270" t="str">
        <f t="shared" si="8"/>
        <v>29481.00.0000.00.0-205616.2.1.1.01.03.110.</v>
      </c>
      <c r="U270" t="e" cm="1">
        <f t="array" aca="1" ref="U270" ca="1">+IF(COMPROMISOS_2025[[#This Row],[P]]="20","41080111",_xlfn.XLOOKUP(COMPROMISOS_2025[[#This Row],[concatenado]],PAA[[#All],[RCP-RUBRO]],PAA[[#All],[INDICADOR]],"",0))</f>
        <v>#NAME?</v>
      </c>
      <c r="V270" s="144" t="str">
        <f t="shared" si="9"/>
        <v>00</v>
      </c>
      <c r="W270" s="136">
        <f>+COMPROMISOS_2025[[#This Row],[valor_total]]-COMPROMISOS_2025[[#This Row],[total_cancelado]]</f>
        <v>142350</v>
      </c>
      <c r="X270" s="136">
        <f>COMPROMISOS_2025[[#This Row],[total_ordenes]]</f>
        <v>142350</v>
      </c>
      <c r="Y270" t="str" cm="1">
        <f t="array" aca="1" ref="Y270" ca="1">IFERROR(_xlfn.XLOOKUP(COMPROMISOS_2025[[#This Row],[concatenado]],PAA[[#All],[RCP-RUBRO]],PAA[[#All],[Actividad3]],VLOOKUP(COMPROMISOS_2025[[#This Row],[Indicador Principal]],$AC$2:$AD$17,2,0),0),"")</f>
        <v/>
      </c>
    </row>
    <row r="271" spans="1:25" hidden="1" x14ac:dyDescent="0.25">
      <c r="A271">
        <v>2949</v>
      </c>
      <c r="B271" t="s">
        <v>2619</v>
      </c>
      <c r="C271" t="s">
        <v>883</v>
      </c>
      <c r="D271" t="s">
        <v>2620</v>
      </c>
      <c r="F271">
        <v>422</v>
      </c>
      <c r="G271">
        <v>19</v>
      </c>
      <c r="H271" t="s">
        <v>84</v>
      </c>
      <c r="I271" t="s">
        <v>1745</v>
      </c>
      <c r="J271">
        <v>142350</v>
      </c>
      <c r="K271">
        <v>2025</v>
      </c>
      <c r="L271">
        <v>11522098086</v>
      </c>
      <c r="M271" t="s">
        <v>2611</v>
      </c>
      <c r="N271" t="s">
        <v>1688</v>
      </c>
      <c r="O271" t="s">
        <v>1686</v>
      </c>
      <c r="P271">
        <v>0</v>
      </c>
      <c r="Q271">
        <v>142350</v>
      </c>
      <c r="R271">
        <v>0</v>
      </c>
      <c r="S271">
        <v>0</v>
      </c>
      <c r="T271" t="str">
        <f t="shared" si="8"/>
        <v>29491.00.0000.00.0-205616.2.1.1.01.03.110.</v>
      </c>
      <c r="U271" t="e" cm="1">
        <f t="array" aca="1" ref="U271" ca="1">+IF(COMPROMISOS_2025[[#This Row],[P]]="20","41080111",_xlfn.XLOOKUP(COMPROMISOS_2025[[#This Row],[concatenado]],PAA[[#All],[RCP-RUBRO]],PAA[[#All],[INDICADOR]],"",0))</f>
        <v>#NAME?</v>
      </c>
      <c r="V271" s="144" t="str">
        <f t="shared" si="9"/>
        <v>00</v>
      </c>
      <c r="W271" s="136">
        <f>+COMPROMISOS_2025[[#This Row],[valor_total]]-COMPROMISOS_2025[[#This Row],[total_cancelado]]</f>
        <v>142350</v>
      </c>
      <c r="X271" s="136">
        <f>COMPROMISOS_2025[[#This Row],[total_ordenes]]</f>
        <v>142350</v>
      </c>
      <c r="Y271" t="str" cm="1">
        <f t="array" aca="1" ref="Y271" ca="1">IFERROR(_xlfn.XLOOKUP(COMPROMISOS_2025[[#This Row],[concatenado]],PAA[[#All],[RCP-RUBRO]],PAA[[#All],[Actividad3]],VLOOKUP(COMPROMISOS_2025[[#This Row],[Indicador Principal]],$AC$2:$AD$17,2,0),0),"")</f>
        <v/>
      </c>
    </row>
    <row r="272" spans="1:25" hidden="1" x14ac:dyDescent="0.25">
      <c r="A272">
        <v>2950</v>
      </c>
      <c r="B272" t="s">
        <v>2619</v>
      </c>
      <c r="C272" t="s">
        <v>883</v>
      </c>
      <c r="D272" t="s">
        <v>2625</v>
      </c>
      <c r="F272">
        <v>422</v>
      </c>
      <c r="G272">
        <v>19</v>
      </c>
      <c r="H272" t="s">
        <v>84</v>
      </c>
      <c r="I272" t="s">
        <v>1745</v>
      </c>
      <c r="J272">
        <v>355875</v>
      </c>
      <c r="K272">
        <v>2025</v>
      </c>
      <c r="L272">
        <v>435787567</v>
      </c>
      <c r="M272" t="s">
        <v>2573</v>
      </c>
      <c r="N272" t="s">
        <v>1688</v>
      </c>
      <c r="O272" t="s">
        <v>1686</v>
      </c>
      <c r="P272">
        <v>0</v>
      </c>
      <c r="Q272">
        <v>355875</v>
      </c>
      <c r="R272">
        <v>0</v>
      </c>
      <c r="S272">
        <v>0</v>
      </c>
      <c r="T272" t="str">
        <f t="shared" si="8"/>
        <v>29501.00.0000.00.0-205616.2.1.1.01.03.110.</v>
      </c>
      <c r="U272" t="e" cm="1">
        <f t="array" aca="1" ref="U272" ca="1">+IF(COMPROMISOS_2025[[#This Row],[P]]="20","41080111",_xlfn.XLOOKUP(COMPROMISOS_2025[[#This Row],[concatenado]],PAA[[#All],[RCP-RUBRO]],PAA[[#All],[INDICADOR]],"",0))</f>
        <v>#NAME?</v>
      </c>
      <c r="V272" s="144" t="str">
        <f t="shared" si="9"/>
        <v>00</v>
      </c>
      <c r="W272" s="136">
        <f>+COMPROMISOS_2025[[#This Row],[valor_total]]-COMPROMISOS_2025[[#This Row],[total_cancelado]]</f>
        <v>355875</v>
      </c>
      <c r="X272" s="136">
        <f>COMPROMISOS_2025[[#This Row],[total_ordenes]]</f>
        <v>355875</v>
      </c>
      <c r="Y272" t="str" cm="1">
        <f t="array" aca="1" ref="Y272" ca="1">IFERROR(_xlfn.XLOOKUP(COMPROMISOS_2025[[#This Row],[concatenado]],PAA[[#All],[RCP-RUBRO]],PAA[[#All],[Actividad3]],VLOOKUP(COMPROMISOS_2025[[#This Row],[Indicador Principal]],$AC$2:$AD$17,2,0),0),"")</f>
        <v/>
      </c>
    </row>
    <row r="273" spans="1:25" hidden="1" x14ac:dyDescent="0.25">
      <c r="A273">
        <v>2951</v>
      </c>
      <c r="B273" t="s">
        <v>2619</v>
      </c>
      <c r="C273" t="s">
        <v>883</v>
      </c>
      <c r="D273" t="s">
        <v>2625</v>
      </c>
      <c r="F273">
        <v>422</v>
      </c>
      <c r="G273">
        <v>19</v>
      </c>
      <c r="H273" t="s">
        <v>84</v>
      </c>
      <c r="I273" t="s">
        <v>1745</v>
      </c>
      <c r="J273">
        <v>343035</v>
      </c>
      <c r="K273">
        <v>2025</v>
      </c>
      <c r="L273">
        <v>438730897</v>
      </c>
      <c r="M273" t="s">
        <v>2585</v>
      </c>
      <c r="N273" t="s">
        <v>1688</v>
      </c>
      <c r="O273" t="s">
        <v>1686</v>
      </c>
      <c r="P273">
        <v>0</v>
      </c>
      <c r="Q273">
        <v>343035</v>
      </c>
      <c r="R273">
        <v>0</v>
      </c>
      <c r="S273">
        <v>0</v>
      </c>
      <c r="T273" t="str">
        <f t="shared" si="8"/>
        <v>29511.00.0000.00.0-205616.2.1.1.01.03.110.</v>
      </c>
      <c r="U273" t="e" cm="1">
        <f t="array" aca="1" ref="U273" ca="1">+IF(COMPROMISOS_2025[[#This Row],[P]]="20","41080111",_xlfn.XLOOKUP(COMPROMISOS_2025[[#This Row],[concatenado]],PAA[[#All],[RCP-RUBRO]],PAA[[#All],[INDICADOR]],"",0))</f>
        <v>#NAME?</v>
      </c>
      <c r="V273" s="144" t="str">
        <f t="shared" si="9"/>
        <v>00</v>
      </c>
      <c r="W273" s="136">
        <f>+COMPROMISOS_2025[[#This Row],[valor_total]]-COMPROMISOS_2025[[#This Row],[total_cancelado]]</f>
        <v>343035</v>
      </c>
      <c r="X273" s="136">
        <f>COMPROMISOS_2025[[#This Row],[total_ordenes]]</f>
        <v>343035</v>
      </c>
      <c r="Y273" t="str" cm="1">
        <f t="array" aca="1" ref="Y273" ca="1">IFERROR(_xlfn.XLOOKUP(COMPROMISOS_2025[[#This Row],[concatenado]],PAA[[#All],[RCP-RUBRO]],PAA[[#All],[Actividad3]],VLOOKUP(COMPROMISOS_2025[[#This Row],[Indicador Principal]],$AC$2:$AD$17,2,0),0),"")</f>
        <v/>
      </c>
    </row>
    <row r="274" spans="1:25" hidden="1" x14ac:dyDescent="0.25">
      <c r="A274">
        <v>2952</v>
      </c>
      <c r="B274" t="s">
        <v>2619</v>
      </c>
      <c r="C274" t="s">
        <v>883</v>
      </c>
      <c r="D274" t="s">
        <v>2625</v>
      </c>
      <c r="F274">
        <v>422</v>
      </c>
      <c r="G274">
        <v>19</v>
      </c>
      <c r="H274" t="s">
        <v>84</v>
      </c>
      <c r="I274" t="s">
        <v>1745</v>
      </c>
      <c r="J274">
        <v>355875</v>
      </c>
      <c r="K274">
        <v>2025</v>
      </c>
      <c r="L274">
        <v>716472161</v>
      </c>
      <c r="M274" t="s">
        <v>2626</v>
      </c>
      <c r="N274" t="s">
        <v>1688</v>
      </c>
      <c r="O274" t="s">
        <v>1686</v>
      </c>
      <c r="P274">
        <v>0</v>
      </c>
      <c r="Q274">
        <v>355875</v>
      </c>
      <c r="R274">
        <v>0</v>
      </c>
      <c r="S274">
        <v>0</v>
      </c>
      <c r="T274" t="str">
        <f t="shared" si="8"/>
        <v>29521.00.0000.00.0-205616.2.1.1.01.03.110.</v>
      </c>
      <c r="U274" t="e" cm="1">
        <f t="array" aca="1" ref="U274" ca="1">+IF(COMPROMISOS_2025[[#This Row],[P]]="20","41080111",_xlfn.XLOOKUP(COMPROMISOS_2025[[#This Row],[concatenado]],PAA[[#All],[RCP-RUBRO]],PAA[[#All],[INDICADOR]],"",0))</f>
        <v>#NAME?</v>
      </c>
      <c r="V274" s="144" t="str">
        <f t="shared" si="9"/>
        <v>00</v>
      </c>
      <c r="W274" s="136">
        <f>+COMPROMISOS_2025[[#This Row],[valor_total]]-COMPROMISOS_2025[[#This Row],[total_cancelado]]</f>
        <v>355875</v>
      </c>
      <c r="X274" s="136">
        <f>COMPROMISOS_2025[[#This Row],[total_ordenes]]</f>
        <v>355875</v>
      </c>
      <c r="Y274" t="str" cm="1">
        <f t="array" aca="1" ref="Y274" ca="1">IFERROR(_xlfn.XLOOKUP(COMPROMISOS_2025[[#This Row],[concatenado]],PAA[[#All],[RCP-RUBRO]],PAA[[#All],[Actividad3]],VLOOKUP(COMPROMISOS_2025[[#This Row],[Indicador Principal]],$AC$2:$AD$17,2,0),0),"")</f>
        <v/>
      </c>
    </row>
    <row r="275" spans="1:25" hidden="1" x14ac:dyDescent="0.25">
      <c r="A275">
        <v>2953</v>
      </c>
      <c r="B275" t="s">
        <v>2619</v>
      </c>
      <c r="C275" t="s">
        <v>883</v>
      </c>
      <c r="D275" t="s">
        <v>2625</v>
      </c>
      <c r="F275">
        <v>422</v>
      </c>
      <c r="G275">
        <v>19</v>
      </c>
      <c r="H275" t="s">
        <v>84</v>
      </c>
      <c r="I275" t="s">
        <v>1745</v>
      </c>
      <c r="J275">
        <v>300000</v>
      </c>
      <c r="K275">
        <v>2025</v>
      </c>
      <c r="L275">
        <v>717651862</v>
      </c>
      <c r="M275" t="s">
        <v>2592</v>
      </c>
      <c r="N275" t="s">
        <v>1688</v>
      </c>
      <c r="O275" t="s">
        <v>1686</v>
      </c>
      <c r="P275">
        <v>0</v>
      </c>
      <c r="Q275">
        <v>300000</v>
      </c>
      <c r="R275">
        <v>0</v>
      </c>
      <c r="S275">
        <v>0</v>
      </c>
      <c r="T275" t="str">
        <f t="shared" si="8"/>
        <v>29531.00.0000.00.0-205616.2.1.1.01.03.110.</v>
      </c>
      <c r="U275" t="e" cm="1">
        <f t="array" aca="1" ref="U275" ca="1">+IF(COMPROMISOS_2025[[#This Row],[P]]="20","41080111",_xlfn.XLOOKUP(COMPROMISOS_2025[[#This Row],[concatenado]],PAA[[#All],[RCP-RUBRO]],PAA[[#All],[INDICADOR]],"",0))</f>
        <v>#NAME?</v>
      </c>
      <c r="V275" s="144" t="str">
        <f t="shared" si="9"/>
        <v>00</v>
      </c>
      <c r="W275" s="136">
        <f>+COMPROMISOS_2025[[#This Row],[valor_total]]-COMPROMISOS_2025[[#This Row],[total_cancelado]]</f>
        <v>300000</v>
      </c>
      <c r="X275" s="136">
        <f>COMPROMISOS_2025[[#This Row],[total_ordenes]]</f>
        <v>300000</v>
      </c>
      <c r="Y275" t="str" cm="1">
        <f t="array" aca="1" ref="Y275" ca="1">IFERROR(_xlfn.XLOOKUP(COMPROMISOS_2025[[#This Row],[concatenado]],PAA[[#All],[RCP-RUBRO]],PAA[[#All],[Actividad3]],VLOOKUP(COMPROMISOS_2025[[#This Row],[Indicador Principal]],$AC$2:$AD$17,2,0),0),"")</f>
        <v/>
      </c>
    </row>
    <row r="276" spans="1:25" hidden="1" x14ac:dyDescent="0.25">
      <c r="A276">
        <v>2954</v>
      </c>
      <c r="B276" t="s">
        <v>2619</v>
      </c>
      <c r="C276" t="s">
        <v>883</v>
      </c>
      <c r="D276" t="s">
        <v>2625</v>
      </c>
      <c r="F276">
        <v>422</v>
      </c>
      <c r="G276">
        <v>19</v>
      </c>
      <c r="H276" t="s">
        <v>84</v>
      </c>
      <c r="I276" t="s">
        <v>1745</v>
      </c>
      <c r="J276">
        <v>355875</v>
      </c>
      <c r="K276">
        <v>2025</v>
      </c>
      <c r="L276">
        <v>912992841</v>
      </c>
      <c r="M276" t="s">
        <v>2540</v>
      </c>
      <c r="N276" t="s">
        <v>1688</v>
      </c>
      <c r="O276" t="s">
        <v>1686</v>
      </c>
      <c r="P276">
        <v>0</v>
      </c>
      <c r="Q276">
        <v>355875</v>
      </c>
      <c r="R276">
        <v>0</v>
      </c>
      <c r="S276">
        <v>0</v>
      </c>
      <c r="T276" t="str">
        <f t="shared" si="8"/>
        <v>29541.00.0000.00.0-205616.2.1.1.01.03.110.</v>
      </c>
      <c r="U276" t="e" cm="1">
        <f t="array" aca="1" ref="U276" ca="1">+IF(COMPROMISOS_2025[[#This Row],[P]]="20","41080111",_xlfn.XLOOKUP(COMPROMISOS_2025[[#This Row],[concatenado]],PAA[[#All],[RCP-RUBRO]],PAA[[#All],[INDICADOR]],"",0))</f>
        <v>#NAME?</v>
      </c>
      <c r="V276" s="144" t="str">
        <f t="shared" si="9"/>
        <v>00</v>
      </c>
      <c r="W276" s="136">
        <f>+COMPROMISOS_2025[[#This Row],[valor_total]]-COMPROMISOS_2025[[#This Row],[total_cancelado]]</f>
        <v>355875</v>
      </c>
      <c r="X276" s="136">
        <f>COMPROMISOS_2025[[#This Row],[total_ordenes]]</f>
        <v>355875</v>
      </c>
      <c r="Y276" t="str" cm="1">
        <f t="array" aca="1" ref="Y276" ca="1">IFERROR(_xlfn.XLOOKUP(COMPROMISOS_2025[[#This Row],[concatenado]],PAA[[#All],[RCP-RUBRO]],PAA[[#All],[Actividad3]],VLOOKUP(COMPROMISOS_2025[[#This Row],[Indicador Principal]],$AC$2:$AD$17,2,0),0),"")</f>
        <v/>
      </c>
    </row>
    <row r="277" spans="1:25" hidden="1" x14ac:dyDescent="0.25">
      <c r="A277">
        <v>2955</v>
      </c>
      <c r="B277" t="s">
        <v>2619</v>
      </c>
      <c r="C277" t="s">
        <v>883</v>
      </c>
      <c r="D277" t="s">
        <v>2625</v>
      </c>
      <c r="F277">
        <v>422</v>
      </c>
      <c r="G277">
        <v>19</v>
      </c>
      <c r="H277" t="s">
        <v>84</v>
      </c>
      <c r="I277" t="s">
        <v>1745</v>
      </c>
      <c r="J277">
        <v>355875</v>
      </c>
      <c r="K277">
        <v>2025</v>
      </c>
      <c r="L277">
        <v>986288618</v>
      </c>
      <c r="M277" t="s">
        <v>2598</v>
      </c>
      <c r="N277" t="s">
        <v>1688</v>
      </c>
      <c r="O277" t="s">
        <v>1686</v>
      </c>
      <c r="P277">
        <v>0</v>
      </c>
      <c r="Q277">
        <v>355875</v>
      </c>
      <c r="R277">
        <v>0</v>
      </c>
      <c r="S277">
        <v>0</v>
      </c>
      <c r="T277" t="str">
        <f t="shared" si="8"/>
        <v>29551.00.0000.00.0-205616.2.1.1.01.03.110.</v>
      </c>
      <c r="U277" t="e" cm="1">
        <f t="array" aca="1" ref="U277" ca="1">+IF(COMPROMISOS_2025[[#This Row],[P]]="20","41080111",_xlfn.XLOOKUP(COMPROMISOS_2025[[#This Row],[concatenado]],PAA[[#All],[RCP-RUBRO]],PAA[[#All],[INDICADOR]],"",0))</f>
        <v>#NAME?</v>
      </c>
      <c r="V277" s="144" t="str">
        <f t="shared" si="9"/>
        <v>00</v>
      </c>
      <c r="W277" s="136">
        <f>+COMPROMISOS_2025[[#This Row],[valor_total]]-COMPROMISOS_2025[[#This Row],[total_cancelado]]</f>
        <v>355875</v>
      </c>
      <c r="X277" s="136">
        <f>COMPROMISOS_2025[[#This Row],[total_ordenes]]</f>
        <v>355875</v>
      </c>
      <c r="Y277" t="str" cm="1">
        <f t="array" aca="1" ref="Y277" ca="1">IFERROR(_xlfn.XLOOKUP(COMPROMISOS_2025[[#This Row],[concatenado]],PAA[[#All],[RCP-RUBRO]],PAA[[#All],[Actividad3]],VLOOKUP(COMPROMISOS_2025[[#This Row],[Indicador Principal]],$AC$2:$AD$17,2,0),0),"")</f>
        <v/>
      </c>
    </row>
    <row r="278" spans="1:25" hidden="1" x14ac:dyDescent="0.25">
      <c r="A278">
        <v>2956</v>
      </c>
      <c r="B278" t="s">
        <v>2619</v>
      </c>
      <c r="C278" t="s">
        <v>883</v>
      </c>
      <c r="D278" t="s">
        <v>2625</v>
      </c>
      <c r="F278">
        <v>422</v>
      </c>
      <c r="G278">
        <v>19</v>
      </c>
      <c r="H278" t="s">
        <v>84</v>
      </c>
      <c r="I278" t="s">
        <v>1745</v>
      </c>
      <c r="J278">
        <v>355875</v>
      </c>
      <c r="K278">
        <v>2025</v>
      </c>
      <c r="L278">
        <v>10171481799</v>
      </c>
      <c r="M278" t="s">
        <v>2627</v>
      </c>
      <c r="N278" t="s">
        <v>1688</v>
      </c>
      <c r="O278" t="s">
        <v>1686</v>
      </c>
      <c r="P278">
        <v>0</v>
      </c>
      <c r="Q278">
        <v>355875</v>
      </c>
      <c r="R278">
        <v>0</v>
      </c>
      <c r="S278">
        <v>0</v>
      </c>
      <c r="T278" t="str">
        <f t="shared" si="8"/>
        <v>29561.00.0000.00.0-205616.2.1.1.01.03.110.</v>
      </c>
      <c r="U278" t="e" cm="1">
        <f t="array" aca="1" ref="U278" ca="1">+IF(COMPROMISOS_2025[[#This Row],[P]]="20","41080111",_xlfn.XLOOKUP(COMPROMISOS_2025[[#This Row],[concatenado]],PAA[[#All],[RCP-RUBRO]],PAA[[#All],[INDICADOR]],"",0))</f>
        <v>#NAME?</v>
      </c>
      <c r="V278" s="144" t="str">
        <f t="shared" si="9"/>
        <v>00</v>
      </c>
      <c r="W278" s="136">
        <f>+COMPROMISOS_2025[[#This Row],[valor_total]]-COMPROMISOS_2025[[#This Row],[total_cancelado]]</f>
        <v>355875</v>
      </c>
      <c r="X278" s="136">
        <f>COMPROMISOS_2025[[#This Row],[total_ordenes]]</f>
        <v>355875</v>
      </c>
      <c r="Y278" t="str" cm="1">
        <f t="array" aca="1" ref="Y278" ca="1">IFERROR(_xlfn.XLOOKUP(COMPROMISOS_2025[[#This Row],[concatenado]],PAA[[#All],[RCP-RUBRO]],PAA[[#All],[Actividad3]],VLOOKUP(COMPROMISOS_2025[[#This Row],[Indicador Principal]],$AC$2:$AD$17,2,0),0),"")</f>
        <v/>
      </c>
    </row>
    <row r="279" spans="1:25" hidden="1" x14ac:dyDescent="0.25">
      <c r="A279">
        <v>2957</v>
      </c>
      <c r="B279" t="s">
        <v>2619</v>
      </c>
      <c r="C279" t="s">
        <v>883</v>
      </c>
      <c r="D279" t="s">
        <v>2625</v>
      </c>
      <c r="F279">
        <v>422</v>
      </c>
      <c r="G279">
        <v>19</v>
      </c>
      <c r="H279" t="s">
        <v>84</v>
      </c>
      <c r="I279" t="s">
        <v>1745</v>
      </c>
      <c r="J279">
        <v>155875</v>
      </c>
      <c r="K279">
        <v>2025</v>
      </c>
      <c r="L279">
        <v>1038116125</v>
      </c>
      <c r="M279" t="s">
        <v>2608</v>
      </c>
      <c r="N279" t="s">
        <v>1688</v>
      </c>
      <c r="O279" t="s">
        <v>1686</v>
      </c>
      <c r="P279">
        <v>0</v>
      </c>
      <c r="Q279">
        <v>155875</v>
      </c>
      <c r="R279">
        <v>0</v>
      </c>
      <c r="S279">
        <v>0</v>
      </c>
      <c r="T279" t="str">
        <f t="shared" si="8"/>
        <v>29571.00.0000.00.0-205616.2.1.1.01.03.110.</v>
      </c>
      <c r="U279" t="e" cm="1">
        <f t="array" aca="1" ref="U279" ca="1">+IF(COMPROMISOS_2025[[#This Row],[P]]="20","41080111",_xlfn.XLOOKUP(COMPROMISOS_2025[[#This Row],[concatenado]],PAA[[#All],[RCP-RUBRO]],PAA[[#All],[INDICADOR]],"",0))</f>
        <v>#NAME?</v>
      </c>
      <c r="V279" s="144" t="str">
        <f t="shared" si="9"/>
        <v>00</v>
      </c>
      <c r="W279" s="136">
        <f>+COMPROMISOS_2025[[#This Row],[valor_total]]-COMPROMISOS_2025[[#This Row],[total_cancelado]]</f>
        <v>155875</v>
      </c>
      <c r="X279" s="136">
        <f>COMPROMISOS_2025[[#This Row],[total_ordenes]]</f>
        <v>155875</v>
      </c>
      <c r="Y279" t="str" cm="1">
        <f t="array" aca="1" ref="Y279" ca="1">IFERROR(_xlfn.XLOOKUP(COMPROMISOS_2025[[#This Row],[concatenado]],PAA[[#All],[RCP-RUBRO]],PAA[[#All],[Actividad3]],VLOOKUP(COMPROMISOS_2025[[#This Row],[Indicador Principal]],$AC$2:$AD$17,2,0),0),"")</f>
        <v/>
      </c>
    </row>
    <row r="280" spans="1:25" hidden="1" x14ac:dyDescent="0.25">
      <c r="A280">
        <v>438</v>
      </c>
      <c r="B280" t="s">
        <v>2628</v>
      </c>
      <c r="C280" t="s">
        <v>883</v>
      </c>
      <c r="D280" t="s">
        <v>1752</v>
      </c>
      <c r="E280" t="s">
        <v>2629</v>
      </c>
      <c r="F280">
        <v>355</v>
      </c>
      <c r="G280">
        <v>20</v>
      </c>
      <c r="H280" t="s">
        <v>86</v>
      </c>
      <c r="I280" t="s">
        <v>1753</v>
      </c>
      <c r="J280">
        <v>1200000</v>
      </c>
      <c r="K280">
        <v>2025</v>
      </c>
      <c r="L280">
        <v>333762104</v>
      </c>
      <c r="M280" t="s">
        <v>2558</v>
      </c>
      <c r="N280" t="s">
        <v>1688</v>
      </c>
      <c r="O280" t="s">
        <v>1686</v>
      </c>
      <c r="P280">
        <v>0</v>
      </c>
      <c r="Q280">
        <v>1200000</v>
      </c>
      <c r="R280">
        <v>0</v>
      </c>
      <c r="S280">
        <v>0</v>
      </c>
      <c r="T280" t="str">
        <f t="shared" si="8"/>
        <v>4381.00.0000.00.0-205616.2.1.1.01.03.111.01.</v>
      </c>
      <c r="U280" t="e" cm="1">
        <f t="array" aca="1" ref="U280" ca="1">+IF(COMPROMISOS_2025[[#This Row],[P]]="20","41080111",_xlfn.XLOOKUP(COMPROMISOS_2025[[#This Row],[concatenado]],PAA[[#All],[RCP-RUBRO]],PAA[[#All],[INDICADOR]],"",0))</f>
        <v>#NAME?</v>
      </c>
      <c r="V280" s="144" t="str">
        <f t="shared" si="9"/>
        <v>00</v>
      </c>
      <c r="W280" s="136">
        <f>+COMPROMISOS_2025[[#This Row],[valor_total]]-COMPROMISOS_2025[[#This Row],[total_cancelado]]</f>
        <v>1200000</v>
      </c>
      <c r="X280" s="136">
        <f>COMPROMISOS_2025[[#This Row],[total_ordenes]]</f>
        <v>1200000</v>
      </c>
      <c r="Y280" t="str" cm="1">
        <f t="array" aca="1" ref="Y280" ca="1">IFERROR(_xlfn.XLOOKUP(COMPROMISOS_2025[[#This Row],[concatenado]],PAA[[#All],[RCP-RUBRO]],PAA[[#All],[Actividad3]],VLOOKUP(COMPROMISOS_2025[[#This Row],[Indicador Principal]],$AC$2:$AD$17,2,0),0),"")</f>
        <v/>
      </c>
    </row>
    <row r="281" spans="1:25" hidden="1" x14ac:dyDescent="0.25">
      <c r="A281">
        <v>2867</v>
      </c>
      <c r="B281" t="s">
        <v>2630</v>
      </c>
      <c r="C281" t="s">
        <v>883</v>
      </c>
      <c r="D281" t="s">
        <v>1752</v>
      </c>
      <c r="E281" t="s">
        <v>2631</v>
      </c>
      <c r="F281">
        <v>420</v>
      </c>
      <c r="G281">
        <v>20</v>
      </c>
      <c r="H281" t="s">
        <v>86</v>
      </c>
      <c r="I281" t="s">
        <v>1753</v>
      </c>
      <c r="J281">
        <v>1995000</v>
      </c>
      <c r="K281">
        <v>2025</v>
      </c>
      <c r="L281">
        <v>435863844</v>
      </c>
      <c r="M281" t="s">
        <v>2574</v>
      </c>
      <c r="N281" t="s">
        <v>1688</v>
      </c>
      <c r="O281" t="s">
        <v>1686</v>
      </c>
      <c r="P281">
        <v>0</v>
      </c>
      <c r="Q281">
        <v>0</v>
      </c>
      <c r="R281">
        <v>1995000</v>
      </c>
      <c r="S281">
        <v>0</v>
      </c>
      <c r="T281" t="str">
        <f t="shared" si="8"/>
        <v>28671.00.0000.00.0-205616.2.1.1.01.03.111.01.</v>
      </c>
      <c r="U281" t="e" cm="1">
        <f t="array" aca="1" ref="U281" ca="1">+IF(COMPROMISOS_2025[[#This Row],[P]]="20","41080111",_xlfn.XLOOKUP(COMPROMISOS_2025[[#This Row],[concatenado]],PAA[[#All],[RCP-RUBRO]],PAA[[#All],[INDICADOR]],"",0))</f>
        <v>#NAME?</v>
      </c>
      <c r="V281" s="144" t="str">
        <f t="shared" si="9"/>
        <v>00</v>
      </c>
      <c r="W281" s="136">
        <f>+COMPROMISOS_2025[[#This Row],[valor_total]]-COMPROMISOS_2025[[#This Row],[total_cancelado]]</f>
        <v>0</v>
      </c>
      <c r="X281" s="136">
        <f>COMPROMISOS_2025[[#This Row],[total_ordenes]]</f>
        <v>0</v>
      </c>
      <c r="Y281" t="str" cm="1">
        <f t="array" aca="1" ref="Y281" ca="1">IFERROR(_xlfn.XLOOKUP(COMPROMISOS_2025[[#This Row],[concatenado]],PAA[[#All],[RCP-RUBRO]],PAA[[#All],[Actividad3]],VLOOKUP(COMPROMISOS_2025[[#This Row],[Indicador Principal]],$AC$2:$AD$17,2,0),0),"")</f>
        <v/>
      </c>
    </row>
    <row r="282" spans="1:25" hidden="1" x14ac:dyDescent="0.25">
      <c r="A282">
        <v>2871</v>
      </c>
      <c r="B282" t="s">
        <v>2632</v>
      </c>
      <c r="C282" t="s">
        <v>883</v>
      </c>
      <c r="D282" t="s">
        <v>1752</v>
      </c>
      <c r="E282" t="s">
        <v>2631</v>
      </c>
      <c r="F282">
        <v>420</v>
      </c>
      <c r="G282">
        <v>20</v>
      </c>
      <c r="H282" t="s">
        <v>86</v>
      </c>
      <c r="I282" t="s">
        <v>1753</v>
      </c>
      <c r="J282">
        <v>1995000</v>
      </c>
      <c r="K282">
        <v>2025</v>
      </c>
      <c r="L282">
        <v>9002957362</v>
      </c>
      <c r="M282" t="s">
        <v>2633</v>
      </c>
      <c r="N282" t="s">
        <v>1688</v>
      </c>
      <c r="O282" t="s">
        <v>1686</v>
      </c>
      <c r="P282">
        <v>0</v>
      </c>
      <c r="Q282">
        <v>1995000</v>
      </c>
      <c r="R282">
        <v>0</v>
      </c>
      <c r="S282">
        <v>0</v>
      </c>
      <c r="T282" t="str">
        <f t="shared" si="8"/>
        <v>28711.00.0000.00.0-205616.2.1.1.01.03.111.01.</v>
      </c>
      <c r="U282" t="e" cm="1">
        <f t="array" aca="1" ref="U282" ca="1">+IF(COMPROMISOS_2025[[#This Row],[P]]="20","41080111",_xlfn.XLOOKUP(COMPROMISOS_2025[[#This Row],[concatenado]],PAA[[#All],[RCP-RUBRO]],PAA[[#All],[INDICADOR]],"",0))</f>
        <v>#NAME?</v>
      </c>
      <c r="V282" s="144" t="str">
        <f t="shared" si="9"/>
        <v>00</v>
      </c>
      <c r="W282" s="136">
        <f>+COMPROMISOS_2025[[#This Row],[valor_total]]-COMPROMISOS_2025[[#This Row],[total_cancelado]]</f>
        <v>1995000</v>
      </c>
      <c r="X282" s="136">
        <f>COMPROMISOS_2025[[#This Row],[total_ordenes]]</f>
        <v>1995000</v>
      </c>
      <c r="Y282" t="str" cm="1">
        <f t="array" aca="1" ref="Y282" ca="1">IFERROR(_xlfn.XLOOKUP(COMPROMISOS_2025[[#This Row],[concatenado]],PAA[[#All],[RCP-RUBRO]],PAA[[#All],[Actividad3]],VLOOKUP(COMPROMISOS_2025[[#This Row],[Indicador Principal]],$AC$2:$AD$17,2,0),0),"")</f>
        <v/>
      </c>
    </row>
    <row r="283" spans="1:25" hidden="1" x14ac:dyDescent="0.25">
      <c r="A283">
        <v>21</v>
      </c>
      <c r="B283" t="s">
        <v>2530</v>
      </c>
      <c r="C283" t="s">
        <v>883</v>
      </c>
      <c r="D283" t="s">
        <v>2634</v>
      </c>
      <c r="F283">
        <v>16</v>
      </c>
      <c r="G283">
        <v>23</v>
      </c>
      <c r="H283" t="s">
        <v>92</v>
      </c>
      <c r="I283" t="s">
        <v>1756</v>
      </c>
      <c r="J283">
        <v>199800</v>
      </c>
      <c r="K283">
        <v>2025</v>
      </c>
      <c r="L283">
        <v>102671896</v>
      </c>
      <c r="M283" t="s">
        <v>2549</v>
      </c>
      <c r="N283" t="s">
        <v>1688</v>
      </c>
      <c r="O283" t="s">
        <v>1686</v>
      </c>
      <c r="P283">
        <v>0</v>
      </c>
      <c r="Q283">
        <v>199800</v>
      </c>
      <c r="R283">
        <v>0</v>
      </c>
      <c r="S283">
        <v>0</v>
      </c>
      <c r="T283" t="str">
        <f t="shared" si="8"/>
        <v>211.00.0000.00.0-205616.2.1.1.01.03.113.</v>
      </c>
      <c r="U283" t="e" cm="1">
        <f t="array" aca="1" ref="U283" ca="1">+IF(COMPROMISOS_2025[[#This Row],[P]]="20","41080111",_xlfn.XLOOKUP(COMPROMISOS_2025[[#This Row],[concatenado]],PAA[[#All],[RCP-RUBRO]],PAA[[#All],[INDICADOR]],"",0))</f>
        <v>#NAME?</v>
      </c>
      <c r="V283" s="144" t="str">
        <f t="shared" si="9"/>
        <v>00</v>
      </c>
      <c r="W283" s="136">
        <f>+COMPROMISOS_2025[[#This Row],[valor_total]]-COMPROMISOS_2025[[#This Row],[total_cancelado]]</f>
        <v>199800</v>
      </c>
      <c r="X283" s="136">
        <f>COMPROMISOS_2025[[#This Row],[total_ordenes]]</f>
        <v>199800</v>
      </c>
      <c r="Y283" t="str" cm="1">
        <f t="array" aca="1" ref="Y283" ca="1">IFERROR(_xlfn.XLOOKUP(COMPROMISOS_2025[[#This Row],[concatenado]],PAA[[#All],[RCP-RUBRO]],PAA[[#All],[Actividad3]],VLOOKUP(COMPROMISOS_2025[[#This Row],[Indicador Principal]],$AC$2:$AD$17,2,0),0),"")</f>
        <v/>
      </c>
    </row>
    <row r="284" spans="1:25" hidden="1" x14ac:dyDescent="0.25">
      <c r="A284">
        <v>22</v>
      </c>
      <c r="B284" t="s">
        <v>2530</v>
      </c>
      <c r="C284" t="s">
        <v>883</v>
      </c>
      <c r="D284" t="s">
        <v>2634</v>
      </c>
      <c r="F284">
        <v>16</v>
      </c>
      <c r="G284">
        <v>23</v>
      </c>
      <c r="H284" t="s">
        <v>92</v>
      </c>
      <c r="I284" t="s">
        <v>1756</v>
      </c>
      <c r="J284">
        <v>172000</v>
      </c>
      <c r="K284">
        <v>2025</v>
      </c>
      <c r="L284">
        <v>409863019</v>
      </c>
      <c r="M284" t="s">
        <v>2562</v>
      </c>
      <c r="N284" t="s">
        <v>1688</v>
      </c>
      <c r="O284" t="s">
        <v>1686</v>
      </c>
      <c r="P284">
        <v>0</v>
      </c>
      <c r="Q284">
        <v>172000</v>
      </c>
      <c r="R284">
        <v>0</v>
      </c>
      <c r="S284">
        <v>0</v>
      </c>
      <c r="T284" t="str">
        <f t="shared" si="8"/>
        <v>221.00.0000.00.0-205616.2.1.1.01.03.113.</v>
      </c>
      <c r="U284" t="e" cm="1">
        <f t="array" aca="1" ref="U284" ca="1">+IF(COMPROMISOS_2025[[#This Row],[P]]="20","41080111",_xlfn.XLOOKUP(COMPROMISOS_2025[[#This Row],[concatenado]],PAA[[#All],[RCP-RUBRO]],PAA[[#All],[INDICADOR]],"",0))</f>
        <v>#NAME?</v>
      </c>
      <c r="V284" s="144" t="str">
        <f t="shared" si="9"/>
        <v>00</v>
      </c>
      <c r="W284" s="136">
        <f>+COMPROMISOS_2025[[#This Row],[valor_total]]-COMPROMISOS_2025[[#This Row],[total_cancelado]]</f>
        <v>172000</v>
      </c>
      <c r="X284" s="136">
        <f>COMPROMISOS_2025[[#This Row],[total_ordenes]]</f>
        <v>172000</v>
      </c>
      <c r="Y284" t="str" cm="1">
        <f t="array" aca="1" ref="Y284" ca="1">IFERROR(_xlfn.XLOOKUP(COMPROMISOS_2025[[#This Row],[concatenado]],PAA[[#All],[RCP-RUBRO]],PAA[[#All],[Actividad3]],VLOOKUP(COMPROMISOS_2025[[#This Row],[Indicador Principal]],$AC$2:$AD$17,2,0),0),"")</f>
        <v/>
      </c>
    </row>
    <row r="285" spans="1:25" hidden="1" x14ac:dyDescent="0.25">
      <c r="A285">
        <v>23</v>
      </c>
      <c r="B285" t="s">
        <v>2530</v>
      </c>
      <c r="C285" t="s">
        <v>883</v>
      </c>
      <c r="D285" t="s">
        <v>2634</v>
      </c>
      <c r="F285">
        <v>16</v>
      </c>
      <c r="G285">
        <v>23</v>
      </c>
      <c r="H285" t="s">
        <v>92</v>
      </c>
      <c r="I285" t="s">
        <v>1756</v>
      </c>
      <c r="J285">
        <v>195302</v>
      </c>
      <c r="K285">
        <v>2025</v>
      </c>
      <c r="L285">
        <v>43150744</v>
      </c>
      <c r="M285" t="s">
        <v>2565</v>
      </c>
      <c r="N285" t="s">
        <v>1688</v>
      </c>
      <c r="O285" t="s">
        <v>1686</v>
      </c>
      <c r="P285">
        <v>0</v>
      </c>
      <c r="Q285">
        <v>195302</v>
      </c>
      <c r="R285">
        <v>0</v>
      </c>
      <c r="S285">
        <v>0</v>
      </c>
      <c r="T285" t="str">
        <f t="shared" si="8"/>
        <v>231.00.0000.00.0-205616.2.1.1.01.03.113.</v>
      </c>
      <c r="U285" t="e" cm="1">
        <f t="array" aca="1" ref="U285" ca="1">+IF(COMPROMISOS_2025[[#This Row],[P]]="20","41080111",_xlfn.XLOOKUP(COMPROMISOS_2025[[#This Row],[concatenado]],PAA[[#All],[RCP-RUBRO]],PAA[[#All],[INDICADOR]],"",0))</f>
        <v>#NAME?</v>
      </c>
      <c r="V285" s="144" t="str">
        <f t="shared" si="9"/>
        <v>00</v>
      </c>
      <c r="W285" s="136">
        <f>+COMPROMISOS_2025[[#This Row],[valor_total]]-COMPROMISOS_2025[[#This Row],[total_cancelado]]</f>
        <v>195302</v>
      </c>
      <c r="X285" s="136">
        <f>COMPROMISOS_2025[[#This Row],[total_ordenes]]</f>
        <v>195302</v>
      </c>
      <c r="Y285" t="str" cm="1">
        <f t="array" aca="1" ref="Y285" ca="1">IFERROR(_xlfn.XLOOKUP(COMPROMISOS_2025[[#This Row],[concatenado]],PAA[[#All],[RCP-RUBRO]],PAA[[#All],[Actividad3]],VLOOKUP(COMPROMISOS_2025[[#This Row],[Indicador Principal]],$AC$2:$AD$17,2,0),0),"")</f>
        <v/>
      </c>
    </row>
    <row r="286" spans="1:25" hidden="1" x14ac:dyDescent="0.25">
      <c r="A286">
        <v>24</v>
      </c>
      <c r="B286" t="s">
        <v>2530</v>
      </c>
      <c r="C286" t="s">
        <v>883</v>
      </c>
      <c r="D286" t="s">
        <v>2634</v>
      </c>
      <c r="F286">
        <v>16</v>
      </c>
      <c r="G286">
        <v>23</v>
      </c>
      <c r="H286" t="s">
        <v>92</v>
      </c>
      <c r="I286" t="s">
        <v>1756</v>
      </c>
      <c r="J286">
        <v>325000</v>
      </c>
      <c r="K286">
        <v>2025</v>
      </c>
      <c r="L286">
        <v>431865432</v>
      </c>
      <c r="M286" t="s">
        <v>2615</v>
      </c>
      <c r="N286" t="s">
        <v>1688</v>
      </c>
      <c r="O286" t="s">
        <v>1686</v>
      </c>
      <c r="P286">
        <v>0</v>
      </c>
      <c r="Q286">
        <v>325000</v>
      </c>
      <c r="R286">
        <v>0</v>
      </c>
      <c r="S286">
        <v>0</v>
      </c>
      <c r="T286" t="str">
        <f t="shared" si="8"/>
        <v>241.00.0000.00.0-205616.2.1.1.01.03.113.</v>
      </c>
      <c r="U286" t="e" cm="1">
        <f t="array" aca="1" ref="U286" ca="1">+IF(COMPROMISOS_2025[[#This Row],[P]]="20","41080111",_xlfn.XLOOKUP(COMPROMISOS_2025[[#This Row],[concatenado]],PAA[[#All],[RCP-RUBRO]],PAA[[#All],[INDICADOR]],"",0))</f>
        <v>#NAME?</v>
      </c>
      <c r="V286" s="144" t="str">
        <f t="shared" si="9"/>
        <v>00</v>
      </c>
      <c r="W286" s="136">
        <f>+COMPROMISOS_2025[[#This Row],[valor_total]]-COMPROMISOS_2025[[#This Row],[total_cancelado]]</f>
        <v>325000</v>
      </c>
      <c r="X286" s="136">
        <f>COMPROMISOS_2025[[#This Row],[total_ordenes]]</f>
        <v>325000</v>
      </c>
      <c r="Y286" t="str" cm="1">
        <f t="array" aca="1" ref="Y286" ca="1">IFERROR(_xlfn.XLOOKUP(COMPROMISOS_2025[[#This Row],[concatenado]],PAA[[#All],[RCP-RUBRO]],PAA[[#All],[Actividad3]],VLOOKUP(COMPROMISOS_2025[[#This Row],[Indicador Principal]],$AC$2:$AD$17,2,0),0),"")</f>
        <v/>
      </c>
    </row>
    <row r="287" spans="1:25" hidden="1" x14ac:dyDescent="0.25">
      <c r="A287">
        <v>25</v>
      </c>
      <c r="B287" t="s">
        <v>2530</v>
      </c>
      <c r="C287" t="s">
        <v>883</v>
      </c>
      <c r="D287" t="s">
        <v>2634</v>
      </c>
      <c r="F287">
        <v>16</v>
      </c>
      <c r="G287">
        <v>23</v>
      </c>
      <c r="H287" t="s">
        <v>92</v>
      </c>
      <c r="I287" t="s">
        <v>1756</v>
      </c>
      <c r="J287">
        <v>82397</v>
      </c>
      <c r="K287">
        <v>2025</v>
      </c>
      <c r="L287">
        <v>435863844</v>
      </c>
      <c r="M287" t="s">
        <v>2574</v>
      </c>
      <c r="N287" t="s">
        <v>1688</v>
      </c>
      <c r="O287" t="s">
        <v>1686</v>
      </c>
      <c r="P287">
        <v>0</v>
      </c>
      <c r="Q287">
        <v>82397</v>
      </c>
      <c r="R287">
        <v>0</v>
      </c>
      <c r="S287">
        <v>0</v>
      </c>
      <c r="T287" t="str">
        <f t="shared" si="8"/>
        <v>251.00.0000.00.0-205616.2.1.1.01.03.113.</v>
      </c>
      <c r="U287" t="e" cm="1">
        <f t="array" aca="1" ref="U287" ca="1">+IF(COMPROMISOS_2025[[#This Row],[P]]="20","41080111",_xlfn.XLOOKUP(COMPROMISOS_2025[[#This Row],[concatenado]],PAA[[#All],[RCP-RUBRO]],PAA[[#All],[INDICADOR]],"",0))</f>
        <v>#NAME?</v>
      </c>
      <c r="V287" s="144" t="str">
        <f t="shared" si="9"/>
        <v>00</v>
      </c>
      <c r="W287" s="136">
        <f>+COMPROMISOS_2025[[#This Row],[valor_total]]-COMPROMISOS_2025[[#This Row],[total_cancelado]]</f>
        <v>82397</v>
      </c>
      <c r="X287" s="136">
        <f>COMPROMISOS_2025[[#This Row],[total_ordenes]]</f>
        <v>82397</v>
      </c>
      <c r="Y287" t="str" cm="1">
        <f t="array" aca="1" ref="Y287" ca="1">IFERROR(_xlfn.XLOOKUP(COMPROMISOS_2025[[#This Row],[concatenado]],PAA[[#All],[RCP-RUBRO]],PAA[[#All],[Actividad3]],VLOOKUP(COMPROMISOS_2025[[#This Row],[Indicador Principal]],$AC$2:$AD$17,2,0),0),"")</f>
        <v/>
      </c>
    </row>
    <row r="288" spans="1:25" hidden="1" x14ac:dyDescent="0.25">
      <c r="A288">
        <v>26</v>
      </c>
      <c r="B288" t="s">
        <v>2530</v>
      </c>
      <c r="C288" t="s">
        <v>883</v>
      </c>
      <c r="D288" t="s">
        <v>2634</v>
      </c>
      <c r="F288">
        <v>16</v>
      </c>
      <c r="G288">
        <v>23</v>
      </c>
      <c r="H288" t="s">
        <v>92</v>
      </c>
      <c r="I288" t="s">
        <v>1756</v>
      </c>
      <c r="J288">
        <v>159992</v>
      </c>
      <c r="K288">
        <v>2025</v>
      </c>
      <c r="L288">
        <v>435954059</v>
      </c>
      <c r="M288" t="s">
        <v>2575</v>
      </c>
      <c r="N288" t="s">
        <v>1688</v>
      </c>
      <c r="O288" t="s">
        <v>1686</v>
      </c>
      <c r="P288">
        <v>0</v>
      </c>
      <c r="Q288">
        <v>159992</v>
      </c>
      <c r="R288">
        <v>0</v>
      </c>
      <c r="S288">
        <v>0</v>
      </c>
      <c r="T288" t="str">
        <f t="shared" si="8"/>
        <v>261.00.0000.00.0-205616.2.1.1.01.03.113.</v>
      </c>
      <c r="U288" t="e" cm="1">
        <f t="array" aca="1" ref="U288" ca="1">+IF(COMPROMISOS_2025[[#This Row],[P]]="20","41080111",_xlfn.XLOOKUP(COMPROMISOS_2025[[#This Row],[concatenado]],PAA[[#All],[RCP-RUBRO]],PAA[[#All],[INDICADOR]],"",0))</f>
        <v>#NAME?</v>
      </c>
      <c r="V288" s="144" t="str">
        <f t="shared" si="9"/>
        <v>00</v>
      </c>
      <c r="W288" s="136">
        <f>+COMPROMISOS_2025[[#This Row],[valor_total]]-COMPROMISOS_2025[[#This Row],[total_cancelado]]</f>
        <v>159992</v>
      </c>
      <c r="X288" s="136">
        <f>COMPROMISOS_2025[[#This Row],[total_ordenes]]</f>
        <v>159992</v>
      </c>
      <c r="Y288" t="str" cm="1">
        <f t="array" aca="1" ref="Y288" ca="1">IFERROR(_xlfn.XLOOKUP(COMPROMISOS_2025[[#This Row],[concatenado]],PAA[[#All],[RCP-RUBRO]],PAA[[#All],[Actividad3]],VLOOKUP(COMPROMISOS_2025[[#This Row],[Indicador Principal]],$AC$2:$AD$17,2,0),0),"")</f>
        <v/>
      </c>
    </row>
    <row r="289" spans="1:25" hidden="1" x14ac:dyDescent="0.25">
      <c r="A289">
        <v>27</v>
      </c>
      <c r="B289" t="s">
        <v>2530</v>
      </c>
      <c r="C289" t="s">
        <v>883</v>
      </c>
      <c r="D289" t="s">
        <v>2634</v>
      </c>
      <c r="F289">
        <v>16</v>
      </c>
      <c r="G289">
        <v>23</v>
      </c>
      <c r="H289" t="s">
        <v>92</v>
      </c>
      <c r="I289" t="s">
        <v>1756</v>
      </c>
      <c r="J289">
        <v>300000</v>
      </c>
      <c r="K289">
        <v>2025</v>
      </c>
      <c r="L289">
        <v>438068629</v>
      </c>
      <c r="M289" t="s">
        <v>2582</v>
      </c>
      <c r="N289" t="s">
        <v>1688</v>
      </c>
      <c r="O289" t="s">
        <v>1686</v>
      </c>
      <c r="P289">
        <v>0</v>
      </c>
      <c r="Q289">
        <v>300000</v>
      </c>
      <c r="R289">
        <v>0</v>
      </c>
      <c r="S289">
        <v>0</v>
      </c>
      <c r="T289" t="str">
        <f t="shared" si="8"/>
        <v>271.00.0000.00.0-205616.2.1.1.01.03.113.</v>
      </c>
      <c r="U289" t="e" cm="1">
        <f t="array" aca="1" ref="U289" ca="1">+IF(COMPROMISOS_2025[[#This Row],[P]]="20","41080111",_xlfn.XLOOKUP(COMPROMISOS_2025[[#This Row],[concatenado]],PAA[[#All],[RCP-RUBRO]],PAA[[#All],[INDICADOR]],"",0))</f>
        <v>#NAME?</v>
      </c>
      <c r="V289" s="144" t="str">
        <f t="shared" si="9"/>
        <v>00</v>
      </c>
      <c r="W289" s="136">
        <f>+COMPROMISOS_2025[[#This Row],[valor_total]]-COMPROMISOS_2025[[#This Row],[total_cancelado]]</f>
        <v>300000</v>
      </c>
      <c r="X289" s="136">
        <f>COMPROMISOS_2025[[#This Row],[total_ordenes]]</f>
        <v>300000</v>
      </c>
      <c r="Y289" t="str" cm="1">
        <f t="array" aca="1" ref="Y289" ca="1">IFERROR(_xlfn.XLOOKUP(COMPROMISOS_2025[[#This Row],[concatenado]],PAA[[#All],[RCP-RUBRO]],PAA[[#All],[Actividad3]],VLOOKUP(COMPROMISOS_2025[[#This Row],[Indicador Principal]],$AC$2:$AD$17,2,0),0),"")</f>
        <v/>
      </c>
    </row>
    <row r="290" spans="1:25" hidden="1" x14ac:dyDescent="0.25">
      <c r="A290">
        <v>28</v>
      </c>
      <c r="B290" t="s">
        <v>2530</v>
      </c>
      <c r="C290" t="s">
        <v>883</v>
      </c>
      <c r="D290" t="s">
        <v>2634</v>
      </c>
      <c r="F290">
        <v>16</v>
      </c>
      <c r="G290">
        <v>23</v>
      </c>
      <c r="H290" t="s">
        <v>92</v>
      </c>
      <c r="I290" t="s">
        <v>1756</v>
      </c>
      <c r="J290">
        <v>192774</v>
      </c>
      <c r="K290">
        <v>2025</v>
      </c>
      <c r="L290">
        <v>716748582</v>
      </c>
      <c r="M290" t="s">
        <v>2591</v>
      </c>
      <c r="N290" t="s">
        <v>1688</v>
      </c>
      <c r="O290" t="s">
        <v>1686</v>
      </c>
      <c r="P290">
        <v>0</v>
      </c>
      <c r="Q290">
        <v>192774</v>
      </c>
      <c r="R290">
        <v>0</v>
      </c>
      <c r="S290">
        <v>0</v>
      </c>
      <c r="T290" t="str">
        <f t="shared" si="8"/>
        <v>281.00.0000.00.0-205616.2.1.1.01.03.113.</v>
      </c>
      <c r="U290" t="e" cm="1">
        <f t="array" aca="1" ref="U290" ca="1">+IF(COMPROMISOS_2025[[#This Row],[P]]="20","41080111",_xlfn.XLOOKUP(COMPROMISOS_2025[[#This Row],[concatenado]],PAA[[#All],[RCP-RUBRO]],PAA[[#All],[INDICADOR]],"",0))</f>
        <v>#NAME?</v>
      </c>
      <c r="V290" s="144" t="str">
        <f t="shared" si="9"/>
        <v>00</v>
      </c>
      <c r="W290" s="136">
        <f>+COMPROMISOS_2025[[#This Row],[valor_total]]-COMPROMISOS_2025[[#This Row],[total_cancelado]]</f>
        <v>192774</v>
      </c>
      <c r="X290" s="136">
        <f>COMPROMISOS_2025[[#This Row],[total_ordenes]]</f>
        <v>192774</v>
      </c>
      <c r="Y290" t="str" cm="1">
        <f t="array" aca="1" ref="Y290" ca="1">IFERROR(_xlfn.XLOOKUP(COMPROMISOS_2025[[#This Row],[concatenado]],PAA[[#All],[RCP-RUBRO]],PAA[[#All],[Actividad3]],VLOOKUP(COMPROMISOS_2025[[#This Row],[Indicador Principal]],$AC$2:$AD$17,2,0),0),"")</f>
        <v/>
      </c>
    </row>
    <row r="291" spans="1:25" hidden="1" x14ac:dyDescent="0.25">
      <c r="A291">
        <v>29</v>
      </c>
      <c r="B291" t="s">
        <v>2530</v>
      </c>
      <c r="C291" t="s">
        <v>883</v>
      </c>
      <c r="D291" t="s">
        <v>2634</v>
      </c>
      <c r="F291">
        <v>16</v>
      </c>
      <c r="G291">
        <v>23</v>
      </c>
      <c r="H291" t="s">
        <v>92</v>
      </c>
      <c r="I291" t="s">
        <v>1756</v>
      </c>
      <c r="J291">
        <v>301700</v>
      </c>
      <c r="K291">
        <v>2025</v>
      </c>
      <c r="L291">
        <v>71794994</v>
      </c>
      <c r="M291" t="s">
        <v>2593</v>
      </c>
      <c r="N291" t="s">
        <v>1688</v>
      </c>
      <c r="O291" t="s">
        <v>1686</v>
      </c>
      <c r="P291">
        <v>0</v>
      </c>
      <c r="Q291">
        <v>301700</v>
      </c>
      <c r="R291">
        <v>0</v>
      </c>
      <c r="S291">
        <v>0</v>
      </c>
      <c r="T291" t="str">
        <f t="shared" si="8"/>
        <v>291.00.0000.00.0-205616.2.1.1.01.03.113.</v>
      </c>
      <c r="U291" t="e" cm="1">
        <f t="array" aca="1" ref="U291" ca="1">+IF(COMPROMISOS_2025[[#This Row],[P]]="20","41080111",_xlfn.XLOOKUP(COMPROMISOS_2025[[#This Row],[concatenado]],PAA[[#All],[RCP-RUBRO]],PAA[[#All],[INDICADOR]],"",0))</f>
        <v>#NAME?</v>
      </c>
      <c r="V291" s="144" t="str">
        <f t="shared" si="9"/>
        <v>00</v>
      </c>
      <c r="W291" s="136">
        <f>+COMPROMISOS_2025[[#This Row],[valor_total]]-COMPROMISOS_2025[[#This Row],[total_cancelado]]</f>
        <v>301700</v>
      </c>
      <c r="X291" s="136">
        <f>COMPROMISOS_2025[[#This Row],[total_ordenes]]</f>
        <v>301700</v>
      </c>
      <c r="Y291" t="str" cm="1">
        <f t="array" aca="1" ref="Y291" ca="1">IFERROR(_xlfn.XLOOKUP(COMPROMISOS_2025[[#This Row],[concatenado]],PAA[[#All],[RCP-RUBRO]],PAA[[#All],[Actividad3]],VLOOKUP(COMPROMISOS_2025[[#This Row],[Indicador Principal]],$AC$2:$AD$17,2,0),0),"")</f>
        <v/>
      </c>
    </row>
    <row r="292" spans="1:25" hidden="1" x14ac:dyDescent="0.25">
      <c r="A292">
        <v>30</v>
      </c>
      <c r="B292" t="s">
        <v>2530</v>
      </c>
      <c r="C292" t="s">
        <v>883</v>
      </c>
      <c r="D292" t="s">
        <v>2634</v>
      </c>
      <c r="F292">
        <v>16</v>
      </c>
      <c r="G292">
        <v>23</v>
      </c>
      <c r="H292" t="s">
        <v>92</v>
      </c>
      <c r="I292" t="s">
        <v>1756</v>
      </c>
      <c r="J292">
        <v>325000</v>
      </c>
      <c r="K292">
        <v>2025</v>
      </c>
      <c r="L292">
        <v>750751501</v>
      </c>
      <c r="M292" t="s">
        <v>2594</v>
      </c>
      <c r="N292" t="s">
        <v>1688</v>
      </c>
      <c r="O292" t="s">
        <v>1686</v>
      </c>
      <c r="P292">
        <v>0</v>
      </c>
      <c r="Q292">
        <v>325000</v>
      </c>
      <c r="R292">
        <v>0</v>
      </c>
      <c r="S292">
        <v>0</v>
      </c>
      <c r="T292" t="str">
        <f t="shared" si="8"/>
        <v>301.00.0000.00.0-205616.2.1.1.01.03.113.</v>
      </c>
      <c r="U292" t="e" cm="1">
        <f t="array" aca="1" ref="U292" ca="1">+IF(COMPROMISOS_2025[[#This Row],[P]]="20","41080111",_xlfn.XLOOKUP(COMPROMISOS_2025[[#This Row],[concatenado]],PAA[[#All],[RCP-RUBRO]],PAA[[#All],[INDICADOR]],"",0))</f>
        <v>#NAME?</v>
      </c>
      <c r="V292" s="144" t="str">
        <f t="shared" si="9"/>
        <v>00</v>
      </c>
      <c r="W292" s="136">
        <f>+COMPROMISOS_2025[[#This Row],[valor_total]]-COMPROMISOS_2025[[#This Row],[total_cancelado]]</f>
        <v>325000</v>
      </c>
      <c r="X292" s="136">
        <f>COMPROMISOS_2025[[#This Row],[total_ordenes]]</f>
        <v>325000</v>
      </c>
      <c r="Y292" t="str" cm="1">
        <f t="array" aca="1" ref="Y292" ca="1">IFERROR(_xlfn.XLOOKUP(COMPROMISOS_2025[[#This Row],[concatenado]],PAA[[#All],[RCP-RUBRO]],PAA[[#All],[Actividad3]],VLOOKUP(COMPROMISOS_2025[[#This Row],[Indicador Principal]],$AC$2:$AD$17,2,0),0),"")</f>
        <v/>
      </c>
    </row>
    <row r="293" spans="1:25" hidden="1" x14ac:dyDescent="0.25">
      <c r="A293">
        <v>31</v>
      </c>
      <c r="B293" t="s">
        <v>2530</v>
      </c>
      <c r="C293" t="s">
        <v>883</v>
      </c>
      <c r="D293" t="s">
        <v>2634</v>
      </c>
      <c r="F293">
        <v>16</v>
      </c>
      <c r="G293">
        <v>23</v>
      </c>
      <c r="H293" t="s">
        <v>92</v>
      </c>
      <c r="I293" t="s">
        <v>1756</v>
      </c>
      <c r="J293">
        <v>196200</v>
      </c>
      <c r="K293">
        <v>2025</v>
      </c>
      <c r="L293">
        <v>1027954329</v>
      </c>
      <c r="M293" t="s">
        <v>2604</v>
      </c>
      <c r="N293" t="s">
        <v>1688</v>
      </c>
      <c r="O293" t="s">
        <v>1686</v>
      </c>
      <c r="P293">
        <v>0</v>
      </c>
      <c r="Q293">
        <v>196200</v>
      </c>
      <c r="R293">
        <v>0</v>
      </c>
      <c r="S293">
        <v>0</v>
      </c>
      <c r="T293" t="str">
        <f t="shared" si="8"/>
        <v>311.00.0000.00.0-205616.2.1.1.01.03.113.</v>
      </c>
      <c r="U293" t="e" cm="1">
        <f t="array" aca="1" ref="U293" ca="1">+IF(COMPROMISOS_2025[[#This Row],[P]]="20","41080111",_xlfn.XLOOKUP(COMPROMISOS_2025[[#This Row],[concatenado]],PAA[[#All],[RCP-RUBRO]],PAA[[#All],[INDICADOR]],"",0))</f>
        <v>#NAME?</v>
      </c>
      <c r="V293" s="144" t="str">
        <f t="shared" si="9"/>
        <v>00</v>
      </c>
      <c r="W293" s="136">
        <f>+COMPROMISOS_2025[[#This Row],[valor_total]]-COMPROMISOS_2025[[#This Row],[total_cancelado]]</f>
        <v>196200</v>
      </c>
      <c r="X293" s="136">
        <f>COMPROMISOS_2025[[#This Row],[total_ordenes]]</f>
        <v>196200</v>
      </c>
      <c r="Y293" t="str" cm="1">
        <f t="array" aca="1" ref="Y293" ca="1">IFERROR(_xlfn.XLOOKUP(COMPROMISOS_2025[[#This Row],[concatenado]],PAA[[#All],[RCP-RUBRO]],PAA[[#All],[Actividad3]],VLOOKUP(COMPROMISOS_2025[[#This Row],[Indicador Principal]],$AC$2:$AD$17,2,0),0),"")</f>
        <v/>
      </c>
    </row>
    <row r="294" spans="1:25" hidden="1" x14ac:dyDescent="0.25">
      <c r="A294">
        <v>286</v>
      </c>
      <c r="B294" t="s">
        <v>2546</v>
      </c>
      <c r="C294" t="s">
        <v>883</v>
      </c>
      <c r="D294" t="s">
        <v>2635</v>
      </c>
      <c r="F294">
        <v>335</v>
      </c>
      <c r="G294">
        <v>23</v>
      </c>
      <c r="H294" t="s">
        <v>92</v>
      </c>
      <c r="I294" t="s">
        <v>1756</v>
      </c>
      <c r="J294">
        <v>59685</v>
      </c>
      <c r="K294">
        <v>2025</v>
      </c>
      <c r="L294">
        <v>35076964</v>
      </c>
      <c r="M294" t="s">
        <v>2532</v>
      </c>
      <c r="N294" t="s">
        <v>1688</v>
      </c>
      <c r="O294" t="s">
        <v>1686</v>
      </c>
      <c r="P294">
        <v>0</v>
      </c>
      <c r="Q294">
        <v>59685</v>
      </c>
      <c r="R294">
        <v>0</v>
      </c>
      <c r="S294">
        <v>0</v>
      </c>
      <c r="T294" t="str">
        <f t="shared" si="8"/>
        <v>2861.00.0000.00.0-205616.2.1.1.01.03.113.</v>
      </c>
      <c r="U294" t="e" cm="1">
        <f t="array" aca="1" ref="U294" ca="1">+IF(COMPROMISOS_2025[[#This Row],[P]]="20","41080111",_xlfn.XLOOKUP(COMPROMISOS_2025[[#This Row],[concatenado]],PAA[[#All],[RCP-RUBRO]],PAA[[#All],[INDICADOR]],"",0))</f>
        <v>#NAME?</v>
      </c>
      <c r="V294" s="144" t="str">
        <f t="shared" si="9"/>
        <v>00</v>
      </c>
      <c r="W294" s="136">
        <f>+COMPROMISOS_2025[[#This Row],[valor_total]]-COMPROMISOS_2025[[#This Row],[total_cancelado]]</f>
        <v>59685</v>
      </c>
      <c r="X294" s="136">
        <f>COMPROMISOS_2025[[#This Row],[total_ordenes]]</f>
        <v>59685</v>
      </c>
      <c r="Y294" t="str" cm="1">
        <f t="array" aca="1" ref="Y294" ca="1">IFERROR(_xlfn.XLOOKUP(COMPROMISOS_2025[[#This Row],[concatenado]],PAA[[#All],[RCP-RUBRO]],PAA[[#All],[Actividad3]],VLOOKUP(COMPROMISOS_2025[[#This Row],[Indicador Principal]],$AC$2:$AD$17,2,0),0),"")</f>
        <v/>
      </c>
    </row>
    <row r="295" spans="1:25" hidden="1" x14ac:dyDescent="0.25">
      <c r="A295">
        <v>287</v>
      </c>
      <c r="B295" t="s">
        <v>2546</v>
      </c>
      <c r="C295" t="s">
        <v>883</v>
      </c>
      <c r="D295" t="s">
        <v>2635</v>
      </c>
      <c r="F295">
        <v>335</v>
      </c>
      <c r="G295">
        <v>23</v>
      </c>
      <c r="H295" t="s">
        <v>92</v>
      </c>
      <c r="I295" t="s">
        <v>1756</v>
      </c>
      <c r="J295">
        <v>233400</v>
      </c>
      <c r="K295">
        <v>2025</v>
      </c>
      <c r="L295">
        <v>8103470</v>
      </c>
      <c r="M295" t="s">
        <v>2548</v>
      </c>
      <c r="N295" t="s">
        <v>1688</v>
      </c>
      <c r="O295" t="s">
        <v>1686</v>
      </c>
      <c r="P295">
        <v>0</v>
      </c>
      <c r="Q295">
        <v>233400</v>
      </c>
      <c r="R295">
        <v>0</v>
      </c>
      <c r="S295">
        <v>0</v>
      </c>
      <c r="T295" t="str">
        <f t="shared" si="8"/>
        <v>2871.00.0000.00.0-205616.2.1.1.01.03.113.</v>
      </c>
      <c r="U295" t="e" cm="1">
        <f t="array" aca="1" ref="U295" ca="1">+IF(COMPROMISOS_2025[[#This Row],[P]]="20","41080111",_xlfn.XLOOKUP(COMPROMISOS_2025[[#This Row],[concatenado]],PAA[[#All],[RCP-RUBRO]],PAA[[#All],[INDICADOR]],"",0))</f>
        <v>#NAME?</v>
      </c>
      <c r="V295" s="144" t="str">
        <f t="shared" si="9"/>
        <v>00</v>
      </c>
      <c r="W295" s="136">
        <f>+COMPROMISOS_2025[[#This Row],[valor_total]]-COMPROMISOS_2025[[#This Row],[total_cancelado]]</f>
        <v>233400</v>
      </c>
      <c r="X295" s="136">
        <f>COMPROMISOS_2025[[#This Row],[total_ordenes]]</f>
        <v>233400</v>
      </c>
      <c r="Y295" t="str" cm="1">
        <f t="array" aca="1" ref="Y295" ca="1">IFERROR(_xlfn.XLOOKUP(COMPROMISOS_2025[[#This Row],[concatenado]],PAA[[#All],[RCP-RUBRO]],PAA[[#All],[Actividad3]],VLOOKUP(COMPROMISOS_2025[[#This Row],[Indicador Principal]],$AC$2:$AD$17,2,0),0),"")</f>
        <v/>
      </c>
    </row>
    <row r="296" spans="1:25" hidden="1" x14ac:dyDescent="0.25">
      <c r="A296">
        <v>288</v>
      </c>
      <c r="B296" t="s">
        <v>2546</v>
      </c>
      <c r="C296" t="s">
        <v>883</v>
      </c>
      <c r="D296" t="s">
        <v>2635</v>
      </c>
      <c r="F296">
        <v>335</v>
      </c>
      <c r="G296">
        <v>23</v>
      </c>
      <c r="H296" t="s">
        <v>92</v>
      </c>
      <c r="I296" t="s">
        <v>1756</v>
      </c>
      <c r="J296">
        <v>150000</v>
      </c>
      <c r="K296">
        <v>2025</v>
      </c>
      <c r="L296">
        <v>84342664</v>
      </c>
      <c r="M296" t="s">
        <v>2636</v>
      </c>
      <c r="N296" t="s">
        <v>1688</v>
      </c>
      <c r="O296" t="s">
        <v>1686</v>
      </c>
      <c r="P296">
        <v>0</v>
      </c>
      <c r="Q296">
        <v>150000</v>
      </c>
      <c r="R296">
        <v>0</v>
      </c>
      <c r="S296">
        <v>0</v>
      </c>
      <c r="T296" t="str">
        <f t="shared" si="8"/>
        <v>2881.00.0000.00.0-205616.2.1.1.01.03.113.</v>
      </c>
      <c r="U296" t="e" cm="1">
        <f t="array" aca="1" ref="U296" ca="1">+IF(COMPROMISOS_2025[[#This Row],[P]]="20","41080111",_xlfn.XLOOKUP(COMPROMISOS_2025[[#This Row],[concatenado]],PAA[[#All],[RCP-RUBRO]],PAA[[#All],[INDICADOR]],"",0))</f>
        <v>#NAME?</v>
      </c>
      <c r="V296" s="144" t="str">
        <f t="shared" si="9"/>
        <v>00</v>
      </c>
      <c r="W296" s="136">
        <f>+COMPROMISOS_2025[[#This Row],[valor_total]]-COMPROMISOS_2025[[#This Row],[total_cancelado]]</f>
        <v>150000</v>
      </c>
      <c r="X296" s="136">
        <f>COMPROMISOS_2025[[#This Row],[total_ordenes]]</f>
        <v>150000</v>
      </c>
      <c r="Y296" t="str" cm="1">
        <f t="array" aca="1" ref="Y296" ca="1">IFERROR(_xlfn.XLOOKUP(COMPROMISOS_2025[[#This Row],[concatenado]],PAA[[#All],[RCP-RUBRO]],PAA[[#All],[Actividad3]],VLOOKUP(COMPROMISOS_2025[[#This Row],[Indicador Principal]],$AC$2:$AD$17,2,0),0),"")</f>
        <v/>
      </c>
    </row>
    <row r="297" spans="1:25" hidden="1" x14ac:dyDescent="0.25">
      <c r="A297">
        <v>289</v>
      </c>
      <c r="B297" t="s">
        <v>2546</v>
      </c>
      <c r="C297" t="s">
        <v>883</v>
      </c>
      <c r="D297" t="s">
        <v>2635</v>
      </c>
      <c r="F297">
        <v>335</v>
      </c>
      <c r="G297">
        <v>23</v>
      </c>
      <c r="H297" t="s">
        <v>92</v>
      </c>
      <c r="I297" t="s">
        <v>1756</v>
      </c>
      <c r="J297">
        <v>199800</v>
      </c>
      <c r="K297">
        <v>2025</v>
      </c>
      <c r="L297">
        <v>102671896</v>
      </c>
      <c r="M297" t="s">
        <v>2549</v>
      </c>
      <c r="N297" t="s">
        <v>1688</v>
      </c>
      <c r="O297" t="s">
        <v>1686</v>
      </c>
      <c r="P297">
        <v>0</v>
      </c>
      <c r="Q297">
        <v>199800</v>
      </c>
      <c r="R297">
        <v>0</v>
      </c>
      <c r="S297">
        <v>0</v>
      </c>
      <c r="T297" t="str">
        <f t="shared" si="8"/>
        <v>2891.00.0000.00.0-205616.2.1.1.01.03.113.</v>
      </c>
      <c r="U297" t="e" cm="1">
        <f t="array" aca="1" ref="U297" ca="1">+IF(COMPROMISOS_2025[[#This Row],[P]]="20","41080111",_xlfn.XLOOKUP(COMPROMISOS_2025[[#This Row],[concatenado]],PAA[[#All],[RCP-RUBRO]],PAA[[#All],[INDICADOR]],"",0))</f>
        <v>#NAME?</v>
      </c>
      <c r="V297" s="144" t="str">
        <f t="shared" si="9"/>
        <v>00</v>
      </c>
      <c r="W297" s="136">
        <f>+COMPROMISOS_2025[[#This Row],[valor_total]]-COMPROMISOS_2025[[#This Row],[total_cancelado]]</f>
        <v>199800</v>
      </c>
      <c r="X297" s="136">
        <f>COMPROMISOS_2025[[#This Row],[total_ordenes]]</f>
        <v>199800</v>
      </c>
      <c r="Y297" t="str" cm="1">
        <f t="array" aca="1" ref="Y297" ca="1">IFERROR(_xlfn.XLOOKUP(COMPROMISOS_2025[[#This Row],[concatenado]],PAA[[#All],[RCP-RUBRO]],PAA[[#All],[Actividad3]],VLOOKUP(COMPROMISOS_2025[[#This Row],[Indicador Principal]],$AC$2:$AD$17,2,0),0),"")</f>
        <v/>
      </c>
    </row>
    <row r="298" spans="1:25" hidden="1" x14ac:dyDescent="0.25">
      <c r="A298">
        <v>290</v>
      </c>
      <c r="B298" t="s">
        <v>2546</v>
      </c>
      <c r="C298" t="s">
        <v>883</v>
      </c>
      <c r="D298" t="s">
        <v>2635</v>
      </c>
      <c r="F298">
        <v>335</v>
      </c>
      <c r="G298">
        <v>23</v>
      </c>
      <c r="H298" t="s">
        <v>92</v>
      </c>
      <c r="I298" t="s">
        <v>1756</v>
      </c>
      <c r="J298">
        <v>330000</v>
      </c>
      <c r="K298">
        <v>2025</v>
      </c>
      <c r="L298">
        <v>322207996</v>
      </c>
      <c r="M298" t="s">
        <v>2556</v>
      </c>
      <c r="N298" t="s">
        <v>1688</v>
      </c>
      <c r="O298" t="s">
        <v>1686</v>
      </c>
      <c r="P298">
        <v>0</v>
      </c>
      <c r="Q298">
        <v>330000</v>
      </c>
      <c r="R298">
        <v>0</v>
      </c>
      <c r="S298">
        <v>0</v>
      </c>
      <c r="T298" t="str">
        <f t="shared" si="8"/>
        <v>2901.00.0000.00.0-205616.2.1.1.01.03.113.</v>
      </c>
      <c r="U298" t="e" cm="1">
        <f t="array" aca="1" ref="U298" ca="1">+IF(COMPROMISOS_2025[[#This Row],[P]]="20","41080111",_xlfn.XLOOKUP(COMPROMISOS_2025[[#This Row],[concatenado]],PAA[[#All],[RCP-RUBRO]],PAA[[#All],[INDICADOR]],"",0))</f>
        <v>#NAME?</v>
      </c>
      <c r="V298" s="144" t="str">
        <f t="shared" si="9"/>
        <v>00</v>
      </c>
      <c r="W298" s="136">
        <f>+COMPROMISOS_2025[[#This Row],[valor_total]]-COMPROMISOS_2025[[#This Row],[total_cancelado]]</f>
        <v>330000</v>
      </c>
      <c r="X298" s="136">
        <f>COMPROMISOS_2025[[#This Row],[total_ordenes]]</f>
        <v>330000</v>
      </c>
      <c r="Y298" t="str" cm="1">
        <f t="array" aca="1" ref="Y298" ca="1">IFERROR(_xlfn.XLOOKUP(COMPROMISOS_2025[[#This Row],[concatenado]],PAA[[#All],[RCP-RUBRO]],PAA[[#All],[Actividad3]],VLOOKUP(COMPROMISOS_2025[[#This Row],[Indicador Principal]],$AC$2:$AD$17,2,0),0),"")</f>
        <v/>
      </c>
    </row>
    <row r="299" spans="1:25" hidden="1" x14ac:dyDescent="0.25">
      <c r="A299">
        <v>291</v>
      </c>
      <c r="B299" t="s">
        <v>2546</v>
      </c>
      <c r="C299" t="s">
        <v>883</v>
      </c>
      <c r="D299" t="s">
        <v>2635</v>
      </c>
      <c r="F299">
        <v>335</v>
      </c>
      <c r="G299">
        <v>23</v>
      </c>
      <c r="H299" t="s">
        <v>92</v>
      </c>
      <c r="I299" t="s">
        <v>1756</v>
      </c>
      <c r="J299">
        <v>300000</v>
      </c>
      <c r="K299">
        <v>2025</v>
      </c>
      <c r="L299">
        <v>370030331</v>
      </c>
      <c r="M299" t="s">
        <v>2559</v>
      </c>
      <c r="N299" t="s">
        <v>1688</v>
      </c>
      <c r="O299" t="s">
        <v>1686</v>
      </c>
      <c r="P299">
        <v>0</v>
      </c>
      <c r="Q299">
        <v>300000</v>
      </c>
      <c r="R299">
        <v>0</v>
      </c>
      <c r="S299">
        <v>0</v>
      </c>
      <c r="T299" t="str">
        <f t="shared" si="8"/>
        <v>2911.00.0000.00.0-205616.2.1.1.01.03.113.</v>
      </c>
      <c r="U299" t="e" cm="1">
        <f t="array" aca="1" ref="U299" ca="1">+IF(COMPROMISOS_2025[[#This Row],[P]]="20","41080111",_xlfn.XLOOKUP(COMPROMISOS_2025[[#This Row],[concatenado]],PAA[[#All],[RCP-RUBRO]],PAA[[#All],[INDICADOR]],"",0))</f>
        <v>#NAME?</v>
      </c>
      <c r="V299" s="144" t="str">
        <f t="shared" si="9"/>
        <v>00</v>
      </c>
      <c r="W299" s="136">
        <f>+COMPROMISOS_2025[[#This Row],[valor_total]]-COMPROMISOS_2025[[#This Row],[total_cancelado]]</f>
        <v>300000</v>
      </c>
      <c r="X299" s="136">
        <f>COMPROMISOS_2025[[#This Row],[total_ordenes]]</f>
        <v>300000</v>
      </c>
      <c r="Y299" t="str" cm="1">
        <f t="array" aca="1" ref="Y299" ca="1">IFERROR(_xlfn.XLOOKUP(COMPROMISOS_2025[[#This Row],[concatenado]],PAA[[#All],[RCP-RUBRO]],PAA[[#All],[Actividad3]],VLOOKUP(COMPROMISOS_2025[[#This Row],[Indicador Principal]],$AC$2:$AD$17,2,0),0),"")</f>
        <v/>
      </c>
    </row>
    <row r="300" spans="1:25" hidden="1" x14ac:dyDescent="0.25">
      <c r="A300">
        <v>292</v>
      </c>
      <c r="B300" t="s">
        <v>2546</v>
      </c>
      <c r="C300" t="s">
        <v>883</v>
      </c>
      <c r="D300" t="s">
        <v>2635</v>
      </c>
      <c r="F300">
        <v>335</v>
      </c>
      <c r="G300">
        <v>23</v>
      </c>
      <c r="H300" t="s">
        <v>92</v>
      </c>
      <c r="I300" t="s">
        <v>1756</v>
      </c>
      <c r="J300">
        <v>108533</v>
      </c>
      <c r="K300">
        <v>2025</v>
      </c>
      <c r="L300">
        <v>426904187</v>
      </c>
      <c r="M300" t="s">
        <v>2563</v>
      </c>
      <c r="N300" t="s">
        <v>1688</v>
      </c>
      <c r="O300" t="s">
        <v>1686</v>
      </c>
      <c r="P300">
        <v>0</v>
      </c>
      <c r="Q300">
        <v>108533</v>
      </c>
      <c r="R300">
        <v>0</v>
      </c>
      <c r="S300">
        <v>0</v>
      </c>
      <c r="T300" t="str">
        <f t="shared" si="8"/>
        <v>2921.00.0000.00.0-205616.2.1.1.01.03.113.</v>
      </c>
      <c r="U300" t="e" cm="1">
        <f t="array" aca="1" ref="U300" ca="1">+IF(COMPROMISOS_2025[[#This Row],[P]]="20","41080111",_xlfn.XLOOKUP(COMPROMISOS_2025[[#This Row],[concatenado]],PAA[[#All],[RCP-RUBRO]],PAA[[#All],[INDICADOR]],"",0))</f>
        <v>#NAME?</v>
      </c>
      <c r="V300" s="144" t="str">
        <f t="shared" si="9"/>
        <v>00</v>
      </c>
      <c r="W300" s="136">
        <f>+COMPROMISOS_2025[[#This Row],[valor_total]]-COMPROMISOS_2025[[#This Row],[total_cancelado]]</f>
        <v>108533</v>
      </c>
      <c r="X300" s="136">
        <f>COMPROMISOS_2025[[#This Row],[total_ordenes]]</f>
        <v>108533</v>
      </c>
      <c r="Y300" t="str" cm="1">
        <f t="array" aca="1" ref="Y300" ca="1">IFERROR(_xlfn.XLOOKUP(COMPROMISOS_2025[[#This Row],[concatenado]],PAA[[#All],[RCP-RUBRO]],PAA[[#All],[Actividad3]],VLOOKUP(COMPROMISOS_2025[[#This Row],[Indicador Principal]],$AC$2:$AD$17,2,0),0),"")</f>
        <v/>
      </c>
    </row>
    <row r="301" spans="1:25" hidden="1" x14ac:dyDescent="0.25">
      <c r="A301">
        <v>293</v>
      </c>
      <c r="B301" t="s">
        <v>2546</v>
      </c>
      <c r="C301" t="s">
        <v>883</v>
      </c>
      <c r="D301" t="s">
        <v>2635</v>
      </c>
      <c r="F301">
        <v>335</v>
      </c>
      <c r="G301">
        <v>23</v>
      </c>
      <c r="H301" t="s">
        <v>92</v>
      </c>
      <c r="I301" t="s">
        <v>1756</v>
      </c>
      <c r="J301">
        <v>295202</v>
      </c>
      <c r="K301">
        <v>2025</v>
      </c>
      <c r="L301">
        <v>43150744</v>
      </c>
      <c r="M301" t="s">
        <v>2565</v>
      </c>
      <c r="N301" t="s">
        <v>1688</v>
      </c>
      <c r="O301" t="s">
        <v>1686</v>
      </c>
      <c r="P301">
        <v>0</v>
      </c>
      <c r="Q301">
        <v>295202</v>
      </c>
      <c r="R301">
        <v>0</v>
      </c>
      <c r="S301">
        <v>0</v>
      </c>
      <c r="T301" t="str">
        <f t="shared" si="8"/>
        <v>2931.00.0000.00.0-205616.2.1.1.01.03.113.</v>
      </c>
      <c r="U301" t="e" cm="1">
        <f t="array" aca="1" ref="U301" ca="1">+IF(COMPROMISOS_2025[[#This Row],[P]]="20","41080111",_xlfn.XLOOKUP(COMPROMISOS_2025[[#This Row],[concatenado]],PAA[[#All],[RCP-RUBRO]],PAA[[#All],[INDICADOR]],"",0))</f>
        <v>#NAME?</v>
      </c>
      <c r="V301" s="144" t="str">
        <f t="shared" si="9"/>
        <v>00</v>
      </c>
      <c r="W301" s="136">
        <f>+COMPROMISOS_2025[[#This Row],[valor_total]]-COMPROMISOS_2025[[#This Row],[total_cancelado]]</f>
        <v>295202</v>
      </c>
      <c r="X301" s="136">
        <f>COMPROMISOS_2025[[#This Row],[total_ordenes]]</f>
        <v>295202</v>
      </c>
      <c r="Y301" t="str" cm="1">
        <f t="array" aca="1" ref="Y301" ca="1">IFERROR(_xlfn.XLOOKUP(COMPROMISOS_2025[[#This Row],[concatenado]],PAA[[#All],[RCP-RUBRO]],PAA[[#All],[Actividad3]],VLOOKUP(COMPROMISOS_2025[[#This Row],[Indicador Principal]],$AC$2:$AD$17,2,0),0),"")</f>
        <v/>
      </c>
    </row>
    <row r="302" spans="1:25" hidden="1" x14ac:dyDescent="0.25">
      <c r="A302">
        <v>294</v>
      </c>
      <c r="B302" t="s">
        <v>2546</v>
      </c>
      <c r="C302" t="s">
        <v>883</v>
      </c>
      <c r="D302" t="s">
        <v>2635</v>
      </c>
      <c r="F302">
        <v>335</v>
      </c>
      <c r="G302">
        <v>23</v>
      </c>
      <c r="H302" t="s">
        <v>92</v>
      </c>
      <c r="I302" t="s">
        <v>1756</v>
      </c>
      <c r="J302">
        <v>149500</v>
      </c>
      <c r="K302">
        <v>2025</v>
      </c>
      <c r="L302">
        <v>435081331</v>
      </c>
      <c r="M302" t="s">
        <v>2622</v>
      </c>
      <c r="N302" t="s">
        <v>1688</v>
      </c>
      <c r="O302" t="s">
        <v>1686</v>
      </c>
      <c r="P302">
        <v>0</v>
      </c>
      <c r="Q302">
        <v>149500</v>
      </c>
      <c r="R302">
        <v>0</v>
      </c>
      <c r="S302">
        <v>0</v>
      </c>
      <c r="T302" t="str">
        <f t="shared" si="8"/>
        <v>2941.00.0000.00.0-205616.2.1.1.01.03.113.</v>
      </c>
      <c r="U302" t="e" cm="1">
        <f t="array" aca="1" ref="U302" ca="1">+IF(COMPROMISOS_2025[[#This Row],[P]]="20","41080111",_xlfn.XLOOKUP(COMPROMISOS_2025[[#This Row],[concatenado]],PAA[[#All],[RCP-RUBRO]],PAA[[#All],[INDICADOR]],"",0))</f>
        <v>#NAME?</v>
      </c>
      <c r="V302" s="144" t="str">
        <f t="shared" si="9"/>
        <v>00</v>
      </c>
      <c r="W302" s="136">
        <f>+COMPROMISOS_2025[[#This Row],[valor_total]]-COMPROMISOS_2025[[#This Row],[total_cancelado]]</f>
        <v>149500</v>
      </c>
      <c r="X302" s="136">
        <f>COMPROMISOS_2025[[#This Row],[total_ordenes]]</f>
        <v>149500</v>
      </c>
      <c r="Y302" t="str" cm="1">
        <f t="array" aca="1" ref="Y302" ca="1">IFERROR(_xlfn.XLOOKUP(COMPROMISOS_2025[[#This Row],[concatenado]],PAA[[#All],[RCP-RUBRO]],PAA[[#All],[Actividad3]],VLOOKUP(COMPROMISOS_2025[[#This Row],[Indicador Principal]],$AC$2:$AD$17,2,0),0),"")</f>
        <v/>
      </c>
    </row>
    <row r="303" spans="1:25" hidden="1" x14ac:dyDescent="0.25">
      <c r="A303">
        <v>295</v>
      </c>
      <c r="B303" t="s">
        <v>2546</v>
      </c>
      <c r="C303" t="s">
        <v>883</v>
      </c>
      <c r="D303" t="s">
        <v>2635</v>
      </c>
      <c r="F303">
        <v>335</v>
      </c>
      <c r="G303">
        <v>23</v>
      </c>
      <c r="H303" t="s">
        <v>92</v>
      </c>
      <c r="I303" t="s">
        <v>1756</v>
      </c>
      <c r="J303">
        <v>355875</v>
      </c>
      <c r="K303">
        <v>2025</v>
      </c>
      <c r="L303">
        <v>435482045</v>
      </c>
      <c r="M303" t="s">
        <v>2571</v>
      </c>
      <c r="N303" t="s">
        <v>1688</v>
      </c>
      <c r="O303" t="s">
        <v>1686</v>
      </c>
      <c r="P303">
        <v>0</v>
      </c>
      <c r="Q303">
        <v>355875</v>
      </c>
      <c r="R303">
        <v>0</v>
      </c>
      <c r="S303">
        <v>0</v>
      </c>
      <c r="T303" t="str">
        <f t="shared" si="8"/>
        <v>2951.00.0000.00.0-205616.2.1.1.01.03.113.</v>
      </c>
      <c r="U303" t="e" cm="1">
        <f t="array" aca="1" ref="U303" ca="1">+IF(COMPROMISOS_2025[[#This Row],[P]]="20","41080111",_xlfn.XLOOKUP(COMPROMISOS_2025[[#This Row],[concatenado]],PAA[[#All],[RCP-RUBRO]],PAA[[#All],[INDICADOR]],"",0))</f>
        <v>#NAME?</v>
      </c>
      <c r="V303" s="144" t="str">
        <f t="shared" si="9"/>
        <v>00</v>
      </c>
      <c r="W303" s="136">
        <f>+COMPROMISOS_2025[[#This Row],[valor_total]]-COMPROMISOS_2025[[#This Row],[total_cancelado]]</f>
        <v>355875</v>
      </c>
      <c r="X303" s="136">
        <f>COMPROMISOS_2025[[#This Row],[total_ordenes]]</f>
        <v>355875</v>
      </c>
      <c r="Y303" t="str" cm="1">
        <f t="array" aca="1" ref="Y303" ca="1">IFERROR(_xlfn.XLOOKUP(COMPROMISOS_2025[[#This Row],[concatenado]],PAA[[#All],[RCP-RUBRO]],PAA[[#All],[Actividad3]],VLOOKUP(COMPROMISOS_2025[[#This Row],[Indicador Principal]],$AC$2:$AD$17,2,0),0),"")</f>
        <v/>
      </c>
    </row>
    <row r="304" spans="1:25" hidden="1" x14ac:dyDescent="0.25">
      <c r="A304">
        <v>296</v>
      </c>
      <c r="B304" t="s">
        <v>2546</v>
      </c>
      <c r="C304" t="s">
        <v>883</v>
      </c>
      <c r="D304" t="s">
        <v>2635</v>
      </c>
      <c r="F304">
        <v>335</v>
      </c>
      <c r="G304">
        <v>23</v>
      </c>
      <c r="H304" t="s">
        <v>92</v>
      </c>
      <c r="I304" t="s">
        <v>1756</v>
      </c>
      <c r="J304">
        <v>180000</v>
      </c>
      <c r="K304">
        <v>2025</v>
      </c>
      <c r="L304">
        <v>435759807</v>
      </c>
      <c r="M304" t="s">
        <v>2572</v>
      </c>
      <c r="N304" t="s">
        <v>1688</v>
      </c>
      <c r="O304" t="s">
        <v>1686</v>
      </c>
      <c r="P304">
        <v>0</v>
      </c>
      <c r="Q304">
        <v>180000</v>
      </c>
      <c r="R304">
        <v>0</v>
      </c>
      <c r="S304">
        <v>0</v>
      </c>
      <c r="T304" t="str">
        <f t="shared" si="8"/>
        <v>2961.00.0000.00.0-205616.2.1.1.01.03.113.</v>
      </c>
      <c r="U304" t="e" cm="1">
        <f t="array" aca="1" ref="U304" ca="1">+IF(COMPROMISOS_2025[[#This Row],[P]]="20","41080111",_xlfn.XLOOKUP(COMPROMISOS_2025[[#This Row],[concatenado]],PAA[[#All],[RCP-RUBRO]],PAA[[#All],[INDICADOR]],"",0))</f>
        <v>#NAME?</v>
      </c>
      <c r="V304" s="144" t="str">
        <f t="shared" si="9"/>
        <v>00</v>
      </c>
      <c r="W304" s="136">
        <f>+COMPROMISOS_2025[[#This Row],[valor_total]]-COMPROMISOS_2025[[#This Row],[total_cancelado]]</f>
        <v>180000</v>
      </c>
      <c r="X304" s="136">
        <f>COMPROMISOS_2025[[#This Row],[total_ordenes]]</f>
        <v>180000</v>
      </c>
      <c r="Y304" t="str" cm="1">
        <f t="array" aca="1" ref="Y304" ca="1">IFERROR(_xlfn.XLOOKUP(COMPROMISOS_2025[[#This Row],[concatenado]],PAA[[#All],[RCP-RUBRO]],PAA[[#All],[Actividad3]],VLOOKUP(COMPROMISOS_2025[[#This Row],[Indicador Principal]],$AC$2:$AD$17,2,0),0),"")</f>
        <v/>
      </c>
    </row>
    <row r="305" spans="1:25" hidden="1" x14ac:dyDescent="0.25">
      <c r="A305">
        <v>297</v>
      </c>
      <c r="B305" t="s">
        <v>2546</v>
      </c>
      <c r="C305" t="s">
        <v>883</v>
      </c>
      <c r="D305" t="s">
        <v>2635</v>
      </c>
      <c r="F305">
        <v>335</v>
      </c>
      <c r="G305">
        <v>23</v>
      </c>
      <c r="H305" t="s">
        <v>92</v>
      </c>
      <c r="I305" t="s">
        <v>1756</v>
      </c>
      <c r="J305">
        <v>159992</v>
      </c>
      <c r="K305">
        <v>2025</v>
      </c>
      <c r="L305">
        <v>435954059</v>
      </c>
      <c r="M305" t="s">
        <v>2575</v>
      </c>
      <c r="N305" t="s">
        <v>1688</v>
      </c>
      <c r="O305" t="s">
        <v>1686</v>
      </c>
      <c r="P305">
        <v>0</v>
      </c>
      <c r="Q305">
        <v>159992</v>
      </c>
      <c r="R305">
        <v>0</v>
      </c>
      <c r="S305">
        <v>0</v>
      </c>
      <c r="T305" t="str">
        <f t="shared" si="8"/>
        <v>2971.00.0000.00.0-205616.2.1.1.01.03.113.</v>
      </c>
      <c r="U305" t="e" cm="1">
        <f t="array" aca="1" ref="U305" ca="1">+IF(COMPROMISOS_2025[[#This Row],[P]]="20","41080111",_xlfn.XLOOKUP(COMPROMISOS_2025[[#This Row],[concatenado]],PAA[[#All],[RCP-RUBRO]],PAA[[#All],[INDICADOR]],"",0))</f>
        <v>#NAME?</v>
      </c>
      <c r="V305" s="144" t="str">
        <f t="shared" si="9"/>
        <v>00</v>
      </c>
      <c r="W305" s="136">
        <f>+COMPROMISOS_2025[[#This Row],[valor_total]]-COMPROMISOS_2025[[#This Row],[total_cancelado]]</f>
        <v>159992</v>
      </c>
      <c r="X305" s="136">
        <f>COMPROMISOS_2025[[#This Row],[total_ordenes]]</f>
        <v>159992</v>
      </c>
      <c r="Y305" t="str" cm="1">
        <f t="array" aca="1" ref="Y305" ca="1">IFERROR(_xlfn.XLOOKUP(COMPROMISOS_2025[[#This Row],[concatenado]],PAA[[#All],[RCP-RUBRO]],PAA[[#All],[Actividad3]],VLOOKUP(COMPROMISOS_2025[[#This Row],[Indicador Principal]],$AC$2:$AD$17,2,0),0),"")</f>
        <v/>
      </c>
    </row>
    <row r="306" spans="1:25" hidden="1" x14ac:dyDescent="0.25">
      <c r="A306">
        <v>298</v>
      </c>
      <c r="B306" t="s">
        <v>2546</v>
      </c>
      <c r="C306" t="s">
        <v>883</v>
      </c>
      <c r="D306" t="s">
        <v>2635</v>
      </c>
      <c r="F306">
        <v>335</v>
      </c>
      <c r="G306">
        <v>23</v>
      </c>
      <c r="H306" t="s">
        <v>92</v>
      </c>
      <c r="I306" t="s">
        <v>1756</v>
      </c>
      <c r="J306">
        <v>300000</v>
      </c>
      <c r="K306">
        <v>2025</v>
      </c>
      <c r="L306">
        <v>438068629</v>
      </c>
      <c r="M306" t="s">
        <v>2582</v>
      </c>
      <c r="N306" t="s">
        <v>1688</v>
      </c>
      <c r="O306" t="s">
        <v>1686</v>
      </c>
      <c r="P306">
        <v>0</v>
      </c>
      <c r="Q306">
        <v>300000</v>
      </c>
      <c r="R306">
        <v>0</v>
      </c>
      <c r="S306">
        <v>0</v>
      </c>
      <c r="T306" t="str">
        <f t="shared" si="8"/>
        <v>2981.00.0000.00.0-205616.2.1.1.01.03.113.</v>
      </c>
      <c r="U306" t="e" cm="1">
        <f t="array" aca="1" ref="U306" ca="1">+IF(COMPROMISOS_2025[[#This Row],[P]]="20","41080111",_xlfn.XLOOKUP(COMPROMISOS_2025[[#This Row],[concatenado]],PAA[[#All],[RCP-RUBRO]],PAA[[#All],[INDICADOR]],"",0))</f>
        <v>#NAME?</v>
      </c>
      <c r="V306" s="144" t="str">
        <f t="shared" si="9"/>
        <v>00</v>
      </c>
      <c r="W306" s="136">
        <f>+COMPROMISOS_2025[[#This Row],[valor_total]]-COMPROMISOS_2025[[#This Row],[total_cancelado]]</f>
        <v>300000</v>
      </c>
      <c r="X306" s="136">
        <f>COMPROMISOS_2025[[#This Row],[total_ordenes]]</f>
        <v>300000</v>
      </c>
      <c r="Y306" t="str" cm="1">
        <f t="array" aca="1" ref="Y306" ca="1">IFERROR(_xlfn.XLOOKUP(COMPROMISOS_2025[[#This Row],[concatenado]],PAA[[#All],[RCP-RUBRO]],PAA[[#All],[Actividad3]],VLOOKUP(COMPROMISOS_2025[[#This Row],[Indicador Principal]],$AC$2:$AD$17,2,0),0),"")</f>
        <v/>
      </c>
    </row>
    <row r="307" spans="1:25" hidden="1" x14ac:dyDescent="0.25">
      <c r="A307">
        <v>299</v>
      </c>
      <c r="B307" t="s">
        <v>2546</v>
      </c>
      <c r="C307" t="s">
        <v>883</v>
      </c>
      <c r="D307" t="s">
        <v>2635</v>
      </c>
      <c r="F307">
        <v>335</v>
      </c>
      <c r="G307">
        <v>23</v>
      </c>
      <c r="H307" t="s">
        <v>92</v>
      </c>
      <c r="I307" t="s">
        <v>1756</v>
      </c>
      <c r="J307">
        <v>162215</v>
      </c>
      <c r="K307">
        <v>2025</v>
      </c>
      <c r="L307">
        <v>439103353</v>
      </c>
      <c r="M307" t="s">
        <v>2543</v>
      </c>
      <c r="N307" t="s">
        <v>1688</v>
      </c>
      <c r="O307" t="s">
        <v>1686</v>
      </c>
      <c r="P307">
        <v>0</v>
      </c>
      <c r="Q307">
        <v>162215</v>
      </c>
      <c r="R307">
        <v>0</v>
      </c>
      <c r="S307">
        <v>0</v>
      </c>
      <c r="T307" t="str">
        <f t="shared" si="8"/>
        <v>2991.00.0000.00.0-205616.2.1.1.01.03.113.</v>
      </c>
      <c r="U307" t="e" cm="1">
        <f t="array" aca="1" ref="U307" ca="1">+IF(COMPROMISOS_2025[[#This Row],[P]]="20","41080111",_xlfn.XLOOKUP(COMPROMISOS_2025[[#This Row],[concatenado]],PAA[[#All],[RCP-RUBRO]],PAA[[#All],[INDICADOR]],"",0))</f>
        <v>#NAME?</v>
      </c>
      <c r="V307" s="144" t="str">
        <f t="shared" si="9"/>
        <v>00</v>
      </c>
      <c r="W307" s="136">
        <f>+COMPROMISOS_2025[[#This Row],[valor_total]]-COMPROMISOS_2025[[#This Row],[total_cancelado]]</f>
        <v>162215</v>
      </c>
      <c r="X307" s="136">
        <f>COMPROMISOS_2025[[#This Row],[total_ordenes]]</f>
        <v>162215</v>
      </c>
      <c r="Y307" t="str" cm="1">
        <f t="array" aca="1" ref="Y307" ca="1">IFERROR(_xlfn.XLOOKUP(COMPROMISOS_2025[[#This Row],[concatenado]],PAA[[#All],[RCP-RUBRO]],PAA[[#All],[Actividad3]],VLOOKUP(COMPROMISOS_2025[[#This Row],[Indicador Principal]],$AC$2:$AD$17,2,0),0),"")</f>
        <v/>
      </c>
    </row>
    <row r="308" spans="1:25" hidden="1" x14ac:dyDescent="0.25">
      <c r="A308">
        <v>300</v>
      </c>
      <c r="B308" t="s">
        <v>2546</v>
      </c>
      <c r="C308" t="s">
        <v>883</v>
      </c>
      <c r="D308" t="s">
        <v>2635</v>
      </c>
      <c r="F308">
        <v>335</v>
      </c>
      <c r="G308">
        <v>23</v>
      </c>
      <c r="H308" t="s">
        <v>92</v>
      </c>
      <c r="I308" t="s">
        <v>1756</v>
      </c>
      <c r="J308">
        <v>355875</v>
      </c>
      <c r="K308">
        <v>2025</v>
      </c>
      <c r="L308">
        <v>750751501</v>
      </c>
      <c r="M308" t="s">
        <v>2594</v>
      </c>
      <c r="N308" t="s">
        <v>1688</v>
      </c>
      <c r="O308" t="s">
        <v>1686</v>
      </c>
      <c r="P308">
        <v>0</v>
      </c>
      <c r="Q308">
        <v>355875</v>
      </c>
      <c r="R308">
        <v>0</v>
      </c>
      <c r="S308">
        <v>0</v>
      </c>
      <c r="T308" t="str">
        <f t="shared" si="8"/>
        <v>3001.00.0000.00.0-205616.2.1.1.01.03.113.</v>
      </c>
      <c r="U308" t="e" cm="1">
        <f t="array" aca="1" ref="U308" ca="1">+IF(COMPROMISOS_2025[[#This Row],[P]]="20","41080111",_xlfn.XLOOKUP(COMPROMISOS_2025[[#This Row],[concatenado]],PAA[[#All],[RCP-RUBRO]],PAA[[#All],[INDICADOR]],"",0))</f>
        <v>#NAME?</v>
      </c>
      <c r="V308" s="144" t="str">
        <f t="shared" si="9"/>
        <v>00</v>
      </c>
      <c r="W308" s="136">
        <f>+COMPROMISOS_2025[[#This Row],[valor_total]]-COMPROMISOS_2025[[#This Row],[total_cancelado]]</f>
        <v>355875</v>
      </c>
      <c r="X308" s="136">
        <f>COMPROMISOS_2025[[#This Row],[total_ordenes]]</f>
        <v>355875</v>
      </c>
      <c r="Y308" t="str" cm="1">
        <f t="array" aca="1" ref="Y308" ca="1">IFERROR(_xlfn.XLOOKUP(COMPROMISOS_2025[[#This Row],[concatenado]],PAA[[#All],[RCP-RUBRO]],PAA[[#All],[Actividad3]],VLOOKUP(COMPROMISOS_2025[[#This Row],[Indicador Principal]],$AC$2:$AD$17,2,0),0),"")</f>
        <v/>
      </c>
    </row>
    <row r="309" spans="1:25" hidden="1" x14ac:dyDescent="0.25">
      <c r="A309">
        <v>301</v>
      </c>
      <c r="B309" t="s">
        <v>2546</v>
      </c>
      <c r="C309" t="s">
        <v>883</v>
      </c>
      <c r="D309" t="s">
        <v>2635</v>
      </c>
      <c r="F309">
        <v>335</v>
      </c>
      <c r="G309">
        <v>23</v>
      </c>
      <c r="H309" t="s">
        <v>92</v>
      </c>
      <c r="I309" t="s">
        <v>1756</v>
      </c>
      <c r="J309">
        <v>160000</v>
      </c>
      <c r="K309">
        <v>2025</v>
      </c>
      <c r="L309">
        <v>986288618</v>
      </c>
      <c r="M309" t="s">
        <v>2598</v>
      </c>
      <c r="N309" t="s">
        <v>1688</v>
      </c>
      <c r="O309" t="s">
        <v>1686</v>
      </c>
      <c r="P309">
        <v>0</v>
      </c>
      <c r="Q309">
        <v>160000</v>
      </c>
      <c r="R309">
        <v>0</v>
      </c>
      <c r="S309">
        <v>0</v>
      </c>
      <c r="T309" t="str">
        <f t="shared" si="8"/>
        <v>3011.00.0000.00.0-205616.2.1.1.01.03.113.</v>
      </c>
      <c r="U309" t="e" cm="1">
        <f t="array" aca="1" ref="U309" ca="1">+IF(COMPROMISOS_2025[[#This Row],[P]]="20","41080111",_xlfn.XLOOKUP(COMPROMISOS_2025[[#This Row],[concatenado]],PAA[[#All],[RCP-RUBRO]],PAA[[#All],[INDICADOR]],"",0))</f>
        <v>#NAME?</v>
      </c>
      <c r="V309" s="144" t="str">
        <f t="shared" si="9"/>
        <v>00</v>
      </c>
      <c r="W309" s="136">
        <f>+COMPROMISOS_2025[[#This Row],[valor_total]]-COMPROMISOS_2025[[#This Row],[total_cancelado]]</f>
        <v>160000</v>
      </c>
      <c r="X309" s="136">
        <f>COMPROMISOS_2025[[#This Row],[total_ordenes]]</f>
        <v>160000</v>
      </c>
      <c r="Y309" t="str" cm="1">
        <f t="array" aca="1" ref="Y309" ca="1">IFERROR(_xlfn.XLOOKUP(COMPROMISOS_2025[[#This Row],[concatenado]],PAA[[#All],[RCP-RUBRO]],PAA[[#All],[Actividad3]],VLOOKUP(COMPROMISOS_2025[[#This Row],[Indicador Principal]],$AC$2:$AD$17,2,0),0),"")</f>
        <v/>
      </c>
    </row>
    <row r="310" spans="1:25" hidden="1" x14ac:dyDescent="0.25">
      <c r="A310">
        <v>302</v>
      </c>
      <c r="B310" t="s">
        <v>2546</v>
      </c>
      <c r="C310" t="s">
        <v>883</v>
      </c>
      <c r="D310" t="s">
        <v>2635</v>
      </c>
      <c r="F310">
        <v>335</v>
      </c>
      <c r="G310">
        <v>23</v>
      </c>
      <c r="H310" t="s">
        <v>92</v>
      </c>
      <c r="I310" t="s">
        <v>1756</v>
      </c>
      <c r="J310">
        <v>355875</v>
      </c>
      <c r="K310">
        <v>2025</v>
      </c>
      <c r="L310">
        <v>10171306561</v>
      </c>
      <c r="M310" t="s">
        <v>2599</v>
      </c>
      <c r="N310" t="s">
        <v>1688</v>
      </c>
      <c r="O310" t="s">
        <v>1686</v>
      </c>
      <c r="P310">
        <v>0</v>
      </c>
      <c r="Q310">
        <v>355875</v>
      </c>
      <c r="R310">
        <v>0</v>
      </c>
      <c r="S310">
        <v>0</v>
      </c>
      <c r="T310" t="str">
        <f t="shared" si="8"/>
        <v>3021.00.0000.00.0-205616.2.1.1.01.03.113.</v>
      </c>
      <c r="U310" t="e" cm="1">
        <f t="array" aca="1" ref="U310" ca="1">+IF(COMPROMISOS_2025[[#This Row],[P]]="20","41080111",_xlfn.XLOOKUP(COMPROMISOS_2025[[#This Row],[concatenado]],PAA[[#All],[RCP-RUBRO]],PAA[[#All],[INDICADOR]],"",0))</f>
        <v>#NAME?</v>
      </c>
      <c r="V310" s="144" t="str">
        <f t="shared" si="9"/>
        <v>00</v>
      </c>
      <c r="W310" s="136">
        <f>+COMPROMISOS_2025[[#This Row],[valor_total]]-COMPROMISOS_2025[[#This Row],[total_cancelado]]</f>
        <v>355875</v>
      </c>
      <c r="X310" s="136">
        <f>COMPROMISOS_2025[[#This Row],[total_ordenes]]</f>
        <v>355875</v>
      </c>
      <c r="Y310" t="str" cm="1">
        <f t="array" aca="1" ref="Y310" ca="1">IFERROR(_xlfn.XLOOKUP(COMPROMISOS_2025[[#This Row],[concatenado]],PAA[[#All],[RCP-RUBRO]],PAA[[#All],[Actividad3]],VLOOKUP(COMPROMISOS_2025[[#This Row],[Indicador Principal]],$AC$2:$AD$17,2,0),0),"")</f>
        <v/>
      </c>
    </row>
    <row r="311" spans="1:25" hidden="1" x14ac:dyDescent="0.25">
      <c r="A311">
        <v>303</v>
      </c>
      <c r="B311" t="s">
        <v>2546</v>
      </c>
      <c r="C311" t="s">
        <v>883</v>
      </c>
      <c r="D311" t="s">
        <v>2635</v>
      </c>
      <c r="F311">
        <v>335</v>
      </c>
      <c r="G311">
        <v>23</v>
      </c>
      <c r="H311" t="s">
        <v>92</v>
      </c>
      <c r="I311" t="s">
        <v>1756</v>
      </c>
      <c r="J311">
        <v>56633</v>
      </c>
      <c r="K311">
        <v>2025</v>
      </c>
      <c r="L311">
        <v>10171740887</v>
      </c>
      <c r="M311" t="s">
        <v>2601</v>
      </c>
      <c r="N311" t="s">
        <v>1688</v>
      </c>
      <c r="O311" t="s">
        <v>1686</v>
      </c>
      <c r="P311">
        <v>0</v>
      </c>
      <c r="Q311">
        <v>56633</v>
      </c>
      <c r="R311">
        <v>0</v>
      </c>
      <c r="S311">
        <v>0</v>
      </c>
      <c r="T311" t="str">
        <f t="shared" si="8"/>
        <v>3031.00.0000.00.0-205616.2.1.1.01.03.113.</v>
      </c>
      <c r="U311" t="e" cm="1">
        <f t="array" aca="1" ref="U311" ca="1">+IF(COMPROMISOS_2025[[#This Row],[P]]="20","41080111",_xlfn.XLOOKUP(COMPROMISOS_2025[[#This Row],[concatenado]],PAA[[#All],[RCP-RUBRO]],PAA[[#All],[INDICADOR]],"",0))</f>
        <v>#NAME?</v>
      </c>
      <c r="V311" s="144" t="str">
        <f t="shared" si="9"/>
        <v>00</v>
      </c>
      <c r="W311" s="136">
        <f>+COMPROMISOS_2025[[#This Row],[valor_total]]-COMPROMISOS_2025[[#This Row],[total_cancelado]]</f>
        <v>56633</v>
      </c>
      <c r="X311" s="136">
        <f>COMPROMISOS_2025[[#This Row],[total_ordenes]]</f>
        <v>56633</v>
      </c>
      <c r="Y311" t="str" cm="1">
        <f t="array" aca="1" ref="Y311" ca="1">IFERROR(_xlfn.XLOOKUP(COMPROMISOS_2025[[#This Row],[concatenado]],PAA[[#All],[RCP-RUBRO]],PAA[[#All],[Actividad3]],VLOOKUP(COMPROMISOS_2025[[#This Row],[Indicador Principal]],$AC$2:$AD$17,2,0),0),"")</f>
        <v/>
      </c>
    </row>
    <row r="312" spans="1:25" hidden="1" x14ac:dyDescent="0.25">
      <c r="A312">
        <v>304</v>
      </c>
      <c r="B312" t="s">
        <v>2546</v>
      </c>
      <c r="C312" t="s">
        <v>883</v>
      </c>
      <c r="D312" t="s">
        <v>2635</v>
      </c>
      <c r="F312">
        <v>335</v>
      </c>
      <c r="G312">
        <v>23</v>
      </c>
      <c r="H312" t="s">
        <v>92</v>
      </c>
      <c r="I312" t="s">
        <v>1756</v>
      </c>
      <c r="J312">
        <v>59900</v>
      </c>
      <c r="K312">
        <v>2025</v>
      </c>
      <c r="L312">
        <v>10352318685</v>
      </c>
      <c r="M312" t="s">
        <v>2605</v>
      </c>
      <c r="N312" t="s">
        <v>1688</v>
      </c>
      <c r="O312" t="s">
        <v>1686</v>
      </c>
      <c r="P312">
        <v>0</v>
      </c>
      <c r="Q312">
        <v>59900</v>
      </c>
      <c r="R312">
        <v>0</v>
      </c>
      <c r="S312">
        <v>0</v>
      </c>
      <c r="T312" t="str">
        <f t="shared" si="8"/>
        <v>3041.00.0000.00.0-205616.2.1.1.01.03.113.</v>
      </c>
      <c r="U312" t="e" cm="1">
        <f t="array" aca="1" ref="U312" ca="1">+IF(COMPROMISOS_2025[[#This Row],[P]]="20","41080111",_xlfn.XLOOKUP(COMPROMISOS_2025[[#This Row],[concatenado]],PAA[[#All],[RCP-RUBRO]],PAA[[#All],[INDICADOR]],"",0))</f>
        <v>#NAME?</v>
      </c>
      <c r="V312" s="144" t="str">
        <f t="shared" si="9"/>
        <v>00</v>
      </c>
      <c r="W312" s="136">
        <f>+COMPROMISOS_2025[[#This Row],[valor_total]]-COMPROMISOS_2025[[#This Row],[total_cancelado]]</f>
        <v>59900</v>
      </c>
      <c r="X312" s="136">
        <f>COMPROMISOS_2025[[#This Row],[total_ordenes]]</f>
        <v>59900</v>
      </c>
      <c r="Y312" t="str" cm="1">
        <f t="array" aca="1" ref="Y312" ca="1">IFERROR(_xlfn.XLOOKUP(COMPROMISOS_2025[[#This Row],[concatenado]],PAA[[#All],[RCP-RUBRO]],PAA[[#All],[Actividad3]],VLOOKUP(COMPROMISOS_2025[[#This Row],[Indicador Principal]],$AC$2:$AD$17,2,0),0),"")</f>
        <v/>
      </c>
    </row>
    <row r="313" spans="1:25" hidden="1" x14ac:dyDescent="0.25">
      <c r="A313">
        <v>305</v>
      </c>
      <c r="B313" t="s">
        <v>2546</v>
      </c>
      <c r="C313" t="s">
        <v>883</v>
      </c>
      <c r="D313" t="s">
        <v>2635</v>
      </c>
      <c r="F313">
        <v>335</v>
      </c>
      <c r="G313">
        <v>23</v>
      </c>
      <c r="H313" t="s">
        <v>92</v>
      </c>
      <c r="I313" t="s">
        <v>1756</v>
      </c>
      <c r="J313">
        <v>355875</v>
      </c>
      <c r="K313">
        <v>2025</v>
      </c>
      <c r="L313">
        <v>10375844091</v>
      </c>
      <c r="M313" t="s">
        <v>2637</v>
      </c>
      <c r="N313" t="s">
        <v>1688</v>
      </c>
      <c r="O313" t="s">
        <v>1686</v>
      </c>
      <c r="P313">
        <v>0</v>
      </c>
      <c r="Q313">
        <v>355875</v>
      </c>
      <c r="R313">
        <v>0</v>
      </c>
      <c r="S313">
        <v>0</v>
      </c>
      <c r="T313" t="str">
        <f t="shared" si="8"/>
        <v>3051.00.0000.00.0-205616.2.1.1.01.03.113.</v>
      </c>
      <c r="U313" t="e" cm="1">
        <f t="array" aca="1" ref="U313" ca="1">+IF(COMPROMISOS_2025[[#This Row],[P]]="20","41080111",_xlfn.XLOOKUP(COMPROMISOS_2025[[#This Row],[concatenado]],PAA[[#All],[RCP-RUBRO]],PAA[[#All],[INDICADOR]],"",0))</f>
        <v>#NAME?</v>
      </c>
      <c r="V313" s="144" t="str">
        <f t="shared" si="9"/>
        <v>00</v>
      </c>
      <c r="W313" s="136">
        <f>+COMPROMISOS_2025[[#This Row],[valor_total]]-COMPROMISOS_2025[[#This Row],[total_cancelado]]</f>
        <v>355875</v>
      </c>
      <c r="X313" s="136">
        <f>COMPROMISOS_2025[[#This Row],[total_ordenes]]</f>
        <v>355875</v>
      </c>
      <c r="Y313" t="str" cm="1">
        <f t="array" aca="1" ref="Y313" ca="1">IFERROR(_xlfn.XLOOKUP(COMPROMISOS_2025[[#This Row],[concatenado]],PAA[[#All],[RCP-RUBRO]],PAA[[#All],[Actividad3]],VLOOKUP(COMPROMISOS_2025[[#This Row],[Indicador Principal]],$AC$2:$AD$17,2,0),0),"")</f>
        <v/>
      </c>
    </row>
    <row r="314" spans="1:25" hidden="1" x14ac:dyDescent="0.25">
      <c r="A314">
        <v>306</v>
      </c>
      <c r="B314" t="s">
        <v>2546</v>
      </c>
      <c r="C314" t="s">
        <v>883</v>
      </c>
      <c r="D314" t="s">
        <v>2635</v>
      </c>
      <c r="F314">
        <v>335</v>
      </c>
      <c r="G314">
        <v>23</v>
      </c>
      <c r="H314" t="s">
        <v>92</v>
      </c>
      <c r="I314" t="s">
        <v>1756</v>
      </c>
      <c r="J314">
        <v>355875</v>
      </c>
      <c r="K314">
        <v>2025</v>
      </c>
      <c r="L314">
        <v>1146436016</v>
      </c>
      <c r="M314" t="s">
        <v>2610</v>
      </c>
      <c r="N314" t="s">
        <v>1688</v>
      </c>
      <c r="O314" t="s">
        <v>1686</v>
      </c>
      <c r="P314">
        <v>0</v>
      </c>
      <c r="Q314">
        <v>355875</v>
      </c>
      <c r="R314">
        <v>0</v>
      </c>
      <c r="S314">
        <v>0</v>
      </c>
      <c r="T314" t="str">
        <f t="shared" si="8"/>
        <v>3061.00.0000.00.0-205616.2.1.1.01.03.113.</v>
      </c>
      <c r="U314" t="e" cm="1">
        <f t="array" aca="1" ref="U314" ca="1">+IF(COMPROMISOS_2025[[#This Row],[P]]="20","41080111",_xlfn.XLOOKUP(COMPROMISOS_2025[[#This Row],[concatenado]],PAA[[#All],[RCP-RUBRO]],PAA[[#All],[INDICADOR]],"",0))</f>
        <v>#NAME?</v>
      </c>
      <c r="V314" s="144" t="str">
        <f t="shared" si="9"/>
        <v>00</v>
      </c>
      <c r="W314" s="136">
        <f>+COMPROMISOS_2025[[#This Row],[valor_total]]-COMPROMISOS_2025[[#This Row],[total_cancelado]]</f>
        <v>355875</v>
      </c>
      <c r="X314" s="136">
        <f>COMPROMISOS_2025[[#This Row],[total_ordenes]]</f>
        <v>355875</v>
      </c>
      <c r="Y314" t="str" cm="1">
        <f t="array" aca="1" ref="Y314" ca="1">IFERROR(_xlfn.XLOOKUP(COMPROMISOS_2025[[#This Row],[concatenado]],PAA[[#All],[RCP-RUBRO]],PAA[[#All],[Actividad3]],VLOOKUP(COMPROMISOS_2025[[#This Row],[Indicador Principal]],$AC$2:$AD$17,2,0),0),"")</f>
        <v/>
      </c>
    </row>
    <row r="315" spans="1:25" hidden="1" x14ac:dyDescent="0.25">
      <c r="A315">
        <v>2958</v>
      </c>
      <c r="B315" t="s">
        <v>2619</v>
      </c>
      <c r="C315" t="s">
        <v>883</v>
      </c>
      <c r="D315" t="s">
        <v>2638</v>
      </c>
      <c r="F315">
        <v>422</v>
      </c>
      <c r="G315">
        <v>23</v>
      </c>
      <c r="H315" t="s">
        <v>92</v>
      </c>
      <c r="I315" t="s">
        <v>1756</v>
      </c>
      <c r="J315">
        <v>59685</v>
      </c>
      <c r="K315">
        <v>2025</v>
      </c>
      <c r="L315">
        <v>35076964</v>
      </c>
      <c r="M315" t="s">
        <v>2532</v>
      </c>
      <c r="N315" t="s">
        <v>1688</v>
      </c>
      <c r="O315" t="s">
        <v>1686</v>
      </c>
      <c r="P315">
        <v>0</v>
      </c>
      <c r="Q315">
        <v>59685</v>
      </c>
      <c r="R315">
        <v>0</v>
      </c>
      <c r="S315">
        <v>0</v>
      </c>
      <c r="T315" t="str">
        <f t="shared" si="8"/>
        <v>29581.00.0000.00.0-205616.2.1.1.01.03.113.</v>
      </c>
      <c r="U315" t="e" cm="1">
        <f t="array" aca="1" ref="U315" ca="1">+IF(COMPROMISOS_2025[[#This Row],[P]]="20","41080111",_xlfn.XLOOKUP(COMPROMISOS_2025[[#This Row],[concatenado]],PAA[[#All],[RCP-RUBRO]],PAA[[#All],[INDICADOR]],"",0))</f>
        <v>#NAME?</v>
      </c>
      <c r="V315" s="144" t="str">
        <f t="shared" si="9"/>
        <v>00</v>
      </c>
      <c r="W315" s="136">
        <f>+COMPROMISOS_2025[[#This Row],[valor_total]]-COMPROMISOS_2025[[#This Row],[total_cancelado]]</f>
        <v>59685</v>
      </c>
      <c r="X315" s="136">
        <f>COMPROMISOS_2025[[#This Row],[total_ordenes]]</f>
        <v>59685</v>
      </c>
      <c r="Y315" t="str" cm="1">
        <f t="array" aca="1" ref="Y315" ca="1">IFERROR(_xlfn.XLOOKUP(COMPROMISOS_2025[[#This Row],[concatenado]],PAA[[#All],[RCP-RUBRO]],PAA[[#All],[Actividad3]],VLOOKUP(COMPROMISOS_2025[[#This Row],[Indicador Principal]],$AC$2:$AD$17,2,0),0),"")</f>
        <v/>
      </c>
    </row>
    <row r="316" spans="1:25" hidden="1" x14ac:dyDescent="0.25">
      <c r="A316">
        <v>2959</v>
      </c>
      <c r="B316" t="s">
        <v>2619</v>
      </c>
      <c r="C316" t="s">
        <v>883</v>
      </c>
      <c r="D316" t="s">
        <v>2638</v>
      </c>
      <c r="F316">
        <v>422</v>
      </c>
      <c r="G316">
        <v>23</v>
      </c>
      <c r="H316" t="s">
        <v>92</v>
      </c>
      <c r="I316" t="s">
        <v>1756</v>
      </c>
      <c r="J316">
        <v>169000</v>
      </c>
      <c r="K316">
        <v>2025</v>
      </c>
      <c r="L316">
        <v>8103470</v>
      </c>
      <c r="M316" t="s">
        <v>2548</v>
      </c>
      <c r="N316" t="s">
        <v>1688</v>
      </c>
      <c r="O316" t="s">
        <v>1686</v>
      </c>
      <c r="P316">
        <v>0</v>
      </c>
      <c r="Q316">
        <v>169000</v>
      </c>
      <c r="R316">
        <v>0</v>
      </c>
      <c r="S316">
        <v>0</v>
      </c>
      <c r="T316" t="str">
        <f t="shared" si="8"/>
        <v>29591.00.0000.00.0-205616.2.1.1.01.03.113.</v>
      </c>
      <c r="U316" t="e" cm="1">
        <f t="array" aca="1" ref="U316" ca="1">+IF(COMPROMISOS_2025[[#This Row],[P]]="20","41080111",_xlfn.XLOOKUP(COMPROMISOS_2025[[#This Row],[concatenado]],PAA[[#All],[RCP-RUBRO]],PAA[[#All],[INDICADOR]],"",0))</f>
        <v>#NAME?</v>
      </c>
      <c r="V316" s="144" t="str">
        <f t="shared" si="9"/>
        <v>00</v>
      </c>
      <c r="W316" s="136">
        <f>+COMPROMISOS_2025[[#This Row],[valor_total]]-COMPROMISOS_2025[[#This Row],[total_cancelado]]</f>
        <v>169000</v>
      </c>
      <c r="X316" s="136">
        <f>COMPROMISOS_2025[[#This Row],[total_ordenes]]</f>
        <v>169000</v>
      </c>
      <c r="Y316" t="str" cm="1">
        <f t="array" aca="1" ref="Y316" ca="1">IFERROR(_xlfn.XLOOKUP(COMPROMISOS_2025[[#This Row],[concatenado]],PAA[[#All],[RCP-RUBRO]],PAA[[#All],[Actividad3]],VLOOKUP(COMPROMISOS_2025[[#This Row],[Indicador Principal]],$AC$2:$AD$17,2,0),0),"")</f>
        <v/>
      </c>
    </row>
    <row r="317" spans="1:25" hidden="1" x14ac:dyDescent="0.25">
      <c r="A317">
        <v>2960</v>
      </c>
      <c r="B317" t="s">
        <v>2619</v>
      </c>
      <c r="C317" t="s">
        <v>883</v>
      </c>
      <c r="D317" t="s">
        <v>2638</v>
      </c>
      <c r="F317">
        <v>422</v>
      </c>
      <c r="G317">
        <v>23</v>
      </c>
      <c r="H317" t="s">
        <v>92</v>
      </c>
      <c r="I317" t="s">
        <v>1756</v>
      </c>
      <c r="J317">
        <v>150000</v>
      </c>
      <c r="K317">
        <v>2025</v>
      </c>
      <c r="L317">
        <v>84342664</v>
      </c>
      <c r="M317" t="s">
        <v>2636</v>
      </c>
      <c r="N317" t="s">
        <v>1688</v>
      </c>
      <c r="O317" t="s">
        <v>1686</v>
      </c>
      <c r="P317">
        <v>0</v>
      </c>
      <c r="Q317">
        <v>150000</v>
      </c>
      <c r="R317">
        <v>0</v>
      </c>
      <c r="S317">
        <v>0</v>
      </c>
      <c r="T317" t="str">
        <f t="shared" si="8"/>
        <v>29601.00.0000.00.0-205616.2.1.1.01.03.113.</v>
      </c>
      <c r="U317" t="e" cm="1">
        <f t="array" aca="1" ref="U317" ca="1">+IF(COMPROMISOS_2025[[#This Row],[P]]="20","41080111",_xlfn.XLOOKUP(COMPROMISOS_2025[[#This Row],[concatenado]],PAA[[#All],[RCP-RUBRO]],PAA[[#All],[INDICADOR]],"",0))</f>
        <v>#NAME?</v>
      </c>
      <c r="V317" s="144" t="str">
        <f t="shared" si="9"/>
        <v>00</v>
      </c>
      <c r="W317" s="136">
        <f>+COMPROMISOS_2025[[#This Row],[valor_total]]-COMPROMISOS_2025[[#This Row],[total_cancelado]]</f>
        <v>150000</v>
      </c>
      <c r="X317" s="136">
        <f>COMPROMISOS_2025[[#This Row],[total_ordenes]]</f>
        <v>150000</v>
      </c>
      <c r="Y317" t="str" cm="1">
        <f t="array" aca="1" ref="Y317" ca="1">IFERROR(_xlfn.XLOOKUP(COMPROMISOS_2025[[#This Row],[concatenado]],PAA[[#All],[RCP-RUBRO]],PAA[[#All],[Actividad3]],VLOOKUP(COMPROMISOS_2025[[#This Row],[Indicador Principal]],$AC$2:$AD$17,2,0),0),"")</f>
        <v/>
      </c>
    </row>
    <row r="318" spans="1:25" hidden="1" x14ac:dyDescent="0.25">
      <c r="A318">
        <v>2961</v>
      </c>
      <c r="B318" t="s">
        <v>2619</v>
      </c>
      <c r="C318" t="s">
        <v>883</v>
      </c>
      <c r="D318" t="s">
        <v>2638</v>
      </c>
      <c r="F318">
        <v>422</v>
      </c>
      <c r="G318">
        <v>23</v>
      </c>
      <c r="H318" t="s">
        <v>92</v>
      </c>
      <c r="I318" t="s">
        <v>1756</v>
      </c>
      <c r="J318">
        <v>199800</v>
      </c>
      <c r="K318">
        <v>2025</v>
      </c>
      <c r="L318">
        <v>102671896</v>
      </c>
      <c r="M318" t="s">
        <v>2549</v>
      </c>
      <c r="N318" t="s">
        <v>1688</v>
      </c>
      <c r="O318" t="s">
        <v>1686</v>
      </c>
      <c r="P318">
        <v>0</v>
      </c>
      <c r="Q318">
        <v>199800</v>
      </c>
      <c r="R318">
        <v>0</v>
      </c>
      <c r="S318">
        <v>0</v>
      </c>
      <c r="T318" t="str">
        <f t="shared" si="8"/>
        <v>29611.00.0000.00.0-205616.2.1.1.01.03.113.</v>
      </c>
      <c r="U318" t="e" cm="1">
        <f t="array" aca="1" ref="U318" ca="1">+IF(COMPROMISOS_2025[[#This Row],[P]]="20","41080111",_xlfn.XLOOKUP(COMPROMISOS_2025[[#This Row],[concatenado]],PAA[[#All],[RCP-RUBRO]],PAA[[#All],[INDICADOR]],"",0))</f>
        <v>#NAME?</v>
      </c>
      <c r="V318" s="144" t="str">
        <f t="shared" si="9"/>
        <v>00</v>
      </c>
      <c r="W318" s="136">
        <f>+COMPROMISOS_2025[[#This Row],[valor_total]]-COMPROMISOS_2025[[#This Row],[total_cancelado]]</f>
        <v>199800</v>
      </c>
      <c r="X318" s="136">
        <f>COMPROMISOS_2025[[#This Row],[total_ordenes]]</f>
        <v>199800</v>
      </c>
      <c r="Y318" t="str" cm="1">
        <f t="array" aca="1" ref="Y318" ca="1">IFERROR(_xlfn.XLOOKUP(COMPROMISOS_2025[[#This Row],[concatenado]],PAA[[#All],[RCP-RUBRO]],PAA[[#All],[Actividad3]],VLOOKUP(COMPROMISOS_2025[[#This Row],[Indicador Principal]],$AC$2:$AD$17,2,0),0),"")</f>
        <v/>
      </c>
    </row>
    <row r="319" spans="1:25" hidden="1" x14ac:dyDescent="0.25">
      <c r="A319">
        <v>2962</v>
      </c>
      <c r="B319" t="s">
        <v>2619</v>
      </c>
      <c r="C319" t="s">
        <v>883</v>
      </c>
      <c r="D319" t="s">
        <v>2638</v>
      </c>
      <c r="F319">
        <v>422</v>
      </c>
      <c r="G319">
        <v>23</v>
      </c>
      <c r="H319" t="s">
        <v>92</v>
      </c>
      <c r="I319" t="s">
        <v>1756</v>
      </c>
      <c r="J319">
        <v>95000</v>
      </c>
      <c r="K319">
        <v>2025</v>
      </c>
      <c r="L319">
        <v>155118841</v>
      </c>
      <c r="M319" t="s">
        <v>2550</v>
      </c>
      <c r="N319" t="s">
        <v>1688</v>
      </c>
      <c r="O319" t="s">
        <v>1686</v>
      </c>
      <c r="P319">
        <v>0</v>
      </c>
      <c r="Q319">
        <v>95000</v>
      </c>
      <c r="R319">
        <v>0</v>
      </c>
      <c r="S319">
        <v>0</v>
      </c>
      <c r="T319" t="str">
        <f t="shared" si="8"/>
        <v>29621.00.0000.00.0-205616.2.1.1.01.03.113.</v>
      </c>
      <c r="U319" t="e" cm="1">
        <f t="array" aca="1" ref="U319" ca="1">+IF(COMPROMISOS_2025[[#This Row],[P]]="20","41080111",_xlfn.XLOOKUP(COMPROMISOS_2025[[#This Row],[concatenado]],PAA[[#All],[RCP-RUBRO]],PAA[[#All],[INDICADOR]],"",0))</f>
        <v>#NAME?</v>
      </c>
      <c r="V319" s="144" t="str">
        <f t="shared" si="9"/>
        <v>00</v>
      </c>
      <c r="W319" s="136">
        <f>+COMPROMISOS_2025[[#This Row],[valor_total]]-COMPROMISOS_2025[[#This Row],[total_cancelado]]</f>
        <v>95000</v>
      </c>
      <c r="X319" s="136">
        <f>COMPROMISOS_2025[[#This Row],[total_ordenes]]</f>
        <v>95000</v>
      </c>
      <c r="Y319" t="str" cm="1">
        <f t="array" aca="1" ref="Y319" ca="1">IFERROR(_xlfn.XLOOKUP(COMPROMISOS_2025[[#This Row],[concatenado]],PAA[[#All],[RCP-RUBRO]],PAA[[#All],[Actividad3]],VLOOKUP(COMPROMISOS_2025[[#This Row],[Indicador Principal]],$AC$2:$AD$17,2,0),0),"")</f>
        <v/>
      </c>
    </row>
    <row r="320" spans="1:25" hidden="1" x14ac:dyDescent="0.25">
      <c r="A320">
        <v>2963</v>
      </c>
      <c r="B320" t="s">
        <v>2619</v>
      </c>
      <c r="C320" t="s">
        <v>883</v>
      </c>
      <c r="D320" t="s">
        <v>2638</v>
      </c>
      <c r="F320">
        <v>422</v>
      </c>
      <c r="G320">
        <v>23</v>
      </c>
      <c r="H320" t="s">
        <v>92</v>
      </c>
      <c r="I320" t="s">
        <v>1756</v>
      </c>
      <c r="J320">
        <v>330000</v>
      </c>
      <c r="K320">
        <v>2025</v>
      </c>
      <c r="L320">
        <v>322207996</v>
      </c>
      <c r="M320" t="s">
        <v>2556</v>
      </c>
      <c r="N320" t="s">
        <v>1688</v>
      </c>
      <c r="O320" t="s">
        <v>1686</v>
      </c>
      <c r="P320">
        <v>0</v>
      </c>
      <c r="Q320">
        <v>330000</v>
      </c>
      <c r="R320">
        <v>0</v>
      </c>
      <c r="S320">
        <v>0</v>
      </c>
      <c r="T320" t="str">
        <f t="shared" si="8"/>
        <v>29631.00.0000.00.0-205616.2.1.1.01.03.113.</v>
      </c>
      <c r="U320" t="e" cm="1">
        <f t="array" aca="1" ref="U320" ca="1">+IF(COMPROMISOS_2025[[#This Row],[P]]="20","41080111",_xlfn.XLOOKUP(COMPROMISOS_2025[[#This Row],[concatenado]],PAA[[#All],[RCP-RUBRO]],PAA[[#All],[INDICADOR]],"",0))</f>
        <v>#NAME?</v>
      </c>
      <c r="V320" s="144" t="str">
        <f t="shared" si="9"/>
        <v>00</v>
      </c>
      <c r="W320" s="136">
        <f>+COMPROMISOS_2025[[#This Row],[valor_total]]-COMPROMISOS_2025[[#This Row],[total_cancelado]]</f>
        <v>330000</v>
      </c>
      <c r="X320" s="136">
        <f>COMPROMISOS_2025[[#This Row],[total_ordenes]]</f>
        <v>330000</v>
      </c>
      <c r="Y320" t="str" cm="1">
        <f t="array" aca="1" ref="Y320" ca="1">IFERROR(_xlfn.XLOOKUP(COMPROMISOS_2025[[#This Row],[concatenado]],PAA[[#All],[RCP-RUBRO]],PAA[[#All],[Actividad3]],VLOOKUP(COMPROMISOS_2025[[#This Row],[Indicador Principal]],$AC$2:$AD$17,2,0),0),"")</f>
        <v/>
      </c>
    </row>
    <row r="321" spans="1:25" hidden="1" x14ac:dyDescent="0.25">
      <c r="A321">
        <v>2964</v>
      </c>
      <c r="B321" t="s">
        <v>2619</v>
      </c>
      <c r="C321" t="s">
        <v>883</v>
      </c>
      <c r="D321" t="s">
        <v>2638</v>
      </c>
      <c r="F321">
        <v>422</v>
      </c>
      <c r="G321">
        <v>23</v>
      </c>
      <c r="H321" t="s">
        <v>92</v>
      </c>
      <c r="I321" t="s">
        <v>1756</v>
      </c>
      <c r="J321">
        <v>300000</v>
      </c>
      <c r="K321">
        <v>2025</v>
      </c>
      <c r="L321">
        <v>370030331</v>
      </c>
      <c r="M321" t="s">
        <v>2559</v>
      </c>
      <c r="N321" t="s">
        <v>1688</v>
      </c>
      <c r="O321" t="s">
        <v>1686</v>
      </c>
      <c r="P321">
        <v>0</v>
      </c>
      <c r="Q321">
        <v>300000</v>
      </c>
      <c r="R321">
        <v>0</v>
      </c>
      <c r="S321">
        <v>0</v>
      </c>
      <c r="T321" t="str">
        <f t="shared" si="8"/>
        <v>29641.00.0000.00.0-205616.2.1.1.01.03.113.</v>
      </c>
      <c r="U321" t="e" cm="1">
        <f t="array" aca="1" ref="U321" ca="1">+IF(COMPROMISOS_2025[[#This Row],[P]]="20","41080111",_xlfn.XLOOKUP(COMPROMISOS_2025[[#This Row],[concatenado]],PAA[[#All],[RCP-RUBRO]],PAA[[#All],[INDICADOR]],"",0))</f>
        <v>#NAME?</v>
      </c>
      <c r="V321" s="144" t="str">
        <f t="shared" si="9"/>
        <v>00</v>
      </c>
      <c r="W321" s="136">
        <f>+COMPROMISOS_2025[[#This Row],[valor_total]]-COMPROMISOS_2025[[#This Row],[total_cancelado]]</f>
        <v>300000</v>
      </c>
      <c r="X321" s="136">
        <f>COMPROMISOS_2025[[#This Row],[total_ordenes]]</f>
        <v>300000</v>
      </c>
      <c r="Y321" t="str" cm="1">
        <f t="array" aca="1" ref="Y321" ca="1">IFERROR(_xlfn.XLOOKUP(COMPROMISOS_2025[[#This Row],[concatenado]],PAA[[#All],[RCP-RUBRO]],PAA[[#All],[Actividad3]],VLOOKUP(COMPROMISOS_2025[[#This Row],[Indicador Principal]],$AC$2:$AD$17,2,0),0),"")</f>
        <v/>
      </c>
    </row>
    <row r="322" spans="1:25" hidden="1" x14ac:dyDescent="0.25">
      <c r="A322">
        <v>2965</v>
      </c>
      <c r="B322" t="s">
        <v>2619</v>
      </c>
      <c r="C322" t="s">
        <v>883</v>
      </c>
      <c r="D322" t="s">
        <v>2638</v>
      </c>
      <c r="F322">
        <v>422</v>
      </c>
      <c r="G322">
        <v>23</v>
      </c>
      <c r="H322" t="s">
        <v>92</v>
      </c>
      <c r="I322" t="s">
        <v>1756</v>
      </c>
      <c r="J322">
        <v>167300</v>
      </c>
      <c r="K322">
        <v>2025</v>
      </c>
      <c r="L322">
        <v>394194227</v>
      </c>
      <c r="M322" t="s">
        <v>2621</v>
      </c>
      <c r="N322" t="s">
        <v>1688</v>
      </c>
      <c r="O322" t="s">
        <v>1686</v>
      </c>
      <c r="P322">
        <v>0</v>
      </c>
      <c r="Q322">
        <v>167300</v>
      </c>
      <c r="R322">
        <v>0</v>
      </c>
      <c r="S322">
        <v>0</v>
      </c>
      <c r="T322" t="str">
        <f t="shared" ref="T322:T385" si="10">IF(A322&gt;=0,CONCATENATE(A322,H322),"")</f>
        <v>29651.00.0000.00.0-205616.2.1.1.01.03.113.</v>
      </c>
      <c r="U322" t="e" cm="1">
        <f t="array" aca="1" ref="U322" ca="1">+IF(COMPROMISOS_2025[[#This Row],[P]]="20","41080111",_xlfn.XLOOKUP(COMPROMISOS_2025[[#This Row],[concatenado]],PAA[[#All],[RCP-RUBRO]],PAA[[#All],[INDICADOR]],"",0))</f>
        <v>#NAME?</v>
      </c>
      <c r="V322" s="144" t="str">
        <f t="shared" ref="V322:V385" si="11">+MID(H322,11,2)</f>
        <v>00</v>
      </c>
      <c r="W322" s="136">
        <f>+COMPROMISOS_2025[[#This Row],[valor_total]]-COMPROMISOS_2025[[#This Row],[total_cancelado]]</f>
        <v>167300</v>
      </c>
      <c r="X322" s="136">
        <f>COMPROMISOS_2025[[#This Row],[total_ordenes]]</f>
        <v>167300</v>
      </c>
      <c r="Y322" t="str" cm="1">
        <f t="array" aca="1" ref="Y322" ca="1">IFERROR(_xlfn.XLOOKUP(COMPROMISOS_2025[[#This Row],[concatenado]],PAA[[#All],[RCP-RUBRO]],PAA[[#All],[Actividad3]],VLOOKUP(COMPROMISOS_2025[[#This Row],[Indicador Principal]],$AC$2:$AD$17,2,0),0),"")</f>
        <v/>
      </c>
    </row>
    <row r="323" spans="1:25" hidden="1" x14ac:dyDescent="0.25">
      <c r="A323">
        <v>2966</v>
      </c>
      <c r="B323" t="s">
        <v>2619</v>
      </c>
      <c r="C323" t="s">
        <v>883</v>
      </c>
      <c r="D323" t="s">
        <v>2638</v>
      </c>
      <c r="F323">
        <v>422</v>
      </c>
      <c r="G323">
        <v>23</v>
      </c>
      <c r="H323" t="s">
        <v>92</v>
      </c>
      <c r="I323" t="s">
        <v>1756</v>
      </c>
      <c r="J323">
        <v>56633</v>
      </c>
      <c r="K323">
        <v>2025</v>
      </c>
      <c r="L323">
        <v>426904187</v>
      </c>
      <c r="M323" t="s">
        <v>2563</v>
      </c>
      <c r="N323" t="s">
        <v>1688</v>
      </c>
      <c r="O323" t="s">
        <v>1686</v>
      </c>
      <c r="P323">
        <v>0</v>
      </c>
      <c r="Q323">
        <v>56633</v>
      </c>
      <c r="R323">
        <v>0</v>
      </c>
      <c r="S323">
        <v>0</v>
      </c>
      <c r="T323" t="str">
        <f t="shared" si="10"/>
        <v>29661.00.0000.00.0-205616.2.1.1.01.03.113.</v>
      </c>
      <c r="U323" t="e" cm="1">
        <f t="array" aca="1" ref="U323" ca="1">+IF(COMPROMISOS_2025[[#This Row],[P]]="20","41080111",_xlfn.XLOOKUP(COMPROMISOS_2025[[#This Row],[concatenado]],PAA[[#All],[RCP-RUBRO]],PAA[[#All],[INDICADOR]],"",0))</f>
        <v>#NAME?</v>
      </c>
      <c r="V323" s="144" t="str">
        <f t="shared" si="11"/>
        <v>00</v>
      </c>
      <c r="W323" s="136">
        <f>+COMPROMISOS_2025[[#This Row],[valor_total]]-COMPROMISOS_2025[[#This Row],[total_cancelado]]</f>
        <v>56633</v>
      </c>
      <c r="X323" s="136">
        <f>COMPROMISOS_2025[[#This Row],[total_ordenes]]</f>
        <v>56633</v>
      </c>
      <c r="Y323" t="str" cm="1">
        <f t="array" aca="1" ref="Y323" ca="1">IFERROR(_xlfn.XLOOKUP(COMPROMISOS_2025[[#This Row],[concatenado]],PAA[[#All],[RCP-RUBRO]],PAA[[#All],[Actividad3]],VLOOKUP(COMPROMISOS_2025[[#This Row],[Indicador Principal]],$AC$2:$AD$17,2,0),0),"")</f>
        <v/>
      </c>
    </row>
    <row r="324" spans="1:25" hidden="1" x14ac:dyDescent="0.25">
      <c r="A324">
        <v>2967</v>
      </c>
      <c r="B324" t="s">
        <v>2619</v>
      </c>
      <c r="C324" t="s">
        <v>883</v>
      </c>
      <c r="D324" t="s">
        <v>2638</v>
      </c>
      <c r="F324">
        <v>422</v>
      </c>
      <c r="G324">
        <v>23</v>
      </c>
      <c r="H324" t="s">
        <v>92</v>
      </c>
      <c r="I324" t="s">
        <v>1756</v>
      </c>
      <c r="J324">
        <v>295202</v>
      </c>
      <c r="K324">
        <v>2025</v>
      </c>
      <c r="L324">
        <v>43150744</v>
      </c>
      <c r="M324" t="s">
        <v>2565</v>
      </c>
      <c r="N324" t="s">
        <v>1688</v>
      </c>
      <c r="O324" t="s">
        <v>1686</v>
      </c>
      <c r="P324">
        <v>0</v>
      </c>
      <c r="Q324">
        <v>295202</v>
      </c>
      <c r="R324">
        <v>0</v>
      </c>
      <c r="S324">
        <v>0</v>
      </c>
      <c r="T324" t="str">
        <f t="shared" si="10"/>
        <v>29671.00.0000.00.0-205616.2.1.1.01.03.113.</v>
      </c>
      <c r="U324" t="e" cm="1">
        <f t="array" aca="1" ref="U324" ca="1">+IF(COMPROMISOS_2025[[#This Row],[P]]="20","41080111",_xlfn.XLOOKUP(COMPROMISOS_2025[[#This Row],[concatenado]],PAA[[#All],[RCP-RUBRO]],PAA[[#All],[INDICADOR]],"",0))</f>
        <v>#NAME?</v>
      </c>
      <c r="V324" s="144" t="str">
        <f t="shared" si="11"/>
        <v>00</v>
      </c>
      <c r="W324" s="136">
        <f>+COMPROMISOS_2025[[#This Row],[valor_total]]-COMPROMISOS_2025[[#This Row],[total_cancelado]]</f>
        <v>295202</v>
      </c>
      <c r="X324" s="136">
        <f>COMPROMISOS_2025[[#This Row],[total_ordenes]]</f>
        <v>295202</v>
      </c>
      <c r="Y324" t="str" cm="1">
        <f t="array" aca="1" ref="Y324" ca="1">IFERROR(_xlfn.XLOOKUP(COMPROMISOS_2025[[#This Row],[concatenado]],PAA[[#All],[RCP-RUBRO]],PAA[[#All],[Actividad3]],VLOOKUP(COMPROMISOS_2025[[#This Row],[Indicador Principal]],$AC$2:$AD$17,2,0),0),"")</f>
        <v/>
      </c>
    </row>
    <row r="325" spans="1:25" hidden="1" x14ac:dyDescent="0.25">
      <c r="A325">
        <v>2968</v>
      </c>
      <c r="B325" t="s">
        <v>2619</v>
      </c>
      <c r="C325" t="s">
        <v>883</v>
      </c>
      <c r="D325" t="s">
        <v>2638</v>
      </c>
      <c r="F325">
        <v>422</v>
      </c>
      <c r="G325">
        <v>23</v>
      </c>
      <c r="H325" t="s">
        <v>92</v>
      </c>
      <c r="I325" t="s">
        <v>1756</v>
      </c>
      <c r="J325">
        <v>180000</v>
      </c>
      <c r="K325">
        <v>2025</v>
      </c>
      <c r="L325">
        <v>435759807</v>
      </c>
      <c r="M325" t="s">
        <v>2572</v>
      </c>
      <c r="N325" t="s">
        <v>1688</v>
      </c>
      <c r="O325" t="s">
        <v>1686</v>
      </c>
      <c r="P325">
        <v>0</v>
      </c>
      <c r="Q325">
        <v>180000</v>
      </c>
      <c r="R325">
        <v>0</v>
      </c>
      <c r="S325">
        <v>0</v>
      </c>
      <c r="T325" t="str">
        <f t="shared" si="10"/>
        <v>29681.00.0000.00.0-205616.2.1.1.01.03.113.</v>
      </c>
      <c r="U325" t="e" cm="1">
        <f t="array" aca="1" ref="U325" ca="1">+IF(COMPROMISOS_2025[[#This Row],[P]]="20","41080111",_xlfn.XLOOKUP(COMPROMISOS_2025[[#This Row],[concatenado]],PAA[[#All],[RCP-RUBRO]],PAA[[#All],[INDICADOR]],"",0))</f>
        <v>#NAME?</v>
      </c>
      <c r="V325" s="144" t="str">
        <f t="shared" si="11"/>
        <v>00</v>
      </c>
      <c r="W325" s="136">
        <f>+COMPROMISOS_2025[[#This Row],[valor_total]]-COMPROMISOS_2025[[#This Row],[total_cancelado]]</f>
        <v>180000</v>
      </c>
      <c r="X325" s="136">
        <f>COMPROMISOS_2025[[#This Row],[total_ordenes]]</f>
        <v>180000</v>
      </c>
      <c r="Y325" t="str" cm="1">
        <f t="array" aca="1" ref="Y325" ca="1">IFERROR(_xlfn.XLOOKUP(COMPROMISOS_2025[[#This Row],[concatenado]],PAA[[#All],[RCP-RUBRO]],PAA[[#All],[Actividad3]],VLOOKUP(COMPROMISOS_2025[[#This Row],[Indicador Principal]],$AC$2:$AD$17,2,0),0),"")</f>
        <v/>
      </c>
    </row>
    <row r="326" spans="1:25" hidden="1" x14ac:dyDescent="0.25">
      <c r="A326">
        <v>2969</v>
      </c>
      <c r="B326" t="s">
        <v>2619</v>
      </c>
      <c r="C326" t="s">
        <v>883</v>
      </c>
      <c r="D326" t="s">
        <v>2638</v>
      </c>
      <c r="F326">
        <v>422</v>
      </c>
      <c r="G326">
        <v>23</v>
      </c>
      <c r="H326" t="s">
        <v>92</v>
      </c>
      <c r="I326" t="s">
        <v>1756</v>
      </c>
      <c r="J326">
        <v>82400</v>
      </c>
      <c r="K326">
        <v>2025</v>
      </c>
      <c r="L326">
        <v>435863844</v>
      </c>
      <c r="M326" t="s">
        <v>2574</v>
      </c>
      <c r="N326" t="s">
        <v>1688</v>
      </c>
      <c r="O326" t="s">
        <v>1686</v>
      </c>
      <c r="P326">
        <v>0</v>
      </c>
      <c r="Q326">
        <v>82400</v>
      </c>
      <c r="R326">
        <v>0</v>
      </c>
      <c r="S326">
        <v>0</v>
      </c>
      <c r="T326" t="str">
        <f t="shared" si="10"/>
        <v>29691.00.0000.00.0-205616.2.1.1.01.03.113.</v>
      </c>
      <c r="U326" t="e" cm="1">
        <f t="array" aca="1" ref="U326" ca="1">+IF(COMPROMISOS_2025[[#This Row],[P]]="20","41080111",_xlfn.XLOOKUP(COMPROMISOS_2025[[#This Row],[concatenado]],PAA[[#All],[RCP-RUBRO]],PAA[[#All],[INDICADOR]],"",0))</f>
        <v>#NAME?</v>
      </c>
      <c r="V326" s="144" t="str">
        <f t="shared" si="11"/>
        <v>00</v>
      </c>
      <c r="W326" s="136">
        <f>+COMPROMISOS_2025[[#This Row],[valor_total]]-COMPROMISOS_2025[[#This Row],[total_cancelado]]</f>
        <v>82400</v>
      </c>
      <c r="X326" s="136">
        <f>COMPROMISOS_2025[[#This Row],[total_ordenes]]</f>
        <v>82400</v>
      </c>
      <c r="Y326" t="str" cm="1">
        <f t="array" aca="1" ref="Y326" ca="1">IFERROR(_xlfn.XLOOKUP(COMPROMISOS_2025[[#This Row],[concatenado]],PAA[[#All],[RCP-RUBRO]],PAA[[#All],[Actividad3]],VLOOKUP(COMPROMISOS_2025[[#This Row],[Indicador Principal]],$AC$2:$AD$17,2,0),0),"")</f>
        <v/>
      </c>
    </row>
    <row r="327" spans="1:25" hidden="1" x14ac:dyDescent="0.25">
      <c r="A327">
        <v>2970</v>
      </c>
      <c r="B327" t="s">
        <v>2619</v>
      </c>
      <c r="C327" t="s">
        <v>883</v>
      </c>
      <c r="D327" t="s">
        <v>2638</v>
      </c>
      <c r="F327">
        <v>422</v>
      </c>
      <c r="G327">
        <v>23</v>
      </c>
      <c r="H327" t="s">
        <v>92</v>
      </c>
      <c r="I327" t="s">
        <v>1756</v>
      </c>
      <c r="J327">
        <v>159992</v>
      </c>
      <c r="K327">
        <v>2025</v>
      </c>
      <c r="L327">
        <v>435954059</v>
      </c>
      <c r="M327" t="s">
        <v>2575</v>
      </c>
      <c r="N327" t="s">
        <v>1688</v>
      </c>
      <c r="O327" t="s">
        <v>1686</v>
      </c>
      <c r="P327">
        <v>0</v>
      </c>
      <c r="Q327">
        <v>159992</v>
      </c>
      <c r="R327">
        <v>0</v>
      </c>
      <c r="S327">
        <v>0</v>
      </c>
      <c r="T327" t="str">
        <f t="shared" si="10"/>
        <v>29701.00.0000.00.0-205616.2.1.1.01.03.113.</v>
      </c>
      <c r="U327" t="e" cm="1">
        <f t="array" aca="1" ref="U327" ca="1">+IF(COMPROMISOS_2025[[#This Row],[P]]="20","41080111",_xlfn.XLOOKUP(COMPROMISOS_2025[[#This Row],[concatenado]],PAA[[#All],[RCP-RUBRO]],PAA[[#All],[INDICADOR]],"",0))</f>
        <v>#NAME?</v>
      </c>
      <c r="V327" s="144" t="str">
        <f t="shared" si="11"/>
        <v>00</v>
      </c>
      <c r="W327" s="136">
        <f>+COMPROMISOS_2025[[#This Row],[valor_total]]-COMPROMISOS_2025[[#This Row],[total_cancelado]]</f>
        <v>159992</v>
      </c>
      <c r="X327" s="136">
        <f>COMPROMISOS_2025[[#This Row],[total_ordenes]]</f>
        <v>159992</v>
      </c>
      <c r="Y327" t="str" cm="1">
        <f t="array" aca="1" ref="Y327" ca="1">IFERROR(_xlfn.XLOOKUP(COMPROMISOS_2025[[#This Row],[concatenado]],PAA[[#All],[RCP-RUBRO]],PAA[[#All],[Actividad3]],VLOOKUP(COMPROMISOS_2025[[#This Row],[Indicador Principal]],$AC$2:$AD$17,2,0),0),"")</f>
        <v/>
      </c>
    </row>
    <row r="328" spans="1:25" hidden="1" x14ac:dyDescent="0.25">
      <c r="A328">
        <v>2971</v>
      </c>
      <c r="B328" t="s">
        <v>2619</v>
      </c>
      <c r="C328" t="s">
        <v>883</v>
      </c>
      <c r="D328" t="s">
        <v>2638</v>
      </c>
      <c r="F328">
        <v>422</v>
      </c>
      <c r="G328">
        <v>23</v>
      </c>
      <c r="H328" t="s">
        <v>92</v>
      </c>
      <c r="I328" t="s">
        <v>1756</v>
      </c>
      <c r="J328">
        <v>300000</v>
      </c>
      <c r="K328">
        <v>2025</v>
      </c>
      <c r="L328">
        <v>438068629</v>
      </c>
      <c r="M328" t="s">
        <v>2582</v>
      </c>
      <c r="N328" t="s">
        <v>1688</v>
      </c>
      <c r="O328" t="s">
        <v>1686</v>
      </c>
      <c r="P328">
        <v>0</v>
      </c>
      <c r="Q328">
        <v>300000</v>
      </c>
      <c r="R328">
        <v>0</v>
      </c>
      <c r="S328">
        <v>0</v>
      </c>
      <c r="T328" t="str">
        <f t="shared" si="10"/>
        <v>29711.00.0000.00.0-205616.2.1.1.01.03.113.</v>
      </c>
      <c r="U328" t="e" cm="1">
        <f t="array" aca="1" ref="U328" ca="1">+IF(COMPROMISOS_2025[[#This Row],[P]]="20","41080111",_xlfn.XLOOKUP(COMPROMISOS_2025[[#This Row],[concatenado]],PAA[[#All],[RCP-RUBRO]],PAA[[#All],[INDICADOR]],"",0))</f>
        <v>#NAME?</v>
      </c>
      <c r="V328" s="144" t="str">
        <f t="shared" si="11"/>
        <v>00</v>
      </c>
      <c r="W328" s="136">
        <f>+COMPROMISOS_2025[[#This Row],[valor_total]]-COMPROMISOS_2025[[#This Row],[total_cancelado]]</f>
        <v>300000</v>
      </c>
      <c r="X328" s="136">
        <f>COMPROMISOS_2025[[#This Row],[total_ordenes]]</f>
        <v>300000</v>
      </c>
      <c r="Y328" t="str" cm="1">
        <f t="array" aca="1" ref="Y328" ca="1">IFERROR(_xlfn.XLOOKUP(COMPROMISOS_2025[[#This Row],[concatenado]],PAA[[#All],[RCP-RUBRO]],PAA[[#All],[Actividad3]],VLOOKUP(COMPROMISOS_2025[[#This Row],[Indicador Principal]],$AC$2:$AD$17,2,0),0),"")</f>
        <v/>
      </c>
    </row>
    <row r="329" spans="1:25" hidden="1" x14ac:dyDescent="0.25">
      <c r="A329">
        <v>2972</v>
      </c>
      <c r="B329" t="s">
        <v>2619</v>
      </c>
      <c r="C329" t="s">
        <v>883</v>
      </c>
      <c r="D329" t="s">
        <v>2638</v>
      </c>
      <c r="F329">
        <v>422</v>
      </c>
      <c r="G329">
        <v>23</v>
      </c>
      <c r="H329" t="s">
        <v>92</v>
      </c>
      <c r="I329" t="s">
        <v>1756</v>
      </c>
      <c r="J329">
        <v>162215</v>
      </c>
      <c r="K329">
        <v>2025</v>
      </c>
      <c r="L329">
        <v>439103353</v>
      </c>
      <c r="M329" t="s">
        <v>2543</v>
      </c>
      <c r="N329" t="s">
        <v>1688</v>
      </c>
      <c r="O329" t="s">
        <v>1686</v>
      </c>
      <c r="P329">
        <v>0</v>
      </c>
      <c r="Q329">
        <v>162215</v>
      </c>
      <c r="R329">
        <v>0</v>
      </c>
      <c r="S329">
        <v>0</v>
      </c>
      <c r="T329" t="str">
        <f t="shared" si="10"/>
        <v>29721.00.0000.00.0-205616.2.1.1.01.03.113.</v>
      </c>
      <c r="U329" t="e" cm="1">
        <f t="array" aca="1" ref="U329" ca="1">+IF(COMPROMISOS_2025[[#This Row],[P]]="20","41080111",_xlfn.XLOOKUP(COMPROMISOS_2025[[#This Row],[concatenado]],PAA[[#All],[RCP-RUBRO]],PAA[[#All],[INDICADOR]],"",0))</f>
        <v>#NAME?</v>
      </c>
      <c r="V329" s="144" t="str">
        <f t="shared" si="11"/>
        <v>00</v>
      </c>
      <c r="W329" s="136">
        <f>+COMPROMISOS_2025[[#This Row],[valor_total]]-COMPROMISOS_2025[[#This Row],[total_cancelado]]</f>
        <v>162215</v>
      </c>
      <c r="X329" s="136">
        <f>COMPROMISOS_2025[[#This Row],[total_ordenes]]</f>
        <v>162215</v>
      </c>
      <c r="Y329" t="str" cm="1">
        <f t="array" aca="1" ref="Y329" ca="1">IFERROR(_xlfn.XLOOKUP(COMPROMISOS_2025[[#This Row],[concatenado]],PAA[[#All],[RCP-RUBRO]],PAA[[#All],[Actividad3]],VLOOKUP(COMPROMISOS_2025[[#This Row],[Indicador Principal]],$AC$2:$AD$17,2,0),0),"")</f>
        <v/>
      </c>
    </row>
    <row r="330" spans="1:25" hidden="1" x14ac:dyDescent="0.25">
      <c r="A330">
        <v>2973</v>
      </c>
      <c r="B330" t="s">
        <v>2619</v>
      </c>
      <c r="C330" t="s">
        <v>883</v>
      </c>
      <c r="D330" t="s">
        <v>2638</v>
      </c>
      <c r="F330">
        <v>422</v>
      </c>
      <c r="G330">
        <v>23</v>
      </c>
      <c r="H330" t="s">
        <v>92</v>
      </c>
      <c r="I330" t="s">
        <v>1756</v>
      </c>
      <c r="J330">
        <v>99900</v>
      </c>
      <c r="K330">
        <v>2025</v>
      </c>
      <c r="L330">
        <v>712745021</v>
      </c>
      <c r="M330" t="s">
        <v>2639</v>
      </c>
      <c r="N330" t="s">
        <v>1688</v>
      </c>
      <c r="O330" t="s">
        <v>1686</v>
      </c>
      <c r="P330">
        <v>0</v>
      </c>
      <c r="Q330">
        <v>99900</v>
      </c>
      <c r="R330">
        <v>0</v>
      </c>
      <c r="S330">
        <v>0</v>
      </c>
      <c r="T330" t="str">
        <f t="shared" si="10"/>
        <v>29731.00.0000.00.0-205616.2.1.1.01.03.113.</v>
      </c>
      <c r="U330" t="e" cm="1">
        <f t="array" aca="1" ref="U330" ca="1">+IF(COMPROMISOS_2025[[#This Row],[P]]="20","41080111",_xlfn.XLOOKUP(COMPROMISOS_2025[[#This Row],[concatenado]],PAA[[#All],[RCP-RUBRO]],PAA[[#All],[INDICADOR]],"",0))</f>
        <v>#NAME?</v>
      </c>
      <c r="V330" s="144" t="str">
        <f t="shared" si="11"/>
        <v>00</v>
      </c>
      <c r="W330" s="136">
        <f>+COMPROMISOS_2025[[#This Row],[valor_total]]-COMPROMISOS_2025[[#This Row],[total_cancelado]]</f>
        <v>99900</v>
      </c>
      <c r="X330" s="136">
        <f>COMPROMISOS_2025[[#This Row],[total_ordenes]]</f>
        <v>99900</v>
      </c>
      <c r="Y330" t="str" cm="1">
        <f t="array" aca="1" ref="Y330" ca="1">IFERROR(_xlfn.XLOOKUP(COMPROMISOS_2025[[#This Row],[concatenado]],PAA[[#All],[RCP-RUBRO]],PAA[[#All],[Actividad3]],VLOOKUP(COMPROMISOS_2025[[#This Row],[Indicador Principal]],$AC$2:$AD$17,2,0),0),"")</f>
        <v/>
      </c>
    </row>
    <row r="331" spans="1:25" hidden="1" x14ac:dyDescent="0.25">
      <c r="A331">
        <v>2974</v>
      </c>
      <c r="B331" t="s">
        <v>2619</v>
      </c>
      <c r="C331" t="s">
        <v>883</v>
      </c>
      <c r="D331" t="s">
        <v>2638</v>
      </c>
      <c r="F331">
        <v>422</v>
      </c>
      <c r="G331">
        <v>23</v>
      </c>
      <c r="H331" t="s">
        <v>92</v>
      </c>
      <c r="I331" t="s">
        <v>1756</v>
      </c>
      <c r="J331">
        <v>290000</v>
      </c>
      <c r="K331">
        <v>2025</v>
      </c>
      <c r="L331">
        <v>713658358</v>
      </c>
      <c r="M331" t="s">
        <v>2544</v>
      </c>
      <c r="N331" t="s">
        <v>1688</v>
      </c>
      <c r="O331" t="s">
        <v>1686</v>
      </c>
      <c r="P331">
        <v>0</v>
      </c>
      <c r="Q331">
        <v>290000</v>
      </c>
      <c r="R331">
        <v>0</v>
      </c>
      <c r="S331">
        <v>0</v>
      </c>
      <c r="T331" t="str">
        <f t="shared" si="10"/>
        <v>29741.00.0000.00.0-205616.2.1.1.01.03.113.</v>
      </c>
      <c r="U331" t="e" cm="1">
        <f t="array" aca="1" ref="U331" ca="1">+IF(COMPROMISOS_2025[[#This Row],[P]]="20","41080111",_xlfn.XLOOKUP(COMPROMISOS_2025[[#This Row],[concatenado]],PAA[[#All],[RCP-RUBRO]],PAA[[#All],[INDICADOR]],"",0))</f>
        <v>#NAME?</v>
      </c>
      <c r="V331" s="144" t="str">
        <f t="shared" si="11"/>
        <v>00</v>
      </c>
      <c r="W331" s="136">
        <f>+COMPROMISOS_2025[[#This Row],[valor_total]]-COMPROMISOS_2025[[#This Row],[total_cancelado]]</f>
        <v>290000</v>
      </c>
      <c r="X331" s="136">
        <f>COMPROMISOS_2025[[#This Row],[total_ordenes]]</f>
        <v>290000</v>
      </c>
      <c r="Y331" t="str" cm="1">
        <f t="array" aca="1" ref="Y331" ca="1">IFERROR(_xlfn.XLOOKUP(COMPROMISOS_2025[[#This Row],[concatenado]],PAA[[#All],[RCP-RUBRO]],PAA[[#All],[Actividad3]],VLOOKUP(COMPROMISOS_2025[[#This Row],[Indicador Principal]],$AC$2:$AD$17,2,0),0),"")</f>
        <v/>
      </c>
    </row>
    <row r="332" spans="1:25" hidden="1" x14ac:dyDescent="0.25">
      <c r="A332">
        <v>2975</v>
      </c>
      <c r="B332" t="s">
        <v>2619</v>
      </c>
      <c r="C332" t="s">
        <v>883</v>
      </c>
      <c r="D332" t="s">
        <v>2638</v>
      </c>
      <c r="F332">
        <v>422</v>
      </c>
      <c r="G332">
        <v>23</v>
      </c>
      <c r="H332" t="s">
        <v>92</v>
      </c>
      <c r="I332" t="s">
        <v>1756</v>
      </c>
      <c r="J332">
        <v>355875</v>
      </c>
      <c r="K332">
        <v>2025</v>
      </c>
      <c r="L332">
        <v>750751501</v>
      </c>
      <c r="M332" t="s">
        <v>2594</v>
      </c>
      <c r="N332" t="s">
        <v>1688</v>
      </c>
      <c r="O332" t="s">
        <v>1686</v>
      </c>
      <c r="P332">
        <v>0</v>
      </c>
      <c r="Q332">
        <v>355875</v>
      </c>
      <c r="R332">
        <v>0</v>
      </c>
      <c r="S332">
        <v>0</v>
      </c>
      <c r="T332" t="str">
        <f t="shared" si="10"/>
        <v>29751.00.0000.00.0-205616.2.1.1.01.03.113.</v>
      </c>
      <c r="U332" t="e" cm="1">
        <f t="array" aca="1" ref="U332" ca="1">+IF(COMPROMISOS_2025[[#This Row],[P]]="20","41080111",_xlfn.XLOOKUP(COMPROMISOS_2025[[#This Row],[concatenado]],PAA[[#All],[RCP-RUBRO]],PAA[[#All],[INDICADOR]],"",0))</f>
        <v>#NAME?</v>
      </c>
      <c r="V332" s="144" t="str">
        <f t="shared" si="11"/>
        <v>00</v>
      </c>
      <c r="W332" s="136">
        <f>+COMPROMISOS_2025[[#This Row],[valor_total]]-COMPROMISOS_2025[[#This Row],[total_cancelado]]</f>
        <v>355875</v>
      </c>
      <c r="X332" s="136">
        <f>COMPROMISOS_2025[[#This Row],[total_ordenes]]</f>
        <v>355875</v>
      </c>
      <c r="Y332" t="str" cm="1">
        <f t="array" aca="1" ref="Y332" ca="1">IFERROR(_xlfn.XLOOKUP(COMPROMISOS_2025[[#This Row],[concatenado]],PAA[[#All],[RCP-RUBRO]],PAA[[#All],[Actividad3]],VLOOKUP(COMPROMISOS_2025[[#This Row],[Indicador Principal]],$AC$2:$AD$17,2,0),0),"")</f>
        <v/>
      </c>
    </row>
    <row r="333" spans="1:25" hidden="1" x14ac:dyDescent="0.25">
      <c r="A333">
        <v>2976</v>
      </c>
      <c r="B333" t="s">
        <v>2619</v>
      </c>
      <c r="C333" t="s">
        <v>883</v>
      </c>
      <c r="D333" t="s">
        <v>2638</v>
      </c>
      <c r="F333">
        <v>422</v>
      </c>
      <c r="G333">
        <v>23</v>
      </c>
      <c r="H333" t="s">
        <v>92</v>
      </c>
      <c r="I333" t="s">
        <v>1756</v>
      </c>
      <c r="J333">
        <v>355875</v>
      </c>
      <c r="K333">
        <v>2025</v>
      </c>
      <c r="L333">
        <v>986288618</v>
      </c>
      <c r="M333" t="s">
        <v>2598</v>
      </c>
      <c r="N333" t="s">
        <v>1688</v>
      </c>
      <c r="O333" t="s">
        <v>1686</v>
      </c>
      <c r="P333">
        <v>0</v>
      </c>
      <c r="Q333">
        <v>355875</v>
      </c>
      <c r="R333">
        <v>0</v>
      </c>
      <c r="S333">
        <v>0</v>
      </c>
      <c r="T333" t="str">
        <f t="shared" si="10"/>
        <v>29761.00.0000.00.0-205616.2.1.1.01.03.113.</v>
      </c>
      <c r="U333" t="e" cm="1">
        <f t="array" aca="1" ref="U333" ca="1">+IF(COMPROMISOS_2025[[#This Row],[P]]="20","41080111",_xlfn.XLOOKUP(COMPROMISOS_2025[[#This Row],[concatenado]],PAA[[#All],[RCP-RUBRO]],PAA[[#All],[INDICADOR]],"",0))</f>
        <v>#NAME?</v>
      </c>
      <c r="V333" s="144" t="str">
        <f t="shared" si="11"/>
        <v>00</v>
      </c>
      <c r="W333" s="136">
        <f>+COMPROMISOS_2025[[#This Row],[valor_total]]-COMPROMISOS_2025[[#This Row],[total_cancelado]]</f>
        <v>355875</v>
      </c>
      <c r="X333" s="136">
        <f>COMPROMISOS_2025[[#This Row],[total_ordenes]]</f>
        <v>355875</v>
      </c>
      <c r="Y333" t="str" cm="1">
        <f t="array" aca="1" ref="Y333" ca="1">IFERROR(_xlfn.XLOOKUP(COMPROMISOS_2025[[#This Row],[concatenado]],PAA[[#All],[RCP-RUBRO]],PAA[[#All],[Actividad3]],VLOOKUP(COMPROMISOS_2025[[#This Row],[Indicador Principal]],$AC$2:$AD$17,2,0),0),"")</f>
        <v/>
      </c>
    </row>
    <row r="334" spans="1:25" hidden="1" x14ac:dyDescent="0.25">
      <c r="A334">
        <v>2977</v>
      </c>
      <c r="B334" t="s">
        <v>2619</v>
      </c>
      <c r="C334" t="s">
        <v>883</v>
      </c>
      <c r="D334" t="s">
        <v>2638</v>
      </c>
      <c r="F334">
        <v>422</v>
      </c>
      <c r="G334">
        <v>23</v>
      </c>
      <c r="H334" t="s">
        <v>92</v>
      </c>
      <c r="I334" t="s">
        <v>1756</v>
      </c>
      <c r="J334">
        <v>150000</v>
      </c>
      <c r="K334">
        <v>2025</v>
      </c>
      <c r="L334">
        <v>986991051</v>
      </c>
      <c r="M334" t="s">
        <v>2623</v>
      </c>
      <c r="N334" t="s">
        <v>1688</v>
      </c>
      <c r="O334" t="s">
        <v>1686</v>
      </c>
      <c r="P334">
        <v>0</v>
      </c>
      <c r="Q334">
        <v>150000</v>
      </c>
      <c r="R334">
        <v>0</v>
      </c>
      <c r="S334">
        <v>0</v>
      </c>
      <c r="T334" t="str">
        <f t="shared" si="10"/>
        <v>29771.00.0000.00.0-205616.2.1.1.01.03.113.</v>
      </c>
      <c r="U334" t="e" cm="1">
        <f t="array" aca="1" ref="U334" ca="1">+IF(COMPROMISOS_2025[[#This Row],[P]]="20","41080111",_xlfn.XLOOKUP(COMPROMISOS_2025[[#This Row],[concatenado]],PAA[[#All],[RCP-RUBRO]],PAA[[#All],[INDICADOR]],"",0))</f>
        <v>#NAME?</v>
      </c>
      <c r="V334" s="144" t="str">
        <f t="shared" si="11"/>
        <v>00</v>
      </c>
      <c r="W334" s="136">
        <f>+COMPROMISOS_2025[[#This Row],[valor_total]]-COMPROMISOS_2025[[#This Row],[total_cancelado]]</f>
        <v>150000</v>
      </c>
      <c r="X334" s="136">
        <f>COMPROMISOS_2025[[#This Row],[total_ordenes]]</f>
        <v>150000</v>
      </c>
      <c r="Y334" t="str" cm="1">
        <f t="array" aca="1" ref="Y334" ca="1">IFERROR(_xlfn.XLOOKUP(COMPROMISOS_2025[[#This Row],[concatenado]],PAA[[#All],[RCP-RUBRO]],PAA[[#All],[Actividad3]],VLOOKUP(COMPROMISOS_2025[[#This Row],[Indicador Principal]],$AC$2:$AD$17,2,0),0),"")</f>
        <v/>
      </c>
    </row>
    <row r="335" spans="1:25" hidden="1" x14ac:dyDescent="0.25">
      <c r="A335">
        <v>2978</v>
      </c>
      <c r="B335" t="s">
        <v>2619</v>
      </c>
      <c r="C335" t="s">
        <v>883</v>
      </c>
      <c r="D335" t="s">
        <v>2638</v>
      </c>
      <c r="F335">
        <v>422</v>
      </c>
      <c r="G335">
        <v>23</v>
      </c>
      <c r="H335" t="s">
        <v>92</v>
      </c>
      <c r="I335" t="s">
        <v>1756</v>
      </c>
      <c r="J335">
        <v>355875</v>
      </c>
      <c r="K335">
        <v>2025</v>
      </c>
      <c r="L335">
        <v>10171306561</v>
      </c>
      <c r="M335" t="s">
        <v>2599</v>
      </c>
      <c r="N335" t="s">
        <v>1688</v>
      </c>
      <c r="O335" t="s">
        <v>1686</v>
      </c>
      <c r="P335">
        <v>0</v>
      </c>
      <c r="Q335">
        <v>355875</v>
      </c>
      <c r="R335">
        <v>0</v>
      </c>
      <c r="S335">
        <v>0</v>
      </c>
      <c r="T335" t="str">
        <f t="shared" si="10"/>
        <v>29781.00.0000.00.0-205616.2.1.1.01.03.113.</v>
      </c>
      <c r="U335" t="e" cm="1">
        <f t="array" aca="1" ref="U335" ca="1">+IF(COMPROMISOS_2025[[#This Row],[P]]="20","41080111",_xlfn.XLOOKUP(COMPROMISOS_2025[[#This Row],[concatenado]],PAA[[#All],[RCP-RUBRO]],PAA[[#All],[INDICADOR]],"",0))</f>
        <v>#NAME?</v>
      </c>
      <c r="V335" s="144" t="str">
        <f t="shared" si="11"/>
        <v>00</v>
      </c>
      <c r="W335" s="136">
        <f>+COMPROMISOS_2025[[#This Row],[valor_total]]-COMPROMISOS_2025[[#This Row],[total_cancelado]]</f>
        <v>355875</v>
      </c>
      <c r="X335" s="136">
        <f>COMPROMISOS_2025[[#This Row],[total_ordenes]]</f>
        <v>355875</v>
      </c>
      <c r="Y335" t="str" cm="1">
        <f t="array" aca="1" ref="Y335" ca="1">IFERROR(_xlfn.XLOOKUP(COMPROMISOS_2025[[#This Row],[concatenado]],PAA[[#All],[RCP-RUBRO]],PAA[[#All],[Actividad3]],VLOOKUP(COMPROMISOS_2025[[#This Row],[Indicador Principal]],$AC$2:$AD$17,2,0),0),"")</f>
        <v/>
      </c>
    </row>
    <row r="336" spans="1:25" hidden="1" x14ac:dyDescent="0.25">
      <c r="A336">
        <v>2979</v>
      </c>
      <c r="B336" t="s">
        <v>2619</v>
      </c>
      <c r="C336" t="s">
        <v>883</v>
      </c>
      <c r="D336" t="s">
        <v>2638</v>
      </c>
      <c r="F336">
        <v>422</v>
      </c>
      <c r="G336">
        <v>23</v>
      </c>
      <c r="H336" t="s">
        <v>92</v>
      </c>
      <c r="I336" t="s">
        <v>1756</v>
      </c>
      <c r="J336">
        <v>56633</v>
      </c>
      <c r="K336">
        <v>2025</v>
      </c>
      <c r="L336">
        <v>10171740887</v>
      </c>
      <c r="M336" t="s">
        <v>2601</v>
      </c>
      <c r="N336" t="s">
        <v>1688</v>
      </c>
      <c r="O336" t="s">
        <v>1686</v>
      </c>
      <c r="P336">
        <v>0</v>
      </c>
      <c r="Q336">
        <v>56633</v>
      </c>
      <c r="R336">
        <v>0</v>
      </c>
      <c r="S336">
        <v>0</v>
      </c>
      <c r="T336" t="str">
        <f t="shared" si="10"/>
        <v>29791.00.0000.00.0-205616.2.1.1.01.03.113.</v>
      </c>
      <c r="U336" t="e" cm="1">
        <f t="array" aca="1" ref="U336" ca="1">+IF(COMPROMISOS_2025[[#This Row],[P]]="20","41080111",_xlfn.XLOOKUP(COMPROMISOS_2025[[#This Row],[concatenado]],PAA[[#All],[RCP-RUBRO]],PAA[[#All],[INDICADOR]],"",0))</f>
        <v>#NAME?</v>
      </c>
      <c r="V336" s="144" t="str">
        <f t="shared" si="11"/>
        <v>00</v>
      </c>
      <c r="W336" s="136">
        <f>+COMPROMISOS_2025[[#This Row],[valor_total]]-COMPROMISOS_2025[[#This Row],[total_cancelado]]</f>
        <v>56633</v>
      </c>
      <c r="X336" s="136">
        <f>COMPROMISOS_2025[[#This Row],[total_ordenes]]</f>
        <v>56633</v>
      </c>
      <c r="Y336" t="str" cm="1">
        <f t="array" aca="1" ref="Y336" ca="1">IFERROR(_xlfn.XLOOKUP(COMPROMISOS_2025[[#This Row],[concatenado]],PAA[[#All],[RCP-RUBRO]],PAA[[#All],[Actividad3]],VLOOKUP(COMPROMISOS_2025[[#This Row],[Indicador Principal]],$AC$2:$AD$17,2,0),0),"")</f>
        <v/>
      </c>
    </row>
    <row r="337" spans="1:25" hidden="1" x14ac:dyDescent="0.25">
      <c r="A337">
        <v>2980</v>
      </c>
      <c r="B337" t="s">
        <v>2619</v>
      </c>
      <c r="C337" t="s">
        <v>883</v>
      </c>
      <c r="D337" t="s">
        <v>2638</v>
      </c>
      <c r="F337">
        <v>422</v>
      </c>
      <c r="G337">
        <v>23</v>
      </c>
      <c r="H337" t="s">
        <v>92</v>
      </c>
      <c r="I337" t="s">
        <v>1756</v>
      </c>
      <c r="J337">
        <v>96067</v>
      </c>
      <c r="K337">
        <v>2025</v>
      </c>
      <c r="L337">
        <v>10171798061</v>
      </c>
      <c r="M337" t="s">
        <v>2602</v>
      </c>
      <c r="N337" t="s">
        <v>1688</v>
      </c>
      <c r="O337" t="s">
        <v>1686</v>
      </c>
      <c r="P337">
        <v>0</v>
      </c>
      <c r="Q337">
        <v>96067</v>
      </c>
      <c r="R337">
        <v>0</v>
      </c>
      <c r="S337">
        <v>0</v>
      </c>
      <c r="T337" t="str">
        <f t="shared" si="10"/>
        <v>29801.00.0000.00.0-205616.2.1.1.01.03.113.</v>
      </c>
      <c r="U337" t="e" cm="1">
        <f t="array" aca="1" ref="U337" ca="1">+IF(COMPROMISOS_2025[[#This Row],[P]]="20","41080111",_xlfn.XLOOKUP(COMPROMISOS_2025[[#This Row],[concatenado]],PAA[[#All],[RCP-RUBRO]],PAA[[#All],[INDICADOR]],"",0))</f>
        <v>#NAME?</v>
      </c>
      <c r="V337" s="144" t="str">
        <f t="shared" si="11"/>
        <v>00</v>
      </c>
      <c r="W337" s="136">
        <f>+COMPROMISOS_2025[[#This Row],[valor_total]]-COMPROMISOS_2025[[#This Row],[total_cancelado]]</f>
        <v>96067</v>
      </c>
      <c r="X337" s="136">
        <f>COMPROMISOS_2025[[#This Row],[total_ordenes]]</f>
        <v>96067</v>
      </c>
      <c r="Y337" t="str" cm="1">
        <f t="array" aca="1" ref="Y337" ca="1">IFERROR(_xlfn.XLOOKUP(COMPROMISOS_2025[[#This Row],[concatenado]],PAA[[#All],[RCP-RUBRO]],PAA[[#All],[Actividad3]],VLOOKUP(COMPROMISOS_2025[[#This Row],[Indicador Principal]],$AC$2:$AD$17,2,0),0),"")</f>
        <v/>
      </c>
    </row>
    <row r="338" spans="1:25" hidden="1" x14ac:dyDescent="0.25">
      <c r="A338">
        <v>2981</v>
      </c>
      <c r="B338" t="s">
        <v>2619</v>
      </c>
      <c r="C338" t="s">
        <v>883</v>
      </c>
      <c r="D338" t="s">
        <v>2638</v>
      </c>
      <c r="F338">
        <v>422</v>
      </c>
      <c r="G338">
        <v>23</v>
      </c>
      <c r="H338" t="s">
        <v>92</v>
      </c>
      <c r="I338" t="s">
        <v>1756</v>
      </c>
      <c r="J338">
        <v>59900</v>
      </c>
      <c r="K338">
        <v>2025</v>
      </c>
      <c r="L338">
        <v>10352318685</v>
      </c>
      <c r="M338" t="s">
        <v>2605</v>
      </c>
      <c r="N338" t="s">
        <v>1688</v>
      </c>
      <c r="O338" t="s">
        <v>1686</v>
      </c>
      <c r="P338">
        <v>0</v>
      </c>
      <c r="Q338">
        <v>59900</v>
      </c>
      <c r="R338">
        <v>0</v>
      </c>
      <c r="S338">
        <v>0</v>
      </c>
      <c r="T338" t="str">
        <f t="shared" si="10"/>
        <v>29811.00.0000.00.0-205616.2.1.1.01.03.113.</v>
      </c>
      <c r="U338" t="e" cm="1">
        <f t="array" aca="1" ref="U338" ca="1">+IF(COMPROMISOS_2025[[#This Row],[P]]="20","41080111",_xlfn.XLOOKUP(COMPROMISOS_2025[[#This Row],[concatenado]],PAA[[#All],[RCP-RUBRO]],PAA[[#All],[INDICADOR]],"",0))</f>
        <v>#NAME?</v>
      </c>
      <c r="V338" s="144" t="str">
        <f t="shared" si="11"/>
        <v>00</v>
      </c>
      <c r="W338" s="136">
        <f>+COMPROMISOS_2025[[#This Row],[valor_total]]-COMPROMISOS_2025[[#This Row],[total_cancelado]]</f>
        <v>59900</v>
      </c>
      <c r="X338" s="136">
        <f>COMPROMISOS_2025[[#This Row],[total_ordenes]]</f>
        <v>59900</v>
      </c>
      <c r="Y338" t="str" cm="1">
        <f t="array" aca="1" ref="Y338" ca="1">IFERROR(_xlfn.XLOOKUP(COMPROMISOS_2025[[#This Row],[concatenado]],PAA[[#All],[RCP-RUBRO]],PAA[[#All],[Actividad3]],VLOOKUP(COMPROMISOS_2025[[#This Row],[Indicador Principal]],$AC$2:$AD$17,2,0),0),"")</f>
        <v/>
      </c>
    </row>
    <row r="339" spans="1:25" hidden="1" x14ac:dyDescent="0.25">
      <c r="A339">
        <v>2982</v>
      </c>
      <c r="B339" t="s">
        <v>2619</v>
      </c>
      <c r="C339" t="s">
        <v>883</v>
      </c>
      <c r="D339" t="s">
        <v>2638</v>
      </c>
      <c r="F339">
        <v>422</v>
      </c>
      <c r="G339">
        <v>23</v>
      </c>
      <c r="H339" t="s">
        <v>92</v>
      </c>
      <c r="I339" t="s">
        <v>1756</v>
      </c>
      <c r="J339">
        <v>355875</v>
      </c>
      <c r="K339">
        <v>2025</v>
      </c>
      <c r="L339">
        <v>10354228804</v>
      </c>
      <c r="M339" t="s">
        <v>2606</v>
      </c>
      <c r="N339" t="s">
        <v>1688</v>
      </c>
      <c r="O339" t="s">
        <v>1686</v>
      </c>
      <c r="P339">
        <v>0</v>
      </c>
      <c r="Q339">
        <v>355875</v>
      </c>
      <c r="R339">
        <v>0</v>
      </c>
      <c r="S339">
        <v>0</v>
      </c>
      <c r="T339" t="str">
        <f t="shared" si="10"/>
        <v>29821.00.0000.00.0-205616.2.1.1.01.03.113.</v>
      </c>
      <c r="U339" t="e" cm="1">
        <f t="array" aca="1" ref="U339" ca="1">+IF(COMPROMISOS_2025[[#This Row],[P]]="20","41080111",_xlfn.XLOOKUP(COMPROMISOS_2025[[#This Row],[concatenado]],PAA[[#All],[RCP-RUBRO]],PAA[[#All],[INDICADOR]],"",0))</f>
        <v>#NAME?</v>
      </c>
      <c r="V339" s="144" t="str">
        <f t="shared" si="11"/>
        <v>00</v>
      </c>
      <c r="W339" s="136">
        <f>+COMPROMISOS_2025[[#This Row],[valor_total]]-COMPROMISOS_2025[[#This Row],[total_cancelado]]</f>
        <v>355875</v>
      </c>
      <c r="X339" s="136">
        <f>COMPROMISOS_2025[[#This Row],[total_ordenes]]</f>
        <v>355875</v>
      </c>
      <c r="Y339" t="str" cm="1">
        <f t="array" aca="1" ref="Y339" ca="1">IFERROR(_xlfn.XLOOKUP(COMPROMISOS_2025[[#This Row],[concatenado]],PAA[[#All],[RCP-RUBRO]],PAA[[#All],[Actividad3]],VLOOKUP(COMPROMISOS_2025[[#This Row],[Indicador Principal]],$AC$2:$AD$17,2,0),0),"")</f>
        <v/>
      </c>
    </row>
    <row r="340" spans="1:25" hidden="1" x14ac:dyDescent="0.25">
      <c r="A340">
        <v>2983</v>
      </c>
      <c r="B340" t="s">
        <v>2619</v>
      </c>
      <c r="C340" t="s">
        <v>883</v>
      </c>
      <c r="D340" t="s">
        <v>2638</v>
      </c>
      <c r="F340">
        <v>422</v>
      </c>
      <c r="G340">
        <v>23</v>
      </c>
      <c r="H340" t="s">
        <v>92</v>
      </c>
      <c r="I340" t="s">
        <v>1756</v>
      </c>
      <c r="J340">
        <v>355875</v>
      </c>
      <c r="K340">
        <v>2025</v>
      </c>
      <c r="L340">
        <v>10375844091</v>
      </c>
      <c r="M340" t="s">
        <v>2637</v>
      </c>
      <c r="N340" t="s">
        <v>1688</v>
      </c>
      <c r="O340" t="s">
        <v>1686</v>
      </c>
      <c r="P340">
        <v>0</v>
      </c>
      <c r="Q340">
        <v>355875</v>
      </c>
      <c r="R340">
        <v>0</v>
      </c>
      <c r="S340">
        <v>0</v>
      </c>
      <c r="T340" t="str">
        <f t="shared" si="10"/>
        <v>29831.00.0000.00.0-205616.2.1.1.01.03.113.</v>
      </c>
      <c r="U340" t="e" cm="1">
        <f t="array" aca="1" ref="U340" ca="1">+IF(COMPROMISOS_2025[[#This Row],[P]]="20","41080111",_xlfn.XLOOKUP(COMPROMISOS_2025[[#This Row],[concatenado]],PAA[[#All],[RCP-RUBRO]],PAA[[#All],[INDICADOR]],"",0))</f>
        <v>#NAME?</v>
      </c>
      <c r="V340" s="144" t="str">
        <f t="shared" si="11"/>
        <v>00</v>
      </c>
      <c r="W340" s="136">
        <f>+COMPROMISOS_2025[[#This Row],[valor_total]]-COMPROMISOS_2025[[#This Row],[total_cancelado]]</f>
        <v>355875</v>
      </c>
      <c r="X340" s="136">
        <f>COMPROMISOS_2025[[#This Row],[total_ordenes]]</f>
        <v>355875</v>
      </c>
      <c r="Y340" t="str" cm="1">
        <f t="array" aca="1" ref="Y340" ca="1">IFERROR(_xlfn.XLOOKUP(COMPROMISOS_2025[[#This Row],[concatenado]],PAA[[#All],[RCP-RUBRO]],PAA[[#All],[Actividad3]],VLOOKUP(COMPROMISOS_2025[[#This Row],[Indicador Principal]],$AC$2:$AD$17,2,0),0),"")</f>
        <v/>
      </c>
    </row>
    <row r="341" spans="1:25" hidden="1" x14ac:dyDescent="0.25">
      <c r="A341">
        <v>2984</v>
      </c>
      <c r="B341" t="s">
        <v>2619</v>
      </c>
      <c r="C341" t="s">
        <v>883</v>
      </c>
      <c r="D341" t="s">
        <v>2638</v>
      </c>
      <c r="F341">
        <v>422</v>
      </c>
      <c r="G341">
        <v>23</v>
      </c>
      <c r="H341" t="s">
        <v>92</v>
      </c>
      <c r="I341" t="s">
        <v>1756</v>
      </c>
      <c r="J341">
        <v>271420</v>
      </c>
      <c r="K341">
        <v>2025</v>
      </c>
      <c r="L341">
        <v>1146436016</v>
      </c>
      <c r="M341" t="s">
        <v>2610</v>
      </c>
      <c r="N341" t="s">
        <v>1688</v>
      </c>
      <c r="O341" t="s">
        <v>1686</v>
      </c>
      <c r="P341">
        <v>0</v>
      </c>
      <c r="Q341">
        <v>271420</v>
      </c>
      <c r="R341">
        <v>0</v>
      </c>
      <c r="S341">
        <v>0</v>
      </c>
      <c r="T341" t="str">
        <f t="shared" si="10"/>
        <v>29841.00.0000.00.0-205616.2.1.1.01.03.113.</v>
      </c>
      <c r="U341" t="e" cm="1">
        <f t="array" aca="1" ref="U341" ca="1">+IF(COMPROMISOS_2025[[#This Row],[P]]="20","41080111",_xlfn.XLOOKUP(COMPROMISOS_2025[[#This Row],[concatenado]],PAA[[#All],[RCP-RUBRO]],PAA[[#All],[INDICADOR]],"",0))</f>
        <v>#NAME?</v>
      </c>
      <c r="V341" s="144" t="str">
        <f t="shared" si="11"/>
        <v>00</v>
      </c>
      <c r="W341" s="136">
        <f>+COMPROMISOS_2025[[#This Row],[valor_total]]-COMPROMISOS_2025[[#This Row],[total_cancelado]]</f>
        <v>271420</v>
      </c>
      <c r="X341" s="136">
        <f>COMPROMISOS_2025[[#This Row],[total_ordenes]]</f>
        <v>271420</v>
      </c>
      <c r="Y341" t="str" cm="1">
        <f t="array" aca="1" ref="Y341" ca="1">IFERROR(_xlfn.XLOOKUP(COMPROMISOS_2025[[#This Row],[concatenado]],PAA[[#All],[RCP-RUBRO]],PAA[[#All],[Actividad3]],VLOOKUP(COMPROMISOS_2025[[#This Row],[Indicador Principal]],$AC$2:$AD$17,2,0),0),"")</f>
        <v/>
      </c>
    </row>
    <row r="342" spans="1:25" hidden="1" x14ac:dyDescent="0.25">
      <c r="A342">
        <v>14</v>
      </c>
      <c r="B342" t="s">
        <v>2640</v>
      </c>
      <c r="C342" t="s">
        <v>883</v>
      </c>
      <c r="D342" t="s">
        <v>2641</v>
      </c>
      <c r="E342" t="s">
        <v>2642</v>
      </c>
      <c r="F342">
        <v>10</v>
      </c>
      <c r="G342">
        <v>26</v>
      </c>
      <c r="H342" t="s">
        <v>98</v>
      </c>
      <c r="I342" t="s">
        <v>1767</v>
      </c>
      <c r="J342">
        <v>1427462</v>
      </c>
      <c r="K342">
        <v>2025</v>
      </c>
      <c r="L342">
        <v>986639155</v>
      </c>
      <c r="M342" t="s">
        <v>2643</v>
      </c>
      <c r="N342" t="s">
        <v>1688</v>
      </c>
      <c r="O342" t="s">
        <v>1686</v>
      </c>
      <c r="P342">
        <v>0</v>
      </c>
      <c r="Q342">
        <v>0</v>
      </c>
      <c r="R342">
        <v>0</v>
      </c>
      <c r="S342">
        <v>1427462</v>
      </c>
      <c r="T342" t="str">
        <f t="shared" si="10"/>
        <v>141.00.0000.00.0-205616.2.1.2.02.01.003.02.</v>
      </c>
      <c r="U342" t="e" cm="1">
        <f t="array" aca="1" ref="U342" ca="1">+IF(COMPROMISOS_2025[[#This Row],[P]]="20","41080111",_xlfn.XLOOKUP(COMPROMISOS_2025[[#This Row],[concatenado]],PAA[[#All],[RCP-RUBRO]],PAA[[#All],[INDICADOR]],"",0))</f>
        <v>#NAME?</v>
      </c>
      <c r="V342" s="144" t="str">
        <f t="shared" si="11"/>
        <v>00</v>
      </c>
      <c r="W342" s="136">
        <f>+COMPROMISOS_2025[[#This Row],[valor_total]]-COMPROMISOS_2025[[#This Row],[total_cancelado]]</f>
        <v>1427462</v>
      </c>
      <c r="X342" s="136">
        <f>COMPROMISOS_2025[[#This Row],[total_ordenes]]</f>
        <v>0</v>
      </c>
      <c r="Y342" t="str" cm="1">
        <f t="array" aca="1" ref="Y342" ca="1">IFERROR(_xlfn.XLOOKUP(COMPROMISOS_2025[[#This Row],[concatenado]],PAA[[#All],[RCP-RUBRO]],PAA[[#All],[Actividad3]],VLOOKUP(COMPROMISOS_2025[[#This Row],[Indicador Principal]],$AC$2:$AD$17,2,0),0),"")</f>
        <v/>
      </c>
    </row>
    <row r="343" spans="1:25" hidden="1" x14ac:dyDescent="0.25">
      <c r="A343">
        <v>440</v>
      </c>
      <c r="B343" t="s">
        <v>2644</v>
      </c>
      <c r="C343" t="s">
        <v>883</v>
      </c>
      <c r="D343" t="s">
        <v>2645</v>
      </c>
      <c r="E343" t="s">
        <v>2646</v>
      </c>
      <c r="F343">
        <v>10</v>
      </c>
      <c r="G343">
        <v>26</v>
      </c>
      <c r="H343" t="s">
        <v>98</v>
      </c>
      <c r="I343" t="s">
        <v>1767</v>
      </c>
      <c r="J343">
        <v>807800</v>
      </c>
      <c r="K343">
        <v>2025</v>
      </c>
      <c r="L343">
        <v>986639155</v>
      </c>
      <c r="M343" t="s">
        <v>2643</v>
      </c>
      <c r="N343" t="s">
        <v>1688</v>
      </c>
      <c r="O343" t="s">
        <v>1686</v>
      </c>
      <c r="P343">
        <v>0</v>
      </c>
      <c r="Q343">
        <v>0</v>
      </c>
      <c r="R343">
        <v>807800</v>
      </c>
      <c r="S343">
        <v>0</v>
      </c>
      <c r="T343" t="str">
        <f t="shared" si="10"/>
        <v>4401.00.0000.00.0-205616.2.1.2.02.01.003.02.</v>
      </c>
      <c r="U343" t="e" cm="1">
        <f t="array" aca="1" ref="U343" ca="1">+IF(COMPROMISOS_2025[[#This Row],[P]]="20","41080111",_xlfn.XLOOKUP(COMPROMISOS_2025[[#This Row],[concatenado]],PAA[[#All],[RCP-RUBRO]],PAA[[#All],[INDICADOR]],"",0))</f>
        <v>#NAME?</v>
      </c>
      <c r="V343" s="144" t="str">
        <f t="shared" si="11"/>
        <v>00</v>
      </c>
      <c r="W343" s="136">
        <f>+COMPROMISOS_2025[[#This Row],[valor_total]]-COMPROMISOS_2025[[#This Row],[total_cancelado]]</f>
        <v>0</v>
      </c>
      <c r="X343" s="136">
        <f>COMPROMISOS_2025[[#This Row],[total_ordenes]]</f>
        <v>0</v>
      </c>
      <c r="Y343" t="str" cm="1">
        <f t="array" aca="1" ref="Y343" ca="1">IFERROR(_xlfn.XLOOKUP(COMPROMISOS_2025[[#This Row],[concatenado]],PAA[[#All],[RCP-RUBRO]],PAA[[#All],[Actividad3]],VLOOKUP(COMPROMISOS_2025[[#This Row],[Indicador Principal]],$AC$2:$AD$17,2,0),0),"")</f>
        <v/>
      </c>
    </row>
    <row r="344" spans="1:25" hidden="1" x14ac:dyDescent="0.25">
      <c r="A344">
        <v>453</v>
      </c>
      <c r="B344" t="s">
        <v>2647</v>
      </c>
      <c r="C344" t="s">
        <v>883</v>
      </c>
      <c r="D344" t="s">
        <v>2648</v>
      </c>
      <c r="E344" t="s">
        <v>2649</v>
      </c>
      <c r="F344">
        <v>10</v>
      </c>
      <c r="G344">
        <v>26</v>
      </c>
      <c r="H344" t="s">
        <v>98</v>
      </c>
      <c r="I344" t="s">
        <v>1767</v>
      </c>
      <c r="J344">
        <v>540600</v>
      </c>
      <c r="K344">
        <v>2025</v>
      </c>
      <c r="L344">
        <v>986639155</v>
      </c>
      <c r="M344" t="s">
        <v>2643</v>
      </c>
      <c r="N344" t="s">
        <v>1688</v>
      </c>
      <c r="O344" t="s">
        <v>1686</v>
      </c>
      <c r="P344">
        <v>0</v>
      </c>
      <c r="Q344">
        <v>540600</v>
      </c>
      <c r="R344">
        <v>0</v>
      </c>
      <c r="S344">
        <v>0</v>
      </c>
      <c r="T344" t="str">
        <f t="shared" si="10"/>
        <v>4531.00.0000.00.0-205616.2.1.2.02.01.003.02.</v>
      </c>
      <c r="U344" t="e" cm="1">
        <f t="array" aca="1" ref="U344" ca="1">+IF(COMPROMISOS_2025[[#This Row],[P]]="20","41080111",_xlfn.XLOOKUP(COMPROMISOS_2025[[#This Row],[concatenado]],PAA[[#All],[RCP-RUBRO]],PAA[[#All],[INDICADOR]],"",0))</f>
        <v>#NAME?</v>
      </c>
      <c r="V344" s="144" t="str">
        <f t="shared" si="11"/>
        <v>00</v>
      </c>
      <c r="W344" s="136">
        <f>+COMPROMISOS_2025[[#This Row],[valor_total]]-COMPROMISOS_2025[[#This Row],[total_cancelado]]</f>
        <v>540600</v>
      </c>
      <c r="X344" s="136">
        <f>COMPROMISOS_2025[[#This Row],[total_ordenes]]</f>
        <v>540600</v>
      </c>
      <c r="Y344" t="str" cm="1">
        <f t="array" aca="1" ref="Y344" ca="1">IFERROR(_xlfn.XLOOKUP(COMPROMISOS_2025[[#This Row],[concatenado]],PAA[[#All],[RCP-RUBRO]],PAA[[#All],[Actividad3]],VLOOKUP(COMPROMISOS_2025[[#This Row],[Indicador Principal]],$AC$2:$AD$17,2,0),0),"")</f>
        <v/>
      </c>
    </row>
    <row r="345" spans="1:25" hidden="1" x14ac:dyDescent="0.25">
      <c r="A345">
        <v>3005</v>
      </c>
      <c r="B345" t="s">
        <v>2503</v>
      </c>
      <c r="C345" t="s">
        <v>883</v>
      </c>
      <c r="D345" t="s">
        <v>1766</v>
      </c>
      <c r="E345" t="s">
        <v>2650</v>
      </c>
      <c r="F345">
        <v>10</v>
      </c>
      <c r="G345">
        <v>26</v>
      </c>
      <c r="H345" t="s">
        <v>98</v>
      </c>
      <c r="I345" t="s">
        <v>1767</v>
      </c>
      <c r="J345">
        <v>59500</v>
      </c>
      <c r="K345">
        <v>2025</v>
      </c>
      <c r="L345">
        <v>986639155</v>
      </c>
      <c r="M345" t="s">
        <v>2643</v>
      </c>
      <c r="N345" t="s">
        <v>1688</v>
      </c>
      <c r="O345" t="s">
        <v>1686</v>
      </c>
      <c r="P345">
        <v>0</v>
      </c>
      <c r="Q345">
        <v>59500</v>
      </c>
      <c r="R345">
        <v>0</v>
      </c>
      <c r="S345">
        <v>0</v>
      </c>
      <c r="T345" t="str">
        <f t="shared" si="10"/>
        <v>30051.00.0000.00.0-205616.2.1.2.02.01.003.02.</v>
      </c>
      <c r="U345" t="e" cm="1">
        <f t="array" aca="1" ref="U345" ca="1">+IF(COMPROMISOS_2025[[#This Row],[P]]="20","41080111",_xlfn.XLOOKUP(COMPROMISOS_2025[[#This Row],[concatenado]],PAA[[#All],[RCP-RUBRO]],PAA[[#All],[INDICADOR]],"",0))</f>
        <v>#NAME?</v>
      </c>
      <c r="V345" s="144" t="str">
        <f t="shared" si="11"/>
        <v>00</v>
      </c>
      <c r="W345" s="136">
        <f>+COMPROMISOS_2025[[#This Row],[valor_total]]-COMPROMISOS_2025[[#This Row],[total_cancelado]]</f>
        <v>59500</v>
      </c>
      <c r="X345" s="136">
        <f>COMPROMISOS_2025[[#This Row],[total_ordenes]]</f>
        <v>59500</v>
      </c>
      <c r="Y345" t="str" cm="1">
        <f t="array" aca="1" ref="Y345" ca="1">IFERROR(_xlfn.XLOOKUP(COMPROMISOS_2025[[#This Row],[concatenado]],PAA[[#All],[RCP-RUBRO]],PAA[[#All],[Actividad3]],VLOOKUP(COMPROMISOS_2025[[#This Row],[Indicador Principal]],$AC$2:$AD$17,2,0),0),"")</f>
        <v/>
      </c>
    </row>
    <row r="346" spans="1:25" hidden="1" x14ac:dyDescent="0.25">
      <c r="A346">
        <v>7</v>
      </c>
      <c r="B346" t="s">
        <v>2651</v>
      </c>
      <c r="C346" t="s">
        <v>883</v>
      </c>
      <c r="D346" t="s">
        <v>1769</v>
      </c>
      <c r="E346" t="s">
        <v>2652</v>
      </c>
      <c r="F346">
        <v>9</v>
      </c>
      <c r="G346">
        <v>27</v>
      </c>
      <c r="H346" t="s">
        <v>140</v>
      </c>
      <c r="I346" t="s">
        <v>1770</v>
      </c>
      <c r="J346">
        <v>132291</v>
      </c>
      <c r="K346">
        <v>2025</v>
      </c>
      <c r="L346">
        <v>8909049961</v>
      </c>
      <c r="M346" t="s">
        <v>2653</v>
      </c>
      <c r="N346" t="s">
        <v>1688</v>
      </c>
      <c r="O346" t="s">
        <v>1686</v>
      </c>
      <c r="P346">
        <v>0</v>
      </c>
      <c r="Q346">
        <v>132291</v>
      </c>
      <c r="R346">
        <v>0</v>
      </c>
      <c r="S346">
        <v>0</v>
      </c>
      <c r="T346" t="str">
        <f t="shared" si="10"/>
        <v>71.00.0000.00.0-205616.2.1.2.02.02.006.01.</v>
      </c>
      <c r="U346" t="e" cm="1">
        <f t="array" aca="1" ref="U346" ca="1">+IF(COMPROMISOS_2025[[#This Row],[P]]="20","41080111",_xlfn.XLOOKUP(COMPROMISOS_2025[[#This Row],[concatenado]],PAA[[#All],[RCP-RUBRO]],PAA[[#All],[INDICADOR]],"",0))</f>
        <v>#NAME?</v>
      </c>
      <c r="V346" s="144" t="str">
        <f t="shared" si="11"/>
        <v>00</v>
      </c>
      <c r="W346" s="136">
        <f>+COMPROMISOS_2025[[#This Row],[valor_total]]-COMPROMISOS_2025[[#This Row],[total_cancelado]]</f>
        <v>132291</v>
      </c>
      <c r="X346" s="136">
        <f>COMPROMISOS_2025[[#This Row],[total_ordenes]]</f>
        <v>132291</v>
      </c>
      <c r="Y346" t="str" cm="1">
        <f t="array" aca="1" ref="Y346" ca="1">IFERROR(_xlfn.XLOOKUP(COMPROMISOS_2025[[#This Row],[concatenado]],PAA[[#All],[RCP-RUBRO]],PAA[[#All],[Actividad3]],VLOOKUP(COMPROMISOS_2025[[#This Row],[Indicador Principal]],$AC$2:$AD$17,2,0),0),"")</f>
        <v/>
      </c>
    </row>
    <row r="347" spans="1:25" hidden="1" x14ac:dyDescent="0.25">
      <c r="A347">
        <v>8</v>
      </c>
      <c r="B347" t="s">
        <v>2654</v>
      </c>
      <c r="C347" t="s">
        <v>883</v>
      </c>
      <c r="D347" t="s">
        <v>1769</v>
      </c>
      <c r="E347" t="s">
        <v>2655</v>
      </c>
      <c r="F347">
        <v>9</v>
      </c>
      <c r="G347">
        <v>27</v>
      </c>
      <c r="H347" t="s">
        <v>140</v>
      </c>
      <c r="I347" t="s">
        <v>1770</v>
      </c>
      <c r="J347">
        <v>97876</v>
      </c>
      <c r="K347">
        <v>2025</v>
      </c>
      <c r="L347">
        <v>8110371301</v>
      </c>
      <c r="M347" t="s">
        <v>2656</v>
      </c>
      <c r="N347" t="s">
        <v>1688</v>
      </c>
      <c r="O347" t="s">
        <v>1686</v>
      </c>
      <c r="P347">
        <v>0</v>
      </c>
      <c r="Q347">
        <v>97876</v>
      </c>
      <c r="R347">
        <v>0</v>
      </c>
      <c r="S347">
        <v>0</v>
      </c>
      <c r="T347" t="str">
        <f t="shared" si="10"/>
        <v>81.00.0000.00.0-205616.2.1.2.02.02.006.01.</v>
      </c>
      <c r="U347" t="e" cm="1">
        <f t="array" aca="1" ref="U347" ca="1">+IF(COMPROMISOS_2025[[#This Row],[P]]="20","41080111",_xlfn.XLOOKUP(COMPROMISOS_2025[[#This Row],[concatenado]],PAA[[#All],[RCP-RUBRO]],PAA[[#All],[INDICADOR]],"",0))</f>
        <v>#NAME?</v>
      </c>
      <c r="V347" s="144" t="str">
        <f t="shared" si="11"/>
        <v>00</v>
      </c>
      <c r="W347" s="136">
        <f>+COMPROMISOS_2025[[#This Row],[valor_total]]-COMPROMISOS_2025[[#This Row],[total_cancelado]]</f>
        <v>97876</v>
      </c>
      <c r="X347" s="136">
        <f>COMPROMISOS_2025[[#This Row],[total_ordenes]]</f>
        <v>97876</v>
      </c>
      <c r="Y347" t="str" cm="1">
        <f t="array" aca="1" ref="Y347" ca="1">IFERROR(_xlfn.XLOOKUP(COMPROMISOS_2025[[#This Row],[concatenado]],PAA[[#All],[RCP-RUBRO]],PAA[[#All],[Actividad3]],VLOOKUP(COMPROMISOS_2025[[#This Row],[Indicador Principal]],$AC$2:$AD$17,2,0),0),"")</f>
        <v/>
      </c>
    </row>
    <row r="348" spans="1:25" hidden="1" x14ac:dyDescent="0.25">
      <c r="A348">
        <v>9</v>
      </c>
      <c r="B348" t="s">
        <v>2657</v>
      </c>
      <c r="C348" t="s">
        <v>883</v>
      </c>
      <c r="D348" t="s">
        <v>1769</v>
      </c>
      <c r="E348" t="s">
        <v>2658</v>
      </c>
      <c r="F348">
        <v>9</v>
      </c>
      <c r="G348">
        <v>27</v>
      </c>
      <c r="H348" t="s">
        <v>140</v>
      </c>
      <c r="I348" t="s">
        <v>1770</v>
      </c>
      <c r="J348">
        <v>11015538</v>
      </c>
      <c r="K348">
        <v>2025</v>
      </c>
      <c r="L348">
        <v>8909049961</v>
      </c>
      <c r="M348" t="s">
        <v>2653</v>
      </c>
      <c r="N348" t="s">
        <v>1688</v>
      </c>
      <c r="O348" t="s">
        <v>1686</v>
      </c>
      <c r="P348">
        <v>0</v>
      </c>
      <c r="Q348">
        <v>11015538</v>
      </c>
      <c r="R348">
        <v>0</v>
      </c>
      <c r="S348">
        <v>0</v>
      </c>
      <c r="T348" t="str">
        <f t="shared" si="10"/>
        <v>91.00.0000.00.0-205616.2.1.2.02.02.006.01.</v>
      </c>
      <c r="U348" t="e" cm="1">
        <f t="array" aca="1" ref="U348" ca="1">+IF(COMPROMISOS_2025[[#This Row],[P]]="20","41080111",_xlfn.XLOOKUP(COMPROMISOS_2025[[#This Row],[concatenado]],PAA[[#All],[RCP-RUBRO]],PAA[[#All],[INDICADOR]],"",0))</f>
        <v>#NAME?</v>
      </c>
      <c r="V348" s="144" t="str">
        <f t="shared" si="11"/>
        <v>00</v>
      </c>
      <c r="W348" s="136">
        <f>+COMPROMISOS_2025[[#This Row],[valor_total]]-COMPROMISOS_2025[[#This Row],[total_cancelado]]</f>
        <v>11015538</v>
      </c>
      <c r="X348" s="136">
        <f>COMPROMISOS_2025[[#This Row],[total_ordenes]]</f>
        <v>11015538</v>
      </c>
      <c r="Y348" t="str" cm="1">
        <f t="array" aca="1" ref="Y348" ca="1">IFERROR(_xlfn.XLOOKUP(COMPROMISOS_2025[[#This Row],[concatenado]],PAA[[#All],[RCP-RUBRO]],PAA[[#All],[Actividad3]],VLOOKUP(COMPROMISOS_2025[[#This Row],[Indicador Principal]],$AC$2:$AD$17,2,0),0),"")</f>
        <v/>
      </c>
    </row>
    <row r="349" spans="1:25" hidden="1" x14ac:dyDescent="0.25">
      <c r="A349">
        <v>10</v>
      </c>
      <c r="B349" t="s">
        <v>2659</v>
      </c>
      <c r="C349" t="s">
        <v>883</v>
      </c>
      <c r="D349" t="s">
        <v>1769</v>
      </c>
      <c r="E349" t="s">
        <v>2660</v>
      </c>
      <c r="F349">
        <v>9</v>
      </c>
      <c r="G349">
        <v>27</v>
      </c>
      <c r="H349" t="s">
        <v>140</v>
      </c>
      <c r="I349" t="s">
        <v>1770</v>
      </c>
      <c r="J349">
        <v>29007478</v>
      </c>
      <c r="K349">
        <v>2025</v>
      </c>
      <c r="L349">
        <v>8909049961</v>
      </c>
      <c r="M349" t="s">
        <v>2653</v>
      </c>
      <c r="N349" t="s">
        <v>1688</v>
      </c>
      <c r="O349" t="s">
        <v>1686</v>
      </c>
      <c r="P349">
        <v>0</v>
      </c>
      <c r="Q349">
        <v>29007478</v>
      </c>
      <c r="R349">
        <v>0</v>
      </c>
      <c r="S349">
        <v>0</v>
      </c>
      <c r="T349" t="str">
        <f t="shared" si="10"/>
        <v>101.00.0000.00.0-205616.2.1.2.02.02.006.01.</v>
      </c>
      <c r="U349" t="e" cm="1">
        <f t="array" aca="1" ref="U349" ca="1">+IF(COMPROMISOS_2025[[#This Row],[P]]="20","41080111",_xlfn.XLOOKUP(COMPROMISOS_2025[[#This Row],[concatenado]],PAA[[#All],[RCP-RUBRO]],PAA[[#All],[INDICADOR]],"",0))</f>
        <v>#NAME?</v>
      </c>
      <c r="V349" s="144" t="str">
        <f t="shared" si="11"/>
        <v>00</v>
      </c>
      <c r="W349" s="136">
        <f>+COMPROMISOS_2025[[#This Row],[valor_total]]-COMPROMISOS_2025[[#This Row],[total_cancelado]]</f>
        <v>29007478</v>
      </c>
      <c r="X349" s="136">
        <f>COMPROMISOS_2025[[#This Row],[total_ordenes]]</f>
        <v>29007478</v>
      </c>
      <c r="Y349" t="str" cm="1">
        <f t="array" aca="1" ref="Y349" ca="1">IFERROR(_xlfn.XLOOKUP(COMPROMISOS_2025[[#This Row],[concatenado]],PAA[[#All],[RCP-RUBRO]],PAA[[#All],[Actividad3]],VLOOKUP(COMPROMISOS_2025[[#This Row],[Indicador Principal]],$AC$2:$AD$17,2,0),0),"")</f>
        <v/>
      </c>
    </row>
    <row r="350" spans="1:25" hidden="1" x14ac:dyDescent="0.25">
      <c r="A350">
        <v>11</v>
      </c>
      <c r="B350" t="s">
        <v>2661</v>
      </c>
      <c r="C350" t="s">
        <v>883</v>
      </c>
      <c r="D350" t="s">
        <v>1769</v>
      </c>
      <c r="E350" t="s">
        <v>2662</v>
      </c>
      <c r="F350">
        <v>9</v>
      </c>
      <c r="G350">
        <v>27</v>
      </c>
      <c r="H350" t="s">
        <v>140</v>
      </c>
      <c r="I350" t="s">
        <v>1770</v>
      </c>
      <c r="J350">
        <v>258864</v>
      </c>
      <c r="K350">
        <v>2025</v>
      </c>
      <c r="L350">
        <v>8909049961</v>
      </c>
      <c r="M350" t="s">
        <v>2653</v>
      </c>
      <c r="N350" t="s">
        <v>1688</v>
      </c>
      <c r="O350" t="s">
        <v>1686</v>
      </c>
      <c r="P350">
        <v>0</v>
      </c>
      <c r="Q350">
        <v>258864</v>
      </c>
      <c r="R350">
        <v>0</v>
      </c>
      <c r="S350">
        <v>0</v>
      </c>
      <c r="T350" t="str">
        <f t="shared" si="10"/>
        <v>111.00.0000.00.0-205616.2.1.2.02.02.006.01.</v>
      </c>
      <c r="U350" t="e" cm="1">
        <f t="array" aca="1" ref="U350" ca="1">+IF(COMPROMISOS_2025[[#This Row],[P]]="20","41080111",_xlfn.XLOOKUP(COMPROMISOS_2025[[#This Row],[concatenado]],PAA[[#All],[RCP-RUBRO]],PAA[[#All],[INDICADOR]],"",0))</f>
        <v>#NAME?</v>
      </c>
      <c r="V350" s="144" t="str">
        <f t="shared" si="11"/>
        <v>00</v>
      </c>
      <c r="W350" s="136">
        <f>+COMPROMISOS_2025[[#This Row],[valor_total]]-COMPROMISOS_2025[[#This Row],[total_cancelado]]</f>
        <v>258864</v>
      </c>
      <c r="X350" s="136">
        <f>COMPROMISOS_2025[[#This Row],[total_ordenes]]</f>
        <v>258864</v>
      </c>
      <c r="Y350" t="str" cm="1">
        <f t="array" aca="1" ref="Y350" ca="1">IFERROR(_xlfn.XLOOKUP(COMPROMISOS_2025[[#This Row],[concatenado]],PAA[[#All],[RCP-RUBRO]],PAA[[#All],[Actividad3]],VLOOKUP(COMPROMISOS_2025[[#This Row],[Indicador Principal]],$AC$2:$AD$17,2,0),0),"")</f>
        <v/>
      </c>
    </row>
    <row r="351" spans="1:25" hidden="1" x14ac:dyDescent="0.25">
      <c r="A351">
        <v>12</v>
      </c>
      <c r="B351" t="s">
        <v>2663</v>
      </c>
      <c r="C351" t="s">
        <v>883</v>
      </c>
      <c r="D351" t="s">
        <v>1769</v>
      </c>
      <c r="E351" t="s">
        <v>2664</v>
      </c>
      <c r="F351">
        <v>9</v>
      </c>
      <c r="G351">
        <v>27</v>
      </c>
      <c r="H351" t="s">
        <v>140</v>
      </c>
      <c r="I351" t="s">
        <v>1770</v>
      </c>
      <c r="J351">
        <v>500887</v>
      </c>
      <c r="K351">
        <v>2025</v>
      </c>
      <c r="L351">
        <v>8909049961</v>
      </c>
      <c r="M351" t="s">
        <v>2653</v>
      </c>
      <c r="N351" t="s">
        <v>1688</v>
      </c>
      <c r="O351" t="s">
        <v>1686</v>
      </c>
      <c r="P351">
        <v>0</v>
      </c>
      <c r="Q351">
        <v>500887</v>
      </c>
      <c r="R351">
        <v>0</v>
      </c>
      <c r="S351">
        <v>0</v>
      </c>
      <c r="T351" t="str">
        <f t="shared" si="10"/>
        <v>121.00.0000.00.0-205616.2.1.2.02.02.006.01.</v>
      </c>
      <c r="U351" t="e" cm="1">
        <f t="array" aca="1" ref="U351" ca="1">+IF(COMPROMISOS_2025[[#This Row],[P]]="20","41080111",_xlfn.XLOOKUP(COMPROMISOS_2025[[#This Row],[concatenado]],PAA[[#All],[RCP-RUBRO]],PAA[[#All],[INDICADOR]],"",0))</f>
        <v>#NAME?</v>
      </c>
      <c r="V351" s="144" t="str">
        <f t="shared" si="11"/>
        <v>00</v>
      </c>
      <c r="W351" s="136">
        <f>+COMPROMISOS_2025[[#This Row],[valor_total]]-COMPROMISOS_2025[[#This Row],[total_cancelado]]</f>
        <v>500887</v>
      </c>
      <c r="X351" s="136">
        <f>COMPROMISOS_2025[[#This Row],[total_ordenes]]</f>
        <v>500887</v>
      </c>
      <c r="Y351" t="str" cm="1">
        <f t="array" aca="1" ref="Y351" ca="1">IFERROR(_xlfn.XLOOKUP(COMPROMISOS_2025[[#This Row],[concatenado]],PAA[[#All],[RCP-RUBRO]],PAA[[#All],[Actividad3]],VLOOKUP(COMPROMISOS_2025[[#This Row],[Indicador Principal]],$AC$2:$AD$17,2,0),0),"")</f>
        <v/>
      </c>
    </row>
    <row r="352" spans="1:25" hidden="1" x14ac:dyDescent="0.25">
      <c r="A352">
        <v>16</v>
      </c>
      <c r="B352" t="s">
        <v>2665</v>
      </c>
      <c r="C352" t="s">
        <v>883</v>
      </c>
      <c r="D352" t="s">
        <v>1769</v>
      </c>
      <c r="E352" t="s">
        <v>2666</v>
      </c>
      <c r="F352">
        <v>9</v>
      </c>
      <c r="G352">
        <v>27</v>
      </c>
      <c r="H352" t="s">
        <v>140</v>
      </c>
      <c r="I352" t="s">
        <v>1770</v>
      </c>
      <c r="J352">
        <v>981093</v>
      </c>
      <c r="K352">
        <v>2025</v>
      </c>
      <c r="L352">
        <v>8909049961</v>
      </c>
      <c r="M352" t="s">
        <v>2653</v>
      </c>
      <c r="N352" t="s">
        <v>1688</v>
      </c>
      <c r="O352" t="s">
        <v>1686</v>
      </c>
      <c r="P352">
        <v>0</v>
      </c>
      <c r="Q352">
        <v>981093</v>
      </c>
      <c r="R352">
        <v>0</v>
      </c>
      <c r="S352">
        <v>0</v>
      </c>
      <c r="T352" t="str">
        <f t="shared" si="10"/>
        <v>161.00.0000.00.0-205616.2.1.2.02.02.006.01.</v>
      </c>
      <c r="U352" t="e" cm="1">
        <f t="array" aca="1" ref="U352" ca="1">+IF(COMPROMISOS_2025[[#This Row],[P]]="20","41080111",_xlfn.XLOOKUP(COMPROMISOS_2025[[#This Row],[concatenado]],PAA[[#All],[RCP-RUBRO]],PAA[[#All],[INDICADOR]],"",0))</f>
        <v>#NAME?</v>
      </c>
      <c r="V352" s="144" t="str">
        <f t="shared" si="11"/>
        <v>00</v>
      </c>
      <c r="W352" s="136">
        <f>+COMPROMISOS_2025[[#This Row],[valor_total]]-COMPROMISOS_2025[[#This Row],[total_cancelado]]</f>
        <v>981093</v>
      </c>
      <c r="X352" s="136">
        <f>COMPROMISOS_2025[[#This Row],[total_ordenes]]</f>
        <v>981093</v>
      </c>
      <c r="Y352" t="str" cm="1">
        <f t="array" aca="1" ref="Y352" ca="1">IFERROR(_xlfn.XLOOKUP(COMPROMISOS_2025[[#This Row],[concatenado]],PAA[[#All],[RCP-RUBRO]],PAA[[#All],[Actividad3]],VLOOKUP(COMPROMISOS_2025[[#This Row],[Indicador Principal]],$AC$2:$AD$17,2,0),0),"")</f>
        <v/>
      </c>
    </row>
    <row r="353" spans="1:25" hidden="1" x14ac:dyDescent="0.25">
      <c r="A353">
        <v>56</v>
      </c>
      <c r="B353" t="s">
        <v>2667</v>
      </c>
      <c r="C353" t="s">
        <v>883</v>
      </c>
      <c r="D353" t="s">
        <v>1769</v>
      </c>
      <c r="E353" t="s">
        <v>2668</v>
      </c>
      <c r="F353">
        <v>9</v>
      </c>
      <c r="G353">
        <v>27</v>
      </c>
      <c r="H353" t="s">
        <v>140</v>
      </c>
      <c r="I353" t="s">
        <v>1770</v>
      </c>
      <c r="J353">
        <v>1567810</v>
      </c>
      <c r="K353">
        <v>2025</v>
      </c>
      <c r="L353">
        <v>8909049961</v>
      </c>
      <c r="M353" t="s">
        <v>2653</v>
      </c>
      <c r="N353" t="s">
        <v>1688</v>
      </c>
      <c r="O353" t="s">
        <v>1686</v>
      </c>
      <c r="P353">
        <v>0</v>
      </c>
      <c r="Q353">
        <v>1567810</v>
      </c>
      <c r="R353">
        <v>0</v>
      </c>
      <c r="S353">
        <v>0</v>
      </c>
      <c r="T353" t="str">
        <f t="shared" si="10"/>
        <v>561.00.0000.00.0-205616.2.1.2.02.02.006.01.</v>
      </c>
      <c r="U353" t="e" cm="1">
        <f t="array" aca="1" ref="U353" ca="1">+IF(COMPROMISOS_2025[[#This Row],[P]]="20","41080111",_xlfn.XLOOKUP(COMPROMISOS_2025[[#This Row],[concatenado]],PAA[[#All],[RCP-RUBRO]],PAA[[#All],[INDICADOR]],"",0))</f>
        <v>#NAME?</v>
      </c>
      <c r="V353" s="144" t="str">
        <f t="shared" si="11"/>
        <v>00</v>
      </c>
      <c r="W353" s="136">
        <f>+COMPROMISOS_2025[[#This Row],[valor_total]]-COMPROMISOS_2025[[#This Row],[total_cancelado]]</f>
        <v>1567810</v>
      </c>
      <c r="X353" s="136">
        <f>COMPROMISOS_2025[[#This Row],[total_ordenes]]</f>
        <v>1567810</v>
      </c>
      <c r="Y353" t="str" cm="1">
        <f t="array" aca="1" ref="Y353" ca="1">IFERROR(_xlfn.XLOOKUP(COMPROMISOS_2025[[#This Row],[concatenado]],PAA[[#All],[RCP-RUBRO]],PAA[[#All],[Actividad3]],VLOOKUP(COMPROMISOS_2025[[#This Row],[Indicador Principal]],$AC$2:$AD$17,2,0),0),"")</f>
        <v/>
      </c>
    </row>
    <row r="354" spans="1:25" hidden="1" x14ac:dyDescent="0.25">
      <c r="A354">
        <v>69</v>
      </c>
      <c r="B354" t="s">
        <v>2669</v>
      </c>
      <c r="C354" t="s">
        <v>883</v>
      </c>
      <c r="D354" t="s">
        <v>1769</v>
      </c>
      <c r="E354" t="s">
        <v>2670</v>
      </c>
      <c r="F354">
        <v>9</v>
      </c>
      <c r="G354">
        <v>27</v>
      </c>
      <c r="H354" t="s">
        <v>140</v>
      </c>
      <c r="I354" t="s">
        <v>1770</v>
      </c>
      <c r="J354">
        <v>132505</v>
      </c>
      <c r="K354">
        <v>2025</v>
      </c>
      <c r="L354">
        <v>8909049961</v>
      </c>
      <c r="M354" t="s">
        <v>2653</v>
      </c>
      <c r="N354" t="s">
        <v>1688</v>
      </c>
      <c r="O354" t="s">
        <v>1686</v>
      </c>
      <c r="P354">
        <v>0</v>
      </c>
      <c r="Q354">
        <v>132505</v>
      </c>
      <c r="R354">
        <v>0</v>
      </c>
      <c r="S354">
        <v>0</v>
      </c>
      <c r="T354" t="str">
        <f t="shared" si="10"/>
        <v>691.00.0000.00.0-205616.2.1.2.02.02.006.01.</v>
      </c>
      <c r="U354" t="e" cm="1">
        <f t="array" aca="1" ref="U354" ca="1">+IF(COMPROMISOS_2025[[#This Row],[P]]="20","41080111",_xlfn.XLOOKUP(COMPROMISOS_2025[[#This Row],[concatenado]],PAA[[#All],[RCP-RUBRO]],PAA[[#All],[INDICADOR]],"",0))</f>
        <v>#NAME?</v>
      </c>
      <c r="V354" s="144" t="str">
        <f t="shared" si="11"/>
        <v>00</v>
      </c>
      <c r="W354" s="136">
        <f>+COMPROMISOS_2025[[#This Row],[valor_total]]-COMPROMISOS_2025[[#This Row],[total_cancelado]]</f>
        <v>132505</v>
      </c>
      <c r="X354" s="136">
        <f>COMPROMISOS_2025[[#This Row],[total_ordenes]]</f>
        <v>132505</v>
      </c>
      <c r="Y354" t="str" cm="1">
        <f t="array" aca="1" ref="Y354" ca="1">IFERROR(_xlfn.XLOOKUP(COMPROMISOS_2025[[#This Row],[concatenado]],PAA[[#All],[RCP-RUBRO]],PAA[[#All],[Actividad3]],VLOOKUP(COMPROMISOS_2025[[#This Row],[Indicador Principal]],$AC$2:$AD$17,2,0),0),"")</f>
        <v/>
      </c>
    </row>
    <row r="355" spans="1:25" hidden="1" x14ac:dyDescent="0.25">
      <c r="A355">
        <v>102</v>
      </c>
      <c r="B355" t="s">
        <v>2671</v>
      </c>
      <c r="C355" t="s">
        <v>883</v>
      </c>
      <c r="D355" t="s">
        <v>1769</v>
      </c>
      <c r="E355" t="s">
        <v>2672</v>
      </c>
      <c r="F355">
        <v>9</v>
      </c>
      <c r="G355">
        <v>27</v>
      </c>
      <c r="H355" t="s">
        <v>140</v>
      </c>
      <c r="I355" t="s">
        <v>1770</v>
      </c>
      <c r="J355">
        <v>70224</v>
      </c>
      <c r="K355">
        <v>2025</v>
      </c>
      <c r="L355">
        <v>8110371301</v>
      </c>
      <c r="M355" t="s">
        <v>2656</v>
      </c>
      <c r="N355" t="s">
        <v>1688</v>
      </c>
      <c r="O355" t="s">
        <v>1686</v>
      </c>
      <c r="P355">
        <v>0</v>
      </c>
      <c r="Q355">
        <v>70224</v>
      </c>
      <c r="R355">
        <v>0</v>
      </c>
      <c r="S355">
        <v>0</v>
      </c>
      <c r="T355" t="str">
        <f t="shared" si="10"/>
        <v>1021.00.0000.00.0-205616.2.1.2.02.02.006.01.</v>
      </c>
      <c r="U355" t="e" cm="1">
        <f t="array" aca="1" ref="U355" ca="1">+IF(COMPROMISOS_2025[[#This Row],[P]]="20","41080111",_xlfn.XLOOKUP(COMPROMISOS_2025[[#This Row],[concatenado]],PAA[[#All],[RCP-RUBRO]],PAA[[#All],[INDICADOR]],"",0))</f>
        <v>#NAME?</v>
      </c>
      <c r="V355" s="144" t="str">
        <f t="shared" si="11"/>
        <v>00</v>
      </c>
      <c r="W355" s="136">
        <f>+COMPROMISOS_2025[[#This Row],[valor_total]]-COMPROMISOS_2025[[#This Row],[total_cancelado]]</f>
        <v>70224</v>
      </c>
      <c r="X355" s="136">
        <f>COMPROMISOS_2025[[#This Row],[total_ordenes]]</f>
        <v>70224</v>
      </c>
      <c r="Y355" t="str" cm="1">
        <f t="array" aca="1" ref="Y355" ca="1">IFERROR(_xlfn.XLOOKUP(COMPROMISOS_2025[[#This Row],[concatenado]],PAA[[#All],[RCP-RUBRO]],PAA[[#All],[Actividad3]],VLOOKUP(COMPROMISOS_2025[[#This Row],[Indicador Principal]],$AC$2:$AD$17,2,0),0),"")</f>
        <v/>
      </c>
    </row>
    <row r="356" spans="1:25" hidden="1" x14ac:dyDescent="0.25">
      <c r="A356">
        <v>144</v>
      </c>
      <c r="B356" t="s">
        <v>2673</v>
      </c>
      <c r="C356" t="s">
        <v>883</v>
      </c>
      <c r="D356" t="s">
        <v>1769</v>
      </c>
      <c r="E356" t="s">
        <v>2674</v>
      </c>
      <c r="F356">
        <v>9</v>
      </c>
      <c r="G356">
        <v>27</v>
      </c>
      <c r="H356" t="s">
        <v>140</v>
      </c>
      <c r="I356" t="s">
        <v>1770</v>
      </c>
      <c r="J356">
        <v>20269121</v>
      </c>
      <c r="K356">
        <v>2025</v>
      </c>
      <c r="L356">
        <v>8909049961</v>
      </c>
      <c r="M356" t="s">
        <v>2653</v>
      </c>
      <c r="N356" t="s">
        <v>1688</v>
      </c>
      <c r="O356" t="s">
        <v>1686</v>
      </c>
      <c r="P356">
        <v>0</v>
      </c>
      <c r="Q356">
        <v>20269121</v>
      </c>
      <c r="R356">
        <v>0</v>
      </c>
      <c r="S356">
        <v>0</v>
      </c>
      <c r="T356" t="str">
        <f t="shared" si="10"/>
        <v>1441.00.0000.00.0-205616.2.1.2.02.02.006.01.</v>
      </c>
      <c r="U356" t="e" cm="1">
        <f t="array" aca="1" ref="U356" ca="1">+IF(COMPROMISOS_2025[[#This Row],[P]]="20","41080111",_xlfn.XLOOKUP(COMPROMISOS_2025[[#This Row],[concatenado]],PAA[[#All],[RCP-RUBRO]],PAA[[#All],[INDICADOR]],"",0))</f>
        <v>#NAME?</v>
      </c>
      <c r="V356" s="144" t="str">
        <f t="shared" si="11"/>
        <v>00</v>
      </c>
      <c r="W356" s="136">
        <f>+COMPROMISOS_2025[[#This Row],[valor_total]]-COMPROMISOS_2025[[#This Row],[total_cancelado]]</f>
        <v>20269121</v>
      </c>
      <c r="X356" s="136">
        <f>COMPROMISOS_2025[[#This Row],[total_ordenes]]</f>
        <v>20269121</v>
      </c>
      <c r="Y356" t="str" cm="1">
        <f t="array" aca="1" ref="Y356" ca="1">IFERROR(_xlfn.XLOOKUP(COMPROMISOS_2025[[#This Row],[concatenado]],PAA[[#All],[RCP-RUBRO]],PAA[[#All],[Actividad3]],VLOOKUP(COMPROMISOS_2025[[#This Row],[Indicador Principal]],$AC$2:$AD$17,2,0),0),"")</f>
        <v/>
      </c>
    </row>
    <row r="357" spans="1:25" hidden="1" x14ac:dyDescent="0.25">
      <c r="A357">
        <v>145</v>
      </c>
      <c r="B357" t="s">
        <v>2675</v>
      </c>
      <c r="C357" t="s">
        <v>883</v>
      </c>
      <c r="D357" t="s">
        <v>1769</v>
      </c>
      <c r="E357" t="s">
        <v>2676</v>
      </c>
      <c r="F357">
        <v>9</v>
      </c>
      <c r="G357">
        <v>27</v>
      </c>
      <c r="H357" t="s">
        <v>140</v>
      </c>
      <c r="I357" t="s">
        <v>1770</v>
      </c>
      <c r="J357">
        <v>7088073</v>
      </c>
      <c r="K357">
        <v>2025</v>
      </c>
      <c r="L357">
        <v>8909049961</v>
      </c>
      <c r="M357" t="s">
        <v>2653</v>
      </c>
      <c r="N357" t="s">
        <v>1688</v>
      </c>
      <c r="O357" t="s">
        <v>1686</v>
      </c>
      <c r="P357">
        <v>0</v>
      </c>
      <c r="Q357">
        <v>7088073</v>
      </c>
      <c r="R357">
        <v>0</v>
      </c>
      <c r="S357">
        <v>0</v>
      </c>
      <c r="T357" t="str">
        <f t="shared" si="10"/>
        <v>1451.00.0000.00.0-205616.2.1.2.02.02.006.01.</v>
      </c>
      <c r="U357" t="e" cm="1">
        <f t="array" aca="1" ref="U357" ca="1">+IF(COMPROMISOS_2025[[#This Row],[P]]="20","41080111",_xlfn.XLOOKUP(COMPROMISOS_2025[[#This Row],[concatenado]],PAA[[#All],[RCP-RUBRO]],PAA[[#All],[INDICADOR]],"",0))</f>
        <v>#NAME?</v>
      </c>
      <c r="V357" s="144" t="str">
        <f t="shared" si="11"/>
        <v>00</v>
      </c>
      <c r="W357" s="136">
        <f>+COMPROMISOS_2025[[#This Row],[valor_total]]-COMPROMISOS_2025[[#This Row],[total_cancelado]]</f>
        <v>7088073</v>
      </c>
      <c r="X357" s="136">
        <f>COMPROMISOS_2025[[#This Row],[total_ordenes]]</f>
        <v>7088073</v>
      </c>
      <c r="Y357" t="str" cm="1">
        <f t="array" aca="1" ref="Y357" ca="1">IFERROR(_xlfn.XLOOKUP(COMPROMISOS_2025[[#This Row],[concatenado]],PAA[[#All],[RCP-RUBRO]],PAA[[#All],[Actividad3]],VLOOKUP(COMPROMISOS_2025[[#This Row],[Indicador Principal]],$AC$2:$AD$17,2,0),0),"")</f>
        <v/>
      </c>
    </row>
    <row r="358" spans="1:25" hidden="1" x14ac:dyDescent="0.25">
      <c r="A358">
        <v>151</v>
      </c>
      <c r="B358" t="s">
        <v>2677</v>
      </c>
      <c r="C358" t="s">
        <v>883</v>
      </c>
      <c r="D358" t="s">
        <v>1769</v>
      </c>
      <c r="E358" t="s">
        <v>2674</v>
      </c>
      <c r="F358">
        <v>9</v>
      </c>
      <c r="G358">
        <v>27</v>
      </c>
      <c r="H358" t="s">
        <v>140</v>
      </c>
      <c r="I358" t="s">
        <v>1770</v>
      </c>
      <c r="J358">
        <v>40</v>
      </c>
      <c r="K358">
        <v>2025</v>
      </c>
      <c r="L358">
        <v>8909049961</v>
      </c>
      <c r="M358" t="s">
        <v>2653</v>
      </c>
      <c r="N358" t="s">
        <v>1688</v>
      </c>
      <c r="O358" t="s">
        <v>1686</v>
      </c>
      <c r="P358">
        <v>0</v>
      </c>
      <c r="Q358">
        <v>40</v>
      </c>
      <c r="R358">
        <v>0</v>
      </c>
      <c r="S358">
        <v>0</v>
      </c>
      <c r="T358" t="str">
        <f t="shared" si="10"/>
        <v>1511.00.0000.00.0-205616.2.1.2.02.02.006.01.</v>
      </c>
      <c r="U358" t="e" cm="1">
        <f t="array" aca="1" ref="U358" ca="1">+IF(COMPROMISOS_2025[[#This Row],[P]]="20","41080111",_xlfn.XLOOKUP(COMPROMISOS_2025[[#This Row],[concatenado]],PAA[[#All],[RCP-RUBRO]],PAA[[#All],[INDICADOR]],"",0))</f>
        <v>#NAME?</v>
      </c>
      <c r="V358" s="144" t="str">
        <f t="shared" si="11"/>
        <v>00</v>
      </c>
      <c r="W358" s="136">
        <f>+COMPROMISOS_2025[[#This Row],[valor_total]]-COMPROMISOS_2025[[#This Row],[total_cancelado]]</f>
        <v>40</v>
      </c>
      <c r="X358" s="136">
        <f>COMPROMISOS_2025[[#This Row],[total_ordenes]]</f>
        <v>40</v>
      </c>
      <c r="Y358" t="str" cm="1">
        <f t="array" aca="1" ref="Y358" ca="1">IFERROR(_xlfn.XLOOKUP(COMPROMISOS_2025[[#This Row],[concatenado]],PAA[[#All],[RCP-RUBRO]],PAA[[#All],[Actividad3]],VLOOKUP(COMPROMISOS_2025[[#This Row],[Indicador Principal]],$AC$2:$AD$17,2,0),0),"")</f>
        <v/>
      </c>
    </row>
    <row r="359" spans="1:25" hidden="1" x14ac:dyDescent="0.25">
      <c r="A359">
        <v>1191</v>
      </c>
      <c r="B359" t="s">
        <v>2678</v>
      </c>
      <c r="C359" t="s">
        <v>883</v>
      </c>
      <c r="D359" t="s">
        <v>1769</v>
      </c>
      <c r="E359" t="s">
        <v>2679</v>
      </c>
      <c r="F359">
        <v>9</v>
      </c>
      <c r="G359">
        <v>27</v>
      </c>
      <c r="H359" t="s">
        <v>140</v>
      </c>
      <c r="I359" t="s">
        <v>1770</v>
      </c>
      <c r="J359">
        <v>135051</v>
      </c>
      <c r="K359">
        <v>2025</v>
      </c>
      <c r="L359">
        <v>8909049961</v>
      </c>
      <c r="M359" t="s">
        <v>2653</v>
      </c>
      <c r="N359" t="s">
        <v>1688</v>
      </c>
      <c r="O359" t="s">
        <v>1686</v>
      </c>
      <c r="P359">
        <v>0</v>
      </c>
      <c r="Q359">
        <v>135051</v>
      </c>
      <c r="R359">
        <v>0</v>
      </c>
      <c r="S359">
        <v>0</v>
      </c>
      <c r="T359" t="str">
        <f t="shared" si="10"/>
        <v>11911.00.0000.00.0-205616.2.1.2.02.02.006.01.</v>
      </c>
      <c r="U359" t="e" cm="1">
        <f t="array" aca="1" ref="U359" ca="1">+IF(COMPROMISOS_2025[[#This Row],[P]]="20","41080111",_xlfn.XLOOKUP(COMPROMISOS_2025[[#This Row],[concatenado]],PAA[[#All],[RCP-RUBRO]],PAA[[#All],[INDICADOR]],"",0))</f>
        <v>#NAME?</v>
      </c>
      <c r="V359" s="144" t="str">
        <f t="shared" si="11"/>
        <v>00</v>
      </c>
      <c r="W359" s="136">
        <f>+COMPROMISOS_2025[[#This Row],[valor_total]]-COMPROMISOS_2025[[#This Row],[total_cancelado]]</f>
        <v>135051</v>
      </c>
      <c r="X359" s="136">
        <f>COMPROMISOS_2025[[#This Row],[total_ordenes]]</f>
        <v>135051</v>
      </c>
      <c r="Y359" t="str" cm="1">
        <f t="array" aca="1" ref="Y359" ca="1">IFERROR(_xlfn.XLOOKUP(COMPROMISOS_2025[[#This Row],[concatenado]],PAA[[#All],[RCP-RUBRO]],PAA[[#All],[Actividad3]],VLOOKUP(COMPROMISOS_2025[[#This Row],[Indicador Principal]],$AC$2:$AD$17,2,0),0),"")</f>
        <v/>
      </c>
    </row>
    <row r="360" spans="1:25" hidden="1" x14ac:dyDescent="0.25">
      <c r="A360">
        <v>1206</v>
      </c>
      <c r="B360" t="s">
        <v>2680</v>
      </c>
      <c r="C360" t="s">
        <v>883</v>
      </c>
      <c r="D360" t="s">
        <v>1769</v>
      </c>
      <c r="E360" t="s">
        <v>2681</v>
      </c>
      <c r="F360">
        <v>9</v>
      </c>
      <c r="G360">
        <v>27</v>
      </c>
      <c r="H360" t="s">
        <v>140</v>
      </c>
      <c r="I360" t="s">
        <v>1770</v>
      </c>
      <c r="J360">
        <v>85112</v>
      </c>
      <c r="K360">
        <v>2025</v>
      </c>
      <c r="L360">
        <v>8110371301</v>
      </c>
      <c r="M360" t="s">
        <v>2656</v>
      </c>
      <c r="N360" t="s">
        <v>1688</v>
      </c>
      <c r="O360" t="s">
        <v>1686</v>
      </c>
      <c r="P360">
        <v>0</v>
      </c>
      <c r="Q360">
        <v>85112</v>
      </c>
      <c r="R360">
        <v>0</v>
      </c>
      <c r="S360">
        <v>0</v>
      </c>
      <c r="T360" t="str">
        <f t="shared" si="10"/>
        <v>12061.00.0000.00.0-205616.2.1.2.02.02.006.01.</v>
      </c>
      <c r="U360" t="e" cm="1">
        <f t="array" aca="1" ref="U360" ca="1">+IF(COMPROMISOS_2025[[#This Row],[P]]="20","41080111",_xlfn.XLOOKUP(COMPROMISOS_2025[[#This Row],[concatenado]],PAA[[#All],[RCP-RUBRO]],PAA[[#All],[INDICADOR]],"",0))</f>
        <v>#NAME?</v>
      </c>
      <c r="V360" s="144" t="str">
        <f t="shared" si="11"/>
        <v>00</v>
      </c>
      <c r="W360" s="136">
        <f>+COMPROMISOS_2025[[#This Row],[valor_total]]-COMPROMISOS_2025[[#This Row],[total_cancelado]]</f>
        <v>85112</v>
      </c>
      <c r="X360" s="136">
        <f>COMPROMISOS_2025[[#This Row],[total_ordenes]]</f>
        <v>85112</v>
      </c>
      <c r="Y360" t="str" cm="1">
        <f t="array" aca="1" ref="Y360" ca="1">IFERROR(_xlfn.XLOOKUP(COMPROMISOS_2025[[#This Row],[concatenado]],PAA[[#All],[RCP-RUBRO]],PAA[[#All],[Actividad3]],VLOOKUP(COMPROMISOS_2025[[#This Row],[Indicador Principal]],$AC$2:$AD$17,2,0),0),"")</f>
        <v/>
      </c>
    </row>
    <row r="361" spans="1:25" hidden="1" x14ac:dyDescent="0.25">
      <c r="A361">
        <v>2849</v>
      </c>
      <c r="B361" t="s">
        <v>2682</v>
      </c>
      <c r="C361" t="s">
        <v>1775</v>
      </c>
      <c r="D361" t="s">
        <v>1774</v>
      </c>
      <c r="E361" t="s">
        <v>2683</v>
      </c>
      <c r="F361">
        <v>382</v>
      </c>
      <c r="G361">
        <v>27</v>
      </c>
      <c r="H361" t="s">
        <v>140</v>
      </c>
      <c r="I361" t="s">
        <v>1770</v>
      </c>
      <c r="J361">
        <v>130213545</v>
      </c>
      <c r="K361">
        <v>2025</v>
      </c>
      <c r="L361">
        <v>9002857044</v>
      </c>
      <c r="M361" t="s">
        <v>2684</v>
      </c>
      <c r="N361" t="s">
        <v>1688</v>
      </c>
      <c r="O361" t="s">
        <v>1686</v>
      </c>
      <c r="P361">
        <v>0</v>
      </c>
      <c r="Q361">
        <v>0</v>
      </c>
      <c r="R361">
        <v>0</v>
      </c>
      <c r="S361">
        <v>130213545</v>
      </c>
      <c r="T361" t="str">
        <f t="shared" si="10"/>
        <v>28491.00.0000.00.0-205616.2.1.2.02.02.006.01.</v>
      </c>
      <c r="U361" t="e" cm="1">
        <f t="array" aca="1" ref="U361" ca="1">+IF(COMPROMISOS_2025[[#This Row],[P]]="20","41080111",_xlfn.XLOOKUP(COMPROMISOS_2025[[#This Row],[concatenado]],PAA[[#All],[RCP-RUBRO]],PAA[[#All],[INDICADOR]],"",0))</f>
        <v>#NAME?</v>
      </c>
      <c r="V361" s="144" t="str">
        <f t="shared" si="11"/>
        <v>00</v>
      </c>
      <c r="W361" s="136">
        <f>+COMPROMISOS_2025[[#This Row],[valor_total]]-COMPROMISOS_2025[[#This Row],[total_cancelado]]</f>
        <v>130213545</v>
      </c>
      <c r="X361" s="136">
        <f>COMPROMISOS_2025[[#This Row],[total_ordenes]]</f>
        <v>0</v>
      </c>
      <c r="Y361" t="str" cm="1">
        <f t="array" aca="1" ref="Y361" ca="1">IFERROR(_xlfn.XLOOKUP(COMPROMISOS_2025[[#This Row],[concatenado]],PAA[[#All],[RCP-RUBRO]],PAA[[#All],[Actividad3]],VLOOKUP(COMPROMISOS_2025[[#This Row],[Indicador Principal]],$AC$2:$AD$17,2,0),0),"")</f>
        <v/>
      </c>
    </row>
    <row r="362" spans="1:25" hidden="1" x14ac:dyDescent="0.25">
      <c r="A362">
        <v>2852</v>
      </c>
      <c r="B362" t="s">
        <v>2685</v>
      </c>
      <c r="C362" t="s">
        <v>883</v>
      </c>
      <c r="D362" t="s">
        <v>1769</v>
      </c>
      <c r="E362" t="s">
        <v>2686</v>
      </c>
      <c r="F362">
        <v>9</v>
      </c>
      <c r="G362">
        <v>27</v>
      </c>
      <c r="H362" t="s">
        <v>140</v>
      </c>
      <c r="I362" t="s">
        <v>1770</v>
      </c>
      <c r="J362">
        <v>3830542</v>
      </c>
      <c r="K362">
        <v>2025</v>
      </c>
      <c r="L362">
        <v>8909049961</v>
      </c>
      <c r="M362" t="s">
        <v>2653</v>
      </c>
      <c r="N362" t="s">
        <v>1688</v>
      </c>
      <c r="O362" t="s">
        <v>1686</v>
      </c>
      <c r="P362">
        <v>0</v>
      </c>
      <c r="Q362">
        <v>3830542</v>
      </c>
      <c r="R362">
        <v>0</v>
      </c>
      <c r="S362">
        <v>0</v>
      </c>
      <c r="T362" t="str">
        <f t="shared" si="10"/>
        <v>28521.00.0000.00.0-205616.2.1.2.02.02.006.01.</v>
      </c>
      <c r="U362" t="e" cm="1">
        <f t="array" aca="1" ref="U362" ca="1">+IF(COMPROMISOS_2025[[#This Row],[P]]="20","41080111",_xlfn.XLOOKUP(COMPROMISOS_2025[[#This Row],[concatenado]],PAA[[#All],[RCP-RUBRO]],PAA[[#All],[INDICADOR]],"",0))</f>
        <v>#NAME?</v>
      </c>
      <c r="V362" s="144" t="str">
        <f t="shared" si="11"/>
        <v>00</v>
      </c>
      <c r="W362" s="136">
        <f>+COMPROMISOS_2025[[#This Row],[valor_total]]-COMPROMISOS_2025[[#This Row],[total_cancelado]]</f>
        <v>3830542</v>
      </c>
      <c r="X362" s="136">
        <f>COMPROMISOS_2025[[#This Row],[total_ordenes]]</f>
        <v>3830542</v>
      </c>
      <c r="Y362" t="str" cm="1">
        <f t="array" aca="1" ref="Y362" ca="1">IFERROR(_xlfn.XLOOKUP(COMPROMISOS_2025[[#This Row],[concatenado]],PAA[[#All],[RCP-RUBRO]],PAA[[#All],[Actividad3]],VLOOKUP(COMPROMISOS_2025[[#This Row],[Indicador Principal]],$AC$2:$AD$17,2,0),0),"")</f>
        <v/>
      </c>
    </row>
    <row r="363" spans="1:25" hidden="1" x14ac:dyDescent="0.25">
      <c r="A363">
        <v>14</v>
      </c>
      <c r="B363" t="s">
        <v>2640</v>
      </c>
      <c r="C363" t="s">
        <v>883</v>
      </c>
      <c r="D363" t="s">
        <v>2641</v>
      </c>
      <c r="E363" t="s">
        <v>2642</v>
      </c>
      <c r="F363">
        <v>10</v>
      </c>
      <c r="G363">
        <v>28</v>
      </c>
      <c r="H363" t="s">
        <v>100</v>
      </c>
      <c r="I363" t="s">
        <v>1776</v>
      </c>
      <c r="J363">
        <v>2114757</v>
      </c>
      <c r="K363">
        <v>2025</v>
      </c>
      <c r="L363">
        <v>986639155</v>
      </c>
      <c r="M363" t="s">
        <v>2643</v>
      </c>
      <c r="N363" t="s">
        <v>1688</v>
      </c>
      <c r="O363" t="s">
        <v>1686</v>
      </c>
      <c r="P363">
        <v>0</v>
      </c>
      <c r="Q363">
        <v>0</v>
      </c>
      <c r="R363">
        <v>0</v>
      </c>
      <c r="S363">
        <v>2114757</v>
      </c>
      <c r="T363" t="str">
        <f t="shared" si="10"/>
        <v>141.00.0000.00.0-205616.2.1.2.02.02.006.02.</v>
      </c>
      <c r="U363" t="e" cm="1">
        <f t="array" aca="1" ref="U363" ca="1">+IF(COMPROMISOS_2025[[#This Row],[P]]="20","41080111",_xlfn.XLOOKUP(COMPROMISOS_2025[[#This Row],[concatenado]],PAA[[#All],[RCP-RUBRO]],PAA[[#All],[INDICADOR]],"",0))</f>
        <v>#NAME?</v>
      </c>
      <c r="V363" s="144" t="str">
        <f t="shared" si="11"/>
        <v>00</v>
      </c>
      <c r="W363" s="136">
        <f>+COMPROMISOS_2025[[#This Row],[valor_total]]-COMPROMISOS_2025[[#This Row],[total_cancelado]]</f>
        <v>2114757</v>
      </c>
      <c r="X363" s="136">
        <f>COMPROMISOS_2025[[#This Row],[total_ordenes]]</f>
        <v>0</v>
      </c>
      <c r="Y363" t="str" cm="1">
        <f t="array" aca="1" ref="Y363" ca="1">IFERROR(_xlfn.XLOOKUP(COMPROMISOS_2025[[#This Row],[concatenado]],PAA[[#All],[RCP-RUBRO]],PAA[[#All],[Actividad3]],VLOOKUP(COMPROMISOS_2025[[#This Row],[Indicador Principal]],$AC$2:$AD$17,2,0),0),"")</f>
        <v/>
      </c>
    </row>
    <row r="364" spans="1:25" hidden="1" x14ac:dyDescent="0.25">
      <c r="A364">
        <v>440</v>
      </c>
      <c r="B364" t="s">
        <v>2644</v>
      </c>
      <c r="C364" t="s">
        <v>883</v>
      </c>
      <c r="D364" t="s">
        <v>2645</v>
      </c>
      <c r="E364" t="s">
        <v>2646</v>
      </c>
      <c r="F364">
        <v>10</v>
      </c>
      <c r="G364">
        <v>28</v>
      </c>
      <c r="H364" t="s">
        <v>100</v>
      </c>
      <c r="I364" t="s">
        <v>1776</v>
      </c>
      <c r="J364">
        <v>641000</v>
      </c>
      <c r="K364">
        <v>2025</v>
      </c>
      <c r="L364">
        <v>986639155</v>
      </c>
      <c r="M364" t="s">
        <v>2643</v>
      </c>
      <c r="N364" t="s">
        <v>1688</v>
      </c>
      <c r="O364" t="s">
        <v>1686</v>
      </c>
      <c r="P364">
        <v>0</v>
      </c>
      <c r="Q364">
        <v>0</v>
      </c>
      <c r="R364">
        <v>641000</v>
      </c>
      <c r="S364">
        <v>0</v>
      </c>
      <c r="T364" t="str">
        <f t="shared" si="10"/>
        <v>4401.00.0000.00.0-205616.2.1.2.02.02.006.02.</v>
      </c>
      <c r="U364" t="e" cm="1">
        <f t="array" aca="1" ref="U364" ca="1">+IF(COMPROMISOS_2025[[#This Row],[P]]="20","41080111",_xlfn.XLOOKUP(COMPROMISOS_2025[[#This Row],[concatenado]],PAA[[#All],[RCP-RUBRO]],PAA[[#All],[INDICADOR]],"",0))</f>
        <v>#NAME?</v>
      </c>
      <c r="V364" s="144" t="str">
        <f t="shared" si="11"/>
        <v>00</v>
      </c>
      <c r="W364" s="136">
        <f>+COMPROMISOS_2025[[#This Row],[valor_total]]-COMPROMISOS_2025[[#This Row],[total_cancelado]]</f>
        <v>0</v>
      </c>
      <c r="X364" s="136">
        <f>COMPROMISOS_2025[[#This Row],[total_ordenes]]</f>
        <v>0</v>
      </c>
      <c r="Y364" t="str" cm="1">
        <f t="array" aca="1" ref="Y364" ca="1">IFERROR(_xlfn.XLOOKUP(COMPROMISOS_2025[[#This Row],[concatenado]],PAA[[#All],[RCP-RUBRO]],PAA[[#All],[Actividad3]],VLOOKUP(COMPROMISOS_2025[[#This Row],[Indicador Principal]],$AC$2:$AD$17,2,0),0),"")</f>
        <v/>
      </c>
    </row>
    <row r="365" spans="1:25" hidden="1" x14ac:dyDescent="0.25">
      <c r="A365">
        <v>453</v>
      </c>
      <c r="B365" t="s">
        <v>2647</v>
      </c>
      <c r="C365" t="s">
        <v>883</v>
      </c>
      <c r="D365" t="s">
        <v>2648</v>
      </c>
      <c r="E365" t="s">
        <v>2649</v>
      </c>
      <c r="F365">
        <v>10</v>
      </c>
      <c r="G365">
        <v>28</v>
      </c>
      <c r="H365" t="s">
        <v>100</v>
      </c>
      <c r="I365" t="s">
        <v>1776</v>
      </c>
      <c r="J365">
        <v>908200</v>
      </c>
      <c r="K365">
        <v>2025</v>
      </c>
      <c r="L365">
        <v>986639155</v>
      </c>
      <c r="M365" t="s">
        <v>2643</v>
      </c>
      <c r="N365" t="s">
        <v>1688</v>
      </c>
      <c r="O365" t="s">
        <v>1686</v>
      </c>
      <c r="P365">
        <v>0</v>
      </c>
      <c r="Q365">
        <v>908200</v>
      </c>
      <c r="R365">
        <v>0</v>
      </c>
      <c r="S365">
        <v>0</v>
      </c>
      <c r="T365" t="str">
        <f t="shared" si="10"/>
        <v>4531.00.0000.00.0-205616.2.1.2.02.02.006.02.</v>
      </c>
      <c r="U365" t="e" cm="1">
        <f t="array" aca="1" ref="U365" ca="1">+IF(COMPROMISOS_2025[[#This Row],[P]]="20","41080111",_xlfn.XLOOKUP(COMPROMISOS_2025[[#This Row],[concatenado]],PAA[[#All],[RCP-RUBRO]],PAA[[#All],[INDICADOR]],"",0))</f>
        <v>#NAME?</v>
      </c>
      <c r="V365" s="144" t="str">
        <f t="shared" si="11"/>
        <v>00</v>
      </c>
      <c r="W365" s="136">
        <f>+COMPROMISOS_2025[[#This Row],[valor_total]]-COMPROMISOS_2025[[#This Row],[total_cancelado]]</f>
        <v>908200</v>
      </c>
      <c r="X365" s="136">
        <f>COMPROMISOS_2025[[#This Row],[total_ordenes]]</f>
        <v>908200</v>
      </c>
      <c r="Y365" t="str" cm="1">
        <f t="array" aca="1" ref="Y365" ca="1">IFERROR(_xlfn.XLOOKUP(COMPROMISOS_2025[[#This Row],[concatenado]],PAA[[#All],[RCP-RUBRO]],PAA[[#All],[Actividad3]],VLOOKUP(COMPROMISOS_2025[[#This Row],[Indicador Principal]],$AC$2:$AD$17,2,0),0),"")</f>
        <v/>
      </c>
    </row>
    <row r="366" spans="1:25" hidden="1" x14ac:dyDescent="0.25">
      <c r="A366">
        <v>3005</v>
      </c>
      <c r="B366" t="s">
        <v>2503</v>
      </c>
      <c r="C366" t="s">
        <v>883</v>
      </c>
      <c r="D366" t="s">
        <v>1766</v>
      </c>
      <c r="E366" t="s">
        <v>2650</v>
      </c>
      <c r="F366">
        <v>10</v>
      </c>
      <c r="G366">
        <v>28</v>
      </c>
      <c r="H366" t="s">
        <v>100</v>
      </c>
      <c r="I366" t="s">
        <v>1776</v>
      </c>
      <c r="J366">
        <v>522500</v>
      </c>
      <c r="K366">
        <v>2025</v>
      </c>
      <c r="L366">
        <v>986639155</v>
      </c>
      <c r="M366" t="s">
        <v>2643</v>
      </c>
      <c r="N366" t="s">
        <v>1688</v>
      </c>
      <c r="O366" t="s">
        <v>1686</v>
      </c>
      <c r="P366">
        <v>0</v>
      </c>
      <c r="Q366">
        <v>522500</v>
      </c>
      <c r="R366">
        <v>0</v>
      </c>
      <c r="S366">
        <v>0</v>
      </c>
      <c r="T366" t="str">
        <f t="shared" si="10"/>
        <v>30051.00.0000.00.0-205616.2.1.2.02.02.006.02.</v>
      </c>
      <c r="U366" t="e" cm="1">
        <f t="array" aca="1" ref="U366" ca="1">+IF(COMPROMISOS_2025[[#This Row],[P]]="20","41080111",_xlfn.XLOOKUP(COMPROMISOS_2025[[#This Row],[concatenado]],PAA[[#All],[RCP-RUBRO]],PAA[[#All],[INDICADOR]],"",0))</f>
        <v>#NAME?</v>
      </c>
      <c r="V366" s="144" t="str">
        <f t="shared" si="11"/>
        <v>00</v>
      </c>
      <c r="W366" s="136">
        <f>+COMPROMISOS_2025[[#This Row],[valor_total]]-COMPROMISOS_2025[[#This Row],[total_cancelado]]</f>
        <v>522500</v>
      </c>
      <c r="X366" s="136">
        <f>COMPROMISOS_2025[[#This Row],[total_ordenes]]</f>
        <v>522500</v>
      </c>
      <c r="Y366" t="str" cm="1">
        <f t="array" aca="1" ref="Y366" ca="1">IFERROR(_xlfn.XLOOKUP(COMPROMISOS_2025[[#This Row],[concatenado]],PAA[[#All],[RCP-RUBRO]],PAA[[#All],[Actividad3]],VLOOKUP(COMPROMISOS_2025[[#This Row],[Indicador Principal]],$AC$2:$AD$17,2,0),0),"")</f>
        <v/>
      </c>
    </row>
    <row r="367" spans="1:25" hidden="1" x14ac:dyDescent="0.25">
      <c r="A367">
        <v>14</v>
      </c>
      <c r="B367" t="s">
        <v>2640</v>
      </c>
      <c r="C367" t="s">
        <v>883</v>
      </c>
      <c r="D367" t="s">
        <v>2641</v>
      </c>
      <c r="E367" t="s">
        <v>2642</v>
      </c>
      <c r="F367">
        <v>10</v>
      </c>
      <c r="G367">
        <v>29</v>
      </c>
      <c r="H367" t="s">
        <v>102</v>
      </c>
      <c r="I367" t="s">
        <v>1777</v>
      </c>
      <c r="J367">
        <v>115046</v>
      </c>
      <c r="K367">
        <v>2025</v>
      </c>
      <c r="L367">
        <v>986639155</v>
      </c>
      <c r="M367" t="s">
        <v>2643</v>
      </c>
      <c r="N367" t="s">
        <v>1688</v>
      </c>
      <c r="O367" t="s">
        <v>1686</v>
      </c>
      <c r="P367">
        <v>0</v>
      </c>
      <c r="Q367">
        <v>0</v>
      </c>
      <c r="R367">
        <v>0</v>
      </c>
      <c r="S367">
        <v>115046</v>
      </c>
      <c r="T367" t="str">
        <f t="shared" si="10"/>
        <v>141.00.0000.00.0-205616.2.1.2.02.02.007.01.</v>
      </c>
      <c r="U367" t="e" cm="1">
        <f t="array" aca="1" ref="U367" ca="1">+IF(COMPROMISOS_2025[[#This Row],[P]]="20","41080111",_xlfn.XLOOKUP(COMPROMISOS_2025[[#This Row],[concatenado]],PAA[[#All],[RCP-RUBRO]],PAA[[#All],[INDICADOR]],"",0))</f>
        <v>#NAME?</v>
      </c>
      <c r="V367" s="144" t="str">
        <f t="shared" si="11"/>
        <v>00</v>
      </c>
      <c r="W367" s="136">
        <f>+COMPROMISOS_2025[[#This Row],[valor_total]]-COMPROMISOS_2025[[#This Row],[total_cancelado]]</f>
        <v>115046</v>
      </c>
      <c r="X367" s="136">
        <f>COMPROMISOS_2025[[#This Row],[total_ordenes]]</f>
        <v>0</v>
      </c>
      <c r="Y367" t="str" cm="1">
        <f t="array" aca="1" ref="Y367" ca="1">IFERROR(_xlfn.XLOOKUP(COMPROMISOS_2025[[#This Row],[concatenado]],PAA[[#All],[RCP-RUBRO]],PAA[[#All],[Actividad3]],VLOOKUP(COMPROMISOS_2025[[#This Row],[Indicador Principal]],$AC$2:$AD$17,2,0),0),"")</f>
        <v/>
      </c>
    </row>
    <row r="368" spans="1:25" hidden="1" x14ac:dyDescent="0.25">
      <c r="A368">
        <v>15</v>
      </c>
      <c r="B368" t="s">
        <v>2687</v>
      </c>
      <c r="C368" t="s">
        <v>883</v>
      </c>
      <c r="D368" t="s">
        <v>1779</v>
      </c>
      <c r="E368" t="s">
        <v>2688</v>
      </c>
      <c r="F368">
        <v>14</v>
      </c>
      <c r="G368">
        <v>30</v>
      </c>
      <c r="H368" t="s">
        <v>114</v>
      </c>
      <c r="I368" t="s">
        <v>1780</v>
      </c>
      <c r="J368">
        <v>47866000</v>
      </c>
      <c r="K368">
        <v>2025</v>
      </c>
      <c r="L368">
        <v>155126121</v>
      </c>
      <c r="M368" t="s">
        <v>2689</v>
      </c>
      <c r="N368" t="s">
        <v>1688</v>
      </c>
      <c r="O368" t="s">
        <v>1686</v>
      </c>
      <c r="P368">
        <v>0</v>
      </c>
      <c r="Q368">
        <v>20103720</v>
      </c>
      <c r="R368">
        <v>0</v>
      </c>
      <c r="S368">
        <v>27762280</v>
      </c>
      <c r="T368" t="str">
        <f t="shared" si="10"/>
        <v>151.00.0000.00.0-205616.2.1.2.02.02.008.01.</v>
      </c>
      <c r="U368" t="e" cm="1">
        <f t="array" aca="1" ref="U368" ca="1">+IF(COMPROMISOS_2025[[#This Row],[P]]="20","41080111",_xlfn.XLOOKUP(COMPROMISOS_2025[[#This Row],[concatenado]],PAA[[#All],[RCP-RUBRO]],PAA[[#All],[INDICADOR]],"",0))</f>
        <v>#NAME?</v>
      </c>
      <c r="V368" s="144" t="str">
        <f t="shared" si="11"/>
        <v>00</v>
      </c>
      <c r="W368" s="136">
        <f>+COMPROMISOS_2025[[#This Row],[valor_total]]-COMPROMISOS_2025[[#This Row],[total_cancelado]]</f>
        <v>47866000</v>
      </c>
      <c r="X368" s="136">
        <f>COMPROMISOS_2025[[#This Row],[total_ordenes]]</f>
        <v>20103720</v>
      </c>
      <c r="Y368" t="str" cm="1">
        <f t="array" aca="1" ref="Y368" ca="1">IFERROR(_xlfn.XLOOKUP(COMPROMISOS_2025[[#This Row],[concatenado]],PAA[[#All],[RCP-RUBRO]],PAA[[#All],[Actividad3]],VLOOKUP(COMPROMISOS_2025[[#This Row],[Indicador Principal]],$AC$2:$AD$17,2,0),0),"")</f>
        <v/>
      </c>
    </row>
    <row r="369" spans="1:25" hidden="1" x14ac:dyDescent="0.25">
      <c r="A369">
        <v>57</v>
      </c>
      <c r="B369" t="s">
        <v>2690</v>
      </c>
      <c r="C369" t="s">
        <v>883</v>
      </c>
      <c r="D369" t="s">
        <v>1807</v>
      </c>
      <c r="E369" t="s">
        <v>2691</v>
      </c>
      <c r="F369">
        <v>38</v>
      </c>
      <c r="G369">
        <v>30</v>
      </c>
      <c r="H369" t="s">
        <v>114</v>
      </c>
      <c r="I369" t="s">
        <v>1780</v>
      </c>
      <c r="J369">
        <v>17095000</v>
      </c>
      <c r="K369">
        <v>2025</v>
      </c>
      <c r="L369">
        <v>436768906</v>
      </c>
      <c r="M369" t="s">
        <v>2692</v>
      </c>
      <c r="N369" t="s">
        <v>1688</v>
      </c>
      <c r="O369" t="s">
        <v>1686</v>
      </c>
      <c r="P369">
        <v>0</v>
      </c>
      <c r="Q369">
        <v>6496100</v>
      </c>
      <c r="R369">
        <v>0</v>
      </c>
      <c r="S369">
        <v>10598900</v>
      </c>
      <c r="T369" t="str">
        <f t="shared" si="10"/>
        <v>571.00.0000.00.0-205616.2.1.2.02.02.008.01.</v>
      </c>
      <c r="U369" t="e" cm="1">
        <f t="array" aca="1" ref="U369" ca="1">+IF(COMPROMISOS_2025[[#This Row],[P]]="20","41080111",_xlfn.XLOOKUP(COMPROMISOS_2025[[#This Row],[concatenado]],PAA[[#All],[RCP-RUBRO]],PAA[[#All],[INDICADOR]],"",0))</f>
        <v>#NAME?</v>
      </c>
      <c r="V369" s="144" t="str">
        <f t="shared" si="11"/>
        <v>00</v>
      </c>
      <c r="W369" s="136">
        <f>+COMPROMISOS_2025[[#This Row],[valor_total]]-COMPROMISOS_2025[[#This Row],[total_cancelado]]</f>
        <v>17095000</v>
      </c>
      <c r="X369" s="136">
        <f>COMPROMISOS_2025[[#This Row],[total_ordenes]]</f>
        <v>6496100</v>
      </c>
      <c r="Y369" t="str" cm="1">
        <f t="array" aca="1" ref="Y369" ca="1">IFERROR(_xlfn.XLOOKUP(COMPROMISOS_2025[[#This Row],[concatenado]],PAA[[#All],[RCP-RUBRO]],PAA[[#All],[Actividad3]],VLOOKUP(COMPROMISOS_2025[[#This Row],[Indicador Principal]],$AC$2:$AD$17,2,0),0),"")</f>
        <v/>
      </c>
    </row>
    <row r="370" spans="1:25" hidden="1" x14ac:dyDescent="0.25">
      <c r="A370">
        <v>58</v>
      </c>
      <c r="B370" t="s">
        <v>2693</v>
      </c>
      <c r="C370" t="s">
        <v>883</v>
      </c>
      <c r="D370" t="s">
        <v>1784</v>
      </c>
      <c r="E370" t="s">
        <v>2694</v>
      </c>
      <c r="F370">
        <v>21</v>
      </c>
      <c r="G370">
        <v>30</v>
      </c>
      <c r="H370" t="s">
        <v>114</v>
      </c>
      <c r="I370" t="s">
        <v>1780</v>
      </c>
      <c r="J370">
        <v>47866000</v>
      </c>
      <c r="K370">
        <v>2025</v>
      </c>
      <c r="L370">
        <v>10375713586</v>
      </c>
      <c r="M370" t="s">
        <v>2695</v>
      </c>
      <c r="N370" t="s">
        <v>1688</v>
      </c>
      <c r="O370" t="s">
        <v>1686</v>
      </c>
      <c r="P370">
        <v>0</v>
      </c>
      <c r="Q370">
        <v>18189080</v>
      </c>
      <c r="R370">
        <v>0</v>
      </c>
      <c r="S370">
        <v>29676920</v>
      </c>
      <c r="T370" t="str">
        <f t="shared" si="10"/>
        <v>581.00.0000.00.0-205616.2.1.2.02.02.008.01.</v>
      </c>
      <c r="U370" t="e" cm="1">
        <f t="array" aca="1" ref="U370" ca="1">+IF(COMPROMISOS_2025[[#This Row],[P]]="20","41080111",_xlfn.XLOOKUP(COMPROMISOS_2025[[#This Row],[concatenado]],PAA[[#All],[RCP-RUBRO]],PAA[[#All],[INDICADOR]],"",0))</f>
        <v>#NAME?</v>
      </c>
      <c r="V370" s="144" t="str">
        <f t="shared" si="11"/>
        <v>00</v>
      </c>
      <c r="W370" s="136">
        <f>+COMPROMISOS_2025[[#This Row],[valor_total]]-COMPROMISOS_2025[[#This Row],[total_cancelado]]</f>
        <v>47866000</v>
      </c>
      <c r="X370" s="136">
        <f>COMPROMISOS_2025[[#This Row],[total_ordenes]]</f>
        <v>18189080</v>
      </c>
      <c r="Y370" t="str" cm="1">
        <f t="array" aca="1" ref="Y370" ca="1">IFERROR(_xlfn.XLOOKUP(COMPROMISOS_2025[[#This Row],[concatenado]],PAA[[#All],[RCP-RUBRO]],PAA[[#All],[Actividad3]],VLOOKUP(COMPROMISOS_2025[[#This Row],[Indicador Principal]],$AC$2:$AD$17,2,0),0),"")</f>
        <v/>
      </c>
    </row>
    <row r="371" spans="1:25" hidden="1" x14ac:dyDescent="0.25">
      <c r="A371">
        <v>59</v>
      </c>
      <c r="B371" t="s">
        <v>2696</v>
      </c>
      <c r="C371" t="s">
        <v>883</v>
      </c>
      <c r="D371" t="s">
        <v>1792</v>
      </c>
      <c r="E371" t="s">
        <v>2697</v>
      </c>
      <c r="F371">
        <v>25</v>
      </c>
      <c r="G371">
        <v>30</v>
      </c>
      <c r="H371" t="s">
        <v>114</v>
      </c>
      <c r="I371" t="s">
        <v>1780</v>
      </c>
      <c r="J371">
        <v>47866000</v>
      </c>
      <c r="K371">
        <v>2025</v>
      </c>
      <c r="L371">
        <v>394309071</v>
      </c>
      <c r="M371" t="s">
        <v>2698</v>
      </c>
      <c r="N371" t="s">
        <v>1688</v>
      </c>
      <c r="O371" t="s">
        <v>1686</v>
      </c>
      <c r="P371">
        <v>0</v>
      </c>
      <c r="Q371">
        <v>17869973</v>
      </c>
      <c r="R371">
        <v>0</v>
      </c>
      <c r="S371">
        <v>29996027</v>
      </c>
      <c r="T371" t="str">
        <f t="shared" si="10"/>
        <v>591.00.0000.00.0-205616.2.1.2.02.02.008.01.</v>
      </c>
      <c r="U371" t="e" cm="1">
        <f t="array" aca="1" ref="U371" ca="1">+IF(COMPROMISOS_2025[[#This Row],[P]]="20","41080111",_xlfn.XLOOKUP(COMPROMISOS_2025[[#This Row],[concatenado]],PAA[[#All],[RCP-RUBRO]],PAA[[#All],[INDICADOR]],"",0))</f>
        <v>#NAME?</v>
      </c>
      <c r="V371" s="144" t="str">
        <f t="shared" si="11"/>
        <v>00</v>
      </c>
      <c r="W371" s="136">
        <f>+COMPROMISOS_2025[[#This Row],[valor_total]]-COMPROMISOS_2025[[#This Row],[total_cancelado]]</f>
        <v>47866000</v>
      </c>
      <c r="X371" s="136">
        <f>COMPROMISOS_2025[[#This Row],[total_ordenes]]</f>
        <v>17869973</v>
      </c>
      <c r="Y371" t="str" cm="1">
        <f t="array" aca="1" ref="Y371" ca="1">IFERROR(_xlfn.XLOOKUP(COMPROMISOS_2025[[#This Row],[concatenado]],PAA[[#All],[RCP-RUBRO]],PAA[[#All],[Actividad3]],VLOOKUP(COMPROMISOS_2025[[#This Row],[Indicador Principal]],$AC$2:$AD$17,2,0),0),"")</f>
        <v/>
      </c>
    </row>
    <row r="372" spans="1:25" hidden="1" x14ac:dyDescent="0.25">
      <c r="A372">
        <v>60</v>
      </c>
      <c r="B372" t="s">
        <v>2699</v>
      </c>
      <c r="C372" t="s">
        <v>883</v>
      </c>
      <c r="D372" t="s">
        <v>1802</v>
      </c>
      <c r="E372" t="s">
        <v>2700</v>
      </c>
      <c r="F372">
        <v>33</v>
      </c>
      <c r="G372">
        <v>30</v>
      </c>
      <c r="H372" t="s">
        <v>114</v>
      </c>
      <c r="I372" t="s">
        <v>1780</v>
      </c>
      <c r="J372">
        <v>37609000</v>
      </c>
      <c r="K372">
        <v>2025</v>
      </c>
      <c r="L372">
        <v>11284389437</v>
      </c>
      <c r="M372" t="s">
        <v>2701</v>
      </c>
      <c r="N372" t="s">
        <v>1688</v>
      </c>
      <c r="O372" t="s">
        <v>1686</v>
      </c>
      <c r="P372">
        <v>0</v>
      </c>
      <c r="Q372">
        <v>6518893</v>
      </c>
      <c r="R372">
        <v>0</v>
      </c>
      <c r="S372">
        <v>31090107</v>
      </c>
      <c r="T372" t="str">
        <f t="shared" si="10"/>
        <v>601.00.0000.00.0-205616.2.1.2.02.02.008.01.</v>
      </c>
      <c r="U372" t="e" cm="1">
        <f t="array" aca="1" ref="U372" ca="1">+IF(COMPROMISOS_2025[[#This Row],[P]]="20","41080111",_xlfn.XLOOKUP(COMPROMISOS_2025[[#This Row],[concatenado]],PAA[[#All],[RCP-RUBRO]],PAA[[#All],[INDICADOR]],"",0))</f>
        <v>#NAME?</v>
      </c>
      <c r="V372" s="144" t="str">
        <f t="shared" si="11"/>
        <v>00</v>
      </c>
      <c r="W372" s="136">
        <f>+COMPROMISOS_2025[[#This Row],[valor_total]]-COMPROMISOS_2025[[#This Row],[total_cancelado]]</f>
        <v>37609000</v>
      </c>
      <c r="X372" s="136">
        <f>COMPROMISOS_2025[[#This Row],[total_ordenes]]</f>
        <v>6518893</v>
      </c>
      <c r="Y372" t="str" cm="1">
        <f t="array" aca="1" ref="Y372" ca="1">IFERROR(_xlfn.XLOOKUP(COMPROMISOS_2025[[#This Row],[concatenado]],PAA[[#All],[RCP-RUBRO]],PAA[[#All],[Actividad3]],VLOOKUP(COMPROMISOS_2025[[#This Row],[Indicador Principal]],$AC$2:$AD$17,2,0),0),"")</f>
        <v/>
      </c>
    </row>
    <row r="373" spans="1:25" hidden="1" x14ac:dyDescent="0.25">
      <c r="A373">
        <v>63</v>
      </c>
      <c r="B373" t="s">
        <v>2702</v>
      </c>
      <c r="C373" t="s">
        <v>883</v>
      </c>
      <c r="D373" t="s">
        <v>1782</v>
      </c>
      <c r="E373" t="s">
        <v>2703</v>
      </c>
      <c r="F373">
        <v>15</v>
      </c>
      <c r="G373">
        <v>30</v>
      </c>
      <c r="H373" t="s">
        <v>114</v>
      </c>
      <c r="I373" t="s">
        <v>1780</v>
      </c>
      <c r="J373">
        <v>47866000</v>
      </c>
      <c r="K373">
        <v>2025</v>
      </c>
      <c r="L373">
        <v>154435671</v>
      </c>
      <c r="M373" t="s">
        <v>2704</v>
      </c>
      <c r="N373" t="s">
        <v>1688</v>
      </c>
      <c r="O373" t="s">
        <v>1686</v>
      </c>
      <c r="P373">
        <v>0</v>
      </c>
      <c r="Q373">
        <v>0</v>
      </c>
      <c r="R373">
        <v>0</v>
      </c>
      <c r="S373">
        <v>47866000</v>
      </c>
      <c r="T373" t="str">
        <f t="shared" si="10"/>
        <v>631.00.0000.00.0-205616.2.1.2.02.02.008.01.</v>
      </c>
      <c r="U373" t="e" cm="1">
        <f t="array" aca="1" ref="U373" ca="1">+IF(COMPROMISOS_2025[[#This Row],[P]]="20","41080111",_xlfn.XLOOKUP(COMPROMISOS_2025[[#This Row],[concatenado]],PAA[[#All],[RCP-RUBRO]],PAA[[#All],[INDICADOR]],"",0))</f>
        <v>#NAME?</v>
      </c>
      <c r="V373" s="144" t="str">
        <f t="shared" si="11"/>
        <v>00</v>
      </c>
      <c r="W373" s="136">
        <f>+COMPROMISOS_2025[[#This Row],[valor_total]]-COMPROMISOS_2025[[#This Row],[total_cancelado]]</f>
        <v>47866000</v>
      </c>
      <c r="X373" s="136">
        <f>COMPROMISOS_2025[[#This Row],[total_ordenes]]</f>
        <v>0</v>
      </c>
      <c r="Y373" t="str" cm="1">
        <f t="array" aca="1" ref="Y373" ca="1">IFERROR(_xlfn.XLOOKUP(COMPROMISOS_2025[[#This Row],[concatenado]],PAA[[#All],[RCP-RUBRO]],PAA[[#All],[Actividad3]],VLOOKUP(COMPROMISOS_2025[[#This Row],[Indicador Principal]],$AC$2:$AD$17,2,0),0),"")</f>
        <v/>
      </c>
    </row>
    <row r="374" spans="1:25" hidden="1" x14ac:dyDescent="0.25">
      <c r="A374">
        <v>64</v>
      </c>
      <c r="B374" t="s">
        <v>2705</v>
      </c>
      <c r="C374" t="s">
        <v>883</v>
      </c>
      <c r="D374" t="s">
        <v>1790</v>
      </c>
      <c r="E374" t="s">
        <v>2706</v>
      </c>
      <c r="F374">
        <v>24</v>
      </c>
      <c r="G374">
        <v>30</v>
      </c>
      <c r="H374" t="s">
        <v>114</v>
      </c>
      <c r="I374" t="s">
        <v>1780</v>
      </c>
      <c r="J374">
        <v>37609000</v>
      </c>
      <c r="K374">
        <v>2025</v>
      </c>
      <c r="L374">
        <v>154442426</v>
      </c>
      <c r="M374" t="s">
        <v>2707</v>
      </c>
      <c r="N374" t="s">
        <v>1688</v>
      </c>
      <c r="O374" t="s">
        <v>1686</v>
      </c>
      <c r="P374">
        <v>0</v>
      </c>
      <c r="Q374">
        <v>14040693</v>
      </c>
      <c r="R374">
        <v>0</v>
      </c>
      <c r="S374">
        <v>23568307</v>
      </c>
      <c r="T374" t="str">
        <f t="shared" si="10"/>
        <v>641.00.0000.00.0-205616.2.1.2.02.02.008.01.</v>
      </c>
      <c r="U374" t="e" cm="1">
        <f t="array" aca="1" ref="U374" ca="1">+IF(COMPROMISOS_2025[[#This Row],[P]]="20","41080111",_xlfn.XLOOKUP(COMPROMISOS_2025[[#This Row],[concatenado]],PAA[[#All],[RCP-RUBRO]],PAA[[#All],[INDICADOR]],"",0))</f>
        <v>#NAME?</v>
      </c>
      <c r="V374" s="144" t="str">
        <f t="shared" si="11"/>
        <v>00</v>
      </c>
      <c r="W374" s="136">
        <f>+COMPROMISOS_2025[[#This Row],[valor_total]]-COMPROMISOS_2025[[#This Row],[total_cancelado]]</f>
        <v>37609000</v>
      </c>
      <c r="X374" s="136">
        <f>COMPROMISOS_2025[[#This Row],[total_ordenes]]</f>
        <v>14040693</v>
      </c>
      <c r="Y374" t="str" cm="1">
        <f t="array" aca="1" ref="Y374" ca="1">IFERROR(_xlfn.XLOOKUP(COMPROMISOS_2025[[#This Row],[concatenado]],PAA[[#All],[RCP-RUBRO]],PAA[[#All],[Actividad3]],VLOOKUP(COMPROMISOS_2025[[#This Row],[Indicador Principal]],$AC$2:$AD$17,2,0),0),"")</f>
        <v/>
      </c>
    </row>
    <row r="375" spans="1:25" hidden="1" x14ac:dyDescent="0.25">
      <c r="A375">
        <v>67</v>
      </c>
      <c r="B375" t="s">
        <v>2708</v>
      </c>
      <c r="C375" t="s">
        <v>883</v>
      </c>
      <c r="D375" t="s">
        <v>1805</v>
      </c>
      <c r="E375" t="s">
        <v>2709</v>
      </c>
      <c r="F375">
        <v>62</v>
      </c>
      <c r="G375">
        <v>30</v>
      </c>
      <c r="H375" t="s">
        <v>114</v>
      </c>
      <c r="I375" t="s">
        <v>1780</v>
      </c>
      <c r="J375">
        <v>40609000</v>
      </c>
      <c r="K375">
        <v>2025</v>
      </c>
      <c r="L375">
        <v>1017222456</v>
      </c>
      <c r="M375" t="s">
        <v>2710</v>
      </c>
      <c r="N375" t="s">
        <v>1688</v>
      </c>
      <c r="O375" t="s">
        <v>1686</v>
      </c>
      <c r="P375">
        <v>0</v>
      </c>
      <c r="Q375">
        <v>14040693</v>
      </c>
      <c r="R375">
        <v>0</v>
      </c>
      <c r="S375">
        <v>26568307</v>
      </c>
      <c r="T375" t="str">
        <f t="shared" si="10"/>
        <v>671.00.0000.00.0-205616.2.1.2.02.02.008.01.</v>
      </c>
      <c r="U375" t="e" cm="1">
        <f t="array" aca="1" ref="U375" ca="1">+IF(COMPROMISOS_2025[[#This Row],[P]]="20","41080111",_xlfn.XLOOKUP(COMPROMISOS_2025[[#This Row],[concatenado]],PAA[[#All],[RCP-RUBRO]],PAA[[#All],[INDICADOR]],"",0))</f>
        <v>#NAME?</v>
      </c>
      <c r="V375" s="144" t="str">
        <f t="shared" si="11"/>
        <v>00</v>
      </c>
      <c r="W375" s="136">
        <f>+COMPROMISOS_2025[[#This Row],[valor_total]]-COMPROMISOS_2025[[#This Row],[total_cancelado]]</f>
        <v>40609000</v>
      </c>
      <c r="X375" s="136">
        <f>COMPROMISOS_2025[[#This Row],[total_ordenes]]</f>
        <v>14040693</v>
      </c>
      <c r="Y375" t="str" cm="1">
        <f t="array" aca="1" ref="Y375" ca="1">IFERROR(_xlfn.XLOOKUP(COMPROMISOS_2025[[#This Row],[concatenado]],PAA[[#All],[RCP-RUBRO]],PAA[[#All],[Actividad3]],VLOOKUP(COMPROMISOS_2025[[#This Row],[Indicador Principal]],$AC$2:$AD$17,2,0),0),"")</f>
        <v/>
      </c>
    </row>
    <row r="376" spans="1:25" hidden="1" x14ac:dyDescent="0.25">
      <c r="A376">
        <v>70</v>
      </c>
      <c r="B376" t="s">
        <v>2711</v>
      </c>
      <c r="C376" t="s">
        <v>883</v>
      </c>
      <c r="D376" t="s">
        <v>1796</v>
      </c>
      <c r="E376" t="s">
        <v>2712</v>
      </c>
      <c r="F376">
        <v>30</v>
      </c>
      <c r="G376">
        <v>30</v>
      </c>
      <c r="H376" t="s">
        <v>114</v>
      </c>
      <c r="I376" t="s">
        <v>1780</v>
      </c>
      <c r="J376">
        <v>37609000</v>
      </c>
      <c r="K376">
        <v>2025</v>
      </c>
      <c r="L376">
        <v>431052875</v>
      </c>
      <c r="M376" t="s">
        <v>2713</v>
      </c>
      <c r="N376" t="s">
        <v>1688</v>
      </c>
      <c r="O376" t="s">
        <v>1686</v>
      </c>
      <c r="P376">
        <v>0</v>
      </c>
      <c r="Q376">
        <v>6518893</v>
      </c>
      <c r="R376">
        <v>0</v>
      </c>
      <c r="S376">
        <v>31090107</v>
      </c>
      <c r="T376" t="str">
        <f t="shared" si="10"/>
        <v>701.00.0000.00.0-205616.2.1.2.02.02.008.01.</v>
      </c>
      <c r="U376" t="e" cm="1">
        <f t="array" aca="1" ref="U376" ca="1">+IF(COMPROMISOS_2025[[#This Row],[P]]="20","41080111",_xlfn.XLOOKUP(COMPROMISOS_2025[[#This Row],[concatenado]],PAA[[#All],[RCP-RUBRO]],PAA[[#All],[INDICADOR]],"",0))</f>
        <v>#NAME?</v>
      </c>
      <c r="V376" s="144" t="str">
        <f t="shared" si="11"/>
        <v>00</v>
      </c>
      <c r="W376" s="136">
        <f>+COMPROMISOS_2025[[#This Row],[valor_total]]-COMPROMISOS_2025[[#This Row],[total_cancelado]]</f>
        <v>37609000</v>
      </c>
      <c r="X376" s="136">
        <f>COMPROMISOS_2025[[#This Row],[total_ordenes]]</f>
        <v>6518893</v>
      </c>
      <c r="Y376" t="str" cm="1">
        <f t="array" aca="1" ref="Y376" ca="1">IFERROR(_xlfn.XLOOKUP(COMPROMISOS_2025[[#This Row],[concatenado]],PAA[[#All],[RCP-RUBRO]],PAA[[#All],[Actividad3]],VLOOKUP(COMPROMISOS_2025[[#This Row],[Indicador Principal]],$AC$2:$AD$17,2,0),0),"")</f>
        <v/>
      </c>
    </row>
    <row r="377" spans="1:25" hidden="1" x14ac:dyDescent="0.25">
      <c r="A377">
        <v>85</v>
      </c>
      <c r="B377" t="s">
        <v>2714</v>
      </c>
      <c r="C377" t="s">
        <v>883</v>
      </c>
      <c r="D377" t="s">
        <v>1794</v>
      </c>
      <c r="E377" t="s">
        <v>2715</v>
      </c>
      <c r="F377">
        <v>27</v>
      </c>
      <c r="G377">
        <v>30</v>
      </c>
      <c r="H377" t="s">
        <v>114</v>
      </c>
      <c r="I377" t="s">
        <v>1780</v>
      </c>
      <c r="J377">
        <v>37609000</v>
      </c>
      <c r="K377">
        <v>2025</v>
      </c>
      <c r="L377">
        <v>435608226</v>
      </c>
      <c r="M377" t="s">
        <v>2716</v>
      </c>
      <c r="N377" t="s">
        <v>1688</v>
      </c>
      <c r="O377" t="s">
        <v>1686</v>
      </c>
      <c r="P377">
        <v>0</v>
      </c>
      <c r="Q377">
        <v>6017440</v>
      </c>
      <c r="R377">
        <v>0</v>
      </c>
      <c r="S377">
        <v>31591560</v>
      </c>
      <c r="T377" t="str">
        <f t="shared" si="10"/>
        <v>851.00.0000.00.0-205616.2.1.2.02.02.008.01.</v>
      </c>
      <c r="U377" t="e" cm="1">
        <f t="array" aca="1" ref="U377" ca="1">+IF(COMPROMISOS_2025[[#This Row],[P]]="20","41080111",_xlfn.XLOOKUP(COMPROMISOS_2025[[#This Row],[concatenado]],PAA[[#All],[RCP-RUBRO]],PAA[[#All],[INDICADOR]],"",0))</f>
        <v>#NAME?</v>
      </c>
      <c r="V377" s="144" t="str">
        <f t="shared" si="11"/>
        <v>00</v>
      </c>
      <c r="W377" s="136">
        <f>+COMPROMISOS_2025[[#This Row],[valor_total]]-COMPROMISOS_2025[[#This Row],[total_cancelado]]</f>
        <v>37609000</v>
      </c>
      <c r="X377" s="136">
        <f>COMPROMISOS_2025[[#This Row],[total_ordenes]]</f>
        <v>6017440</v>
      </c>
      <c r="Y377" t="str" cm="1">
        <f t="array" aca="1" ref="Y377" ca="1">IFERROR(_xlfn.XLOOKUP(COMPROMISOS_2025[[#This Row],[concatenado]],PAA[[#All],[RCP-RUBRO]],PAA[[#All],[Actividad3]],VLOOKUP(COMPROMISOS_2025[[#This Row],[Indicador Principal]],$AC$2:$AD$17,2,0),0),"")</f>
        <v/>
      </c>
    </row>
    <row r="378" spans="1:25" hidden="1" x14ac:dyDescent="0.25">
      <c r="A378">
        <v>86</v>
      </c>
      <c r="B378" t="s">
        <v>2717</v>
      </c>
      <c r="C378" t="s">
        <v>883</v>
      </c>
      <c r="D378" t="s">
        <v>1786</v>
      </c>
      <c r="E378" t="s">
        <v>2718</v>
      </c>
      <c r="F378">
        <v>22</v>
      </c>
      <c r="G378">
        <v>30</v>
      </c>
      <c r="H378" t="s">
        <v>114</v>
      </c>
      <c r="I378" t="s">
        <v>1780</v>
      </c>
      <c r="J378">
        <v>17095000</v>
      </c>
      <c r="K378">
        <v>2025</v>
      </c>
      <c r="L378">
        <v>10454345981</v>
      </c>
      <c r="M378" t="s">
        <v>2719</v>
      </c>
      <c r="N378" t="s">
        <v>1688</v>
      </c>
      <c r="O378" t="s">
        <v>1686</v>
      </c>
      <c r="P378">
        <v>0</v>
      </c>
      <c r="Q378">
        <v>6154200</v>
      </c>
      <c r="R378">
        <v>0</v>
      </c>
      <c r="S378">
        <v>10940800</v>
      </c>
      <c r="T378" t="str">
        <f t="shared" si="10"/>
        <v>861.00.0000.00.0-205616.2.1.2.02.02.008.01.</v>
      </c>
      <c r="U378" t="e" cm="1">
        <f t="array" aca="1" ref="U378" ca="1">+IF(COMPROMISOS_2025[[#This Row],[P]]="20","41080111",_xlfn.XLOOKUP(COMPROMISOS_2025[[#This Row],[concatenado]],PAA[[#All],[RCP-RUBRO]],PAA[[#All],[INDICADOR]],"",0))</f>
        <v>#NAME?</v>
      </c>
      <c r="V378" s="144" t="str">
        <f t="shared" si="11"/>
        <v>00</v>
      </c>
      <c r="W378" s="136">
        <f>+COMPROMISOS_2025[[#This Row],[valor_total]]-COMPROMISOS_2025[[#This Row],[total_cancelado]]</f>
        <v>17095000</v>
      </c>
      <c r="X378" s="136">
        <f>COMPROMISOS_2025[[#This Row],[total_ordenes]]</f>
        <v>6154200</v>
      </c>
      <c r="Y378" t="str" cm="1">
        <f t="array" aca="1" ref="Y378" ca="1">IFERROR(_xlfn.XLOOKUP(COMPROMISOS_2025[[#This Row],[concatenado]],PAA[[#All],[RCP-RUBRO]],PAA[[#All],[Actividad3]],VLOOKUP(COMPROMISOS_2025[[#This Row],[Indicador Principal]],$AC$2:$AD$17,2,0),0),"")</f>
        <v/>
      </c>
    </row>
    <row r="379" spans="1:25" hidden="1" x14ac:dyDescent="0.25">
      <c r="A379">
        <v>98</v>
      </c>
      <c r="B379" t="s">
        <v>2720</v>
      </c>
      <c r="C379" t="s">
        <v>883</v>
      </c>
      <c r="D379" t="s">
        <v>1804</v>
      </c>
      <c r="E379" t="s">
        <v>2721</v>
      </c>
      <c r="F379">
        <v>34</v>
      </c>
      <c r="G379">
        <v>30</v>
      </c>
      <c r="H379" t="s">
        <v>114</v>
      </c>
      <c r="I379" t="s">
        <v>1780</v>
      </c>
      <c r="J379">
        <v>17095000</v>
      </c>
      <c r="K379">
        <v>2025</v>
      </c>
      <c r="L379">
        <v>43524445</v>
      </c>
      <c r="M379" t="s">
        <v>2722</v>
      </c>
      <c r="N379" t="s">
        <v>1688</v>
      </c>
      <c r="O379" t="s">
        <v>1686</v>
      </c>
      <c r="P379">
        <v>0</v>
      </c>
      <c r="Q379">
        <v>5698333</v>
      </c>
      <c r="R379">
        <v>0</v>
      </c>
      <c r="S379">
        <v>11396667</v>
      </c>
      <c r="T379" t="str">
        <f t="shared" si="10"/>
        <v>981.00.0000.00.0-205616.2.1.2.02.02.008.01.</v>
      </c>
      <c r="U379" t="e" cm="1">
        <f t="array" aca="1" ref="U379" ca="1">+IF(COMPROMISOS_2025[[#This Row],[P]]="20","41080111",_xlfn.XLOOKUP(COMPROMISOS_2025[[#This Row],[concatenado]],PAA[[#All],[RCP-RUBRO]],PAA[[#All],[INDICADOR]],"",0))</f>
        <v>#NAME?</v>
      </c>
      <c r="V379" s="144" t="str">
        <f t="shared" si="11"/>
        <v>00</v>
      </c>
      <c r="W379" s="136">
        <f>+COMPROMISOS_2025[[#This Row],[valor_total]]-COMPROMISOS_2025[[#This Row],[total_cancelado]]</f>
        <v>17095000</v>
      </c>
      <c r="X379" s="136">
        <f>COMPROMISOS_2025[[#This Row],[total_ordenes]]</f>
        <v>5698333</v>
      </c>
      <c r="Y379" t="str" cm="1">
        <f t="array" aca="1" ref="Y379" ca="1">IFERROR(_xlfn.XLOOKUP(COMPROMISOS_2025[[#This Row],[concatenado]],PAA[[#All],[RCP-RUBRO]],PAA[[#All],[Actividad3]],VLOOKUP(COMPROMISOS_2025[[#This Row],[Indicador Principal]],$AC$2:$AD$17,2,0),0),"")</f>
        <v/>
      </c>
    </row>
    <row r="380" spans="1:25" hidden="1" x14ac:dyDescent="0.25">
      <c r="A380">
        <v>104</v>
      </c>
      <c r="B380" t="s">
        <v>2723</v>
      </c>
      <c r="C380" t="s">
        <v>883</v>
      </c>
      <c r="D380" t="s">
        <v>1809</v>
      </c>
      <c r="E380" t="s">
        <v>2724</v>
      </c>
      <c r="F380">
        <v>46</v>
      </c>
      <c r="G380">
        <v>30</v>
      </c>
      <c r="H380" t="s">
        <v>114</v>
      </c>
      <c r="I380" t="s">
        <v>1780</v>
      </c>
      <c r="J380">
        <v>37609000</v>
      </c>
      <c r="K380">
        <v>2025</v>
      </c>
      <c r="L380">
        <v>10375741481</v>
      </c>
      <c r="M380" t="s">
        <v>2725</v>
      </c>
      <c r="N380" t="s">
        <v>1688</v>
      </c>
      <c r="O380" t="s">
        <v>1686</v>
      </c>
      <c r="P380">
        <v>0</v>
      </c>
      <c r="Q380">
        <v>12536333</v>
      </c>
      <c r="R380">
        <v>0</v>
      </c>
      <c r="S380">
        <v>25072667</v>
      </c>
      <c r="T380" t="str">
        <f t="shared" si="10"/>
        <v>1041.00.0000.00.0-205616.2.1.2.02.02.008.01.</v>
      </c>
      <c r="U380" t="e" cm="1">
        <f t="array" aca="1" ref="U380" ca="1">+IF(COMPROMISOS_2025[[#This Row],[P]]="20","41080111",_xlfn.XLOOKUP(COMPROMISOS_2025[[#This Row],[concatenado]],PAA[[#All],[RCP-RUBRO]],PAA[[#All],[INDICADOR]],"",0))</f>
        <v>#NAME?</v>
      </c>
      <c r="V380" s="144" t="str">
        <f t="shared" si="11"/>
        <v>00</v>
      </c>
      <c r="W380" s="136">
        <f>+COMPROMISOS_2025[[#This Row],[valor_total]]-COMPROMISOS_2025[[#This Row],[total_cancelado]]</f>
        <v>37609000</v>
      </c>
      <c r="X380" s="136">
        <f>COMPROMISOS_2025[[#This Row],[total_ordenes]]</f>
        <v>12536333</v>
      </c>
      <c r="Y380" t="str" cm="1">
        <f t="array" aca="1" ref="Y380" ca="1">IFERROR(_xlfn.XLOOKUP(COMPROMISOS_2025[[#This Row],[concatenado]],PAA[[#All],[RCP-RUBRO]],PAA[[#All],[Actividad3]],VLOOKUP(COMPROMISOS_2025[[#This Row],[Indicador Principal]],$AC$2:$AD$17,2,0),0),"")</f>
        <v/>
      </c>
    </row>
    <row r="381" spans="1:25" hidden="1" x14ac:dyDescent="0.25">
      <c r="A381">
        <v>106</v>
      </c>
      <c r="B381" t="s">
        <v>2726</v>
      </c>
      <c r="C381" t="s">
        <v>883</v>
      </c>
      <c r="D381" t="s">
        <v>1788</v>
      </c>
      <c r="E381" t="s">
        <v>2727</v>
      </c>
      <c r="F381">
        <v>23</v>
      </c>
      <c r="G381">
        <v>30</v>
      </c>
      <c r="H381" t="s">
        <v>114</v>
      </c>
      <c r="I381" t="s">
        <v>1780</v>
      </c>
      <c r="J381">
        <v>17095000</v>
      </c>
      <c r="K381">
        <v>2025</v>
      </c>
      <c r="L381">
        <v>70135960</v>
      </c>
      <c r="M381" t="s">
        <v>2728</v>
      </c>
      <c r="N381" t="s">
        <v>1688</v>
      </c>
      <c r="O381" t="s">
        <v>1686</v>
      </c>
      <c r="P381">
        <v>0</v>
      </c>
      <c r="Q381">
        <v>5470400</v>
      </c>
      <c r="R381">
        <v>0</v>
      </c>
      <c r="S381">
        <v>11624600</v>
      </c>
      <c r="T381" t="str">
        <f t="shared" si="10"/>
        <v>1061.00.0000.00.0-205616.2.1.2.02.02.008.01.</v>
      </c>
      <c r="U381" t="e" cm="1">
        <f t="array" aca="1" ref="U381" ca="1">+IF(COMPROMISOS_2025[[#This Row],[P]]="20","41080111",_xlfn.XLOOKUP(COMPROMISOS_2025[[#This Row],[concatenado]],PAA[[#All],[RCP-RUBRO]],PAA[[#All],[INDICADOR]],"",0))</f>
        <v>#NAME?</v>
      </c>
      <c r="V381" s="144" t="str">
        <f t="shared" si="11"/>
        <v>00</v>
      </c>
      <c r="W381" s="136">
        <f>+COMPROMISOS_2025[[#This Row],[valor_total]]-COMPROMISOS_2025[[#This Row],[total_cancelado]]</f>
        <v>17095000</v>
      </c>
      <c r="X381" s="136">
        <f>COMPROMISOS_2025[[#This Row],[total_ordenes]]</f>
        <v>5470400</v>
      </c>
      <c r="Y381" t="str" cm="1">
        <f t="array" aca="1" ref="Y381" ca="1">IFERROR(_xlfn.XLOOKUP(COMPROMISOS_2025[[#This Row],[concatenado]],PAA[[#All],[RCP-RUBRO]],PAA[[#All],[Actividad3]],VLOOKUP(COMPROMISOS_2025[[#This Row],[Indicador Principal]],$AC$2:$AD$17,2,0),0),"")</f>
        <v/>
      </c>
    </row>
    <row r="382" spans="1:25" hidden="1" x14ac:dyDescent="0.25">
      <c r="A382">
        <v>108</v>
      </c>
      <c r="B382" t="s">
        <v>2729</v>
      </c>
      <c r="C382" t="s">
        <v>883</v>
      </c>
      <c r="D382" t="s">
        <v>1811</v>
      </c>
      <c r="E382" t="s">
        <v>2730</v>
      </c>
      <c r="F382">
        <v>55</v>
      </c>
      <c r="G382">
        <v>30</v>
      </c>
      <c r="H382" t="s">
        <v>114</v>
      </c>
      <c r="I382" t="s">
        <v>1780</v>
      </c>
      <c r="J382">
        <v>37609000</v>
      </c>
      <c r="K382">
        <v>2025</v>
      </c>
      <c r="L382">
        <v>11284172178</v>
      </c>
      <c r="M382" t="s">
        <v>2731</v>
      </c>
      <c r="N382" t="s">
        <v>1688</v>
      </c>
      <c r="O382" t="s">
        <v>1686</v>
      </c>
      <c r="P382">
        <v>0</v>
      </c>
      <c r="Q382">
        <v>12034880</v>
      </c>
      <c r="R382">
        <v>0</v>
      </c>
      <c r="S382">
        <v>25574120</v>
      </c>
      <c r="T382" t="str">
        <f t="shared" si="10"/>
        <v>1081.00.0000.00.0-205616.2.1.2.02.02.008.01.</v>
      </c>
      <c r="U382" t="e" cm="1">
        <f t="array" aca="1" ref="U382" ca="1">+IF(COMPROMISOS_2025[[#This Row],[P]]="20","41080111",_xlfn.XLOOKUP(COMPROMISOS_2025[[#This Row],[concatenado]],PAA[[#All],[RCP-RUBRO]],PAA[[#All],[INDICADOR]],"",0))</f>
        <v>#NAME?</v>
      </c>
      <c r="V382" s="144" t="str">
        <f t="shared" si="11"/>
        <v>00</v>
      </c>
      <c r="W382" s="136">
        <f>+COMPROMISOS_2025[[#This Row],[valor_total]]-COMPROMISOS_2025[[#This Row],[total_cancelado]]</f>
        <v>37609000</v>
      </c>
      <c r="X382" s="136">
        <f>COMPROMISOS_2025[[#This Row],[total_ordenes]]</f>
        <v>12034880</v>
      </c>
      <c r="Y382" t="str" cm="1">
        <f t="array" aca="1" ref="Y382" ca="1">IFERROR(_xlfn.XLOOKUP(COMPROMISOS_2025[[#This Row],[concatenado]],PAA[[#All],[RCP-RUBRO]],PAA[[#All],[Actividad3]],VLOOKUP(COMPROMISOS_2025[[#This Row],[Indicador Principal]],$AC$2:$AD$17,2,0),0),"")</f>
        <v/>
      </c>
    </row>
    <row r="383" spans="1:25" hidden="1" x14ac:dyDescent="0.25">
      <c r="A383">
        <v>112</v>
      </c>
      <c r="B383" t="s">
        <v>2732</v>
      </c>
      <c r="C383" t="s">
        <v>883</v>
      </c>
      <c r="D383" t="s">
        <v>1800</v>
      </c>
      <c r="E383" t="s">
        <v>2733</v>
      </c>
      <c r="F383">
        <v>32</v>
      </c>
      <c r="G383">
        <v>30</v>
      </c>
      <c r="H383" t="s">
        <v>114</v>
      </c>
      <c r="I383" t="s">
        <v>1780</v>
      </c>
      <c r="J383">
        <v>37609000</v>
      </c>
      <c r="K383">
        <v>2025</v>
      </c>
      <c r="L383">
        <v>394553941</v>
      </c>
      <c r="M383" t="s">
        <v>2734</v>
      </c>
      <c r="N383" t="s">
        <v>1688</v>
      </c>
      <c r="O383" t="s">
        <v>1686</v>
      </c>
      <c r="P383">
        <v>0</v>
      </c>
      <c r="Q383">
        <v>12034880</v>
      </c>
      <c r="R383">
        <v>0</v>
      </c>
      <c r="S383">
        <v>25574120</v>
      </c>
      <c r="T383" t="str">
        <f t="shared" si="10"/>
        <v>1121.00.0000.00.0-205616.2.1.2.02.02.008.01.</v>
      </c>
      <c r="U383" t="e" cm="1">
        <f t="array" aca="1" ref="U383" ca="1">+IF(COMPROMISOS_2025[[#This Row],[P]]="20","41080111",_xlfn.XLOOKUP(COMPROMISOS_2025[[#This Row],[concatenado]],PAA[[#All],[RCP-RUBRO]],PAA[[#All],[INDICADOR]],"",0))</f>
        <v>#NAME?</v>
      </c>
      <c r="V383" s="144" t="str">
        <f t="shared" si="11"/>
        <v>00</v>
      </c>
      <c r="W383" s="136">
        <f>+COMPROMISOS_2025[[#This Row],[valor_total]]-COMPROMISOS_2025[[#This Row],[total_cancelado]]</f>
        <v>37609000</v>
      </c>
      <c r="X383" s="136">
        <f>COMPROMISOS_2025[[#This Row],[total_ordenes]]</f>
        <v>12034880</v>
      </c>
      <c r="Y383" t="str" cm="1">
        <f t="array" aca="1" ref="Y383" ca="1">IFERROR(_xlfn.XLOOKUP(COMPROMISOS_2025[[#This Row],[concatenado]],PAA[[#All],[RCP-RUBRO]],PAA[[#All],[Actividad3]],VLOOKUP(COMPROMISOS_2025[[#This Row],[Indicador Principal]],$AC$2:$AD$17,2,0),0),"")</f>
        <v/>
      </c>
    </row>
    <row r="384" spans="1:25" hidden="1" x14ac:dyDescent="0.25">
      <c r="A384">
        <v>119</v>
      </c>
      <c r="B384" t="s">
        <v>2735</v>
      </c>
      <c r="C384" t="s">
        <v>883</v>
      </c>
      <c r="D384" t="s">
        <v>1816</v>
      </c>
      <c r="E384" t="s">
        <v>2736</v>
      </c>
      <c r="F384">
        <v>285</v>
      </c>
      <c r="G384">
        <v>30</v>
      </c>
      <c r="H384" t="s">
        <v>114</v>
      </c>
      <c r="I384" t="s">
        <v>1780</v>
      </c>
      <c r="J384">
        <v>37609000</v>
      </c>
      <c r="K384">
        <v>2025</v>
      </c>
      <c r="L384">
        <v>43816660</v>
      </c>
      <c r="M384" t="s">
        <v>2737</v>
      </c>
      <c r="N384" t="s">
        <v>1688</v>
      </c>
      <c r="O384" t="s">
        <v>1686</v>
      </c>
      <c r="P384">
        <v>0</v>
      </c>
      <c r="Q384">
        <v>11784153</v>
      </c>
      <c r="R384">
        <v>0</v>
      </c>
      <c r="S384">
        <v>25824847</v>
      </c>
      <c r="T384" t="str">
        <f t="shared" si="10"/>
        <v>1191.00.0000.00.0-205616.2.1.2.02.02.008.01.</v>
      </c>
      <c r="U384" t="e" cm="1">
        <f t="array" aca="1" ref="U384" ca="1">+IF(COMPROMISOS_2025[[#This Row],[P]]="20","41080111",_xlfn.XLOOKUP(COMPROMISOS_2025[[#This Row],[concatenado]],PAA[[#All],[RCP-RUBRO]],PAA[[#All],[INDICADOR]],"",0))</f>
        <v>#NAME?</v>
      </c>
      <c r="V384" s="144" t="str">
        <f t="shared" si="11"/>
        <v>00</v>
      </c>
      <c r="W384" s="136">
        <f>+COMPROMISOS_2025[[#This Row],[valor_total]]-COMPROMISOS_2025[[#This Row],[total_cancelado]]</f>
        <v>37609000</v>
      </c>
      <c r="X384" s="136">
        <f>COMPROMISOS_2025[[#This Row],[total_ordenes]]</f>
        <v>11784153</v>
      </c>
      <c r="Y384" t="str" cm="1">
        <f t="array" aca="1" ref="Y384" ca="1">IFERROR(_xlfn.XLOOKUP(COMPROMISOS_2025[[#This Row],[concatenado]],PAA[[#All],[RCP-RUBRO]],PAA[[#All],[Actividad3]],VLOOKUP(COMPROMISOS_2025[[#This Row],[Indicador Principal]],$AC$2:$AD$17,2,0),0),"")</f>
        <v/>
      </c>
    </row>
    <row r="385" spans="1:25" hidden="1" x14ac:dyDescent="0.25">
      <c r="A385">
        <v>138</v>
      </c>
      <c r="B385" t="s">
        <v>2738</v>
      </c>
      <c r="C385" t="s">
        <v>883</v>
      </c>
      <c r="D385" t="s">
        <v>1818</v>
      </c>
      <c r="E385" t="s">
        <v>2739</v>
      </c>
      <c r="F385">
        <v>296</v>
      </c>
      <c r="G385">
        <v>30</v>
      </c>
      <c r="H385" t="s">
        <v>114</v>
      </c>
      <c r="I385" t="s">
        <v>1780</v>
      </c>
      <c r="J385">
        <v>23933000</v>
      </c>
      <c r="K385">
        <v>2025</v>
      </c>
      <c r="L385">
        <v>430639967</v>
      </c>
      <c r="M385" t="s">
        <v>2740</v>
      </c>
      <c r="N385" t="s">
        <v>1688</v>
      </c>
      <c r="O385" t="s">
        <v>1686</v>
      </c>
      <c r="P385">
        <v>0</v>
      </c>
      <c r="Q385">
        <v>6701240</v>
      </c>
      <c r="R385">
        <v>0</v>
      </c>
      <c r="S385">
        <v>17231760</v>
      </c>
      <c r="T385" t="str">
        <f t="shared" si="10"/>
        <v>1381.00.0000.00.0-205616.2.1.2.02.02.008.01.</v>
      </c>
      <c r="U385" t="e" cm="1">
        <f t="array" aca="1" ref="U385" ca="1">+IF(COMPROMISOS_2025[[#This Row],[P]]="20","41080111",_xlfn.XLOOKUP(COMPROMISOS_2025[[#This Row],[concatenado]],PAA[[#All],[RCP-RUBRO]],PAA[[#All],[INDICADOR]],"",0))</f>
        <v>#NAME?</v>
      </c>
      <c r="V385" s="144" t="str">
        <f t="shared" si="11"/>
        <v>00</v>
      </c>
      <c r="W385" s="136">
        <f>+COMPROMISOS_2025[[#This Row],[valor_total]]-COMPROMISOS_2025[[#This Row],[total_cancelado]]</f>
        <v>23933000</v>
      </c>
      <c r="X385" s="136">
        <f>COMPROMISOS_2025[[#This Row],[total_ordenes]]</f>
        <v>6701240</v>
      </c>
      <c r="Y385" t="str" cm="1">
        <f t="array" aca="1" ref="Y385" ca="1">IFERROR(_xlfn.XLOOKUP(COMPROMISOS_2025[[#This Row],[concatenado]],PAA[[#All],[RCP-RUBRO]],PAA[[#All],[Actividad3]],VLOOKUP(COMPROMISOS_2025[[#This Row],[Indicador Principal]],$AC$2:$AD$17,2,0),0),"")</f>
        <v/>
      </c>
    </row>
    <row r="386" spans="1:25" hidden="1" x14ac:dyDescent="0.25">
      <c r="A386">
        <v>418</v>
      </c>
      <c r="B386" t="s">
        <v>2741</v>
      </c>
      <c r="C386" t="s">
        <v>883</v>
      </c>
      <c r="D386" t="s">
        <v>1822</v>
      </c>
      <c r="E386" t="s">
        <v>2742</v>
      </c>
      <c r="F386">
        <v>301</v>
      </c>
      <c r="G386">
        <v>30</v>
      </c>
      <c r="H386" t="s">
        <v>114</v>
      </c>
      <c r="I386" t="s">
        <v>1780</v>
      </c>
      <c r="J386">
        <v>17095000</v>
      </c>
      <c r="K386">
        <v>2025</v>
      </c>
      <c r="L386">
        <v>154396001</v>
      </c>
      <c r="M386" t="s">
        <v>2743</v>
      </c>
      <c r="N386" t="s">
        <v>1688</v>
      </c>
      <c r="O386" t="s">
        <v>1686</v>
      </c>
      <c r="P386">
        <v>0</v>
      </c>
      <c r="Q386">
        <v>4102800</v>
      </c>
      <c r="R386">
        <v>0</v>
      </c>
      <c r="S386">
        <v>12992200</v>
      </c>
      <c r="T386" t="str">
        <f t="shared" ref="T386:T449" si="12">IF(A386&gt;=0,CONCATENATE(A386,H386),"")</f>
        <v>4181.00.0000.00.0-205616.2.1.2.02.02.008.01.</v>
      </c>
      <c r="U386" t="e" cm="1">
        <f t="array" aca="1" ref="U386" ca="1">+IF(COMPROMISOS_2025[[#This Row],[P]]="20","41080111",_xlfn.XLOOKUP(COMPROMISOS_2025[[#This Row],[concatenado]],PAA[[#All],[RCP-RUBRO]],PAA[[#All],[INDICADOR]],"",0))</f>
        <v>#NAME?</v>
      </c>
      <c r="V386" s="144" t="str">
        <f t="shared" ref="V386:V449" si="13">+MID(H386,11,2)</f>
        <v>00</v>
      </c>
      <c r="W386" s="136">
        <f>+COMPROMISOS_2025[[#This Row],[valor_total]]-COMPROMISOS_2025[[#This Row],[total_cancelado]]</f>
        <v>17095000</v>
      </c>
      <c r="X386" s="136">
        <f>COMPROMISOS_2025[[#This Row],[total_ordenes]]</f>
        <v>4102800</v>
      </c>
      <c r="Y386" t="str" cm="1">
        <f t="array" aca="1" ref="Y386" ca="1">IFERROR(_xlfn.XLOOKUP(COMPROMISOS_2025[[#This Row],[concatenado]],PAA[[#All],[RCP-RUBRO]],PAA[[#All],[Actividad3]],VLOOKUP(COMPROMISOS_2025[[#This Row],[Indicador Principal]],$AC$2:$AD$17,2,0),0),"")</f>
        <v/>
      </c>
    </row>
    <row r="387" spans="1:25" hidden="1" x14ac:dyDescent="0.25">
      <c r="A387">
        <v>419</v>
      </c>
      <c r="B387" t="s">
        <v>2744</v>
      </c>
      <c r="C387" t="s">
        <v>883</v>
      </c>
      <c r="D387" t="s">
        <v>1820</v>
      </c>
      <c r="E387" t="s">
        <v>2745</v>
      </c>
      <c r="F387">
        <v>300</v>
      </c>
      <c r="G387">
        <v>30</v>
      </c>
      <c r="H387" t="s">
        <v>114</v>
      </c>
      <c r="I387" t="s">
        <v>1780</v>
      </c>
      <c r="J387">
        <v>23933000</v>
      </c>
      <c r="K387">
        <v>2025</v>
      </c>
      <c r="L387">
        <v>10376691251</v>
      </c>
      <c r="M387" t="s">
        <v>2746</v>
      </c>
      <c r="N387" t="s">
        <v>1688</v>
      </c>
      <c r="O387" t="s">
        <v>1686</v>
      </c>
      <c r="P387">
        <v>0</v>
      </c>
      <c r="Q387">
        <v>0</v>
      </c>
      <c r="R387">
        <v>0</v>
      </c>
      <c r="S387">
        <v>23933000</v>
      </c>
      <c r="T387" t="str">
        <f t="shared" si="12"/>
        <v>4191.00.0000.00.0-205616.2.1.2.02.02.008.01.</v>
      </c>
      <c r="U387" t="e" cm="1">
        <f t="array" aca="1" ref="U387" ca="1">+IF(COMPROMISOS_2025[[#This Row],[P]]="20","41080111",_xlfn.XLOOKUP(COMPROMISOS_2025[[#This Row],[concatenado]],PAA[[#All],[RCP-RUBRO]],PAA[[#All],[INDICADOR]],"",0))</f>
        <v>#NAME?</v>
      </c>
      <c r="V387" s="144" t="str">
        <f t="shared" si="13"/>
        <v>00</v>
      </c>
      <c r="W387" s="136">
        <f>+COMPROMISOS_2025[[#This Row],[valor_total]]-COMPROMISOS_2025[[#This Row],[total_cancelado]]</f>
        <v>23933000</v>
      </c>
      <c r="X387" s="136">
        <f>COMPROMISOS_2025[[#This Row],[total_ordenes]]</f>
        <v>0</v>
      </c>
      <c r="Y387" t="str" cm="1">
        <f t="array" aca="1" ref="Y387" ca="1">IFERROR(_xlfn.XLOOKUP(COMPROMISOS_2025[[#This Row],[concatenado]],PAA[[#All],[RCP-RUBRO]],PAA[[#All],[Actividad3]],VLOOKUP(COMPROMISOS_2025[[#This Row],[Indicador Principal]],$AC$2:$AD$17,2,0),0),"")</f>
        <v/>
      </c>
    </row>
    <row r="388" spans="1:25" hidden="1" x14ac:dyDescent="0.25">
      <c r="A388">
        <v>433</v>
      </c>
      <c r="B388" t="s">
        <v>2747</v>
      </c>
      <c r="C388" t="s">
        <v>883</v>
      </c>
      <c r="D388" t="s">
        <v>1826</v>
      </c>
      <c r="E388" t="s">
        <v>2748</v>
      </c>
      <c r="F388">
        <v>315</v>
      </c>
      <c r="G388">
        <v>30</v>
      </c>
      <c r="H388" t="s">
        <v>114</v>
      </c>
      <c r="I388" t="s">
        <v>1780</v>
      </c>
      <c r="J388">
        <v>37609000</v>
      </c>
      <c r="K388">
        <v>2025</v>
      </c>
      <c r="L388">
        <v>64461488</v>
      </c>
      <c r="M388" t="s">
        <v>2749</v>
      </c>
      <c r="N388" t="s">
        <v>1688</v>
      </c>
      <c r="O388" t="s">
        <v>1686</v>
      </c>
      <c r="P388">
        <v>0</v>
      </c>
      <c r="Q388">
        <v>0</v>
      </c>
      <c r="R388">
        <v>0</v>
      </c>
      <c r="S388">
        <v>37609000</v>
      </c>
      <c r="T388" t="str">
        <f t="shared" si="12"/>
        <v>4331.00.0000.00.0-205616.2.1.2.02.02.008.01.</v>
      </c>
      <c r="U388" t="e" cm="1">
        <f t="array" aca="1" ref="U388" ca="1">+IF(COMPROMISOS_2025[[#This Row],[P]]="20","41080111",_xlfn.XLOOKUP(COMPROMISOS_2025[[#This Row],[concatenado]],PAA[[#All],[RCP-RUBRO]],PAA[[#All],[INDICADOR]],"",0))</f>
        <v>#NAME?</v>
      </c>
      <c r="V388" s="144" t="str">
        <f t="shared" si="13"/>
        <v>00</v>
      </c>
      <c r="W388" s="136">
        <f>+COMPROMISOS_2025[[#This Row],[valor_total]]-COMPROMISOS_2025[[#This Row],[total_cancelado]]</f>
        <v>37609000</v>
      </c>
      <c r="X388" s="136">
        <f>COMPROMISOS_2025[[#This Row],[total_ordenes]]</f>
        <v>0</v>
      </c>
      <c r="Y388" t="str" cm="1">
        <f t="array" aca="1" ref="Y388" ca="1">IFERROR(_xlfn.XLOOKUP(COMPROMISOS_2025[[#This Row],[concatenado]],PAA[[#All],[RCP-RUBRO]],PAA[[#All],[Actividad3]],VLOOKUP(COMPROMISOS_2025[[#This Row],[Indicador Principal]],$AC$2:$AD$17,2,0),0),"")</f>
        <v/>
      </c>
    </row>
    <row r="389" spans="1:25" hidden="1" x14ac:dyDescent="0.25">
      <c r="A389">
        <v>782</v>
      </c>
      <c r="B389" t="s">
        <v>2750</v>
      </c>
      <c r="C389" t="s">
        <v>883</v>
      </c>
      <c r="D389" t="s">
        <v>1828</v>
      </c>
      <c r="E389" t="s">
        <v>2751</v>
      </c>
      <c r="F389">
        <v>340</v>
      </c>
      <c r="G389">
        <v>30</v>
      </c>
      <c r="H389" t="s">
        <v>114</v>
      </c>
      <c r="I389" t="s">
        <v>1780</v>
      </c>
      <c r="J389">
        <v>73780000</v>
      </c>
      <c r="K389">
        <v>2025</v>
      </c>
      <c r="L389">
        <v>9012233981</v>
      </c>
      <c r="M389" t="s">
        <v>2752</v>
      </c>
      <c r="N389" t="s">
        <v>1688</v>
      </c>
      <c r="O389" t="s">
        <v>1686</v>
      </c>
      <c r="P389">
        <v>0</v>
      </c>
      <c r="Q389">
        <v>0</v>
      </c>
      <c r="R389">
        <v>0</v>
      </c>
      <c r="S389">
        <v>73780000</v>
      </c>
      <c r="T389" t="str">
        <f t="shared" si="12"/>
        <v>7821.00.0000.00.0-205616.2.1.2.02.02.008.01.</v>
      </c>
      <c r="U389" t="e" cm="1">
        <f t="array" aca="1" ref="U389" ca="1">+IF(COMPROMISOS_2025[[#This Row],[P]]="20","41080111",_xlfn.XLOOKUP(COMPROMISOS_2025[[#This Row],[concatenado]],PAA[[#All],[RCP-RUBRO]],PAA[[#All],[INDICADOR]],"",0))</f>
        <v>#NAME?</v>
      </c>
      <c r="V389" s="144" t="str">
        <f t="shared" si="13"/>
        <v>00</v>
      </c>
      <c r="W389" s="136">
        <f>+COMPROMISOS_2025[[#This Row],[valor_total]]-COMPROMISOS_2025[[#This Row],[total_cancelado]]</f>
        <v>73780000</v>
      </c>
      <c r="X389" s="136">
        <f>COMPROMISOS_2025[[#This Row],[total_ordenes]]</f>
        <v>0</v>
      </c>
      <c r="Y389" t="str" cm="1">
        <f t="array" aca="1" ref="Y389" ca="1">IFERROR(_xlfn.XLOOKUP(COMPROMISOS_2025[[#This Row],[concatenado]],PAA[[#All],[RCP-RUBRO]],PAA[[#All],[Actividad3]],VLOOKUP(COMPROMISOS_2025[[#This Row],[Indicador Principal]],$AC$2:$AD$17,2,0),0),"")</f>
        <v/>
      </c>
    </row>
    <row r="390" spans="1:25" hidden="1" x14ac:dyDescent="0.25">
      <c r="A390">
        <v>784</v>
      </c>
      <c r="B390" t="s">
        <v>2753</v>
      </c>
      <c r="C390" t="s">
        <v>883</v>
      </c>
      <c r="D390" t="s">
        <v>1832</v>
      </c>
      <c r="E390" t="s">
        <v>2754</v>
      </c>
      <c r="F390">
        <v>344</v>
      </c>
      <c r="G390">
        <v>30</v>
      </c>
      <c r="H390" t="s">
        <v>114</v>
      </c>
      <c r="I390" t="s">
        <v>1780</v>
      </c>
      <c r="J390">
        <v>37609000</v>
      </c>
      <c r="K390">
        <v>2025</v>
      </c>
      <c r="L390">
        <v>438188416</v>
      </c>
      <c r="M390" t="s">
        <v>2755</v>
      </c>
      <c r="N390" t="s">
        <v>1688</v>
      </c>
      <c r="O390" t="s">
        <v>1686</v>
      </c>
      <c r="P390">
        <v>0</v>
      </c>
      <c r="Q390">
        <v>0</v>
      </c>
      <c r="R390">
        <v>0</v>
      </c>
      <c r="S390">
        <v>37609000</v>
      </c>
      <c r="T390" t="str">
        <f t="shared" si="12"/>
        <v>7841.00.0000.00.0-205616.2.1.2.02.02.008.01.</v>
      </c>
      <c r="U390" t="e" cm="1">
        <f t="array" aca="1" ref="U390" ca="1">+IF(COMPROMISOS_2025[[#This Row],[P]]="20","41080111",_xlfn.XLOOKUP(COMPROMISOS_2025[[#This Row],[concatenado]],PAA[[#All],[RCP-RUBRO]],PAA[[#All],[INDICADOR]],"",0))</f>
        <v>#NAME?</v>
      </c>
      <c r="V390" s="144" t="str">
        <f t="shared" si="13"/>
        <v>00</v>
      </c>
      <c r="W390" s="136">
        <f>+COMPROMISOS_2025[[#This Row],[valor_total]]-COMPROMISOS_2025[[#This Row],[total_cancelado]]</f>
        <v>37609000</v>
      </c>
      <c r="X390" s="136">
        <f>COMPROMISOS_2025[[#This Row],[total_ordenes]]</f>
        <v>0</v>
      </c>
      <c r="Y390" t="str" cm="1">
        <f t="array" aca="1" ref="Y390" ca="1">IFERROR(_xlfn.XLOOKUP(COMPROMISOS_2025[[#This Row],[concatenado]],PAA[[#All],[RCP-RUBRO]],PAA[[#All],[Actividad3]],VLOOKUP(COMPROMISOS_2025[[#This Row],[Indicador Principal]],$AC$2:$AD$17,2,0),0),"")</f>
        <v/>
      </c>
    </row>
    <row r="391" spans="1:25" hidden="1" x14ac:dyDescent="0.25">
      <c r="A391">
        <v>1194</v>
      </c>
      <c r="B391" t="s">
        <v>2756</v>
      </c>
      <c r="C391" t="s">
        <v>883</v>
      </c>
      <c r="D391" t="s">
        <v>1830</v>
      </c>
      <c r="E391" t="s">
        <v>2757</v>
      </c>
      <c r="F391">
        <v>343</v>
      </c>
      <c r="G391">
        <v>30</v>
      </c>
      <c r="H391" t="s">
        <v>114</v>
      </c>
      <c r="I391" t="s">
        <v>1780</v>
      </c>
      <c r="J391">
        <v>17095000</v>
      </c>
      <c r="K391">
        <v>2025</v>
      </c>
      <c r="L391">
        <v>434635691</v>
      </c>
      <c r="M391" t="s">
        <v>2758</v>
      </c>
      <c r="N391" t="s">
        <v>1688</v>
      </c>
      <c r="O391" t="s">
        <v>1686</v>
      </c>
      <c r="P391">
        <v>0</v>
      </c>
      <c r="Q391">
        <v>0</v>
      </c>
      <c r="R391">
        <v>0</v>
      </c>
      <c r="S391">
        <v>17095000</v>
      </c>
      <c r="T391" t="str">
        <f t="shared" si="12"/>
        <v>11941.00.0000.00.0-205616.2.1.2.02.02.008.01.</v>
      </c>
      <c r="U391" t="e" cm="1">
        <f t="array" aca="1" ref="U391" ca="1">+IF(COMPROMISOS_2025[[#This Row],[P]]="20","41080111",_xlfn.XLOOKUP(COMPROMISOS_2025[[#This Row],[concatenado]],PAA[[#All],[RCP-RUBRO]],PAA[[#All],[INDICADOR]],"",0))</f>
        <v>#NAME?</v>
      </c>
      <c r="V391" s="144" t="str">
        <f t="shared" si="13"/>
        <v>00</v>
      </c>
      <c r="W391" s="136">
        <f>+COMPROMISOS_2025[[#This Row],[valor_total]]-COMPROMISOS_2025[[#This Row],[total_cancelado]]</f>
        <v>17095000</v>
      </c>
      <c r="X391" s="136">
        <f>COMPROMISOS_2025[[#This Row],[total_ordenes]]</f>
        <v>0</v>
      </c>
      <c r="Y391" t="str" cm="1">
        <f t="array" aca="1" ref="Y391" ca="1">IFERROR(_xlfn.XLOOKUP(COMPROMISOS_2025[[#This Row],[concatenado]],PAA[[#All],[RCP-RUBRO]],PAA[[#All],[Actividad3]],VLOOKUP(COMPROMISOS_2025[[#This Row],[Indicador Principal]],$AC$2:$AD$17,2,0),0),"")</f>
        <v/>
      </c>
    </row>
    <row r="392" spans="1:25" hidden="1" x14ac:dyDescent="0.25">
      <c r="A392">
        <v>2862</v>
      </c>
      <c r="B392" t="s">
        <v>2759</v>
      </c>
      <c r="C392" t="s">
        <v>883</v>
      </c>
      <c r="D392" t="s">
        <v>1849</v>
      </c>
      <c r="E392" t="s">
        <v>2760</v>
      </c>
      <c r="F392">
        <v>408</v>
      </c>
      <c r="G392">
        <v>30</v>
      </c>
      <c r="H392" t="s">
        <v>114</v>
      </c>
      <c r="I392" t="s">
        <v>1780</v>
      </c>
      <c r="J392">
        <v>37609000</v>
      </c>
      <c r="K392">
        <v>2025</v>
      </c>
      <c r="L392">
        <v>42676131</v>
      </c>
      <c r="M392" t="s">
        <v>2761</v>
      </c>
      <c r="N392" t="s">
        <v>1688</v>
      </c>
      <c r="O392" t="s">
        <v>1686</v>
      </c>
      <c r="P392">
        <v>0</v>
      </c>
      <c r="Q392">
        <v>0</v>
      </c>
      <c r="R392">
        <v>0</v>
      </c>
      <c r="S392">
        <v>37609000</v>
      </c>
      <c r="T392" t="str">
        <f t="shared" si="12"/>
        <v>28621.00.0000.00.0-205616.2.1.2.02.02.008.01.</v>
      </c>
      <c r="U392" t="e" cm="1">
        <f t="array" aca="1" ref="U392" ca="1">+IF(COMPROMISOS_2025[[#This Row],[P]]="20","41080111",_xlfn.XLOOKUP(COMPROMISOS_2025[[#This Row],[concatenado]],PAA[[#All],[RCP-RUBRO]],PAA[[#All],[INDICADOR]],"",0))</f>
        <v>#NAME?</v>
      </c>
      <c r="V392" s="144" t="str">
        <f t="shared" si="13"/>
        <v>00</v>
      </c>
      <c r="W392" s="136">
        <f>+COMPROMISOS_2025[[#This Row],[valor_total]]-COMPROMISOS_2025[[#This Row],[total_cancelado]]</f>
        <v>37609000</v>
      </c>
      <c r="X392" s="136">
        <f>COMPROMISOS_2025[[#This Row],[total_ordenes]]</f>
        <v>0</v>
      </c>
      <c r="Y392" t="str" cm="1">
        <f t="array" aca="1" ref="Y392" ca="1">IFERROR(_xlfn.XLOOKUP(COMPROMISOS_2025[[#This Row],[concatenado]],PAA[[#All],[RCP-RUBRO]],PAA[[#All],[Actividad3]],VLOOKUP(COMPROMISOS_2025[[#This Row],[Indicador Principal]],$AC$2:$AD$17,2,0),0),"")</f>
        <v/>
      </c>
    </row>
    <row r="393" spans="1:25" hidden="1" x14ac:dyDescent="0.25">
      <c r="A393">
        <v>2863</v>
      </c>
      <c r="B393" t="s">
        <v>2762</v>
      </c>
      <c r="C393" t="s">
        <v>883</v>
      </c>
      <c r="D393" t="s">
        <v>1839</v>
      </c>
      <c r="E393" t="s">
        <v>2763</v>
      </c>
      <c r="F393">
        <v>385</v>
      </c>
      <c r="G393">
        <v>30</v>
      </c>
      <c r="H393" t="s">
        <v>114</v>
      </c>
      <c r="I393" t="s">
        <v>1780</v>
      </c>
      <c r="J393">
        <v>23933000</v>
      </c>
      <c r="K393">
        <v>2025</v>
      </c>
      <c r="L393">
        <v>10359718128</v>
      </c>
      <c r="M393" t="s">
        <v>2764</v>
      </c>
      <c r="N393" t="s">
        <v>1688</v>
      </c>
      <c r="O393" t="s">
        <v>1686</v>
      </c>
      <c r="P393">
        <v>0</v>
      </c>
      <c r="Q393">
        <v>1914640</v>
      </c>
      <c r="R393">
        <v>0</v>
      </c>
      <c r="S393">
        <v>22018360</v>
      </c>
      <c r="T393" t="str">
        <f t="shared" si="12"/>
        <v>28631.00.0000.00.0-205616.2.1.2.02.02.008.01.</v>
      </c>
      <c r="U393" t="e" cm="1">
        <f t="array" aca="1" ref="U393" ca="1">+IF(COMPROMISOS_2025[[#This Row],[P]]="20","41080111",_xlfn.XLOOKUP(COMPROMISOS_2025[[#This Row],[concatenado]],PAA[[#All],[RCP-RUBRO]],PAA[[#All],[INDICADOR]],"",0))</f>
        <v>#NAME?</v>
      </c>
      <c r="V393" s="144" t="str">
        <f t="shared" si="13"/>
        <v>00</v>
      </c>
      <c r="W393" s="136">
        <f>+COMPROMISOS_2025[[#This Row],[valor_total]]-COMPROMISOS_2025[[#This Row],[total_cancelado]]</f>
        <v>23933000</v>
      </c>
      <c r="X393" s="136">
        <f>COMPROMISOS_2025[[#This Row],[total_ordenes]]</f>
        <v>1914640</v>
      </c>
      <c r="Y393" t="str" cm="1">
        <f t="array" aca="1" ref="Y393" ca="1">IFERROR(_xlfn.XLOOKUP(COMPROMISOS_2025[[#This Row],[concatenado]],PAA[[#All],[RCP-RUBRO]],PAA[[#All],[Actividad3]],VLOOKUP(COMPROMISOS_2025[[#This Row],[Indicador Principal]],$AC$2:$AD$17,2,0),0),"")</f>
        <v/>
      </c>
    </row>
    <row r="394" spans="1:25" hidden="1" x14ac:dyDescent="0.25">
      <c r="A394">
        <v>2990</v>
      </c>
      <c r="B394" t="s">
        <v>2765</v>
      </c>
      <c r="C394" t="s">
        <v>883</v>
      </c>
      <c r="D394" t="s">
        <v>1845</v>
      </c>
      <c r="E394" t="s">
        <v>2766</v>
      </c>
      <c r="F394">
        <v>400</v>
      </c>
      <c r="G394">
        <v>30</v>
      </c>
      <c r="H394" t="s">
        <v>114</v>
      </c>
      <c r="I394" t="s">
        <v>1780</v>
      </c>
      <c r="J394">
        <v>17095000</v>
      </c>
      <c r="K394">
        <v>2025</v>
      </c>
      <c r="L394">
        <v>1038333057</v>
      </c>
      <c r="M394" t="s">
        <v>2767</v>
      </c>
      <c r="N394" t="s">
        <v>1688</v>
      </c>
      <c r="O394" t="s">
        <v>1686</v>
      </c>
      <c r="P394">
        <v>0</v>
      </c>
      <c r="Q394">
        <v>0</v>
      </c>
      <c r="R394">
        <v>0</v>
      </c>
      <c r="S394">
        <v>17095000</v>
      </c>
      <c r="T394" t="str">
        <f t="shared" si="12"/>
        <v>29901.00.0000.00.0-205616.2.1.2.02.02.008.01.</v>
      </c>
      <c r="U394" t="e" cm="1">
        <f t="array" aca="1" ref="U394" ca="1">+IF(COMPROMISOS_2025[[#This Row],[P]]="20","41080111",_xlfn.XLOOKUP(COMPROMISOS_2025[[#This Row],[concatenado]],PAA[[#All],[RCP-RUBRO]],PAA[[#All],[INDICADOR]],"",0))</f>
        <v>#NAME?</v>
      </c>
      <c r="V394" s="144" t="str">
        <f t="shared" si="13"/>
        <v>00</v>
      </c>
      <c r="W394" s="136">
        <f>+COMPROMISOS_2025[[#This Row],[valor_total]]-COMPROMISOS_2025[[#This Row],[total_cancelado]]</f>
        <v>17095000</v>
      </c>
      <c r="X394" s="136">
        <f>COMPROMISOS_2025[[#This Row],[total_ordenes]]</f>
        <v>0</v>
      </c>
      <c r="Y394" t="str" cm="1">
        <f t="array" aca="1" ref="Y394" ca="1">IFERROR(_xlfn.XLOOKUP(COMPROMISOS_2025[[#This Row],[concatenado]],PAA[[#All],[RCP-RUBRO]],PAA[[#All],[Actividad3]],VLOOKUP(COMPROMISOS_2025[[#This Row],[Indicador Principal]],$AC$2:$AD$17,2,0),0),"")</f>
        <v/>
      </c>
    </row>
    <row r="395" spans="1:25" hidden="1" x14ac:dyDescent="0.25">
      <c r="A395">
        <v>14</v>
      </c>
      <c r="B395" t="s">
        <v>2640</v>
      </c>
      <c r="C395" t="s">
        <v>883</v>
      </c>
      <c r="D395" t="s">
        <v>2641</v>
      </c>
      <c r="E395" t="s">
        <v>2642</v>
      </c>
      <c r="F395">
        <v>10</v>
      </c>
      <c r="G395">
        <v>31</v>
      </c>
      <c r="H395" t="s">
        <v>104</v>
      </c>
      <c r="I395" t="s">
        <v>1852</v>
      </c>
      <c r="J395">
        <v>1586068</v>
      </c>
      <c r="K395">
        <v>2025</v>
      </c>
      <c r="L395">
        <v>986639155</v>
      </c>
      <c r="M395" t="s">
        <v>2643</v>
      </c>
      <c r="N395" t="s">
        <v>1688</v>
      </c>
      <c r="O395" t="s">
        <v>1686</v>
      </c>
      <c r="P395">
        <v>0</v>
      </c>
      <c r="Q395">
        <v>0</v>
      </c>
      <c r="R395">
        <v>0</v>
      </c>
      <c r="S395">
        <v>1586068</v>
      </c>
      <c r="T395" t="str">
        <f t="shared" si="12"/>
        <v>141.00.0000.00.0-205616.2.1.2.02.02.008.02.</v>
      </c>
      <c r="U395" t="e" cm="1">
        <f t="array" aca="1" ref="U395" ca="1">+IF(COMPROMISOS_2025[[#This Row],[P]]="20","41080111",_xlfn.XLOOKUP(COMPROMISOS_2025[[#This Row],[concatenado]],PAA[[#All],[RCP-RUBRO]],PAA[[#All],[INDICADOR]],"",0))</f>
        <v>#NAME?</v>
      </c>
      <c r="V395" s="144" t="str">
        <f t="shared" si="13"/>
        <v>00</v>
      </c>
      <c r="W395" s="136">
        <f>+COMPROMISOS_2025[[#This Row],[valor_total]]-COMPROMISOS_2025[[#This Row],[total_cancelado]]</f>
        <v>1586068</v>
      </c>
      <c r="X395" s="136">
        <f>COMPROMISOS_2025[[#This Row],[total_ordenes]]</f>
        <v>0</v>
      </c>
      <c r="Y395" t="str" cm="1">
        <f t="array" aca="1" ref="Y395" ca="1">IFERROR(_xlfn.XLOOKUP(COMPROMISOS_2025[[#This Row],[concatenado]],PAA[[#All],[RCP-RUBRO]],PAA[[#All],[Actividad3]],VLOOKUP(COMPROMISOS_2025[[#This Row],[Indicador Principal]],$AC$2:$AD$17,2,0),0),"")</f>
        <v/>
      </c>
    </row>
    <row r="396" spans="1:25" hidden="1" x14ac:dyDescent="0.25">
      <c r="A396">
        <v>440</v>
      </c>
      <c r="B396" t="s">
        <v>2644</v>
      </c>
      <c r="C396" t="s">
        <v>883</v>
      </c>
      <c r="D396" t="s">
        <v>2645</v>
      </c>
      <c r="E396" t="s">
        <v>2646</v>
      </c>
      <c r="F396">
        <v>10</v>
      </c>
      <c r="G396">
        <v>31</v>
      </c>
      <c r="H396" t="s">
        <v>104</v>
      </c>
      <c r="I396" t="s">
        <v>1852</v>
      </c>
      <c r="J396">
        <v>60000</v>
      </c>
      <c r="K396">
        <v>2025</v>
      </c>
      <c r="L396">
        <v>986639155</v>
      </c>
      <c r="M396" t="s">
        <v>2643</v>
      </c>
      <c r="N396" t="s">
        <v>1688</v>
      </c>
      <c r="O396" t="s">
        <v>1686</v>
      </c>
      <c r="P396">
        <v>0</v>
      </c>
      <c r="Q396">
        <v>0</v>
      </c>
      <c r="R396">
        <v>60000</v>
      </c>
      <c r="S396">
        <v>0</v>
      </c>
      <c r="T396" t="str">
        <f t="shared" si="12"/>
        <v>4401.00.0000.00.0-205616.2.1.2.02.02.008.02.</v>
      </c>
      <c r="U396" t="e" cm="1">
        <f t="array" aca="1" ref="U396" ca="1">+IF(COMPROMISOS_2025[[#This Row],[P]]="20","41080111",_xlfn.XLOOKUP(COMPROMISOS_2025[[#This Row],[concatenado]],PAA[[#All],[RCP-RUBRO]],PAA[[#All],[INDICADOR]],"",0))</f>
        <v>#NAME?</v>
      </c>
      <c r="V396" s="144" t="str">
        <f t="shared" si="13"/>
        <v>00</v>
      </c>
      <c r="W396" s="136">
        <f>+COMPROMISOS_2025[[#This Row],[valor_total]]-COMPROMISOS_2025[[#This Row],[total_cancelado]]</f>
        <v>0</v>
      </c>
      <c r="X396" s="136">
        <f>COMPROMISOS_2025[[#This Row],[total_ordenes]]</f>
        <v>0</v>
      </c>
      <c r="Y396" t="str" cm="1">
        <f t="array" aca="1" ref="Y396" ca="1">IFERROR(_xlfn.XLOOKUP(COMPROMISOS_2025[[#This Row],[concatenado]],PAA[[#All],[RCP-RUBRO]],PAA[[#All],[Actividad3]],VLOOKUP(COMPROMISOS_2025[[#This Row],[Indicador Principal]],$AC$2:$AD$17,2,0),0),"")</f>
        <v/>
      </c>
    </row>
    <row r="397" spans="1:25" hidden="1" x14ac:dyDescent="0.25">
      <c r="A397">
        <v>453</v>
      </c>
      <c r="B397" t="s">
        <v>2647</v>
      </c>
      <c r="C397" t="s">
        <v>883</v>
      </c>
      <c r="D397" t="s">
        <v>2648</v>
      </c>
      <c r="E397" t="s">
        <v>2649</v>
      </c>
      <c r="F397">
        <v>10</v>
      </c>
      <c r="G397">
        <v>31</v>
      </c>
      <c r="H397" t="s">
        <v>104</v>
      </c>
      <c r="I397" t="s">
        <v>1852</v>
      </c>
      <c r="J397">
        <v>60000</v>
      </c>
      <c r="K397">
        <v>2025</v>
      </c>
      <c r="L397">
        <v>986639155</v>
      </c>
      <c r="M397" t="s">
        <v>2643</v>
      </c>
      <c r="N397" t="s">
        <v>1688</v>
      </c>
      <c r="O397" t="s">
        <v>1686</v>
      </c>
      <c r="P397">
        <v>0</v>
      </c>
      <c r="Q397">
        <v>60000</v>
      </c>
      <c r="R397">
        <v>0</v>
      </c>
      <c r="S397">
        <v>0</v>
      </c>
      <c r="T397" t="str">
        <f t="shared" si="12"/>
        <v>4531.00.0000.00.0-205616.2.1.2.02.02.008.02.</v>
      </c>
      <c r="U397" t="e" cm="1">
        <f t="array" aca="1" ref="U397" ca="1">+IF(COMPROMISOS_2025[[#This Row],[P]]="20","41080111",_xlfn.XLOOKUP(COMPROMISOS_2025[[#This Row],[concatenado]],PAA[[#All],[RCP-RUBRO]],PAA[[#All],[INDICADOR]],"",0))</f>
        <v>#NAME?</v>
      </c>
      <c r="V397" s="144" t="str">
        <f t="shared" si="13"/>
        <v>00</v>
      </c>
      <c r="W397" s="136">
        <f>+COMPROMISOS_2025[[#This Row],[valor_total]]-COMPROMISOS_2025[[#This Row],[total_cancelado]]</f>
        <v>60000</v>
      </c>
      <c r="X397" s="136">
        <f>COMPROMISOS_2025[[#This Row],[total_ordenes]]</f>
        <v>60000</v>
      </c>
      <c r="Y397" t="str" cm="1">
        <f t="array" aca="1" ref="Y397" ca="1">IFERROR(_xlfn.XLOOKUP(COMPROMISOS_2025[[#This Row],[concatenado]],PAA[[#All],[RCP-RUBRO]],PAA[[#All],[Actividad3]],VLOOKUP(COMPROMISOS_2025[[#This Row],[Indicador Principal]],$AC$2:$AD$17,2,0),0),"")</f>
        <v/>
      </c>
    </row>
    <row r="398" spans="1:25" hidden="1" x14ac:dyDescent="0.25">
      <c r="A398">
        <v>3005</v>
      </c>
      <c r="B398" t="s">
        <v>2503</v>
      </c>
      <c r="C398" t="s">
        <v>883</v>
      </c>
      <c r="D398" t="s">
        <v>1766</v>
      </c>
      <c r="E398" t="s">
        <v>2650</v>
      </c>
      <c r="F398">
        <v>10</v>
      </c>
      <c r="G398">
        <v>31</v>
      </c>
      <c r="H398" t="s">
        <v>104</v>
      </c>
      <c r="I398" t="s">
        <v>1852</v>
      </c>
      <c r="J398">
        <v>876275</v>
      </c>
      <c r="K398">
        <v>2025</v>
      </c>
      <c r="L398">
        <v>986639155</v>
      </c>
      <c r="M398" t="s">
        <v>2643</v>
      </c>
      <c r="N398" t="s">
        <v>1688</v>
      </c>
      <c r="O398" t="s">
        <v>1686</v>
      </c>
      <c r="P398">
        <v>0</v>
      </c>
      <c r="Q398">
        <v>876275</v>
      </c>
      <c r="R398">
        <v>0</v>
      </c>
      <c r="S398">
        <v>0</v>
      </c>
      <c r="T398" t="str">
        <f t="shared" si="12"/>
        <v>30051.00.0000.00.0-205616.2.1.2.02.02.008.02.</v>
      </c>
      <c r="U398" t="e" cm="1">
        <f t="array" aca="1" ref="U398" ca="1">+IF(COMPROMISOS_2025[[#This Row],[P]]="20","41080111",_xlfn.XLOOKUP(COMPROMISOS_2025[[#This Row],[concatenado]],PAA[[#All],[RCP-RUBRO]],PAA[[#All],[INDICADOR]],"",0))</f>
        <v>#NAME?</v>
      </c>
      <c r="V398" s="144" t="str">
        <f t="shared" si="13"/>
        <v>00</v>
      </c>
      <c r="W398" s="136">
        <f>+COMPROMISOS_2025[[#This Row],[valor_total]]-COMPROMISOS_2025[[#This Row],[total_cancelado]]</f>
        <v>876275</v>
      </c>
      <c r="X398" s="136">
        <f>COMPROMISOS_2025[[#This Row],[total_ordenes]]</f>
        <v>876275</v>
      </c>
      <c r="Y398" t="str" cm="1">
        <f t="array" aca="1" ref="Y398" ca="1">IFERROR(_xlfn.XLOOKUP(COMPROMISOS_2025[[#This Row],[concatenado]],PAA[[#All],[RCP-RUBRO]],PAA[[#All],[Actividad3]],VLOOKUP(COMPROMISOS_2025[[#This Row],[Indicador Principal]],$AC$2:$AD$17,2,0),0),"")</f>
        <v/>
      </c>
    </row>
    <row r="399" spans="1:25" hidden="1" x14ac:dyDescent="0.25">
      <c r="A399">
        <v>13</v>
      </c>
      <c r="B399" t="s">
        <v>2768</v>
      </c>
      <c r="C399" t="s">
        <v>883</v>
      </c>
      <c r="D399" t="s">
        <v>1854</v>
      </c>
      <c r="E399" t="s">
        <v>2769</v>
      </c>
      <c r="F399">
        <v>8</v>
      </c>
      <c r="G399">
        <v>32</v>
      </c>
      <c r="H399" t="s">
        <v>144</v>
      </c>
      <c r="I399" t="s">
        <v>1855</v>
      </c>
      <c r="J399">
        <v>513053</v>
      </c>
      <c r="K399">
        <v>2025</v>
      </c>
      <c r="L399">
        <v>8909050652</v>
      </c>
      <c r="M399" t="s">
        <v>2770</v>
      </c>
      <c r="N399" t="s">
        <v>1688</v>
      </c>
      <c r="O399" t="s">
        <v>1686</v>
      </c>
      <c r="P399">
        <v>0</v>
      </c>
      <c r="Q399">
        <v>513053</v>
      </c>
      <c r="R399">
        <v>0</v>
      </c>
      <c r="S399">
        <v>0</v>
      </c>
      <c r="T399" t="str">
        <f t="shared" si="12"/>
        <v>131.00.0000.00.0-205616.2.1.2.02.02.008.03.</v>
      </c>
      <c r="U399" t="e" cm="1">
        <f t="array" aca="1" ref="U399" ca="1">+IF(COMPROMISOS_2025[[#This Row],[P]]="20","41080111",_xlfn.XLOOKUP(COMPROMISOS_2025[[#This Row],[concatenado]],PAA[[#All],[RCP-RUBRO]],PAA[[#All],[INDICADOR]],"",0))</f>
        <v>#NAME?</v>
      </c>
      <c r="V399" s="144" t="str">
        <f t="shared" si="13"/>
        <v>00</v>
      </c>
      <c r="W399" s="136">
        <f>+COMPROMISOS_2025[[#This Row],[valor_total]]-COMPROMISOS_2025[[#This Row],[total_cancelado]]</f>
        <v>513053</v>
      </c>
      <c r="X399" s="136">
        <f>COMPROMISOS_2025[[#This Row],[total_ordenes]]</f>
        <v>513053</v>
      </c>
      <c r="Y399" t="str" cm="1">
        <f t="array" aca="1" ref="Y399" ca="1">IFERROR(_xlfn.XLOOKUP(COMPROMISOS_2025[[#This Row],[concatenado]],PAA[[#All],[RCP-RUBRO]],PAA[[#All],[Actividad3]],VLOOKUP(COMPROMISOS_2025[[#This Row],[Indicador Principal]],$AC$2:$AD$17,2,0),0),"")</f>
        <v/>
      </c>
    </row>
    <row r="400" spans="1:25" hidden="1" x14ac:dyDescent="0.25">
      <c r="A400">
        <v>17</v>
      </c>
      <c r="B400" t="s">
        <v>2771</v>
      </c>
      <c r="C400" t="s">
        <v>883</v>
      </c>
      <c r="D400" t="s">
        <v>1854</v>
      </c>
      <c r="E400" t="s">
        <v>2772</v>
      </c>
      <c r="F400">
        <v>8</v>
      </c>
      <c r="G400">
        <v>32</v>
      </c>
      <c r="H400" t="s">
        <v>144</v>
      </c>
      <c r="I400" t="s">
        <v>1855</v>
      </c>
      <c r="J400">
        <v>64683</v>
      </c>
      <c r="K400">
        <v>2025</v>
      </c>
      <c r="L400">
        <v>9000923859</v>
      </c>
      <c r="M400" t="s">
        <v>2773</v>
      </c>
      <c r="N400" t="s">
        <v>1688</v>
      </c>
      <c r="O400" t="s">
        <v>1686</v>
      </c>
      <c r="P400">
        <v>0</v>
      </c>
      <c r="Q400">
        <v>64683</v>
      </c>
      <c r="R400">
        <v>0</v>
      </c>
      <c r="S400">
        <v>0</v>
      </c>
      <c r="T400" t="str">
        <f t="shared" si="12"/>
        <v>171.00.0000.00.0-205616.2.1.2.02.02.008.03.</v>
      </c>
      <c r="U400" t="e" cm="1">
        <f t="array" aca="1" ref="U400" ca="1">+IF(COMPROMISOS_2025[[#This Row],[P]]="20","41080111",_xlfn.XLOOKUP(COMPROMISOS_2025[[#This Row],[concatenado]],PAA[[#All],[RCP-RUBRO]],PAA[[#All],[INDICADOR]],"",0))</f>
        <v>#NAME?</v>
      </c>
      <c r="V400" s="144" t="str">
        <f t="shared" si="13"/>
        <v>00</v>
      </c>
      <c r="W400" s="136">
        <f>+COMPROMISOS_2025[[#This Row],[valor_total]]-COMPROMISOS_2025[[#This Row],[total_cancelado]]</f>
        <v>64683</v>
      </c>
      <c r="X400" s="136">
        <f>COMPROMISOS_2025[[#This Row],[total_ordenes]]</f>
        <v>64683</v>
      </c>
      <c r="Y400" t="str" cm="1">
        <f t="array" aca="1" ref="Y400" ca="1">IFERROR(_xlfn.XLOOKUP(COMPROMISOS_2025[[#This Row],[concatenado]],PAA[[#All],[RCP-RUBRO]],PAA[[#All],[Actividad3]],VLOOKUP(COMPROMISOS_2025[[#This Row],[Indicador Principal]],$AC$2:$AD$17,2,0),0),"")</f>
        <v/>
      </c>
    </row>
    <row r="401" spans="1:25" hidden="1" x14ac:dyDescent="0.25">
      <c r="A401">
        <v>18</v>
      </c>
      <c r="B401" t="s">
        <v>2774</v>
      </c>
      <c r="C401" t="s">
        <v>883</v>
      </c>
      <c r="D401" t="s">
        <v>1854</v>
      </c>
      <c r="E401" t="s">
        <v>2775</v>
      </c>
      <c r="F401">
        <v>8</v>
      </c>
      <c r="G401">
        <v>32</v>
      </c>
      <c r="H401" t="s">
        <v>144</v>
      </c>
      <c r="I401" t="s">
        <v>1855</v>
      </c>
      <c r="J401">
        <v>217224</v>
      </c>
      <c r="K401">
        <v>2025</v>
      </c>
      <c r="L401">
        <v>9000923859</v>
      </c>
      <c r="M401" t="s">
        <v>2773</v>
      </c>
      <c r="N401" t="s">
        <v>1688</v>
      </c>
      <c r="O401" t="s">
        <v>1686</v>
      </c>
      <c r="P401">
        <v>0</v>
      </c>
      <c r="Q401">
        <v>217224</v>
      </c>
      <c r="R401">
        <v>0</v>
      </c>
      <c r="S401">
        <v>0</v>
      </c>
      <c r="T401" t="str">
        <f t="shared" si="12"/>
        <v>181.00.0000.00.0-205616.2.1.2.02.02.008.03.</v>
      </c>
      <c r="U401" t="e" cm="1">
        <f t="array" aca="1" ref="U401" ca="1">+IF(COMPROMISOS_2025[[#This Row],[P]]="20","41080111",_xlfn.XLOOKUP(COMPROMISOS_2025[[#This Row],[concatenado]],PAA[[#All],[RCP-RUBRO]],PAA[[#All],[INDICADOR]],"",0))</f>
        <v>#NAME?</v>
      </c>
      <c r="V401" s="144" t="str">
        <f t="shared" si="13"/>
        <v>00</v>
      </c>
      <c r="W401" s="136">
        <f>+COMPROMISOS_2025[[#This Row],[valor_total]]-COMPROMISOS_2025[[#This Row],[total_cancelado]]</f>
        <v>217224</v>
      </c>
      <c r="X401" s="136">
        <f>COMPROMISOS_2025[[#This Row],[total_ordenes]]</f>
        <v>217224</v>
      </c>
      <c r="Y401" t="str" cm="1">
        <f t="array" aca="1" ref="Y401" ca="1">IFERROR(_xlfn.XLOOKUP(COMPROMISOS_2025[[#This Row],[concatenado]],PAA[[#All],[RCP-RUBRO]],PAA[[#All],[Actividad3]],VLOOKUP(COMPROMISOS_2025[[#This Row],[Indicador Principal]],$AC$2:$AD$17,2,0),0),"")</f>
        <v/>
      </c>
    </row>
    <row r="402" spans="1:25" hidden="1" x14ac:dyDescent="0.25">
      <c r="A402">
        <v>19</v>
      </c>
      <c r="B402" t="s">
        <v>2776</v>
      </c>
      <c r="C402" t="s">
        <v>883</v>
      </c>
      <c r="D402" t="s">
        <v>1854</v>
      </c>
      <c r="E402" t="s">
        <v>2777</v>
      </c>
      <c r="F402">
        <v>8</v>
      </c>
      <c r="G402">
        <v>32</v>
      </c>
      <c r="H402" t="s">
        <v>144</v>
      </c>
      <c r="I402" t="s">
        <v>1855</v>
      </c>
      <c r="J402">
        <v>1303413</v>
      </c>
      <c r="K402">
        <v>2025</v>
      </c>
      <c r="L402">
        <v>9000923859</v>
      </c>
      <c r="M402" t="s">
        <v>2773</v>
      </c>
      <c r="N402" t="s">
        <v>1688</v>
      </c>
      <c r="O402" t="s">
        <v>1686</v>
      </c>
      <c r="P402">
        <v>0</v>
      </c>
      <c r="Q402">
        <v>1303413</v>
      </c>
      <c r="R402">
        <v>0</v>
      </c>
      <c r="S402">
        <v>0</v>
      </c>
      <c r="T402" t="str">
        <f t="shared" si="12"/>
        <v>191.00.0000.00.0-205616.2.1.2.02.02.008.03.</v>
      </c>
      <c r="U402" t="e" cm="1">
        <f t="array" aca="1" ref="U402" ca="1">+IF(COMPROMISOS_2025[[#This Row],[P]]="20","41080111",_xlfn.XLOOKUP(COMPROMISOS_2025[[#This Row],[concatenado]],PAA[[#All],[RCP-RUBRO]],PAA[[#All],[INDICADOR]],"",0))</f>
        <v>#NAME?</v>
      </c>
      <c r="V402" s="144" t="str">
        <f t="shared" si="13"/>
        <v>00</v>
      </c>
      <c r="W402" s="136">
        <f>+COMPROMISOS_2025[[#This Row],[valor_total]]-COMPROMISOS_2025[[#This Row],[total_cancelado]]</f>
        <v>1303413</v>
      </c>
      <c r="X402" s="136">
        <f>COMPROMISOS_2025[[#This Row],[total_ordenes]]</f>
        <v>1303413</v>
      </c>
      <c r="Y402" t="str" cm="1">
        <f t="array" aca="1" ref="Y402" ca="1">IFERROR(_xlfn.XLOOKUP(COMPROMISOS_2025[[#This Row],[concatenado]],PAA[[#All],[RCP-RUBRO]],PAA[[#All],[Actividad3]],VLOOKUP(COMPROMISOS_2025[[#This Row],[Indicador Principal]],$AC$2:$AD$17,2,0),0),"")</f>
        <v/>
      </c>
    </row>
    <row r="403" spans="1:25" hidden="1" x14ac:dyDescent="0.25">
      <c r="A403">
        <v>20</v>
      </c>
      <c r="B403" t="s">
        <v>2778</v>
      </c>
      <c r="C403" t="s">
        <v>883</v>
      </c>
      <c r="D403" t="s">
        <v>1854</v>
      </c>
      <c r="E403" t="s">
        <v>2779</v>
      </c>
      <c r="F403">
        <v>8</v>
      </c>
      <c r="G403">
        <v>32</v>
      </c>
      <c r="H403" t="s">
        <v>144</v>
      </c>
      <c r="I403" t="s">
        <v>1855</v>
      </c>
      <c r="J403">
        <v>361881</v>
      </c>
      <c r="K403">
        <v>2025</v>
      </c>
      <c r="L403">
        <v>8001539937</v>
      </c>
      <c r="M403" t="s">
        <v>2780</v>
      </c>
      <c r="N403" t="s">
        <v>1688</v>
      </c>
      <c r="O403" t="s">
        <v>1686</v>
      </c>
      <c r="P403">
        <v>0</v>
      </c>
      <c r="Q403">
        <v>361881</v>
      </c>
      <c r="R403">
        <v>0</v>
      </c>
      <c r="S403">
        <v>0</v>
      </c>
      <c r="T403" t="str">
        <f t="shared" si="12"/>
        <v>201.00.0000.00.0-205616.2.1.2.02.02.008.03.</v>
      </c>
      <c r="U403" t="e" cm="1">
        <f t="array" aca="1" ref="U403" ca="1">+IF(COMPROMISOS_2025[[#This Row],[P]]="20","41080111",_xlfn.XLOOKUP(COMPROMISOS_2025[[#This Row],[concatenado]],PAA[[#All],[RCP-RUBRO]],PAA[[#All],[INDICADOR]],"",0))</f>
        <v>#NAME?</v>
      </c>
      <c r="V403" s="144" t="str">
        <f t="shared" si="13"/>
        <v>00</v>
      </c>
      <c r="W403" s="136">
        <f>+COMPROMISOS_2025[[#This Row],[valor_total]]-COMPROMISOS_2025[[#This Row],[total_cancelado]]</f>
        <v>361881</v>
      </c>
      <c r="X403" s="136">
        <f>COMPROMISOS_2025[[#This Row],[total_ordenes]]</f>
        <v>361881</v>
      </c>
      <c r="Y403" t="str" cm="1">
        <f t="array" aca="1" ref="Y403" ca="1">IFERROR(_xlfn.XLOOKUP(COMPROMISOS_2025[[#This Row],[concatenado]],PAA[[#All],[RCP-RUBRO]],PAA[[#All],[Actividad3]],VLOOKUP(COMPROMISOS_2025[[#This Row],[Indicador Principal]],$AC$2:$AD$17,2,0),0),"")</f>
        <v/>
      </c>
    </row>
    <row r="404" spans="1:25" hidden="1" x14ac:dyDescent="0.25">
      <c r="A404">
        <v>52</v>
      </c>
      <c r="B404" t="s">
        <v>2781</v>
      </c>
      <c r="C404" t="s">
        <v>883</v>
      </c>
      <c r="D404" t="s">
        <v>1854</v>
      </c>
      <c r="E404" t="s">
        <v>2782</v>
      </c>
      <c r="F404">
        <v>8</v>
      </c>
      <c r="G404">
        <v>32</v>
      </c>
      <c r="H404" t="s">
        <v>144</v>
      </c>
      <c r="I404" t="s">
        <v>1855</v>
      </c>
      <c r="J404">
        <v>595263</v>
      </c>
      <c r="K404">
        <v>2025</v>
      </c>
      <c r="L404">
        <v>8301149211</v>
      </c>
      <c r="M404" t="s">
        <v>2783</v>
      </c>
      <c r="N404" t="s">
        <v>1688</v>
      </c>
      <c r="O404" t="s">
        <v>1686</v>
      </c>
      <c r="P404">
        <v>0</v>
      </c>
      <c r="Q404">
        <v>595263</v>
      </c>
      <c r="R404">
        <v>0</v>
      </c>
      <c r="S404">
        <v>0</v>
      </c>
      <c r="T404" t="str">
        <f t="shared" si="12"/>
        <v>521.00.0000.00.0-205616.2.1.2.02.02.008.03.</v>
      </c>
      <c r="U404" t="e" cm="1">
        <f t="array" aca="1" ref="U404" ca="1">+IF(COMPROMISOS_2025[[#This Row],[P]]="20","41080111",_xlfn.XLOOKUP(COMPROMISOS_2025[[#This Row],[concatenado]],PAA[[#All],[RCP-RUBRO]],PAA[[#All],[INDICADOR]],"",0))</f>
        <v>#NAME?</v>
      </c>
      <c r="V404" s="144" t="str">
        <f t="shared" si="13"/>
        <v>00</v>
      </c>
      <c r="W404" s="136">
        <f>+COMPROMISOS_2025[[#This Row],[valor_total]]-COMPROMISOS_2025[[#This Row],[total_cancelado]]</f>
        <v>595263</v>
      </c>
      <c r="X404" s="136">
        <f>COMPROMISOS_2025[[#This Row],[total_ordenes]]</f>
        <v>595263</v>
      </c>
      <c r="Y404" t="str" cm="1">
        <f t="array" aca="1" ref="Y404" ca="1">IFERROR(_xlfn.XLOOKUP(COMPROMISOS_2025[[#This Row],[concatenado]],PAA[[#All],[RCP-RUBRO]],PAA[[#All],[Actividad3]],VLOOKUP(COMPROMISOS_2025[[#This Row],[Indicador Principal]],$AC$2:$AD$17,2,0),0),"")</f>
        <v/>
      </c>
    </row>
    <row r="405" spans="1:25" hidden="1" x14ac:dyDescent="0.25">
      <c r="A405">
        <v>87</v>
      </c>
      <c r="B405" t="s">
        <v>2784</v>
      </c>
      <c r="C405" t="s">
        <v>883</v>
      </c>
      <c r="D405" t="s">
        <v>1854</v>
      </c>
      <c r="E405" t="s">
        <v>2785</v>
      </c>
      <c r="F405">
        <v>8</v>
      </c>
      <c r="G405">
        <v>32</v>
      </c>
      <c r="H405" t="s">
        <v>144</v>
      </c>
      <c r="I405" t="s">
        <v>1855</v>
      </c>
      <c r="J405">
        <v>289800</v>
      </c>
      <c r="K405">
        <v>2025</v>
      </c>
      <c r="L405">
        <v>805006014</v>
      </c>
      <c r="M405" t="s">
        <v>2786</v>
      </c>
      <c r="N405" t="s">
        <v>1688</v>
      </c>
      <c r="O405" t="s">
        <v>1686</v>
      </c>
      <c r="P405">
        <v>0</v>
      </c>
      <c r="Q405">
        <v>289800</v>
      </c>
      <c r="R405">
        <v>0</v>
      </c>
      <c r="S405">
        <v>0</v>
      </c>
      <c r="T405" t="str">
        <f t="shared" si="12"/>
        <v>871.00.0000.00.0-205616.2.1.2.02.02.008.03.</v>
      </c>
      <c r="U405" t="e" cm="1">
        <f t="array" aca="1" ref="U405" ca="1">+IF(COMPROMISOS_2025[[#This Row],[P]]="20","41080111",_xlfn.XLOOKUP(COMPROMISOS_2025[[#This Row],[concatenado]],PAA[[#All],[RCP-RUBRO]],PAA[[#All],[INDICADOR]],"",0))</f>
        <v>#NAME?</v>
      </c>
      <c r="V405" s="144" t="str">
        <f t="shared" si="13"/>
        <v>00</v>
      </c>
      <c r="W405" s="136">
        <f>+COMPROMISOS_2025[[#This Row],[valor_total]]-COMPROMISOS_2025[[#This Row],[total_cancelado]]</f>
        <v>289800</v>
      </c>
      <c r="X405" s="136">
        <f>COMPROMISOS_2025[[#This Row],[total_ordenes]]</f>
        <v>289800</v>
      </c>
      <c r="Y405" t="str" cm="1">
        <f t="array" aca="1" ref="Y405" ca="1">IFERROR(_xlfn.XLOOKUP(COMPROMISOS_2025[[#This Row],[concatenado]],PAA[[#All],[RCP-RUBRO]],PAA[[#All],[Actividad3]],VLOOKUP(COMPROMISOS_2025[[#This Row],[Indicador Principal]],$AC$2:$AD$17,2,0),0),"")</f>
        <v/>
      </c>
    </row>
    <row r="406" spans="1:25" hidden="1" x14ac:dyDescent="0.25">
      <c r="A406">
        <v>100</v>
      </c>
      <c r="B406" t="s">
        <v>2787</v>
      </c>
      <c r="C406" t="s">
        <v>883</v>
      </c>
      <c r="D406" t="s">
        <v>1854</v>
      </c>
      <c r="E406" t="s">
        <v>2788</v>
      </c>
      <c r="F406">
        <v>8</v>
      </c>
      <c r="G406">
        <v>32</v>
      </c>
      <c r="H406" t="s">
        <v>144</v>
      </c>
      <c r="I406" t="s">
        <v>1855</v>
      </c>
      <c r="J406">
        <v>289800</v>
      </c>
      <c r="K406">
        <v>2025</v>
      </c>
      <c r="L406">
        <v>805006014</v>
      </c>
      <c r="M406" t="s">
        <v>2786</v>
      </c>
      <c r="N406" t="s">
        <v>1688</v>
      </c>
      <c r="O406" t="s">
        <v>1686</v>
      </c>
      <c r="P406">
        <v>0</v>
      </c>
      <c r="Q406">
        <v>289800</v>
      </c>
      <c r="R406">
        <v>0</v>
      </c>
      <c r="S406">
        <v>0</v>
      </c>
      <c r="T406" t="str">
        <f t="shared" si="12"/>
        <v>1001.00.0000.00.0-205616.2.1.2.02.02.008.03.</v>
      </c>
      <c r="U406" t="e" cm="1">
        <f t="array" aca="1" ref="U406" ca="1">+IF(COMPROMISOS_2025[[#This Row],[P]]="20","41080111",_xlfn.XLOOKUP(COMPROMISOS_2025[[#This Row],[concatenado]],PAA[[#All],[RCP-RUBRO]],PAA[[#All],[INDICADOR]],"",0))</f>
        <v>#NAME?</v>
      </c>
      <c r="V406" s="144" t="str">
        <f t="shared" si="13"/>
        <v>00</v>
      </c>
      <c r="W406" s="136">
        <f>+COMPROMISOS_2025[[#This Row],[valor_total]]-COMPROMISOS_2025[[#This Row],[total_cancelado]]</f>
        <v>289800</v>
      </c>
      <c r="X406" s="136">
        <f>COMPROMISOS_2025[[#This Row],[total_ordenes]]</f>
        <v>289800</v>
      </c>
      <c r="Y406" t="str" cm="1">
        <f t="array" aca="1" ref="Y406" ca="1">IFERROR(_xlfn.XLOOKUP(COMPROMISOS_2025[[#This Row],[concatenado]],PAA[[#All],[RCP-RUBRO]],PAA[[#All],[Actividad3]],VLOOKUP(COMPROMISOS_2025[[#This Row],[Indicador Principal]],$AC$2:$AD$17,2,0),0),"")</f>
        <v/>
      </c>
    </row>
    <row r="407" spans="1:25" hidden="1" x14ac:dyDescent="0.25">
      <c r="A407">
        <v>136</v>
      </c>
      <c r="B407" t="s">
        <v>2789</v>
      </c>
      <c r="C407" t="s">
        <v>883</v>
      </c>
      <c r="D407" t="s">
        <v>1854</v>
      </c>
      <c r="E407" t="s">
        <v>2790</v>
      </c>
      <c r="F407">
        <v>8</v>
      </c>
      <c r="G407">
        <v>32</v>
      </c>
      <c r="H407" t="s">
        <v>144</v>
      </c>
      <c r="I407" t="s">
        <v>1855</v>
      </c>
      <c r="J407">
        <v>509678</v>
      </c>
      <c r="K407">
        <v>2025</v>
      </c>
      <c r="L407">
        <v>8909050652</v>
      </c>
      <c r="M407" t="s">
        <v>2770</v>
      </c>
      <c r="N407" t="s">
        <v>1688</v>
      </c>
      <c r="O407" t="s">
        <v>1686</v>
      </c>
      <c r="P407">
        <v>0</v>
      </c>
      <c r="Q407">
        <v>509678</v>
      </c>
      <c r="R407">
        <v>0</v>
      </c>
      <c r="S407">
        <v>0</v>
      </c>
      <c r="T407" t="str">
        <f t="shared" si="12"/>
        <v>1361.00.0000.00.0-205616.2.1.2.02.02.008.03.</v>
      </c>
      <c r="U407" t="e" cm="1">
        <f t="array" aca="1" ref="U407" ca="1">+IF(COMPROMISOS_2025[[#This Row],[P]]="20","41080111",_xlfn.XLOOKUP(COMPROMISOS_2025[[#This Row],[concatenado]],PAA[[#All],[RCP-RUBRO]],PAA[[#All],[INDICADOR]],"",0))</f>
        <v>#NAME?</v>
      </c>
      <c r="V407" s="144" t="str">
        <f t="shared" si="13"/>
        <v>00</v>
      </c>
      <c r="W407" s="136">
        <f>+COMPROMISOS_2025[[#This Row],[valor_total]]-COMPROMISOS_2025[[#This Row],[total_cancelado]]</f>
        <v>509678</v>
      </c>
      <c r="X407" s="136">
        <f>COMPROMISOS_2025[[#This Row],[total_ordenes]]</f>
        <v>509678</v>
      </c>
      <c r="Y407" t="str" cm="1">
        <f t="array" aca="1" ref="Y407" ca="1">IFERROR(_xlfn.XLOOKUP(COMPROMISOS_2025[[#This Row],[concatenado]],PAA[[#All],[RCP-RUBRO]],PAA[[#All],[Actividad3]],VLOOKUP(COMPROMISOS_2025[[#This Row],[Indicador Principal]],$AC$2:$AD$17,2,0),0),"")</f>
        <v/>
      </c>
    </row>
    <row r="408" spans="1:25" hidden="1" x14ac:dyDescent="0.25">
      <c r="A408">
        <v>446</v>
      </c>
      <c r="B408" t="s">
        <v>1838</v>
      </c>
      <c r="C408" t="s">
        <v>883</v>
      </c>
      <c r="D408" t="s">
        <v>1854</v>
      </c>
      <c r="E408" t="s">
        <v>2791</v>
      </c>
      <c r="F408">
        <v>8</v>
      </c>
      <c r="G408">
        <v>32</v>
      </c>
      <c r="H408" t="s">
        <v>144</v>
      </c>
      <c r="I408" t="s">
        <v>1855</v>
      </c>
      <c r="J408">
        <v>386423</v>
      </c>
      <c r="K408">
        <v>2025</v>
      </c>
      <c r="L408">
        <v>8001539937</v>
      </c>
      <c r="M408" t="s">
        <v>2780</v>
      </c>
      <c r="N408" t="s">
        <v>1688</v>
      </c>
      <c r="O408" t="s">
        <v>1686</v>
      </c>
      <c r="P408">
        <v>0</v>
      </c>
      <c r="Q408">
        <v>386423</v>
      </c>
      <c r="R408">
        <v>0</v>
      </c>
      <c r="S408">
        <v>0</v>
      </c>
      <c r="T408" t="str">
        <f t="shared" si="12"/>
        <v>4461.00.0000.00.0-205616.2.1.2.02.02.008.03.</v>
      </c>
      <c r="U408" t="e" cm="1">
        <f t="array" aca="1" ref="U408" ca="1">+IF(COMPROMISOS_2025[[#This Row],[P]]="20","41080111",_xlfn.XLOOKUP(COMPROMISOS_2025[[#This Row],[concatenado]],PAA[[#All],[RCP-RUBRO]],PAA[[#All],[INDICADOR]],"",0))</f>
        <v>#NAME?</v>
      </c>
      <c r="V408" s="144" t="str">
        <f t="shared" si="13"/>
        <v>00</v>
      </c>
      <c r="W408" s="136">
        <f>+COMPROMISOS_2025[[#This Row],[valor_total]]-COMPROMISOS_2025[[#This Row],[total_cancelado]]</f>
        <v>386423</v>
      </c>
      <c r="X408" s="136">
        <f>COMPROMISOS_2025[[#This Row],[total_ordenes]]</f>
        <v>386423</v>
      </c>
      <c r="Y408" t="str" cm="1">
        <f t="array" aca="1" ref="Y408" ca="1">IFERROR(_xlfn.XLOOKUP(COMPROMISOS_2025[[#This Row],[concatenado]],PAA[[#All],[RCP-RUBRO]],PAA[[#All],[Actividad3]],VLOOKUP(COMPROMISOS_2025[[#This Row],[Indicador Principal]],$AC$2:$AD$17,2,0),0),"")</f>
        <v/>
      </c>
    </row>
    <row r="409" spans="1:25" hidden="1" x14ac:dyDescent="0.25">
      <c r="A409">
        <v>449</v>
      </c>
      <c r="B409" t="s">
        <v>2792</v>
      </c>
      <c r="C409" t="s">
        <v>883</v>
      </c>
      <c r="D409" t="s">
        <v>1854</v>
      </c>
      <c r="E409" t="s">
        <v>2793</v>
      </c>
      <c r="F409">
        <v>8</v>
      </c>
      <c r="G409">
        <v>32</v>
      </c>
      <c r="H409" t="s">
        <v>144</v>
      </c>
      <c r="I409" t="s">
        <v>1855</v>
      </c>
      <c r="J409">
        <v>595263</v>
      </c>
      <c r="K409">
        <v>2025</v>
      </c>
      <c r="L409">
        <v>8301149211</v>
      </c>
      <c r="M409" t="s">
        <v>2783</v>
      </c>
      <c r="N409" t="s">
        <v>1688</v>
      </c>
      <c r="O409" t="s">
        <v>1686</v>
      </c>
      <c r="P409">
        <v>0</v>
      </c>
      <c r="Q409">
        <v>595263</v>
      </c>
      <c r="R409">
        <v>0</v>
      </c>
      <c r="S409">
        <v>0</v>
      </c>
      <c r="T409" t="str">
        <f t="shared" si="12"/>
        <v>4491.00.0000.00.0-205616.2.1.2.02.02.008.03.</v>
      </c>
      <c r="U409" t="e" cm="1">
        <f t="array" aca="1" ref="U409" ca="1">+IF(COMPROMISOS_2025[[#This Row],[P]]="20","41080111",_xlfn.XLOOKUP(COMPROMISOS_2025[[#This Row],[concatenado]],PAA[[#All],[RCP-RUBRO]],PAA[[#All],[INDICADOR]],"",0))</f>
        <v>#NAME?</v>
      </c>
      <c r="V409" s="144" t="str">
        <f t="shared" si="13"/>
        <v>00</v>
      </c>
      <c r="W409" s="136">
        <f>+COMPROMISOS_2025[[#This Row],[valor_total]]-COMPROMISOS_2025[[#This Row],[total_cancelado]]</f>
        <v>595263</v>
      </c>
      <c r="X409" s="136">
        <f>COMPROMISOS_2025[[#This Row],[total_ordenes]]</f>
        <v>595263</v>
      </c>
      <c r="Y409" t="str" cm="1">
        <f t="array" aca="1" ref="Y409" ca="1">IFERROR(_xlfn.XLOOKUP(COMPROMISOS_2025[[#This Row],[concatenado]],PAA[[#All],[RCP-RUBRO]],PAA[[#All],[Actividad3]],VLOOKUP(COMPROMISOS_2025[[#This Row],[Indicador Principal]],$AC$2:$AD$17,2,0),0),"")</f>
        <v/>
      </c>
    </row>
    <row r="410" spans="1:25" hidden="1" x14ac:dyDescent="0.25">
      <c r="A410">
        <v>450</v>
      </c>
      <c r="B410" t="s">
        <v>2792</v>
      </c>
      <c r="C410" t="s">
        <v>883</v>
      </c>
      <c r="D410" t="s">
        <v>1854</v>
      </c>
      <c r="E410" t="s">
        <v>2794</v>
      </c>
      <c r="F410">
        <v>8</v>
      </c>
      <c r="G410">
        <v>32</v>
      </c>
      <c r="H410" t="s">
        <v>144</v>
      </c>
      <c r="I410" t="s">
        <v>1855</v>
      </c>
      <c r="J410">
        <v>217867</v>
      </c>
      <c r="K410">
        <v>2025</v>
      </c>
      <c r="L410">
        <v>9000923859</v>
      </c>
      <c r="M410" t="s">
        <v>2773</v>
      </c>
      <c r="N410" t="s">
        <v>1688</v>
      </c>
      <c r="O410" t="s">
        <v>1686</v>
      </c>
      <c r="P410">
        <v>0</v>
      </c>
      <c r="Q410">
        <v>217867</v>
      </c>
      <c r="R410">
        <v>0</v>
      </c>
      <c r="S410">
        <v>0</v>
      </c>
      <c r="T410" t="str">
        <f t="shared" si="12"/>
        <v>4501.00.0000.00.0-205616.2.1.2.02.02.008.03.</v>
      </c>
      <c r="U410" t="e" cm="1">
        <f t="array" aca="1" ref="U410" ca="1">+IF(COMPROMISOS_2025[[#This Row],[P]]="20","41080111",_xlfn.XLOOKUP(COMPROMISOS_2025[[#This Row],[concatenado]],PAA[[#All],[RCP-RUBRO]],PAA[[#All],[INDICADOR]],"",0))</f>
        <v>#NAME?</v>
      </c>
      <c r="V410" s="144" t="str">
        <f t="shared" si="13"/>
        <v>00</v>
      </c>
      <c r="W410" s="136">
        <f>+COMPROMISOS_2025[[#This Row],[valor_total]]-COMPROMISOS_2025[[#This Row],[total_cancelado]]</f>
        <v>217867</v>
      </c>
      <c r="X410" s="136">
        <f>COMPROMISOS_2025[[#This Row],[total_ordenes]]</f>
        <v>217867</v>
      </c>
      <c r="Y410" t="str" cm="1">
        <f t="array" aca="1" ref="Y410" ca="1">IFERROR(_xlfn.XLOOKUP(COMPROMISOS_2025[[#This Row],[concatenado]],PAA[[#All],[RCP-RUBRO]],PAA[[#All],[Actividad3]],VLOOKUP(COMPROMISOS_2025[[#This Row],[Indicador Principal]],$AC$2:$AD$17,2,0),0),"")</f>
        <v/>
      </c>
    </row>
    <row r="411" spans="1:25" hidden="1" x14ac:dyDescent="0.25">
      <c r="A411">
        <v>451</v>
      </c>
      <c r="B411" t="s">
        <v>2792</v>
      </c>
      <c r="C411" t="s">
        <v>883</v>
      </c>
      <c r="D411" t="s">
        <v>1854</v>
      </c>
      <c r="E411" t="s">
        <v>2795</v>
      </c>
      <c r="F411">
        <v>8</v>
      </c>
      <c r="G411">
        <v>32</v>
      </c>
      <c r="H411" t="s">
        <v>144</v>
      </c>
      <c r="I411" t="s">
        <v>1855</v>
      </c>
      <c r="J411">
        <v>64683</v>
      </c>
      <c r="K411">
        <v>2025</v>
      </c>
      <c r="L411">
        <v>9000923859</v>
      </c>
      <c r="M411" t="s">
        <v>2773</v>
      </c>
      <c r="N411" t="s">
        <v>1688</v>
      </c>
      <c r="O411" t="s">
        <v>1686</v>
      </c>
      <c r="P411">
        <v>0</v>
      </c>
      <c r="Q411">
        <v>64683</v>
      </c>
      <c r="R411">
        <v>0</v>
      </c>
      <c r="S411">
        <v>0</v>
      </c>
      <c r="T411" t="str">
        <f t="shared" si="12"/>
        <v>4511.00.0000.00.0-205616.2.1.2.02.02.008.03.</v>
      </c>
      <c r="U411" t="e" cm="1">
        <f t="array" aca="1" ref="U411" ca="1">+IF(COMPROMISOS_2025[[#This Row],[P]]="20","41080111",_xlfn.XLOOKUP(COMPROMISOS_2025[[#This Row],[concatenado]],PAA[[#All],[RCP-RUBRO]],PAA[[#All],[INDICADOR]],"",0))</f>
        <v>#NAME?</v>
      </c>
      <c r="V411" s="144" t="str">
        <f t="shared" si="13"/>
        <v>00</v>
      </c>
      <c r="W411" s="136">
        <f>+COMPROMISOS_2025[[#This Row],[valor_total]]-COMPROMISOS_2025[[#This Row],[total_cancelado]]</f>
        <v>64683</v>
      </c>
      <c r="X411" s="136">
        <f>COMPROMISOS_2025[[#This Row],[total_ordenes]]</f>
        <v>64683</v>
      </c>
      <c r="Y411" t="str" cm="1">
        <f t="array" aca="1" ref="Y411" ca="1">IFERROR(_xlfn.XLOOKUP(COMPROMISOS_2025[[#This Row],[concatenado]],PAA[[#All],[RCP-RUBRO]],PAA[[#All],[Actividad3]],VLOOKUP(COMPROMISOS_2025[[#This Row],[Indicador Principal]],$AC$2:$AD$17,2,0),0),"")</f>
        <v/>
      </c>
    </row>
    <row r="412" spans="1:25" hidden="1" x14ac:dyDescent="0.25">
      <c r="A412">
        <v>452</v>
      </c>
      <c r="B412" t="s">
        <v>2647</v>
      </c>
      <c r="C412" t="s">
        <v>883</v>
      </c>
      <c r="D412" t="s">
        <v>1854</v>
      </c>
      <c r="E412" t="s">
        <v>2796</v>
      </c>
      <c r="F412">
        <v>8</v>
      </c>
      <c r="G412">
        <v>32</v>
      </c>
      <c r="H412" t="s">
        <v>144</v>
      </c>
      <c r="I412" t="s">
        <v>1855</v>
      </c>
      <c r="J412">
        <v>1304913</v>
      </c>
      <c r="K412">
        <v>2025</v>
      </c>
      <c r="L412">
        <v>9000923859</v>
      </c>
      <c r="M412" t="s">
        <v>2773</v>
      </c>
      <c r="N412" t="s">
        <v>1688</v>
      </c>
      <c r="O412" t="s">
        <v>1686</v>
      </c>
      <c r="P412">
        <v>0</v>
      </c>
      <c r="Q412">
        <v>1304913</v>
      </c>
      <c r="R412">
        <v>0</v>
      </c>
      <c r="S412">
        <v>0</v>
      </c>
      <c r="T412" t="str">
        <f t="shared" si="12"/>
        <v>4521.00.0000.00.0-205616.2.1.2.02.02.008.03.</v>
      </c>
      <c r="U412" t="e" cm="1">
        <f t="array" aca="1" ref="U412" ca="1">+IF(COMPROMISOS_2025[[#This Row],[P]]="20","41080111",_xlfn.XLOOKUP(COMPROMISOS_2025[[#This Row],[concatenado]],PAA[[#All],[RCP-RUBRO]],PAA[[#All],[INDICADOR]],"",0))</f>
        <v>#NAME?</v>
      </c>
      <c r="V412" s="144" t="str">
        <f t="shared" si="13"/>
        <v>00</v>
      </c>
      <c r="W412" s="136">
        <f>+COMPROMISOS_2025[[#This Row],[valor_total]]-COMPROMISOS_2025[[#This Row],[total_cancelado]]</f>
        <v>1304913</v>
      </c>
      <c r="X412" s="136">
        <f>COMPROMISOS_2025[[#This Row],[total_ordenes]]</f>
        <v>1304913</v>
      </c>
      <c r="Y412" t="str" cm="1">
        <f t="array" aca="1" ref="Y412" ca="1">IFERROR(_xlfn.XLOOKUP(COMPROMISOS_2025[[#This Row],[concatenado]],PAA[[#All],[RCP-RUBRO]],PAA[[#All],[Actividad3]],VLOOKUP(COMPROMISOS_2025[[#This Row],[Indicador Principal]],$AC$2:$AD$17,2,0),0),"")</f>
        <v/>
      </c>
    </row>
    <row r="413" spans="1:25" hidden="1" x14ac:dyDescent="0.25">
      <c r="A413">
        <v>1195</v>
      </c>
      <c r="B413" t="s">
        <v>2797</v>
      </c>
      <c r="C413" t="s">
        <v>883</v>
      </c>
      <c r="D413" t="s">
        <v>1854</v>
      </c>
      <c r="E413" t="s">
        <v>2798</v>
      </c>
      <c r="F413">
        <v>8</v>
      </c>
      <c r="G413">
        <v>32</v>
      </c>
      <c r="H413" t="s">
        <v>144</v>
      </c>
      <c r="I413" t="s">
        <v>1855</v>
      </c>
      <c r="J413">
        <v>289800</v>
      </c>
      <c r="K413">
        <v>2025</v>
      </c>
      <c r="L413">
        <v>805006014</v>
      </c>
      <c r="M413" t="s">
        <v>2786</v>
      </c>
      <c r="N413" t="s">
        <v>1688</v>
      </c>
      <c r="O413" t="s">
        <v>1686</v>
      </c>
      <c r="P413">
        <v>0</v>
      </c>
      <c r="Q413">
        <v>289800</v>
      </c>
      <c r="R413">
        <v>0</v>
      </c>
      <c r="S413">
        <v>0</v>
      </c>
      <c r="T413" t="str">
        <f t="shared" si="12"/>
        <v>11951.00.0000.00.0-205616.2.1.2.02.02.008.03.</v>
      </c>
      <c r="U413" t="e" cm="1">
        <f t="array" aca="1" ref="U413" ca="1">+IF(COMPROMISOS_2025[[#This Row],[P]]="20","41080111",_xlfn.XLOOKUP(COMPROMISOS_2025[[#This Row],[concatenado]],PAA[[#All],[RCP-RUBRO]],PAA[[#All],[INDICADOR]],"",0))</f>
        <v>#NAME?</v>
      </c>
      <c r="V413" s="144" t="str">
        <f t="shared" si="13"/>
        <v>00</v>
      </c>
      <c r="W413" s="136">
        <f>+COMPROMISOS_2025[[#This Row],[valor_total]]-COMPROMISOS_2025[[#This Row],[total_cancelado]]</f>
        <v>289800</v>
      </c>
      <c r="X413" s="136">
        <f>COMPROMISOS_2025[[#This Row],[total_ordenes]]</f>
        <v>289800</v>
      </c>
      <c r="Y413" t="str" cm="1">
        <f t="array" aca="1" ref="Y413" ca="1">IFERROR(_xlfn.XLOOKUP(COMPROMISOS_2025[[#This Row],[concatenado]],PAA[[#All],[RCP-RUBRO]],PAA[[#All],[Actividad3]],VLOOKUP(COMPROMISOS_2025[[#This Row],[Indicador Principal]],$AC$2:$AD$17,2,0),0),"")</f>
        <v/>
      </c>
    </row>
    <row r="414" spans="1:25" hidden="1" x14ac:dyDescent="0.25">
      <c r="A414">
        <v>1196</v>
      </c>
      <c r="B414" t="s">
        <v>2799</v>
      </c>
      <c r="C414" t="s">
        <v>883</v>
      </c>
      <c r="D414" t="s">
        <v>1854</v>
      </c>
      <c r="E414" t="s">
        <v>2800</v>
      </c>
      <c r="F414">
        <v>8</v>
      </c>
      <c r="G414">
        <v>32</v>
      </c>
      <c r="H414" t="s">
        <v>144</v>
      </c>
      <c r="I414" t="s">
        <v>1855</v>
      </c>
      <c r="J414">
        <v>289800</v>
      </c>
      <c r="K414">
        <v>2025</v>
      </c>
      <c r="L414">
        <v>805006014</v>
      </c>
      <c r="M414" t="s">
        <v>2786</v>
      </c>
      <c r="N414" t="s">
        <v>1688</v>
      </c>
      <c r="O414" t="s">
        <v>1686</v>
      </c>
      <c r="P414">
        <v>0</v>
      </c>
      <c r="Q414">
        <v>289800</v>
      </c>
      <c r="R414">
        <v>0</v>
      </c>
      <c r="S414">
        <v>0</v>
      </c>
      <c r="T414" t="str">
        <f t="shared" si="12"/>
        <v>11961.00.0000.00.0-205616.2.1.2.02.02.008.03.</v>
      </c>
      <c r="U414" t="e" cm="1">
        <f t="array" aca="1" ref="U414" ca="1">+IF(COMPROMISOS_2025[[#This Row],[P]]="20","41080111",_xlfn.XLOOKUP(COMPROMISOS_2025[[#This Row],[concatenado]],PAA[[#All],[RCP-RUBRO]],PAA[[#All],[INDICADOR]],"",0))</f>
        <v>#NAME?</v>
      </c>
      <c r="V414" s="144" t="str">
        <f t="shared" si="13"/>
        <v>00</v>
      </c>
      <c r="W414" s="136">
        <f>+COMPROMISOS_2025[[#This Row],[valor_total]]-COMPROMISOS_2025[[#This Row],[total_cancelado]]</f>
        <v>289800</v>
      </c>
      <c r="X414" s="136">
        <f>COMPROMISOS_2025[[#This Row],[total_ordenes]]</f>
        <v>289800</v>
      </c>
      <c r="Y414" t="str" cm="1">
        <f t="array" aca="1" ref="Y414" ca="1">IFERROR(_xlfn.XLOOKUP(COMPROMISOS_2025[[#This Row],[concatenado]],PAA[[#All],[RCP-RUBRO]],PAA[[#All],[Actividad3]],VLOOKUP(COMPROMISOS_2025[[#This Row],[Indicador Principal]],$AC$2:$AD$17,2,0),0),"")</f>
        <v/>
      </c>
    </row>
    <row r="415" spans="1:25" hidden="1" x14ac:dyDescent="0.25">
      <c r="A415">
        <v>2864</v>
      </c>
      <c r="B415" t="s">
        <v>2801</v>
      </c>
      <c r="C415" t="s">
        <v>883</v>
      </c>
      <c r="D415" t="s">
        <v>1854</v>
      </c>
      <c r="E415" t="s">
        <v>2802</v>
      </c>
      <c r="F415">
        <v>8</v>
      </c>
      <c r="G415">
        <v>32</v>
      </c>
      <c r="H415" t="s">
        <v>144</v>
      </c>
      <c r="I415" t="s">
        <v>1855</v>
      </c>
      <c r="J415">
        <v>496932</v>
      </c>
      <c r="K415">
        <v>2025</v>
      </c>
      <c r="L415">
        <v>8909050652</v>
      </c>
      <c r="M415" t="s">
        <v>2770</v>
      </c>
      <c r="N415" t="s">
        <v>1688</v>
      </c>
      <c r="O415" t="s">
        <v>1686</v>
      </c>
      <c r="P415">
        <v>0</v>
      </c>
      <c r="Q415">
        <v>496932</v>
      </c>
      <c r="R415">
        <v>0</v>
      </c>
      <c r="S415">
        <v>0</v>
      </c>
      <c r="T415" t="str">
        <f t="shared" si="12"/>
        <v>28641.00.0000.00.0-205616.2.1.2.02.02.008.03.</v>
      </c>
      <c r="U415" t="e" cm="1">
        <f t="array" aca="1" ref="U415" ca="1">+IF(COMPROMISOS_2025[[#This Row],[P]]="20","41080111",_xlfn.XLOOKUP(COMPROMISOS_2025[[#This Row],[concatenado]],PAA[[#All],[RCP-RUBRO]],PAA[[#All],[INDICADOR]],"",0))</f>
        <v>#NAME?</v>
      </c>
      <c r="V415" s="144" t="str">
        <f t="shared" si="13"/>
        <v>00</v>
      </c>
      <c r="W415" s="136">
        <f>+COMPROMISOS_2025[[#This Row],[valor_total]]-COMPROMISOS_2025[[#This Row],[total_cancelado]]</f>
        <v>496932</v>
      </c>
      <c r="X415" s="136">
        <f>COMPROMISOS_2025[[#This Row],[total_ordenes]]</f>
        <v>496932</v>
      </c>
      <c r="Y415" t="str" cm="1">
        <f t="array" aca="1" ref="Y415" ca="1">IFERROR(_xlfn.XLOOKUP(COMPROMISOS_2025[[#This Row],[concatenado]],PAA[[#All],[RCP-RUBRO]],PAA[[#All],[Actividad3]],VLOOKUP(COMPROMISOS_2025[[#This Row],[Indicador Principal]],$AC$2:$AD$17,2,0),0),"")</f>
        <v/>
      </c>
    </row>
    <row r="416" spans="1:25" hidden="1" x14ac:dyDescent="0.25">
      <c r="A416">
        <v>2986</v>
      </c>
      <c r="B416" t="s">
        <v>2803</v>
      </c>
      <c r="C416" t="s">
        <v>883</v>
      </c>
      <c r="D416" t="s">
        <v>1854</v>
      </c>
      <c r="E416" t="s">
        <v>2804</v>
      </c>
      <c r="F416">
        <v>8</v>
      </c>
      <c r="G416">
        <v>32</v>
      </c>
      <c r="H416" t="s">
        <v>144</v>
      </c>
      <c r="I416" t="s">
        <v>1855</v>
      </c>
      <c r="J416">
        <v>289800</v>
      </c>
      <c r="K416">
        <v>2025</v>
      </c>
      <c r="L416">
        <v>805006014</v>
      </c>
      <c r="M416" t="s">
        <v>2786</v>
      </c>
      <c r="N416" t="s">
        <v>1688</v>
      </c>
      <c r="O416" t="s">
        <v>1686</v>
      </c>
      <c r="P416">
        <v>0</v>
      </c>
      <c r="Q416">
        <v>0</v>
      </c>
      <c r="R416">
        <v>0</v>
      </c>
      <c r="S416">
        <v>289800</v>
      </c>
      <c r="T416" t="str">
        <f t="shared" si="12"/>
        <v>29861.00.0000.00.0-205616.2.1.2.02.02.008.03.</v>
      </c>
      <c r="U416" t="e" cm="1">
        <f t="array" aca="1" ref="U416" ca="1">+IF(COMPROMISOS_2025[[#This Row],[P]]="20","41080111",_xlfn.XLOOKUP(COMPROMISOS_2025[[#This Row],[concatenado]],PAA[[#All],[RCP-RUBRO]],PAA[[#All],[INDICADOR]],"",0))</f>
        <v>#NAME?</v>
      </c>
      <c r="V416" s="144" t="str">
        <f t="shared" si="13"/>
        <v>00</v>
      </c>
      <c r="W416" s="136">
        <f>+COMPROMISOS_2025[[#This Row],[valor_total]]-COMPROMISOS_2025[[#This Row],[total_cancelado]]</f>
        <v>289800</v>
      </c>
      <c r="X416" s="136">
        <f>COMPROMISOS_2025[[#This Row],[total_ordenes]]</f>
        <v>0</v>
      </c>
      <c r="Y416" t="str" cm="1">
        <f t="array" aca="1" ref="Y416" ca="1">IFERROR(_xlfn.XLOOKUP(COMPROMISOS_2025[[#This Row],[concatenado]],PAA[[#All],[RCP-RUBRO]],PAA[[#All],[Actividad3]],VLOOKUP(COMPROMISOS_2025[[#This Row],[Indicador Principal]],$AC$2:$AD$17,2,0),0),"")</f>
        <v/>
      </c>
    </row>
    <row r="417" spans="1:25" hidden="1" x14ac:dyDescent="0.25">
      <c r="A417">
        <v>2992</v>
      </c>
      <c r="B417" t="s">
        <v>1761</v>
      </c>
      <c r="C417" t="s">
        <v>883</v>
      </c>
      <c r="D417" t="s">
        <v>1854</v>
      </c>
      <c r="E417" t="s">
        <v>2805</v>
      </c>
      <c r="F417">
        <v>8</v>
      </c>
      <c r="G417">
        <v>32</v>
      </c>
      <c r="H417" t="s">
        <v>144</v>
      </c>
      <c r="I417" t="s">
        <v>1855</v>
      </c>
      <c r="J417">
        <v>64683</v>
      </c>
      <c r="K417">
        <v>2025</v>
      </c>
      <c r="L417">
        <v>9000923859</v>
      </c>
      <c r="M417" t="s">
        <v>2773</v>
      </c>
      <c r="N417" t="s">
        <v>1688</v>
      </c>
      <c r="O417" t="s">
        <v>1686</v>
      </c>
      <c r="P417">
        <v>0</v>
      </c>
      <c r="Q417">
        <v>0</v>
      </c>
      <c r="R417">
        <v>0</v>
      </c>
      <c r="S417">
        <v>64683</v>
      </c>
      <c r="T417" t="str">
        <f t="shared" si="12"/>
        <v>29921.00.0000.00.0-205616.2.1.2.02.02.008.03.</v>
      </c>
      <c r="U417" t="e" cm="1">
        <f t="array" aca="1" ref="U417" ca="1">+IF(COMPROMISOS_2025[[#This Row],[P]]="20","41080111",_xlfn.XLOOKUP(COMPROMISOS_2025[[#This Row],[concatenado]],PAA[[#All],[RCP-RUBRO]],PAA[[#All],[INDICADOR]],"",0))</f>
        <v>#NAME?</v>
      </c>
      <c r="V417" s="144" t="str">
        <f t="shared" si="13"/>
        <v>00</v>
      </c>
      <c r="W417" s="136">
        <f>+COMPROMISOS_2025[[#This Row],[valor_total]]-COMPROMISOS_2025[[#This Row],[total_cancelado]]</f>
        <v>64683</v>
      </c>
      <c r="X417" s="136">
        <f>COMPROMISOS_2025[[#This Row],[total_ordenes]]</f>
        <v>0</v>
      </c>
      <c r="Y417" t="str" cm="1">
        <f t="array" aca="1" ref="Y417" ca="1">IFERROR(_xlfn.XLOOKUP(COMPROMISOS_2025[[#This Row],[concatenado]],PAA[[#All],[RCP-RUBRO]],PAA[[#All],[Actividad3]],VLOOKUP(COMPROMISOS_2025[[#This Row],[Indicador Principal]],$AC$2:$AD$17,2,0),0),"")</f>
        <v/>
      </c>
    </row>
    <row r="418" spans="1:25" hidden="1" x14ac:dyDescent="0.25">
      <c r="A418">
        <v>2993</v>
      </c>
      <c r="B418" t="s">
        <v>2806</v>
      </c>
      <c r="C418" t="s">
        <v>883</v>
      </c>
      <c r="D418" t="s">
        <v>1854</v>
      </c>
      <c r="E418" t="s">
        <v>2807</v>
      </c>
      <c r="F418">
        <v>8</v>
      </c>
      <c r="G418">
        <v>32</v>
      </c>
      <c r="H418" t="s">
        <v>144</v>
      </c>
      <c r="I418" t="s">
        <v>1855</v>
      </c>
      <c r="J418">
        <v>1304913</v>
      </c>
      <c r="K418">
        <v>2025</v>
      </c>
      <c r="L418">
        <v>9000923859</v>
      </c>
      <c r="M418" t="s">
        <v>2773</v>
      </c>
      <c r="N418" t="s">
        <v>1688</v>
      </c>
      <c r="O418" t="s">
        <v>1686</v>
      </c>
      <c r="P418">
        <v>0</v>
      </c>
      <c r="Q418">
        <v>0</v>
      </c>
      <c r="R418">
        <v>0</v>
      </c>
      <c r="S418">
        <v>1304913</v>
      </c>
      <c r="T418" t="str">
        <f t="shared" si="12"/>
        <v>29931.00.0000.00.0-205616.2.1.2.02.02.008.03.</v>
      </c>
      <c r="U418" t="e" cm="1">
        <f t="array" aca="1" ref="U418" ca="1">+IF(COMPROMISOS_2025[[#This Row],[P]]="20","41080111",_xlfn.XLOOKUP(COMPROMISOS_2025[[#This Row],[concatenado]],PAA[[#All],[RCP-RUBRO]],PAA[[#All],[INDICADOR]],"",0))</f>
        <v>#NAME?</v>
      </c>
      <c r="V418" s="144" t="str">
        <f t="shared" si="13"/>
        <v>00</v>
      </c>
      <c r="W418" s="136">
        <f>+COMPROMISOS_2025[[#This Row],[valor_total]]-COMPROMISOS_2025[[#This Row],[total_cancelado]]</f>
        <v>1304913</v>
      </c>
      <c r="X418" s="136">
        <f>COMPROMISOS_2025[[#This Row],[total_ordenes]]</f>
        <v>0</v>
      </c>
      <c r="Y418" t="str" cm="1">
        <f t="array" aca="1" ref="Y418" ca="1">IFERROR(_xlfn.XLOOKUP(COMPROMISOS_2025[[#This Row],[concatenado]],PAA[[#All],[RCP-RUBRO]],PAA[[#All],[Actividad3]],VLOOKUP(COMPROMISOS_2025[[#This Row],[Indicador Principal]],$AC$2:$AD$17,2,0),0),"")</f>
        <v/>
      </c>
    </row>
    <row r="419" spans="1:25" hidden="1" x14ac:dyDescent="0.25">
      <c r="A419">
        <v>2994</v>
      </c>
      <c r="B419" t="s">
        <v>2808</v>
      </c>
      <c r="C419" t="s">
        <v>883</v>
      </c>
      <c r="D419" t="s">
        <v>1854</v>
      </c>
      <c r="E419" t="s">
        <v>2809</v>
      </c>
      <c r="F419">
        <v>8</v>
      </c>
      <c r="G419">
        <v>32</v>
      </c>
      <c r="H419" t="s">
        <v>144</v>
      </c>
      <c r="I419" t="s">
        <v>1855</v>
      </c>
      <c r="J419">
        <v>217222</v>
      </c>
      <c r="K419">
        <v>2025</v>
      </c>
      <c r="L419">
        <v>9000923859</v>
      </c>
      <c r="M419" t="s">
        <v>2773</v>
      </c>
      <c r="N419" t="s">
        <v>1688</v>
      </c>
      <c r="O419" t="s">
        <v>1686</v>
      </c>
      <c r="P419">
        <v>0</v>
      </c>
      <c r="Q419">
        <v>0</v>
      </c>
      <c r="R419">
        <v>0</v>
      </c>
      <c r="S419">
        <v>217222</v>
      </c>
      <c r="T419" t="str">
        <f t="shared" si="12"/>
        <v>29941.00.0000.00.0-205616.2.1.2.02.02.008.03.</v>
      </c>
      <c r="U419" t="e" cm="1">
        <f t="array" aca="1" ref="U419" ca="1">+IF(COMPROMISOS_2025[[#This Row],[P]]="20","41080111",_xlfn.XLOOKUP(COMPROMISOS_2025[[#This Row],[concatenado]],PAA[[#All],[RCP-RUBRO]],PAA[[#All],[INDICADOR]],"",0))</f>
        <v>#NAME?</v>
      </c>
      <c r="V419" s="144" t="str">
        <f t="shared" si="13"/>
        <v>00</v>
      </c>
      <c r="W419" s="136">
        <f>+COMPROMISOS_2025[[#This Row],[valor_total]]-COMPROMISOS_2025[[#This Row],[total_cancelado]]</f>
        <v>217222</v>
      </c>
      <c r="X419" s="136">
        <f>COMPROMISOS_2025[[#This Row],[total_ordenes]]</f>
        <v>0</v>
      </c>
      <c r="Y419" t="str" cm="1">
        <f t="array" aca="1" ref="Y419" ca="1">IFERROR(_xlfn.XLOOKUP(COMPROMISOS_2025[[#This Row],[concatenado]],PAA[[#All],[RCP-RUBRO]],PAA[[#All],[Actividad3]],VLOOKUP(COMPROMISOS_2025[[#This Row],[Indicador Principal]],$AC$2:$AD$17,2,0),0),"")</f>
        <v/>
      </c>
    </row>
    <row r="420" spans="1:25" hidden="1" x14ac:dyDescent="0.25">
      <c r="A420">
        <v>3000</v>
      </c>
      <c r="B420" t="s">
        <v>2810</v>
      </c>
      <c r="C420" t="s">
        <v>883</v>
      </c>
      <c r="D420" t="s">
        <v>1854</v>
      </c>
      <c r="E420" t="s">
        <v>2811</v>
      </c>
      <c r="F420">
        <v>8</v>
      </c>
      <c r="G420">
        <v>32</v>
      </c>
      <c r="H420" t="s">
        <v>144</v>
      </c>
      <c r="I420" t="s">
        <v>1855</v>
      </c>
      <c r="J420">
        <v>289800</v>
      </c>
      <c r="K420">
        <v>2025</v>
      </c>
      <c r="L420">
        <v>805006014</v>
      </c>
      <c r="M420" t="s">
        <v>2786</v>
      </c>
      <c r="N420" t="s">
        <v>1688</v>
      </c>
      <c r="O420" t="s">
        <v>1686</v>
      </c>
      <c r="P420">
        <v>0</v>
      </c>
      <c r="Q420">
        <v>0</v>
      </c>
      <c r="R420">
        <v>0</v>
      </c>
      <c r="S420">
        <v>289800</v>
      </c>
      <c r="T420" t="str">
        <f t="shared" si="12"/>
        <v>30001.00.0000.00.0-205616.2.1.2.02.02.008.03.</v>
      </c>
      <c r="U420" t="e" cm="1">
        <f t="array" aca="1" ref="U420" ca="1">+IF(COMPROMISOS_2025[[#This Row],[P]]="20","41080111",_xlfn.XLOOKUP(COMPROMISOS_2025[[#This Row],[concatenado]],PAA[[#All],[RCP-RUBRO]],PAA[[#All],[INDICADOR]],"",0))</f>
        <v>#NAME?</v>
      </c>
      <c r="V420" s="144" t="str">
        <f t="shared" si="13"/>
        <v>00</v>
      </c>
      <c r="W420" s="136">
        <f>+COMPROMISOS_2025[[#This Row],[valor_total]]-COMPROMISOS_2025[[#This Row],[total_cancelado]]</f>
        <v>289800</v>
      </c>
      <c r="X420" s="136">
        <f>COMPROMISOS_2025[[#This Row],[total_ordenes]]</f>
        <v>0</v>
      </c>
      <c r="Y420" t="str" cm="1">
        <f t="array" aca="1" ref="Y420" ca="1">IFERROR(_xlfn.XLOOKUP(COMPROMISOS_2025[[#This Row],[concatenado]],PAA[[#All],[RCP-RUBRO]],PAA[[#All],[Actividad3]],VLOOKUP(COMPROMISOS_2025[[#This Row],[Indicador Principal]],$AC$2:$AD$17,2,0),0),"")</f>
        <v/>
      </c>
    </row>
    <row r="421" spans="1:25" hidden="1" x14ac:dyDescent="0.25">
      <c r="A421">
        <v>3001</v>
      </c>
      <c r="B421" t="s">
        <v>2812</v>
      </c>
      <c r="C421" t="s">
        <v>883</v>
      </c>
      <c r="D421" t="s">
        <v>1854</v>
      </c>
      <c r="E421" t="s">
        <v>2813</v>
      </c>
      <c r="F421">
        <v>8</v>
      </c>
      <c r="G421">
        <v>32</v>
      </c>
      <c r="H421" t="s">
        <v>144</v>
      </c>
      <c r="I421" t="s">
        <v>1855</v>
      </c>
      <c r="J421">
        <v>379172</v>
      </c>
      <c r="K421">
        <v>2025</v>
      </c>
      <c r="L421">
        <v>8001539937</v>
      </c>
      <c r="M421" t="s">
        <v>2780</v>
      </c>
      <c r="N421" t="s">
        <v>1688</v>
      </c>
      <c r="O421" t="s">
        <v>1686</v>
      </c>
      <c r="P421">
        <v>0</v>
      </c>
      <c r="Q421">
        <v>0</v>
      </c>
      <c r="R421">
        <v>0</v>
      </c>
      <c r="S421">
        <v>379172</v>
      </c>
      <c r="T421" t="str">
        <f t="shared" si="12"/>
        <v>30011.00.0000.00.0-205616.2.1.2.02.02.008.03.</v>
      </c>
      <c r="U421" t="e" cm="1">
        <f t="array" aca="1" ref="U421" ca="1">+IF(COMPROMISOS_2025[[#This Row],[P]]="20","41080111",_xlfn.XLOOKUP(COMPROMISOS_2025[[#This Row],[concatenado]],PAA[[#All],[RCP-RUBRO]],PAA[[#All],[INDICADOR]],"",0))</f>
        <v>#NAME?</v>
      </c>
      <c r="V421" s="144" t="str">
        <f t="shared" si="13"/>
        <v>00</v>
      </c>
      <c r="W421" s="136">
        <f>+COMPROMISOS_2025[[#This Row],[valor_total]]-COMPROMISOS_2025[[#This Row],[total_cancelado]]</f>
        <v>379172</v>
      </c>
      <c r="X421" s="136">
        <f>COMPROMISOS_2025[[#This Row],[total_ordenes]]</f>
        <v>0</v>
      </c>
      <c r="Y421" t="str" cm="1">
        <f t="array" aca="1" ref="Y421" ca="1">IFERROR(_xlfn.XLOOKUP(COMPROMISOS_2025[[#This Row],[concatenado]],PAA[[#All],[RCP-RUBRO]],PAA[[#All],[Actividad3]],VLOOKUP(COMPROMISOS_2025[[#This Row],[Indicador Principal]],$AC$2:$AD$17,2,0),0),"")</f>
        <v/>
      </c>
    </row>
    <row r="422" spans="1:25" hidden="1" x14ac:dyDescent="0.25">
      <c r="A422">
        <v>1</v>
      </c>
      <c r="B422" t="s">
        <v>2814</v>
      </c>
      <c r="C422" t="s">
        <v>883</v>
      </c>
      <c r="D422" t="s">
        <v>1857</v>
      </c>
      <c r="E422" t="s">
        <v>2815</v>
      </c>
      <c r="F422">
        <v>2</v>
      </c>
      <c r="G422">
        <v>33</v>
      </c>
      <c r="H422" t="s">
        <v>147</v>
      </c>
      <c r="I422" t="s">
        <v>1858</v>
      </c>
      <c r="J422">
        <v>499313250</v>
      </c>
      <c r="K422">
        <v>2025</v>
      </c>
      <c r="L422">
        <v>8909847618</v>
      </c>
      <c r="M422" t="s">
        <v>2816</v>
      </c>
      <c r="N422" t="s">
        <v>1688</v>
      </c>
      <c r="O422" t="s">
        <v>1686</v>
      </c>
      <c r="P422">
        <v>0</v>
      </c>
      <c r="Q422">
        <v>479047564</v>
      </c>
      <c r="R422">
        <v>0</v>
      </c>
      <c r="S422">
        <v>20265686</v>
      </c>
      <c r="T422" t="str">
        <f t="shared" si="12"/>
        <v>11.00.0000.00.0-205616.2.1.2.02.02.008.04.</v>
      </c>
      <c r="U422" t="e" cm="1">
        <f t="array" aca="1" ref="U422" ca="1">+IF(COMPROMISOS_2025[[#This Row],[P]]="20","41080111",_xlfn.XLOOKUP(COMPROMISOS_2025[[#This Row],[concatenado]],PAA[[#All],[RCP-RUBRO]],PAA[[#All],[INDICADOR]],"",0))</f>
        <v>#NAME?</v>
      </c>
      <c r="V422" s="144" t="str">
        <f t="shared" si="13"/>
        <v>00</v>
      </c>
      <c r="W422" s="136">
        <f>+COMPROMISOS_2025[[#This Row],[valor_total]]-COMPROMISOS_2025[[#This Row],[total_cancelado]]</f>
        <v>499313250</v>
      </c>
      <c r="X422" s="136">
        <f>COMPROMISOS_2025[[#This Row],[total_ordenes]]</f>
        <v>479047564</v>
      </c>
      <c r="Y422" t="str" cm="1">
        <f t="array" aca="1" ref="Y422" ca="1">IFERROR(_xlfn.XLOOKUP(COMPROMISOS_2025[[#This Row],[concatenado]],PAA[[#All],[RCP-RUBRO]],PAA[[#All],[Actividad3]],VLOOKUP(COMPROMISOS_2025[[#This Row],[Indicador Principal]],$AC$2:$AD$17,2,0),0),"")</f>
        <v/>
      </c>
    </row>
    <row r="423" spans="1:25" hidden="1" x14ac:dyDescent="0.25">
      <c r="A423">
        <v>2</v>
      </c>
      <c r="B423" t="s">
        <v>2817</v>
      </c>
      <c r="C423" t="s">
        <v>883</v>
      </c>
      <c r="D423" t="s">
        <v>1860</v>
      </c>
      <c r="E423" t="s">
        <v>2818</v>
      </c>
      <c r="F423">
        <v>3</v>
      </c>
      <c r="G423">
        <v>33</v>
      </c>
      <c r="H423" t="s">
        <v>147</v>
      </c>
      <c r="I423" t="s">
        <v>1858</v>
      </c>
      <c r="J423">
        <v>241791568</v>
      </c>
      <c r="K423">
        <v>2025</v>
      </c>
      <c r="L423">
        <v>9004539881</v>
      </c>
      <c r="M423" t="s">
        <v>2819</v>
      </c>
      <c r="N423" t="s">
        <v>1688</v>
      </c>
      <c r="O423" t="s">
        <v>1686</v>
      </c>
      <c r="P423">
        <v>0</v>
      </c>
      <c r="Q423">
        <v>104725034</v>
      </c>
      <c r="R423">
        <v>0</v>
      </c>
      <c r="S423">
        <v>137066534</v>
      </c>
      <c r="T423" t="str">
        <f t="shared" si="12"/>
        <v>21.00.0000.00.0-205616.2.1.2.02.02.008.04.</v>
      </c>
      <c r="U423" t="e" cm="1">
        <f t="array" aca="1" ref="U423" ca="1">+IF(COMPROMISOS_2025[[#This Row],[P]]="20","41080111",_xlfn.XLOOKUP(COMPROMISOS_2025[[#This Row],[concatenado]],PAA[[#All],[RCP-RUBRO]],PAA[[#All],[INDICADOR]],"",0))</f>
        <v>#NAME?</v>
      </c>
      <c r="V423" s="144" t="str">
        <f t="shared" si="13"/>
        <v>00</v>
      </c>
      <c r="W423" s="136">
        <f>+COMPROMISOS_2025[[#This Row],[valor_total]]-COMPROMISOS_2025[[#This Row],[total_cancelado]]</f>
        <v>241791568</v>
      </c>
      <c r="X423" s="136">
        <f>COMPROMISOS_2025[[#This Row],[total_ordenes]]</f>
        <v>104725034</v>
      </c>
      <c r="Y423" t="str" cm="1">
        <f t="array" aca="1" ref="Y423" ca="1">IFERROR(_xlfn.XLOOKUP(COMPROMISOS_2025[[#This Row],[concatenado]],PAA[[#All],[RCP-RUBRO]],PAA[[#All],[Actividad3]],VLOOKUP(COMPROMISOS_2025[[#This Row],[Indicador Principal]],$AC$2:$AD$17,2,0),0),"")</f>
        <v/>
      </c>
    </row>
    <row r="424" spans="1:25" hidden="1" x14ac:dyDescent="0.25">
      <c r="A424">
        <v>5</v>
      </c>
      <c r="B424" t="s">
        <v>2480</v>
      </c>
      <c r="C424" t="s">
        <v>1043</v>
      </c>
      <c r="D424" t="s">
        <v>1685</v>
      </c>
      <c r="F424">
        <v>6</v>
      </c>
      <c r="G424">
        <v>36</v>
      </c>
      <c r="H424" t="s">
        <v>94</v>
      </c>
      <c r="I424" t="s">
        <v>1864</v>
      </c>
      <c r="J424">
        <v>779455</v>
      </c>
      <c r="K424">
        <v>2025</v>
      </c>
      <c r="L424">
        <v>811007127</v>
      </c>
      <c r="M424" t="s">
        <v>2481</v>
      </c>
      <c r="N424" t="s">
        <v>1688</v>
      </c>
      <c r="O424" t="s">
        <v>1686</v>
      </c>
      <c r="P424">
        <v>0</v>
      </c>
      <c r="Q424">
        <v>779455</v>
      </c>
      <c r="R424">
        <v>0</v>
      </c>
      <c r="S424">
        <v>0</v>
      </c>
      <c r="T424" t="str">
        <f t="shared" si="12"/>
        <v>51.00.0000.00.0-205616.2.1.3.07.02.010.01.</v>
      </c>
      <c r="U424" t="e" cm="1">
        <f t="array" aca="1" ref="U424" ca="1">+IF(COMPROMISOS_2025[[#This Row],[P]]="20","41080111",_xlfn.XLOOKUP(COMPROMISOS_2025[[#This Row],[concatenado]],PAA[[#All],[RCP-RUBRO]],PAA[[#All],[INDICADOR]],"",0))</f>
        <v>#NAME?</v>
      </c>
      <c r="V424" s="144" t="str">
        <f t="shared" si="13"/>
        <v>00</v>
      </c>
      <c r="W424" s="136">
        <f>+COMPROMISOS_2025[[#This Row],[valor_total]]-COMPROMISOS_2025[[#This Row],[total_cancelado]]</f>
        <v>779455</v>
      </c>
      <c r="X424" s="136">
        <f>COMPROMISOS_2025[[#This Row],[total_ordenes]]</f>
        <v>779455</v>
      </c>
      <c r="Y424" t="str" cm="1">
        <f t="array" aca="1" ref="Y424" ca="1">IFERROR(_xlfn.XLOOKUP(COMPROMISOS_2025[[#This Row],[concatenado]],PAA[[#All],[RCP-RUBRO]],PAA[[#All],[Actividad3]],VLOOKUP(COMPROMISOS_2025[[#This Row],[Indicador Principal]],$AC$2:$AD$17,2,0),0),"")</f>
        <v/>
      </c>
    </row>
    <row r="425" spans="1:25" hidden="1" x14ac:dyDescent="0.25">
      <c r="A425">
        <v>46</v>
      </c>
      <c r="B425" t="s">
        <v>2483</v>
      </c>
      <c r="C425" t="s">
        <v>1043</v>
      </c>
      <c r="D425" t="s">
        <v>1690</v>
      </c>
      <c r="F425">
        <v>61</v>
      </c>
      <c r="G425">
        <v>36</v>
      </c>
      <c r="H425" t="s">
        <v>94</v>
      </c>
      <c r="I425" t="s">
        <v>1864</v>
      </c>
      <c r="J425">
        <v>2775083</v>
      </c>
      <c r="K425">
        <v>2025</v>
      </c>
      <c r="L425">
        <v>811007127</v>
      </c>
      <c r="M425" t="s">
        <v>2481</v>
      </c>
      <c r="N425" t="s">
        <v>1688</v>
      </c>
      <c r="O425" t="s">
        <v>1686</v>
      </c>
      <c r="P425">
        <v>0</v>
      </c>
      <c r="Q425">
        <v>2775083</v>
      </c>
      <c r="R425">
        <v>0</v>
      </c>
      <c r="S425">
        <v>0</v>
      </c>
      <c r="T425" t="str">
        <f t="shared" si="12"/>
        <v>461.00.0000.00.0-205616.2.1.3.07.02.010.01.</v>
      </c>
      <c r="U425" t="e" cm="1">
        <f t="array" aca="1" ref="U425" ca="1">+IF(COMPROMISOS_2025[[#This Row],[P]]="20","41080111",_xlfn.XLOOKUP(COMPROMISOS_2025[[#This Row],[concatenado]],PAA[[#All],[RCP-RUBRO]],PAA[[#All],[INDICADOR]],"",0))</f>
        <v>#NAME?</v>
      </c>
      <c r="V425" s="144" t="str">
        <f t="shared" si="13"/>
        <v>00</v>
      </c>
      <c r="W425" s="136">
        <f>+COMPROMISOS_2025[[#This Row],[valor_total]]-COMPROMISOS_2025[[#This Row],[total_cancelado]]</f>
        <v>2775083</v>
      </c>
      <c r="X425" s="136">
        <f>COMPROMISOS_2025[[#This Row],[total_ordenes]]</f>
        <v>2775083</v>
      </c>
      <c r="Y425" t="str" cm="1">
        <f t="array" aca="1" ref="Y425" ca="1">IFERROR(_xlfn.XLOOKUP(COMPROMISOS_2025[[#This Row],[concatenado]],PAA[[#All],[RCP-RUBRO]],PAA[[#All],[Actividad3]],VLOOKUP(COMPROMISOS_2025[[#This Row],[Indicador Principal]],$AC$2:$AD$17,2,0),0),"")</f>
        <v/>
      </c>
    </row>
    <row r="426" spans="1:25" hidden="1" x14ac:dyDescent="0.25">
      <c r="A426">
        <v>109</v>
      </c>
      <c r="B426" t="s">
        <v>2485</v>
      </c>
      <c r="C426" t="s">
        <v>1043</v>
      </c>
      <c r="D426" t="s">
        <v>1692</v>
      </c>
      <c r="F426">
        <v>319</v>
      </c>
      <c r="G426">
        <v>36</v>
      </c>
      <c r="H426" t="s">
        <v>94</v>
      </c>
      <c r="I426" t="s">
        <v>1864</v>
      </c>
      <c r="J426">
        <v>1732346</v>
      </c>
      <c r="K426">
        <v>2025</v>
      </c>
      <c r="L426">
        <v>811007127</v>
      </c>
      <c r="M426" t="s">
        <v>2481</v>
      </c>
      <c r="N426" t="s">
        <v>1688</v>
      </c>
      <c r="O426" t="s">
        <v>1686</v>
      </c>
      <c r="P426">
        <v>0</v>
      </c>
      <c r="Q426">
        <v>1732346</v>
      </c>
      <c r="R426">
        <v>0</v>
      </c>
      <c r="S426">
        <v>0</v>
      </c>
      <c r="T426" t="str">
        <f t="shared" si="12"/>
        <v>1091.00.0000.00.0-205616.2.1.3.07.02.010.01.</v>
      </c>
      <c r="U426" t="e" cm="1">
        <f t="array" aca="1" ref="U426" ca="1">+IF(COMPROMISOS_2025[[#This Row],[P]]="20","41080111",_xlfn.XLOOKUP(COMPROMISOS_2025[[#This Row],[concatenado]],PAA[[#All],[RCP-RUBRO]],PAA[[#All],[INDICADOR]],"",0))</f>
        <v>#NAME?</v>
      </c>
      <c r="V426" s="144" t="str">
        <f t="shared" si="13"/>
        <v>00</v>
      </c>
      <c r="W426" s="136">
        <f>+COMPROMISOS_2025[[#This Row],[valor_total]]-COMPROMISOS_2025[[#This Row],[total_cancelado]]</f>
        <v>1732346</v>
      </c>
      <c r="X426" s="136">
        <f>COMPROMISOS_2025[[#This Row],[total_ordenes]]</f>
        <v>1732346</v>
      </c>
      <c r="Y426" t="str" cm="1">
        <f t="array" aca="1" ref="Y426" ca="1">IFERROR(_xlfn.XLOOKUP(COMPROMISOS_2025[[#This Row],[concatenado]],PAA[[#All],[RCP-RUBRO]],PAA[[#All],[Actividad3]],VLOOKUP(COMPROMISOS_2025[[#This Row],[Indicador Principal]],$AC$2:$AD$17,2,0),0),"")</f>
        <v/>
      </c>
    </row>
    <row r="427" spans="1:25" hidden="1" x14ac:dyDescent="0.25">
      <c r="A427">
        <v>429</v>
      </c>
      <c r="B427" t="s">
        <v>2487</v>
      </c>
      <c r="C427" t="s">
        <v>1043</v>
      </c>
      <c r="D427" t="s">
        <v>1694</v>
      </c>
      <c r="F427">
        <v>356</v>
      </c>
      <c r="G427">
        <v>36</v>
      </c>
      <c r="H427" t="s">
        <v>94</v>
      </c>
      <c r="I427" t="s">
        <v>1864</v>
      </c>
      <c r="J427">
        <v>40532</v>
      </c>
      <c r="K427">
        <v>2025</v>
      </c>
      <c r="L427">
        <v>811007127</v>
      </c>
      <c r="M427" t="s">
        <v>2481</v>
      </c>
      <c r="N427" t="s">
        <v>1688</v>
      </c>
      <c r="O427" t="s">
        <v>1686</v>
      </c>
      <c r="P427">
        <v>0</v>
      </c>
      <c r="Q427">
        <v>40532</v>
      </c>
      <c r="R427">
        <v>0</v>
      </c>
      <c r="S427">
        <v>0</v>
      </c>
      <c r="T427" t="str">
        <f t="shared" si="12"/>
        <v>4291.00.0000.00.0-205616.2.1.3.07.02.010.01.</v>
      </c>
      <c r="U427" t="e" cm="1">
        <f t="array" aca="1" ref="U427" ca="1">+IF(COMPROMISOS_2025[[#This Row],[P]]="20","41080111",_xlfn.XLOOKUP(COMPROMISOS_2025[[#This Row],[concatenado]],PAA[[#All],[RCP-RUBRO]],PAA[[#All],[INDICADOR]],"",0))</f>
        <v>#NAME?</v>
      </c>
      <c r="V427" s="144" t="str">
        <f t="shared" si="13"/>
        <v>00</v>
      </c>
      <c r="W427" s="136">
        <f>+COMPROMISOS_2025[[#This Row],[valor_total]]-COMPROMISOS_2025[[#This Row],[total_cancelado]]</f>
        <v>40532</v>
      </c>
      <c r="X427" s="136">
        <f>COMPROMISOS_2025[[#This Row],[total_ordenes]]</f>
        <v>40532</v>
      </c>
      <c r="Y427" t="str" cm="1">
        <f t="array" aca="1" ref="Y427" ca="1">IFERROR(_xlfn.XLOOKUP(COMPROMISOS_2025[[#This Row],[concatenado]],PAA[[#All],[RCP-RUBRO]],PAA[[#All],[Actividad3]],VLOOKUP(COMPROMISOS_2025[[#This Row],[Indicador Principal]],$AC$2:$AD$17,2,0),0),"")</f>
        <v/>
      </c>
    </row>
    <row r="428" spans="1:25" hidden="1" x14ac:dyDescent="0.25">
      <c r="A428">
        <v>436</v>
      </c>
      <c r="B428" t="s">
        <v>2489</v>
      </c>
      <c r="C428" t="s">
        <v>1043</v>
      </c>
      <c r="D428" t="s">
        <v>1696</v>
      </c>
      <c r="F428">
        <v>381</v>
      </c>
      <c r="G428">
        <v>36</v>
      </c>
      <c r="H428" t="s">
        <v>94</v>
      </c>
      <c r="I428" t="s">
        <v>1864</v>
      </c>
      <c r="J428">
        <v>2972486</v>
      </c>
      <c r="K428">
        <v>2025</v>
      </c>
      <c r="L428">
        <v>811007127</v>
      </c>
      <c r="M428" t="s">
        <v>2481</v>
      </c>
      <c r="N428" t="s">
        <v>1688</v>
      </c>
      <c r="O428" t="s">
        <v>1686</v>
      </c>
      <c r="P428">
        <v>0</v>
      </c>
      <c r="Q428">
        <v>2972486</v>
      </c>
      <c r="R428">
        <v>0</v>
      </c>
      <c r="S428">
        <v>0</v>
      </c>
      <c r="T428" t="str">
        <f t="shared" si="12"/>
        <v>4361.00.0000.00.0-205616.2.1.3.07.02.010.01.</v>
      </c>
      <c r="U428" t="e" cm="1">
        <f t="array" aca="1" ref="U428" ca="1">+IF(COMPROMISOS_2025[[#This Row],[P]]="20","41080111",_xlfn.XLOOKUP(COMPROMISOS_2025[[#This Row],[concatenado]],PAA[[#All],[RCP-RUBRO]],PAA[[#All],[INDICADOR]],"",0))</f>
        <v>#NAME?</v>
      </c>
      <c r="V428" s="144" t="str">
        <f t="shared" si="13"/>
        <v>00</v>
      </c>
      <c r="W428" s="136">
        <f>+COMPROMISOS_2025[[#This Row],[valor_total]]-COMPROMISOS_2025[[#This Row],[total_cancelado]]</f>
        <v>2972486</v>
      </c>
      <c r="X428" s="136">
        <f>COMPROMISOS_2025[[#This Row],[total_ordenes]]</f>
        <v>2972486</v>
      </c>
      <c r="Y428" t="str" cm="1">
        <f t="array" aca="1" ref="Y428" ca="1">IFERROR(_xlfn.XLOOKUP(COMPROMISOS_2025[[#This Row],[concatenado]],PAA[[#All],[RCP-RUBRO]],PAA[[#All],[Actividad3]],VLOOKUP(COMPROMISOS_2025[[#This Row],[Indicador Principal]],$AC$2:$AD$17,2,0),0),"")</f>
        <v/>
      </c>
    </row>
    <row r="429" spans="1:25" hidden="1" x14ac:dyDescent="0.25">
      <c r="A429">
        <v>1618</v>
      </c>
      <c r="B429" t="s">
        <v>2491</v>
      </c>
      <c r="C429" t="s">
        <v>1043</v>
      </c>
      <c r="D429" t="s">
        <v>1698</v>
      </c>
      <c r="F429">
        <v>412</v>
      </c>
      <c r="G429">
        <v>36</v>
      </c>
      <c r="H429" t="s">
        <v>94</v>
      </c>
      <c r="I429" t="s">
        <v>1864</v>
      </c>
      <c r="J429">
        <v>2985177</v>
      </c>
      <c r="K429">
        <v>2025</v>
      </c>
      <c r="L429">
        <v>811007127</v>
      </c>
      <c r="M429" t="s">
        <v>2481</v>
      </c>
      <c r="N429" t="s">
        <v>1688</v>
      </c>
      <c r="O429" t="s">
        <v>1686</v>
      </c>
      <c r="P429">
        <v>0</v>
      </c>
      <c r="Q429">
        <v>2985177</v>
      </c>
      <c r="R429">
        <v>0</v>
      </c>
      <c r="S429">
        <v>0</v>
      </c>
      <c r="T429" t="str">
        <f t="shared" si="12"/>
        <v>16181.00.0000.00.0-205616.2.1.3.07.02.010.01.</v>
      </c>
      <c r="U429" t="e" cm="1">
        <f t="array" aca="1" ref="U429" ca="1">+IF(COMPROMISOS_2025[[#This Row],[P]]="20","41080111",_xlfn.XLOOKUP(COMPROMISOS_2025[[#This Row],[concatenado]],PAA[[#All],[RCP-RUBRO]],PAA[[#All],[INDICADOR]],"",0))</f>
        <v>#NAME?</v>
      </c>
      <c r="V429" s="144" t="str">
        <f t="shared" si="13"/>
        <v>00</v>
      </c>
      <c r="W429" s="136">
        <f>+COMPROMISOS_2025[[#This Row],[valor_total]]-COMPROMISOS_2025[[#This Row],[total_cancelado]]</f>
        <v>2985177</v>
      </c>
      <c r="X429" s="136">
        <f>COMPROMISOS_2025[[#This Row],[total_ordenes]]</f>
        <v>2985177</v>
      </c>
      <c r="Y429" t="str" cm="1">
        <f t="array" aca="1" ref="Y429" ca="1">IFERROR(_xlfn.XLOOKUP(COMPROMISOS_2025[[#This Row],[concatenado]],PAA[[#All],[RCP-RUBRO]],PAA[[#All],[Actividad3]],VLOOKUP(COMPROMISOS_2025[[#This Row],[Indicador Principal]],$AC$2:$AD$17,2,0),0),"")</f>
        <v/>
      </c>
    </row>
    <row r="430" spans="1:25" hidden="1" x14ac:dyDescent="0.25">
      <c r="A430">
        <v>2998</v>
      </c>
      <c r="B430" t="s">
        <v>2493</v>
      </c>
      <c r="C430" t="s">
        <v>1043</v>
      </c>
      <c r="D430" t="s">
        <v>1700</v>
      </c>
      <c r="F430">
        <v>435</v>
      </c>
      <c r="G430">
        <v>36</v>
      </c>
      <c r="H430" t="s">
        <v>94</v>
      </c>
      <c r="I430" t="s">
        <v>1864</v>
      </c>
      <c r="J430">
        <v>3300947</v>
      </c>
      <c r="K430">
        <v>2025</v>
      </c>
      <c r="L430">
        <v>811007127</v>
      </c>
      <c r="M430" t="s">
        <v>2481</v>
      </c>
      <c r="N430" t="s">
        <v>1688</v>
      </c>
      <c r="O430" t="s">
        <v>1686</v>
      </c>
      <c r="P430">
        <v>0</v>
      </c>
      <c r="Q430">
        <v>3300947</v>
      </c>
      <c r="R430">
        <v>0</v>
      </c>
      <c r="S430">
        <v>0</v>
      </c>
      <c r="T430" t="str">
        <f t="shared" si="12"/>
        <v>29981.00.0000.00.0-205616.2.1.3.07.02.010.01.</v>
      </c>
      <c r="U430" t="e" cm="1">
        <f t="array" aca="1" ref="U430" ca="1">+IF(COMPROMISOS_2025[[#This Row],[P]]="20","41080111",_xlfn.XLOOKUP(COMPROMISOS_2025[[#This Row],[concatenado]],PAA[[#All],[RCP-RUBRO]],PAA[[#All],[INDICADOR]],"",0))</f>
        <v>#NAME?</v>
      </c>
      <c r="V430" s="144" t="str">
        <f t="shared" si="13"/>
        <v>00</v>
      </c>
      <c r="W430" s="136">
        <f>+COMPROMISOS_2025[[#This Row],[valor_total]]-COMPROMISOS_2025[[#This Row],[total_cancelado]]</f>
        <v>3300947</v>
      </c>
      <c r="X430" s="136">
        <f>COMPROMISOS_2025[[#This Row],[total_ordenes]]</f>
        <v>3300947</v>
      </c>
      <c r="Y430" t="str" cm="1">
        <f t="array" aca="1" ref="Y430" ca="1">IFERROR(_xlfn.XLOOKUP(COMPROMISOS_2025[[#This Row],[concatenado]],PAA[[#All],[RCP-RUBRO]],PAA[[#All],[Actividad3]],VLOOKUP(COMPROMISOS_2025[[#This Row],[Indicador Principal]],$AC$2:$AD$17,2,0),0),"")</f>
        <v/>
      </c>
    </row>
    <row r="431" spans="1:25" hidden="1" x14ac:dyDescent="0.25">
      <c r="A431">
        <v>53</v>
      </c>
      <c r="B431" t="s">
        <v>2820</v>
      </c>
      <c r="C431" t="s">
        <v>883</v>
      </c>
      <c r="D431" t="s">
        <v>1866</v>
      </c>
      <c r="E431" t="s">
        <v>2821</v>
      </c>
      <c r="F431">
        <v>72</v>
      </c>
      <c r="G431">
        <v>42</v>
      </c>
      <c r="H431" t="s">
        <v>118</v>
      </c>
      <c r="I431" t="s">
        <v>1867</v>
      </c>
      <c r="J431">
        <v>140834148</v>
      </c>
      <c r="K431">
        <v>2025</v>
      </c>
      <c r="L431">
        <v>8909052111</v>
      </c>
      <c r="M431" t="s">
        <v>2822</v>
      </c>
      <c r="N431" t="s">
        <v>1688</v>
      </c>
      <c r="O431" t="s">
        <v>1686</v>
      </c>
      <c r="P431">
        <v>0</v>
      </c>
      <c r="Q431">
        <v>140834148</v>
      </c>
      <c r="R431">
        <v>0</v>
      </c>
      <c r="S431">
        <v>0</v>
      </c>
      <c r="T431" t="str">
        <f t="shared" si="12"/>
        <v>531.00.0000.00.0-205616.2.1.8.01.52.</v>
      </c>
      <c r="U431" t="e" cm="1">
        <f t="array" aca="1" ref="U431" ca="1">+IF(COMPROMISOS_2025[[#This Row],[P]]="20","41080111",_xlfn.XLOOKUP(COMPROMISOS_2025[[#This Row],[concatenado]],PAA[[#All],[RCP-RUBRO]],PAA[[#All],[INDICADOR]],"",0))</f>
        <v>#NAME?</v>
      </c>
      <c r="V431" s="144" t="str">
        <f t="shared" si="13"/>
        <v>00</v>
      </c>
      <c r="W431" s="136">
        <f>+COMPROMISOS_2025[[#This Row],[valor_total]]-COMPROMISOS_2025[[#This Row],[total_cancelado]]</f>
        <v>140834148</v>
      </c>
      <c r="X431" s="136">
        <f>COMPROMISOS_2025[[#This Row],[total_ordenes]]</f>
        <v>140834148</v>
      </c>
      <c r="Y431" t="str" cm="1">
        <f t="array" aca="1" ref="Y431" ca="1">IFERROR(_xlfn.XLOOKUP(COMPROMISOS_2025[[#This Row],[concatenado]],PAA[[#All],[RCP-RUBRO]],PAA[[#All],[Actividad3]],VLOOKUP(COMPROMISOS_2025[[#This Row],[Indicador Principal]],$AC$2:$AD$17,2,0),0),"")</f>
        <v/>
      </c>
    </row>
    <row r="432" spans="1:25" hidden="1" x14ac:dyDescent="0.25">
      <c r="A432">
        <v>54</v>
      </c>
      <c r="B432" t="s">
        <v>2823</v>
      </c>
      <c r="C432" t="s">
        <v>883</v>
      </c>
      <c r="D432" t="s">
        <v>1866</v>
      </c>
      <c r="E432" t="s">
        <v>2824</v>
      </c>
      <c r="F432">
        <v>72</v>
      </c>
      <c r="G432">
        <v>42</v>
      </c>
      <c r="H432" t="s">
        <v>118</v>
      </c>
      <c r="I432" t="s">
        <v>1867</v>
      </c>
      <c r="J432">
        <v>29099811</v>
      </c>
      <c r="K432">
        <v>2025</v>
      </c>
      <c r="L432">
        <v>8909052111</v>
      </c>
      <c r="M432" t="s">
        <v>2822</v>
      </c>
      <c r="N432" t="s">
        <v>1688</v>
      </c>
      <c r="O432" t="s">
        <v>1686</v>
      </c>
      <c r="P432">
        <v>0</v>
      </c>
      <c r="Q432">
        <v>29099811</v>
      </c>
      <c r="R432">
        <v>0</v>
      </c>
      <c r="S432">
        <v>0</v>
      </c>
      <c r="T432" t="str">
        <f t="shared" si="12"/>
        <v>541.00.0000.00.0-205616.2.1.8.01.52.</v>
      </c>
      <c r="U432" t="e" cm="1">
        <f t="array" aca="1" ref="U432" ca="1">+IF(COMPROMISOS_2025[[#This Row],[P]]="20","41080111",_xlfn.XLOOKUP(COMPROMISOS_2025[[#This Row],[concatenado]],PAA[[#All],[RCP-RUBRO]],PAA[[#All],[INDICADOR]],"",0))</f>
        <v>#NAME?</v>
      </c>
      <c r="V432" s="144" t="str">
        <f t="shared" si="13"/>
        <v>00</v>
      </c>
      <c r="W432" s="136">
        <f>+COMPROMISOS_2025[[#This Row],[valor_total]]-COMPROMISOS_2025[[#This Row],[total_cancelado]]</f>
        <v>29099811</v>
      </c>
      <c r="X432" s="136">
        <f>COMPROMISOS_2025[[#This Row],[total_ordenes]]</f>
        <v>29099811</v>
      </c>
      <c r="Y432" t="str" cm="1">
        <f t="array" aca="1" ref="Y432" ca="1">IFERROR(_xlfn.XLOOKUP(COMPROMISOS_2025[[#This Row],[concatenado]],PAA[[#All],[RCP-RUBRO]],PAA[[#All],[Actividad3]],VLOOKUP(COMPROMISOS_2025[[#This Row],[Indicador Principal]],$AC$2:$AD$17,2,0),0),"")</f>
        <v/>
      </c>
    </row>
    <row r="433" spans="1:25" hidden="1" x14ac:dyDescent="0.25">
      <c r="A433">
        <v>55</v>
      </c>
      <c r="B433" t="s">
        <v>2825</v>
      </c>
      <c r="C433" t="s">
        <v>883</v>
      </c>
      <c r="D433" t="s">
        <v>1866</v>
      </c>
      <c r="E433" t="s">
        <v>2826</v>
      </c>
      <c r="F433">
        <v>72</v>
      </c>
      <c r="G433">
        <v>42</v>
      </c>
      <c r="H433" t="s">
        <v>118</v>
      </c>
      <c r="I433" t="s">
        <v>1867</v>
      </c>
      <c r="J433">
        <v>8924410</v>
      </c>
      <c r="K433">
        <v>2025</v>
      </c>
      <c r="L433">
        <v>8909052111</v>
      </c>
      <c r="M433" t="s">
        <v>2822</v>
      </c>
      <c r="N433" t="s">
        <v>1688</v>
      </c>
      <c r="O433" t="s">
        <v>1686</v>
      </c>
      <c r="P433">
        <v>0</v>
      </c>
      <c r="Q433">
        <v>8924410</v>
      </c>
      <c r="R433">
        <v>0</v>
      </c>
      <c r="S433">
        <v>0</v>
      </c>
      <c r="T433" t="str">
        <f t="shared" si="12"/>
        <v>551.00.0000.00.0-205616.2.1.8.01.52.</v>
      </c>
      <c r="U433" t="e" cm="1">
        <f t="array" aca="1" ref="U433" ca="1">+IF(COMPROMISOS_2025[[#This Row],[P]]="20","41080111",_xlfn.XLOOKUP(COMPROMISOS_2025[[#This Row],[concatenado]],PAA[[#All],[RCP-RUBRO]],PAA[[#All],[INDICADOR]],"",0))</f>
        <v>#NAME?</v>
      </c>
      <c r="V433" s="144" t="str">
        <f t="shared" si="13"/>
        <v>00</v>
      </c>
      <c r="W433" s="136">
        <f>+COMPROMISOS_2025[[#This Row],[valor_total]]-COMPROMISOS_2025[[#This Row],[total_cancelado]]</f>
        <v>8924410</v>
      </c>
      <c r="X433" s="136">
        <f>COMPROMISOS_2025[[#This Row],[total_ordenes]]</f>
        <v>8924410</v>
      </c>
      <c r="Y433" t="str" cm="1">
        <f t="array" aca="1" ref="Y433" ca="1">IFERROR(_xlfn.XLOOKUP(COMPROMISOS_2025[[#This Row],[concatenado]],PAA[[#All],[RCP-RUBRO]],PAA[[#All],[Actividad3]],VLOOKUP(COMPROMISOS_2025[[#This Row],[Indicador Principal]],$AC$2:$AD$17,2,0),0),"")</f>
        <v/>
      </c>
    </row>
    <row r="434" spans="1:25" hidden="1" x14ac:dyDescent="0.25">
      <c r="A434">
        <v>129</v>
      </c>
      <c r="B434" t="s">
        <v>2827</v>
      </c>
      <c r="C434" t="s">
        <v>883</v>
      </c>
      <c r="D434" t="s">
        <v>1869</v>
      </c>
      <c r="E434" t="s">
        <v>2828</v>
      </c>
      <c r="F434">
        <v>318</v>
      </c>
      <c r="G434">
        <v>43</v>
      </c>
      <c r="H434" t="s">
        <v>110</v>
      </c>
      <c r="I434" t="s">
        <v>1870</v>
      </c>
      <c r="J434">
        <v>381599321</v>
      </c>
      <c r="K434">
        <v>2025</v>
      </c>
      <c r="L434">
        <v>8110003727</v>
      </c>
      <c r="M434" t="s">
        <v>2829</v>
      </c>
      <c r="N434" t="s">
        <v>1688</v>
      </c>
      <c r="O434" t="s">
        <v>1686</v>
      </c>
      <c r="P434">
        <v>0</v>
      </c>
      <c r="Q434">
        <v>381599321</v>
      </c>
      <c r="R434">
        <v>0</v>
      </c>
      <c r="S434">
        <v>0</v>
      </c>
      <c r="T434" t="str">
        <f t="shared" si="12"/>
        <v>1291.00.0000.00.0-205616.2.1.8.04.01.</v>
      </c>
      <c r="U434" t="e" cm="1">
        <f t="array" aca="1" ref="U434" ca="1">+IF(COMPROMISOS_2025[[#This Row],[P]]="20","41080111",_xlfn.XLOOKUP(COMPROMISOS_2025[[#This Row],[concatenado]],PAA[[#All],[RCP-RUBRO]],PAA[[#All],[INDICADOR]],"",0))</f>
        <v>#NAME?</v>
      </c>
      <c r="V434" s="144" t="str">
        <f t="shared" si="13"/>
        <v>00</v>
      </c>
      <c r="W434" s="136">
        <f>+COMPROMISOS_2025[[#This Row],[valor_total]]-COMPROMISOS_2025[[#This Row],[total_cancelado]]</f>
        <v>381599321</v>
      </c>
      <c r="X434" s="136">
        <f>COMPROMISOS_2025[[#This Row],[total_ordenes]]</f>
        <v>381599321</v>
      </c>
      <c r="Y434" t="str" cm="1">
        <f t="array" aca="1" ref="Y434" ca="1">IFERROR(_xlfn.XLOOKUP(COMPROMISOS_2025[[#This Row],[concatenado]],PAA[[#All],[RCP-RUBRO]],PAA[[#All],[Actividad3]],VLOOKUP(COMPROMISOS_2025[[#This Row],[Indicador Principal]],$AC$2:$AD$17,2,0),0),"")</f>
        <v/>
      </c>
    </row>
    <row r="435" spans="1:25" hidden="1" x14ac:dyDescent="0.25">
      <c r="A435">
        <v>428</v>
      </c>
      <c r="B435" t="s">
        <v>2830</v>
      </c>
      <c r="C435" t="s">
        <v>883</v>
      </c>
      <c r="D435" t="s">
        <v>1875</v>
      </c>
      <c r="E435" t="s">
        <v>2831</v>
      </c>
      <c r="F435">
        <v>317</v>
      </c>
      <c r="G435">
        <v>46</v>
      </c>
      <c r="H435" t="s">
        <v>180</v>
      </c>
      <c r="I435" t="s">
        <v>1873</v>
      </c>
      <c r="J435">
        <v>199215295</v>
      </c>
      <c r="K435">
        <v>2025</v>
      </c>
      <c r="L435">
        <v>9014651335</v>
      </c>
      <c r="M435" t="s">
        <v>1298</v>
      </c>
      <c r="N435" t="s">
        <v>1688</v>
      </c>
      <c r="O435" t="s">
        <v>1686</v>
      </c>
      <c r="P435">
        <v>0</v>
      </c>
      <c r="Q435">
        <v>0</v>
      </c>
      <c r="R435">
        <v>0</v>
      </c>
      <c r="S435">
        <v>199215295</v>
      </c>
      <c r="T435" t="str">
        <f t="shared" si="12"/>
        <v>4281.45.4501.04.0-205128.2.3.2.02.02.008.02.</v>
      </c>
      <c r="U435" t="e" cm="1">
        <f t="array" aca="1" ref="U435" ca="1">+IF(COMPROMISOS_2025[[#This Row],[P]]="20","41080111",_xlfn.XLOOKUP(COMPROMISOS_2025[[#This Row],[concatenado]],PAA[[#All],[RCP-RUBRO]],PAA[[#All],[INDICADOR]],"",0))</f>
        <v>#NAME?</v>
      </c>
      <c r="V435" s="144" t="str">
        <f t="shared" si="13"/>
        <v>04</v>
      </c>
      <c r="W435" s="136">
        <f>+COMPROMISOS_2025[[#This Row],[valor_total]]-COMPROMISOS_2025[[#This Row],[total_cancelado]]</f>
        <v>199215295</v>
      </c>
      <c r="X435" s="136">
        <f>COMPROMISOS_2025[[#This Row],[total_ordenes]]</f>
        <v>0</v>
      </c>
      <c r="Y435" t="str" cm="1">
        <f t="array" aca="1" ref="Y435" ca="1">IFERROR(_xlfn.XLOOKUP(COMPROMISOS_2025[[#This Row],[concatenado]],PAA[[#All],[RCP-RUBRO]],PAA[[#All],[Actividad3]],VLOOKUP(COMPROMISOS_2025[[#This Row],[Indicador Principal]],$AC$2:$AD$17,2,0),0),"")</f>
        <v/>
      </c>
    </row>
    <row r="436" spans="1:25" hidden="1" x14ac:dyDescent="0.25">
      <c r="A436">
        <v>1193</v>
      </c>
      <c r="B436" t="s">
        <v>2832</v>
      </c>
      <c r="C436" t="s">
        <v>883</v>
      </c>
      <c r="D436" t="s">
        <v>1872</v>
      </c>
      <c r="E436" t="s">
        <v>2833</v>
      </c>
      <c r="F436">
        <v>314</v>
      </c>
      <c r="G436">
        <v>46</v>
      </c>
      <c r="H436" t="s">
        <v>180</v>
      </c>
      <c r="I436" t="s">
        <v>1873</v>
      </c>
      <c r="J436">
        <v>90000000</v>
      </c>
      <c r="K436">
        <v>2025</v>
      </c>
      <c r="L436">
        <v>8600052894</v>
      </c>
      <c r="M436" t="s">
        <v>2834</v>
      </c>
      <c r="N436" t="s">
        <v>1688</v>
      </c>
      <c r="O436" t="s">
        <v>1686</v>
      </c>
      <c r="P436">
        <v>0</v>
      </c>
      <c r="Q436">
        <v>0</v>
      </c>
      <c r="R436">
        <v>0</v>
      </c>
      <c r="S436">
        <v>90000000</v>
      </c>
      <c r="T436" t="str">
        <f t="shared" si="12"/>
        <v>11931.45.4501.04.0-205128.2.3.2.02.02.008.02.</v>
      </c>
      <c r="U436" t="e" cm="1">
        <f t="array" aca="1" ref="U436" ca="1">+IF(COMPROMISOS_2025[[#This Row],[P]]="20","41080111",_xlfn.XLOOKUP(COMPROMISOS_2025[[#This Row],[concatenado]],PAA[[#All],[RCP-RUBRO]],PAA[[#All],[INDICADOR]],"",0))</f>
        <v>#NAME?</v>
      </c>
      <c r="V436" s="144" t="str">
        <f t="shared" si="13"/>
        <v>04</v>
      </c>
      <c r="W436" s="136">
        <f>+COMPROMISOS_2025[[#This Row],[valor_total]]-COMPROMISOS_2025[[#This Row],[total_cancelado]]</f>
        <v>90000000</v>
      </c>
      <c r="X436" s="136">
        <f>COMPROMISOS_2025[[#This Row],[total_ordenes]]</f>
        <v>0</v>
      </c>
      <c r="Y436" t="str" cm="1">
        <f t="array" aca="1" ref="Y436" ca="1">IFERROR(_xlfn.XLOOKUP(COMPROMISOS_2025[[#This Row],[concatenado]],PAA[[#All],[RCP-RUBRO]],PAA[[#All],[Actividad3]],VLOOKUP(COMPROMISOS_2025[[#This Row],[Indicador Principal]],$AC$2:$AD$17,2,0),0),"")</f>
        <v/>
      </c>
    </row>
    <row r="437" spans="1:25" hidden="1" x14ac:dyDescent="0.25">
      <c r="A437">
        <v>91</v>
      </c>
      <c r="B437" t="s">
        <v>2835</v>
      </c>
      <c r="C437" t="s">
        <v>883</v>
      </c>
      <c r="D437" t="s">
        <v>1880</v>
      </c>
      <c r="E437" t="s">
        <v>2836</v>
      </c>
      <c r="F437">
        <v>58</v>
      </c>
      <c r="G437">
        <v>47</v>
      </c>
      <c r="H437" t="s">
        <v>225</v>
      </c>
      <c r="I437" t="s">
        <v>1878</v>
      </c>
      <c r="J437">
        <v>55661320</v>
      </c>
      <c r="K437">
        <v>2025</v>
      </c>
      <c r="L437">
        <v>1017223580</v>
      </c>
      <c r="M437" t="s">
        <v>2837</v>
      </c>
      <c r="N437" t="s">
        <v>1688</v>
      </c>
      <c r="O437" t="s">
        <v>1686</v>
      </c>
      <c r="P437">
        <v>0</v>
      </c>
      <c r="Q437">
        <v>13539240</v>
      </c>
      <c r="R437">
        <v>0</v>
      </c>
      <c r="S437">
        <v>42122080</v>
      </c>
      <c r="T437" t="str">
        <f t="shared" si="12"/>
        <v>911.45.4599.77.0-101024.2.3.2.02.02.008.03.</v>
      </c>
      <c r="U437" t="e" cm="1">
        <f t="array" aca="1" ref="U437" ca="1">+IF(COMPROMISOS_2025[[#This Row],[P]]="20","41080111",_xlfn.XLOOKUP(COMPROMISOS_2025[[#This Row],[concatenado]],PAA[[#All],[RCP-RUBRO]],PAA[[#All],[INDICADOR]],"",0))</f>
        <v>#NAME?</v>
      </c>
      <c r="V437" s="144" t="str">
        <f t="shared" si="13"/>
        <v>77</v>
      </c>
      <c r="W437" s="136">
        <f>+COMPROMISOS_2025[[#This Row],[valor_total]]-COMPROMISOS_2025[[#This Row],[total_cancelado]]</f>
        <v>55661320</v>
      </c>
      <c r="X437" s="136">
        <f>COMPROMISOS_2025[[#This Row],[total_ordenes]]</f>
        <v>13539240</v>
      </c>
      <c r="Y437" t="str" cm="1">
        <f t="array" aca="1" ref="Y437" ca="1">IFERROR(_xlfn.XLOOKUP(COMPROMISOS_2025[[#This Row],[concatenado]],PAA[[#All],[RCP-RUBRO]],PAA[[#All],[Actividad3]],VLOOKUP(COMPROMISOS_2025[[#This Row],[Indicador Principal]],$AC$2:$AD$17,2,0),0),"")</f>
        <v/>
      </c>
    </row>
    <row r="438" spans="1:25" hidden="1" x14ac:dyDescent="0.25">
      <c r="A438">
        <v>97</v>
      </c>
      <c r="B438" t="s">
        <v>2838</v>
      </c>
      <c r="C438" t="s">
        <v>883</v>
      </c>
      <c r="D438" t="s">
        <v>1877</v>
      </c>
      <c r="E438" t="s">
        <v>2839</v>
      </c>
      <c r="F438">
        <v>57</v>
      </c>
      <c r="G438">
        <v>47</v>
      </c>
      <c r="H438" t="s">
        <v>225</v>
      </c>
      <c r="I438" t="s">
        <v>1878</v>
      </c>
      <c r="J438">
        <v>55661320</v>
      </c>
      <c r="K438">
        <v>2025</v>
      </c>
      <c r="L438">
        <v>436258947</v>
      </c>
      <c r="M438" t="s">
        <v>2840</v>
      </c>
      <c r="N438" t="s">
        <v>1688</v>
      </c>
      <c r="O438" t="s">
        <v>1686</v>
      </c>
      <c r="P438">
        <v>0</v>
      </c>
      <c r="Q438">
        <v>12787060</v>
      </c>
      <c r="R438">
        <v>0</v>
      </c>
      <c r="S438">
        <v>42874260</v>
      </c>
      <c r="T438" t="str">
        <f t="shared" si="12"/>
        <v>971.45.4599.77.0-101024.2.3.2.02.02.008.03.</v>
      </c>
      <c r="U438" t="e" cm="1">
        <f t="array" aca="1" ref="U438" ca="1">+IF(COMPROMISOS_2025[[#This Row],[P]]="20","41080111",_xlfn.XLOOKUP(COMPROMISOS_2025[[#This Row],[concatenado]],PAA[[#All],[RCP-RUBRO]],PAA[[#All],[INDICADOR]],"",0))</f>
        <v>#NAME?</v>
      </c>
      <c r="V438" s="144" t="str">
        <f t="shared" si="13"/>
        <v>77</v>
      </c>
      <c r="W438" s="136">
        <f>+COMPROMISOS_2025[[#This Row],[valor_total]]-COMPROMISOS_2025[[#This Row],[total_cancelado]]</f>
        <v>55661320</v>
      </c>
      <c r="X438" s="136">
        <f>COMPROMISOS_2025[[#This Row],[total_ordenes]]</f>
        <v>12787060</v>
      </c>
      <c r="Y438" t="str" cm="1">
        <f t="array" aca="1" ref="Y438" ca="1">IFERROR(_xlfn.XLOOKUP(COMPROMISOS_2025[[#This Row],[concatenado]],PAA[[#All],[RCP-RUBRO]],PAA[[#All],[Actividad3]],VLOOKUP(COMPROMISOS_2025[[#This Row],[Indicador Principal]],$AC$2:$AD$17,2,0),0),"")</f>
        <v/>
      </c>
    </row>
    <row r="439" spans="1:25" hidden="1" x14ac:dyDescent="0.25">
      <c r="A439">
        <v>2870</v>
      </c>
      <c r="B439" t="s">
        <v>2841</v>
      </c>
      <c r="C439" t="s">
        <v>883</v>
      </c>
      <c r="D439" t="s">
        <v>1882</v>
      </c>
      <c r="E439" t="s">
        <v>2842</v>
      </c>
      <c r="F439">
        <v>404</v>
      </c>
      <c r="G439">
        <v>47</v>
      </c>
      <c r="H439" t="s">
        <v>225</v>
      </c>
      <c r="I439" t="s">
        <v>1878</v>
      </c>
      <c r="J439">
        <v>10436552</v>
      </c>
      <c r="K439">
        <v>2025</v>
      </c>
      <c r="L439">
        <v>10376447331</v>
      </c>
      <c r="M439" t="s">
        <v>2843</v>
      </c>
      <c r="N439" t="s">
        <v>1688</v>
      </c>
      <c r="O439" t="s">
        <v>1686</v>
      </c>
      <c r="P439">
        <v>0</v>
      </c>
      <c r="Q439">
        <v>2757993</v>
      </c>
      <c r="R439">
        <v>0</v>
      </c>
      <c r="S439">
        <v>7678559</v>
      </c>
      <c r="T439" t="str">
        <f t="shared" si="12"/>
        <v>28701.45.4599.77.0-101024.2.3.2.02.02.008.03.</v>
      </c>
      <c r="U439" t="e" cm="1">
        <f t="array" aca="1" ref="U439" ca="1">+IF(COMPROMISOS_2025[[#This Row],[P]]="20","41080111",_xlfn.XLOOKUP(COMPROMISOS_2025[[#This Row],[concatenado]],PAA[[#All],[RCP-RUBRO]],PAA[[#All],[INDICADOR]],"",0))</f>
        <v>#NAME?</v>
      </c>
      <c r="V439" s="144" t="str">
        <f t="shared" si="13"/>
        <v>77</v>
      </c>
      <c r="W439" s="136">
        <f>+COMPROMISOS_2025[[#This Row],[valor_total]]-COMPROMISOS_2025[[#This Row],[total_cancelado]]</f>
        <v>10436552</v>
      </c>
      <c r="X439" s="136">
        <f>COMPROMISOS_2025[[#This Row],[total_ordenes]]</f>
        <v>2757993</v>
      </c>
      <c r="Y439" t="str" cm="1">
        <f t="array" aca="1" ref="Y439" ca="1">IFERROR(_xlfn.XLOOKUP(COMPROMISOS_2025[[#This Row],[concatenado]],PAA[[#All],[RCP-RUBRO]],PAA[[#All],[Actividad3]],VLOOKUP(COMPROMISOS_2025[[#This Row],[Indicador Principal]],$AC$2:$AD$17,2,0),0),"")</f>
        <v/>
      </c>
    </row>
    <row r="440" spans="1:25" hidden="1" x14ac:dyDescent="0.25">
      <c r="A440">
        <v>92</v>
      </c>
      <c r="B440" t="s">
        <v>2844</v>
      </c>
      <c r="C440" t="s">
        <v>883</v>
      </c>
      <c r="D440" t="s">
        <v>1886</v>
      </c>
      <c r="E440" t="s">
        <v>2845</v>
      </c>
      <c r="F440">
        <v>60</v>
      </c>
      <c r="G440">
        <v>49</v>
      </c>
      <c r="H440" t="s">
        <v>234</v>
      </c>
      <c r="I440" t="s">
        <v>1885</v>
      </c>
      <c r="J440">
        <v>70841680</v>
      </c>
      <c r="K440">
        <v>2025</v>
      </c>
      <c r="L440">
        <v>11284309867</v>
      </c>
      <c r="M440" t="s">
        <v>2846</v>
      </c>
      <c r="N440" t="s">
        <v>1688</v>
      </c>
      <c r="O440" t="s">
        <v>1686</v>
      </c>
      <c r="P440">
        <v>0</v>
      </c>
      <c r="Q440">
        <v>16274440</v>
      </c>
      <c r="R440">
        <v>0</v>
      </c>
      <c r="S440">
        <v>54567240</v>
      </c>
      <c r="T440" t="str">
        <f t="shared" si="12"/>
        <v>921.45.4599.77.0-205128.2.3.2.02.02.008.04.</v>
      </c>
      <c r="U440" t="e" cm="1">
        <f t="array" aca="1" ref="U440" ca="1">+IF(COMPROMISOS_2025[[#This Row],[P]]="20","41080111",_xlfn.XLOOKUP(COMPROMISOS_2025[[#This Row],[concatenado]],PAA[[#All],[RCP-RUBRO]],PAA[[#All],[INDICADOR]],"",0))</f>
        <v>#NAME?</v>
      </c>
      <c r="V440" s="144" t="str">
        <f t="shared" si="13"/>
        <v>77</v>
      </c>
      <c r="W440" s="136">
        <f>+COMPROMISOS_2025[[#This Row],[valor_total]]-COMPROMISOS_2025[[#This Row],[total_cancelado]]</f>
        <v>70841680</v>
      </c>
      <c r="X440" s="136">
        <f>COMPROMISOS_2025[[#This Row],[total_ordenes]]</f>
        <v>16274440</v>
      </c>
      <c r="Y440" t="str" cm="1">
        <f t="array" aca="1" ref="Y440" ca="1">IFERROR(_xlfn.XLOOKUP(COMPROMISOS_2025[[#This Row],[concatenado]],PAA[[#All],[RCP-RUBRO]],PAA[[#All],[Actividad3]],VLOOKUP(COMPROMISOS_2025[[#This Row],[Indicador Principal]],$AC$2:$AD$17,2,0),0),"")</f>
        <v/>
      </c>
    </row>
    <row r="441" spans="1:25" hidden="1" x14ac:dyDescent="0.25">
      <c r="A441">
        <v>101</v>
      </c>
      <c r="B441" t="s">
        <v>2847</v>
      </c>
      <c r="C441" t="s">
        <v>883</v>
      </c>
      <c r="D441" t="s">
        <v>1884</v>
      </c>
      <c r="E441" t="s">
        <v>2848</v>
      </c>
      <c r="F441">
        <v>59</v>
      </c>
      <c r="G441">
        <v>49</v>
      </c>
      <c r="H441" t="s">
        <v>234</v>
      </c>
      <c r="I441" t="s">
        <v>1885</v>
      </c>
      <c r="J441">
        <v>55661320</v>
      </c>
      <c r="K441">
        <v>2025</v>
      </c>
      <c r="L441">
        <v>10369668945</v>
      </c>
      <c r="M441" t="s">
        <v>2849</v>
      </c>
      <c r="N441" t="s">
        <v>1688</v>
      </c>
      <c r="O441" t="s">
        <v>1686</v>
      </c>
      <c r="P441">
        <v>0</v>
      </c>
      <c r="Q441">
        <v>12787060</v>
      </c>
      <c r="R441">
        <v>0</v>
      </c>
      <c r="S441">
        <v>42874260</v>
      </c>
      <c r="T441" t="str">
        <f t="shared" si="12"/>
        <v>1011.45.4599.77.0-205128.2.3.2.02.02.008.04.</v>
      </c>
      <c r="U441" t="e" cm="1">
        <f t="array" aca="1" ref="U441" ca="1">+IF(COMPROMISOS_2025[[#This Row],[P]]="20","41080111",_xlfn.XLOOKUP(COMPROMISOS_2025[[#This Row],[concatenado]],PAA[[#All],[RCP-RUBRO]],PAA[[#All],[INDICADOR]],"",0))</f>
        <v>#NAME?</v>
      </c>
      <c r="V441" s="144" t="str">
        <f t="shared" si="13"/>
        <v>77</v>
      </c>
      <c r="W441" s="136">
        <f>+COMPROMISOS_2025[[#This Row],[valor_total]]-COMPROMISOS_2025[[#This Row],[total_cancelado]]</f>
        <v>55661320</v>
      </c>
      <c r="X441" s="136">
        <f>COMPROMISOS_2025[[#This Row],[total_ordenes]]</f>
        <v>12787060</v>
      </c>
      <c r="Y441" t="str" cm="1">
        <f t="array" aca="1" ref="Y441" ca="1">IFERROR(_xlfn.XLOOKUP(COMPROMISOS_2025[[#This Row],[concatenado]],PAA[[#All],[RCP-RUBRO]],PAA[[#All],[Actividad3]],VLOOKUP(COMPROMISOS_2025[[#This Row],[Indicador Principal]],$AC$2:$AD$17,2,0),0),"")</f>
        <v/>
      </c>
    </row>
    <row r="442" spans="1:25" hidden="1" x14ac:dyDescent="0.25">
      <c r="A442">
        <v>2870</v>
      </c>
      <c r="B442" t="s">
        <v>2841</v>
      </c>
      <c r="C442" t="s">
        <v>883</v>
      </c>
      <c r="D442" t="s">
        <v>1882</v>
      </c>
      <c r="E442" t="s">
        <v>2842</v>
      </c>
      <c r="F442">
        <v>404</v>
      </c>
      <c r="G442">
        <v>49</v>
      </c>
      <c r="H442" t="s">
        <v>234</v>
      </c>
      <c r="I442" t="s">
        <v>1885</v>
      </c>
      <c r="J442">
        <v>27172448</v>
      </c>
      <c r="K442">
        <v>2025</v>
      </c>
      <c r="L442">
        <v>10376447331</v>
      </c>
      <c r="M442" t="s">
        <v>2843</v>
      </c>
      <c r="N442" t="s">
        <v>1688</v>
      </c>
      <c r="O442" t="s">
        <v>1686</v>
      </c>
      <c r="P442">
        <v>0</v>
      </c>
      <c r="Q442">
        <v>0</v>
      </c>
      <c r="R442">
        <v>0</v>
      </c>
      <c r="S442">
        <v>27172448</v>
      </c>
      <c r="T442" t="str">
        <f t="shared" si="12"/>
        <v>28701.45.4599.77.0-205128.2.3.2.02.02.008.04.</v>
      </c>
      <c r="U442" t="e" cm="1">
        <f t="array" aca="1" ref="U442" ca="1">+IF(COMPROMISOS_2025[[#This Row],[P]]="20","41080111",_xlfn.XLOOKUP(COMPROMISOS_2025[[#This Row],[concatenado]],PAA[[#All],[RCP-RUBRO]],PAA[[#All],[INDICADOR]],"",0))</f>
        <v>#NAME?</v>
      </c>
      <c r="V442" s="144" t="str">
        <f t="shared" si="13"/>
        <v>77</v>
      </c>
      <c r="W442" s="136">
        <f>+COMPROMISOS_2025[[#This Row],[valor_total]]-COMPROMISOS_2025[[#This Row],[total_cancelado]]</f>
        <v>27172448</v>
      </c>
      <c r="X442" s="136">
        <f>COMPROMISOS_2025[[#This Row],[total_ordenes]]</f>
        <v>0</v>
      </c>
      <c r="Y442" t="str" cm="1">
        <f t="array" aca="1" ref="Y442" ca="1">IFERROR(_xlfn.XLOOKUP(COMPROMISOS_2025[[#This Row],[concatenado]],PAA[[#All],[RCP-RUBRO]],PAA[[#All],[Actividad3]],VLOOKUP(COMPROMISOS_2025[[#This Row],[Indicador Principal]],$AC$2:$AD$17,2,0),0),"")</f>
        <v/>
      </c>
    </row>
    <row r="443" spans="1:25" hidden="1" x14ac:dyDescent="0.25">
      <c r="A443">
        <v>99</v>
      </c>
      <c r="B443" t="s">
        <v>2850</v>
      </c>
      <c r="C443" t="s">
        <v>883</v>
      </c>
      <c r="D443" t="s">
        <v>1888</v>
      </c>
      <c r="E443" t="s">
        <v>2851</v>
      </c>
      <c r="F443">
        <v>11</v>
      </c>
      <c r="G443">
        <v>50</v>
      </c>
      <c r="H443" t="s">
        <v>680</v>
      </c>
      <c r="I443" t="s">
        <v>1889</v>
      </c>
      <c r="J443">
        <v>20103720</v>
      </c>
      <c r="K443">
        <v>2025</v>
      </c>
      <c r="L443">
        <v>12147283402</v>
      </c>
      <c r="M443" t="s">
        <v>2852</v>
      </c>
      <c r="N443" t="s">
        <v>1688</v>
      </c>
      <c r="O443" t="s">
        <v>1686</v>
      </c>
      <c r="P443">
        <v>0</v>
      </c>
      <c r="Q443">
        <v>7977667</v>
      </c>
      <c r="R443">
        <v>0</v>
      </c>
      <c r="S443">
        <v>12126053</v>
      </c>
      <c r="T443" t="str">
        <f t="shared" si="12"/>
        <v>991.45.4599.77.0-205128.2.3.2.02.02.008.05.</v>
      </c>
      <c r="U443" t="e" cm="1">
        <f t="array" aca="1" ref="U443" ca="1">+IF(COMPROMISOS_2025[[#This Row],[P]]="20","41080111",_xlfn.XLOOKUP(COMPROMISOS_2025[[#This Row],[concatenado]],PAA[[#All],[RCP-RUBRO]],PAA[[#All],[INDICADOR]],"",0))</f>
        <v>#NAME?</v>
      </c>
      <c r="V443" s="144" t="str">
        <f t="shared" si="13"/>
        <v>77</v>
      </c>
      <c r="W443" s="136">
        <f>+COMPROMISOS_2025[[#This Row],[valor_total]]-COMPROMISOS_2025[[#This Row],[total_cancelado]]</f>
        <v>20103720</v>
      </c>
      <c r="X443" s="136">
        <f>COMPROMISOS_2025[[#This Row],[total_ordenes]]</f>
        <v>7977667</v>
      </c>
      <c r="Y443" t="str" cm="1">
        <f t="array" aca="1" ref="Y443" ca="1">IFERROR(_xlfn.XLOOKUP(COMPROMISOS_2025[[#This Row],[concatenado]],PAA[[#All],[RCP-RUBRO]],PAA[[#All],[Actividad3]],VLOOKUP(COMPROMISOS_2025[[#This Row],[Indicador Principal]],$AC$2:$AD$17,2,0),0),"")</f>
        <v/>
      </c>
    </row>
    <row r="444" spans="1:25" hidden="1" x14ac:dyDescent="0.25">
      <c r="A444">
        <v>118</v>
      </c>
      <c r="B444" t="s">
        <v>2853</v>
      </c>
      <c r="C444" t="s">
        <v>883</v>
      </c>
      <c r="D444" t="s">
        <v>1891</v>
      </c>
      <c r="E444" t="s">
        <v>2854</v>
      </c>
      <c r="F444">
        <v>12</v>
      </c>
      <c r="G444">
        <v>50</v>
      </c>
      <c r="H444" t="s">
        <v>680</v>
      </c>
      <c r="I444" t="s">
        <v>1889</v>
      </c>
      <c r="J444">
        <v>34600280</v>
      </c>
      <c r="K444">
        <v>2025</v>
      </c>
      <c r="L444">
        <v>11284703608</v>
      </c>
      <c r="M444" t="s">
        <v>2855</v>
      </c>
      <c r="N444" t="s">
        <v>1688</v>
      </c>
      <c r="O444" t="s">
        <v>1686</v>
      </c>
      <c r="P444">
        <v>0</v>
      </c>
      <c r="Q444">
        <v>12034880</v>
      </c>
      <c r="R444">
        <v>0</v>
      </c>
      <c r="S444">
        <v>22565400</v>
      </c>
      <c r="T444" t="str">
        <f t="shared" si="12"/>
        <v>1181.45.4599.77.0-205128.2.3.2.02.02.008.05.</v>
      </c>
      <c r="U444" t="e" cm="1">
        <f t="array" aca="1" ref="U444" ca="1">+IF(COMPROMISOS_2025[[#This Row],[P]]="20","41080111",_xlfn.XLOOKUP(COMPROMISOS_2025[[#This Row],[concatenado]],PAA[[#All],[RCP-RUBRO]],PAA[[#All],[INDICADOR]],"",0))</f>
        <v>#NAME?</v>
      </c>
      <c r="V444" s="144" t="str">
        <f t="shared" si="13"/>
        <v>77</v>
      </c>
      <c r="W444" s="136">
        <f>+COMPROMISOS_2025[[#This Row],[valor_total]]-COMPROMISOS_2025[[#This Row],[total_cancelado]]</f>
        <v>34600280</v>
      </c>
      <c r="X444" s="136">
        <f>COMPROMISOS_2025[[#This Row],[total_ordenes]]</f>
        <v>12034880</v>
      </c>
      <c r="Y444" t="str" cm="1">
        <f t="array" aca="1" ref="Y444" ca="1">IFERROR(_xlfn.XLOOKUP(COMPROMISOS_2025[[#This Row],[concatenado]],PAA[[#All],[RCP-RUBRO]],PAA[[#All],[Actividad3]],VLOOKUP(COMPROMISOS_2025[[#This Row],[Indicador Principal]],$AC$2:$AD$17,2,0),0),"")</f>
        <v/>
      </c>
    </row>
    <row r="445" spans="1:25" hidden="1" x14ac:dyDescent="0.25">
      <c r="A445">
        <v>153</v>
      </c>
      <c r="B445" t="s">
        <v>2856</v>
      </c>
      <c r="C445" t="s">
        <v>883</v>
      </c>
      <c r="D445" t="s">
        <v>1902</v>
      </c>
      <c r="E445" t="s">
        <v>2857</v>
      </c>
      <c r="F445">
        <v>316</v>
      </c>
      <c r="G445">
        <v>50</v>
      </c>
      <c r="H445" t="s">
        <v>680</v>
      </c>
      <c r="I445" t="s">
        <v>1889</v>
      </c>
      <c r="J445">
        <v>34600280</v>
      </c>
      <c r="K445">
        <v>2025</v>
      </c>
      <c r="L445">
        <v>1152195916</v>
      </c>
      <c r="M445" t="s">
        <v>2858</v>
      </c>
      <c r="N445" t="s">
        <v>1688</v>
      </c>
      <c r="O445" t="s">
        <v>1686</v>
      </c>
      <c r="P445">
        <v>0</v>
      </c>
      <c r="Q445">
        <v>10029067</v>
      </c>
      <c r="R445">
        <v>0</v>
      </c>
      <c r="S445">
        <v>24571213</v>
      </c>
      <c r="T445" t="str">
        <f t="shared" si="12"/>
        <v>1531.45.4599.77.0-205128.2.3.2.02.02.008.05.</v>
      </c>
      <c r="U445" t="e" cm="1">
        <f t="array" aca="1" ref="U445" ca="1">+IF(COMPROMISOS_2025[[#This Row],[P]]="20","41080111",_xlfn.XLOOKUP(COMPROMISOS_2025[[#This Row],[concatenado]],PAA[[#All],[RCP-RUBRO]],PAA[[#All],[INDICADOR]],"",0))</f>
        <v>#NAME?</v>
      </c>
      <c r="V445" s="144" t="str">
        <f t="shared" si="13"/>
        <v>77</v>
      </c>
      <c r="W445" s="136">
        <f>+COMPROMISOS_2025[[#This Row],[valor_total]]-COMPROMISOS_2025[[#This Row],[total_cancelado]]</f>
        <v>34600280</v>
      </c>
      <c r="X445" s="136">
        <f>COMPROMISOS_2025[[#This Row],[total_ordenes]]</f>
        <v>10029067</v>
      </c>
      <c r="Y445" t="str" cm="1">
        <f t="array" aca="1" ref="Y445" ca="1">IFERROR(_xlfn.XLOOKUP(COMPROMISOS_2025[[#This Row],[concatenado]],PAA[[#All],[RCP-RUBRO]],PAA[[#All],[Actividad3]],VLOOKUP(COMPROMISOS_2025[[#This Row],[Indicador Principal]],$AC$2:$AD$17,2,0),0),"")</f>
        <v/>
      </c>
    </row>
    <row r="446" spans="1:25" hidden="1" x14ac:dyDescent="0.25">
      <c r="A446">
        <v>437</v>
      </c>
      <c r="B446" t="s">
        <v>2859</v>
      </c>
      <c r="C446" t="s">
        <v>883</v>
      </c>
      <c r="D446" t="s">
        <v>1900</v>
      </c>
      <c r="E446" t="s">
        <v>2860</v>
      </c>
      <c r="F446">
        <v>305</v>
      </c>
      <c r="G446">
        <v>50</v>
      </c>
      <c r="H446" t="s">
        <v>680</v>
      </c>
      <c r="I446" t="s">
        <v>1889</v>
      </c>
      <c r="J446">
        <v>233927172</v>
      </c>
      <c r="K446">
        <v>2025</v>
      </c>
      <c r="L446">
        <v>8001674944</v>
      </c>
      <c r="M446" t="s">
        <v>2861</v>
      </c>
      <c r="N446" t="s">
        <v>1688</v>
      </c>
      <c r="O446" t="s">
        <v>1686</v>
      </c>
      <c r="P446">
        <v>0</v>
      </c>
      <c r="Q446">
        <v>0</v>
      </c>
      <c r="R446">
        <v>0</v>
      </c>
      <c r="S446">
        <v>233927172</v>
      </c>
      <c r="T446" t="str">
        <f t="shared" si="12"/>
        <v>4371.45.4599.77.0-205128.2.3.2.02.02.008.05.</v>
      </c>
      <c r="U446" t="e" cm="1">
        <f t="array" aca="1" ref="U446" ca="1">+IF(COMPROMISOS_2025[[#This Row],[P]]="20","41080111",_xlfn.XLOOKUP(COMPROMISOS_2025[[#This Row],[concatenado]],PAA[[#All],[RCP-RUBRO]],PAA[[#All],[INDICADOR]],"",0))</f>
        <v>#NAME?</v>
      </c>
      <c r="V446" s="144" t="str">
        <f t="shared" si="13"/>
        <v>77</v>
      </c>
      <c r="W446" s="136">
        <f>+COMPROMISOS_2025[[#This Row],[valor_total]]-COMPROMISOS_2025[[#This Row],[total_cancelado]]</f>
        <v>233927172</v>
      </c>
      <c r="X446" s="136">
        <f>COMPROMISOS_2025[[#This Row],[total_ordenes]]</f>
        <v>0</v>
      </c>
      <c r="Y446" t="str" cm="1">
        <f t="array" aca="1" ref="Y446" ca="1">IFERROR(_xlfn.XLOOKUP(COMPROMISOS_2025[[#This Row],[concatenado]],PAA[[#All],[RCP-RUBRO]],PAA[[#All],[Actividad3]],VLOOKUP(COMPROMISOS_2025[[#This Row],[Indicador Principal]],$AC$2:$AD$17,2,0),0),"")</f>
        <v/>
      </c>
    </row>
    <row r="447" spans="1:25" hidden="1" x14ac:dyDescent="0.25">
      <c r="A447">
        <v>442</v>
      </c>
      <c r="B447" t="s">
        <v>2862</v>
      </c>
      <c r="C447" t="s">
        <v>883</v>
      </c>
      <c r="D447" t="s">
        <v>1896</v>
      </c>
      <c r="E447" t="s">
        <v>2863</v>
      </c>
      <c r="F447">
        <v>64</v>
      </c>
      <c r="G447">
        <v>50</v>
      </c>
      <c r="H447" t="s">
        <v>680</v>
      </c>
      <c r="I447" t="s">
        <v>1889</v>
      </c>
      <c r="J447">
        <v>176682395</v>
      </c>
      <c r="K447">
        <v>2025</v>
      </c>
      <c r="L447">
        <v>9000923859</v>
      </c>
      <c r="M447" t="s">
        <v>2773</v>
      </c>
      <c r="N447" t="s">
        <v>1688</v>
      </c>
      <c r="O447" t="s">
        <v>1686</v>
      </c>
      <c r="P447">
        <v>0</v>
      </c>
      <c r="Q447">
        <v>0</v>
      </c>
      <c r="R447">
        <v>0</v>
      </c>
      <c r="S447">
        <v>176682395</v>
      </c>
      <c r="T447" t="str">
        <f t="shared" si="12"/>
        <v>4421.45.4599.77.0-205128.2.3.2.02.02.008.05.</v>
      </c>
      <c r="U447" t="e" cm="1">
        <f t="array" aca="1" ref="U447" ca="1">+IF(COMPROMISOS_2025[[#This Row],[P]]="20","41080111",_xlfn.XLOOKUP(COMPROMISOS_2025[[#This Row],[concatenado]],PAA[[#All],[RCP-RUBRO]],PAA[[#All],[INDICADOR]],"",0))</f>
        <v>#NAME?</v>
      </c>
      <c r="V447" s="144" t="str">
        <f t="shared" si="13"/>
        <v>77</v>
      </c>
      <c r="W447" s="136">
        <f>+COMPROMISOS_2025[[#This Row],[valor_total]]-COMPROMISOS_2025[[#This Row],[total_cancelado]]</f>
        <v>176682395</v>
      </c>
      <c r="X447" s="136">
        <f>COMPROMISOS_2025[[#This Row],[total_ordenes]]</f>
        <v>0</v>
      </c>
      <c r="Y447" t="str" cm="1">
        <f t="array" aca="1" ref="Y447" ca="1">IFERROR(_xlfn.XLOOKUP(COMPROMISOS_2025[[#This Row],[concatenado]],PAA[[#All],[RCP-RUBRO]],PAA[[#All],[Actividad3]],VLOOKUP(COMPROMISOS_2025[[#This Row],[Indicador Principal]],$AC$2:$AD$17,2,0),0),"")</f>
        <v/>
      </c>
    </row>
    <row r="448" spans="1:25" hidden="1" x14ac:dyDescent="0.25">
      <c r="A448">
        <v>1189</v>
      </c>
      <c r="B448" t="s">
        <v>2864</v>
      </c>
      <c r="C448" t="s">
        <v>883</v>
      </c>
      <c r="D448" t="s">
        <v>1898</v>
      </c>
      <c r="E448" t="s">
        <v>2865</v>
      </c>
      <c r="F448">
        <v>65</v>
      </c>
      <c r="G448">
        <v>50</v>
      </c>
      <c r="H448" t="s">
        <v>680</v>
      </c>
      <c r="I448" t="s">
        <v>1889</v>
      </c>
      <c r="J448">
        <v>43109912</v>
      </c>
      <c r="K448">
        <v>2025</v>
      </c>
      <c r="L448">
        <v>8002406602</v>
      </c>
      <c r="M448" t="s">
        <v>2866</v>
      </c>
      <c r="N448" t="s">
        <v>1688</v>
      </c>
      <c r="O448" t="s">
        <v>1686</v>
      </c>
      <c r="P448">
        <v>0</v>
      </c>
      <c r="Q448">
        <v>0</v>
      </c>
      <c r="R448">
        <v>0</v>
      </c>
      <c r="S448">
        <v>43109912</v>
      </c>
      <c r="T448" t="str">
        <f t="shared" si="12"/>
        <v>11891.45.4599.77.0-205128.2.3.2.02.02.008.05.</v>
      </c>
      <c r="U448" t="e" cm="1">
        <f t="array" aca="1" ref="U448" ca="1">+IF(COMPROMISOS_2025[[#This Row],[P]]="20","41080111",_xlfn.XLOOKUP(COMPROMISOS_2025[[#This Row],[concatenado]],PAA[[#All],[RCP-RUBRO]],PAA[[#All],[INDICADOR]],"",0))</f>
        <v>#NAME?</v>
      </c>
      <c r="V448" s="144" t="str">
        <f t="shared" si="13"/>
        <v>77</v>
      </c>
      <c r="W448" s="136">
        <f>+COMPROMISOS_2025[[#This Row],[valor_total]]-COMPROMISOS_2025[[#This Row],[total_cancelado]]</f>
        <v>43109912</v>
      </c>
      <c r="X448" s="136">
        <f>COMPROMISOS_2025[[#This Row],[total_ordenes]]</f>
        <v>0</v>
      </c>
      <c r="Y448" t="str" cm="1">
        <f t="array" aca="1" ref="Y448" ca="1">IFERROR(_xlfn.XLOOKUP(COMPROMISOS_2025[[#This Row],[concatenado]],PAA[[#All],[RCP-RUBRO]],PAA[[#All],[Actividad3]],VLOOKUP(COMPROMISOS_2025[[#This Row],[Indicador Principal]],$AC$2:$AD$17,2,0),0),"")</f>
        <v/>
      </c>
    </row>
    <row r="449" spans="1:25" hidden="1" x14ac:dyDescent="0.25">
      <c r="A449">
        <v>2855</v>
      </c>
      <c r="B449" t="s">
        <v>2867</v>
      </c>
      <c r="C449" t="s">
        <v>883</v>
      </c>
      <c r="D449" t="s">
        <v>1903</v>
      </c>
      <c r="E449" t="s">
        <v>2868</v>
      </c>
      <c r="F449">
        <v>384</v>
      </c>
      <c r="G449">
        <v>50</v>
      </c>
      <c r="H449" t="s">
        <v>680</v>
      </c>
      <c r="I449" t="s">
        <v>1889</v>
      </c>
      <c r="J449">
        <v>34600280</v>
      </c>
      <c r="K449">
        <v>2025</v>
      </c>
      <c r="L449">
        <v>71582555</v>
      </c>
      <c r="M449" t="s">
        <v>2869</v>
      </c>
      <c r="N449" t="s">
        <v>1688</v>
      </c>
      <c r="O449" t="s">
        <v>1686</v>
      </c>
      <c r="P449">
        <v>0</v>
      </c>
      <c r="Q449">
        <v>3510173</v>
      </c>
      <c r="R449">
        <v>0</v>
      </c>
      <c r="S449">
        <v>31090107</v>
      </c>
      <c r="T449" t="str">
        <f t="shared" si="12"/>
        <v>28551.45.4599.77.0-205128.2.3.2.02.02.008.05.</v>
      </c>
      <c r="U449" t="e" cm="1">
        <f t="array" aca="1" ref="U449" ca="1">+IF(COMPROMISOS_2025[[#This Row],[P]]="20","41080111",_xlfn.XLOOKUP(COMPROMISOS_2025[[#This Row],[concatenado]],PAA[[#All],[RCP-RUBRO]],PAA[[#All],[INDICADOR]],"",0))</f>
        <v>#NAME?</v>
      </c>
      <c r="V449" s="144" t="str">
        <f t="shared" si="13"/>
        <v>77</v>
      </c>
      <c r="W449" s="136">
        <f>+COMPROMISOS_2025[[#This Row],[valor_total]]-COMPROMISOS_2025[[#This Row],[total_cancelado]]</f>
        <v>34600280</v>
      </c>
      <c r="X449" s="136">
        <f>COMPROMISOS_2025[[#This Row],[total_ordenes]]</f>
        <v>3510173</v>
      </c>
      <c r="Y449" t="str" cm="1">
        <f t="array" aca="1" ref="Y449" ca="1">IFERROR(_xlfn.XLOOKUP(COMPROMISOS_2025[[#This Row],[concatenado]],PAA[[#All],[RCP-RUBRO]],PAA[[#All],[Actividad3]],VLOOKUP(COMPROMISOS_2025[[#This Row],[Indicador Principal]],$AC$2:$AD$17,2,0),0),"")</f>
        <v/>
      </c>
    </row>
    <row r="450" spans="1:25" hidden="1" x14ac:dyDescent="0.25">
      <c r="A450">
        <v>2866</v>
      </c>
      <c r="B450" t="s">
        <v>2870</v>
      </c>
      <c r="C450" t="s">
        <v>883</v>
      </c>
      <c r="D450" t="s">
        <v>1905</v>
      </c>
      <c r="E450" t="s">
        <v>2871</v>
      </c>
      <c r="F450">
        <v>389</v>
      </c>
      <c r="G450">
        <v>50</v>
      </c>
      <c r="H450" t="s">
        <v>680</v>
      </c>
      <c r="I450" t="s">
        <v>1889</v>
      </c>
      <c r="J450">
        <v>52151147</v>
      </c>
      <c r="K450">
        <v>2025</v>
      </c>
      <c r="L450">
        <v>437467228</v>
      </c>
      <c r="M450" t="s">
        <v>2872</v>
      </c>
      <c r="N450" t="s">
        <v>1688</v>
      </c>
      <c r="O450" t="s">
        <v>1686</v>
      </c>
      <c r="P450">
        <v>0</v>
      </c>
      <c r="Q450">
        <v>0</v>
      </c>
      <c r="R450">
        <v>0</v>
      </c>
      <c r="S450">
        <v>52151147</v>
      </c>
      <c r="T450" t="str">
        <f t="shared" ref="T450:T513" si="14">IF(A450&gt;=0,CONCATENATE(A450,H450),"")</f>
        <v>28661.45.4599.77.0-205128.2.3.2.02.02.008.05.</v>
      </c>
      <c r="U450" t="e" cm="1">
        <f t="array" aca="1" ref="U450" ca="1">+IF(COMPROMISOS_2025[[#This Row],[P]]="20","41080111",_xlfn.XLOOKUP(COMPROMISOS_2025[[#This Row],[concatenado]],PAA[[#All],[RCP-RUBRO]],PAA[[#All],[INDICADOR]],"",0))</f>
        <v>#NAME?</v>
      </c>
      <c r="V450" s="144" t="str">
        <f t="shared" ref="V450:V513" si="15">+MID(H450,11,2)</f>
        <v>77</v>
      </c>
      <c r="W450" s="136">
        <f>+COMPROMISOS_2025[[#This Row],[valor_total]]-COMPROMISOS_2025[[#This Row],[total_cancelado]]</f>
        <v>52151147</v>
      </c>
      <c r="X450" s="136">
        <f>COMPROMISOS_2025[[#This Row],[total_ordenes]]</f>
        <v>0</v>
      </c>
      <c r="Y450" t="str" cm="1">
        <f t="array" aca="1" ref="Y450" ca="1">IFERROR(_xlfn.XLOOKUP(COMPROMISOS_2025[[#This Row],[concatenado]],PAA[[#All],[RCP-RUBRO]],PAA[[#All],[Actividad3]],VLOOKUP(COMPROMISOS_2025[[#This Row],[Indicador Principal]],$AC$2:$AD$17,2,0),0),"")</f>
        <v/>
      </c>
    </row>
    <row r="451" spans="1:25" hidden="1" x14ac:dyDescent="0.25">
      <c r="A451">
        <v>3</v>
      </c>
      <c r="B451" t="s">
        <v>2873</v>
      </c>
      <c r="C451" t="s">
        <v>883</v>
      </c>
      <c r="D451" t="s">
        <v>1913</v>
      </c>
      <c r="E451" t="s">
        <v>2874</v>
      </c>
      <c r="F451">
        <v>1</v>
      </c>
      <c r="G451">
        <v>51</v>
      </c>
      <c r="H451" t="s">
        <v>698</v>
      </c>
      <c r="I451" t="s">
        <v>1914</v>
      </c>
      <c r="J451">
        <v>80272162</v>
      </c>
      <c r="K451">
        <v>2025</v>
      </c>
      <c r="L451">
        <v>9000923859</v>
      </c>
      <c r="M451" t="s">
        <v>2773</v>
      </c>
      <c r="N451" t="s">
        <v>1688</v>
      </c>
      <c r="O451" t="s">
        <v>1686</v>
      </c>
      <c r="P451">
        <v>0</v>
      </c>
      <c r="Q451">
        <v>78898266</v>
      </c>
      <c r="R451">
        <v>0</v>
      </c>
      <c r="S451">
        <v>1373896</v>
      </c>
      <c r="T451" t="str">
        <f t="shared" si="14"/>
        <v>31.45.4599.77.0-205128.2.3.2.02.02.008.06.</v>
      </c>
      <c r="U451" t="e" cm="1">
        <f t="array" aca="1" ref="U451" ca="1">+IF(COMPROMISOS_2025[[#This Row],[P]]="20","41080111",_xlfn.XLOOKUP(COMPROMISOS_2025[[#This Row],[concatenado]],PAA[[#All],[RCP-RUBRO]],PAA[[#All],[INDICADOR]],"",0))</f>
        <v>#NAME?</v>
      </c>
      <c r="V451" s="144" t="str">
        <f t="shared" si="15"/>
        <v>77</v>
      </c>
      <c r="W451" s="136">
        <f>+COMPROMISOS_2025[[#This Row],[valor_total]]-COMPROMISOS_2025[[#This Row],[total_cancelado]]</f>
        <v>80272162</v>
      </c>
      <c r="X451" s="136">
        <f>COMPROMISOS_2025[[#This Row],[total_ordenes]]</f>
        <v>78898266</v>
      </c>
      <c r="Y451" t="str" cm="1">
        <f t="array" aca="1" ref="Y451" ca="1">IFERROR(_xlfn.XLOOKUP(COMPROMISOS_2025[[#This Row],[concatenado]],PAA[[#All],[RCP-RUBRO]],PAA[[#All],[Actividad3]],VLOOKUP(COMPROMISOS_2025[[#This Row],[Indicador Principal]],$AC$2:$AD$17,2,0),0),"")</f>
        <v/>
      </c>
    </row>
    <row r="452" spans="1:25" hidden="1" x14ac:dyDescent="0.25">
      <c r="A452">
        <v>4</v>
      </c>
      <c r="B452" t="s">
        <v>2875</v>
      </c>
      <c r="C452" t="s">
        <v>883</v>
      </c>
      <c r="D452" t="s">
        <v>1918</v>
      </c>
      <c r="E452" t="s">
        <v>2876</v>
      </c>
      <c r="F452">
        <v>5</v>
      </c>
      <c r="G452">
        <v>51</v>
      </c>
      <c r="H452" t="s">
        <v>698</v>
      </c>
      <c r="I452" t="s">
        <v>1914</v>
      </c>
      <c r="J452">
        <v>41481095</v>
      </c>
      <c r="K452">
        <v>2025</v>
      </c>
      <c r="L452">
        <v>8001674944</v>
      </c>
      <c r="M452" t="s">
        <v>2861</v>
      </c>
      <c r="N452" t="s">
        <v>1688</v>
      </c>
      <c r="O452" t="s">
        <v>1686</v>
      </c>
      <c r="P452">
        <v>0</v>
      </c>
      <c r="Q452">
        <v>17632700</v>
      </c>
      <c r="R452">
        <v>0</v>
      </c>
      <c r="S452">
        <v>23848395</v>
      </c>
      <c r="T452" t="str">
        <f t="shared" si="14"/>
        <v>41.45.4599.77.0-205128.2.3.2.02.02.008.06.</v>
      </c>
      <c r="U452" t="e" cm="1">
        <f t="array" aca="1" ref="U452" ca="1">+IF(COMPROMISOS_2025[[#This Row],[P]]="20","41080111",_xlfn.XLOOKUP(COMPROMISOS_2025[[#This Row],[concatenado]],PAA[[#All],[RCP-RUBRO]],PAA[[#All],[INDICADOR]],"",0))</f>
        <v>#NAME?</v>
      </c>
      <c r="V452" s="144" t="str">
        <f t="shared" si="15"/>
        <v>77</v>
      </c>
      <c r="W452" s="136">
        <f>+COMPROMISOS_2025[[#This Row],[valor_total]]-COMPROMISOS_2025[[#This Row],[total_cancelado]]</f>
        <v>41481095</v>
      </c>
      <c r="X452" s="136">
        <f>COMPROMISOS_2025[[#This Row],[total_ordenes]]</f>
        <v>17632700</v>
      </c>
      <c r="Y452" t="str" cm="1">
        <f t="array" aca="1" ref="Y452" ca="1">IFERROR(_xlfn.XLOOKUP(COMPROMISOS_2025[[#This Row],[concatenado]],PAA[[#All],[RCP-RUBRO]],PAA[[#All],[Actividad3]],VLOOKUP(COMPROMISOS_2025[[#This Row],[Indicador Principal]],$AC$2:$AD$17,2,0),0),"")</f>
        <v/>
      </c>
    </row>
    <row r="453" spans="1:25" hidden="1" x14ac:dyDescent="0.25">
      <c r="A453">
        <v>117</v>
      </c>
      <c r="B453" t="s">
        <v>2877</v>
      </c>
      <c r="C453" t="s">
        <v>883</v>
      </c>
      <c r="D453" t="s">
        <v>1920</v>
      </c>
      <c r="E453" t="s">
        <v>2878</v>
      </c>
      <c r="F453">
        <v>36</v>
      </c>
      <c r="G453">
        <v>54</v>
      </c>
      <c r="H453" t="s">
        <v>207</v>
      </c>
      <c r="I453" t="s">
        <v>1921</v>
      </c>
      <c r="J453">
        <v>42609000</v>
      </c>
      <c r="K453">
        <v>2025</v>
      </c>
      <c r="L453">
        <v>1036649446</v>
      </c>
      <c r="M453" t="s">
        <v>2879</v>
      </c>
      <c r="N453" t="s">
        <v>1688</v>
      </c>
      <c r="O453" t="s">
        <v>1686</v>
      </c>
      <c r="P453">
        <v>0</v>
      </c>
      <c r="Q453">
        <v>4513080</v>
      </c>
      <c r="R453">
        <v>0</v>
      </c>
      <c r="S453">
        <v>38095920</v>
      </c>
      <c r="T453" t="str">
        <f t="shared" si="14"/>
        <v>1171.45.4599.77.0-271130.2.3.2.02.02.008.01.</v>
      </c>
      <c r="U453" t="e" cm="1">
        <f t="array" aca="1" ref="U453" ca="1">+IF(COMPROMISOS_2025[[#This Row],[P]]="20","41080111",_xlfn.XLOOKUP(COMPROMISOS_2025[[#This Row],[concatenado]],PAA[[#All],[RCP-RUBRO]],PAA[[#All],[INDICADOR]],"",0))</f>
        <v>#NAME?</v>
      </c>
      <c r="V453" s="144" t="str">
        <f t="shared" si="15"/>
        <v>77</v>
      </c>
      <c r="W453" s="136">
        <f>+COMPROMISOS_2025[[#This Row],[valor_total]]-COMPROMISOS_2025[[#This Row],[total_cancelado]]</f>
        <v>42609000</v>
      </c>
      <c r="X453" s="136">
        <f>COMPROMISOS_2025[[#This Row],[total_ordenes]]</f>
        <v>4513080</v>
      </c>
      <c r="Y453" t="str" cm="1">
        <f t="array" aca="1" ref="Y453" ca="1">IFERROR(_xlfn.XLOOKUP(COMPROMISOS_2025[[#This Row],[concatenado]],PAA[[#All],[RCP-RUBRO]],PAA[[#All],[Actividad3]],VLOOKUP(COMPROMISOS_2025[[#This Row],[Indicador Principal]],$AC$2:$AD$17,2,0),0),"")</f>
        <v/>
      </c>
    </row>
    <row r="454" spans="1:25" hidden="1" x14ac:dyDescent="0.25">
      <c r="A454">
        <v>432</v>
      </c>
      <c r="B454" t="s">
        <v>2880</v>
      </c>
      <c r="C454" t="s">
        <v>883</v>
      </c>
      <c r="D454" t="s">
        <v>1922</v>
      </c>
      <c r="E454" t="s">
        <v>2881</v>
      </c>
      <c r="F454">
        <v>37</v>
      </c>
      <c r="G454">
        <v>54</v>
      </c>
      <c r="H454" t="s">
        <v>207</v>
      </c>
      <c r="I454" t="s">
        <v>1921</v>
      </c>
      <c r="J454">
        <v>20514000</v>
      </c>
      <c r="K454">
        <v>2025</v>
      </c>
      <c r="L454">
        <v>10280339166</v>
      </c>
      <c r="M454" t="s">
        <v>2882</v>
      </c>
      <c r="N454" t="s">
        <v>1688</v>
      </c>
      <c r="O454" t="s">
        <v>1686</v>
      </c>
      <c r="P454">
        <v>0</v>
      </c>
      <c r="Q454">
        <v>0</v>
      </c>
      <c r="R454">
        <v>0</v>
      </c>
      <c r="S454">
        <v>20514000</v>
      </c>
      <c r="T454" t="str">
        <f t="shared" si="14"/>
        <v>4321.45.4599.77.0-271130.2.3.2.02.02.008.01.</v>
      </c>
      <c r="U454" t="e" cm="1">
        <f t="array" aca="1" ref="U454" ca="1">+IF(COMPROMISOS_2025[[#This Row],[P]]="20","41080111",_xlfn.XLOOKUP(COMPROMISOS_2025[[#This Row],[concatenado]],PAA[[#All],[RCP-RUBRO]],PAA[[#All],[INDICADOR]],"",0))</f>
        <v>#NAME?</v>
      </c>
      <c r="V454" s="144" t="str">
        <f t="shared" si="15"/>
        <v>77</v>
      </c>
      <c r="W454" s="136">
        <f>+COMPROMISOS_2025[[#This Row],[valor_total]]-COMPROMISOS_2025[[#This Row],[total_cancelado]]</f>
        <v>20514000</v>
      </c>
      <c r="X454" s="136">
        <f>COMPROMISOS_2025[[#This Row],[total_ordenes]]</f>
        <v>0</v>
      </c>
      <c r="Y454" t="str" cm="1">
        <f t="array" aca="1" ref="Y454" ca="1">IFERROR(_xlfn.XLOOKUP(COMPROMISOS_2025[[#This Row],[concatenado]],PAA[[#All],[RCP-RUBRO]],PAA[[#All],[Actividad3]],VLOOKUP(COMPROMISOS_2025[[#This Row],[Indicador Principal]],$AC$2:$AD$17,2,0),0),"")</f>
        <v/>
      </c>
    </row>
    <row r="455" spans="1:25" hidden="1" x14ac:dyDescent="0.25">
      <c r="A455">
        <v>1205</v>
      </c>
      <c r="B455" t="s">
        <v>2883</v>
      </c>
      <c r="C455" t="s">
        <v>883</v>
      </c>
      <c r="D455" t="s">
        <v>1924</v>
      </c>
      <c r="E455" t="s">
        <v>2884</v>
      </c>
      <c r="F455">
        <v>349</v>
      </c>
      <c r="G455">
        <v>54</v>
      </c>
      <c r="H455" t="s">
        <v>207</v>
      </c>
      <c r="I455" t="s">
        <v>1921</v>
      </c>
      <c r="J455">
        <v>75218000</v>
      </c>
      <c r="K455">
        <v>2025</v>
      </c>
      <c r="L455">
        <v>10352240516</v>
      </c>
      <c r="M455" t="s">
        <v>2885</v>
      </c>
      <c r="N455" t="s">
        <v>1688</v>
      </c>
      <c r="O455" t="s">
        <v>1686</v>
      </c>
      <c r="P455">
        <v>0</v>
      </c>
      <c r="Q455">
        <v>0</v>
      </c>
      <c r="R455">
        <v>0</v>
      </c>
      <c r="S455">
        <v>75218000</v>
      </c>
      <c r="T455" t="str">
        <f t="shared" si="14"/>
        <v>12051.45.4599.77.0-271130.2.3.2.02.02.008.01.</v>
      </c>
      <c r="U455" t="e" cm="1">
        <f t="array" aca="1" ref="U455" ca="1">+IF(COMPROMISOS_2025[[#This Row],[P]]="20","41080111",_xlfn.XLOOKUP(COMPROMISOS_2025[[#This Row],[concatenado]],PAA[[#All],[RCP-RUBRO]],PAA[[#All],[INDICADOR]],"",0))</f>
        <v>#NAME?</v>
      </c>
      <c r="V455" s="144" t="str">
        <f t="shared" si="15"/>
        <v>77</v>
      </c>
      <c r="W455" s="136">
        <f>+COMPROMISOS_2025[[#This Row],[valor_total]]-COMPROMISOS_2025[[#This Row],[total_cancelado]]</f>
        <v>75218000</v>
      </c>
      <c r="X455" s="136">
        <f>COMPROMISOS_2025[[#This Row],[total_ordenes]]</f>
        <v>0</v>
      </c>
      <c r="Y455" t="str" cm="1">
        <f t="array" aca="1" ref="Y455" ca="1">IFERROR(_xlfn.XLOOKUP(COMPROMISOS_2025[[#This Row],[concatenado]],PAA[[#All],[RCP-RUBRO]],PAA[[#All],[Actividad3]],VLOOKUP(COMPROMISOS_2025[[#This Row],[Indicador Principal]],$AC$2:$AD$17,2,0),0),"")</f>
        <v/>
      </c>
    </row>
    <row r="456" spans="1:25" hidden="1" x14ac:dyDescent="0.25">
      <c r="A456">
        <v>50</v>
      </c>
      <c r="B456" t="s">
        <v>2886</v>
      </c>
      <c r="C456" t="s">
        <v>883</v>
      </c>
      <c r="D456" t="s">
        <v>1928</v>
      </c>
      <c r="E456" t="s">
        <v>2887</v>
      </c>
      <c r="F456">
        <v>29</v>
      </c>
      <c r="G456">
        <v>55</v>
      </c>
      <c r="H456" t="s">
        <v>166</v>
      </c>
      <c r="I456" t="s">
        <v>1929</v>
      </c>
      <c r="J456">
        <v>50000000</v>
      </c>
      <c r="K456">
        <v>2025</v>
      </c>
      <c r="L456">
        <v>8909813414</v>
      </c>
      <c r="M456" t="s">
        <v>2888</v>
      </c>
      <c r="N456" t="s">
        <v>1688</v>
      </c>
      <c r="O456" t="s">
        <v>1686</v>
      </c>
      <c r="P456">
        <v>0</v>
      </c>
      <c r="Q456">
        <v>50000000</v>
      </c>
      <c r="R456">
        <v>0</v>
      </c>
      <c r="S456">
        <v>0</v>
      </c>
      <c r="T456" t="str">
        <f t="shared" si="14"/>
        <v>501.45.4599.77.0-271130.2.3.2.02.02.009.01.</v>
      </c>
      <c r="U456" t="e" cm="1">
        <f t="array" aca="1" ref="U456" ca="1">+IF(COMPROMISOS_2025[[#This Row],[P]]="20","41080111",_xlfn.XLOOKUP(COMPROMISOS_2025[[#This Row],[concatenado]],PAA[[#All],[RCP-RUBRO]],PAA[[#All],[INDICADOR]],"",0))</f>
        <v>#NAME?</v>
      </c>
      <c r="V456" s="144" t="str">
        <f t="shared" si="15"/>
        <v>77</v>
      </c>
      <c r="W456" s="136">
        <f>+COMPROMISOS_2025[[#This Row],[valor_total]]-COMPROMISOS_2025[[#This Row],[total_cancelado]]</f>
        <v>50000000</v>
      </c>
      <c r="X456" s="136">
        <f>COMPROMISOS_2025[[#This Row],[total_ordenes]]</f>
        <v>50000000</v>
      </c>
      <c r="Y456" t="str" cm="1">
        <f t="array" aca="1" ref="Y456" ca="1">IFERROR(_xlfn.XLOOKUP(COMPROMISOS_2025[[#This Row],[concatenado]],PAA[[#All],[RCP-RUBRO]],PAA[[#All],[Actividad3]],VLOOKUP(COMPROMISOS_2025[[#This Row],[Indicador Principal]],$AC$2:$AD$17,2,0),0),"")</f>
        <v/>
      </c>
    </row>
    <row r="457" spans="1:25" hidden="1" x14ac:dyDescent="0.25">
      <c r="A457">
        <v>413</v>
      </c>
      <c r="B457" t="s">
        <v>2889</v>
      </c>
      <c r="C457" t="s">
        <v>883</v>
      </c>
      <c r="D457" t="s">
        <v>1931</v>
      </c>
      <c r="E457" t="s">
        <v>2890</v>
      </c>
      <c r="F457">
        <v>331</v>
      </c>
      <c r="G457">
        <v>55</v>
      </c>
      <c r="H457" t="s">
        <v>166</v>
      </c>
      <c r="I457" t="s">
        <v>1929</v>
      </c>
      <c r="J457">
        <v>1000000000</v>
      </c>
      <c r="K457">
        <v>2025</v>
      </c>
      <c r="L457">
        <v>9014379578</v>
      </c>
      <c r="M457" t="s">
        <v>1335</v>
      </c>
      <c r="N457" t="s">
        <v>1688</v>
      </c>
      <c r="O457" t="s">
        <v>1686</v>
      </c>
      <c r="P457">
        <v>0</v>
      </c>
      <c r="Q457">
        <v>0</v>
      </c>
      <c r="R457">
        <v>0</v>
      </c>
      <c r="S457">
        <v>1000000000</v>
      </c>
      <c r="T457" t="str">
        <f t="shared" si="14"/>
        <v>4131.45.4599.77.0-271130.2.3.2.02.02.009.01.</v>
      </c>
      <c r="U457" t="e" cm="1">
        <f t="array" aca="1" ref="U457" ca="1">+IF(COMPROMISOS_2025[[#This Row],[P]]="20","41080111",_xlfn.XLOOKUP(COMPROMISOS_2025[[#This Row],[concatenado]],PAA[[#All],[RCP-RUBRO]],PAA[[#All],[INDICADOR]],"",0))</f>
        <v>#NAME?</v>
      </c>
      <c r="V457" s="144" t="str">
        <f t="shared" si="15"/>
        <v>77</v>
      </c>
      <c r="W457" s="136">
        <f>+COMPROMISOS_2025[[#This Row],[valor_total]]-COMPROMISOS_2025[[#This Row],[total_cancelado]]</f>
        <v>1000000000</v>
      </c>
      <c r="X457" s="136">
        <f>COMPROMISOS_2025[[#This Row],[total_ordenes]]</f>
        <v>0</v>
      </c>
      <c r="Y457" t="str" cm="1">
        <f t="array" aca="1" ref="Y457" ca="1">IFERROR(_xlfn.XLOOKUP(COMPROMISOS_2025[[#This Row],[concatenado]],PAA[[#All],[RCP-RUBRO]],PAA[[#All],[Actividad3]],VLOOKUP(COMPROMISOS_2025[[#This Row],[Indicador Principal]],$AC$2:$AD$17,2,0),0),"")</f>
        <v/>
      </c>
    </row>
    <row r="458" spans="1:25" hidden="1" x14ac:dyDescent="0.25">
      <c r="A458">
        <v>47</v>
      </c>
      <c r="B458" t="s">
        <v>2891</v>
      </c>
      <c r="C458" t="s">
        <v>1936</v>
      </c>
      <c r="D458" t="s">
        <v>1943</v>
      </c>
      <c r="E458" t="s">
        <v>2892</v>
      </c>
      <c r="F458">
        <v>20</v>
      </c>
      <c r="G458">
        <v>56</v>
      </c>
      <c r="H458" t="s">
        <v>400</v>
      </c>
      <c r="I458" t="s">
        <v>1937</v>
      </c>
      <c r="J458">
        <v>24571214</v>
      </c>
      <c r="K458">
        <v>2025</v>
      </c>
      <c r="L458">
        <v>322099705</v>
      </c>
      <c r="M458" t="s">
        <v>2893</v>
      </c>
      <c r="N458" t="s">
        <v>1688</v>
      </c>
      <c r="O458" t="s">
        <v>1686</v>
      </c>
      <c r="P458">
        <v>0</v>
      </c>
      <c r="Q458">
        <v>9732753</v>
      </c>
      <c r="R458">
        <v>0</v>
      </c>
      <c r="S458">
        <v>14838461</v>
      </c>
      <c r="T458" t="str">
        <f t="shared" si="14"/>
        <v>472.43.4301.02.0-205128.2.3.2.02.02.008.09.</v>
      </c>
      <c r="U458" t="e" cm="1">
        <f t="array" aca="1" ref="U458" ca="1">+IF(COMPROMISOS_2025[[#This Row],[P]]="20","41080111",_xlfn.XLOOKUP(COMPROMISOS_2025[[#This Row],[concatenado]],PAA[[#All],[RCP-RUBRO]],PAA[[#All],[INDICADOR]],"",0))</f>
        <v>#NAME?</v>
      </c>
      <c r="V458" s="144" t="str">
        <f t="shared" si="15"/>
        <v>02</v>
      </c>
      <c r="W458" s="136">
        <f>+COMPROMISOS_2025[[#This Row],[valor_total]]-COMPROMISOS_2025[[#This Row],[total_cancelado]]</f>
        <v>24571214</v>
      </c>
      <c r="X458" s="136">
        <f>COMPROMISOS_2025[[#This Row],[total_ordenes]]</f>
        <v>9732753</v>
      </c>
      <c r="Y458" t="str" cm="1">
        <f t="array" aca="1" ref="Y458" ca="1">IFERROR(_xlfn.XLOOKUP(COMPROMISOS_2025[[#This Row],[concatenado]],PAA[[#All],[RCP-RUBRO]],PAA[[#All],[Actividad3]],VLOOKUP(COMPROMISOS_2025[[#This Row],[Indicador Principal]],$AC$2:$AD$17,2,0),0),"")</f>
        <v/>
      </c>
    </row>
    <row r="459" spans="1:25" hidden="1" x14ac:dyDescent="0.25">
      <c r="A459">
        <v>48</v>
      </c>
      <c r="B459" t="s">
        <v>2894</v>
      </c>
      <c r="C459" t="s">
        <v>1936</v>
      </c>
      <c r="D459" t="s">
        <v>1941</v>
      </c>
      <c r="E459" t="s">
        <v>2895</v>
      </c>
      <c r="F459">
        <v>19</v>
      </c>
      <c r="G459">
        <v>56</v>
      </c>
      <c r="H459" t="s">
        <v>400</v>
      </c>
      <c r="I459" t="s">
        <v>1937</v>
      </c>
      <c r="J459">
        <v>24571214</v>
      </c>
      <c r="K459">
        <v>2025</v>
      </c>
      <c r="L459">
        <v>10375773092</v>
      </c>
      <c r="M459" t="s">
        <v>2896</v>
      </c>
      <c r="N459" t="s">
        <v>1688</v>
      </c>
      <c r="O459" t="s">
        <v>1686</v>
      </c>
      <c r="P459">
        <v>0</v>
      </c>
      <c r="Q459">
        <v>19465507</v>
      </c>
      <c r="R459">
        <v>0</v>
      </c>
      <c r="S459">
        <v>5105707</v>
      </c>
      <c r="T459" t="str">
        <f t="shared" si="14"/>
        <v>482.43.4301.02.0-205128.2.3.2.02.02.008.09.</v>
      </c>
      <c r="U459" t="e" cm="1">
        <f t="array" aca="1" ref="U459" ca="1">+IF(COMPROMISOS_2025[[#This Row],[P]]="20","41080111",_xlfn.XLOOKUP(COMPROMISOS_2025[[#This Row],[concatenado]],PAA[[#All],[RCP-RUBRO]],PAA[[#All],[INDICADOR]],"",0))</f>
        <v>#NAME?</v>
      </c>
      <c r="V459" s="144" t="str">
        <f t="shared" si="15"/>
        <v>02</v>
      </c>
      <c r="W459" s="136">
        <f>+COMPROMISOS_2025[[#This Row],[valor_total]]-COMPROMISOS_2025[[#This Row],[total_cancelado]]</f>
        <v>24571214</v>
      </c>
      <c r="X459" s="136">
        <f>COMPROMISOS_2025[[#This Row],[total_ordenes]]</f>
        <v>19465507</v>
      </c>
      <c r="Y459" t="str" cm="1">
        <f t="array" aca="1" ref="Y459" ca="1">IFERROR(_xlfn.XLOOKUP(COMPROMISOS_2025[[#This Row],[concatenado]],PAA[[#All],[RCP-RUBRO]],PAA[[#All],[Actividad3]],VLOOKUP(COMPROMISOS_2025[[#This Row],[Indicador Principal]],$AC$2:$AD$17,2,0),0),"")</f>
        <v/>
      </c>
    </row>
    <row r="460" spans="1:25" hidden="1" x14ac:dyDescent="0.25">
      <c r="A460">
        <v>51</v>
      </c>
      <c r="B460" t="s">
        <v>2897</v>
      </c>
      <c r="C460" t="s">
        <v>1936</v>
      </c>
      <c r="D460" t="s">
        <v>1935</v>
      </c>
      <c r="E460" t="s">
        <v>2898</v>
      </c>
      <c r="F460">
        <v>17</v>
      </c>
      <c r="G460">
        <v>56</v>
      </c>
      <c r="H460" t="s">
        <v>400</v>
      </c>
      <c r="I460" t="s">
        <v>1937</v>
      </c>
      <c r="J460">
        <v>12285606</v>
      </c>
      <c r="K460">
        <v>2025</v>
      </c>
      <c r="L460">
        <v>10012489749</v>
      </c>
      <c r="M460" t="s">
        <v>2899</v>
      </c>
      <c r="N460" t="s">
        <v>1688</v>
      </c>
      <c r="O460" t="s">
        <v>1686</v>
      </c>
      <c r="P460">
        <v>0</v>
      </c>
      <c r="Q460">
        <v>4786600</v>
      </c>
      <c r="R460">
        <v>0</v>
      </c>
      <c r="S460">
        <v>7499006</v>
      </c>
      <c r="T460" t="str">
        <f t="shared" si="14"/>
        <v>512.43.4301.02.0-205128.2.3.2.02.02.008.09.</v>
      </c>
      <c r="U460" t="e" cm="1">
        <f t="array" aca="1" ref="U460" ca="1">+IF(COMPROMISOS_2025[[#This Row],[P]]="20","41080111",_xlfn.XLOOKUP(COMPROMISOS_2025[[#This Row],[concatenado]],PAA[[#All],[RCP-RUBRO]],PAA[[#All],[INDICADOR]],"",0))</f>
        <v>#NAME?</v>
      </c>
      <c r="V460" s="144" t="str">
        <f t="shared" si="15"/>
        <v>02</v>
      </c>
      <c r="W460" s="136">
        <f>+COMPROMISOS_2025[[#This Row],[valor_total]]-COMPROMISOS_2025[[#This Row],[total_cancelado]]</f>
        <v>12285606</v>
      </c>
      <c r="X460" s="136">
        <f>COMPROMISOS_2025[[#This Row],[total_ordenes]]</f>
        <v>4786600</v>
      </c>
      <c r="Y460" t="str" cm="1">
        <f t="array" aca="1" ref="Y460" ca="1">IFERROR(_xlfn.XLOOKUP(COMPROMISOS_2025[[#This Row],[concatenado]],PAA[[#All],[RCP-RUBRO]],PAA[[#All],[Actividad3]],VLOOKUP(COMPROMISOS_2025[[#This Row],[Indicador Principal]],$AC$2:$AD$17,2,0),0),"")</f>
        <v/>
      </c>
    </row>
    <row r="461" spans="1:25" hidden="1" x14ac:dyDescent="0.25">
      <c r="A461">
        <v>89</v>
      </c>
      <c r="B461" t="s">
        <v>2900</v>
      </c>
      <c r="C461" t="s">
        <v>1936</v>
      </c>
      <c r="D461" t="s">
        <v>1939</v>
      </c>
      <c r="E461" t="s">
        <v>2901</v>
      </c>
      <c r="F461">
        <v>18</v>
      </c>
      <c r="G461">
        <v>56</v>
      </c>
      <c r="H461" t="s">
        <v>400</v>
      </c>
      <c r="I461" t="s">
        <v>1937</v>
      </c>
      <c r="J461">
        <v>19305954</v>
      </c>
      <c r="K461">
        <v>2025</v>
      </c>
      <c r="L461">
        <v>1036933694</v>
      </c>
      <c r="M461" t="s">
        <v>2902</v>
      </c>
      <c r="N461" t="s">
        <v>1688</v>
      </c>
      <c r="O461" t="s">
        <v>1686</v>
      </c>
      <c r="P461">
        <v>0</v>
      </c>
      <c r="Q461">
        <v>6017440</v>
      </c>
      <c r="R461">
        <v>0</v>
      </c>
      <c r="S461">
        <v>13288514</v>
      </c>
      <c r="T461" t="str">
        <f t="shared" si="14"/>
        <v>892.43.4301.02.0-205128.2.3.2.02.02.008.09.</v>
      </c>
      <c r="U461" t="e" cm="1">
        <f t="array" aca="1" ref="U461" ca="1">+IF(COMPROMISOS_2025[[#This Row],[P]]="20","41080111",_xlfn.XLOOKUP(COMPROMISOS_2025[[#This Row],[concatenado]],PAA[[#All],[RCP-RUBRO]],PAA[[#All],[INDICADOR]],"",0))</f>
        <v>#NAME?</v>
      </c>
      <c r="V461" s="144" t="str">
        <f t="shared" si="15"/>
        <v>02</v>
      </c>
      <c r="W461" s="136">
        <f>+COMPROMISOS_2025[[#This Row],[valor_total]]-COMPROMISOS_2025[[#This Row],[total_cancelado]]</f>
        <v>19305954</v>
      </c>
      <c r="X461" s="136">
        <f>COMPROMISOS_2025[[#This Row],[total_ordenes]]</f>
        <v>6017440</v>
      </c>
      <c r="Y461" t="str" cm="1">
        <f t="array" aca="1" ref="Y461" ca="1">IFERROR(_xlfn.XLOOKUP(COMPROMISOS_2025[[#This Row],[concatenado]],PAA[[#All],[RCP-RUBRO]],PAA[[#All],[Actividad3]],VLOOKUP(COMPROMISOS_2025[[#This Row],[Indicador Principal]],$AC$2:$AD$17,2,0),0),"")</f>
        <v/>
      </c>
    </row>
    <row r="462" spans="1:25" hidden="1" x14ac:dyDescent="0.25">
      <c r="A462">
        <v>93</v>
      </c>
      <c r="B462" t="s">
        <v>2903</v>
      </c>
      <c r="C462" t="s">
        <v>1936</v>
      </c>
      <c r="D462" t="s">
        <v>1949</v>
      </c>
      <c r="E462" t="s">
        <v>2904</v>
      </c>
      <c r="F462">
        <v>68</v>
      </c>
      <c r="G462">
        <v>56</v>
      </c>
      <c r="H462" t="s">
        <v>400</v>
      </c>
      <c r="I462" t="s">
        <v>1937</v>
      </c>
      <c r="J462">
        <v>37609000</v>
      </c>
      <c r="K462">
        <v>2025</v>
      </c>
      <c r="L462">
        <v>11278025298</v>
      </c>
      <c r="M462" t="s">
        <v>2905</v>
      </c>
      <c r="N462" t="s">
        <v>1688</v>
      </c>
      <c r="O462" t="s">
        <v>1686</v>
      </c>
      <c r="P462">
        <v>0</v>
      </c>
      <c r="Q462">
        <v>6769620</v>
      </c>
      <c r="R462">
        <v>0</v>
      </c>
      <c r="S462">
        <v>30839380</v>
      </c>
      <c r="T462" t="str">
        <f t="shared" si="14"/>
        <v>932.43.4301.02.0-205128.2.3.2.02.02.008.09.</v>
      </c>
      <c r="U462" t="e" cm="1">
        <f t="array" aca="1" ref="U462" ca="1">+IF(COMPROMISOS_2025[[#This Row],[P]]="20","41080111",_xlfn.XLOOKUP(COMPROMISOS_2025[[#This Row],[concatenado]],PAA[[#All],[RCP-RUBRO]],PAA[[#All],[INDICADOR]],"",0))</f>
        <v>#NAME?</v>
      </c>
      <c r="V462" s="144" t="str">
        <f t="shared" si="15"/>
        <v>02</v>
      </c>
      <c r="W462" s="136">
        <f>+COMPROMISOS_2025[[#This Row],[valor_total]]-COMPROMISOS_2025[[#This Row],[total_cancelado]]</f>
        <v>37609000</v>
      </c>
      <c r="X462" s="136">
        <f>COMPROMISOS_2025[[#This Row],[total_ordenes]]</f>
        <v>6769620</v>
      </c>
      <c r="Y462" t="str" cm="1">
        <f t="array" aca="1" ref="Y462" ca="1">IFERROR(_xlfn.XLOOKUP(COMPROMISOS_2025[[#This Row],[concatenado]],PAA[[#All],[RCP-RUBRO]],PAA[[#All],[Actividad3]],VLOOKUP(COMPROMISOS_2025[[#This Row],[Indicador Principal]],$AC$2:$AD$17,2,0),0),"")</f>
        <v/>
      </c>
    </row>
    <row r="463" spans="1:25" hidden="1" x14ac:dyDescent="0.25">
      <c r="A463">
        <v>94</v>
      </c>
      <c r="B463" t="s">
        <v>2906</v>
      </c>
      <c r="C463" t="s">
        <v>1936</v>
      </c>
      <c r="D463" t="s">
        <v>1947</v>
      </c>
      <c r="E463" t="s">
        <v>2907</v>
      </c>
      <c r="F463">
        <v>67</v>
      </c>
      <c r="G463">
        <v>56</v>
      </c>
      <c r="H463" t="s">
        <v>400</v>
      </c>
      <c r="I463" t="s">
        <v>1937</v>
      </c>
      <c r="J463">
        <v>37609000</v>
      </c>
      <c r="K463">
        <v>2025</v>
      </c>
      <c r="L463">
        <v>10480176357</v>
      </c>
      <c r="M463" t="s">
        <v>2908</v>
      </c>
      <c r="N463" t="s">
        <v>1688</v>
      </c>
      <c r="O463" t="s">
        <v>1686</v>
      </c>
      <c r="P463">
        <v>0</v>
      </c>
      <c r="Q463">
        <v>6769620</v>
      </c>
      <c r="R463">
        <v>0</v>
      </c>
      <c r="S463">
        <v>30839380</v>
      </c>
      <c r="T463" t="str">
        <f t="shared" si="14"/>
        <v>942.43.4301.02.0-205128.2.3.2.02.02.008.09.</v>
      </c>
      <c r="U463" t="e" cm="1">
        <f t="array" aca="1" ref="U463" ca="1">+IF(COMPROMISOS_2025[[#This Row],[P]]="20","41080111",_xlfn.XLOOKUP(COMPROMISOS_2025[[#This Row],[concatenado]],PAA[[#All],[RCP-RUBRO]],PAA[[#All],[INDICADOR]],"",0))</f>
        <v>#NAME?</v>
      </c>
      <c r="V463" s="144" t="str">
        <f t="shared" si="15"/>
        <v>02</v>
      </c>
      <c r="W463" s="136">
        <f>+COMPROMISOS_2025[[#This Row],[valor_total]]-COMPROMISOS_2025[[#This Row],[total_cancelado]]</f>
        <v>37609000</v>
      </c>
      <c r="X463" s="136">
        <f>COMPROMISOS_2025[[#This Row],[total_ordenes]]</f>
        <v>6769620</v>
      </c>
      <c r="Y463" t="str" cm="1">
        <f t="array" aca="1" ref="Y463" ca="1">IFERROR(_xlfn.XLOOKUP(COMPROMISOS_2025[[#This Row],[concatenado]],PAA[[#All],[RCP-RUBRO]],PAA[[#All],[Actividad3]],VLOOKUP(COMPROMISOS_2025[[#This Row],[Indicador Principal]],$AC$2:$AD$17,2,0),0),"")</f>
        <v/>
      </c>
    </row>
    <row r="464" spans="1:25" hidden="1" x14ac:dyDescent="0.25">
      <c r="A464">
        <v>96</v>
      </c>
      <c r="B464" t="s">
        <v>2909</v>
      </c>
      <c r="C464" t="s">
        <v>1936</v>
      </c>
      <c r="D464" t="s">
        <v>1945</v>
      </c>
      <c r="E464" t="s">
        <v>2910</v>
      </c>
      <c r="F464">
        <v>66</v>
      </c>
      <c r="G464">
        <v>56</v>
      </c>
      <c r="H464" t="s">
        <v>400</v>
      </c>
      <c r="I464" t="s">
        <v>1937</v>
      </c>
      <c r="J464">
        <v>37609000</v>
      </c>
      <c r="K464">
        <v>2025</v>
      </c>
      <c r="L464">
        <v>10359205308</v>
      </c>
      <c r="M464" t="s">
        <v>2911</v>
      </c>
      <c r="N464" t="s">
        <v>1688</v>
      </c>
      <c r="O464" t="s">
        <v>1686</v>
      </c>
      <c r="P464">
        <v>0</v>
      </c>
      <c r="Q464">
        <v>3760900</v>
      </c>
      <c r="R464">
        <v>0</v>
      </c>
      <c r="S464">
        <v>33848100</v>
      </c>
      <c r="T464" t="str">
        <f t="shared" si="14"/>
        <v>962.43.4301.02.0-205128.2.3.2.02.02.008.09.</v>
      </c>
      <c r="U464" t="e" cm="1">
        <f t="array" aca="1" ref="U464" ca="1">+IF(COMPROMISOS_2025[[#This Row],[P]]="20","41080111",_xlfn.XLOOKUP(COMPROMISOS_2025[[#This Row],[concatenado]],PAA[[#All],[RCP-RUBRO]],PAA[[#All],[INDICADOR]],"",0))</f>
        <v>#NAME?</v>
      </c>
      <c r="V464" s="144" t="str">
        <f t="shared" si="15"/>
        <v>02</v>
      </c>
      <c r="W464" s="136">
        <f>+COMPROMISOS_2025[[#This Row],[valor_total]]-COMPROMISOS_2025[[#This Row],[total_cancelado]]</f>
        <v>37609000</v>
      </c>
      <c r="X464" s="136">
        <f>COMPROMISOS_2025[[#This Row],[total_ordenes]]</f>
        <v>3760900</v>
      </c>
      <c r="Y464" t="str" cm="1">
        <f t="array" aca="1" ref="Y464" ca="1">IFERROR(_xlfn.XLOOKUP(COMPROMISOS_2025[[#This Row],[concatenado]],PAA[[#All],[RCP-RUBRO]],PAA[[#All],[Actividad3]],VLOOKUP(COMPROMISOS_2025[[#This Row],[Indicador Principal]],$AC$2:$AD$17,2,0),0),"")</f>
        <v/>
      </c>
    </row>
    <row r="465" spans="1:25" hidden="1" x14ac:dyDescent="0.25">
      <c r="A465">
        <v>130</v>
      </c>
      <c r="B465" t="s">
        <v>2912</v>
      </c>
      <c r="C465" t="s">
        <v>1936</v>
      </c>
      <c r="D465" t="s">
        <v>1951</v>
      </c>
      <c r="E465" t="s">
        <v>2913</v>
      </c>
      <c r="F465">
        <v>297</v>
      </c>
      <c r="G465">
        <v>56</v>
      </c>
      <c r="H465" t="s">
        <v>400</v>
      </c>
      <c r="I465" t="s">
        <v>1937</v>
      </c>
      <c r="J465">
        <v>38292800</v>
      </c>
      <c r="K465">
        <v>2025</v>
      </c>
      <c r="L465">
        <v>11283935761</v>
      </c>
      <c r="M465" t="s">
        <v>2914</v>
      </c>
      <c r="N465" t="s">
        <v>1688</v>
      </c>
      <c r="O465" t="s">
        <v>1686</v>
      </c>
      <c r="P465">
        <v>0</v>
      </c>
      <c r="Q465">
        <v>14998013</v>
      </c>
      <c r="R465">
        <v>0</v>
      </c>
      <c r="S465">
        <v>23294787</v>
      </c>
      <c r="T465" t="str">
        <f t="shared" si="14"/>
        <v>1302.43.4301.02.0-205128.2.3.2.02.02.008.09.</v>
      </c>
      <c r="U465" t="e" cm="1">
        <f t="array" aca="1" ref="U465" ca="1">+IF(COMPROMISOS_2025[[#This Row],[P]]="20","41080111",_xlfn.XLOOKUP(COMPROMISOS_2025[[#This Row],[concatenado]],PAA[[#All],[RCP-RUBRO]],PAA[[#All],[INDICADOR]],"",0))</f>
        <v>#NAME?</v>
      </c>
      <c r="V465" s="144" t="str">
        <f t="shared" si="15"/>
        <v>02</v>
      </c>
      <c r="W465" s="136">
        <f>+COMPROMISOS_2025[[#This Row],[valor_total]]-COMPROMISOS_2025[[#This Row],[total_cancelado]]</f>
        <v>38292800</v>
      </c>
      <c r="X465" s="136">
        <f>COMPROMISOS_2025[[#This Row],[total_ordenes]]</f>
        <v>14998013</v>
      </c>
      <c r="Y465" t="str" cm="1">
        <f t="array" aca="1" ref="Y465" ca="1">IFERROR(_xlfn.XLOOKUP(COMPROMISOS_2025[[#This Row],[concatenado]],PAA[[#All],[RCP-RUBRO]],PAA[[#All],[Actividad3]],VLOOKUP(COMPROMISOS_2025[[#This Row],[Indicador Principal]],$AC$2:$AD$17,2,0),0),"")</f>
        <v/>
      </c>
    </row>
    <row r="466" spans="1:25" hidden="1" x14ac:dyDescent="0.25">
      <c r="A466">
        <v>441</v>
      </c>
      <c r="B466" t="s">
        <v>2862</v>
      </c>
      <c r="C466" t="s">
        <v>1936</v>
      </c>
      <c r="D466" t="s">
        <v>1953</v>
      </c>
      <c r="E466" t="s">
        <v>2915</v>
      </c>
      <c r="F466">
        <v>350</v>
      </c>
      <c r="G466">
        <v>56</v>
      </c>
      <c r="H466" t="s">
        <v>400</v>
      </c>
      <c r="I466" t="s">
        <v>1937</v>
      </c>
      <c r="J466">
        <v>37609000</v>
      </c>
      <c r="K466">
        <v>2025</v>
      </c>
      <c r="L466">
        <v>12147329191</v>
      </c>
      <c r="M466" t="s">
        <v>2916</v>
      </c>
      <c r="N466" t="s">
        <v>1688</v>
      </c>
      <c r="O466" t="s">
        <v>1686</v>
      </c>
      <c r="P466">
        <v>0</v>
      </c>
      <c r="Q466">
        <v>0</v>
      </c>
      <c r="R466">
        <v>0</v>
      </c>
      <c r="S466">
        <v>37609000</v>
      </c>
      <c r="T466" t="str">
        <f t="shared" si="14"/>
        <v>4412.43.4301.02.0-205128.2.3.2.02.02.008.09.</v>
      </c>
      <c r="U466" t="e" cm="1">
        <f t="array" aca="1" ref="U466" ca="1">+IF(COMPROMISOS_2025[[#This Row],[P]]="20","41080111",_xlfn.XLOOKUP(COMPROMISOS_2025[[#This Row],[concatenado]],PAA[[#All],[RCP-RUBRO]],PAA[[#All],[INDICADOR]],"",0))</f>
        <v>#NAME?</v>
      </c>
      <c r="V466" s="144" t="str">
        <f t="shared" si="15"/>
        <v>02</v>
      </c>
      <c r="W466" s="136">
        <f>+COMPROMISOS_2025[[#This Row],[valor_total]]-COMPROMISOS_2025[[#This Row],[total_cancelado]]</f>
        <v>37609000</v>
      </c>
      <c r="X466" s="136">
        <f>COMPROMISOS_2025[[#This Row],[total_ordenes]]</f>
        <v>0</v>
      </c>
      <c r="Y466" t="str" cm="1">
        <f t="array" aca="1" ref="Y466" ca="1">IFERROR(_xlfn.XLOOKUP(COMPROMISOS_2025[[#This Row],[concatenado]],PAA[[#All],[RCP-RUBRO]],PAA[[#All],[Actividad3]],VLOOKUP(COMPROMISOS_2025[[#This Row],[Indicador Principal]],$AC$2:$AD$17,2,0),0),"")</f>
        <v/>
      </c>
    </row>
    <row r="467" spans="1:25" hidden="1" x14ac:dyDescent="0.25">
      <c r="A467">
        <v>443</v>
      </c>
      <c r="B467" t="s">
        <v>2917</v>
      </c>
      <c r="C467" t="s">
        <v>1936</v>
      </c>
      <c r="D467" t="s">
        <v>1955</v>
      </c>
      <c r="E467" t="s">
        <v>2918</v>
      </c>
      <c r="F467">
        <v>352</v>
      </c>
      <c r="G467">
        <v>56</v>
      </c>
      <c r="H467" t="s">
        <v>400</v>
      </c>
      <c r="I467" t="s">
        <v>1937</v>
      </c>
      <c r="J467">
        <v>15043600</v>
      </c>
      <c r="K467">
        <v>2025</v>
      </c>
      <c r="L467">
        <v>10278843308</v>
      </c>
      <c r="M467" t="s">
        <v>2919</v>
      </c>
      <c r="N467" t="s">
        <v>1688</v>
      </c>
      <c r="O467" t="s">
        <v>1686</v>
      </c>
      <c r="P467">
        <v>0</v>
      </c>
      <c r="Q467">
        <v>0</v>
      </c>
      <c r="R467">
        <v>0</v>
      </c>
      <c r="S467">
        <v>15043600</v>
      </c>
      <c r="T467" t="str">
        <f t="shared" si="14"/>
        <v>4432.43.4301.02.0-205128.2.3.2.02.02.008.09.</v>
      </c>
      <c r="U467" t="e" cm="1">
        <f t="array" aca="1" ref="U467" ca="1">+IF(COMPROMISOS_2025[[#This Row],[P]]="20","41080111",_xlfn.XLOOKUP(COMPROMISOS_2025[[#This Row],[concatenado]],PAA[[#All],[RCP-RUBRO]],PAA[[#All],[INDICADOR]],"",0))</f>
        <v>#NAME?</v>
      </c>
      <c r="V467" s="144" t="str">
        <f t="shared" si="15"/>
        <v>02</v>
      </c>
      <c r="W467" s="136">
        <f>+COMPROMISOS_2025[[#This Row],[valor_total]]-COMPROMISOS_2025[[#This Row],[total_cancelado]]</f>
        <v>15043600</v>
      </c>
      <c r="X467" s="136">
        <f>COMPROMISOS_2025[[#This Row],[total_ordenes]]</f>
        <v>0</v>
      </c>
      <c r="Y467" t="str" cm="1">
        <f t="array" aca="1" ref="Y467" ca="1">IFERROR(_xlfn.XLOOKUP(COMPROMISOS_2025[[#This Row],[concatenado]],PAA[[#All],[RCP-RUBRO]],PAA[[#All],[Actividad3]],VLOOKUP(COMPROMISOS_2025[[#This Row],[Indicador Principal]],$AC$2:$AD$17,2,0),0),"")</f>
        <v/>
      </c>
    </row>
    <row r="468" spans="1:25" hidden="1" x14ac:dyDescent="0.25">
      <c r="A468">
        <v>1619</v>
      </c>
      <c r="B468" t="s">
        <v>2920</v>
      </c>
      <c r="C468" t="s">
        <v>1936</v>
      </c>
      <c r="D468" t="s">
        <v>1957</v>
      </c>
      <c r="E468" t="s">
        <v>2921</v>
      </c>
      <c r="F468">
        <v>397</v>
      </c>
      <c r="G468">
        <v>56</v>
      </c>
      <c r="H468" t="s">
        <v>400</v>
      </c>
      <c r="I468" t="s">
        <v>1937</v>
      </c>
      <c r="J468">
        <v>9000000</v>
      </c>
      <c r="K468">
        <v>2025</v>
      </c>
      <c r="L468">
        <v>11283935761</v>
      </c>
      <c r="M468" t="s">
        <v>2914</v>
      </c>
      <c r="N468" t="s">
        <v>1688</v>
      </c>
      <c r="O468" t="s">
        <v>1686</v>
      </c>
      <c r="P468">
        <v>0</v>
      </c>
      <c r="Q468">
        <v>0</v>
      </c>
      <c r="R468">
        <v>0</v>
      </c>
      <c r="S468">
        <v>9000000</v>
      </c>
      <c r="T468" t="str">
        <f t="shared" si="14"/>
        <v>16192.43.4301.02.0-205128.2.3.2.02.02.008.09.</v>
      </c>
      <c r="U468" t="e" cm="1">
        <f t="array" aca="1" ref="U468" ca="1">+IF(COMPROMISOS_2025[[#This Row],[P]]="20","41080111",_xlfn.XLOOKUP(COMPROMISOS_2025[[#This Row],[concatenado]],PAA[[#All],[RCP-RUBRO]],PAA[[#All],[INDICADOR]],"",0))</f>
        <v>#NAME?</v>
      </c>
      <c r="V468" s="144" t="str">
        <f t="shared" si="15"/>
        <v>02</v>
      </c>
      <c r="W468" s="136">
        <f>+COMPROMISOS_2025[[#This Row],[valor_total]]-COMPROMISOS_2025[[#This Row],[total_cancelado]]</f>
        <v>9000000</v>
      </c>
      <c r="X468" s="136">
        <f>COMPROMISOS_2025[[#This Row],[total_ordenes]]</f>
        <v>0</v>
      </c>
      <c r="Y468" t="str" cm="1">
        <f t="array" aca="1" ref="Y468" ca="1">IFERROR(_xlfn.XLOOKUP(COMPROMISOS_2025[[#This Row],[concatenado]],PAA[[#All],[RCP-RUBRO]],PAA[[#All],[Actividad3]],VLOOKUP(COMPROMISOS_2025[[#This Row],[Indicador Principal]],$AC$2:$AD$17,2,0),0),"")</f>
        <v/>
      </c>
    </row>
    <row r="469" spans="1:25" hidden="1" x14ac:dyDescent="0.25">
      <c r="A469">
        <v>2985</v>
      </c>
      <c r="B469" t="s">
        <v>2922</v>
      </c>
      <c r="C469" t="s">
        <v>1936</v>
      </c>
      <c r="D469" t="s">
        <v>1964</v>
      </c>
      <c r="E469" t="s">
        <v>2923</v>
      </c>
      <c r="F469">
        <v>394</v>
      </c>
      <c r="G469">
        <v>57</v>
      </c>
      <c r="H469" t="s">
        <v>363</v>
      </c>
      <c r="I469" t="s">
        <v>1960</v>
      </c>
      <c r="J469">
        <v>150000000</v>
      </c>
      <c r="K469">
        <v>2025</v>
      </c>
      <c r="L469">
        <v>8909063486</v>
      </c>
      <c r="M469" t="s">
        <v>2924</v>
      </c>
      <c r="N469" t="s">
        <v>1688</v>
      </c>
      <c r="O469" t="s">
        <v>1686</v>
      </c>
      <c r="P469">
        <v>0</v>
      </c>
      <c r="Q469">
        <v>0</v>
      </c>
      <c r="R469">
        <v>0</v>
      </c>
      <c r="S469">
        <v>150000000</v>
      </c>
      <c r="T469" t="str">
        <f t="shared" si="14"/>
        <v>29852.43.4301.02.0-205128.2.3.3.09.17.</v>
      </c>
      <c r="U469" t="e" cm="1">
        <f t="array" aca="1" ref="U469" ca="1">+IF(COMPROMISOS_2025[[#This Row],[P]]="20","41080111",_xlfn.XLOOKUP(COMPROMISOS_2025[[#This Row],[concatenado]],PAA[[#All],[RCP-RUBRO]],PAA[[#All],[INDICADOR]],"",0))</f>
        <v>#NAME?</v>
      </c>
      <c r="V469" s="144" t="str">
        <f t="shared" si="15"/>
        <v>02</v>
      </c>
      <c r="W469" s="136">
        <f>+COMPROMISOS_2025[[#This Row],[valor_total]]-COMPROMISOS_2025[[#This Row],[total_cancelado]]</f>
        <v>150000000</v>
      </c>
      <c r="X469" s="136">
        <f>COMPROMISOS_2025[[#This Row],[total_ordenes]]</f>
        <v>0</v>
      </c>
      <c r="Y469" t="str" cm="1">
        <f t="array" aca="1" ref="Y469" ca="1">IFERROR(_xlfn.XLOOKUP(COMPROMISOS_2025[[#This Row],[concatenado]],PAA[[#All],[RCP-RUBRO]],PAA[[#All],[Actividad3]],VLOOKUP(COMPROMISOS_2025[[#This Row],[Indicador Principal]],$AC$2:$AD$17,2,0),0),"")</f>
        <v/>
      </c>
    </row>
    <row r="470" spans="1:25" hidden="1" x14ac:dyDescent="0.25">
      <c r="A470">
        <v>2987</v>
      </c>
      <c r="B470" t="s">
        <v>2925</v>
      </c>
      <c r="C470" t="s">
        <v>1936</v>
      </c>
      <c r="D470" t="s">
        <v>1962</v>
      </c>
      <c r="E470" t="s">
        <v>2926</v>
      </c>
      <c r="F470">
        <v>393</v>
      </c>
      <c r="G470">
        <v>57</v>
      </c>
      <c r="H470" t="s">
        <v>363</v>
      </c>
      <c r="I470" t="s">
        <v>1960</v>
      </c>
      <c r="J470">
        <v>120000000</v>
      </c>
      <c r="K470">
        <v>2025</v>
      </c>
      <c r="L470">
        <v>8110130331</v>
      </c>
      <c r="M470" t="s">
        <v>2927</v>
      </c>
      <c r="N470" t="s">
        <v>1688</v>
      </c>
      <c r="O470" t="s">
        <v>1686</v>
      </c>
      <c r="P470">
        <v>0</v>
      </c>
      <c r="Q470">
        <v>0</v>
      </c>
      <c r="R470">
        <v>0</v>
      </c>
      <c r="S470">
        <v>120000000</v>
      </c>
      <c r="T470" t="str">
        <f t="shared" si="14"/>
        <v>29872.43.4301.02.0-205128.2.3.3.09.17.</v>
      </c>
      <c r="U470" t="e" cm="1">
        <f t="array" aca="1" ref="U470" ca="1">+IF(COMPROMISOS_2025[[#This Row],[P]]="20","41080111",_xlfn.XLOOKUP(COMPROMISOS_2025[[#This Row],[concatenado]],PAA[[#All],[RCP-RUBRO]],PAA[[#All],[INDICADOR]],"",0))</f>
        <v>#NAME?</v>
      </c>
      <c r="V470" s="144" t="str">
        <f t="shared" si="15"/>
        <v>02</v>
      </c>
      <c r="W470" s="136">
        <f>+COMPROMISOS_2025[[#This Row],[valor_total]]-COMPROMISOS_2025[[#This Row],[total_cancelado]]</f>
        <v>120000000</v>
      </c>
      <c r="X470" s="136">
        <f>COMPROMISOS_2025[[#This Row],[total_ordenes]]</f>
        <v>0</v>
      </c>
      <c r="Y470" t="str" cm="1">
        <f t="array" aca="1" ref="Y470" ca="1">IFERROR(_xlfn.XLOOKUP(COMPROMISOS_2025[[#This Row],[concatenado]],PAA[[#All],[RCP-RUBRO]],PAA[[#All],[Actividad3]],VLOOKUP(COMPROMISOS_2025[[#This Row],[Indicador Principal]],$AC$2:$AD$17,2,0),0),"")</f>
        <v/>
      </c>
    </row>
    <row r="471" spans="1:25" hidden="1" x14ac:dyDescent="0.25">
      <c r="A471">
        <v>2991</v>
      </c>
      <c r="B471" t="s">
        <v>2928</v>
      </c>
      <c r="C471" t="s">
        <v>1936</v>
      </c>
      <c r="D471" t="s">
        <v>1959</v>
      </c>
      <c r="E471" t="s">
        <v>2929</v>
      </c>
      <c r="F471">
        <v>392</v>
      </c>
      <c r="G471">
        <v>57</v>
      </c>
      <c r="H471" t="s">
        <v>363</v>
      </c>
      <c r="I471" t="s">
        <v>1960</v>
      </c>
      <c r="J471">
        <v>200000000</v>
      </c>
      <c r="K471">
        <v>2025</v>
      </c>
      <c r="L471">
        <v>8909049486</v>
      </c>
      <c r="M471" t="s">
        <v>2930</v>
      </c>
      <c r="N471" t="s">
        <v>1688</v>
      </c>
      <c r="O471" t="s">
        <v>1686</v>
      </c>
      <c r="P471">
        <v>0</v>
      </c>
      <c r="Q471">
        <v>0</v>
      </c>
      <c r="R471">
        <v>0</v>
      </c>
      <c r="S471">
        <v>200000000</v>
      </c>
      <c r="T471" t="str">
        <f t="shared" si="14"/>
        <v>29912.43.4301.02.0-205128.2.3.3.09.17.</v>
      </c>
      <c r="U471" t="e" cm="1">
        <f t="array" aca="1" ref="U471" ca="1">+IF(COMPROMISOS_2025[[#This Row],[P]]="20","41080111",_xlfn.XLOOKUP(COMPROMISOS_2025[[#This Row],[concatenado]],PAA[[#All],[RCP-RUBRO]],PAA[[#All],[INDICADOR]],"",0))</f>
        <v>#NAME?</v>
      </c>
      <c r="V471" s="144" t="str">
        <f t="shared" si="15"/>
        <v>02</v>
      </c>
      <c r="W471" s="136">
        <f>+COMPROMISOS_2025[[#This Row],[valor_total]]-COMPROMISOS_2025[[#This Row],[total_cancelado]]</f>
        <v>200000000</v>
      </c>
      <c r="X471" s="136">
        <f>COMPROMISOS_2025[[#This Row],[total_ordenes]]</f>
        <v>0</v>
      </c>
      <c r="Y471" t="str" cm="1">
        <f t="array" aca="1" ref="Y471" ca="1">IFERROR(_xlfn.XLOOKUP(COMPROMISOS_2025[[#This Row],[concatenado]],PAA[[#All],[RCP-RUBRO]],PAA[[#All],[Actividad3]],VLOOKUP(COMPROMISOS_2025[[#This Row],[Indicador Principal]],$AC$2:$AD$17,2,0),0),"")</f>
        <v/>
      </c>
    </row>
    <row r="472" spans="1:25" hidden="1" x14ac:dyDescent="0.25">
      <c r="A472">
        <v>128</v>
      </c>
      <c r="B472" t="s">
        <v>2931</v>
      </c>
      <c r="C472" t="s">
        <v>1936</v>
      </c>
      <c r="D472" t="s">
        <v>1979</v>
      </c>
      <c r="E472" t="s">
        <v>2932</v>
      </c>
      <c r="F472">
        <v>289</v>
      </c>
      <c r="G472">
        <v>59</v>
      </c>
      <c r="H472" t="s">
        <v>420</v>
      </c>
      <c r="I472" t="s">
        <v>1980</v>
      </c>
      <c r="J472">
        <v>60174400</v>
      </c>
      <c r="K472">
        <v>2025</v>
      </c>
      <c r="L472">
        <v>987632243</v>
      </c>
      <c r="M472" t="s">
        <v>2933</v>
      </c>
      <c r="N472" t="s">
        <v>1688</v>
      </c>
      <c r="O472" t="s">
        <v>1686</v>
      </c>
      <c r="P472">
        <v>0</v>
      </c>
      <c r="Q472">
        <v>10781247</v>
      </c>
      <c r="R472">
        <v>0</v>
      </c>
      <c r="S472">
        <v>49393153</v>
      </c>
      <c r="T472" t="str">
        <f t="shared" si="14"/>
        <v>1282.43.4302.03.0-205128.2.3.2.02.02.008.10.</v>
      </c>
      <c r="U472" t="e" cm="1">
        <f t="array" aca="1" ref="U472" ca="1">+IF(COMPROMISOS_2025[[#This Row],[P]]="20","41080111",_xlfn.XLOOKUP(COMPROMISOS_2025[[#This Row],[concatenado]],PAA[[#All],[RCP-RUBRO]],PAA[[#All],[INDICADOR]],"",0))</f>
        <v>#NAME?</v>
      </c>
      <c r="V472" s="144" t="str">
        <f t="shared" si="15"/>
        <v>03</v>
      </c>
      <c r="W472" s="136">
        <f>+COMPROMISOS_2025[[#This Row],[valor_total]]-COMPROMISOS_2025[[#This Row],[total_cancelado]]</f>
        <v>60174400</v>
      </c>
      <c r="X472" s="136">
        <f>COMPROMISOS_2025[[#This Row],[total_ordenes]]</f>
        <v>10781247</v>
      </c>
      <c r="Y472" t="str" cm="1">
        <f t="array" aca="1" ref="Y472" ca="1">IFERROR(_xlfn.XLOOKUP(COMPROMISOS_2025[[#This Row],[concatenado]],PAA[[#All],[RCP-RUBRO]],PAA[[#All],[Actividad3]],VLOOKUP(COMPROMISOS_2025[[#This Row],[Indicador Principal]],$AC$2:$AD$17,2,0),0),"")</f>
        <v/>
      </c>
    </row>
    <row r="473" spans="1:25" hidden="1" x14ac:dyDescent="0.25">
      <c r="A473">
        <v>137</v>
      </c>
      <c r="B473" t="s">
        <v>2934</v>
      </c>
      <c r="C473" t="s">
        <v>1936</v>
      </c>
      <c r="D473" t="s">
        <v>1982</v>
      </c>
      <c r="E473" t="s">
        <v>2935</v>
      </c>
      <c r="F473">
        <v>290</v>
      </c>
      <c r="G473">
        <v>60</v>
      </c>
      <c r="H473" t="s">
        <v>433</v>
      </c>
      <c r="I473" t="s">
        <v>1983</v>
      </c>
      <c r="J473">
        <v>60174400</v>
      </c>
      <c r="K473">
        <v>2025</v>
      </c>
      <c r="L473">
        <v>10401815486</v>
      </c>
      <c r="M473" t="s">
        <v>2936</v>
      </c>
      <c r="N473" t="s">
        <v>1688</v>
      </c>
      <c r="O473" t="s">
        <v>1686</v>
      </c>
      <c r="P473">
        <v>0</v>
      </c>
      <c r="Q473">
        <v>12034880</v>
      </c>
      <c r="R473">
        <v>0</v>
      </c>
      <c r="S473">
        <v>48139520</v>
      </c>
      <c r="T473" t="str">
        <f t="shared" si="14"/>
        <v>1372.43.4302.03.0-205128.2.3.2.02.02.009.02.</v>
      </c>
      <c r="U473" t="e" cm="1">
        <f t="array" aca="1" ref="U473" ca="1">+IF(COMPROMISOS_2025[[#This Row],[P]]="20","41080111",_xlfn.XLOOKUP(COMPROMISOS_2025[[#This Row],[concatenado]],PAA[[#All],[RCP-RUBRO]],PAA[[#All],[INDICADOR]],"",0))</f>
        <v>#NAME?</v>
      </c>
      <c r="V473" s="144" t="str">
        <f t="shared" si="15"/>
        <v>03</v>
      </c>
      <c r="W473" s="136">
        <f>+COMPROMISOS_2025[[#This Row],[valor_total]]-COMPROMISOS_2025[[#This Row],[total_cancelado]]</f>
        <v>60174400</v>
      </c>
      <c r="X473" s="136">
        <f>COMPROMISOS_2025[[#This Row],[total_ordenes]]</f>
        <v>12034880</v>
      </c>
      <c r="Y473" t="str" cm="1">
        <f t="array" aca="1" ref="Y473" ca="1">IFERROR(_xlfn.XLOOKUP(COMPROMISOS_2025[[#This Row],[concatenado]],PAA[[#All],[RCP-RUBRO]],PAA[[#All],[Actividad3]],VLOOKUP(COMPROMISOS_2025[[#This Row],[Indicador Principal]],$AC$2:$AD$17,2,0),0),"")</f>
        <v/>
      </c>
    </row>
    <row r="474" spans="1:25" hidden="1" x14ac:dyDescent="0.25">
      <c r="A474">
        <v>152</v>
      </c>
      <c r="B474" t="s">
        <v>2937</v>
      </c>
      <c r="C474" t="s">
        <v>1936</v>
      </c>
      <c r="D474" t="s">
        <v>1985</v>
      </c>
      <c r="E474" t="s">
        <v>2938</v>
      </c>
      <c r="F474">
        <v>323</v>
      </c>
      <c r="G474">
        <v>60</v>
      </c>
      <c r="H474" t="s">
        <v>433</v>
      </c>
      <c r="I474" t="s">
        <v>1983</v>
      </c>
      <c r="J474">
        <v>60174400</v>
      </c>
      <c r="K474">
        <v>2025</v>
      </c>
      <c r="L474">
        <v>155349208</v>
      </c>
      <c r="M474" t="s">
        <v>2939</v>
      </c>
      <c r="N474" t="s">
        <v>1688</v>
      </c>
      <c r="O474" t="s">
        <v>1686</v>
      </c>
      <c r="P474">
        <v>0</v>
      </c>
      <c r="Q474">
        <v>10279793</v>
      </c>
      <c r="R474">
        <v>0</v>
      </c>
      <c r="S474">
        <v>49894607</v>
      </c>
      <c r="T474" t="str">
        <f t="shared" si="14"/>
        <v>1522.43.4302.03.0-205128.2.3.2.02.02.009.02.</v>
      </c>
      <c r="U474" t="e" cm="1">
        <f t="array" aca="1" ref="U474" ca="1">+IF(COMPROMISOS_2025[[#This Row],[P]]="20","41080111",_xlfn.XLOOKUP(COMPROMISOS_2025[[#This Row],[concatenado]],PAA[[#All],[RCP-RUBRO]],PAA[[#All],[INDICADOR]],"",0))</f>
        <v>#NAME?</v>
      </c>
      <c r="V474" s="144" t="str">
        <f t="shared" si="15"/>
        <v>03</v>
      </c>
      <c r="W474" s="136">
        <f>+COMPROMISOS_2025[[#This Row],[valor_total]]-COMPROMISOS_2025[[#This Row],[total_cancelado]]</f>
        <v>60174400</v>
      </c>
      <c r="X474" s="136">
        <f>COMPROMISOS_2025[[#This Row],[total_ordenes]]</f>
        <v>10279793</v>
      </c>
      <c r="Y474" t="str" cm="1">
        <f t="array" aca="1" ref="Y474" ca="1">IFERROR(_xlfn.XLOOKUP(COMPROMISOS_2025[[#This Row],[concatenado]],PAA[[#All],[RCP-RUBRO]],PAA[[#All],[Actividad3]],VLOOKUP(COMPROMISOS_2025[[#This Row],[Indicador Principal]],$AC$2:$AD$17,2,0),0),"")</f>
        <v/>
      </c>
    </row>
    <row r="475" spans="1:25" hidden="1" x14ac:dyDescent="0.25">
      <c r="A475">
        <v>426</v>
      </c>
      <c r="B475" t="s">
        <v>2940</v>
      </c>
      <c r="C475" t="s">
        <v>1936</v>
      </c>
      <c r="D475" t="s">
        <v>1991</v>
      </c>
      <c r="E475" t="s">
        <v>2941</v>
      </c>
      <c r="F475">
        <v>328</v>
      </c>
      <c r="G475">
        <v>60</v>
      </c>
      <c r="H475" t="s">
        <v>433</v>
      </c>
      <c r="I475" t="s">
        <v>1983</v>
      </c>
      <c r="J475">
        <v>60174400</v>
      </c>
      <c r="K475">
        <v>2025</v>
      </c>
      <c r="L475">
        <v>10407512037</v>
      </c>
      <c r="M475" t="s">
        <v>2942</v>
      </c>
      <c r="N475" t="s">
        <v>1688</v>
      </c>
      <c r="O475" t="s">
        <v>1686</v>
      </c>
      <c r="P475">
        <v>0</v>
      </c>
      <c r="Q475">
        <v>0</v>
      </c>
      <c r="R475">
        <v>0</v>
      </c>
      <c r="S475">
        <v>60174400</v>
      </c>
      <c r="T475" t="str">
        <f t="shared" si="14"/>
        <v>4262.43.4302.03.0-205128.2.3.2.02.02.009.02.</v>
      </c>
      <c r="U475" t="e" cm="1">
        <f t="array" aca="1" ref="U475" ca="1">+IF(COMPROMISOS_2025[[#This Row],[P]]="20","41080111",_xlfn.XLOOKUP(COMPROMISOS_2025[[#This Row],[concatenado]],PAA[[#All],[RCP-RUBRO]],PAA[[#All],[INDICADOR]],"",0))</f>
        <v>#NAME?</v>
      </c>
      <c r="V475" s="144" t="str">
        <f t="shared" si="15"/>
        <v>03</v>
      </c>
      <c r="W475" s="136">
        <f>+COMPROMISOS_2025[[#This Row],[valor_total]]-COMPROMISOS_2025[[#This Row],[total_cancelado]]</f>
        <v>60174400</v>
      </c>
      <c r="X475" s="136">
        <f>COMPROMISOS_2025[[#This Row],[total_ordenes]]</f>
        <v>0</v>
      </c>
      <c r="Y475" t="str" cm="1">
        <f t="array" aca="1" ref="Y475" ca="1">IFERROR(_xlfn.XLOOKUP(COMPROMISOS_2025[[#This Row],[concatenado]],PAA[[#All],[RCP-RUBRO]],PAA[[#All],[Actividad3]],VLOOKUP(COMPROMISOS_2025[[#This Row],[Indicador Principal]],$AC$2:$AD$17,2,0),0),"")</f>
        <v/>
      </c>
    </row>
    <row r="476" spans="1:25" hidden="1" x14ac:dyDescent="0.25">
      <c r="A476">
        <v>427</v>
      </c>
      <c r="B476" t="s">
        <v>2943</v>
      </c>
      <c r="C476" t="s">
        <v>1936</v>
      </c>
      <c r="D476" t="s">
        <v>1989</v>
      </c>
      <c r="E476" t="s">
        <v>2944</v>
      </c>
      <c r="F476">
        <v>327</v>
      </c>
      <c r="G476">
        <v>60</v>
      </c>
      <c r="H476" t="s">
        <v>433</v>
      </c>
      <c r="I476" t="s">
        <v>1983</v>
      </c>
      <c r="J476">
        <v>32822400</v>
      </c>
      <c r="K476">
        <v>2025</v>
      </c>
      <c r="L476">
        <v>394247848</v>
      </c>
      <c r="M476" t="s">
        <v>2945</v>
      </c>
      <c r="N476" t="s">
        <v>1688</v>
      </c>
      <c r="O476" t="s">
        <v>1686</v>
      </c>
      <c r="P476">
        <v>0</v>
      </c>
      <c r="Q476">
        <v>0</v>
      </c>
      <c r="R476">
        <v>0</v>
      </c>
      <c r="S476">
        <v>32822400</v>
      </c>
      <c r="T476" t="str">
        <f t="shared" si="14"/>
        <v>4272.43.4302.03.0-205128.2.3.2.02.02.009.02.</v>
      </c>
      <c r="U476" t="e" cm="1">
        <f t="array" aca="1" ref="U476" ca="1">+IF(COMPROMISOS_2025[[#This Row],[P]]="20","41080111",_xlfn.XLOOKUP(COMPROMISOS_2025[[#This Row],[concatenado]],PAA[[#All],[RCP-RUBRO]],PAA[[#All],[INDICADOR]],"",0))</f>
        <v>#NAME?</v>
      </c>
      <c r="V476" s="144" t="str">
        <f t="shared" si="15"/>
        <v>03</v>
      </c>
      <c r="W476" s="136">
        <f>+COMPROMISOS_2025[[#This Row],[valor_total]]-COMPROMISOS_2025[[#This Row],[total_cancelado]]</f>
        <v>32822400</v>
      </c>
      <c r="X476" s="136">
        <f>COMPROMISOS_2025[[#This Row],[total_ordenes]]</f>
        <v>0</v>
      </c>
      <c r="Y476" t="str" cm="1">
        <f t="array" aca="1" ref="Y476" ca="1">IFERROR(_xlfn.XLOOKUP(COMPROMISOS_2025[[#This Row],[concatenado]],PAA[[#All],[RCP-RUBRO]],PAA[[#All],[Actividad3]],VLOOKUP(COMPROMISOS_2025[[#This Row],[Indicador Principal]],$AC$2:$AD$17,2,0),0),"")</f>
        <v/>
      </c>
    </row>
    <row r="477" spans="1:25" hidden="1" x14ac:dyDescent="0.25">
      <c r="A477">
        <v>783</v>
      </c>
      <c r="B477" t="s">
        <v>2946</v>
      </c>
      <c r="C477" t="s">
        <v>1936</v>
      </c>
      <c r="D477" t="s">
        <v>1993</v>
      </c>
      <c r="E477" t="s">
        <v>2947</v>
      </c>
      <c r="F477">
        <v>329</v>
      </c>
      <c r="G477">
        <v>60</v>
      </c>
      <c r="H477" t="s">
        <v>433</v>
      </c>
      <c r="I477" t="s">
        <v>1983</v>
      </c>
      <c r="J477">
        <v>32822400</v>
      </c>
      <c r="K477">
        <v>2025</v>
      </c>
      <c r="L477">
        <v>1039472270</v>
      </c>
      <c r="M477" t="s">
        <v>2948</v>
      </c>
      <c r="N477" t="s">
        <v>1688</v>
      </c>
      <c r="O477" t="s">
        <v>1686</v>
      </c>
      <c r="P477">
        <v>0</v>
      </c>
      <c r="Q477">
        <v>3419000</v>
      </c>
      <c r="R477">
        <v>0</v>
      </c>
      <c r="S477">
        <v>29403400</v>
      </c>
      <c r="T477" t="str">
        <f t="shared" si="14"/>
        <v>7832.43.4302.03.0-205128.2.3.2.02.02.009.02.</v>
      </c>
      <c r="U477" t="e" cm="1">
        <f t="array" aca="1" ref="U477" ca="1">+IF(COMPROMISOS_2025[[#This Row],[P]]="20","41080111",_xlfn.XLOOKUP(COMPROMISOS_2025[[#This Row],[concatenado]],PAA[[#All],[RCP-RUBRO]],PAA[[#All],[INDICADOR]],"",0))</f>
        <v>#NAME?</v>
      </c>
      <c r="V477" s="144" t="str">
        <f t="shared" si="15"/>
        <v>03</v>
      </c>
      <c r="W477" s="136">
        <f>+COMPROMISOS_2025[[#This Row],[valor_total]]-COMPROMISOS_2025[[#This Row],[total_cancelado]]</f>
        <v>32822400</v>
      </c>
      <c r="X477" s="136">
        <f>COMPROMISOS_2025[[#This Row],[total_ordenes]]</f>
        <v>3419000</v>
      </c>
      <c r="Y477" t="str" cm="1">
        <f t="array" aca="1" ref="Y477" ca="1">IFERROR(_xlfn.XLOOKUP(COMPROMISOS_2025[[#This Row],[concatenado]],PAA[[#All],[RCP-RUBRO]],PAA[[#All],[Actividad3]],VLOOKUP(COMPROMISOS_2025[[#This Row],[Indicador Principal]],$AC$2:$AD$17,2,0),0),"")</f>
        <v/>
      </c>
    </row>
    <row r="478" spans="1:25" hidden="1" x14ac:dyDescent="0.25">
      <c r="A478">
        <v>800</v>
      </c>
      <c r="B478" t="s">
        <v>2949</v>
      </c>
      <c r="C478" t="s">
        <v>1936</v>
      </c>
      <c r="D478" t="s">
        <v>2007</v>
      </c>
      <c r="E478" t="s">
        <v>2950</v>
      </c>
      <c r="F478">
        <v>379</v>
      </c>
      <c r="G478">
        <v>60</v>
      </c>
      <c r="H478" t="s">
        <v>433</v>
      </c>
      <c r="I478" t="s">
        <v>1983</v>
      </c>
      <c r="J478">
        <v>60174400</v>
      </c>
      <c r="K478">
        <v>2025</v>
      </c>
      <c r="L478">
        <v>435846341</v>
      </c>
      <c r="M478" t="s">
        <v>2951</v>
      </c>
      <c r="N478" t="s">
        <v>1688</v>
      </c>
      <c r="O478" t="s">
        <v>1686</v>
      </c>
      <c r="P478">
        <v>0</v>
      </c>
      <c r="Q478">
        <v>6017440</v>
      </c>
      <c r="R478">
        <v>0</v>
      </c>
      <c r="S478">
        <v>54156960</v>
      </c>
      <c r="T478" t="str">
        <f t="shared" si="14"/>
        <v>8002.43.4302.03.0-205128.2.3.2.02.02.009.02.</v>
      </c>
      <c r="U478" t="e" cm="1">
        <f t="array" aca="1" ref="U478" ca="1">+IF(COMPROMISOS_2025[[#This Row],[P]]="20","41080111",_xlfn.XLOOKUP(COMPROMISOS_2025[[#This Row],[concatenado]],PAA[[#All],[RCP-RUBRO]],PAA[[#All],[INDICADOR]],"",0))</f>
        <v>#NAME?</v>
      </c>
      <c r="V478" s="144" t="str">
        <f t="shared" si="15"/>
        <v>03</v>
      </c>
      <c r="W478" s="136">
        <f>+COMPROMISOS_2025[[#This Row],[valor_total]]-COMPROMISOS_2025[[#This Row],[total_cancelado]]</f>
        <v>60174400</v>
      </c>
      <c r="X478" s="136">
        <f>COMPROMISOS_2025[[#This Row],[total_ordenes]]</f>
        <v>6017440</v>
      </c>
      <c r="Y478" t="str" cm="1">
        <f t="array" aca="1" ref="Y478" ca="1">IFERROR(_xlfn.XLOOKUP(COMPROMISOS_2025[[#This Row],[concatenado]],PAA[[#All],[RCP-RUBRO]],PAA[[#All],[Actividad3]],VLOOKUP(COMPROMISOS_2025[[#This Row],[Indicador Principal]],$AC$2:$AD$17,2,0),0),"")</f>
        <v/>
      </c>
    </row>
    <row r="479" spans="1:25" hidden="1" x14ac:dyDescent="0.25">
      <c r="A479">
        <v>801</v>
      </c>
      <c r="B479" t="s">
        <v>2952</v>
      </c>
      <c r="C479" t="s">
        <v>1936</v>
      </c>
      <c r="D479" t="s">
        <v>1999</v>
      </c>
      <c r="E479" t="s">
        <v>2953</v>
      </c>
      <c r="F479">
        <v>375</v>
      </c>
      <c r="G479">
        <v>60</v>
      </c>
      <c r="H479" t="s">
        <v>433</v>
      </c>
      <c r="I479" t="s">
        <v>1983</v>
      </c>
      <c r="J479">
        <v>60174400</v>
      </c>
      <c r="K479">
        <v>2025</v>
      </c>
      <c r="L479">
        <v>11284175839</v>
      </c>
      <c r="M479" t="s">
        <v>2954</v>
      </c>
      <c r="N479" t="s">
        <v>1688</v>
      </c>
      <c r="O479" t="s">
        <v>1686</v>
      </c>
      <c r="P479">
        <v>0</v>
      </c>
      <c r="Q479">
        <v>6017440</v>
      </c>
      <c r="R479">
        <v>0</v>
      </c>
      <c r="S479">
        <v>54156960</v>
      </c>
      <c r="T479" t="str">
        <f t="shared" si="14"/>
        <v>8012.43.4302.03.0-205128.2.3.2.02.02.009.02.</v>
      </c>
      <c r="U479" t="e" cm="1">
        <f t="array" aca="1" ref="U479" ca="1">+IF(COMPROMISOS_2025[[#This Row],[P]]="20","41080111",_xlfn.XLOOKUP(COMPROMISOS_2025[[#This Row],[concatenado]],PAA[[#All],[RCP-RUBRO]],PAA[[#All],[INDICADOR]],"",0))</f>
        <v>#NAME?</v>
      </c>
      <c r="V479" s="144" t="str">
        <f t="shared" si="15"/>
        <v>03</v>
      </c>
      <c r="W479" s="136">
        <f>+COMPROMISOS_2025[[#This Row],[valor_total]]-COMPROMISOS_2025[[#This Row],[total_cancelado]]</f>
        <v>60174400</v>
      </c>
      <c r="X479" s="136">
        <f>COMPROMISOS_2025[[#This Row],[total_ordenes]]</f>
        <v>6017440</v>
      </c>
      <c r="Y479" t="str" cm="1">
        <f t="array" aca="1" ref="Y479" ca="1">IFERROR(_xlfn.XLOOKUP(COMPROMISOS_2025[[#This Row],[concatenado]],PAA[[#All],[RCP-RUBRO]],PAA[[#All],[Actividad3]],VLOOKUP(COMPROMISOS_2025[[#This Row],[Indicador Principal]],$AC$2:$AD$17,2,0),0),"")</f>
        <v/>
      </c>
    </row>
    <row r="480" spans="1:25" hidden="1" x14ac:dyDescent="0.25">
      <c r="A480">
        <v>802</v>
      </c>
      <c r="B480" t="s">
        <v>2955</v>
      </c>
      <c r="C480" t="s">
        <v>1936</v>
      </c>
      <c r="D480" t="s">
        <v>2003</v>
      </c>
      <c r="E480" t="s">
        <v>2956</v>
      </c>
      <c r="F480">
        <v>377</v>
      </c>
      <c r="G480">
        <v>60</v>
      </c>
      <c r="H480" t="s">
        <v>433</v>
      </c>
      <c r="I480" t="s">
        <v>1983</v>
      </c>
      <c r="J480">
        <v>60174400</v>
      </c>
      <c r="K480">
        <v>2025</v>
      </c>
      <c r="L480">
        <v>1036949550</v>
      </c>
      <c r="M480" t="s">
        <v>2957</v>
      </c>
      <c r="N480" t="s">
        <v>1688</v>
      </c>
      <c r="O480" t="s">
        <v>1686</v>
      </c>
      <c r="P480">
        <v>0</v>
      </c>
      <c r="Q480">
        <v>6017440</v>
      </c>
      <c r="R480">
        <v>0</v>
      </c>
      <c r="S480">
        <v>54156960</v>
      </c>
      <c r="T480" t="str">
        <f t="shared" si="14"/>
        <v>8022.43.4302.03.0-205128.2.3.2.02.02.009.02.</v>
      </c>
      <c r="U480" t="e" cm="1">
        <f t="array" aca="1" ref="U480" ca="1">+IF(COMPROMISOS_2025[[#This Row],[P]]="20","41080111",_xlfn.XLOOKUP(COMPROMISOS_2025[[#This Row],[concatenado]],PAA[[#All],[RCP-RUBRO]],PAA[[#All],[INDICADOR]],"",0))</f>
        <v>#NAME?</v>
      </c>
      <c r="V480" s="144" t="str">
        <f t="shared" si="15"/>
        <v>03</v>
      </c>
      <c r="W480" s="136">
        <f>+COMPROMISOS_2025[[#This Row],[valor_total]]-COMPROMISOS_2025[[#This Row],[total_cancelado]]</f>
        <v>60174400</v>
      </c>
      <c r="X480" s="136">
        <f>COMPROMISOS_2025[[#This Row],[total_ordenes]]</f>
        <v>6017440</v>
      </c>
      <c r="Y480" t="str" cm="1">
        <f t="array" aca="1" ref="Y480" ca="1">IFERROR(_xlfn.XLOOKUP(COMPROMISOS_2025[[#This Row],[concatenado]],PAA[[#All],[RCP-RUBRO]],PAA[[#All],[Actividad3]],VLOOKUP(COMPROMISOS_2025[[#This Row],[Indicador Principal]],$AC$2:$AD$17,2,0),0),"")</f>
        <v/>
      </c>
    </row>
    <row r="481" spans="1:25" hidden="1" x14ac:dyDescent="0.25">
      <c r="A481">
        <v>813</v>
      </c>
      <c r="B481" t="s">
        <v>2958</v>
      </c>
      <c r="C481" t="s">
        <v>1936</v>
      </c>
      <c r="D481" t="s">
        <v>1987</v>
      </c>
      <c r="E481" t="s">
        <v>2959</v>
      </c>
      <c r="F481">
        <v>324</v>
      </c>
      <c r="G481">
        <v>60</v>
      </c>
      <c r="H481" t="s">
        <v>433</v>
      </c>
      <c r="I481" t="s">
        <v>1983</v>
      </c>
      <c r="J481">
        <v>60174400</v>
      </c>
      <c r="K481">
        <v>2025</v>
      </c>
      <c r="L481">
        <v>10204323421</v>
      </c>
      <c r="M481" t="s">
        <v>2960</v>
      </c>
      <c r="N481" t="s">
        <v>1688</v>
      </c>
      <c r="O481" t="s">
        <v>1686</v>
      </c>
      <c r="P481">
        <v>0</v>
      </c>
      <c r="Q481">
        <v>3008720</v>
      </c>
      <c r="R481">
        <v>0</v>
      </c>
      <c r="S481">
        <v>57165680</v>
      </c>
      <c r="T481" t="str">
        <f t="shared" si="14"/>
        <v>8132.43.4302.03.0-205128.2.3.2.02.02.009.02.</v>
      </c>
      <c r="U481" t="e" cm="1">
        <f t="array" aca="1" ref="U481" ca="1">+IF(COMPROMISOS_2025[[#This Row],[P]]="20","41080111",_xlfn.XLOOKUP(COMPROMISOS_2025[[#This Row],[concatenado]],PAA[[#All],[RCP-RUBRO]],PAA[[#All],[INDICADOR]],"",0))</f>
        <v>#NAME?</v>
      </c>
      <c r="V481" s="144" t="str">
        <f t="shared" si="15"/>
        <v>03</v>
      </c>
      <c r="W481" s="136">
        <f>+COMPROMISOS_2025[[#This Row],[valor_total]]-COMPROMISOS_2025[[#This Row],[total_cancelado]]</f>
        <v>60174400</v>
      </c>
      <c r="X481" s="136">
        <f>COMPROMISOS_2025[[#This Row],[total_ordenes]]</f>
        <v>3008720</v>
      </c>
      <c r="Y481" t="str" cm="1">
        <f t="array" aca="1" ref="Y481" ca="1">IFERROR(_xlfn.XLOOKUP(COMPROMISOS_2025[[#This Row],[concatenado]],PAA[[#All],[RCP-RUBRO]],PAA[[#All],[Actividad3]],VLOOKUP(COMPROMISOS_2025[[#This Row],[Indicador Principal]],$AC$2:$AD$17,2,0),0),"")</f>
        <v/>
      </c>
    </row>
    <row r="482" spans="1:25" hidden="1" x14ac:dyDescent="0.25">
      <c r="A482">
        <v>823</v>
      </c>
      <c r="B482" t="s">
        <v>2961</v>
      </c>
      <c r="C482" t="s">
        <v>1936</v>
      </c>
      <c r="D482" t="s">
        <v>1995</v>
      </c>
      <c r="E482" t="s">
        <v>2962</v>
      </c>
      <c r="F482">
        <v>373</v>
      </c>
      <c r="G482">
        <v>60</v>
      </c>
      <c r="H482" t="s">
        <v>433</v>
      </c>
      <c r="I482" t="s">
        <v>1983</v>
      </c>
      <c r="J482">
        <v>60174400</v>
      </c>
      <c r="K482">
        <v>2025</v>
      </c>
      <c r="L482">
        <v>10100545587</v>
      </c>
      <c r="M482" t="s">
        <v>2963</v>
      </c>
      <c r="N482" t="s">
        <v>1688</v>
      </c>
      <c r="O482" t="s">
        <v>1686</v>
      </c>
      <c r="P482">
        <v>0</v>
      </c>
      <c r="Q482">
        <v>5265260</v>
      </c>
      <c r="R482">
        <v>0</v>
      </c>
      <c r="S482">
        <v>54909140</v>
      </c>
      <c r="T482" t="str">
        <f t="shared" si="14"/>
        <v>8232.43.4302.03.0-205128.2.3.2.02.02.009.02.</v>
      </c>
      <c r="U482" t="e" cm="1">
        <f t="array" aca="1" ref="U482" ca="1">+IF(COMPROMISOS_2025[[#This Row],[P]]="20","41080111",_xlfn.XLOOKUP(COMPROMISOS_2025[[#This Row],[concatenado]],PAA[[#All],[RCP-RUBRO]],PAA[[#All],[INDICADOR]],"",0))</f>
        <v>#NAME?</v>
      </c>
      <c r="V482" s="144" t="str">
        <f t="shared" si="15"/>
        <v>03</v>
      </c>
      <c r="W482" s="136">
        <f>+COMPROMISOS_2025[[#This Row],[valor_total]]-COMPROMISOS_2025[[#This Row],[total_cancelado]]</f>
        <v>60174400</v>
      </c>
      <c r="X482" s="136">
        <f>COMPROMISOS_2025[[#This Row],[total_ordenes]]</f>
        <v>5265260</v>
      </c>
      <c r="Y482" t="str" cm="1">
        <f t="array" aca="1" ref="Y482" ca="1">IFERROR(_xlfn.XLOOKUP(COMPROMISOS_2025[[#This Row],[concatenado]],PAA[[#All],[RCP-RUBRO]],PAA[[#All],[Actividad3]],VLOOKUP(COMPROMISOS_2025[[#This Row],[Indicador Principal]],$AC$2:$AD$17,2,0),0),"")</f>
        <v/>
      </c>
    </row>
    <row r="483" spans="1:25" hidden="1" x14ac:dyDescent="0.25">
      <c r="A483">
        <v>2850</v>
      </c>
      <c r="B483" t="s">
        <v>2964</v>
      </c>
      <c r="C483" t="s">
        <v>1936</v>
      </c>
      <c r="D483" t="s">
        <v>2001</v>
      </c>
      <c r="E483" t="s">
        <v>2965</v>
      </c>
      <c r="F483">
        <v>376</v>
      </c>
      <c r="G483">
        <v>60</v>
      </c>
      <c r="H483" t="s">
        <v>433</v>
      </c>
      <c r="I483" t="s">
        <v>1983</v>
      </c>
      <c r="J483">
        <v>39413514</v>
      </c>
      <c r="K483">
        <v>2025</v>
      </c>
      <c r="L483">
        <v>717179222</v>
      </c>
      <c r="M483" t="s">
        <v>2966</v>
      </c>
      <c r="N483" t="s">
        <v>1688</v>
      </c>
      <c r="O483" t="s">
        <v>1686</v>
      </c>
      <c r="P483">
        <v>0</v>
      </c>
      <c r="Q483">
        <v>0</v>
      </c>
      <c r="R483">
        <v>0</v>
      </c>
      <c r="S483">
        <v>39413514</v>
      </c>
      <c r="T483" t="str">
        <f t="shared" si="14"/>
        <v>28502.43.4302.03.0-205128.2.3.2.02.02.009.02.</v>
      </c>
      <c r="U483" t="e" cm="1">
        <f t="array" aca="1" ref="U483" ca="1">+IF(COMPROMISOS_2025[[#This Row],[P]]="20","41080111",_xlfn.XLOOKUP(COMPROMISOS_2025[[#This Row],[concatenado]],PAA[[#All],[RCP-RUBRO]],PAA[[#All],[INDICADOR]],"",0))</f>
        <v>#NAME?</v>
      </c>
      <c r="V483" s="144" t="str">
        <f t="shared" si="15"/>
        <v>03</v>
      </c>
      <c r="W483" s="136">
        <f>+COMPROMISOS_2025[[#This Row],[valor_total]]-COMPROMISOS_2025[[#This Row],[total_cancelado]]</f>
        <v>39413514</v>
      </c>
      <c r="X483" s="136">
        <f>COMPROMISOS_2025[[#This Row],[total_ordenes]]</f>
        <v>0</v>
      </c>
      <c r="Y483" t="str" cm="1">
        <f t="array" aca="1" ref="Y483" ca="1">IFERROR(_xlfn.XLOOKUP(COMPROMISOS_2025[[#This Row],[concatenado]],PAA[[#All],[RCP-RUBRO]],PAA[[#All],[Actividad3]],VLOOKUP(COMPROMISOS_2025[[#This Row],[Indicador Principal]],$AC$2:$AD$17,2,0),0),"")</f>
        <v/>
      </c>
    </row>
    <row r="484" spans="1:25" hidden="1" x14ac:dyDescent="0.25">
      <c r="A484">
        <v>2854</v>
      </c>
      <c r="B484" t="s">
        <v>2967</v>
      </c>
      <c r="C484" t="s">
        <v>1936</v>
      </c>
      <c r="D484" t="s">
        <v>2009</v>
      </c>
      <c r="E484" t="s">
        <v>2968</v>
      </c>
      <c r="F484">
        <v>401</v>
      </c>
      <c r="G484">
        <v>60</v>
      </c>
      <c r="H484" t="s">
        <v>433</v>
      </c>
      <c r="I484" t="s">
        <v>1983</v>
      </c>
      <c r="J484">
        <v>32822400</v>
      </c>
      <c r="K484">
        <v>2025</v>
      </c>
      <c r="L484">
        <v>1015067883</v>
      </c>
      <c r="M484" t="s">
        <v>2969</v>
      </c>
      <c r="N484" t="s">
        <v>1688</v>
      </c>
      <c r="O484" t="s">
        <v>1686</v>
      </c>
      <c r="P484">
        <v>0</v>
      </c>
      <c r="Q484">
        <v>0</v>
      </c>
      <c r="R484">
        <v>0</v>
      </c>
      <c r="S484">
        <v>32822400</v>
      </c>
      <c r="T484" t="str">
        <f t="shared" si="14"/>
        <v>28542.43.4302.03.0-205128.2.3.2.02.02.009.02.</v>
      </c>
      <c r="U484" t="e" cm="1">
        <f t="array" aca="1" ref="U484" ca="1">+IF(COMPROMISOS_2025[[#This Row],[P]]="20","41080111",_xlfn.XLOOKUP(COMPROMISOS_2025[[#This Row],[concatenado]],PAA[[#All],[RCP-RUBRO]],PAA[[#All],[INDICADOR]],"",0))</f>
        <v>#NAME?</v>
      </c>
      <c r="V484" s="144" t="str">
        <f t="shared" si="15"/>
        <v>03</v>
      </c>
      <c r="W484" s="136">
        <f>+COMPROMISOS_2025[[#This Row],[valor_total]]-COMPROMISOS_2025[[#This Row],[total_cancelado]]</f>
        <v>32822400</v>
      </c>
      <c r="X484" s="136">
        <f>COMPROMISOS_2025[[#This Row],[total_ordenes]]</f>
        <v>0</v>
      </c>
      <c r="Y484" t="str" cm="1">
        <f t="array" aca="1" ref="Y484" ca="1">IFERROR(_xlfn.XLOOKUP(COMPROMISOS_2025[[#This Row],[concatenado]],PAA[[#All],[RCP-RUBRO]],PAA[[#All],[Actividad3]],VLOOKUP(COMPROMISOS_2025[[#This Row],[Indicador Principal]],$AC$2:$AD$17,2,0),0),"")</f>
        <v/>
      </c>
    </row>
    <row r="485" spans="1:25" hidden="1" x14ac:dyDescent="0.25">
      <c r="A485">
        <v>2856</v>
      </c>
      <c r="B485" t="s">
        <v>2970</v>
      </c>
      <c r="C485" t="s">
        <v>1936</v>
      </c>
      <c r="D485" t="s">
        <v>2013</v>
      </c>
      <c r="E485" t="s">
        <v>2971</v>
      </c>
      <c r="F485">
        <v>403</v>
      </c>
      <c r="G485">
        <v>60</v>
      </c>
      <c r="H485" t="s">
        <v>433</v>
      </c>
      <c r="I485" t="s">
        <v>1983</v>
      </c>
      <c r="J485">
        <v>71206373</v>
      </c>
      <c r="K485">
        <v>2025</v>
      </c>
      <c r="L485">
        <v>1038417615</v>
      </c>
      <c r="M485" t="s">
        <v>2972</v>
      </c>
      <c r="N485" t="s">
        <v>1688</v>
      </c>
      <c r="O485" t="s">
        <v>1686</v>
      </c>
      <c r="P485">
        <v>0</v>
      </c>
      <c r="Q485">
        <v>3510173</v>
      </c>
      <c r="R485">
        <v>0</v>
      </c>
      <c r="S485">
        <v>67696200</v>
      </c>
      <c r="T485" t="str">
        <f t="shared" si="14"/>
        <v>28562.43.4302.03.0-205128.2.3.2.02.02.009.02.</v>
      </c>
      <c r="U485" t="e" cm="1">
        <f t="array" aca="1" ref="U485" ca="1">+IF(COMPROMISOS_2025[[#This Row],[P]]="20","41080111",_xlfn.XLOOKUP(COMPROMISOS_2025[[#This Row],[concatenado]],PAA[[#All],[RCP-RUBRO]],PAA[[#All],[INDICADOR]],"",0))</f>
        <v>#NAME?</v>
      </c>
      <c r="V485" s="144" t="str">
        <f t="shared" si="15"/>
        <v>03</v>
      </c>
      <c r="W485" s="136">
        <f>+COMPROMISOS_2025[[#This Row],[valor_total]]-COMPROMISOS_2025[[#This Row],[total_cancelado]]</f>
        <v>71206373</v>
      </c>
      <c r="X485" s="136">
        <f>COMPROMISOS_2025[[#This Row],[total_ordenes]]</f>
        <v>3510173</v>
      </c>
      <c r="Y485" t="str" cm="1">
        <f t="array" aca="1" ref="Y485" ca="1">IFERROR(_xlfn.XLOOKUP(COMPROMISOS_2025[[#This Row],[concatenado]],PAA[[#All],[RCP-RUBRO]],PAA[[#All],[Actividad3]],VLOOKUP(COMPROMISOS_2025[[#This Row],[Indicador Principal]],$AC$2:$AD$17,2,0),0),"")</f>
        <v/>
      </c>
    </row>
    <row r="486" spans="1:25" hidden="1" x14ac:dyDescent="0.25">
      <c r="A486">
        <v>2857</v>
      </c>
      <c r="B486" t="s">
        <v>2973</v>
      </c>
      <c r="C486" t="s">
        <v>1936</v>
      </c>
      <c r="D486" t="s">
        <v>2011</v>
      </c>
      <c r="E486" t="s">
        <v>2974</v>
      </c>
      <c r="F486">
        <v>402</v>
      </c>
      <c r="G486">
        <v>60</v>
      </c>
      <c r="H486" t="s">
        <v>433</v>
      </c>
      <c r="I486" t="s">
        <v>1983</v>
      </c>
      <c r="J486">
        <v>71206373</v>
      </c>
      <c r="K486">
        <v>2025</v>
      </c>
      <c r="L486">
        <v>43182812</v>
      </c>
      <c r="M486" t="s">
        <v>2975</v>
      </c>
      <c r="N486" t="s">
        <v>1688</v>
      </c>
      <c r="O486" t="s">
        <v>1686</v>
      </c>
      <c r="P486">
        <v>0</v>
      </c>
      <c r="Q486">
        <v>3510173</v>
      </c>
      <c r="R486">
        <v>0</v>
      </c>
      <c r="S486">
        <v>67696200</v>
      </c>
      <c r="T486" t="str">
        <f t="shared" si="14"/>
        <v>28572.43.4302.03.0-205128.2.3.2.02.02.009.02.</v>
      </c>
      <c r="U486" t="e" cm="1">
        <f t="array" aca="1" ref="U486" ca="1">+IF(COMPROMISOS_2025[[#This Row],[P]]="20","41080111",_xlfn.XLOOKUP(COMPROMISOS_2025[[#This Row],[concatenado]],PAA[[#All],[RCP-RUBRO]],PAA[[#All],[INDICADOR]],"",0))</f>
        <v>#NAME?</v>
      </c>
      <c r="V486" s="144" t="str">
        <f t="shared" si="15"/>
        <v>03</v>
      </c>
      <c r="W486" s="136">
        <f>+COMPROMISOS_2025[[#This Row],[valor_total]]-COMPROMISOS_2025[[#This Row],[total_cancelado]]</f>
        <v>71206373</v>
      </c>
      <c r="X486" s="136">
        <f>COMPROMISOS_2025[[#This Row],[total_ordenes]]</f>
        <v>3510173</v>
      </c>
      <c r="Y486" t="str" cm="1">
        <f t="array" aca="1" ref="Y486" ca="1">IFERROR(_xlfn.XLOOKUP(COMPROMISOS_2025[[#This Row],[concatenado]],PAA[[#All],[RCP-RUBRO]],PAA[[#All],[Actividad3]],VLOOKUP(COMPROMISOS_2025[[#This Row],[Indicador Principal]],$AC$2:$AD$17,2,0),0),"")</f>
        <v/>
      </c>
    </row>
    <row r="487" spans="1:25" hidden="1" x14ac:dyDescent="0.25">
      <c r="A487">
        <v>2989</v>
      </c>
      <c r="B487" t="s">
        <v>2976</v>
      </c>
      <c r="C487" t="s">
        <v>1936</v>
      </c>
      <c r="D487" t="s">
        <v>2015</v>
      </c>
      <c r="E487" t="s">
        <v>2977</v>
      </c>
      <c r="F487">
        <v>416</v>
      </c>
      <c r="G487">
        <v>60</v>
      </c>
      <c r="H487" t="s">
        <v>433</v>
      </c>
      <c r="I487" t="s">
        <v>1983</v>
      </c>
      <c r="J487">
        <v>98626293</v>
      </c>
      <c r="K487">
        <v>2025</v>
      </c>
      <c r="L487">
        <v>794560266</v>
      </c>
      <c r="M487" t="s">
        <v>2978</v>
      </c>
      <c r="N487" t="s">
        <v>1688</v>
      </c>
      <c r="O487" t="s">
        <v>1686</v>
      </c>
      <c r="P487">
        <v>0</v>
      </c>
      <c r="Q487">
        <v>0</v>
      </c>
      <c r="R487">
        <v>0</v>
      </c>
      <c r="S487">
        <v>98626293</v>
      </c>
      <c r="T487" t="str">
        <f t="shared" si="14"/>
        <v>29892.43.4302.03.0-205128.2.3.2.02.02.009.02.</v>
      </c>
      <c r="U487" t="e" cm="1">
        <f t="array" aca="1" ref="U487" ca="1">+IF(COMPROMISOS_2025[[#This Row],[P]]="20","41080111",_xlfn.XLOOKUP(COMPROMISOS_2025[[#This Row],[concatenado]],PAA[[#All],[RCP-RUBRO]],PAA[[#All],[INDICADOR]],"",0))</f>
        <v>#NAME?</v>
      </c>
      <c r="V487" s="144" t="str">
        <f t="shared" si="15"/>
        <v>03</v>
      </c>
      <c r="W487" s="136">
        <f>+COMPROMISOS_2025[[#This Row],[valor_total]]-COMPROMISOS_2025[[#This Row],[total_cancelado]]</f>
        <v>98626293</v>
      </c>
      <c r="X487" s="136">
        <f>COMPROMISOS_2025[[#This Row],[total_ordenes]]</f>
        <v>0</v>
      </c>
      <c r="Y487" t="str" cm="1">
        <f t="array" aca="1" ref="Y487" ca="1">IFERROR(_xlfn.XLOOKUP(COMPROMISOS_2025[[#This Row],[concatenado]],PAA[[#All],[RCP-RUBRO]],PAA[[#All],[Actividad3]],VLOOKUP(COMPROMISOS_2025[[#This Row],[Indicador Principal]],$AC$2:$AD$17,2,0),0),"")</f>
        <v/>
      </c>
    </row>
    <row r="488" spans="1:25" hidden="1" x14ac:dyDescent="0.25">
      <c r="A488">
        <v>3002</v>
      </c>
      <c r="B488" t="s">
        <v>2979</v>
      </c>
      <c r="C488" t="s">
        <v>1936</v>
      </c>
      <c r="D488" t="s">
        <v>1997</v>
      </c>
      <c r="E488" t="s">
        <v>2980</v>
      </c>
      <c r="F488">
        <v>374</v>
      </c>
      <c r="G488">
        <v>60</v>
      </c>
      <c r="H488" t="s">
        <v>433</v>
      </c>
      <c r="I488" t="s">
        <v>1983</v>
      </c>
      <c r="J488">
        <v>36138024</v>
      </c>
      <c r="K488">
        <v>2025</v>
      </c>
      <c r="L488">
        <v>985442584</v>
      </c>
      <c r="M488" t="s">
        <v>2981</v>
      </c>
      <c r="N488" t="s">
        <v>1688</v>
      </c>
      <c r="O488" t="s">
        <v>1686</v>
      </c>
      <c r="P488">
        <v>0</v>
      </c>
      <c r="Q488">
        <v>0</v>
      </c>
      <c r="R488">
        <v>0</v>
      </c>
      <c r="S488">
        <v>36138024</v>
      </c>
      <c r="T488" t="str">
        <f t="shared" si="14"/>
        <v>30022.43.4302.03.0-205128.2.3.2.02.02.009.02.</v>
      </c>
      <c r="U488" t="e" cm="1">
        <f t="array" aca="1" ref="U488" ca="1">+IF(COMPROMISOS_2025[[#This Row],[P]]="20","41080111",_xlfn.XLOOKUP(COMPROMISOS_2025[[#This Row],[concatenado]],PAA[[#All],[RCP-RUBRO]],PAA[[#All],[INDICADOR]],"",0))</f>
        <v>#NAME?</v>
      </c>
      <c r="V488" s="144" t="str">
        <f t="shared" si="15"/>
        <v>03</v>
      </c>
      <c r="W488" s="136">
        <f>+COMPROMISOS_2025[[#This Row],[valor_total]]-COMPROMISOS_2025[[#This Row],[total_cancelado]]</f>
        <v>36138024</v>
      </c>
      <c r="X488" s="136">
        <f>COMPROMISOS_2025[[#This Row],[total_ordenes]]</f>
        <v>0</v>
      </c>
      <c r="Y488" t="str" cm="1">
        <f t="array" aca="1" ref="Y488" ca="1">IFERROR(_xlfn.XLOOKUP(COMPROMISOS_2025[[#This Row],[concatenado]],PAA[[#All],[RCP-RUBRO]],PAA[[#All],[Actividad3]],VLOOKUP(COMPROMISOS_2025[[#This Row],[Indicador Principal]],$AC$2:$AD$17,2,0),0),"")</f>
        <v/>
      </c>
    </row>
    <row r="489" spans="1:25" hidden="1" x14ac:dyDescent="0.25">
      <c r="A489">
        <v>132</v>
      </c>
      <c r="B489" t="s">
        <v>2982</v>
      </c>
      <c r="C489" t="s">
        <v>1936</v>
      </c>
      <c r="D489" t="s">
        <v>2033</v>
      </c>
      <c r="E489" t="s">
        <v>2983</v>
      </c>
      <c r="F489">
        <v>298</v>
      </c>
      <c r="G489">
        <v>61</v>
      </c>
      <c r="H489" t="s">
        <v>634</v>
      </c>
      <c r="I489" t="s">
        <v>2018</v>
      </c>
      <c r="J489">
        <v>75218000</v>
      </c>
      <c r="K489">
        <v>2025</v>
      </c>
      <c r="L489">
        <v>1036607096</v>
      </c>
      <c r="M489" t="s">
        <v>2984</v>
      </c>
      <c r="N489" t="s">
        <v>1688</v>
      </c>
      <c r="O489" t="s">
        <v>1686</v>
      </c>
      <c r="P489">
        <v>0</v>
      </c>
      <c r="Q489">
        <v>11031973</v>
      </c>
      <c r="R489">
        <v>0</v>
      </c>
      <c r="S489">
        <v>64186027</v>
      </c>
      <c r="T489" t="str">
        <f t="shared" si="14"/>
        <v>1322.43.4302.84.0-205128.2.3.2.02.02.009.04.</v>
      </c>
      <c r="U489" t="e" cm="1">
        <f t="array" aca="1" ref="U489" ca="1">+IF(COMPROMISOS_2025[[#This Row],[P]]="20","41080111",_xlfn.XLOOKUP(COMPROMISOS_2025[[#This Row],[concatenado]],PAA[[#All],[RCP-RUBRO]],PAA[[#All],[INDICADOR]],"",0))</f>
        <v>#NAME?</v>
      </c>
      <c r="V489" s="144" t="str">
        <f t="shared" si="15"/>
        <v>84</v>
      </c>
      <c r="W489" s="136">
        <f>+COMPROMISOS_2025[[#This Row],[valor_total]]-COMPROMISOS_2025[[#This Row],[total_cancelado]]</f>
        <v>75218000</v>
      </c>
      <c r="X489" s="136">
        <f>COMPROMISOS_2025[[#This Row],[total_ordenes]]</f>
        <v>11031973</v>
      </c>
      <c r="Y489" t="str" cm="1">
        <f t="array" aca="1" ref="Y489" ca="1">IFERROR(_xlfn.XLOOKUP(COMPROMISOS_2025[[#This Row],[concatenado]],PAA[[#All],[RCP-RUBRO]],PAA[[#All],[Actividad3]],VLOOKUP(COMPROMISOS_2025[[#This Row],[Indicador Principal]],$AC$2:$AD$17,2,0),0),"")</f>
        <v/>
      </c>
    </row>
    <row r="490" spans="1:25" hidden="1" x14ac:dyDescent="0.25">
      <c r="A490">
        <v>154</v>
      </c>
      <c r="B490" t="s">
        <v>2985</v>
      </c>
      <c r="C490" t="s">
        <v>1936</v>
      </c>
      <c r="D490" t="s">
        <v>2035</v>
      </c>
      <c r="E490" t="s">
        <v>2986</v>
      </c>
      <c r="F490">
        <v>321</v>
      </c>
      <c r="G490">
        <v>61</v>
      </c>
      <c r="H490" t="s">
        <v>634</v>
      </c>
      <c r="I490" t="s">
        <v>2018</v>
      </c>
      <c r="J490">
        <v>95732000</v>
      </c>
      <c r="K490">
        <v>2025</v>
      </c>
      <c r="L490">
        <v>8104231</v>
      </c>
      <c r="M490" t="s">
        <v>2987</v>
      </c>
      <c r="N490" t="s">
        <v>1688</v>
      </c>
      <c r="O490" t="s">
        <v>1686</v>
      </c>
      <c r="P490">
        <v>0</v>
      </c>
      <c r="Q490">
        <v>13083373</v>
      </c>
      <c r="R490">
        <v>0</v>
      </c>
      <c r="S490">
        <v>82648627</v>
      </c>
      <c r="T490" t="str">
        <f t="shared" si="14"/>
        <v>1542.43.4302.84.0-205128.2.3.2.02.02.009.04.</v>
      </c>
      <c r="U490" t="e" cm="1">
        <f t="array" aca="1" ref="U490" ca="1">+IF(COMPROMISOS_2025[[#This Row],[P]]="20","41080111",_xlfn.XLOOKUP(COMPROMISOS_2025[[#This Row],[concatenado]],PAA[[#All],[RCP-RUBRO]],PAA[[#All],[INDICADOR]],"",0))</f>
        <v>#NAME?</v>
      </c>
      <c r="V490" s="144" t="str">
        <f t="shared" si="15"/>
        <v>84</v>
      </c>
      <c r="W490" s="136">
        <f>+COMPROMISOS_2025[[#This Row],[valor_total]]-COMPROMISOS_2025[[#This Row],[total_cancelado]]</f>
        <v>95732000</v>
      </c>
      <c r="X490" s="136">
        <f>COMPROMISOS_2025[[#This Row],[total_ordenes]]</f>
        <v>13083373</v>
      </c>
      <c r="Y490" t="str" cm="1">
        <f t="array" aca="1" ref="Y490" ca="1">IFERROR(_xlfn.XLOOKUP(COMPROMISOS_2025[[#This Row],[concatenado]],PAA[[#All],[RCP-RUBRO]],PAA[[#All],[Actividad3]],VLOOKUP(COMPROMISOS_2025[[#This Row],[Indicador Principal]],$AC$2:$AD$17,2,0),0),"")</f>
        <v/>
      </c>
    </row>
    <row r="491" spans="1:25" hidden="1" x14ac:dyDescent="0.25">
      <c r="A491">
        <v>156</v>
      </c>
      <c r="B491" t="s">
        <v>2988</v>
      </c>
      <c r="C491" t="s">
        <v>1936</v>
      </c>
      <c r="D491" t="s">
        <v>2028</v>
      </c>
      <c r="E491" t="s">
        <v>2989</v>
      </c>
      <c r="F491">
        <v>278</v>
      </c>
      <c r="G491">
        <v>61</v>
      </c>
      <c r="H491" t="s">
        <v>634</v>
      </c>
      <c r="I491" t="s">
        <v>2018</v>
      </c>
      <c r="J491">
        <v>40747479</v>
      </c>
      <c r="K491">
        <v>2025</v>
      </c>
      <c r="L491">
        <v>10375800447</v>
      </c>
      <c r="M491" t="s">
        <v>2990</v>
      </c>
      <c r="N491" t="s">
        <v>1688</v>
      </c>
      <c r="O491" t="s">
        <v>1686</v>
      </c>
      <c r="P491">
        <v>0</v>
      </c>
      <c r="Q491">
        <v>5543875</v>
      </c>
      <c r="R491">
        <v>0</v>
      </c>
      <c r="S491">
        <v>35203604</v>
      </c>
      <c r="T491" t="str">
        <f t="shared" si="14"/>
        <v>1562.43.4302.84.0-205128.2.3.2.02.02.009.04.</v>
      </c>
      <c r="U491" t="e" cm="1">
        <f t="array" aca="1" ref="U491" ca="1">+IF(COMPROMISOS_2025[[#This Row],[P]]="20","41080111",_xlfn.XLOOKUP(COMPROMISOS_2025[[#This Row],[concatenado]],PAA[[#All],[RCP-RUBRO]],PAA[[#All],[INDICADOR]],"",0))</f>
        <v>#NAME?</v>
      </c>
      <c r="V491" s="144" t="str">
        <f t="shared" si="15"/>
        <v>84</v>
      </c>
      <c r="W491" s="136">
        <f>+COMPROMISOS_2025[[#This Row],[valor_total]]-COMPROMISOS_2025[[#This Row],[total_cancelado]]</f>
        <v>40747479</v>
      </c>
      <c r="X491" s="136">
        <f>COMPROMISOS_2025[[#This Row],[total_ordenes]]</f>
        <v>5543875</v>
      </c>
      <c r="Y491" t="str" cm="1">
        <f t="array" aca="1" ref="Y491" ca="1">IFERROR(_xlfn.XLOOKUP(COMPROMISOS_2025[[#This Row],[concatenado]],PAA[[#All],[RCP-RUBRO]],PAA[[#All],[Actividad3]],VLOOKUP(COMPROMISOS_2025[[#This Row],[Indicador Principal]],$AC$2:$AD$17,2,0),0),"")</f>
        <v/>
      </c>
    </row>
    <row r="492" spans="1:25" hidden="1" x14ac:dyDescent="0.25">
      <c r="A492">
        <v>158</v>
      </c>
      <c r="B492" t="s">
        <v>2991</v>
      </c>
      <c r="C492" t="s">
        <v>1936</v>
      </c>
      <c r="D492" t="s">
        <v>2027</v>
      </c>
      <c r="E492" t="s">
        <v>2992</v>
      </c>
      <c r="F492">
        <v>277</v>
      </c>
      <c r="G492">
        <v>61</v>
      </c>
      <c r="H492" t="s">
        <v>634</v>
      </c>
      <c r="I492" t="s">
        <v>2018</v>
      </c>
      <c r="J492">
        <v>26545593</v>
      </c>
      <c r="K492">
        <v>2025</v>
      </c>
      <c r="L492">
        <v>71363078</v>
      </c>
      <c r="M492" t="s">
        <v>2993</v>
      </c>
      <c r="N492" t="s">
        <v>1688</v>
      </c>
      <c r="O492" t="s">
        <v>1686</v>
      </c>
      <c r="P492">
        <v>0</v>
      </c>
      <c r="Q492">
        <v>3611645</v>
      </c>
      <c r="R492">
        <v>0</v>
      </c>
      <c r="S492">
        <v>22933948</v>
      </c>
      <c r="T492" t="str">
        <f t="shared" si="14"/>
        <v>1582.43.4302.84.0-205128.2.3.2.02.02.009.04.</v>
      </c>
      <c r="U492" t="e" cm="1">
        <f t="array" aca="1" ref="U492" ca="1">+IF(COMPROMISOS_2025[[#This Row],[P]]="20","41080111",_xlfn.XLOOKUP(COMPROMISOS_2025[[#This Row],[concatenado]],PAA[[#All],[RCP-RUBRO]],PAA[[#All],[INDICADOR]],"",0))</f>
        <v>#NAME?</v>
      </c>
      <c r="V492" s="144" t="str">
        <f t="shared" si="15"/>
        <v>84</v>
      </c>
      <c r="W492" s="136">
        <f>+COMPROMISOS_2025[[#This Row],[valor_total]]-COMPROMISOS_2025[[#This Row],[total_cancelado]]</f>
        <v>26545593</v>
      </c>
      <c r="X492" s="136">
        <f>COMPROMISOS_2025[[#This Row],[total_ordenes]]</f>
        <v>3611645</v>
      </c>
      <c r="Y492" t="str" cm="1">
        <f t="array" aca="1" ref="Y492" ca="1">IFERROR(_xlfn.XLOOKUP(COMPROMISOS_2025[[#This Row],[concatenado]],PAA[[#All],[RCP-RUBRO]],PAA[[#All],[Actividad3]],VLOOKUP(COMPROMISOS_2025[[#This Row],[Indicador Principal]],$AC$2:$AD$17,2,0),0),"")</f>
        <v/>
      </c>
    </row>
    <row r="493" spans="1:25" hidden="1" x14ac:dyDescent="0.25">
      <c r="A493">
        <v>159</v>
      </c>
      <c r="B493" t="s">
        <v>2994</v>
      </c>
      <c r="C493" t="s">
        <v>1936</v>
      </c>
      <c r="D493" t="s">
        <v>2026</v>
      </c>
      <c r="E493" t="s">
        <v>2995</v>
      </c>
      <c r="F493">
        <v>276</v>
      </c>
      <c r="G493">
        <v>61</v>
      </c>
      <c r="H493" t="s">
        <v>634</v>
      </c>
      <c r="I493" t="s">
        <v>2018</v>
      </c>
      <c r="J493">
        <v>81536206</v>
      </c>
      <c r="K493">
        <v>2025</v>
      </c>
      <c r="L493">
        <v>985580249</v>
      </c>
      <c r="M493" t="s">
        <v>2996</v>
      </c>
      <c r="N493" t="s">
        <v>1688</v>
      </c>
      <c r="O493" t="s">
        <v>1686</v>
      </c>
      <c r="P493">
        <v>0</v>
      </c>
      <c r="Q493">
        <v>13201100</v>
      </c>
      <c r="R493">
        <v>0</v>
      </c>
      <c r="S493">
        <v>68335106</v>
      </c>
      <c r="T493" t="str">
        <f t="shared" si="14"/>
        <v>1592.43.4302.84.0-205128.2.3.2.02.02.009.04.</v>
      </c>
      <c r="U493" t="e" cm="1">
        <f t="array" aca="1" ref="U493" ca="1">+IF(COMPROMISOS_2025[[#This Row],[P]]="20","41080111",_xlfn.XLOOKUP(COMPROMISOS_2025[[#This Row],[concatenado]],PAA[[#All],[RCP-RUBRO]],PAA[[#All],[INDICADOR]],"",0))</f>
        <v>#NAME?</v>
      </c>
      <c r="V493" s="144" t="str">
        <f t="shared" si="15"/>
        <v>84</v>
      </c>
      <c r="W493" s="136">
        <f>+COMPROMISOS_2025[[#This Row],[valor_total]]-COMPROMISOS_2025[[#This Row],[total_cancelado]]</f>
        <v>81536206</v>
      </c>
      <c r="X493" s="136">
        <f>COMPROMISOS_2025[[#This Row],[total_ordenes]]</f>
        <v>13201100</v>
      </c>
      <c r="Y493" t="str" cm="1">
        <f t="array" aca="1" ref="Y493" ca="1">IFERROR(_xlfn.XLOOKUP(COMPROMISOS_2025[[#This Row],[concatenado]],PAA[[#All],[RCP-RUBRO]],PAA[[#All],[Actividad3]],VLOOKUP(COMPROMISOS_2025[[#This Row],[Indicador Principal]],$AC$2:$AD$17,2,0),0),"")</f>
        <v/>
      </c>
    </row>
    <row r="494" spans="1:25" hidden="1" x14ac:dyDescent="0.25">
      <c r="A494">
        <v>160</v>
      </c>
      <c r="B494" t="s">
        <v>2997</v>
      </c>
      <c r="C494" t="s">
        <v>1936</v>
      </c>
      <c r="D494" t="s">
        <v>2023</v>
      </c>
      <c r="E494" t="s">
        <v>2998</v>
      </c>
      <c r="F494">
        <v>273</v>
      </c>
      <c r="G494">
        <v>61</v>
      </c>
      <c r="H494" t="s">
        <v>634</v>
      </c>
      <c r="I494" t="s">
        <v>2018</v>
      </c>
      <c r="J494">
        <v>61147776</v>
      </c>
      <c r="K494">
        <v>2025</v>
      </c>
      <c r="L494">
        <v>71378071</v>
      </c>
      <c r="M494" t="s">
        <v>2999</v>
      </c>
      <c r="N494" t="s">
        <v>1688</v>
      </c>
      <c r="O494" t="s">
        <v>1686</v>
      </c>
      <c r="P494">
        <v>0</v>
      </c>
      <c r="Q494">
        <v>8319425</v>
      </c>
      <c r="R494">
        <v>0</v>
      </c>
      <c r="S494">
        <v>52828351</v>
      </c>
      <c r="T494" t="str">
        <f t="shared" si="14"/>
        <v>1602.43.4302.84.0-205128.2.3.2.02.02.009.04.</v>
      </c>
      <c r="U494" t="e" cm="1">
        <f t="array" aca="1" ref="U494" ca="1">+IF(COMPROMISOS_2025[[#This Row],[P]]="20","41080111",_xlfn.XLOOKUP(COMPROMISOS_2025[[#This Row],[concatenado]],PAA[[#All],[RCP-RUBRO]],PAA[[#All],[INDICADOR]],"",0))</f>
        <v>#NAME?</v>
      </c>
      <c r="V494" s="144" t="str">
        <f t="shared" si="15"/>
        <v>84</v>
      </c>
      <c r="W494" s="136">
        <f>+COMPROMISOS_2025[[#This Row],[valor_total]]-COMPROMISOS_2025[[#This Row],[total_cancelado]]</f>
        <v>61147776</v>
      </c>
      <c r="X494" s="136">
        <f>COMPROMISOS_2025[[#This Row],[total_ordenes]]</f>
        <v>8319425</v>
      </c>
      <c r="Y494" t="str" cm="1">
        <f t="array" aca="1" ref="Y494" ca="1">IFERROR(_xlfn.XLOOKUP(COMPROMISOS_2025[[#This Row],[concatenado]],PAA[[#All],[RCP-RUBRO]],PAA[[#All],[Actividad3]],VLOOKUP(COMPROMISOS_2025[[#This Row],[Indicador Principal]],$AC$2:$AD$17,2,0),0),"")</f>
        <v/>
      </c>
    </row>
    <row r="495" spans="1:25" hidden="1" x14ac:dyDescent="0.25">
      <c r="A495">
        <v>162</v>
      </c>
      <c r="B495" t="s">
        <v>3000</v>
      </c>
      <c r="C495" t="s">
        <v>1936</v>
      </c>
      <c r="D495" t="s">
        <v>2017</v>
      </c>
      <c r="E495" t="s">
        <v>3001</v>
      </c>
      <c r="F495">
        <v>268</v>
      </c>
      <c r="G495">
        <v>61</v>
      </c>
      <c r="H495" t="s">
        <v>634</v>
      </c>
      <c r="I495" t="s">
        <v>2018</v>
      </c>
      <c r="J495">
        <v>61147776</v>
      </c>
      <c r="K495">
        <v>2025</v>
      </c>
      <c r="L495">
        <v>1098612957</v>
      </c>
      <c r="M495" t="s">
        <v>3002</v>
      </c>
      <c r="N495" t="s">
        <v>1688</v>
      </c>
      <c r="O495" t="s">
        <v>1686</v>
      </c>
      <c r="P495">
        <v>0</v>
      </c>
      <c r="Q495">
        <v>8319425</v>
      </c>
      <c r="R495">
        <v>0</v>
      </c>
      <c r="S495">
        <v>52828351</v>
      </c>
      <c r="T495" t="str">
        <f t="shared" si="14"/>
        <v>1622.43.4302.84.0-205128.2.3.2.02.02.009.04.</v>
      </c>
      <c r="U495" t="e" cm="1">
        <f t="array" aca="1" ref="U495" ca="1">+IF(COMPROMISOS_2025[[#This Row],[P]]="20","41080111",_xlfn.XLOOKUP(COMPROMISOS_2025[[#This Row],[concatenado]],PAA[[#All],[RCP-RUBRO]],PAA[[#All],[INDICADOR]],"",0))</f>
        <v>#NAME?</v>
      </c>
      <c r="V495" s="144" t="str">
        <f t="shared" si="15"/>
        <v>84</v>
      </c>
      <c r="W495" s="136">
        <f>+COMPROMISOS_2025[[#This Row],[valor_total]]-COMPROMISOS_2025[[#This Row],[total_cancelado]]</f>
        <v>61147776</v>
      </c>
      <c r="X495" s="136">
        <f>COMPROMISOS_2025[[#This Row],[total_ordenes]]</f>
        <v>8319425</v>
      </c>
      <c r="Y495" t="str" cm="1">
        <f t="array" aca="1" ref="Y495" ca="1">IFERROR(_xlfn.XLOOKUP(COMPROMISOS_2025[[#This Row],[concatenado]],PAA[[#All],[RCP-RUBRO]],PAA[[#All],[Actividad3]],VLOOKUP(COMPROMISOS_2025[[#This Row],[Indicador Principal]],$AC$2:$AD$17,2,0),0),"")</f>
        <v/>
      </c>
    </row>
    <row r="496" spans="1:25" hidden="1" x14ac:dyDescent="0.25">
      <c r="A496">
        <v>310</v>
      </c>
      <c r="B496" t="s">
        <v>3003</v>
      </c>
      <c r="C496" t="s">
        <v>1936</v>
      </c>
      <c r="D496" t="s">
        <v>2019</v>
      </c>
      <c r="E496" t="s">
        <v>3004</v>
      </c>
      <c r="F496">
        <v>269</v>
      </c>
      <c r="G496">
        <v>61</v>
      </c>
      <c r="H496" t="s">
        <v>634</v>
      </c>
      <c r="I496" t="s">
        <v>2018</v>
      </c>
      <c r="J496">
        <v>40747479</v>
      </c>
      <c r="K496">
        <v>2025</v>
      </c>
      <c r="L496">
        <v>986270958</v>
      </c>
      <c r="M496" t="s">
        <v>3005</v>
      </c>
      <c r="N496" t="s">
        <v>1688</v>
      </c>
      <c r="O496" t="s">
        <v>1686</v>
      </c>
      <c r="P496">
        <v>0</v>
      </c>
      <c r="Q496">
        <v>5543875</v>
      </c>
      <c r="R496">
        <v>0</v>
      </c>
      <c r="S496">
        <v>35203604</v>
      </c>
      <c r="T496" t="str">
        <f t="shared" si="14"/>
        <v>3102.43.4302.84.0-205128.2.3.2.02.02.009.04.</v>
      </c>
      <c r="U496" t="e" cm="1">
        <f t="array" aca="1" ref="U496" ca="1">+IF(COMPROMISOS_2025[[#This Row],[P]]="20","41080111",_xlfn.XLOOKUP(COMPROMISOS_2025[[#This Row],[concatenado]],PAA[[#All],[RCP-RUBRO]],PAA[[#All],[INDICADOR]],"",0))</f>
        <v>#NAME?</v>
      </c>
      <c r="V496" s="144" t="str">
        <f t="shared" si="15"/>
        <v>84</v>
      </c>
      <c r="W496" s="136">
        <f>+COMPROMISOS_2025[[#This Row],[valor_total]]-COMPROMISOS_2025[[#This Row],[total_cancelado]]</f>
        <v>40747479</v>
      </c>
      <c r="X496" s="136">
        <f>COMPROMISOS_2025[[#This Row],[total_ordenes]]</f>
        <v>5543875</v>
      </c>
      <c r="Y496" t="str" cm="1">
        <f t="array" aca="1" ref="Y496" ca="1">IFERROR(_xlfn.XLOOKUP(COMPROMISOS_2025[[#This Row],[concatenado]],PAA[[#All],[RCP-RUBRO]],PAA[[#All],[Actividad3]],VLOOKUP(COMPROMISOS_2025[[#This Row],[Indicador Principal]],$AC$2:$AD$17,2,0),0),"")</f>
        <v/>
      </c>
    </row>
    <row r="497" spans="1:25" hidden="1" x14ac:dyDescent="0.25">
      <c r="A497">
        <v>318</v>
      </c>
      <c r="B497" t="s">
        <v>3006</v>
      </c>
      <c r="C497" t="s">
        <v>1936</v>
      </c>
      <c r="D497" t="s">
        <v>2021</v>
      </c>
      <c r="E497" t="s">
        <v>3007</v>
      </c>
      <c r="F497">
        <v>271</v>
      </c>
      <c r="G497">
        <v>61</v>
      </c>
      <c r="H497" t="s">
        <v>634</v>
      </c>
      <c r="I497" t="s">
        <v>2018</v>
      </c>
      <c r="J497">
        <v>40747479</v>
      </c>
      <c r="K497">
        <v>2025</v>
      </c>
      <c r="L497">
        <v>1128401285</v>
      </c>
      <c r="M497" t="s">
        <v>3008</v>
      </c>
      <c r="N497" t="s">
        <v>1688</v>
      </c>
      <c r="O497" t="s">
        <v>1686</v>
      </c>
      <c r="P497">
        <v>0</v>
      </c>
      <c r="Q497">
        <v>5543875</v>
      </c>
      <c r="R497">
        <v>0</v>
      </c>
      <c r="S497">
        <v>35203604</v>
      </c>
      <c r="T497" t="str">
        <f t="shared" si="14"/>
        <v>3182.43.4302.84.0-205128.2.3.2.02.02.009.04.</v>
      </c>
      <c r="U497" t="e" cm="1">
        <f t="array" aca="1" ref="U497" ca="1">+IF(COMPROMISOS_2025[[#This Row],[P]]="20","41080111",_xlfn.XLOOKUP(COMPROMISOS_2025[[#This Row],[concatenado]],PAA[[#All],[RCP-RUBRO]],PAA[[#All],[INDICADOR]],"",0))</f>
        <v>#NAME?</v>
      </c>
      <c r="V497" s="144" t="str">
        <f t="shared" si="15"/>
        <v>84</v>
      </c>
      <c r="W497" s="136">
        <f>+COMPROMISOS_2025[[#This Row],[valor_total]]-COMPROMISOS_2025[[#This Row],[total_cancelado]]</f>
        <v>40747479</v>
      </c>
      <c r="X497" s="136">
        <f>COMPROMISOS_2025[[#This Row],[total_ordenes]]</f>
        <v>5543875</v>
      </c>
      <c r="Y497" t="str" cm="1">
        <f t="array" aca="1" ref="Y497" ca="1">IFERROR(_xlfn.XLOOKUP(COMPROMISOS_2025[[#This Row],[concatenado]],PAA[[#All],[RCP-RUBRO]],PAA[[#All],[Actividad3]],VLOOKUP(COMPROMISOS_2025[[#This Row],[Indicador Principal]],$AC$2:$AD$17,2,0),0),"")</f>
        <v/>
      </c>
    </row>
    <row r="498" spans="1:25" hidden="1" x14ac:dyDescent="0.25">
      <c r="A498">
        <v>321</v>
      </c>
      <c r="B498" t="s">
        <v>3009</v>
      </c>
      <c r="C498" t="s">
        <v>1936</v>
      </c>
      <c r="D498" t="s">
        <v>2022</v>
      </c>
      <c r="E498" t="s">
        <v>3010</v>
      </c>
      <c r="F498">
        <v>272</v>
      </c>
      <c r="G498">
        <v>61</v>
      </c>
      <c r="H498" t="s">
        <v>634</v>
      </c>
      <c r="I498" t="s">
        <v>2018</v>
      </c>
      <c r="J498">
        <v>61147776</v>
      </c>
      <c r="K498">
        <v>2025</v>
      </c>
      <c r="L498">
        <v>10171331374</v>
      </c>
      <c r="M498" t="s">
        <v>3011</v>
      </c>
      <c r="N498" t="s">
        <v>1688</v>
      </c>
      <c r="O498" t="s">
        <v>1686</v>
      </c>
      <c r="P498">
        <v>0</v>
      </c>
      <c r="Q498">
        <v>8319425</v>
      </c>
      <c r="R498">
        <v>0</v>
      </c>
      <c r="S498">
        <v>52828351</v>
      </c>
      <c r="T498" t="str">
        <f t="shared" si="14"/>
        <v>3212.43.4302.84.0-205128.2.3.2.02.02.009.04.</v>
      </c>
      <c r="U498" t="e" cm="1">
        <f t="array" aca="1" ref="U498" ca="1">+IF(COMPROMISOS_2025[[#This Row],[P]]="20","41080111",_xlfn.XLOOKUP(COMPROMISOS_2025[[#This Row],[concatenado]],PAA[[#All],[RCP-RUBRO]],PAA[[#All],[INDICADOR]],"",0))</f>
        <v>#NAME?</v>
      </c>
      <c r="V498" s="144" t="str">
        <f t="shared" si="15"/>
        <v>84</v>
      </c>
      <c r="W498" s="136">
        <f>+COMPROMISOS_2025[[#This Row],[valor_total]]-COMPROMISOS_2025[[#This Row],[total_cancelado]]</f>
        <v>61147776</v>
      </c>
      <c r="X498" s="136">
        <f>COMPROMISOS_2025[[#This Row],[total_ordenes]]</f>
        <v>8319425</v>
      </c>
      <c r="Y498" t="str" cm="1">
        <f t="array" aca="1" ref="Y498" ca="1">IFERROR(_xlfn.XLOOKUP(COMPROMISOS_2025[[#This Row],[concatenado]],PAA[[#All],[RCP-RUBRO]],PAA[[#All],[Actividad3]],VLOOKUP(COMPROMISOS_2025[[#This Row],[Indicador Principal]],$AC$2:$AD$17,2,0),0),"")</f>
        <v/>
      </c>
    </row>
    <row r="499" spans="1:25" hidden="1" x14ac:dyDescent="0.25">
      <c r="A499">
        <v>328</v>
      </c>
      <c r="B499" t="s">
        <v>3012</v>
      </c>
      <c r="C499" t="s">
        <v>1936</v>
      </c>
      <c r="D499" t="s">
        <v>2020</v>
      </c>
      <c r="E499" t="s">
        <v>3013</v>
      </c>
      <c r="F499">
        <v>270</v>
      </c>
      <c r="G499">
        <v>61</v>
      </c>
      <c r="H499" t="s">
        <v>634</v>
      </c>
      <c r="I499" t="s">
        <v>2018</v>
      </c>
      <c r="J499">
        <v>26545593</v>
      </c>
      <c r="K499">
        <v>2025</v>
      </c>
      <c r="L499">
        <v>1037591708</v>
      </c>
      <c r="M499" t="s">
        <v>3014</v>
      </c>
      <c r="N499" t="s">
        <v>1688</v>
      </c>
      <c r="O499" t="s">
        <v>1686</v>
      </c>
      <c r="P499">
        <v>0</v>
      </c>
      <c r="Q499">
        <v>3611645</v>
      </c>
      <c r="R499">
        <v>0</v>
      </c>
      <c r="S499">
        <v>22933948</v>
      </c>
      <c r="T499" t="str">
        <f t="shared" si="14"/>
        <v>3282.43.4302.84.0-205128.2.3.2.02.02.009.04.</v>
      </c>
      <c r="U499" t="e" cm="1">
        <f t="array" aca="1" ref="U499" ca="1">+IF(COMPROMISOS_2025[[#This Row],[P]]="20","41080111",_xlfn.XLOOKUP(COMPROMISOS_2025[[#This Row],[concatenado]],PAA[[#All],[RCP-RUBRO]],PAA[[#All],[INDICADOR]],"",0))</f>
        <v>#NAME?</v>
      </c>
      <c r="V499" s="144" t="str">
        <f t="shared" si="15"/>
        <v>84</v>
      </c>
      <c r="W499" s="136">
        <f>+COMPROMISOS_2025[[#This Row],[valor_total]]-COMPROMISOS_2025[[#This Row],[total_cancelado]]</f>
        <v>26545593</v>
      </c>
      <c r="X499" s="136">
        <f>COMPROMISOS_2025[[#This Row],[total_ordenes]]</f>
        <v>3611645</v>
      </c>
      <c r="Y499" t="str" cm="1">
        <f t="array" aca="1" ref="Y499" ca="1">IFERROR(_xlfn.XLOOKUP(COMPROMISOS_2025[[#This Row],[concatenado]],PAA[[#All],[RCP-RUBRO]],PAA[[#All],[Actividad3]],VLOOKUP(COMPROMISOS_2025[[#This Row],[Indicador Principal]],$AC$2:$AD$17,2,0),0),"")</f>
        <v/>
      </c>
    </row>
    <row r="500" spans="1:25" hidden="1" x14ac:dyDescent="0.25">
      <c r="A500">
        <v>420</v>
      </c>
      <c r="B500" t="s">
        <v>3015</v>
      </c>
      <c r="C500" t="s">
        <v>1936</v>
      </c>
      <c r="D500" t="s">
        <v>2031</v>
      </c>
      <c r="E500" t="s">
        <v>3016</v>
      </c>
      <c r="F500">
        <v>281</v>
      </c>
      <c r="G500">
        <v>61</v>
      </c>
      <c r="H500" t="s">
        <v>634</v>
      </c>
      <c r="I500" t="s">
        <v>2018</v>
      </c>
      <c r="J500">
        <v>50609170</v>
      </c>
      <c r="K500">
        <v>2025</v>
      </c>
      <c r="L500">
        <v>1036948477</v>
      </c>
      <c r="M500" t="s">
        <v>3017</v>
      </c>
      <c r="N500" t="s">
        <v>1688</v>
      </c>
      <c r="O500" t="s">
        <v>1686</v>
      </c>
      <c r="P500">
        <v>0</v>
      </c>
      <c r="Q500">
        <v>6369181</v>
      </c>
      <c r="R500">
        <v>0</v>
      </c>
      <c r="S500">
        <v>44239989</v>
      </c>
      <c r="T500" t="str">
        <f t="shared" si="14"/>
        <v>4202.43.4302.84.0-205128.2.3.2.02.02.009.04.</v>
      </c>
      <c r="U500" t="e" cm="1">
        <f t="array" aca="1" ref="U500" ca="1">+IF(COMPROMISOS_2025[[#This Row],[P]]="20","41080111",_xlfn.XLOOKUP(COMPROMISOS_2025[[#This Row],[concatenado]],PAA[[#All],[RCP-RUBRO]],PAA[[#All],[INDICADOR]],"",0))</f>
        <v>#NAME?</v>
      </c>
      <c r="V500" s="144" t="str">
        <f t="shared" si="15"/>
        <v>84</v>
      </c>
      <c r="W500" s="136">
        <f>+COMPROMISOS_2025[[#This Row],[valor_total]]-COMPROMISOS_2025[[#This Row],[total_cancelado]]</f>
        <v>50609170</v>
      </c>
      <c r="X500" s="136">
        <f>COMPROMISOS_2025[[#This Row],[total_ordenes]]</f>
        <v>6369181</v>
      </c>
      <c r="Y500" t="str" cm="1">
        <f t="array" aca="1" ref="Y500" ca="1">IFERROR(_xlfn.XLOOKUP(COMPROMISOS_2025[[#This Row],[concatenado]],PAA[[#All],[RCP-RUBRO]],PAA[[#All],[Actividad3]],VLOOKUP(COMPROMISOS_2025[[#This Row],[Indicador Principal]],$AC$2:$AD$17,2,0),0),"")</f>
        <v/>
      </c>
    </row>
    <row r="501" spans="1:25" hidden="1" x14ac:dyDescent="0.25">
      <c r="A501">
        <v>421</v>
      </c>
      <c r="B501" t="s">
        <v>3018</v>
      </c>
      <c r="C501" t="s">
        <v>1936</v>
      </c>
      <c r="D501" t="s">
        <v>2030</v>
      </c>
      <c r="E501" t="s">
        <v>3019</v>
      </c>
      <c r="F501">
        <v>280</v>
      </c>
      <c r="G501">
        <v>61</v>
      </c>
      <c r="H501" t="s">
        <v>634</v>
      </c>
      <c r="I501" t="s">
        <v>2018</v>
      </c>
      <c r="J501">
        <v>40747479</v>
      </c>
      <c r="K501">
        <v>2025</v>
      </c>
      <c r="L501">
        <v>436280185</v>
      </c>
      <c r="M501" t="s">
        <v>3020</v>
      </c>
      <c r="N501" t="s">
        <v>1688</v>
      </c>
      <c r="O501" t="s">
        <v>1686</v>
      </c>
      <c r="P501">
        <v>0</v>
      </c>
      <c r="Q501">
        <v>5128084</v>
      </c>
      <c r="R501">
        <v>0</v>
      </c>
      <c r="S501">
        <v>35619395</v>
      </c>
      <c r="T501" t="str">
        <f t="shared" si="14"/>
        <v>4212.43.4302.84.0-205128.2.3.2.02.02.009.04.</v>
      </c>
      <c r="U501" t="e" cm="1">
        <f t="array" aca="1" ref="U501" ca="1">+IF(COMPROMISOS_2025[[#This Row],[P]]="20","41080111",_xlfn.XLOOKUP(COMPROMISOS_2025[[#This Row],[concatenado]],PAA[[#All],[RCP-RUBRO]],PAA[[#All],[INDICADOR]],"",0))</f>
        <v>#NAME?</v>
      </c>
      <c r="V501" s="144" t="str">
        <f t="shared" si="15"/>
        <v>84</v>
      </c>
      <c r="W501" s="136">
        <f>+COMPROMISOS_2025[[#This Row],[valor_total]]-COMPROMISOS_2025[[#This Row],[total_cancelado]]</f>
        <v>40747479</v>
      </c>
      <c r="X501" s="136">
        <f>COMPROMISOS_2025[[#This Row],[total_ordenes]]</f>
        <v>5128084</v>
      </c>
      <c r="Y501" t="str" cm="1">
        <f t="array" aca="1" ref="Y501" ca="1">IFERROR(_xlfn.XLOOKUP(COMPROMISOS_2025[[#This Row],[concatenado]],PAA[[#All],[RCP-RUBRO]],PAA[[#All],[Actividad3]],VLOOKUP(COMPROMISOS_2025[[#This Row],[Indicador Principal]],$AC$2:$AD$17,2,0),0),"")</f>
        <v/>
      </c>
    </row>
    <row r="502" spans="1:25" hidden="1" x14ac:dyDescent="0.25">
      <c r="A502">
        <v>422</v>
      </c>
      <c r="B502" t="s">
        <v>3021</v>
      </c>
      <c r="C502" t="s">
        <v>1936</v>
      </c>
      <c r="D502" t="s">
        <v>2029</v>
      </c>
      <c r="E502" t="s">
        <v>3022</v>
      </c>
      <c r="F502">
        <v>279</v>
      </c>
      <c r="G502">
        <v>61</v>
      </c>
      <c r="H502" t="s">
        <v>634</v>
      </c>
      <c r="I502" t="s">
        <v>2018</v>
      </c>
      <c r="J502">
        <v>71344176</v>
      </c>
      <c r="K502">
        <v>2025</v>
      </c>
      <c r="L502">
        <v>71216094</v>
      </c>
      <c r="M502" t="s">
        <v>3023</v>
      </c>
      <c r="N502" t="s">
        <v>1688</v>
      </c>
      <c r="O502" t="s">
        <v>1686</v>
      </c>
      <c r="P502">
        <v>0</v>
      </c>
      <c r="Q502">
        <v>8978689</v>
      </c>
      <c r="R502">
        <v>0</v>
      </c>
      <c r="S502">
        <v>62365487</v>
      </c>
      <c r="T502" t="str">
        <f t="shared" si="14"/>
        <v>4222.43.4302.84.0-205128.2.3.2.02.02.009.04.</v>
      </c>
      <c r="U502" t="e" cm="1">
        <f t="array" aca="1" ref="U502" ca="1">+IF(COMPROMISOS_2025[[#This Row],[P]]="20","41080111",_xlfn.XLOOKUP(COMPROMISOS_2025[[#This Row],[concatenado]],PAA[[#All],[RCP-RUBRO]],PAA[[#All],[INDICADOR]],"",0))</f>
        <v>#NAME?</v>
      </c>
      <c r="V502" s="144" t="str">
        <f t="shared" si="15"/>
        <v>84</v>
      </c>
      <c r="W502" s="136">
        <f>+COMPROMISOS_2025[[#This Row],[valor_total]]-COMPROMISOS_2025[[#This Row],[total_cancelado]]</f>
        <v>71344176</v>
      </c>
      <c r="X502" s="136">
        <f>COMPROMISOS_2025[[#This Row],[total_ordenes]]</f>
        <v>8978689</v>
      </c>
      <c r="Y502" t="str" cm="1">
        <f t="array" aca="1" ref="Y502" ca="1">IFERROR(_xlfn.XLOOKUP(COMPROMISOS_2025[[#This Row],[concatenado]],PAA[[#All],[RCP-RUBRO]],PAA[[#All],[Actividad3]],VLOOKUP(COMPROMISOS_2025[[#This Row],[Indicador Principal]],$AC$2:$AD$17,2,0),0),"")</f>
        <v/>
      </c>
    </row>
    <row r="503" spans="1:25" hidden="1" x14ac:dyDescent="0.25">
      <c r="A503">
        <v>803</v>
      </c>
      <c r="B503" t="s">
        <v>3024</v>
      </c>
      <c r="C503" t="s">
        <v>1936</v>
      </c>
      <c r="D503" t="s">
        <v>2049</v>
      </c>
      <c r="E503" t="s">
        <v>3025</v>
      </c>
      <c r="F503">
        <v>366</v>
      </c>
      <c r="G503">
        <v>61</v>
      </c>
      <c r="H503" t="s">
        <v>634</v>
      </c>
      <c r="I503" t="s">
        <v>2018</v>
      </c>
      <c r="J503">
        <v>47854929</v>
      </c>
      <c r="K503">
        <v>2025</v>
      </c>
      <c r="L503">
        <v>1026138513</v>
      </c>
      <c r="M503" t="s">
        <v>3026</v>
      </c>
      <c r="N503" t="s">
        <v>1688</v>
      </c>
      <c r="O503" t="s">
        <v>1686</v>
      </c>
      <c r="P503">
        <v>0</v>
      </c>
      <c r="Q503">
        <v>3614940</v>
      </c>
      <c r="R503">
        <v>0</v>
      </c>
      <c r="S503">
        <v>44239989</v>
      </c>
      <c r="T503" t="str">
        <f t="shared" si="14"/>
        <v>8032.43.4302.84.0-205128.2.3.2.02.02.009.04.</v>
      </c>
      <c r="U503" t="e" cm="1">
        <f t="array" aca="1" ref="U503" ca="1">+IF(COMPROMISOS_2025[[#This Row],[P]]="20","41080111",_xlfn.XLOOKUP(COMPROMISOS_2025[[#This Row],[concatenado]],PAA[[#All],[RCP-RUBRO]],PAA[[#All],[INDICADOR]],"",0))</f>
        <v>#NAME?</v>
      </c>
      <c r="V503" s="144" t="str">
        <f t="shared" si="15"/>
        <v>84</v>
      </c>
      <c r="W503" s="136">
        <f>+COMPROMISOS_2025[[#This Row],[valor_total]]-COMPROMISOS_2025[[#This Row],[total_cancelado]]</f>
        <v>47854929</v>
      </c>
      <c r="X503" s="136">
        <f>COMPROMISOS_2025[[#This Row],[total_ordenes]]</f>
        <v>3614940</v>
      </c>
      <c r="Y503" t="str" cm="1">
        <f t="array" aca="1" ref="Y503" ca="1">IFERROR(_xlfn.XLOOKUP(COMPROMISOS_2025[[#This Row],[concatenado]],PAA[[#All],[RCP-RUBRO]],PAA[[#All],[Actividad3]],VLOOKUP(COMPROMISOS_2025[[#This Row],[Indicador Principal]],$AC$2:$AD$17,2,0),0),"")</f>
        <v/>
      </c>
    </row>
    <row r="504" spans="1:25" hidden="1" x14ac:dyDescent="0.25">
      <c r="A504">
        <v>810</v>
      </c>
      <c r="B504" t="s">
        <v>3027</v>
      </c>
      <c r="C504" t="s">
        <v>1936</v>
      </c>
      <c r="D504" t="s">
        <v>2045</v>
      </c>
      <c r="E504" t="s">
        <v>3028</v>
      </c>
      <c r="F504">
        <v>364</v>
      </c>
      <c r="G504">
        <v>61</v>
      </c>
      <c r="H504" t="s">
        <v>634</v>
      </c>
      <c r="I504" t="s">
        <v>2018</v>
      </c>
      <c r="J504">
        <v>57820006</v>
      </c>
      <c r="K504">
        <v>2025</v>
      </c>
      <c r="L504">
        <v>10480197472</v>
      </c>
      <c r="M504" t="s">
        <v>3029</v>
      </c>
      <c r="N504" t="s">
        <v>1688</v>
      </c>
      <c r="O504" t="s">
        <v>1686</v>
      </c>
      <c r="P504">
        <v>0</v>
      </c>
      <c r="Q504">
        <v>4367698</v>
      </c>
      <c r="R504">
        <v>0</v>
      </c>
      <c r="S504">
        <v>53452308</v>
      </c>
      <c r="T504" t="str">
        <f t="shared" si="14"/>
        <v>8102.43.4302.84.0-205128.2.3.2.02.02.009.04.</v>
      </c>
      <c r="U504" t="e" cm="1">
        <f t="array" aca="1" ref="U504" ca="1">+IF(COMPROMISOS_2025[[#This Row],[P]]="20","41080111",_xlfn.XLOOKUP(COMPROMISOS_2025[[#This Row],[concatenado]],PAA[[#All],[RCP-RUBRO]],PAA[[#All],[INDICADOR]],"",0))</f>
        <v>#NAME?</v>
      </c>
      <c r="V504" s="144" t="str">
        <f t="shared" si="15"/>
        <v>84</v>
      </c>
      <c r="W504" s="136">
        <f>+COMPROMISOS_2025[[#This Row],[valor_total]]-COMPROMISOS_2025[[#This Row],[total_cancelado]]</f>
        <v>57820006</v>
      </c>
      <c r="X504" s="136">
        <f>COMPROMISOS_2025[[#This Row],[total_ordenes]]</f>
        <v>4367698</v>
      </c>
      <c r="Y504" t="str" cm="1">
        <f t="array" aca="1" ref="Y504" ca="1">IFERROR(_xlfn.XLOOKUP(COMPROMISOS_2025[[#This Row],[concatenado]],PAA[[#All],[RCP-RUBRO]],PAA[[#All],[Actividad3]],VLOOKUP(COMPROMISOS_2025[[#This Row],[Indicador Principal]],$AC$2:$AD$17,2,0),0),"")</f>
        <v/>
      </c>
    </row>
    <row r="505" spans="1:25" hidden="1" x14ac:dyDescent="0.25">
      <c r="A505">
        <v>817</v>
      </c>
      <c r="B505" t="s">
        <v>3030</v>
      </c>
      <c r="C505" t="s">
        <v>1936</v>
      </c>
      <c r="D505" t="s">
        <v>2047</v>
      </c>
      <c r="E505" t="s">
        <v>3031</v>
      </c>
      <c r="F505">
        <v>365</v>
      </c>
      <c r="G505">
        <v>61</v>
      </c>
      <c r="H505" t="s">
        <v>634</v>
      </c>
      <c r="I505" t="s">
        <v>2018</v>
      </c>
      <c r="J505">
        <v>38529929</v>
      </c>
      <c r="K505">
        <v>2025</v>
      </c>
      <c r="L505">
        <v>807956549</v>
      </c>
      <c r="M505" t="s">
        <v>3032</v>
      </c>
      <c r="N505" t="s">
        <v>1688</v>
      </c>
      <c r="O505" t="s">
        <v>1686</v>
      </c>
      <c r="P505">
        <v>0</v>
      </c>
      <c r="Q505">
        <v>2910534</v>
      </c>
      <c r="R505">
        <v>0</v>
      </c>
      <c r="S505">
        <v>35619395</v>
      </c>
      <c r="T505" t="str">
        <f t="shared" si="14"/>
        <v>8172.43.4302.84.0-205128.2.3.2.02.02.009.04.</v>
      </c>
      <c r="U505" t="e" cm="1">
        <f t="array" aca="1" ref="U505" ca="1">+IF(COMPROMISOS_2025[[#This Row],[P]]="20","41080111",_xlfn.XLOOKUP(COMPROMISOS_2025[[#This Row],[concatenado]],PAA[[#All],[RCP-RUBRO]],PAA[[#All],[INDICADOR]],"",0))</f>
        <v>#NAME?</v>
      </c>
      <c r="V505" s="144" t="str">
        <f t="shared" si="15"/>
        <v>84</v>
      </c>
      <c r="W505" s="136">
        <f>+COMPROMISOS_2025[[#This Row],[valor_total]]-COMPROMISOS_2025[[#This Row],[total_cancelado]]</f>
        <v>38529929</v>
      </c>
      <c r="X505" s="136">
        <f>COMPROMISOS_2025[[#This Row],[total_ordenes]]</f>
        <v>2910534</v>
      </c>
      <c r="Y505" t="str" cm="1">
        <f t="array" aca="1" ref="Y505" ca="1">IFERROR(_xlfn.XLOOKUP(COMPROMISOS_2025[[#This Row],[concatenado]],PAA[[#All],[RCP-RUBRO]],PAA[[#All],[Actividad3]],VLOOKUP(COMPROMISOS_2025[[#This Row],[Indicador Principal]],$AC$2:$AD$17,2,0),0),"")</f>
        <v/>
      </c>
    </row>
    <row r="506" spans="1:25" hidden="1" x14ac:dyDescent="0.25">
      <c r="A506">
        <v>819</v>
      </c>
      <c r="B506" t="s">
        <v>3033</v>
      </c>
      <c r="C506" t="s">
        <v>1936</v>
      </c>
      <c r="D506" t="s">
        <v>2059</v>
      </c>
      <c r="E506" t="s">
        <v>3034</v>
      </c>
      <c r="F506">
        <v>371</v>
      </c>
      <c r="G506">
        <v>61</v>
      </c>
      <c r="H506" t="s">
        <v>634</v>
      </c>
      <c r="I506" t="s">
        <v>2018</v>
      </c>
      <c r="J506">
        <v>25100935</v>
      </c>
      <c r="K506">
        <v>2025</v>
      </c>
      <c r="L506">
        <v>1054092294</v>
      </c>
      <c r="M506" t="s">
        <v>3035</v>
      </c>
      <c r="N506" t="s">
        <v>1688</v>
      </c>
      <c r="O506" t="s">
        <v>1686</v>
      </c>
      <c r="P506">
        <v>0</v>
      </c>
      <c r="Q506">
        <v>1896114</v>
      </c>
      <c r="R506">
        <v>0</v>
      </c>
      <c r="S506">
        <v>23204821</v>
      </c>
      <c r="T506" t="str">
        <f t="shared" si="14"/>
        <v>8192.43.4302.84.0-205128.2.3.2.02.02.009.04.</v>
      </c>
      <c r="U506" t="e" cm="1">
        <f t="array" aca="1" ref="U506" ca="1">+IF(COMPROMISOS_2025[[#This Row],[P]]="20","41080111",_xlfn.XLOOKUP(COMPROMISOS_2025[[#This Row],[concatenado]],PAA[[#All],[RCP-RUBRO]],PAA[[#All],[INDICADOR]],"",0))</f>
        <v>#NAME?</v>
      </c>
      <c r="V506" s="144" t="str">
        <f t="shared" si="15"/>
        <v>84</v>
      </c>
      <c r="W506" s="136">
        <f>+COMPROMISOS_2025[[#This Row],[valor_total]]-COMPROMISOS_2025[[#This Row],[total_cancelado]]</f>
        <v>25100935</v>
      </c>
      <c r="X506" s="136">
        <f>COMPROMISOS_2025[[#This Row],[total_ordenes]]</f>
        <v>1896114</v>
      </c>
      <c r="Y506" t="str" cm="1">
        <f t="array" aca="1" ref="Y506" ca="1">IFERROR(_xlfn.XLOOKUP(COMPROMISOS_2025[[#This Row],[concatenado]],PAA[[#All],[RCP-RUBRO]],PAA[[#All],[Actividad3]],VLOOKUP(COMPROMISOS_2025[[#This Row],[Indicador Principal]],$AC$2:$AD$17,2,0),0),"")</f>
        <v/>
      </c>
    </row>
    <row r="507" spans="1:25" hidden="1" x14ac:dyDescent="0.25">
      <c r="A507">
        <v>820</v>
      </c>
      <c r="B507" t="s">
        <v>3036</v>
      </c>
      <c r="C507" t="s">
        <v>1936</v>
      </c>
      <c r="D507" t="s">
        <v>2055</v>
      </c>
      <c r="E507" t="s">
        <v>3037</v>
      </c>
      <c r="F507">
        <v>369</v>
      </c>
      <c r="G507">
        <v>61</v>
      </c>
      <c r="H507" t="s">
        <v>634</v>
      </c>
      <c r="I507" t="s">
        <v>2018</v>
      </c>
      <c r="J507">
        <v>38529929</v>
      </c>
      <c r="K507">
        <v>2025</v>
      </c>
      <c r="L507">
        <v>2470571</v>
      </c>
      <c r="M507" t="s">
        <v>3038</v>
      </c>
      <c r="N507" t="s">
        <v>1688</v>
      </c>
      <c r="O507" t="s">
        <v>1686</v>
      </c>
      <c r="P507">
        <v>0</v>
      </c>
      <c r="Q507">
        <v>2910534</v>
      </c>
      <c r="R507">
        <v>0</v>
      </c>
      <c r="S507">
        <v>35619395</v>
      </c>
      <c r="T507" t="str">
        <f t="shared" si="14"/>
        <v>8202.43.4302.84.0-205128.2.3.2.02.02.009.04.</v>
      </c>
      <c r="U507" t="e" cm="1">
        <f t="array" aca="1" ref="U507" ca="1">+IF(COMPROMISOS_2025[[#This Row],[P]]="20","41080111",_xlfn.XLOOKUP(COMPROMISOS_2025[[#This Row],[concatenado]],PAA[[#All],[RCP-RUBRO]],PAA[[#All],[INDICADOR]],"",0))</f>
        <v>#NAME?</v>
      </c>
      <c r="V507" s="144" t="str">
        <f t="shared" si="15"/>
        <v>84</v>
      </c>
      <c r="W507" s="136">
        <f>+COMPROMISOS_2025[[#This Row],[valor_total]]-COMPROMISOS_2025[[#This Row],[total_cancelado]]</f>
        <v>38529929</v>
      </c>
      <c r="X507" s="136">
        <f>COMPROMISOS_2025[[#This Row],[total_ordenes]]</f>
        <v>2910534</v>
      </c>
      <c r="Y507" t="str" cm="1">
        <f t="array" aca="1" ref="Y507" ca="1">IFERROR(_xlfn.XLOOKUP(COMPROMISOS_2025[[#This Row],[concatenado]],PAA[[#All],[RCP-RUBRO]],PAA[[#All],[Actividad3]],VLOOKUP(COMPROMISOS_2025[[#This Row],[Indicador Principal]],$AC$2:$AD$17,2,0),0),"")</f>
        <v/>
      </c>
    </row>
    <row r="508" spans="1:25" hidden="1" x14ac:dyDescent="0.25">
      <c r="A508">
        <v>828</v>
      </c>
      <c r="B508" t="s">
        <v>3039</v>
      </c>
      <c r="C508" t="s">
        <v>1936</v>
      </c>
      <c r="D508" t="s">
        <v>2051</v>
      </c>
      <c r="E508" t="s">
        <v>3040</v>
      </c>
      <c r="F508">
        <v>367</v>
      </c>
      <c r="G508">
        <v>61</v>
      </c>
      <c r="H508" t="s">
        <v>634</v>
      </c>
      <c r="I508" t="s">
        <v>2018</v>
      </c>
      <c r="J508">
        <v>25100935</v>
      </c>
      <c r="K508">
        <v>2025</v>
      </c>
      <c r="L508">
        <v>1152464295</v>
      </c>
      <c r="M508" t="s">
        <v>3041</v>
      </c>
      <c r="N508" t="s">
        <v>1688</v>
      </c>
      <c r="O508" t="s">
        <v>1686</v>
      </c>
      <c r="P508">
        <v>0</v>
      </c>
      <c r="Q508">
        <v>1896114</v>
      </c>
      <c r="R508">
        <v>0</v>
      </c>
      <c r="S508">
        <v>23204821</v>
      </c>
      <c r="T508" t="str">
        <f t="shared" si="14"/>
        <v>8282.43.4302.84.0-205128.2.3.2.02.02.009.04.</v>
      </c>
      <c r="U508" t="e" cm="1">
        <f t="array" aca="1" ref="U508" ca="1">+IF(COMPROMISOS_2025[[#This Row],[P]]="20","41080111",_xlfn.XLOOKUP(COMPROMISOS_2025[[#This Row],[concatenado]],PAA[[#All],[RCP-RUBRO]],PAA[[#All],[INDICADOR]],"",0))</f>
        <v>#NAME?</v>
      </c>
      <c r="V508" s="144" t="str">
        <f t="shared" si="15"/>
        <v>84</v>
      </c>
      <c r="W508" s="136">
        <f>+COMPROMISOS_2025[[#This Row],[valor_total]]-COMPROMISOS_2025[[#This Row],[total_cancelado]]</f>
        <v>25100935</v>
      </c>
      <c r="X508" s="136">
        <f>COMPROMISOS_2025[[#This Row],[total_ordenes]]</f>
        <v>1896114</v>
      </c>
      <c r="Y508" t="str" cm="1">
        <f t="array" aca="1" ref="Y508" ca="1">IFERROR(_xlfn.XLOOKUP(COMPROMISOS_2025[[#This Row],[concatenado]],PAA[[#All],[RCP-RUBRO]],PAA[[#All],[Actividad3]],VLOOKUP(COMPROMISOS_2025[[#This Row],[Indicador Principal]],$AC$2:$AD$17,2,0),0),"")</f>
        <v/>
      </c>
    </row>
    <row r="509" spans="1:25" hidden="1" x14ac:dyDescent="0.25">
      <c r="A509">
        <v>829</v>
      </c>
      <c r="B509" t="s">
        <v>3042</v>
      </c>
      <c r="C509" t="s">
        <v>1936</v>
      </c>
      <c r="D509" t="s">
        <v>2057</v>
      </c>
      <c r="E509" t="s">
        <v>3043</v>
      </c>
      <c r="F509">
        <v>370</v>
      </c>
      <c r="G509">
        <v>61</v>
      </c>
      <c r="H509" t="s">
        <v>634</v>
      </c>
      <c r="I509" t="s">
        <v>2018</v>
      </c>
      <c r="J509">
        <v>47854929</v>
      </c>
      <c r="K509">
        <v>2025</v>
      </c>
      <c r="L509">
        <v>1214731711</v>
      </c>
      <c r="M509" t="s">
        <v>3044</v>
      </c>
      <c r="N509" t="s">
        <v>1688</v>
      </c>
      <c r="O509" t="s">
        <v>1686</v>
      </c>
      <c r="P509">
        <v>0</v>
      </c>
      <c r="Q509">
        <v>3614940</v>
      </c>
      <c r="R509">
        <v>0</v>
      </c>
      <c r="S509">
        <v>44239989</v>
      </c>
      <c r="T509" t="str">
        <f t="shared" si="14"/>
        <v>8292.43.4302.84.0-205128.2.3.2.02.02.009.04.</v>
      </c>
      <c r="U509" t="e" cm="1">
        <f t="array" aca="1" ref="U509" ca="1">+IF(COMPROMISOS_2025[[#This Row],[P]]="20","41080111",_xlfn.XLOOKUP(COMPROMISOS_2025[[#This Row],[concatenado]],PAA[[#All],[RCP-RUBRO]],PAA[[#All],[INDICADOR]],"",0))</f>
        <v>#NAME?</v>
      </c>
      <c r="V509" s="144" t="str">
        <f t="shared" si="15"/>
        <v>84</v>
      </c>
      <c r="W509" s="136">
        <f>+COMPROMISOS_2025[[#This Row],[valor_total]]-COMPROMISOS_2025[[#This Row],[total_cancelado]]</f>
        <v>47854929</v>
      </c>
      <c r="X509" s="136">
        <f>COMPROMISOS_2025[[#This Row],[total_ordenes]]</f>
        <v>3614940</v>
      </c>
      <c r="Y509" t="str" cm="1">
        <f t="array" aca="1" ref="Y509" ca="1">IFERROR(_xlfn.XLOOKUP(COMPROMISOS_2025[[#This Row],[concatenado]],PAA[[#All],[RCP-RUBRO]],PAA[[#All],[Actividad3]],VLOOKUP(COMPROMISOS_2025[[#This Row],[Indicador Principal]],$AC$2:$AD$17,2,0),0),"")</f>
        <v/>
      </c>
    </row>
    <row r="510" spans="1:25" hidden="1" x14ac:dyDescent="0.25">
      <c r="A510">
        <v>841</v>
      </c>
      <c r="B510" t="s">
        <v>3045</v>
      </c>
      <c r="C510" t="s">
        <v>1936</v>
      </c>
      <c r="D510" t="s">
        <v>2041</v>
      </c>
      <c r="E510" t="s">
        <v>3046</v>
      </c>
      <c r="F510">
        <v>362</v>
      </c>
      <c r="G510">
        <v>61</v>
      </c>
      <c r="H510" t="s">
        <v>634</v>
      </c>
      <c r="I510" t="s">
        <v>2018</v>
      </c>
      <c r="J510">
        <v>47854929</v>
      </c>
      <c r="K510">
        <v>2025</v>
      </c>
      <c r="L510">
        <v>393116321</v>
      </c>
      <c r="M510" t="s">
        <v>3047</v>
      </c>
      <c r="N510" t="s">
        <v>1688</v>
      </c>
      <c r="O510" t="s">
        <v>1686</v>
      </c>
      <c r="P510">
        <v>0</v>
      </c>
      <c r="Q510">
        <v>3614940</v>
      </c>
      <c r="R510">
        <v>0</v>
      </c>
      <c r="S510">
        <v>44239989</v>
      </c>
      <c r="T510" t="str">
        <f t="shared" si="14"/>
        <v>8412.43.4302.84.0-205128.2.3.2.02.02.009.04.</v>
      </c>
      <c r="U510" t="e" cm="1">
        <f t="array" aca="1" ref="U510" ca="1">+IF(COMPROMISOS_2025[[#This Row],[P]]="20","41080111",_xlfn.XLOOKUP(COMPROMISOS_2025[[#This Row],[concatenado]],PAA[[#All],[RCP-RUBRO]],PAA[[#All],[INDICADOR]],"",0))</f>
        <v>#NAME?</v>
      </c>
      <c r="V510" s="144" t="str">
        <f t="shared" si="15"/>
        <v>84</v>
      </c>
      <c r="W510" s="136">
        <f>+COMPROMISOS_2025[[#This Row],[valor_total]]-COMPROMISOS_2025[[#This Row],[total_cancelado]]</f>
        <v>47854929</v>
      </c>
      <c r="X510" s="136">
        <f>COMPROMISOS_2025[[#This Row],[total_ordenes]]</f>
        <v>3614940</v>
      </c>
      <c r="Y510" t="str" cm="1">
        <f t="array" aca="1" ref="Y510" ca="1">IFERROR(_xlfn.XLOOKUP(COMPROMISOS_2025[[#This Row],[concatenado]],PAA[[#All],[RCP-RUBRO]],PAA[[#All],[Actividad3]],VLOOKUP(COMPROMISOS_2025[[#This Row],[Indicador Principal]],$AC$2:$AD$17,2,0),0),"")</f>
        <v/>
      </c>
    </row>
    <row r="511" spans="1:25" hidden="1" x14ac:dyDescent="0.25">
      <c r="A511">
        <v>842</v>
      </c>
      <c r="B511" t="s">
        <v>3048</v>
      </c>
      <c r="C511" t="s">
        <v>1936</v>
      </c>
      <c r="D511" t="s">
        <v>2037</v>
      </c>
      <c r="E511" t="s">
        <v>3049</v>
      </c>
      <c r="F511">
        <v>360</v>
      </c>
      <c r="G511">
        <v>61</v>
      </c>
      <c r="H511" t="s">
        <v>634</v>
      </c>
      <c r="I511" t="s">
        <v>2018</v>
      </c>
      <c r="J511">
        <v>38529929</v>
      </c>
      <c r="K511">
        <v>2025</v>
      </c>
      <c r="L511">
        <v>70328845</v>
      </c>
      <c r="M511" t="s">
        <v>3050</v>
      </c>
      <c r="N511" t="s">
        <v>1688</v>
      </c>
      <c r="O511" t="s">
        <v>1686</v>
      </c>
      <c r="P511">
        <v>0</v>
      </c>
      <c r="Q511">
        <v>2910534</v>
      </c>
      <c r="R511">
        <v>0</v>
      </c>
      <c r="S511">
        <v>35619395</v>
      </c>
      <c r="T511" t="str">
        <f t="shared" si="14"/>
        <v>8422.43.4302.84.0-205128.2.3.2.02.02.009.04.</v>
      </c>
      <c r="U511" t="e" cm="1">
        <f t="array" aca="1" ref="U511" ca="1">+IF(COMPROMISOS_2025[[#This Row],[P]]="20","41080111",_xlfn.XLOOKUP(COMPROMISOS_2025[[#This Row],[concatenado]],PAA[[#All],[RCP-RUBRO]],PAA[[#All],[INDICADOR]],"",0))</f>
        <v>#NAME?</v>
      </c>
      <c r="V511" s="144" t="str">
        <f t="shared" si="15"/>
        <v>84</v>
      </c>
      <c r="W511" s="136">
        <f>+COMPROMISOS_2025[[#This Row],[valor_total]]-COMPROMISOS_2025[[#This Row],[total_cancelado]]</f>
        <v>38529929</v>
      </c>
      <c r="X511" s="136">
        <f>COMPROMISOS_2025[[#This Row],[total_ordenes]]</f>
        <v>2910534</v>
      </c>
      <c r="Y511" t="str" cm="1">
        <f t="array" aca="1" ref="Y511" ca="1">IFERROR(_xlfn.XLOOKUP(COMPROMISOS_2025[[#This Row],[concatenado]],PAA[[#All],[RCP-RUBRO]],PAA[[#All],[Actividad3]],VLOOKUP(COMPROMISOS_2025[[#This Row],[Indicador Principal]],$AC$2:$AD$17,2,0),0),"")</f>
        <v/>
      </c>
    </row>
    <row r="512" spans="1:25" hidden="1" x14ac:dyDescent="0.25">
      <c r="A512">
        <v>844</v>
      </c>
      <c r="B512" t="s">
        <v>3051</v>
      </c>
      <c r="C512" t="s">
        <v>1936</v>
      </c>
      <c r="D512" t="s">
        <v>2039</v>
      </c>
      <c r="E512" t="s">
        <v>3052</v>
      </c>
      <c r="F512">
        <v>361</v>
      </c>
      <c r="G512">
        <v>61</v>
      </c>
      <c r="H512" t="s">
        <v>634</v>
      </c>
      <c r="I512" t="s">
        <v>2018</v>
      </c>
      <c r="J512">
        <v>47854929</v>
      </c>
      <c r="K512">
        <v>2025</v>
      </c>
      <c r="L512">
        <v>70564744</v>
      </c>
      <c r="M512" t="s">
        <v>3053</v>
      </c>
      <c r="N512" t="s">
        <v>1688</v>
      </c>
      <c r="O512" t="s">
        <v>1686</v>
      </c>
      <c r="P512">
        <v>0</v>
      </c>
      <c r="Q512">
        <v>3614940</v>
      </c>
      <c r="R512">
        <v>0</v>
      </c>
      <c r="S512">
        <v>44239989</v>
      </c>
      <c r="T512" t="str">
        <f t="shared" si="14"/>
        <v>8442.43.4302.84.0-205128.2.3.2.02.02.009.04.</v>
      </c>
      <c r="U512" t="e" cm="1">
        <f t="array" aca="1" ref="U512" ca="1">+IF(COMPROMISOS_2025[[#This Row],[P]]="20","41080111",_xlfn.XLOOKUP(COMPROMISOS_2025[[#This Row],[concatenado]],PAA[[#All],[RCP-RUBRO]],PAA[[#All],[INDICADOR]],"",0))</f>
        <v>#NAME?</v>
      </c>
      <c r="V512" s="144" t="str">
        <f t="shared" si="15"/>
        <v>84</v>
      </c>
      <c r="W512" s="136">
        <f>+COMPROMISOS_2025[[#This Row],[valor_total]]-COMPROMISOS_2025[[#This Row],[total_cancelado]]</f>
        <v>47854929</v>
      </c>
      <c r="X512" s="136">
        <f>COMPROMISOS_2025[[#This Row],[total_ordenes]]</f>
        <v>3614940</v>
      </c>
      <c r="Y512" t="str" cm="1">
        <f t="array" aca="1" ref="Y512" ca="1">IFERROR(_xlfn.XLOOKUP(COMPROMISOS_2025[[#This Row],[concatenado]],PAA[[#All],[RCP-RUBRO]],PAA[[#All],[Actividad3]],VLOOKUP(COMPROMISOS_2025[[#This Row],[Indicador Principal]],$AC$2:$AD$17,2,0),0),"")</f>
        <v/>
      </c>
    </row>
    <row r="513" spans="1:25" hidden="1" x14ac:dyDescent="0.25">
      <c r="A513">
        <v>1197</v>
      </c>
      <c r="B513" t="s">
        <v>3054</v>
      </c>
      <c r="C513" t="s">
        <v>1936</v>
      </c>
      <c r="D513" t="s">
        <v>2061</v>
      </c>
      <c r="E513" t="s">
        <v>3055</v>
      </c>
      <c r="F513">
        <v>372</v>
      </c>
      <c r="G513">
        <v>61</v>
      </c>
      <c r="H513" t="s">
        <v>634</v>
      </c>
      <c r="I513" t="s">
        <v>2018</v>
      </c>
      <c r="J513">
        <v>57820006</v>
      </c>
      <c r="K513">
        <v>2025</v>
      </c>
      <c r="L513">
        <v>7002369727</v>
      </c>
      <c r="M513" t="s">
        <v>3056</v>
      </c>
      <c r="N513" t="s">
        <v>1688</v>
      </c>
      <c r="O513" t="s">
        <v>1686</v>
      </c>
      <c r="P513">
        <v>0</v>
      </c>
      <c r="Q513">
        <v>4159713</v>
      </c>
      <c r="R513">
        <v>0</v>
      </c>
      <c r="S513">
        <v>53660293</v>
      </c>
      <c r="T513" t="str">
        <f t="shared" si="14"/>
        <v>11972.43.4302.84.0-205128.2.3.2.02.02.009.04.</v>
      </c>
      <c r="U513" t="e" cm="1">
        <f t="array" aca="1" ref="U513" ca="1">+IF(COMPROMISOS_2025[[#This Row],[P]]="20","41080111",_xlfn.XLOOKUP(COMPROMISOS_2025[[#This Row],[concatenado]],PAA[[#All],[RCP-RUBRO]],PAA[[#All],[INDICADOR]],"",0))</f>
        <v>#NAME?</v>
      </c>
      <c r="V513" s="144" t="str">
        <f t="shared" si="15"/>
        <v>84</v>
      </c>
      <c r="W513" s="136">
        <f>+COMPROMISOS_2025[[#This Row],[valor_total]]-COMPROMISOS_2025[[#This Row],[total_cancelado]]</f>
        <v>57820006</v>
      </c>
      <c r="X513" s="136">
        <f>COMPROMISOS_2025[[#This Row],[total_ordenes]]</f>
        <v>4159713</v>
      </c>
      <c r="Y513" t="str" cm="1">
        <f t="array" aca="1" ref="Y513" ca="1">IFERROR(_xlfn.XLOOKUP(COMPROMISOS_2025[[#This Row],[concatenado]],PAA[[#All],[RCP-RUBRO]],PAA[[#All],[Actividad3]],VLOOKUP(COMPROMISOS_2025[[#This Row],[Indicador Principal]],$AC$2:$AD$17,2,0),0),"")</f>
        <v/>
      </c>
    </row>
    <row r="514" spans="1:25" hidden="1" x14ac:dyDescent="0.25">
      <c r="A514">
        <v>1199</v>
      </c>
      <c r="B514" t="s">
        <v>3057</v>
      </c>
      <c r="C514" t="s">
        <v>1936</v>
      </c>
      <c r="D514" t="s">
        <v>2043</v>
      </c>
      <c r="E514" t="s">
        <v>3058</v>
      </c>
      <c r="F514">
        <v>363</v>
      </c>
      <c r="G514">
        <v>61</v>
      </c>
      <c r="H514" t="s">
        <v>634</v>
      </c>
      <c r="I514" t="s">
        <v>2018</v>
      </c>
      <c r="J514">
        <v>25100935</v>
      </c>
      <c r="K514">
        <v>2025</v>
      </c>
      <c r="L514">
        <v>154487267</v>
      </c>
      <c r="M514" t="s">
        <v>3059</v>
      </c>
      <c r="N514" t="s">
        <v>1688</v>
      </c>
      <c r="O514" t="s">
        <v>1686</v>
      </c>
      <c r="P514">
        <v>0</v>
      </c>
      <c r="Q514">
        <v>1805823</v>
      </c>
      <c r="R514">
        <v>0</v>
      </c>
      <c r="S514">
        <v>23295112</v>
      </c>
      <c r="T514" t="str">
        <f t="shared" ref="T514:T577" si="16">IF(A514&gt;=0,CONCATENATE(A514,H514),"")</f>
        <v>11992.43.4302.84.0-205128.2.3.2.02.02.009.04.</v>
      </c>
      <c r="U514" t="e" cm="1">
        <f t="array" aca="1" ref="U514" ca="1">+IF(COMPROMISOS_2025[[#This Row],[P]]="20","41080111",_xlfn.XLOOKUP(COMPROMISOS_2025[[#This Row],[concatenado]],PAA[[#All],[RCP-RUBRO]],PAA[[#All],[INDICADOR]],"",0))</f>
        <v>#NAME?</v>
      </c>
      <c r="V514" s="144" t="str">
        <f t="shared" ref="V514:V577" si="17">+MID(H514,11,2)</f>
        <v>84</v>
      </c>
      <c r="W514" s="136">
        <f>+COMPROMISOS_2025[[#This Row],[valor_total]]-COMPROMISOS_2025[[#This Row],[total_cancelado]]</f>
        <v>25100935</v>
      </c>
      <c r="X514" s="136">
        <f>COMPROMISOS_2025[[#This Row],[total_ordenes]]</f>
        <v>1805823</v>
      </c>
      <c r="Y514" t="str" cm="1">
        <f t="array" aca="1" ref="Y514" ca="1">IFERROR(_xlfn.XLOOKUP(COMPROMISOS_2025[[#This Row],[concatenado]],PAA[[#All],[RCP-RUBRO]],PAA[[#All],[Actividad3]],VLOOKUP(COMPROMISOS_2025[[#This Row],[Indicador Principal]],$AC$2:$AD$17,2,0),0),"")</f>
        <v/>
      </c>
    </row>
    <row r="515" spans="1:25" hidden="1" x14ac:dyDescent="0.25">
      <c r="A515">
        <v>1203</v>
      </c>
      <c r="B515" t="s">
        <v>3060</v>
      </c>
      <c r="C515" t="s">
        <v>1936</v>
      </c>
      <c r="D515" t="s">
        <v>2024</v>
      </c>
      <c r="E515" t="s">
        <v>3061</v>
      </c>
      <c r="F515">
        <v>274</v>
      </c>
      <c r="G515">
        <v>61</v>
      </c>
      <c r="H515" t="s">
        <v>634</v>
      </c>
      <c r="I515" t="s">
        <v>2018</v>
      </c>
      <c r="J515">
        <v>25100935</v>
      </c>
      <c r="K515">
        <v>2025</v>
      </c>
      <c r="L515">
        <v>7000844303</v>
      </c>
      <c r="M515" t="s">
        <v>3062</v>
      </c>
      <c r="N515" t="s">
        <v>1688</v>
      </c>
      <c r="O515" t="s">
        <v>1686</v>
      </c>
      <c r="P515">
        <v>0</v>
      </c>
      <c r="Q515">
        <v>1805823</v>
      </c>
      <c r="R515">
        <v>0</v>
      </c>
      <c r="S515">
        <v>23295112</v>
      </c>
      <c r="T515" t="str">
        <f t="shared" si="16"/>
        <v>12032.43.4302.84.0-205128.2.3.2.02.02.009.04.</v>
      </c>
      <c r="U515" t="e" cm="1">
        <f t="array" aca="1" ref="U515" ca="1">+IF(COMPROMISOS_2025[[#This Row],[P]]="20","41080111",_xlfn.XLOOKUP(COMPROMISOS_2025[[#This Row],[concatenado]],PAA[[#All],[RCP-RUBRO]],PAA[[#All],[INDICADOR]],"",0))</f>
        <v>#NAME?</v>
      </c>
      <c r="V515" s="144" t="str">
        <f t="shared" si="17"/>
        <v>84</v>
      </c>
      <c r="W515" s="136">
        <f>+COMPROMISOS_2025[[#This Row],[valor_total]]-COMPROMISOS_2025[[#This Row],[total_cancelado]]</f>
        <v>25100935</v>
      </c>
      <c r="X515" s="136">
        <f>COMPROMISOS_2025[[#This Row],[total_ordenes]]</f>
        <v>1805823</v>
      </c>
      <c r="Y515" t="str" cm="1">
        <f t="array" aca="1" ref="Y515" ca="1">IFERROR(_xlfn.XLOOKUP(COMPROMISOS_2025[[#This Row],[concatenado]],PAA[[#All],[RCP-RUBRO]],PAA[[#All],[Actividad3]],VLOOKUP(COMPROMISOS_2025[[#This Row],[Indicador Principal]],$AC$2:$AD$17,2,0),0),"")</f>
        <v/>
      </c>
    </row>
    <row r="516" spans="1:25" hidden="1" x14ac:dyDescent="0.25">
      <c r="A516">
        <v>3003</v>
      </c>
      <c r="B516" t="s">
        <v>3063</v>
      </c>
      <c r="C516" t="s">
        <v>1936</v>
      </c>
      <c r="D516" t="s">
        <v>2063</v>
      </c>
      <c r="E516" t="s">
        <v>3064</v>
      </c>
      <c r="F516">
        <v>424</v>
      </c>
      <c r="G516">
        <v>61</v>
      </c>
      <c r="H516" t="s">
        <v>634</v>
      </c>
      <c r="I516" t="s">
        <v>2018</v>
      </c>
      <c r="J516">
        <v>11618077</v>
      </c>
      <c r="K516">
        <v>2025</v>
      </c>
      <c r="L516">
        <v>121136403</v>
      </c>
      <c r="M516" t="s">
        <v>3065</v>
      </c>
      <c r="N516" t="s">
        <v>1688</v>
      </c>
      <c r="O516" t="s">
        <v>1686</v>
      </c>
      <c r="P516">
        <v>0</v>
      </c>
      <c r="Q516">
        <v>0</v>
      </c>
      <c r="R516">
        <v>0</v>
      </c>
      <c r="S516">
        <v>11618077</v>
      </c>
      <c r="T516" t="str">
        <f t="shared" si="16"/>
        <v>30032.43.4302.84.0-205128.2.3.2.02.02.009.04.</v>
      </c>
      <c r="U516" t="e" cm="1">
        <f t="array" aca="1" ref="U516" ca="1">+IF(COMPROMISOS_2025[[#This Row],[P]]="20","41080111",_xlfn.XLOOKUP(COMPROMISOS_2025[[#This Row],[concatenado]],PAA[[#All],[RCP-RUBRO]],PAA[[#All],[INDICADOR]],"",0))</f>
        <v>#NAME?</v>
      </c>
      <c r="V516" s="144" t="str">
        <f t="shared" si="17"/>
        <v>84</v>
      </c>
      <c r="W516" s="136">
        <f>+COMPROMISOS_2025[[#This Row],[valor_total]]-COMPROMISOS_2025[[#This Row],[total_cancelado]]</f>
        <v>11618077</v>
      </c>
      <c r="X516" s="136">
        <f>COMPROMISOS_2025[[#This Row],[total_ordenes]]</f>
        <v>0</v>
      </c>
      <c r="Y516" t="str" cm="1">
        <f t="array" aca="1" ref="Y516" ca="1">IFERROR(_xlfn.XLOOKUP(COMPROMISOS_2025[[#This Row],[concatenado]],PAA[[#All],[RCP-RUBRO]],PAA[[#All],[Actividad3]],VLOOKUP(COMPROMISOS_2025[[#This Row],[Indicador Principal]],$AC$2:$AD$17,2,0),0),"")</f>
        <v/>
      </c>
    </row>
    <row r="517" spans="1:25" hidden="1" x14ac:dyDescent="0.25">
      <c r="A517">
        <v>147</v>
      </c>
      <c r="B517" t="s">
        <v>3066</v>
      </c>
      <c r="C517" t="s">
        <v>1936</v>
      </c>
      <c r="D517" t="s">
        <v>2099</v>
      </c>
      <c r="E517" t="s">
        <v>3067</v>
      </c>
      <c r="F517">
        <v>121</v>
      </c>
      <c r="G517">
        <v>62</v>
      </c>
      <c r="H517" t="s">
        <v>452</v>
      </c>
      <c r="I517" t="s">
        <v>2018</v>
      </c>
      <c r="J517">
        <v>61147776</v>
      </c>
      <c r="K517">
        <v>2025</v>
      </c>
      <c r="L517">
        <v>32294449</v>
      </c>
      <c r="M517" t="s">
        <v>3068</v>
      </c>
      <c r="N517" t="s">
        <v>1688</v>
      </c>
      <c r="O517" t="s">
        <v>1686</v>
      </c>
      <c r="P517">
        <v>0</v>
      </c>
      <c r="Q517">
        <v>8319425</v>
      </c>
      <c r="R517">
        <v>0</v>
      </c>
      <c r="S517">
        <v>52828351</v>
      </c>
      <c r="T517" t="str">
        <f t="shared" si="16"/>
        <v>1472.43.4302.84.0-205400.2.3.2.02.02.009.03.</v>
      </c>
      <c r="U517" t="e" cm="1">
        <f t="array" aca="1" ref="U517" ca="1">+IF(COMPROMISOS_2025[[#This Row],[P]]="20","41080111",_xlfn.XLOOKUP(COMPROMISOS_2025[[#This Row],[concatenado]],PAA[[#All],[RCP-RUBRO]],PAA[[#All],[INDICADOR]],"",0))</f>
        <v>#NAME?</v>
      </c>
      <c r="V517" s="144" t="str">
        <f t="shared" si="17"/>
        <v>84</v>
      </c>
      <c r="W517" s="136">
        <f>+COMPROMISOS_2025[[#This Row],[valor_total]]-COMPROMISOS_2025[[#This Row],[total_cancelado]]</f>
        <v>61147776</v>
      </c>
      <c r="X517" s="136">
        <f>COMPROMISOS_2025[[#This Row],[total_ordenes]]</f>
        <v>8319425</v>
      </c>
      <c r="Y517" t="str" cm="1">
        <f t="array" aca="1" ref="Y517" ca="1">IFERROR(_xlfn.XLOOKUP(COMPROMISOS_2025[[#This Row],[concatenado]],PAA[[#All],[RCP-RUBRO]],PAA[[#All],[Actividad3]],VLOOKUP(COMPROMISOS_2025[[#This Row],[Indicador Principal]],$AC$2:$AD$17,2,0),0),"")</f>
        <v/>
      </c>
    </row>
    <row r="518" spans="1:25" hidden="1" x14ac:dyDescent="0.25">
      <c r="A518">
        <v>148</v>
      </c>
      <c r="B518" t="s">
        <v>3069</v>
      </c>
      <c r="C518" t="s">
        <v>1936</v>
      </c>
      <c r="D518" t="s">
        <v>2162</v>
      </c>
      <c r="E518" t="s">
        <v>3070</v>
      </c>
      <c r="F518">
        <v>179</v>
      </c>
      <c r="G518">
        <v>62</v>
      </c>
      <c r="H518" t="s">
        <v>452</v>
      </c>
      <c r="I518" t="s">
        <v>2018</v>
      </c>
      <c r="J518">
        <v>40747479</v>
      </c>
      <c r="K518">
        <v>2025</v>
      </c>
      <c r="L518">
        <v>71374824</v>
      </c>
      <c r="M518" t="s">
        <v>3071</v>
      </c>
      <c r="N518" t="s">
        <v>1688</v>
      </c>
      <c r="O518" t="s">
        <v>1686</v>
      </c>
      <c r="P518">
        <v>0</v>
      </c>
      <c r="Q518">
        <v>5543875</v>
      </c>
      <c r="R518">
        <v>0</v>
      </c>
      <c r="S518">
        <v>35203604</v>
      </c>
      <c r="T518" t="str">
        <f t="shared" si="16"/>
        <v>1482.43.4302.84.0-205400.2.3.2.02.02.009.03.</v>
      </c>
      <c r="U518" t="e" cm="1">
        <f t="array" aca="1" ref="U518" ca="1">+IF(COMPROMISOS_2025[[#This Row],[P]]="20","41080111",_xlfn.XLOOKUP(COMPROMISOS_2025[[#This Row],[concatenado]],PAA[[#All],[RCP-RUBRO]],PAA[[#All],[INDICADOR]],"",0))</f>
        <v>#NAME?</v>
      </c>
      <c r="V518" s="144" t="str">
        <f t="shared" si="17"/>
        <v>84</v>
      </c>
      <c r="W518" s="136">
        <f>+COMPROMISOS_2025[[#This Row],[valor_total]]-COMPROMISOS_2025[[#This Row],[total_cancelado]]</f>
        <v>40747479</v>
      </c>
      <c r="X518" s="136">
        <f>COMPROMISOS_2025[[#This Row],[total_ordenes]]</f>
        <v>5543875</v>
      </c>
      <c r="Y518" t="str" cm="1">
        <f t="array" aca="1" ref="Y518" ca="1">IFERROR(_xlfn.XLOOKUP(COMPROMISOS_2025[[#This Row],[concatenado]],PAA[[#All],[RCP-RUBRO]],PAA[[#All],[Actividad3]],VLOOKUP(COMPROMISOS_2025[[#This Row],[Indicador Principal]],$AC$2:$AD$17,2,0),0),"")</f>
        <v/>
      </c>
    </row>
    <row r="519" spans="1:25" hidden="1" x14ac:dyDescent="0.25">
      <c r="A519">
        <v>149</v>
      </c>
      <c r="B519" t="s">
        <v>3072</v>
      </c>
      <c r="C519" t="s">
        <v>1936</v>
      </c>
      <c r="D519" t="s">
        <v>2113</v>
      </c>
      <c r="E519" t="s">
        <v>3073</v>
      </c>
      <c r="F519">
        <v>134</v>
      </c>
      <c r="G519">
        <v>62</v>
      </c>
      <c r="H519" t="s">
        <v>452</v>
      </c>
      <c r="I519" t="s">
        <v>2018</v>
      </c>
      <c r="J519">
        <v>94982227</v>
      </c>
      <c r="K519">
        <v>2025</v>
      </c>
      <c r="L519">
        <v>9729766</v>
      </c>
      <c r="M519" t="s">
        <v>3074</v>
      </c>
      <c r="N519" t="s">
        <v>1688</v>
      </c>
      <c r="O519" t="s">
        <v>1686</v>
      </c>
      <c r="P519">
        <v>0</v>
      </c>
      <c r="Q519">
        <v>12922752</v>
      </c>
      <c r="R519">
        <v>0</v>
      </c>
      <c r="S519">
        <v>82059475</v>
      </c>
      <c r="T519" t="str">
        <f t="shared" si="16"/>
        <v>1492.43.4302.84.0-205400.2.3.2.02.02.009.03.</v>
      </c>
      <c r="U519" t="e" cm="1">
        <f t="array" aca="1" ref="U519" ca="1">+IF(COMPROMISOS_2025[[#This Row],[P]]="20","41080111",_xlfn.XLOOKUP(COMPROMISOS_2025[[#This Row],[concatenado]],PAA[[#All],[RCP-RUBRO]],PAA[[#All],[INDICADOR]],"",0))</f>
        <v>#NAME?</v>
      </c>
      <c r="V519" s="144" t="str">
        <f t="shared" si="17"/>
        <v>84</v>
      </c>
      <c r="W519" s="136">
        <f>+COMPROMISOS_2025[[#This Row],[valor_total]]-COMPROMISOS_2025[[#This Row],[total_cancelado]]</f>
        <v>94982227</v>
      </c>
      <c r="X519" s="136">
        <f>COMPROMISOS_2025[[#This Row],[total_ordenes]]</f>
        <v>12922752</v>
      </c>
      <c r="Y519" t="str" cm="1">
        <f t="array" aca="1" ref="Y519" ca="1">IFERROR(_xlfn.XLOOKUP(COMPROMISOS_2025[[#This Row],[concatenado]],PAA[[#All],[RCP-RUBRO]],PAA[[#All],[Actividad3]],VLOOKUP(COMPROMISOS_2025[[#This Row],[Indicador Principal]],$AC$2:$AD$17,2,0),0),"")</f>
        <v/>
      </c>
    </row>
    <row r="520" spans="1:25" hidden="1" x14ac:dyDescent="0.25">
      <c r="A520">
        <v>150</v>
      </c>
      <c r="B520" t="s">
        <v>3075</v>
      </c>
      <c r="C520" t="s">
        <v>1936</v>
      </c>
      <c r="D520" t="s">
        <v>2166</v>
      </c>
      <c r="E520" t="s">
        <v>3076</v>
      </c>
      <c r="F520">
        <v>183</v>
      </c>
      <c r="G520">
        <v>62</v>
      </c>
      <c r="H520" t="s">
        <v>452</v>
      </c>
      <c r="I520" t="s">
        <v>2018</v>
      </c>
      <c r="J520">
        <v>40747479</v>
      </c>
      <c r="K520">
        <v>2025</v>
      </c>
      <c r="L520">
        <v>15349318</v>
      </c>
      <c r="M520" t="s">
        <v>3077</v>
      </c>
      <c r="N520" t="s">
        <v>1688</v>
      </c>
      <c r="O520" t="s">
        <v>1686</v>
      </c>
      <c r="P520">
        <v>0</v>
      </c>
      <c r="Q520">
        <v>5543875</v>
      </c>
      <c r="R520">
        <v>0</v>
      </c>
      <c r="S520">
        <v>35203604</v>
      </c>
      <c r="T520" t="str">
        <f t="shared" si="16"/>
        <v>1502.43.4302.84.0-205400.2.3.2.02.02.009.03.</v>
      </c>
      <c r="U520" t="e" cm="1">
        <f t="array" aca="1" ref="U520" ca="1">+IF(COMPROMISOS_2025[[#This Row],[P]]="20","41080111",_xlfn.XLOOKUP(COMPROMISOS_2025[[#This Row],[concatenado]],PAA[[#All],[RCP-RUBRO]],PAA[[#All],[INDICADOR]],"",0))</f>
        <v>#NAME?</v>
      </c>
      <c r="V520" s="144" t="str">
        <f t="shared" si="17"/>
        <v>84</v>
      </c>
      <c r="W520" s="136">
        <f>+COMPROMISOS_2025[[#This Row],[valor_total]]-COMPROMISOS_2025[[#This Row],[total_cancelado]]</f>
        <v>40747479</v>
      </c>
      <c r="X520" s="136">
        <f>COMPROMISOS_2025[[#This Row],[total_ordenes]]</f>
        <v>5543875</v>
      </c>
      <c r="Y520" t="str" cm="1">
        <f t="array" aca="1" ref="Y520" ca="1">IFERROR(_xlfn.XLOOKUP(COMPROMISOS_2025[[#This Row],[concatenado]],PAA[[#All],[RCP-RUBRO]],PAA[[#All],[Actividad3]],VLOOKUP(COMPROMISOS_2025[[#This Row],[Indicador Principal]],$AC$2:$AD$17,2,0),0),"")</f>
        <v/>
      </c>
    </row>
    <row r="521" spans="1:25" hidden="1" x14ac:dyDescent="0.25">
      <c r="A521">
        <v>155</v>
      </c>
      <c r="B521" t="s">
        <v>3078</v>
      </c>
      <c r="C521" t="s">
        <v>1936</v>
      </c>
      <c r="D521" t="s">
        <v>2226</v>
      </c>
      <c r="E521" t="s">
        <v>3079</v>
      </c>
      <c r="F521">
        <v>241</v>
      </c>
      <c r="G521">
        <v>62</v>
      </c>
      <c r="H521" t="s">
        <v>452</v>
      </c>
      <c r="I521" t="s">
        <v>2018</v>
      </c>
      <c r="J521">
        <v>26545593</v>
      </c>
      <c r="K521">
        <v>2025</v>
      </c>
      <c r="L521">
        <v>1035429696</v>
      </c>
      <c r="M521" t="s">
        <v>3080</v>
      </c>
      <c r="N521" t="s">
        <v>1688</v>
      </c>
      <c r="O521" t="s">
        <v>1686</v>
      </c>
      <c r="P521">
        <v>0</v>
      </c>
      <c r="Q521">
        <v>3611645</v>
      </c>
      <c r="R521">
        <v>0</v>
      </c>
      <c r="S521">
        <v>22933948</v>
      </c>
      <c r="T521" t="str">
        <f t="shared" si="16"/>
        <v>1552.43.4302.84.0-205400.2.3.2.02.02.009.03.</v>
      </c>
      <c r="U521" t="e" cm="1">
        <f t="array" aca="1" ref="U521" ca="1">+IF(COMPROMISOS_2025[[#This Row],[P]]="20","41080111",_xlfn.XLOOKUP(COMPROMISOS_2025[[#This Row],[concatenado]],PAA[[#All],[RCP-RUBRO]],PAA[[#All],[INDICADOR]],"",0))</f>
        <v>#NAME?</v>
      </c>
      <c r="V521" s="144" t="str">
        <f t="shared" si="17"/>
        <v>84</v>
      </c>
      <c r="W521" s="136">
        <f>+COMPROMISOS_2025[[#This Row],[valor_total]]-COMPROMISOS_2025[[#This Row],[total_cancelado]]</f>
        <v>26545593</v>
      </c>
      <c r="X521" s="136">
        <f>COMPROMISOS_2025[[#This Row],[total_ordenes]]</f>
        <v>3611645</v>
      </c>
      <c r="Y521" t="str" cm="1">
        <f t="array" aca="1" ref="Y521" ca="1">IFERROR(_xlfn.XLOOKUP(COMPROMISOS_2025[[#This Row],[concatenado]],PAA[[#All],[RCP-RUBRO]],PAA[[#All],[Actividad3]],VLOOKUP(COMPROMISOS_2025[[#This Row],[Indicador Principal]],$AC$2:$AD$17,2,0),0),"")</f>
        <v/>
      </c>
    </row>
    <row r="522" spans="1:25" hidden="1" x14ac:dyDescent="0.25">
      <c r="A522">
        <v>157</v>
      </c>
      <c r="B522" t="s">
        <v>3081</v>
      </c>
      <c r="C522" t="s">
        <v>1936</v>
      </c>
      <c r="D522" t="s">
        <v>2065</v>
      </c>
      <c r="E522" t="s">
        <v>3082</v>
      </c>
      <c r="F522">
        <v>88</v>
      </c>
      <c r="G522">
        <v>62</v>
      </c>
      <c r="H522" t="s">
        <v>452</v>
      </c>
      <c r="I522" t="s">
        <v>2018</v>
      </c>
      <c r="J522">
        <v>61147776</v>
      </c>
      <c r="K522">
        <v>2025</v>
      </c>
      <c r="L522">
        <v>717737381</v>
      </c>
      <c r="M522" t="s">
        <v>3083</v>
      </c>
      <c r="N522" t="s">
        <v>1688</v>
      </c>
      <c r="O522" t="s">
        <v>1686</v>
      </c>
      <c r="P522">
        <v>0</v>
      </c>
      <c r="Q522">
        <v>8319425</v>
      </c>
      <c r="R522">
        <v>0</v>
      </c>
      <c r="S522">
        <v>52828351</v>
      </c>
      <c r="T522" t="str">
        <f t="shared" si="16"/>
        <v>1572.43.4302.84.0-205400.2.3.2.02.02.009.03.</v>
      </c>
      <c r="U522" t="e" cm="1">
        <f t="array" aca="1" ref="U522" ca="1">+IF(COMPROMISOS_2025[[#This Row],[P]]="20","41080111",_xlfn.XLOOKUP(COMPROMISOS_2025[[#This Row],[concatenado]],PAA[[#All],[RCP-RUBRO]],PAA[[#All],[INDICADOR]],"",0))</f>
        <v>#NAME?</v>
      </c>
      <c r="V522" s="144" t="str">
        <f t="shared" si="17"/>
        <v>84</v>
      </c>
      <c r="W522" s="136">
        <f>+COMPROMISOS_2025[[#This Row],[valor_total]]-COMPROMISOS_2025[[#This Row],[total_cancelado]]</f>
        <v>61147776</v>
      </c>
      <c r="X522" s="136">
        <f>COMPROMISOS_2025[[#This Row],[total_ordenes]]</f>
        <v>8319425</v>
      </c>
      <c r="Y522" t="str" cm="1">
        <f t="array" aca="1" ref="Y522" ca="1">IFERROR(_xlfn.XLOOKUP(COMPROMISOS_2025[[#This Row],[concatenado]],PAA[[#All],[RCP-RUBRO]],PAA[[#All],[Actividad3]],VLOOKUP(COMPROMISOS_2025[[#This Row],[Indicador Principal]],$AC$2:$AD$17,2,0),0),"")</f>
        <v/>
      </c>
    </row>
    <row r="523" spans="1:25" hidden="1" x14ac:dyDescent="0.25">
      <c r="A523">
        <v>161</v>
      </c>
      <c r="B523" t="s">
        <v>2997</v>
      </c>
      <c r="C523" t="s">
        <v>1936</v>
      </c>
      <c r="D523" t="s">
        <v>2066</v>
      </c>
      <c r="E523" t="s">
        <v>3084</v>
      </c>
      <c r="F523">
        <v>89</v>
      </c>
      <c r="G523">
        <v>62</v>
      </c>
      <c r="H523" t="s">
        <v>452</v>
      </c>
      <c r="I523" t="s">
        <v>2018</v>
      </c>
      <c r="J523">
        <v>50609170</v>
      </c>
      <c r="K523">
        <v>2025</v>
      </c>
      <c r="L523">
        <v>1152452785</v>
      </c>
      <c r="M523" t="s">
        <v>3085</v>
      </c>
      <c r="N523" t="s">
        <v>1688</v>
      </c>
      <c r="O523" t="s">
        <v>1686</v>
      </c>
      <c r="P523">
        <v>0</v>
      </c>
      <c r="Q523">
        <v>6885601</v>
      </c>
      <c r="R523">
        <v>0</v>
      </c>
      <c r="S523">
        <v>43723569</v>
      </c>
      <c r="T523" t="str">
        <f t="shared" si="16"/>
        <v>1612.43.4302.84.0-205400.2.3.2.02.02.009.03.</v>
      </c>
      <c r="U523" t="e" cm="1">
        <f t="array" aca="1" ref="U523" ca="1">+IF(COMPROMISOS_2025[[#This Row],[P]]="20","41080111",_xlfn.XLOOKUP(COMPROMISOS_2025[[#This Row],[concatenado]],PAA[[#All],[RCP-RUBRO]],PAA[[#All],[INDICADOR]],"",0))</f>
        <v>#NAME?</v>
      </c>
      <c r="V523" s="144" t="str">
        <f t="shared" si="17"/>
        <v>84</v>
      </c>
      <c r="W523" s="136">
        <f>+COMPROMISOS_2025[[#This Row],[valor_total]]-COMPROMISOS_2025[[#This Row],[total_cancelado]]</f>
        <v>50609170</v>
      </c>
      <c r="X523" s="136">
        <f>COMPROMISOS_2025[[#This Row],[total_ordenes]]</f>
        <v>6885601</v>
      </c>
      <c r="Y523" t="str" cm="1">
        <f t="array" aca="1" ref="Y523" ca="1">IFERROR(_xlfn.XLOOKUP(COMPROMISOS_2025[[#This Row],[concatenado]],PAA[[#All],[RCP-RUBRO]],PAA[[#All],[Actividad3]],VLOOKUP(COMPROMISOS_2025[[#This Row],[Indicador Principal]],$AC$2:$AD$17,2,0),0),"")</f>
        <v/>
      </c>
    </row>
    <row r="524" spans="1:25" hidden="1" x14ac:dyDescent="0.25">
      <c r="A524">
        <v>163</v>
      </c>
      <c r="B524" t="s">
        <v>3000</v>
      </c>
      <c r="C524" t="s">
        <v>1936</v>
      </c>
      <c r="D524" t="s">
        <v>2067</v>
      </c>
      <c r="E524" t="s">
        <v>3086</v>
      </c>
      <c r="F524">
        <v>90</v>
      </c>
      <c r="G524">
        <v>62</v>
      </c>
      <c r="H524" t="s">
        <v>452</v>
      </c>
      <c r="I524" t="s">
        <v>2018</v>
      </c>
      <c r="J524">
        <v>40747479</v>
      </c>
      <c r="K524">
        <v>2025</v>
      </c>
      <c r="L524">
        <v>1039472052</v>
      </c>
      <c r="M524" t="s">
        <v>3087</v>
      </c>
      <c r="N524" t="s">
        <v>1688</v>
      </c>
      <c r="O524" t="s">
        <v>1686</v>
      </c>
      <c r="P524">
        <v>0</v>
      </c>
      <c r="Q524">
        <v>5543875</v>
      </c>
      <c r="R524">
        <v>0</v>
      </c>
      <c r="S524">
        <v>35203604</v>
      </c>
      <c r="T524" t="str">
        <f t="shared" si="16"/>
        <v>1632.43.4302.84.0-205400.2.3.2.02.02.009.03.</v>
      </c>
      <c r="U524" t="e" cm="1">
        <f t="array" aca="1" ref="U524" ca="1">+IF(COMPROMISOS_2025[[#This Row],[P]]="20","41080111",_xlfn.XLOOKUP(COMPROMISOS_2025[[#This Row],[concatenado]],PAA[[#All],[RCP-RUBRO]],PAA[[#All],[INDICADOR]],"",0))</f>
        <v>#NAME?</v>
      </c>
      <c r="V524" s="144" t="str">
        <f t="shared" si="17"/>
        <v>84</v>
      </c>
      <c r="W524" s="136">
        <f>+COMPROMISOS_2025[[#This Row],[valor_total]]-COMPROMISOS_2025[[#This Row],[total_cancelado]]</f>
        <v>40747479</v>
      </c>
      <c r="X524" s="136">
        <f>COMPROMISOS_2025[[#This Row],[total_ordenes]]</f>
        <v>5543875</v>
      </c>
      <c r="Y524" t="str" cm="1">
        <f t="array" aca="1" ref="Y524" ca="1">IFERROR(_xlfn.XLOOKUP(COMPROMISOS_2025[[#This Row],[concatenado]],PAA[[#All],[RCP-RUBRO]],PAA[[#All],[Actividad3]],VLOOKUP(COMPROMISOS_2025[[#This Row],[Indicador Principal]],$AC$2:$AD$17,2,0),0),"")</f>
        <v/>
      </c>
    </row>
    <row r="525" spans="1:25" hidden="1" x14ac:dyDescent="0.25">
      <c r="A525">
        <v>164</v>
      </c>
      <c r="B525" t="s">
        <v>3088</v>
      </c>
      <c r="C525" t="s">
        <v>1936</v>
      </c>
      <c r="D525" t="s">
        <v>2068</v>
      </c>
      <c r="E525" t="s">
        <v>3089</v>
      </c>
      <c r="F525">
        <v>91</v>
      </c>
      <c r="G525">
        <v>62</v>
      </c>
      <c r="H525" t="s">
        <v>452</v>
      </c>
      <c r="I525" t="s">
        <v>2018</v>
      </c>
      <c r="J525">
        <v>40747479</v>
      </c>
      <c r="K525">
        <v>2025</v>
      </c>
      <c r="L525">
        <v>1017274008</v>
      </c>
      <c r="M525" t="s">
        <v>3090</v>
      </c>
      <c r="N525" t="s">
        <v>1688</v>
      </c>
      <c r="O525" t="s">
        <v>1686</v>
      </c>
      <c r="P525">
        <v>0</v>
      </c>
      <c r="Q525">
        <v>5543875</v>
      </c>
      <c r="R525">
        <v>0</v>
      </c>
      <c r="S525">
        <v>35203604</v>
      </c>
      <c r="T525" t="str">
        <f t="shared" si="16"/>
        <v>1642.43.4302.84.0-205400.2.3.2.02.02.009.03.</v>
      </c>
      <c r="U525" t="e" cm="1">
        <f t="array" aca="1" ref="U525" ca="1">+IF(COMPROMISOS_2025[[#This Row],[P]]="20","41080111",_xlfn.XLOOKUP(COMPROMISOS_2025[[#This Row],[concatenado]],PAA[[#All],[RCP-RUBRO]],PAA[[#All],[INDICADOR]],"",0))</f>
        <v>#NAME?</v>
      </c>
      <c r="V525" s="144" t="str">
        <f t="shared" si="17"/>
        <v>84</v>
      </c>
      <c r="W525" s="136">
        <f>+COMPROMISOS_2025[[#This Row],[valor_total]]-COMPROMISOS_2025[[#This Row],[total_cancelado]]</f>
        <v>40747479</v>
      </c>
      <c r="X525" s="136">
        <f>COMPROMISOS_2025[[#This Row],[total_ordenes]]</f>
        <v>5543875</v>
      </c>
      <c r="Y525" t="str" cm="1">
        <f t="array" aca="1" ref="Y525" ca="1">IFERROR(_xlfn.XLOOKUP(COMPROMISOS_2025[[#This Row],[concatenado]],PAA[[#All],[RCP-RUBRO]],PAA[[#All],[Actividad3]],VLOOKUP(COMPROMISOS_2025[[#This Row],[Indicador Principal]],$AC$2:$AD$17,2,0),0),"")</f>
        <v/>
      </c>
    </row>
    <row r="526" spans="1:25" hidden="1" x14ac:dyDescent="0.25">
      <c r="A526">
        <v>165</v>
      </c>
      <c r="B526" t="s">
        <v>3088</v>
      </c>
      <c r="C526" t="s">
        <v>1936</v>
      </c>
      <c r="D526" t="s">
        <v>2249</v>
      </c>
      <c r="E526" t="s">
        <v>3091</v>
      </c>
      <c r="F526">
        <v>264</v>
      </c>
      <c r="G526">
        <v>62</v>
      </c>
      <c r="H526" t="s">
        <v>452</v>
      </c>
      <c r="I526" t="s">
        <v>2018</v>
      </c>
      <c r="J526">
        <v>40747479</v>
      </c>
      <c r="K526">
        <v>2025</v>
      </c>
      <c r="L526">
        <v>428889513</v>
      </c>
      <c r="M526" t="s">
        <v>3092</v>
      </c>
      <c r="N526" t="s">
        <v>1688</v>
      </c>
      <c r="O526" t="s">
        <v>1686</v>
      </c>
      <c r="P526">
        <v>0</v>
      </c>
      <c r="Q526">
        <v>5543875</v>
      </c>
      <c r="R526">
        <v>0</v>
      </c>
      <c r="S526">
        <v>35203604</v>
      </c>
      <c r="T526" t="str">
        <f t="shared" si="16"/>
        <v>1652.43.4302.84.0-205400.2.3.2.02.02.009.03.</v>
      </c>
      <c r="U526" t="e" cm="1">
        <f t="array" aca="1" ref="U526" ca="1">+IF(COMPROMISOS_2025[[#This Row],[P]]="20","41080111",_xlfn.XLOOKUP(COMPROMISOS_2025[[#This Row],[concatenado]],PAA[[#All],[RCP-RUBRO]],PAA[[#All],[INDICADOR]],"",0))</f>
        <v>#NAME?</v>
      </c>
      <c r="V526" s="144" t="str">
        <f t="shared" si="17"/>
        <v>84</v>
      </c>
      <c r="W526" s="136">
        <f>+COMPROMISOS_2025[[#This Row],[valor_total]]-COMPROMISOS_2025[[#This Row],[total_cancelado]]</f>
        <v>40747479</v>
      </c>
      <c r="X526" s="136">
        <f>COMPROMISOS_2025[[#This Row],[total_ordenes]]</f>
        <v>5543875</v>
      </c>
      <c r="Y526" t="str" cm="1">
        <f t="array" aca="1" ref="Y526" ca="1">IFERROR(_xlfn.XLOOKUP(COMPROMISOS_2025[[#This Row],[concatenado]],PAA[[#All],[RCP-RUBRO]],PAA[[#All],[Actividad3]],VLOOKUP(COMPROMISOS_2025[[#This Row],[Indicador Principal]],$AC$2:$AD$17,2,0),0),"")</f>
        <v/>
      </c>
    </row>
    <row r="527" spans="1:25" hidden="1" x14ac:dyDescent="0.25">
      <c r="A527">
        <v>166</v>
      </c>
      <c r="B527" t="s">
        <v>3093</v>
      </c>
      <c r="C527" t="s">
        <v>1936</v>
      </c>
      <c r="D527" t="s">
        <v>2245</v>
      </c>
      <c r="E527" t="s">
        <v>3094</v>
      </c>
      <c r="F527">
        <v>260</v>
      </c>
      <c r="G527">
        <v>62</v>
      </c>
      <c r="H527" t="s">
        <v>452</v>
      </c>
      <c r="I527" t="s">
        <v>2018</v>
      </c>
      <c r="J527">
        <v>50609170</v>
      </c>
      <c r="K527">
        <v>2025</v>
      </c>
      <c r="L527">
        <v>70527132</v>
      </c>
      <c r="M527" t="s">
        <v>3095</v>
      </c>
      <c r="N527" t="s">
        <v>1688</v>
      </c>
      <c r="O527" t="s">
        <v>1686</v>
      </c>
      <c r="P527">
        <v>0</v>
      </c>
      <c r="Q527">
        <v>6885601</v>
      </c>
      <c r="R527">
        <v>0</v>
      </c>
      <c r="S527">
        <v>43723569</v>
      </c>
      <c r="T527" t="str">
        <f t="shared" si="16"/>
        <v>1662.43.4302.84.0-205400.2.3.2.02.02.009.03.</v>
      </c>
      <c r="U527" t="e" cm="1">
        <f t="array" aca="1" ref="U527" ca="1">+IF(COMPROMISOS_2025[[#This Row],[P]]="20","41080111",_xlfn.XLOOKUP(COMPROMISOS_2025[[#This Row],[concatenado]],PAA[[#All],[RCP-RUBRO]],PAA[[#All],[INDICADOR]],"",0))</f>
        <v>#NAME?</v>
      </c>
      <c r="V527" s="144" t="str">
        <f t="shared" si="17"/>
        <v>84</v>
      </c>
      <c r="W527" s="136">
        <f>+COMPROMISOS_2025[[#This Row],[valor_total]]-COMPROMISOS_2025[[#This Row],[total_cancelado]]</f>
        <v>50609170</v>
      </c>
      <c r="X527" s="136">
        <f>COMPROMISOS_2025[[#This Row],[total_ordenes]]</f>
        <v>6885601</v>
      </c>
      <c r="Y527" t="str" cm="1">
        <f t="array" aca="1" ref="Y527" ca="1">IFERROR(_xlfn.XLOOKUP(COMPROMISOS_2025[[#This Row],[concatenado]],PAA[[#All],[RCP-RUBRO]],PAA[[#All],[Actividad3]],VLOOKUP(COMPROMISOS_2025[[#This Row],[Indicador Principal]],$AC$2:$AD$17,2,0),0),"")</f>
        <v/>
      </c>
    </row>
    <row r="528" spans="1:25" hidden="1" x14ac:dyDescent="0.25">
      <c r="A528">
        <v>167</v>
      </c>
      <c r="B528" t="s">
        <v>3093</v>
      </c>
      <c r="C528" t="s">
        <v>1936</v>
      </c>
      <c r="D528" t="s">
        <v>2070</v>
      </c>
      <c r="E528" t="s">
        <v>3096</v>
      </c>
      <c r="F528">
        <v>93</v>
      </c>
      <c r="G528">
        <v>62</v>
      </c>
      <c r="H528" t="s">
        <v>452</v>
      </c>
      <c r="I528" t="s">
        <v>2018</v>
      </c>
      <c r="J528">
        <v>50609170</v>
      </c>
      <c r="K528">
        <v>2025</v>
      </c>
      <c r="L528">
        <v>10204702346</v>
      </c>
      <c r="M528" t="s">
        <v>3097</v>
      </c>
      <c r="N528" t="s">
        <v>1688</v>
      </c>
      <c r="O528" t="s">
        <v>1686</v>
      </c>
      <c r="P528">
        <v>0</v>
      </c>
      <c r="Q528">
        <v>6885601</v>
      </c>
      <c r="R528">
        <v>0</v>
      </c>
      <c r="S528">
        <v>43723569</v>
      </c>
      <c r="T528" t="str">
        <f t="shared" si="16"/>
        <v>1672.43.4302.84.0-205400.2.3.2.02.02.009.03.</v>
      </c>
      <c r="U528" t="e" cm="1">
        <f t="array" aca="1" ref="U528" ca="1">+IF(COMPROMISOS_2025[[#This Row],[P]]="20","41080111",_xlfn.XLOOKUP(COMPROMISOS_2025[[#This Row],[concatenado]],PAA[[#All],[RCP-RUBRO]],PAA[[#All],[INDICADOR]],"",0))</f>
        <v>#NAME?</v>
      </c>
      <c r="V528" s="144" t="str">
        <f t="shared" si="17"/>
        <v>84</v>
      </c>
      <c r="W528" s="136">
        <f>+COMPROMISOS_2025[[#This Row],[valor_total]]-COMPROMISOS_2025[[#This Row],[total_cancelado]]</f>
        <v>50609170</v>
      </c>
      <c r="X528" s="136">
        <f>COMPROMISOS_2025[[#This Row],[total_ordenes]]</f>
        <v>6885601</v>
      </c>
      <c r="Y528" t="str" cm="1">
        <f t="array" aca="1" ref="Y528" ca="1">IFERROR(_xlfn.XLOOKUP(COMPROMISOS_2025[[#This Row],[concatenado]],PAA[[#All],[RCP-RUBRO]],PAA[[#All],[Actividad3]],VLOOKUP(COMPROMISOS_2025[[#This Row],[Indicador Principal]],$AC$2:$AD$17,2,0),0),"")</f>
        <v/>
      </c>
    </row>
    <row r="529" spans="1:25" hidden="1" x14ac:dyDescent="0.25">
      <c r="A529">
        <v>168</v>
      </c>
      <c r="B529" t="s">
        <v>3098</v>
      </c>
      <c r="C529" t="s">
        <v>1936</v>
      </c>
      <c r="D529" t="s">
        <v>2244</v>
      </c>
      <c r="E529" t="s">
        <v>3099</v>
      </c>
      <c r="F529">
        <v>259</v>
      </c>
      <c r="G529">
        <v>62</v>
      </c>
      <c r="H529" t="s">
        <v>452</v>
      </c>
      <c r="I529" t="s">
        <v>2018</v>
      </c>
      <c r="J529">
        <v>81536206</v>
      </c>
      <c r="K529">
        <v>2025</v>
      </c>
      <c r="L529">
        <v>15368469</v>
      </c>
      <c r="M529" t="s">
        <v>3100</v>
      </c>
      <c r="N529" t="s">
        <v>1688</v>
      </c>
      <c r="O529" t="s">
        <v>1686</v>
      </c>
      <c r="P529">
        <v>0</v>
      </c>
      <c r="Q529">
        <v>11093361</v>
      </c>
      <c r="R529">
        <v>0</v>
      </c>
      <c r="S529">
        <v>70442845</v>
      </c>
      <c r="T529" t="str">
        <f t="shared" si="16"/>
        <v>1682.43.4302.84.0-205400.2.3.2.02.02.009.03.</v>
      </c>
      <c r="U529" t="e" cm="1">
        <f t="array" aca="1" ref="U529" ca="1">+IF(COMPROMISOS_2025[[#This Row],[P]]="20","41080111",_xlfn.XLOOKUP(COMPROMISOS_2025[[#This Row],[concatenado]],PAA[[#All],[RCP-RUBRO]],PAA[[#All],[INDICADOR]],"",0))</f>
        <v>#NAME?</v>
      </c>
      <c r="V529" s="144" t="str">
        <f t="shared" si="17"/>
        <v>84</v>
      </c>
      <c r="W529" s="136">
        <f>+COMPROMISOS_2025[[#This Row],[valor_total]]-COMPROMISOS_2025[[#This Row],[total_cancelado]]</f>
        <v>81536206</v>
      </c>
      <c r="X529" s="136">
        <f>COMPROMISOS_2025[[#This Row],[total_ordenes]]</f>
        <v>11093361</v>
      </c>
      <c r="Y529" t="str" cm="1">
        <f t="array" aca="1" ref="Y529" ca="1">IFERROR(_xlfn.XLOOKUP(COMPROMISOS_2025[[#This Row],[concatenado]],PAA[[#All],[RCP-RUBRO]],PAA[[#All],[Actividad3]],VLOOKUP(COMPROMISOS_2025[[#This Row],[Indicador Principal]],$AC$2:$AD$17,2,0),0),"")</f>
        <v/>
      </c>
    </row>
    <row r="530" spans="1:25" hidden="1" x14ac:dyDescent="0.25">
      <c r="A530">
        <v>169</v>
      </c>
      <c r="B530" t="s">
        <v>3098</v>
      </c>
      <c r="C530" t="s">
        <v>1936</v>
      </c>
      <c r="D530" t="s">
        <v>2073</v>
      </c>
      <c r="E530" t="s">
        <v>3101</v>
      </c>
      <c r="F530">
        <v>96</v>
      </c>
      <c r="G530">
        <v>62</v>
      </c>
      <c r="H530" t="s">
        <v>452</v>
      </c>
      <c r="I530" t="s">
        <v>2018</v>
      </c>
      <c r="J530">
        <v>71344176</v>
      </c>
      <c r="K530">
        <v>2025</v>
      </c>
      <c r="L530">
        <v>15511044</v>
      </c>
      <c r="M530" t="s">
        <v>3102</v>
      </c>
      <c r="N530" t="s">
        <v>1688</v>
      </c>
      <c r="O530" t="s">
        <v>1686</v>
      </c>
      <c r="P530">
        <v>0</v>
      </c>
      <c r="Q530">
        <v>9706691</v>
      </c>
      <c r="R530">
        <v>0</v>
      </c>
      <c r="S530">
        <v>61637485</v>
      </c>
      <c r="T530" t="str">
        <f t="shared" si="16"/>
        <v>1692.43.4302.84.0-205400.2.3.2.02.02.009.03.</v>
      </c>
      <c r="U530" t="e" cm="1">
        <f t="array" aca="1" ref="U530" ca="1">+IF(COMPROMISOS_2025[[#This Row],[P]]="20","41080111",_xlfn.XLOOKUP(COMPROMISOS_2025[[#This Row],[concatenado]],PAA[[#All],[RCP-RUBRO]],PAA[[#All],[INDICADOR]],"",0))</f>
        <v>#NAME?</v>
      </c>
      <c r="V530" s="144" t="str">
        <f t="shared" si="17"/>
        <v>84</v>
      </c>
      <c r="W530" s="136">
        <f>+COMPROMISOS_2025[[#This Row],[valor_total]]-COMPROMISOS_2025[[#This Row],[total_cancelado]]</f>
        <v>71344176</v>
      </c>
      <c r="X530" s="136">
        <f>COMPROMISOS_2025[[#This Row],[total_ordenes]]</f>
        <v>9706691</v>
      </c>
      <c r="Y530" t="str" cm="1">
        <f t="array" aca="1" ref="Y530" ca="1">IFERROR(_xlfn.XLOOKUP(COMPROMISOS_2025[[#This Row],[concatenado]],PAA[[#All],[RCP-RUBRO]],PAA[[#All],[Actividad3]],VLOOKUP(COMPROMISOS_2025[[#This Row],[Indicador Principal]],$AC$2:$AD$17,2,0),0),"")</f>
        <v/>
      </c>
    </row>
    <row r="531" spans="1:25" hidden="1" x14ac:dyDescent="0.25">
      <c r="A531">
        <v>170</v>
      </c>
      <c r="B531" t="s">
        <v>3103</v>
      </c>
      <c r="C531" t="s">
        <v>1936</v>
      </c>
      <c r="D531" t="s">
        <v>2074</v>
      </c>
      <c r="E531" t="s">
        <v>3104</v>
      </c>
      <c r="F531">
        <v>97</v>
      </c>
      <c r="G531">
        <v>62</v>
      </c>
      <c r="H531" t="s">
        <v>452</v>
      </c>
      <c r="I531" t="s">
        <v>2018</v>
      </c>
      <c r="J531">
        <v>61147776</v>
      </c>
      <c r="K531">
        <v>2025</v>
      </c>
      <c r="L531">
        <v>94537978</v>
      </c>
      <c r="M531" t="s">
        <v>3105</v>
      </c>
      <c r="N531" t="s">
        <v>1688</v>
      </c>
      <c r="O531" t="s">
        <v>1686</v>
      </c>
      <c r="P531">
        <v>0</v>
      </c>
      <c r="Q531">
        <v>8319425</v>
      </c>
      <c r="R531">
        <v>0</v>
      </c>
      <c r="S531">
        <v>52828351</v>
      </c>
      <c r="T531" t="str">
        <f t="shared" si="16"/>
        <v>1702.43.4302.84.0-205400.2.3.2.02.02.009.03.</v>
      </c>
      <c r="U531" t="e" cm="1">
        <f t="array" aca="1" ref="U531" ca="1">+IF(COMPROMISOS_2025[[#This Row],[P]]="20","41080111",_xlfn.XLOOKUP(COMPROMISOS_2025[[#This Row],[concatenado]],PAA[[#All],[RCP-RUBRO]],PAA[[#All],[INDICADOR]],"",0))</f>
        <v>#NAME?</v>
      </c>
      <c r="V531" s="144" t="str">
        <f t="shared" si="17"/>
        <v>84</v>
      </c>
      <c r="W531" s="136">
        <f>+COMPROMISOS_2025[[#This Row],[valor_total]]-COMPROMISOS_2025[[#This Row],[total_cancelado]]</f>
        <v>61147776</v>
      </c>
      <c r="X531" s="136">
        <f>COMPROMISOS_2025[[#This Row],[total_ordenes]]</f>
        <v>8319425</v>
      </c>
      <c r="Y531" t="str" cm="1">
        <f t="array" aca="1" ref="Y531" ca="1">IFERROR(_xlfn.XLOOKUP(COMPROMISOS_2025[[#This Row],[concatenado]],PAA[[#All],[RCP-RUBRO]],PAA[[#All],[Actividad3]],VLOOKUP(COMPROMISOS_2025[[#This Row],[Indicador Principal]],$AC$2:$AD$17,2,0),0),"")</f>
        <v/>
      </c>
    </row>
    <row r="532" spans="1:25" hidden="1" x14ac:dyDescent="0.25">
      <c r="A532">
        <v>171</v>
      </c>
      <c r="B532" t="s">
        <v>3106</v>
      </c>
      <c r="C532" t="s">
        <v>1936</v>
      </c>
      <c r="D532" t="s">
        <v>2075</v>
      </c>
      <c r="E532" t="s">
        <v>3107</v>
      </c>
      <c r="F532">
        <v>98</v>
      </c>
      <c r="G532">
        <v>62</v>
      </c>
      <c r="H532" t="s">
        <v>452</v>
      </c>
      <c r="I532" t="s">
        <v>2018</v>
      </c>
      <c r="J532">
        <v>61147776</v>
      </c>
      <c r="K532">
        <v>2025</v>
      </c>
      <c r="L532">
        <v>43809808</v>
      </c>
      <c r="M532" t="s">
        <v>3108</v>
      </c>
      <c r="N532" t="s">
        <v>1688</v>
      </c>
      <c r="O532" t="s">
        <v>1686</v>
      </c>
      <c r="P532">
        <v>0</v>
      </c>
      <c r="Q532">
        <v>8319425</v>
      </c>
      <c r="R532">
        <v>0</v>
      </c>
      <c r="S532">
        <v>52828351</v>
      </c>
      <c r="T532" t="str">
        <f t="shared" si="16"/>
        <v>1712.43.4302.84.0-205400.2.3.2.02.02.009.03.</v>
      </c>
      <c r="U532" t="e" cm="1">
        <f t="array" aca="1" ref="U532" ca="1">+IF(COMPROMISOS_2025[[#This Row],[P]]="20","41080111",_xlfn.XLOOKUP(COMPROMISOS_2025[[#This Row],[concatenado]],PAA[[#All],[RCP-RUBRO]],PAA[[#All],[INDICADOR]],"",0))</f>
        <v>#NAME?</v>
      </c>
      <c r="V532" s="144" t="str">
        <f t="shared" si="17"/>
        <v>84</v>
      </c>
      <c r="W532" s="136">
        <f>+COMPROMISOS_2025[[#This Row],[valor_total]]-COMPROMISOS_2025[[#This Row],[total_cancelado]]</f>
        <v>61147776</v>
      </c>
      <c r="X532" s="136">
        <f>COMPROMISOS_2025[[#This Row],[total_ordenes]]</f>
        <v>8319425</v>
      </c>
      <c r="Y532" t="str" cm="1">
        <f t="array" aca="1" ref="Y532" ca="1">IFERROR(_xlfn.XLOOKUP(COMPROMISOS_2025[[#This Row],[concatenado]],PAA[[#All],[RCP-RUBRO]],PAA[[#All],[Actividad3]],VLOOKUP(COMPROMISOS_2025[[#This Row],[Indicador Principal]],$AC$2:$AD$17,2,0),0),"")</f>
        <v/>
      </c>
    </row>
    <row r="533" spans="1:25" hidden="1" x14ac:dyDescent="0.25">
      <c r="A533">
        <v>172</v>
      </c>
      <c r="B533" t="s">
        <v>3109</v>
      </c>
      <c r="C533" t="s">
        <v>1936</v>
      </c>
      <c r="D533" t="s">
        <v>2076</v>
      </c>
      <c r="E533" t="s">
        <v>3110</v>
      </c>
      <c r="F533">
        <v>99</v>
      </c>
      <c r="G533">
        <v>62</v>
      </c>
      <c r="H533" t="s">
        <v>452</v>
      </c>
      <c r="I533" t="s">
        <v>2018</v>
      </c>
      <c r="J533">
        <v>40747479</v>
      </c>
      <c r="K533">
        <v>2025</v>
      </c>
      <c r="L533">
        <v>1017224696</v>
      </c>
      <c r="M533" t="s">
        <v>3111</v>
      </c>
      <c r="N533" t="s">
        <v>1688</v>
      </c>
      <c r="O533" t="s">
        <v>1686</v>
      </c>
      <c r="P533">
        <v>0</v>
      </c>
      <c r="Q533">
        <v>5543875</v>
      </c>
      <c r="R533">
        <v>0</v>
      </c>
      <c r="S533">
        <v>35203604</v>
      </c>
      <c r="T533" t="str">
        <f t="shared" si="16"/>
        <v>1722.43.4302.84.0-205400.2.3.2.02.02.009.03.</v>
      </c>
      <c r="U533" t="e" cm="1">
        <f t="array" aca="1" ref="U533" ca="1">+IF(COMPROMISOS_2025[[#This Row],[P]]="20","41080111",_xlfn.XLOOKUP(COMPROMISOS_2025[[#This Row],[concatenado]],PAA[[#All],[RCP-RUBRO]],PAA[[#All],[INDICADOR]],"",0))</f>
        <v>#NAME?</v>
      </c>
      <c r="V533" s="144" t="str">
        <f t="shared" si="17"/>
        <v>84</v>
      </c>
      <c r="W533" s="136">
        <f>+COMPROMISOS_2025[[#This Row],[valor_total]]-COMPROMISOS_2025[[#This Row],[total_cancelado]]</f>
        <v>40747479</v>
      </c>
      <c r="X533" s="136">
        <f>COMPROMISOS_2025[[#This Row],[total_ordenes]]</f>
        <v>5543875</v>
      </c>
      <c r="Y533" t="str" cm="1">
        <f t="array" aca="1" ref="Y533" ca="1">IFERROR(_xlfn.XLOOKUP(COMPROMISOS_2025[[#This Row],[concatenado]],PAA[[#All],[RCP-RUBRO]],PAA[[#All],[Actividad3]],VLOOKUP(COMPROMISOS_2025[[#This Row],[Indicador Principal]],$AC$2:$AD$17,2,0),0),"")</f>
        <v/>
      </c>
    </row>
    <row r="534" spans="1:25" hidden="1" x14ac:dyDescent="0.25">
      <c r="A534">
        <v>173</v>
      </c>
      <c r="B534" t="s">
        <v>3109</v>
      </c>
      <c r="C534" t="s">
        <v>1936</v>
      </c>
      <c r="D534" t="s">
        <v>2241</v>
      </c>
      <c r="E534" t="s">
        <v>3112</v>
      </c>
      <c r="F534">
        <v>256</v>
      </c>
      <c r="G534">
        <v>62</v>
      </c>
      <c r="H534" t="s">
        <v>452</v>
      </c>
      <c r="I534" t="s">
        <v>2018</v>
      </c>
      <c r="J534">
        <v>50609170</v>
      </c>
      <c r="K534">
        <v>2025</v>
      </c>
      <c r="L534">
        <v>1128269668</v>
      </c>
      <c r="M534" t="s">
        <v>3113</v>
      </c>
      <c r="N534" t="s">
        <v>1688</v>
      </c>
      <c r="O534" t="s">
        <v>1686</v>
      </c>
      <c r="P534">
        <v>0</v>
      </c>
      <c r="Q534">
        <v>6885601</v>
      </c>
      <c r="R534">
        <v>0</v>
      </c>
      <c r="S534">
        <v>43723569</v>
      </c>
      <c r="T534" t="str">
        <f t="shared" si="16"/>
        <v>1732.43.4302.84.0-205400.2.3.2.02.02.009.03.</v>
      </c>
      <c r="U534" t="e" cm="1">
        <f t="array" aca="1" ref="U534" ca="1">+IF(COMPROMISOS_2025[[#This Row],[P]]="20","41080111",_xlfn.XLOOKUP(COMPROMISOS_2025[[#This Row],[concatenado]],PAA[[#All],[RCP-RUBRO]],PAA[[#All],[INDICADOR]],"",0))</f>
        <v>#NAME?</v>
      </c>
      <c r="V534" s="144" t="str">
        <f t="shared" si="17"/>
        <v>84</v>
      </c>
      <c r="W534" s="136">
        <f>+COMPROMISOS_2025[[#This Row],[valor_total]]-COMPROMISOS_2025[[#This Row],[total_cancelado]]</f>
        <v>50609170</v>
      </c>
      <c r="X534" s="136">
        <f>COMPROMISOS_2025[[#This Row],[total_ordenes]]</f>
        <v>6885601</v>
      </c>
      <c r="Y534" t="str" cm="1">
        <f t="array" aca="1" ref="Y534" ca="1">IFERROR(_xlfn.XLOOKUP(COMPROMISOS_2025[[#This Row],[concatenado]],PAA[[#All],[RCP-RUBRO]],PAA[[#All],[Actividad3]],VLOOKUP(COMPROMISOS_2025[[#This Row],[Indicador Principal]],$AC$2:$AD$17,2,0),0),"")</f>
        <v/>
      </c>
    </row>
    <row r="535" spans="1:25" hidden="1" x14ac:dyDescent="0.25">
      <c r="A535">
        <v>174</v>
      </c>
      <c r="B535" t="s">
        <v>3114</v>
      </c>
      <c r="C535" t="s">
        <v>1936</v>
      </c>
      <c r="D535" t="s">
        <v>2077</v>
      </c>
      <c r="E535" t="s">
        <v>3115</v>
      </c>
      <c r="F535">
        <v>100</v>
      </c>
      <c r="G535">
        <v>62</v>
      </c>
      <c r="H535" t="s">
        <v>452</v>
      </c>
      <c r="I535" t="s">
        <v>2018</v>
      </c>
      <c r="J535">
        <v>40747479</v>
      </c>
      <c r="K535">
        <v>2025</v>
      </c>
      <c r="L535">
        <v>1214734553</v>
      </c>
      <c r="M535" t="s">
        <v>3116</v>
      </c>
      <c r="N535" t="s">
        <v>1688</v>
      </c>
      <c r="O535" t="s">
        <v>1686</v>
      </c>
      <c r="P535">
        <v>0</v>
      </c>
      <c r="Q535">
        <v>5543875</v>
      </c>
      <c r="R535">
        <v>0</v>
      </c>
      <c r="S535">
        <v>35203604</v>
      </c>
      <c r="T535" t="str">
        <f t="shared" si="16"/>
        <v>1742.43.4302.84.0-205400.2.3.2.02.02.009.03.</v>
      </c>
      <c r="U535" t="e" cm="1">
        <f t="array" aca="1" ref="U535" ca="1">+IF(COMPROMISOS_2025[[#This Row],[P]]="20","41080111",_xlfn.XLOOKUP(COMPROMISOS_2025[[#This Row],[concatenado]],PAA[[#All],[RCP-RUBRO]],PAA[[#All],[INDICADOR]],"",0))</f>
        <v>#NAME?</v>
      </c>
      <c r="V535" s="144" t="str">
        <f t="shared" si="17"/>
        <v>84</v>
      </c>
      <c r="W535" s="136">
        <f>+COMPROMISOS_2025[[#This Row],[valor_total]]-COMPROMISOS_2025[[#This Row],[total_cancelado]]</f>
        <v>40747479</v>
      </c>
      <c r="X535" s="136">
        <f>COMPROMISOS_2025[[#This Row],[total_ordenes]]</f>
        <v>5543875</v>
      </c>
      <c r="Y535" t="str" cm="1">
        <f t="array" aca="1" ref="Y535" ca="1">IFERROR(_xlfn.XLOOKUP(COMPROMISOS_2025[[#This Row],[concatenado]],PAA[[#All],[RCP-RUBRO]],PAA[[#All],[Actividad3]],VLOOKUP(COMPROMISOS_2025[[#This Row],[Indicador Principal]],$AC$2:$AD$17,2,0),0),"")</f>
        <v/>
      </c>
    </row>
    <row r="536" spans="1:25" hidden="1" x14ac:dyDescent="0.25">
      <c r="A536">
        <v>175</v>
      </c>
      <c r="B536" t="s">
        <v>3117</v>
      </c>
      <c r="C536" t="s">
        <v>1936</v>
      </c>
      <c r="D536" t="s">
        <v>2078</v>
      </c>
      <c r="E536" t="s">
        <v>3118</v>
      </c>
      <c r="F536">
        <v>101</v>
      </c>
      <c r="G536">
        <v>62</v>
      </c>
      <c r="H536" t="s">
        <v>452</v>
      </c>
      <c r="I536" t="s">
        <v>2018</v>
      </c>
      <c r="J536">
        <v>61147776</v>
      </c>
      <c r="K536">
        <v>2025</v>
      </c>
      <c r="L536">
        <v>21526783</v>
      </c>
      <c r="M536" t="s">
        <v>3119</v>
      </c>
      <c r="N536" t="s">
        <v>1688</v>
      </c>
      <c r="O536" t="s">
        <v>1686</v>
      </c>
      <c r="P536">
        <v>0</v>
      </c>
      <c r="Q536">
        <v>7487483</v>
      </c>
      <c r="R536">
        <v>0</v>
      </c>
      <c r="S536">
        <v>53660293</v>
      </c>
      <c r="T536" t="str">
        <f t="shared" si="16"/>
        <v>1752.43.4302.84.0-205400.2.3.2.02.02.009.03.</v>
      </c>
      <c r="U536" t="e" cm="1">
        <f t="array" aca="1" ref="U536" ca="1">+IF(COMPROMISOS_2025[[#This Row],[P]]="20","41080111",_xlfn.XLOOKUP(COMPROMISOS_2025[[#This Row],[concatenado]],PAA[[#All],[RCP-RUBRO]],PAA[[#All],[INDICADOR]],"",0))</f>
        <v>#NAME?</v>
      </c>
      <c r="V536" s="144" t="str">
        <f t="shared" si="17"/>
        <v>84</v>
      </c>
      <c r="W536" s="136">
        <f>+COMPROMISOS_2025[[#This Row],[valor_total]]-COMPROMISOS_2025[[#This Row],[total_cancelado]]</f>
        <v>61147776</v>
      </c>
      <c r="X536" s="136">
        <f>COMPROMISOS_2025[[#This Row],[total_ordenes]]</f>
        <v>7487483</v>
      </c>
      <c r="Y536" t="str" cm="1">
        <f t="array" aca="1" ref="Y536" ca="1">IFERROR(_xlfn.XLOOKUP(COMPROMISOS_2025[[#This Row],[concatenado]],PAA[[#All],[RCP-RUBRO]],PAA[[#All],[Actividad3]],VLOOKUP(COMPROMISOS_2025[[#This Row],[Indicador Principal]],$AC$2:$AD$17,2,0),0),"")</f>
        <v/>
      </c>
    </row>
    <row r="537" spans="1:25" hidden="1" x14ac:dyDescent="0.25">
      <c r="A537">
        <v>176</v>
      </c>
      <c r="B537" t="s">
        <v>3117</v>
      </c>
      <c r="C537" t="s">
        <v>1936</v>
      </c>
      <c r="D537" t="s">
        <v>2238</v>
      </c>
      <c r="E537" t="s">
        <v>3120</v>
      </c>
      <c r="F537">
        <v>253</v>
      </c>
      <c r="G537">
        <v>62</v>
      </c>
      <c r="H537" t="s">
        <v>452</v>
      </c>
      <c r="I537" t="s">
        <v>2018</v>
      </c>
      <c r="J537">
        <v>61147776</v>
      </c>
      <c r="K537">
        <v>2025</v>
      </c>
      <c r="L537">
        <v>8001230</v>
      </c>
      <c r="M537" t="s">
        <v>3121</v>
      </c>
      <c r="N537" t="s">
        <v>1688</v>
      </c>
      <c r="O537" t="s">
        <v>1686</v>
      </c>
      <c r="P537">
        <v>0</v>
      </c>
      <c r="Q537">
        <v>8319425</v>
      </c>
      <c r="R537">
        <v>0</v>
      </c>
      <c r="S537">
        <v>52828351</v>
      </c>
      <c r="T537" t="str">
        <f t="shared" si="16"/>
        <v>1762.43.4302.84.0-205400.2.3.2.02.02.009.03.</v>
      </c>
      <c r="U537" t="e" cm="1">
        <f t="array" aca="1" ref="U537" ca="1">+IF(COMPROMISOS_2025[[#This Row],[P]]="20","41080111",_xlfn.XLOOKUP(COMPROMISOS_2025[[#This Row],[concatenado]],PAA[[#All],[RCP-RUBRO]],PAA[[#All],[INDICADOR]],"",0))</f>
        <v>#NAME?</v>
      </c>
      <c r="V537" s="144" t="str">
        <f t="shared" si="17"/>
        <v>84</v>
      </c>
      <c r="W537" s="136">
        <f>+COMPROMISOS_2025[[#This Row],[valor_total]]-COMPROMISOS_2025[[#This Row],[total_cancelado]]</f>
        <v>61147776</v>
      </c>
      <c r="X537" s="136">
        <f>COMPROMISOS_2025[[#This Row],[total_ordenes]]</f>
        <v>8319425</v>
      </c>
      <c r="Y537" t="str" cm="1">
        <f t="array" aca="1" ref="Y537" ca="1">IFERROR(_xlfn.XLOOKUP(COMPROMISOS_2025[[#This Row],[concatenado]],PAA[[#All],[RCP-RUBRO]],PAA[[#All],[Actividad3]],VLOOKUP(COMPROMISOS_2025[[#This Row],[Indicador Principal]],$AC$2:$AD$17,2,0),0),"")</f>
        <v/>
      </c>
    </row>
    <row r="538" spans="1:25" hidden="1" x14ac:dyDescent="0.25">
      <c r="A538">
        <v>177</v>
      </c>
      <c r="B538" t="s">
        <v>3122</v>
      </c>
      <c r="C538" t="s">
        <v>1936</v>
      </c>
      <c r="D538" t="s">
        <v>2079</v>
      </c>
      <c r="E538" t="s">
        <v>3123</v>
      </c>
      <c r="F538">
        <v>102</v>
      </c>
      <c r="G538">
        <v>62</v>
      </c>
      <c r="H538" t="s">
        <v>452</v>
      </c>
      <c r="I538" t="s">
        <v>2018</v>
      </c>
      <c r="J538">
        <v>50609170</v>
      </c>
      <c r="K538">
        <v>2025</v>
      </c>
      <c r="L538">
        <v>98521638</v>
      </c>
      <c r="M538" t="s">
        <v>3124</v>
      </c>
      <c r="N538" t="s">
        <v>1688</v>
      </c>
      <c r="O538" t="s">
        <v>1686</v>
      </c>
      <c r="P538">
        <v>0</v>
      </c>
      <c r="Q538">
        <v>6885601</v>
      </c>
      <c r="R538">
        <v>0</v>
      </c>
      <c r="S538">
        <v>43723569</v>
      </c>
      <c r="T538" t="str">
        <f t="shared" si="16"/>
        <v>1772.43.4302.84.0-205400.2.3.2.02.02.009.03.</v>
      </c>
      <c r="U538" t="e" cm="1">
        <f t="array" aca="1" ref="U538" ca="1">+IF(COMPROMISOS_2025[[#This Row],[P]]="20","41080111",_xlfn.XLOOKUP(COMPROMISOS_2025[[#This Row],[concatenado]],PAA[[#All],[RCP-RUBRO]],PAA[[#All],[INDICADOR]],"",0))</f>
        <v>#NAME?</v>
      </c>
      <c r="V538" s="144" t="str">
        <f t="shared" si="17"/>
        <v>84</v>
      </c>
      <c r="W538" s="136">
        <f>+COMPROMISOS_2025[[#This Row],[valor_total]]-COMPROMISOS_2025[[#This Row],[total_cancelado]]</f>
        <v>50609170</v>
      </c>
      <c r="X538" s="136">
        <f>COMPROMISOS_2025[[#This Row],[total_ordenes]]</f>
        <v>6885601</v>
      </c>
      <c r="Y538" t="str" cm="1">
        <f t="array" aca="1" ref="Y538" ca="1">IFERROR(_xlfn.XLOOKUP(COMPROMISOS_2025[[#This Row],[concatenado]],PAA[[#All],[RCP-RUBRO]],PAA[[#All],[Actividad3]],VLOOKUP(COMPROMISOS_2025[[#This Row],[Indicador Principal]],$AC$2:$AD$17,2,0),0),"")</f>
        <v/>
      </c>
    </row>
    <row r="539" spans="1:25" hidden="1" x14ac:dyDescent="0.25">
      <c r="A539">
        <v>178</v>
      </c>
      <c r="B539" t="s">
        <v>3125</v>
      </c>
      <c r="C539" t="s">
        <v>1936</v>
      </c>
      <c r="D539" t="s">
        <v>2081</v>
      </c>
      <c r="E539" t="s">
        <v>3126</v>
      </c>
      <c r="F539">
        <v>104</v>
      </c>
      <c r="G539">
        <v>62</v>
      </c>
      <c r="H539" t="s">
        <v>452</v>
      </c>
      <c r="I539" t="s">
        <v>2018</v>
      </c>
      <c r="J539">
        <v>50609170</v>
      </c>
      <c r="K539">
        <v>2025</v>
      </c>
      <c r="L539">
        <v>10172016653</v>
      </c>
      <c r="M539" t="s">
        <v>3127</v>
      </c>
      <c r="N539" t="s">
        <v>1688</v>
      </c>
      <c r="O539" t="s">
        <v>1686</v>
      </c>
      <c r="P539">
        <v>0</v>
      </c>
      <c r="Q539">
        <v>6885601</v>
      </c>
      <c r="R539">
        <v>0</v>
      </c>
      <c r="S539">
        <v>43723569</v>
      </c>
      <c r="T539" t="str">
        <f t="shared" si="16"/>
        <v>1782.43.4302.84.0-205400.2.3.2.02.02.009.03.</v>
      </c>
      <c r="U539" t="e" cm="1">
        <f t="array" aca="1" ref="U539" ca="1">+IF(COMPROMISOS_2025[[#This Row],[P]]="20","41080111",_xlfn.XLOOKUP(COMPROMISOS_2025[[#This Row],[concatenado]],PAA[[#All],[RCP-RUBRO]],PAA[[#All],[INDICADOR]],"",0))</f>
        <v>#NAME?</v>
      </c>
      <c r="V539" s="144" t="str">
        <f t="shared" si="17"/>
        <v>84</v>
      </c>
      <c r="W539" s="136">
        <f>+COMPROMISOS_2025[[#This Row],[valor_total]]-COMPROMISOS_2025[[#This Row],[total_cancelado]]</f>
        <v>50609170</v>
      </c>
      <c r="X539" s="136">
        <f>COMPROMISOS_2025[[#This Row],[total_ordenes]]</f>
        <v>6885601</v>
      </c>
      <c r="Y539" t="str" cm="1">
        <f t="array" aca="1" ref="Y539" ca="1">IFERROR(_xlfn.XLOOKUP(COMPROMISOS_2025[[#This Row],[concatenado]],PAA[[#All],[RCP-RUBRO]],PAA[[#All],[Actividad3]],VLOOKUP(COMPROMISOS_2025[[#This Row],[Indicador Principal]],$AC$2:$AD$17,2,0),0),"")</f>
        <v/>
      </c>
    </row>
    <row r="540" spans="1:25" hidden="1" x14ac:dyDescent="0.25">
      <c r="A540">
        <v>179</v>
      </c>
      <c r="B540" t="s">
        <v>3128</v>
      </c>
      <c r="C540" t="s">
        <v>1936</v>
      </c>
      <c r="D540" t="s">
        <v>2234</v>
      </c>
      <c r="E540" t="s">
        <v>3129</v>
      </c>
      <c r="F540">
        <v>249</v>
      </c>
      <c r="G540">
        <v>62</v>
      </c>
      <c r="H540" t="s">
        <v>452</v>
      </c>
      <c r="I540" t="s">
        <v>2018</v>
      </c>
      <c r="J540">
        <v>26545593</v>
      </c>
      <c r="K540">
        <v>2025</v>
      </c>
      <c r="L540">
        <v>71334771</v>
      </c>
      <c r="M540" t="s">
        <v>3130</v>
      </c>
      <c r="N540" t="s">
        <v>1688</v>
      </c>
      <c r="O540" t="s">
        <v>1686</v>
      </c>
      <c r="P540">
        <v>0</v>
      </c>
      <c r="Q540">
        <v>3611645</v>
      </c>
      <c r="R540">
        <v>0</v>
      </c>
      <c r="S540">
        <v>22933948</v>
      </c>
      <c r="T540" t="str">
        <f t="shared" si="16"/>
        <v>1792.43.4302.84.0-205400.2.3.2.02.02.009.03.</v>
      </c>
      <c r="U540" t="e" cm="1">
        <f t="array" aca="1" ref="U540" ca="1">+IF(COMPROMISOS_2025[[#This Row],[P]]="20","41080111",_xlfn.XLOOKUP(COMPROMISOS_2025[[#This Row],[concatenado]],PAA[[#All],[RCP-RUBRO]],PAA[[#All],[INDICADOR]],"",0))</f>
        <v>#NAME?</v>
      </c>
      <c r="V540" s="144" t="str">
        <f t="shared" si="17"/>
        <v>84</v>
      </c>
      <c r="W540" s="136">
        <f>+COMPROMISOS_2025[[#This Row],[valor_total]]-COMPROMISOS_2025[[#This Row],[total_cancelado]]</f>
        <v>26545593</v>
      </c>
      <c r="X540" s="136">
        <f>COMPROMISOS_2025[[#This Row],[total_ordenes]]</f>
        <v>3611645</v>
      </c>
      <c r="Y540" t="str" cm="1">
        <f t="array" aca="1" ref="Y540" ca="1">IFERROR(_xlfn.XLOOKUP(COMPROMISOS_2025[[#This Row],[concatenado]],PAA[[#All],[RCP-RUBRO]],PAA[[#All],[Actividad3]],VLOOKUP(COMPROMISOS_2025[[#This Row],[Indicador Principal]],$AC$2:$AD$17,2,0),0),"")</f>
        <v/>
      </c>
    </row>
    <row r="541" spans="1:25" hidden="1" x14ac:dyDescent="0.25">
      <c r="A541">
        <v>180</v>
      </c>
      <c r="B541" t="s">
        <v>3131</v>
      </c>
      <c r="C541" t="s">
        <v>1936</v>
      </c>
      <c r="D541" t="s">
        <v>2083</v>
      </c>
      <c r="E541" t="s">
        <v>3132</v>
      </c>
      <c r="F541">
        <v>105</v>
      </c>
      <c r="G541">
        <v>62</v>
      </c>
      <c r="H541" t="s">
        <v>452</v>
      </c>
      <c r="I541" t="s">
        <v>2018</v>
      </c>
      <c r="J541">
        <v>50609170</v>
      </c>
      <c r="K541">
        <v>2025</v>
      </c>
      <c r="L541">
        <v>10407489081</v>
      </c>
      <c r="M541" t="s">
        <v>3133</v>
      </c>
      <c r="N541" t="s">
        <v>1688</v>
      </c>
      <c r="O541" t="s">
        <v>1686</v>
      </c>
      <c r="P541">
        <v>0</v>
      </c>
      <c r="Q541">
        <v>6885601</v>
      </c>
      <c r="R541">
        <v>0</v>
      </c>
      <c r="S541">
        <v>43723569</v>
      </c>
      <c r="T541" t="str">
        <f t="shared" si="16"/>
        <v>1802.43.4302.84.0-205400.2.3.2.02.02.009.03.</v>
      </c>
      <c r="U541" t="e" cm="1">
        <f t="array" aca="1" ref="U541" ca="1">+IF(COMPROMISOS_2025[[#This Row],[P]]="20","41080111",_xlfn.XLOOKUP(COMPROMISOS_2025[[#This Row],[concatenado]],PAA[[#All],[RCP-RUBRO]],PAA[[#All],[INDICADOR]],"",0))</f>
        <v>#NAME?</v>
      </c>
      <c r="V541" s="144" t="str">
        <f t="shared" si="17"/>
        <v>84</v>
      </c>
      <c r="W541" s="136">
        <f>+COMPROMISOS_2025[[#This Row],[valor_total]]-COMPROMISOS_2025[[#This Row],[total_cancelado]]</f>
        <v>50609170</v>
      </c>
      <c r="X541" s="136">
        <f>COMPROMISOS_2025[[#This Row],[total_ordenes]]</f>
        <v>6885601</v>
      </c>
      <c r="Y541" t="str" cm="1">
        <f t="array" aca="1" ref="Y541" ca="1">IFERROR(_xlfn.XLOOKUP(COMPROMISOS_2025[[#This Row],[concatenado]],PAA[[#All],[RCP-RUBRO]],PAA[[#All],[Actividad3]],VLOOKUP(COMPROMISOS_2025[[#This Row],[Indicador Principal]],$AC$2:$AD$17,2,0),0),"")</f>
        <v/>
      </c>
    </row>
    <row r="542" spans="1:25" hidden="1" x14ac:dyDescent="0.25">
      <c r="A542">
        <v>181</v>
      </c>
      <c r="B542" t="s">
        <v>3134</v>
      </c>
      <c r="C542" t="s">
        <v>1936</v>
      </c>
      <c r="D542" t="s">
        <v>2084</v>
      </c>
      <c r="E542" t="s">
        <v>3135</v>
      </c>
      <c r="F542">
        <v>106</v>
      </c>
      <c r="G542">
        <v>62</v>
      </c>
      <c r="H542" t="s">
        <v>452</v>
      </c>
      <c r="I542" t="s">
        <v>2018</v>
      </c>
      <c r="J542">
        <v>81536206</v>
      </c>
      <c r="K542">
        <v>2025</v>
      </c>
      <c r="L542">
        <v>98558934</v>
      </c>
      <c r="M542" t="s">
        <v>3136</v>
      </c>
      <c r="N542" t="s">
        <v>1688</v>
      </c>
      <c r="O542" t="s">
        <v>1686</v>
      </c>
      <c r="P542">
        <v>0</v>
      </c>
      <c r="Q542">
        <v>11093361</v>
      </c>
      <c r="R542">
        <v>0</v>
      </c>
      <c r="S542">
        <v>70442845</v>
      </c>
      <c r="T542" t="str">
        <f t="shared" si="16"/>
        <v>1812.43.4302.84.0-205400.2.3.2.02.02.009.03.</v>
      </c>
      <c r="U542" t="e" cm="1">
        <f t="array" aca="1" ref="U542" ca="1">+IF(COMPROMISOS_2025[[#This Row],[P]]="20","41080111",_xlfn.XLOOKUP(COMPROMISOS_2025[[#This Row],[concatenado]],PAA[[#All],[RCP-RUBRO]],PAA[[#All],[INDICADOR]],"",0))</f>
        <v>#NAME?</v>
      </c>
      <c r="V542" s="144" t="str">
        <f t="shared" si="17"/>
        <v>84</v>
      </c>
      <c r="W542" s="136">
        <f>+COMPROMISOS_2025[[#This Row],[valor_total]]-COMPROMISOS_2025[[#This Row],[total_cancelado]]</f>
        <v>81536206</v>
      </c>
      <c r="X542" s="136">
        <f>COMPROMISOS_2025[[#This Row],[total_ordenes]]</f>
        <v>11093361</v>
      </c>
      <c r="Y542" t="str" cm="1">
        <f t="array" aca="1" ref="Y542" ca="1">IFERROR(_xlfn.XLOOKUP(COMPROMISOS_2025[[#This Row],[concatenado]],PAA[[#All],[RCP-RUBRO]],PAA[[#All],[Actividad3]],VLOOKUP(COMPROMISOS_2025[[#This Row],[Indicador Principal]],$AC$2:$AD$17,2,0),0),"")</f>
        <v/>
      </c>
    </row>
    <row r="543" spans="1:25" hidden="1" x14ac:dyDescent="0.25">
      <c r="A543">
        <v>182</v>
      </c>
      <c r="B543" t="s">
        <v>3134</v>
      </c>
      <c r="C543" t="s">
        <v>1936</v>
      </c>
      <c r="D543" t="s">
        <v>2233</v>
      </c>
      <c r="E543" t="s">
        <v>3137</v>
      </c>
      <c r="F543">
        <v>248</v>
      </c>
      <c r="G543">
        <v>62</v>
      </c>
      <c r="H543" t="s">
        <v>452</v>
      </c>
      <c r="I543" t="s">
        <v>2018</v>
      </c>
      <c r="J543">
        <v>26545593</v>
      </c>
      <c r="K543">
        <v>2025</v>
      </c>
      <c r="L543">
        <v>10014972036</v>
      </c>
      <c r="M543" t="s">
        <v>3138</v>
      </c>
      <c r="N543" t="s">
        <v>1688</v>
      </c>
      <c r="O543" t="s">
        <v>1686</v>
      </c>
      <c r="P543">
        <v>0</v>
      </c>
      <c r="Q543">
        <v>3611645</v>
      </c>
      <c r="R543">
        <v>0</v>
      </c>
      <c r="S543">
        <v>22933948</v>
      </c>
      <c r="T543" t="str">
        <f t="shared" si="16"/>
        <v>1822.43.4302.84.0-205400.2.3.2.02.02.009.03.</v>
      </c>
      <c r="U543" t="e" cm="1">
        <f t="array" aca="1" ref="U543" ca="1">+IF(COMPROMISOS_2025[[#This Row],[P]]="20","41080111",_xlfn.XLOOKUP(COMPROMISOS_2025[[#This Row],[concatenado]],PAA[[#All],[RCP-RUBRO]],PAA[[#All],[INDICADOR]],"",0))</f>
        <v>#NAME?</v>
      </c>
      <c r="V543" s="144" t="str">
        <f t="shared" si="17"/>
        <v>84</v>
      </c>
      <c r="W543" s="136">
        <f>+COMPROMISOS_2025[[#This Row],[valor_total]]-COMPROMISOS_2025[[#This Row],[total_cancelado]]</f>
        <v>26545593</v>
      </c>
      <c r="X543" s="136">
        <f>COMPROMISOS_2025[[#This Row],[total_ordenes]]</f>
        <v>3611645</v>
      </c>
      <c r="Y543" t="str" cm="1">
        <f t="array" aca="1" ref="Y543" ca="1">IFERROR(_xlfn.XLOOKUP(COMPROMISOS_2025[[#This Row],[concatenado]],PAA[[#All],[RCP-RUBRO]],PAA[[#All],[Actividad3]],VLOOKUP(COMPROMISOS_2025[[#This Row],[Indicador Principal]],$AC$2:$AD$17,2,0),0),"")</f>
        <v/>
      </c>
    </row>
    <row r="544" spans="1:25" hidden="1" x14ac:dyDescent="0.25">
      <c r="A544">
        <v>183</v>
      </c>
      <c r="B544" t="s">
        <v>3139</v>
      </c>
      <c r="C544" t="s">
        <v>1936</v>
      </c>
      <c r="D544" t="s">
        <v>2085</v>
      </c>
      <c r="E544" t="s">
        <v>3140</v>
      </c>
      <c r="F544">
        <v>107</v>
      </c>
      <c r="G544">
        <v>62</v>
      </c>
      <c r="H544" t="s">
        <v>452</v>
      </c>
      <c r="I544" t="s">
        <v>2018</v>
      </c>
      <c r="J544">
        <v>50609170</v>
      </c>
      <c r="K544">
        <v>2025</v>
      </c>
      <c r="L544">
        <v>1036614834</v>
      </c>
      <c r="M544" t="s">
        <v>3141</v>
      </c>
      <c r="N544" t="s">
        <v>1688</v>
      </c>
      <c r="O544" t="s">
        <v>1686</v>
      </c>
      <c r="P544">
        <v>0</v>
      </c>
      <c r="Q544">
        <v>6885601</v>
      </c>
      <c r="R544">
        <v>0</v>
      </c>
      <c r="S544">
        <v>43723569</v>
      </c>
      <c r="T544" t="str">
        <f t="shared" si="16"/>
        <v>1832.43.4302.84.0-205400.2.3.2.02.02.009.03.</v>
      </c>
      <c r="U544" t="e" cm="1">
        <f t="array" aca="1" ref="U544" ca="1">+IF(COMPROMISOS_2025[[#This Row],[P]]="20","41080111",_xlfn.XLOOKUP(COMPROMISOS_2025[[#This Row],[concatenado]],PAA[[#All],[RCP-RUBRO]],PAA[[#All],[INDICADOR]],"",0))</f>
        <v>#NAME?</v>
      </c>
      <c r="V544" s="144" t="str">
        <f t="shared" si="17"/>
        <v>84</v>
      </c>
      <c r="W544" s="136">
        <f>+COMPROMISOS_2025[[#This Row],[valor_total]]-COMPROMISOS_2025[[#This Row],[total_cancelado]]</f>
        <v>50609170</v>
      </c>
      <c r="X544" s="136">
        <f>COMPROMISOS_2025[[#This Row],[total_ordenes]]</f>
        <v>6885601</v>
      </c>
      <c r="Y544" t="str" cm="1">
        <f t="array" aca="1" ref="Y544" ca="1">IFERROR(_xlfn.XLOOKUP(COMPROMISOS_2025[[#This Row],[concatenado]],PAA[[#All],[RCP-RUBRO]],PAA[[#All],[Actividad3]],VLOOKUP(COMPROMISOS_2025[[#This Row],[Indicador Principal]],$AC$2:$AD$17,2,0),0),"")</f>
        <v/>
      </c>
    </row>
    <row r="545" spans="1:25" hidden="1" x14ac:dyDescent="0.25">
      <c r="A545">
        <v>184</v>
      </c>
      <c r="B545" t="s">
        <v>3142</v>
      </c>
      <c r="C545" t="s">
        <v>1936</v>
      </c>
      <c r="D545" t="s">
        <v>2086</v>
      </c>
      <c r="E545" t="s">
        <v>3143</v>
      </c>
      <c r="F545">
        <v>108</v>
      </c>
      <c r="G545">
        <v>62</v>
      </c>
      <c r="H545" t="s">
        <v>452</v>
      </c>
      <c r="I545" t="s">
        <v>2018</v>
      </c>
      <c r="J545">
        <v>40747479</v>
      </c>
      <c r="K545">
        <v>2025</v>
      </c>
      <c r="L545">
        <v>71526393</v>
      </c>
      <c r="M545" t="s">
        <v>3144</v>
      </c>
      <c r="N545" t="s">
        <v>1688</v>
      </c>
      <c r="O545" t="s">
        <v>1686</v>
      </c>
      <c r="P545">
        <v>0</v>
      </c>
      <c r="Q545">
        <v>5543875</v>
      </c>
      <c r="R545">
        <v>0</v>
      </c>
      <c r="S545">
        <v>35203604</v>
      </c>
      <c r="T545" t="str">
        <f t="shared" si="16"/>
        <v>1842.43.4302.84.0-205400.2.3.2.02.02.009.03.</v>
      </c>
      <c r="U545" t="e" cm="1">
        <f t="array" aca="1" ref="U545" ca="1">+IF(COMPROMISOS_2025[[#This Row],[P]]="20","41080111",_xlfn.XLOOKUP(COMPROMISOS_2025[[#This Row],[concatenado]],PAA[[#All],[RCP-RUBRO]],PAA[[#All],[INDICADOR]],"",0))</f>
        <v>#NAME?</v>
      </c>
      <c r="V545" s="144" t="str">
        <f t="shared" si="17"/>
        <v>84</v>
      </c>
      <c r="W545" s="136">
        <f>+COMPROMISOS_2025[[#This Row],[valor_total]]-COMPROMISOS_2025[[#This Row],[total_cancelado]]</f>
        <v>40747479</v>
      </c>
      <c r="X545" s="136">
        <f>COMPROMISOS_2025[[#This Row],[total_ordenes]]</f>
        <v>5543875</v>
      </c>
      <c r="Y545" t="str" cm="1">
        <f t="array" aca="1" ref="Y545" ca="1">IFERROR(_xlfn.XLOOKUP(COMPROMISOS_2025[[#This Row],[concatenado]],PAA[[#All],[RCP-RUBRO]],PAA[[#All],[Actividad3]],VLOOKUP(COMPROMISOS_2025[[#This Row],[Indicador Principal]],$AC$2:$AD$17,2,0),0),"")</f>
        <v/>
      </c>
    </row>
    <row r="546" spans="1:25" hidden="1" x14ac:dyDescent="0.25">
      <c r="A546">
        <v>185</v>
      </c>
      <c r="B546" t="s">
        <v>3145</v>
      </c>
      <c r="C546" t="s">
        <v>1936</v>
      </c>
      <c r="D546" t="s">
        <v>2087</v>
      </c>
      <c r="E546" t="s">
        <v>3146</v>
      </c>
      <c r="F546">
        <v>109</v>
      </c>
      <c r="G546">
        <v>62</v>
      </c>
      <c r="H546" t="s">
        <v>452</v>
      </c>
      <c r="I546" t="s">
        <v>2018</v>
      </c>
      <c r="J546">
        <v>61147776</v>
      </c>
      <c r="K546">
        <v>2025</v>
      </c>
      <c r="L546">
        <v>52152664</v>
      </c>
      <c r="M546" t="s">
        <v>3147</v>
      </c>
      <c r="N546" t="s">
        <v>1688</v>
      </c>
      <c r="O546" t="s">
        <v>1686</v>
      </c>
      <c r="P546">
        <v>0</v>
      </c>
      <c r="Q546">
        <v>8319425</v>
      </c>
      <c r="R546">
        <v>0</v>
      </c>
      <c r="S546">
        <v>52828351</v>
      </c>
      <c r="T546" t="str">
        <f t="shared" si="16"/>
        <v>1852.43.4302.84.0-205400.2.3.2.02.02.009.03.</v>
      </c>
      <c r="U546" t="e" cm="1">
        <f t="array" aca="1" ref="U546" ca="1">+IF(COMPROMISOS_2025[[#This Row],[P]]="20","41080111",_xlfn.XLOOKUP(COMPROMISOS_2025[[#This Row],[concatenado]],PAA[[#All],[RCP-RUBRO]],PAA[[#All],[INDICADOR]],"",0))</f>
        <v>#NAME?</v>
      </c>
      <c r="V546" s="144" t="str">
        <f t="shared" si="17"/>
        <v>84</v>
      </c>
      <c r="W546" s="136">
        <f>+COMPROMISOS_2025[[#This Row],[valor_total]]-COMPROMISOS_2025[[#This Row],[total_cancelado]]</f>
        <v>61147776</v>
      </c>
      <c r="X546" s="136">
        <f>COMPROMISOS_2025[[#This Row],[total_ordenes]]</f>
        <v>8319425</v>
      </c>
      <c r="Y546" t="str" cm="1">
        <f t="array" aca="1" ref="Y546" ca="1">IFERROR(_xlfn.XLOOKUP(COMPROMISOS_2025[[#This Row],[concatenado]],PAA[[#All],[RCP-RUBRO]],PAA[[#All],[Actividad3]],VLOOKUP(COMPROMISOS_2025[[#This Row],[Indicador Principal]],$AC$2:$AD$17,2,0),0),"")</f>
        <v/>
      </c>
    </row>
    <row r="547" spans="1:25" hidden="1" x14ac:dyDescent="0.25">
      <c r="A547">
        <v>186</v>
      </c>
      <c r="B547" t="s">
        <v>3148</v>
      </c>
      <c r="C547" t="s">
        <v>1936</v>
      </c>
      <c r="D547" t="s">
        <v>2088</v>
      </c>
      <c r="E547" t="s">
        <v>3149</v>
      </c>
      <c r="F547">
        <v>110</v>
      </c>
      <c r="G547">
        <v>62</v>
      </c>
      <c r="H547" t="s">
        <v>452</v>
      </c>
      <c r="I547" t="s">
        <v>2018</v>
      </c>
      <c r="J547">
        <v>61147776</v>
      </c>
      <c r="K547">
        <v>2025</v>
      </c>
      <c r="L547">
        <v>7001532611</v>
      </c>
      <c r="M547" t="s">
        <v>3150</v>
      </c>
      <c r="N547" t="s">
        <v>1688</v>
      </c>
      <c r="O547" t="s">
        <v>1686</v>
      </c>
      <c r="P547">
        <v>0</v>
      </c>
      <c r="Q547">
        <v>8319425</v>
      </c>
      <c r="R547">
        <v>0</v>
      </c>
      <c r="S547">
        <v>52828351</v>
      </c>
      <c r="T547" t="str">
        <f t="shared" si="16"/>
        <v>1862.43.4302.84.0-205400.2.3.2.02.02.009.03.</v>
      </c>
      <c r="U547" t="e" cm="1">
        <f t="array" aca="1" ref="U547" ca="1">+IF(COMPROMISOS_2025[[#This Row],[P]]="20","41080111",_xlfn.XLOOKUP(COMPROMISOS_2025[[#This Row],[concatenado]],PAA[[#All],[RCP-RUBRO]],PAA[[#All],[INDICADOR]],"",0))</f>
        <v>#NAME?</v>
      </c>
      <c r="V547" s="144" t="str">
        <f t="shared" si="17"/>
        <v>84</v>
      </c>
      <c r="W547" s="136">
        <f>+COMPROMISOS_2025[[#This Row],[valor_total]]-COMPROMISOS_2025[[#This Row],[total_cancelado]]</f>
        <v>61147776</v>
      </c>
      <c r="X547" s="136">
        <f>COMPROMISOS_2025[[#This Row],[total_ordenes]]</f>
        <v>8319425</v>
      </c>
      <c r="Y547" t="str" cm="1">
        <f t="array" aca="1" ref="Y547" ca="1">IFERROR(_xlfn.XLOOKUP(COMPROMISOS_2025[[#This Row],[concatenado]],PAA[[#All],[RCP-RUBRO]],PAA[[#All],[Actividad3]],VLOOKUP(COMPROMISOS_2025[[#This Row],[Indicador Principal]],$AC$2:$AD$17,2,0),0),"")</f>
        <v/>
      </c>
    </row>
    <row r="548" spans="1:25" hidden="1" x14ac:dyDescent="0.25">
      <c r="A548">
        <v>187</v>
      </c>
      <c r="B548" t="s">
        <v>3151</v>
      </c>
      <c r="C548" t="s">
        <v>1936</v>
      </c>
      <c r="D548" t="s">
        <v>2089</v>
      </c>
      <c r="E548" t="s">
        <v>3152</v>
      </c>
      <c r="F548">
        <v>111</v>
      </c>
      <c r="G548">
        <v>62</v>
      </c>
      <c r="H548" t="s">
        <v>452</v>
      </c>
      <c r="I548" t="s">
        <v>2018</v>
      </c>
      <c r="J548">
        <v>71344176</v>
      </c>
      <c r="K548">
        <v>2025</v>
      </c>
      <c r="L548">
        <v>98558933</v>
      </c>
      <c r="M548" t="s">
        <v>3153</v>
      </c>
      <c r="N548" t="s">
        <v>1688</v>
      </c>
      <c r="O548" t="s">
        <v>1686</v>
      </c>
      <c r="P548">
        <v>0</v>
      </c>
      <c r="Q548">
        <v>9706691</v>
      </c>
      <c r="R548">
        <v>0</v>
      </c>
      <c r="S548">
        <v>61637485</v>
      </c>
      <c r="T548" t="str">
        <f t="shared" si="16"/>
        <v>1872.43.4302.84.0-205400.2.3.2.02.02.009.03.</v>
      </c>
      <c r="U548" t="e" cm="1">
        <f t="array" aca="1" ref="U548" ca="1">+IF(COMPROMISOS_2025[[#This Row],[P]]="20","41080111",_xlfn.XLOOKUP(COMPROMISOS_2025[[#This Row],[concatenado]],PAA[[#All],[RCP-RUBRO]],PAA[[#All],[INDICADOR]],"",0))</f>
        <v>#NAME?</v>
      </c>
      <c r="V548" s="144" t="str">
        <f t="shared" si="17"/>
        <v>84</v>
      </c>
      <c r="W548" s="136">
        <f>+COMPROMISOS_2025[[#This Row],[valor_total]]-COMPROMISOS_2025[[#This Row],[total_cancelado]]</f>
        <v>71344176</v>
      </c>
      <c r="X548" s="136">
        <f>COMPROMISOS_2025[[#This Row],[total_ordenes]]</f>
        <v>9706691</v>
      </c>
      <c r="Y548" t="str" cm="1">
        <f t="array" aca="1" ref="Y548" ca="1">IFERROR(_xlfn.XLOOKUP(COMPROMISOS_2025[[#This Row],[concatenado]],PAA[[#All],[RCP-RUBRO]],PAA[[#All],[Actividad3]],VLOOKUP(COMPROMISOS_2025[[#This Row],[Indicador Principal]],$AC$2:$AD$17,2,0),0),"")</f>
        <v/>
      </c>
    </row>
    <row r="549" spans="1:25" hidden="1" x14ac:dyDescent="0.25">
      <c r="A549">
        <v>188</v>
      </c>
      <c r="B549" t="s">
        <v>3154</v>
      </c>
      <c r="C549" t="s">
        <v>1936</v>
      </c>
      <c r="D549" t="s">
        <v>2090</v>
      </c>
      <c r="E549" t="s">
        <v>3155</v>
      </c>
      <c r="F549">
        <v>112</v>
      </c>
      <c r="G549">
        <v>62</v>
      </c>
      <c r="H549" t="s">
        <v>452</v>
      </c>
      <c r="I549" t="s">
        <v>2018</v>
      </c>
      <c r="J549">
        <v>50609170</v>
      </c>
      <c r="K549">
        <v>2025</v>
      </c>
      <c r="L549">
        <v>71338359</v>
      </c>
      <c r="M549" t="s">
        <v>3156</v>
      </c>
      <c r="N549" t="s">
        <v>1688</v>
      </c>
      <c r="O549" t="s">
        <v>1686</v>
      </c>
      <c r="P549">
        <v>0</v>
      </c>
      <c r="Q549">
        <v>6885601</v>
      </c>
      <c r="R549">
        <v>0</v>
      </c>
      <c r="S549">
        <v>43723569</v>
      </c>
      <c r="T549" t="str">
        <f t="shared" si="16"/>
        <v>1882.43.4302.84.0-205400.2.3.2.02.02.009.03.</v>
      </c>
      <c r="U549" t="e" cm="1">
        <f t="array" aca="1" ref="U549" ca="1">+IF(COMPROMISOS_2025[[#This Row],[P]]="20","41080111",_xlfn.XLOOKUP(COMPROMISOS_2025[[#This Row],[concatenado]],PAA[[#All],[RCP-RUBRO]],PAA[[#All],[INDICADOR]],"",0))</f>
        <v>#NAME?</v>
      </c>
      <c r="V549" s="144" t="str">
        <f t="shared" si="17"/>
        <v>84</v>
      </c>
      <c r="W549" s="136">
        <f>+COMPROMISOS_2025[[#This Row],[valor_total]]-COMPROMISOS_2025[[#This Row],[total_cancelado]]</f>
        <v>50609170</v>
      </c>
      <c r="X549" s="136">
        <f>COMPROMISOS_2025[[#This Row],[total_ordenes]]</f>
        <v>6885601</v>
      </c>
      <c r="Y549" t="str" cm="1">
        <f t="array" aca="1" ref="Y549" ca="1">IFERROR(_xlfn.XLOOKUP(COMPROMISOS_2025[[#This Row],[concatenado]],PAA[[#All],[RCP-RUBRO]],PAA[[#All],[Actividad3]],VLOOKUP(COMPROMISOS_2025[[#This Row],[Indicador Principal]],$AC$2:$AD$17,2,0),0),"")</f>
        <v/>
      </c>
    </row>
    <row r="550" spans="1:25" hidden="1" x14ac:dyDescent="0.25">
      <c r="A550">
        <v>189</v>
      </c>
      <c r="B550" t="s">
        <v>3157</v>
      </c>
      <c r="C550" t="s">
        <v>1936</v>
      </c>
      <c r="D550" t="s">
        <v>2091</v>
      </c>
      <c r="E550" t="s">
        <v>3158</v>
      </c>
      <c r="F550">
        <v>113</v>
      </c>
      <c r="G550">
        <v>62</v>
      </c>
      <c r="H550" t="s">
        <v>452</v>
      </c>
      <c r="I550" t="s">
        <v>2018</v>
      </c>
      <c r="J550">
        <v>50609170</v>
      </c>
      <c r="K550">
        <v>2025</v>
      </c>
      <c r="L550">
        <v>162252287</v>
      </c>
      <c r="M550" t="s">
        <v>3159</v>
      </c>
      <c r="N550" t="s">
        <v>1688</v>
      </c>
      <c r="O550" t="s">
        <v>1686</v>
      </c>
      <c r="P550">
        <v>0</v>
      </c>
      <c r="Q550">
        <v>6885601</v>
      </c>
      <c r="R550">
        <v>0</v>
      </c>
      <c r="S550">
        <v>43723569</v>
      </c>
      <c r="T550" t="str">
        <f t="shared" si="16"/>
        <v>1892.43.4302.84.0-205400.2.3.2.02.02.009.03.</v>
      </c>
      <c r="U550" t="e" cm="1">
        <f t="array" aca="1" ref="U550" ca="1">+IF(COMPROMISOS_2025[[#This Row],[P]]="20","41080111",_xlfn.XLOOKUP(COMPROMISOS_2025[[#This Row],[concatenado]],PAA[[#All],[RCP-RUBRO]],PAA[[#All],[INDICADOR]],"",0))</f>
        <v>#NAME?</v>
      </c>
      <c r="V550" s="144" t="str">
        <f t="shared" si="17"/>
        <v>84</v>
      </c>
      <c r="W550" s="136">
        <f>+COMPROMISOS_2025[[#This Row],[valor_total]]-COMPROMISOS_2025[[#This Row],[total_cancelado]]</f>
        <v>50609170</v>
      </c>
      <c r="X550" s="136">
        <f>COMPROMISOS_2025[[#This Row],[total_ordenes]]</f>
        <v>6885601</v>
      </c>
      <c r="Y550" t="str" cm="1">
        <f t="array" aca="1" ref="Y550" ca="1">IFERROR(_xlfn.XLOOKUP(COMPROMISOS_2025[[#This Row],[concatenado]],PAA[[#All],[RCP-RUBRO]],PAA[[#All],[Actividad3]],VLOOKUP(COMPROMISOS_2025[[#This Row],[Indicador Principal]],$AC$2:$AD$17,2,0),0),"")</f>
        <v/>
      </c>
    </row>
    <row r="551" spans="1:25" hidden="1" x14ac:dyDescent="0.25">
      <c r="A551">
        <v>266</v>
      </c>
      <c r="B551" t="s">
        <v>3160</v>
      </c>
      <c r="C551" t="s">
        <v>1936</v>
      </c>
      <c r="D551" t="s">
        <v>2231</v>
      </c>
      <c r="E551" t="s">
        <v>3161</v>
      </c>
      <c r="F551">
        <v>246</v>
      </c>
      <c r="G551">
        <v>62</v>
      </c>
      <c r="H551" t="s">
        <v>452</v>
      </c>
      <c r="I551" t="s">
        <v>2018</v>
      </c>
      <c r="J551">
        <v>40747479</v>
      </c>
      <c r="K551">
        <v>2025</v>
      </c>
      <c r="L551">
        <v>1001227167</v>
      </c>
      <c r="M551" t="s">
        <v>3162</v>
      </c>
      <c r="N551" t="s">
        <v>1688</v>
      </c>
      <c r="O551" t="s">
        <v>1686</v>
      </c>
      <c r="P551">
        <v>0</v>
      </c>
      <c r="Q551">
        <v>5543875</v>
      </c>
      <c r="R551">
        <v>0</v>
      </c>
      <c r="S551">
        <v>35203604</v>
      </c>
      <c r="T551" t="str">
        <f t="shared" si="16"/>
        <v>2662.43.4302.84.0-205400.2.3.2.02.02.009.03.</v>
      </c>
      <c r="U551" t="e" cm="1">
        <f t="array" aca="1" ref="U551" ca="1">+IF(COMPROMISOS_2025[[#This Row],[P]]="20","41080111",_xlfn.XLOOKUP(COMPROMISOS_2025[[#This Row],[concatenado]],PAA[[#All],[RCP-RUBRO]],PAA[[#All],[INDICADOR]],"",0))</f>
        <v>#NAME?</v>
      </c>
      <c r="V551" s="144" t="str">
        <f t="shared" si="17"/>
        <v>84</v>
      </c>
      <c r="W551" s="136">
        <f>+COMPROMISOS_2025[[#This Row],[valor_total]]-COMPROMISOS_2025[[#This Row],[total_cancelado]]</f>
        <v>40747479</v>
      </c>
      <c r="X551" s="136">
        <f>COMPROMISOS_2025[[#This Row],[total_ordenes]]</f>
        <v>5543875</v>
      </c>
      <c r="Y551" t="str" cm="1">
        <f t="array" aca="1" ref="Y551" ca="1">IFERROR(_xlfn.XLOOKUP(COMPROMISOS_2025[[#This Row],[concatenado]],PAA[[#All],[RCP-RUBRO]],PAA[[#All],[Actividad3]],VLOOKUP(COMPROMISOS_2025[[#This Row],[Indicador Principal]],$AC$2:$AD$17,2,0),0),"")</f>
        <v/>
      </c>
    </row>
    <row r="552" spans="1:25" hidden="1" x14ac:dyDescent="0.25">
      <c r="A552">
        <v>268</v>
      </c>
      <c r="B552" t="s">
        <v>3163</v>
      </c>
      <c r="C552" t="s">
        <v>1936</v>
      </c>
      <c r="D552" t="s">
        <v>2092</v>
      </c>
      <c r="E552" t="s">
        <v>3164</v>
      </c>
      <c r="F552">
        <v>114</v>
      </c>
      <c r="G552">
        <v>62</v>
      </c>
      <c r="H552" t="s">
        <v>452</v>
      </c>
      <c r="I552" t="s">
        <v>2018</v>
      </c>
      <c r="J552">
        <v>40747479</v>
      </c>
      <c r="K552">
        <v>2025</v>
      </c>
      <c r="L552">
        <v>11284785782</v>
      </c>
      <c r="M552" t="s">
        <v>3165</v>
      </c>
      <c r="N552" t="s">
        <v>1688</v>
      </c>
      <c r="O552" t="s">
        <v>1686</v>
      </c>
      <c r="P552">
        <v>0</v>
      </c>
      <c r="Q552">
        <v>5405278</v>
      </c>
      <c r="R552">
        <v>0</v>
      </c>
      <c r="S552">
        <v>35342201</v>
      </c>
      <c r="T552" t="str">
        <f t="shared" si="16"/>
        <v>2682.43.4302.84.0-205400.2.3.2.02.02.009.03.</v>
      </c>
      <c r="U552" t="e" cm="1">
        <f t="array" aca="1" ref="U552" ca="1">+IF(COMPROMISOS_2025[[#This Row],[P]]="20","41080111",_xlfn.XLOOKUP(COMPROMISOS_2025[[#This Row],[concatenado]],PAA[[#All],[RCP-RUBRO]],PAA[[#All],[INDICADOR]],"",0))</f>
        <v>#NAME?</v>
      </c>
      <c r="V552" s="144" t="str">
        <f t="shared" si="17"/>
        <v>84</v>
      </c>
      <c r="W552" s="136">
        <f>+COMPROMISOS_2025[[#This Row],[valor_total]]-COMPROMISOS_2025[[#This Row],[total_cancelado]]</f>
        <v>40747479</v>
      </c>
      <c r="X552" s="136">
        <f>COMPROMISOS_2025[[#This Row],[total_ordenes]]</f>
        <v>5405278</v>
      </c>
      <c r="Y552" t="str" cm="1">
        <f t="array" aca="1" ref="Y552" ca="1">IFERROR(_xlfn.XLOOKUP(COMPROMISOS_2025[[#This Row],[concatenado]],PAA[[#All],[RCP-RUBRO]],PAA[[#All],[Actividad3]],VLOOKUP(COMPROMISOS_2025[[#This Row],[Indicador Principal]],$AC$2:$AD$17,2,0),0),"")</f>
        <v/>
      </c>
    </row>
    <row r="553" spans="1:25" hidden="1" x14ac:dyDescent="0.25">
      <c r="A553">
        <v>269</v>
      </c>
      <c r="B553" t="s">
        <v>3166</v>
      </c>
      <c r="C553" t="s">
        <v>1936</v>
      </c>
      <c r="D553" t="s">
        <v>2094</v>
      </c>
      <c r="E553" t="s">
        <v>3167</v>
      </c>
      <c r="F553">
        <v>116</v>
      </c>
      <c r="G553">
        <v>62</v>
      </c>
      <c r="H553" t="s">
        <v>452</v>
      </c>
      <c r="I553" t="s">
        <v>2018</v>
      </c>
      <c r="J553">
        <v>61147776</v>
      </c>
      <c r="K553">
        <v>2025</v>
      </c>
      <c r="L553">
        <v>8439119</v>
      </c>
      <c r="M553" t="s">
        <v>3168</v>
      </c>
      <c r="N553" t="s">
        <v>1688</v>
      </c>
      <c r="O553" t="s">
        <v>1686</v>
      </c>
      <c r="P553">
        <v>0</v>
      </c>
      <c r="Q553">
        <v>8319425</v>
      </c>
      <c r="R553">
        <v>0</v>
      </c>
      <c r="S553">
        <v>52828351</v>
      </c>
      <c r="T553" t="str">
        <f t="shared" si="16"/>
        <v>2692.43.4302.84.0-205400.2.3.2.02.02.009.03.</v>
      </c>
      <c r="U553" t="e" cm="1">
        <f t="array" aca="1" ref="U553" ca="1">+IF(COMPROMISOS_2025[[#This Row],[P]]="20","41080111",_xlfn.XLOOKUP(COMPROMISOS_2025[[#This Row],[concatenado]],PAA[[#All],[RCP-RUBRO]],PAA[[#All],[INDICADOR]],"",0))</f>
        <v>#NAME?</v>
      </c>
      <c r="V553" s="144" t="str">
        <f t="shared" si="17"/>
        <v>84</v>
      </c>
      <c r="W553" s="136">
        <f>+COMPROMISOS_2025[[#This Row],[valor_total]]-COMPROMISOS_2025[[#This Row],[total_cancelado]]</f>
        <v>61147776</v>
      </c>
      <c r="X553" s="136">
        <f>COMPROMISOS_2025[[#This Row],[total_ordenes]]</f>
        <v>8319425</v>
      </c>
      <c r="Y553" t="str" cm="1">
        <f t="array" aca="1" ref="Y553" ca="1">IFERROR(_xlfn.XLOOKUP(COMPROMISOS_2025[[#This Row],[concatenado]],PAA[[#All],[RCP-RUBRO]],PAA[[#All],[Actividad3]],VLOOKUP(COMPROMISOS_2025[[#This Row],[Indicador Principal]],$AC$2:$AD$17,2,0),0),"")</f>
        <v/>
      </c>
    </row>
    <row r="554" spans="1:25" hidden="1" x14ac:dyDescent="0.25">
      <c r="A554">
        <v>270</v>
      </c>
      <c r="B554" t="s">
        <v>3169</v>
      </c>
      <c r="C554" t="s">
        <v>1936</v>
      </c>
      <c r="D554" t="s">
        <v>2095</v>
      </c>
      <c r="E554" t="s">
        <v>3170</v>
      </c>
      <c r="F554">
        <v>117</v>
      </c>
      <c r="G554">
        <v>62</v>
      </c>
      <c r="H554" t="s">
        <v>452</v>
      </c>
      <c r="I554" t="s">
        <v>2018</v>
      </c>
      <c r="J554">
        <v>40747479</v>
      </c>
      <c r="K554">
        <v>2025</v>
      </c>
      <c r="L554">
        <v>1037595831</v>
      </c>
      <c r="M554" t="s">
        <v>3171</v>
      </c>
      <c r="N554" t="s">
        <v>1688</v>
      </c>
      <c r="O554" t="s">
        <v>1686</v>
      </c>
      <c r="P554">
        <v>0</v>
      </c>
      <c r="Q554">
        <v>5543875</v>
      </c>
      <c r="R554">
        <v>0</v>
      </c>
      <c r="S554">
        <v>35203604</v>
      </c>
      <c r="T554" t="str">
        <f t="shared" si="16"/>
        <v>2702.43.4302.84.0-205400.2.3.2.02.02.009.03.</v>
      </c>
      <c r="U554" t="e" cm="1">
        <f t="array" aca="1" ref="U554" ca="1">+IF(COMPROMISOS_2025[[#This Row],[P]]="20","41080111",_xlfn.XLOOKUP(COMPROMISOS_2025[[#This Row],[concatenado]],PAA[[#All],[RCP-RUBRO]],PAA[[#All],[INDICADOR]],"",0))</f>
        <v>#NAME?</v>
      </c>
      <c r="V554" s="144" t="str">
        <f t="shared" si="17"/>
        <v>84</v>
      </c>
      <c r="W554" s="136">
        <f>+COMPROMISOS_2025[[#This Row],[valor_total]]-COMPROMISOS_2025[[#This Row],[total_cancelado]]</f>
        <v>40747479</v>
      </c>
      <c r="X554" s="136">
        <f>COMPROMISOS_2025[[#This Row],[total_ordenes]]</f>
        <v>5543875</v>
      </c>
      <c r="Y554" t="str" cm="1">
        <f t="array" aca="1" ref="Y554" ca="1">IFERROR(_xlfn.XLOOKUP(COMPROMISOS_2025[[#This Row],[concatenado]],PAA[[#All],[RCP-RUBRO]],PAA[[#All],[Actividad3]],VLOOKUP(COMPROMISOS_2025[[#This Row],[Indicador Principal]],$AC$2:$AD$17,2,0),0),"")</f>
        <v/>
      </c>
    </row>
    <row r="555" spans="1:25" hidden="1" x14ac:dyDescent="0.25">
      <c r="A555">
        <v>271</v>
      </c>
      <c r="B555" t="s">
        <v>3172</v>
      </c>
      <c r="C555" t="s">
        <v>1936</v>
      </c>
      <c r="D555" t="s">
        <v>2096</v>
      </c>
      <c r="E555" t="s">
        <v>3173</v>
      </c>
      <c r="F555">
        <v>118</v>
      </c>
      <c r="G555">
        <v>62</v>
      </c>
      <c r="H555" t="s">
        <v>452</v>
      </c>
      <c r="I555" t="s">
        <v>2018</v>
      </c>
      <c r="J555">
        <v>81536206</v>
      </c>
      <c r="K555">
        <v>2025</v>
      </c>
      <c r="L555">
        <v>8395754</v>
      </c>
      <c r="M555" t="s">
        <v>3174</v>
      </c>
      <c r="N555" t="s">
        <v>1688</v>
      </c>
      <c r="O555" t="s">
        <v>1686</v>
      </c>
      <c r="P555">
        <v>0</v>
      </c>
      <c r="Q555">
        <v>11093361</v>
      </c>
      <c r="R555">
        <v>0</v>
      </c>
      <c r="S555">
        <v>70442845</v>
      </c>
      <c r="T555" t="str">
        <f t="shared" si="16"/>
        <v>2712.43.4302.84.0-205400.2.3.2.02.02.009.03.</v>
      </c>
      <c r="U555" t="e" cm="1">
        <f t="array" aca="1" ref="U555" ca="1">+IF(COMPROMISOS_2025[[#This Row],[P]]="20","41080111",_xlfn.XLOOKUP(COMPROMISOS_2025[[#This Row],[concatenado]],PAA[[#All],[RCP-RUBRO]],PAA[[#All],[INDICADOR]],"",0))</f>
        <v>#NAME?</v>
      </c>
      <c r="V555" s="144" t="str">
        <f t="shared" si="17"/>
        <v>84</v>
      </c>
      <c r="W555" s="136">
        <f>+COMPROMISOS_2025[[#This Row],[valor_total]]-COMPROMISOS_2025[[#This Row],[total_cancelado]]</f>
        <v>81536206</v>
      </c>
      <c r="X555" s="136">
        <f>COMPROMISOS_2025[[#This Row],[total_ordenes]]</f>
        <v>11093361</v>
      </c>
      <c r="Y555" t="str" cm="1">
        <f t="array" aca="1" ref="Y555" ca="1">IFERROR(_xlfn.XLOOKUP(COMPROMISOS_2025[[#This Row],[concatenado]],PAA[[#All],[RCP-RUBRO]],PAA[[#All],[Actividad3]],VLOOKUP(COMPROMISOS_2025[[#This Row],[Indicador Principal]],$AC$2:$AD$17,2,0),0),"")</f>
        <v/>
      </c>
    </row>
    <row r="556" spans="1:25" hidden="1" x14ac:dyDescent="0.25">
      <c r="A556">
        <v>272</v>
      </c>
      <c r="B556" t="s">
        <v>3175</v>
      </c>
      <c r="C556" t="s">
        <v>1936</v>
      </c>
      <c r="D556" t="s">
        <v>2097</v>
      </c>
      <c r="E556" t="s">
        <v>3176</v>
      </c>
      <c r="F556">
        <v>119</v>
      </c>
      <c r="G556">
        <v>62</v>
      </c>
      <c r="H556" t="s">
        <v>452</v>
      </c>
      <c r="I556" t="s">
        <v>2018</v>
      </c>
      <c r="J556">
        <v>61147776</v>
      </c>
      <c r="K556">
        <v>2025</v>
      </c>
      <c r="L556">
        <v>712541798</v>
      </c>
      <c r="M556" t="s">
        <v>3177</v>
      </c>
      <c r="N556" t="s">
        <v>1688</v>
      </c>
      <c r="O556" t="s">
        <v>1686</v>
      </c>
      <c r="P556">
        <v>0</v>
      </c>
      <c r="Q556">
        <v>8319425</v>
      </c>
      <c r="R556">
        <v>0</v>
      </c>
      <c r="S556">
        <v>52828351</v>
      </c>
      <c r="T556" t="str">
        <f t="shared" si="16"/>
        <v>2722.43.4302.84.0-205400.2.3.2.02.02.009.03.</v>
      </c>
      <c r="U556" t="e" cm="1">
        <f t="array" aca="1" ref="U556" ca="1">+IF(COMPROMISOS_2025[[#This Row],[P]]="20","41080111",_xlfn.XLOOKUP(COMPROMISOS_2025[[#This Row],[concatenado]],PAA[[#All],[RCP-RUBRO]],PAA[[#All],[INDICADOR]],"",0))</f>
        <v>#NAME?</v>
      </c>
      <c r="V556" s="144" t="str">
        <f t="shared" si="17"/>
        <v>84</v>
      </c>
      <c r="W556" s="136">
        <f>+COMPROMISOS_2025[[#This Row],[valor_total]]-COMPROMISOS_2025[[#This Row],[total_cancelado]]</f>
        <v>61147776</v>
      </c>
      <c r="X556" s="136">
        <f>COMPROMISOS_2025[[#This Row],[total_ordenes]]</f>
        <v>8319425</v>
      </c>
      <c r="Y556" t="str" cm="1">
        <f t="array" aca="1" ref="Y556" ca="1">IFERROR(_xlfn.XLOOKUP(COMPROMISOS_2025[[#This Row],[concatenado]],PAA[[#All],[RCP-RUBRO]],PAA[[#All],[Actividad3]],VLOOKUP(COMPROMISOS_2025[[#This Row],[Indicador Principal]],$AC$2:$AD$17,2,0),0),"")</f>
        <v/>
      </c>
    </row>
    <row r="557" spans="1:25" hidden="1" x14ac:dyDescent="0.25">
      <c r="A557">
        <v>273</v>
      </c>
      <c r="B557" t="s">
        <v>3178</v>
      </c>
      <c r="C557" t="s">
        <v>1936</v>
      </c>
      <c r="D557" t="s">
        <v>2101</v>
      </c>
      <c r="E557" t="s">
        <v>3179</v>
      </c>
      <c r="F557">
        <v>123</v>
      </c>
      <c r="G557">
        <v>62</v>
      </c>
      <c r="H557" t="s">
        <v>452</v>
      </c>
      <c r="I557" t="s">
        <v>2018</v>
      </c>
      <c r="J557">
        <v>94982227</v>
      </c>
      <c r="K557">
        <v>2025</v>
      </c>
      <c r="L557">
        <v>70128720</v>
      </c>
      <c r="M557" t="s">
        <v>3180</v>
      </c>
      <c r="N557" t="s">
        <v>1688</v>
      </c>
      <c r="O557" t="s">
        <v>1686</v>
      </c>
      <c r="P557">
        <v>0</v>
      </c>
      <c r="Q557">
        <v>12922752</v>
      </c>
      <c r="R557">
        <v>0</v>
      </c>
      <c r="S557">
        <v>82059475</v>
      </c>
      <c r="T557" t="str">
        <f t="shared" si="16"/>
        <v>2732.43.4302.84.0-205400.2.3.2.02.02.009.03.</v>
      </c>
      <c r="U557" t="e" cm="1">
        <f t="array" aca="1" ref="U557" ca="1">+IF(COMPROMISOS_2025[[#This Row],[P]]="20","41080111",_xlfn.XLOOKUP(COMPROMISOS_2025[[#This Row],[concatenado]],PAA[[#All],[RCP-RUBRO]],PAA[[#All],[INDICADOR]],"",0))</f>
        <v>#NAME?</v>
      </c>
      <c r="V557" s="144" t="str">
        <f t="shared" si="17"/>
        <v>84</v>
      </c>
      <c r="W557" s="136">
        <f>+COMPROMISOS_2025[[#This Row],[valor_total]]-COMPROMISOS_2025[[#This Row],[total_cancelado]]</f>
        <v>94982227</v>
      </c>
      <c r="X557" s="136">
        <f>COMPROMISOS_2025[[#This Row],[total_ordenes]]</f>
        <v>12922752</v>
      </c>
      <c r="Y557" t="str" cm="1">
        <f t="array" aca="1" ref="Y557" ca="1">IFERROR(_xlfn.XLOOKUP(COMPROMISOS_2025[[#This Row],[concatenado]],PAA[[#All],[RCP-RUBRO]],PAA[[#All],[Actividad3]],VLOOKUP(COMPROMISOS_2025[[#This Row],[Indicador Principal]],$AC$2:$AD$17,2,0),0),"")</f>
        <v/>
      </c>
    </row>
    <row r="558" spans="1:25" hidden="1" x14ac:dyDescent="0.25">
      <c r="A558">
        <v>283</v>
      </c>
      <c r="B558" t="s">
        <v>3181</v>
      </c>
      <c r="C558" t="s">
        <v>1936</v>
      </c>
      <c r="D558" t="s">
        <v>2104</v>
      </c>
      <c r="E558" t="s">
        <v>3182</v>
      </c>
      <c r="F558">
        <v>125</v>
      </c>
      <c r="G558">
        <v>62</v>
      </c>
      <c r="H558" t="s">
        <v>452</v>
      </c>
      <c r="I558" t="s">
        <v>2018</v>
      </c>
      <c r="J558">
        <v>61147776</v>
      </c>
      <c r="K558">
        <v>2025</v>
      </c>
      <c r="L558">
        <v>712634601</v>
      </c>
      <c r="M558" t="s">
        <v>3183</v>
      </c>
      <c r="N558" t="s">
        <v>1688</v>
      </c>
      <c r="O558" t="s">
        <v>1686</v>
      </c>
      <c r="P558">
        <v>0</v>
      </c>
      <c r="Q558">
        <v>8319425</v>
      </c>
      <c r="R558">
        <v>0</v>
      </c>
      <c r="S558">
        <v>52828351</v>
      </c>
      <c r="T558" t="str">
        <f t="shared" si="16"/>
        <v>2832.43.4302.84.0-205400.2.3.2.02.02.009.03.</v>
      </c>
      <c r="U558" t="e" cm="1">
        <f t="array" aca="1" ref="U558" ca="1">+IF(COMPROMISOS_2025[[#This Row],[P]]="20","41080111",_xlfn.XLOOKUP(COMPROMISOS_2025[[#This Row],[concatenado]],PAA[[#All],[RCP-RUBRO]],PAA[[#All],[INDICADOR]],"",0))</f>
        <v>#NAME?</v>
      </c>
      <c r="V558" s="144" t="str">
        <f t="shared" si="17"/>
        <v>84</v>
      </c>
      <c r="W558" s="136">
        <f>+COMPROMISOS_2025[[#This Row],[valor_total]]-COMPROMISOS_2025[[#This Row],[total_cancelado]]</f>
        <v>61147776</v>
      </c>
      <c r="X558" s="136">
        <f>COMPROMISOS_2025[[#This Row],[total_ordenes]]</f>
        <v>8319425</v>
      </c>
      <c r="Y558" t="str" cm="1">
        <f t="array" aca="1" ref="Y558" ca="1">IFERROR(_xlfn.XLOOKUP(COMPROMISOS_2025[[#This Row],[concatenado]],PAA[[#All],[RCP-RUBRO]],PAA[[#All],[Actividad3]],VLOOKUP(COMPROMISOS_2025[[#This Row],[Indicador Principal]],$AC$2:$AD$17,2,0),0),"")</f>
        <v/>
      </c>
    </row>
    <row r="559" spans="1:25" hidden="1" x14ac:dyDescent="0.25">
      <c r="A559">
        <v>285</v>
      </c>
      <c r="B559" t="s">
        <v>3184</v>
      </c>
      <c r="C559" t="s">
        <v>1936</v>
      </c>
      <c r="D559" t="s">
        <v>2105</v>
      </c>
      <c r="E559" t="s">
        <v>3185</v>
      </c>
      <c r="F559">
        <v>126</v>
      </c>
      <c r="G559">
        <v>62</v>
      </c>
      <c r="H559" t="s">
        <v>452</v>
      </c>
      <c r="I559" t="s">
        <v>2018</v>
      </c>
      <c r="J559">
        <v>50609170</v>
      </c>
      <c r="K559">
        <v>2025</v>
      </c>
      <c r="L559">
        <v>70908694</v>
      </c>
      <c r="M559" t="s">
        <v>3186</v>
      </c>
      <c r="N559" t="s">
        <v>1688</v>
      </c>
      <c r="O559" t="s">
        <v>1686</v>
      </c>
      <c r="P559">
        <v>0</v>
      </c>
      <c r="Q559">
        <v>6885601</v>
      </c>
      <c r="R559">
        <v>0</v>
      </c>
      <c r="S559">
        <v>43723569</v>
      </c>
      <c r="T559" t="str">
        <f t="shared" si="16"/>
        <v>2852.43.4302.84.0-205400.2.3.2.02.02.009.03.</v>
      </c>
      <c r="U559" t="e" cm="1">
        <f t="array" aca="1" ref="U559" ca="1">+IF(COMPROMISOS_2025[[#This Row],[P]]="20","41080111",_xlfn.XLOOKUP(COMPROMISOS_2025[[#This Row],[concatenado]],PAA[[#All],[RCP-RUBRO]],PAA[[#All],[INDICADOR]],"",0))</f>
        <v>#NAME?</v>
      </c>
      <c r="V559" s="144" t="str">
        <f t="shared" si="17"/>
        <v>84</v>
      </c>
      <c r="W559" s="136">
        <f>+COMPROMISOS_2025[[#This Row],[valor_total]]-COMPROMISOS_2025[[#This Row],[total_cancelado]]</f>
        <v>50609170</v>
      </c>
      <c r="X559" s="136">
        <f>COMPROMISOS_2025[[#This Row],[total_ordenes]]</f>
        <v>6885601</v>
      </c>
      <c r="Y559" t="str" cm="1">
        <f t="array" aca="1" ref="Y559" ca="1">IFERROR(_xlfn.XLOOKUP(COMPROMISOS_2025[[#This Row],[concatenado]],PAA[[#All],[RCP-RUBRO]],PAA[[#All],[Actividad3]],VLOOKUP(COMPROMISOS_2025[[#This Row],[Indicador Principal]],$AC$2:$AD$17,2,0),0),"")</f>
        <v/>
      </c>
    </row>
    <row r="560" spans="1:25" hidden="1" x14ac:dyDescent="0.25">
      <c r="A560">
        <v>307</v>
      </c>
      <c r="B560" t="s">
        <v>3187</v>
      </c>
      <c r="C560" t="s">
        <v>1936</v>
      </c>
      <c r="D560" t="s">
        <v>2102</v>
      </c>
      <c r="E560" t="s">
        <v>3188</v>
      </c>
      <c r="F560">
        <v>124</v>
      </c>
      <c r="G560">
        <v>62</v>
      </c>
      <c r="H560" t="s">
        <v>452</v>
      </c>
      <c r="I560" t="s">
        <v>2018</v>
      </c>
      <c r="J560">
        <v>17601802</v>
      </c>
      <c r="K560">
        <v>2025</v>
      </c>
      <c r="L560">
        <v>986267501</v>
      </c>
      <c r="M560" t="s">
        <v>3189</v>
      </c>
      <c r="N560" t="s">
        <v>1688</v>
      </c>
      <c r="O560" t="s">
        <v>1686</v>
      </c>
      <c r="P560">
        <v>0</v>
      </c>
      <c r="Q560">
        <v>5543875</v>
      </c>
      <c r="R560">
        <v>0</v>
      </c>
      <c r="S560">
        <v>12057927</v>
      </c>
      <c r="T560" t="str">
        <f t="shared" si="16"/>
        <v>3072.43.4302.84.0-205400.2.3.2.02.02.009.03.</v>
      </c>
      <c r="U560" t="e" cm="1">
        <f t="array" aca="1" ref="U560" ca="1">+IF(COMPROMISOS_2025[[#This Row],[P]]="20","41080111",_xlfn.XLOOKUP(COMPROMISOS_2025[[#This Row],[concatenado]],PAA[[#All],[RCP-RUBRO]],PAA[[#All],[INDICADOR]],"",0))</f>
        <v>#NAME?</v>
      </c>
      <c r="V560" s="144" t="str">
        <f t="shared" si="17"/>
        <v>84</v>
      </c>
      <c r="W560" s="136">
        <f>+COMPROMISOS_2025[[#This Row],[valor_total]]-COMPROMISOS_2025[[#This Row],[total_cancelado]]</f>
        <v>17601802</v>
      </c>
      <c r="X560" s="136">
        <f>COMPROMISOS_2025[[#This Row],[total_ordenes]]</f>
        <v>5543875</v>
      </c>
      <c r="Y560" t="str" cm="1">
        <f t="array" aca="1" ref="Y560" ca="1">IFERROR(_xlfn.XLOOKUP(COMPROMISOS_2025[[#This Row],[concatenado]],PAA[[#All],[RCP-RUBRO]],PAA[[#All],[Actividad3]],VLOOKUP(COMPROMISOS_2025[[#This Row],[Indicador Principal]],$AC$2:$AD$17,2,0),0),"")</f>
        <v/>
      </c>
    </row>
    <row r="561" spans="1:25" hidden="1" x14ac:dyDescent="0.25">
      <c r="A561">
        <v>308</v>
      </c>
      <c r="B561" t="s">
        <v>3190</v>
      </c>
      <c r="C561" t="s">
        <v>1936</v>
      </c>
      <c r="D561" t="s">
        <v>2140</v>
      </c>
      <c r="E561" t="s">
        <v>3191</v>
      </c>
      <c r="F561">
        <v>159</v>
      </c>
      <c r="G561">
        <v>62</v>
      </c>
      <c r="H561" t="s">
        <v>452</v>
      </c>
      <c r="I561" t="s">
        <v>2018</v>
      </c>
      <c r="J561">
        <v>50609170</v>
      </c>
      <c r="K561">
        <v>2025</v>
      </c>
      <c r="L561">
        <v>98588501</v>
      </c>
      <c r="M561" t="s">
        <v>3192</v>
      </c>
      <c r="N561" t="s">
        <v>1688</v>
      </c>
      <c r="O561" t="s">
        <v>1686</v>
      </c>
      <c r="P561">
        <v>0</v>
      </c>
      <c r="Q561">
        <v>6885601</v>
      </c>
      <c r="R561">
        <v>0</v>
      </c>
      <c r="S561">
        <v>43723569</v>
      </c>
      <c r="T561" t="str">
        <f t="shared" si="16"/>
        <v>3082.43.4302.84.0-205400.2.3.2.02.02.009.03.</v>
      </c>
      <c r="U561" t="e" cm="1">
        <f t="array" aca="1" ref="U561" ca="1">+IF(COMPROMISOS_2025[[#This Row],[P]]="20","41080111",_xlfn.XLOOKUP(COMPROMISOS_2025[[#This Row],[concatenado]],PAA[[#All],[RCP-RUBRO]],PAA[[#All],[INDICADOR]],"",0))</f>
        <v>#NAME?</v>
      </c>
      <c r="V561" s="144" t="str">
        <f t="shared" si="17"/>
        <v>84</v>
      </c>
      <c r="W561" s="136">
        <f>+COMPROMISOS_2025[[#This Row],[valor_total]]-COMPROMISOS_2025[[#This Row],[total_cancelado]]</f>
        <v>50609170</v>
      </c>
      <c r="X561" s="136">
        <f>COMPROMISOS_2025[[#This Row],[total_ordenes]]</f>
        <v>6885601</v>
      </c>
      <c r="Y561" t="str" cm="1">
        <f t="array" aca="1" ref="Y561" ca="1">IFERROR(_xlfn.XLOOKUP(COMPROMISOS_2025[[#This Row],[concatenado]],PAA[[#All],[RCP-RUBRO]],PAA[[#All],[Actividad3]],VLOOKUP(COMPROMISOS_2025[[#This Row],[Indicador Principal]],$AC$2:$AD$17,2,0),0),"")</f>
        <v/>
      </c>
    </row>
    <row r="562" spans="1:25" hidden="1" x14ac:dyDescent="0.25">
      <c r="A562">
        <v>309</v>
      </c>
      <c r="B562" t="s">
        <v>3193</v>
      </c>
      <c r="C562" t="s">
        <v>1936</v>
      </c>
      <c r="D562" t="s">
        <v>2141</v>
      </c>
      <c r="E562" t="s">
        <v>3194</v>
      </c>
      <c r="F562">
        <v>160</v>
      </c>
      <c r="G562">
        <v>62</v>
      </c>
      <c r="H562" t="s">
        <v>452</v>
      </c>
      <c r="I562" t="s">
        <v>2018</v>
      </c>
      <c r="J562">
        <v>50609170</v>
      </c>
      <c r="K562">
        <v>2025</v>
      </c>
      <c r="L562">
        <v>1036603305</v>
      </c>
      <c r="M562" t="s">
        <v>3195</v>
      </c>
      <c r="N562" t="s">
        <v>1688</v>
      </c>
      <c r="O562" t="s">
        <v>1686</v>
      </c>
      <c r="P562">
        <v>0</v>
      </c>
      <c r="Q562">
        <v>6885601</v>
      </c>
      <c r="R562">
        <v>0</v>
      </c>
      <c r="S562">
        <v>43723569</v>
      </c>
      <c r="T562" t="str">
        <f t="shared" si="16"/>
        <v>3092.43.4302.84.0-205400.2.3.2.02.02.009.03.</v>
      </c>
      <c r="U562" t="e" cm="1">
        <f t="array" aca="1" ref="U562" ca="1">+IF(COMPROMISOS_2025[[#This Row],[P]]="20","41080111",_xlfn.XLOOKUP(COMPROMISOS_2025[[#This Row],[concatenado]],PAA[[#All],[RCP-RUBRO]],PAA[[#All],[INDICADOR]],"",0))</f>
        <v>#NAME?</v>
      </c>
      <c r="V562" s="144" t="str">
        <f t="shared" si="17"/>
        <v>84</v>
      </c>
      <c r="W562" s="136">
        <f>+COMPROMISOS_2025[[#This Row],[valor_total]]-COMPROMISOS_2025[[#This Row],[total_cancelado]]</f>
        <v>50609170</v>
      </c>
      <c r="X562" s="136">
        <f>COMPROMISOS_2025[[#This Row],[total_ordenes]]</f>
        <v>6885601</v>
      </c>
      <c r="Y562" t="str" cm="1">
        <f t="array" aca="1" ref="Y562" ca="1">IFERROR(_xlfn.XLOOKUP(COMPROMISOS_2025[[#This Row],[concatenado]],PAA[[#All],[RCP-RUBRO]],PAA[[#All],[Actividad3]],VLOOKUP(COMPROMISOS_2025[[#This Row],[Indicador Principal]],$AC$2:$AD$17,2,0),0),"")</f>
        <v/>
      </c>
    </row>
    <row r="563" spans="1:25" hidden="1" x14ac:dyDescent="0.25">
      <c r="A563">
        <v>311</v>
      </c>
      <c r="B563" t="s">
        <v>3196</v>
      </c>
      <c r="C563" t="s">
        <v>1936</v>
      </c>
      <c r="D563" t="s">
        <v>2248</v>
      </c>
      <c r="E563" t="s">
        <v>3197</v>
      </c>
      <c r="F563">
        <v>263</v>
      </c>
      <c r="G563">
        <v>62</v>
      </c>
      <c r="H563" t="s">
        <v>452</v>
      </c>
      <c r="I563" t="s">
        <v>2018</v>
      </c>
      <c r="J563">
        <v>26545593</v>
      </c>
      <c r="K563">
        <v>2025</v>
      </c>
      <c r="L563">
        <v>1017240769</v>
      </c>
      <c r="M563" t="s">
        <v>3198</v>
      </c>
      <c r="N563" t="s">
        <v>1688</v>
      </c>
      <c r="O563" t="s">
        <v>1686</v>
      </c>
      <c r="P563">
        <v>0</v>
      </c>
      <c r="Q563">
        <v>0</v>
      </c>
      <c r="R563">
        <v>0</v>
      </c>
      <c r="S563">
        <v>26545593</v>
      </c>
      <c r="T563" t="str">
        <f t="shared" si="16"/>
        <v>3112.43.4302.84.0-205400.2.3.2.02.02.009.03.</v>
      </c>
      <c r="U563" t="e" cm="1">
        <f t="array" aca="1" ref="U563" ca="1">+IF(COMPROMISOS_2025[[#This Row],[P]]="20","41080111",_xlfn.XLOOKUP(COMPROMISOS_2025[[#This Row],[concatenado]],PAA[[#All],[RCP-RUBRO]],PAA[[#All],[INDICADOR]],"",0))</f>
        <v>#NAME?</v>
      </c>
      <c r="V563" s="144" t="str">
        <f t="shared" si="17"/>
        <v>84</v>
      </c>
      <c r="W563" s="136">
        <f>+COMPROMISOS_2025[[#This Row],[valor_total]]-COMPROMISOS_2025[[#This Row],[total_cancelado]]</f>
        <v>26545593</v>
      </c>
      <c r="X563" s="136">
        <f>COMPROMISOS_2025[[#This Row],[total_ordenes]]</f>
        <v>0</v>
      </c>
      <c r="Y563" t="str" cm="1">
        <f t="array" aca="1" ref="Y563" ca="1">IFERROR(_xlfn.XLOOKUP(COMPROMISOS_2025[[#This Row],[concatenado]],PAA[[#All],[RCP-RUBRO]],PAA[[#All],[Actividad3]],VLOOKUP(COMPROMISOS_2025[[#This Row],[Indicador Principal]],$AC$2:$AD$17,2,0),0),"")</f>
        <v/>
      </c>
    </row>
    <row r="564" spans="1:25" hidden="1" x14ac:dyDescent="0.25">
      <c r="A564">
        <v>312</v>
      </c>
      <c r="B564" t="s">
        <v>3199</v>
      </c>
      <c r="C564" t="s">
        <v>1936</v>
      </c>
      <c r="D564" t="s">
        <v>2115</v>
      </c>
      <c r="E564" t="s">
        <v>3200</v>
      </c>
      <c r="F564">
        <v>136</v>
      </c>
      <c r="G564">
        <v>62</v>
      </c>
      <c r="H564" t="s">
        <v>452</v>
      </c>
      <c r="I564" t="s">
        <v>2018</v>
      </c>
      <c r="J564">
        <v>26545593</v>
      </c>
      <c r="K564">
        <v>2025</v>
      </c>
      <c r="L564">
        <v>1000895492</v>
      </c>
      <c r="M564" t="s">
        <v>3201</v>
      </c>
      <c r="N564" t="s">
        <v>1688</v>
      </c>
      <c r="O564" t="s">
        <v>1686</v>
      </c>
      <c r="P564">
        <v>0</v>
      </c>
      <c r="Q564">
        <v>3611645</v>
      </c>
      <c r="R564">
        <v>0</v>
      </c>
      <c r="S564">
        <v>22933948</v>
      </c>
      <c r="T564" t="str">
        <f t="shared" si="16"/>
        <v>3122.43.4302.84.0-205400.2.3.2.02.02.009.03.</v>
      </c>
      <c r="U564" t="e" cm="1">
        <f t="array" aca="1" ref="U564" ca="1">+IF(COMPROMISOS_2025[[#This Row],[P]]="20","41080111",_xlfn.XLOOKUP(COMPROMISOS_2025[[#This Row],[concatenado]],PAA[[#All],[RCP-RUBRO]],PAA[[#All],[INDICADOR]],"",0))</f>
        <v>#NAME?</v>
      </c>
      <c r="V564" s="144" t="str">
        <f t="shared" si="17"/>
        <v>84</v>
      </c>
      <c r="W564" s="136">
        <f>+COMPROMISOS_2025[[#This Row],[valor_total]]-COMPROMISOS_2025[[#This Row],[total_cancelado]]</f>
        <v>26545593</v>
      </c>
      <c r="X564" s="136">
        <f>COMPROMISOS_2025[[#This Row],[total_ordenes]]</f>
        <v>3611645</v>
      </c>
      <c r="Y564" t="str" cm="1">
        <f t="array" aca="1" ref="Y564" ca="1">IFERROR(_xlfn.XLOOKUP(COMPROMISOS_2025[[#This Row],[concatenado]],PAA[[#All],[RCP-RUBRO]],PAA[[#All],[Actividad3]],VLOOKUP(COMPROMISOS_2025[[#This Row],[Indicador Principal]],$AC$2:$AD$17,2,0),0),"")</f>
        <v/>
      </c>
    </row>
    <row r="565" spans="1:25" hidden="1" x14ac:dyDescent="0.25">
      <c r="A565">
        <v>313</v>
      </c>
      <c r="B565" t="s">
        <v>3202</v>
      </c>
      <c r="C565" t="s">
        <v>1936</v>
      </c>
      <c r="D565" t="s">
        <v>2116</v>
      </c>
      <c r="E565" t="s">
        <v>3203</v>
      </c>
      <c r="F565">
        <v>137</v>
      </c>
      <c r="G565">
        <v>62</v>
      </c>
      <c r="H565" t="s">
        <v>452</v>
      </c>
      <c r="I565" t="s">
        <v>2018</v>
      </c>
      <c r="J565">
        <v>61147776</v>
      </c>
      <c r="K565">
        <v>2025</v>
      </c>
      <c r="L565">
        <v>712760762</v>
      </c>
      <c r="M565" t="s">
        <v>3204</v>
      </c>
      <c r="N565" t="s">
        <v>1688</v>
      </c>
      <c r="O565" t="s">
        <v>1686</v>
      </c>
      <c r="P565">
        <v>0</v>
      </c>
      <c r="Q565">
        <v>8319425</v>
      </c>
      <c r="R565">
        <v>0</v>
      </c>
      <c r="S565">
        <v>52828351</v>
      </c>
      <c r="T565" t="str">
        <f t="shared" si="16"/>
        <v>3132.43.4302.84.0-205400.2.3.2.02.02.009.03.</v>
      </c>
      <c r="U565" t="e" cm="1">
        <f t="array" aca="1" ref="U565" ca="1">+IF(COMPROMISOS_2025[[#This Row],[P]]="20","41080111",_xlfn.XLOOKUP(COMPROMISOS_2025[[#This Row],[concatenado]],PAA[[#All],[RCP-RUBRO]],PAA[[#All],[INDICADOR]],"",0))</f>
        <v>#NAME?</v>
      </c>
      <c r="V565" s="144" t="str">
        <f t="shared" si="17"/>
        <v>84</v>
      </c>
      <c r="W565" s="136">
        <f>+COMPROMISOS_2025[[#This Row],[valor_total]]-COMPROMISOS_2025[[#This Row],[total_cancelado]]</f>
        <v>61147776</v>
      </c>
      <c r="X565" s="136">
        <f>COMPROMISOS_2025[[#This Row],[total_ordenes]]</f>
        <v>8319425</v>
      </c>
      <c r="Y565" t="str" cm="1">
        <f t="array" aca="1" ref="Y565" ca="1">IFERROR(_xlfn.XLOOKUP(COMPROMISOS_2025[[#This Row],[concatenado]],PAA[[#All],[RCP-RUBRO]],PAA[[#All],[Actividad3]],VLOOKUP(COMPROMISOS_2025[[#This Row],[Indicador Principal]],$AC$2:$AD$17,2,0),0),"")</f>
        <v/>
      </c>
    </row>
    <row r="566" spans="1:25" hidden="1" x14ac:dyDescent="0.25">
      <c r="A566">
        <v>314</v>
      </c>
      <c r="B566" t="s">
        <v>3205</v>
      </c>
      <c r="C566" t="s">
        <v>1936</v>
      </c>
      <c r="D566" t="s">
        <v>2118</v>
      </c>
      <c r="E566" t="s">
        <v>3206</v>
      </c>
      <c r="F566">
        <v>139</v>
      </c>
      <c r="G566">
        <v>62</v>
      </c>
      <c r="H566" t="s">
        <v>452</v>
      </c>
      <c r="I566" t="s">
        <v>2018</v>
      </c>
      <c r="J566">
        <v>50609170</v>
      </c>
      <c r="K566">
        <v>2025</v>
      </c>
      <c r="L566">
        <v>10384108029</v>
      </c>
      <c r="M566" t="s">
        <v>3207</v>
      </c>
      <c r="N566" t="s">
        <v>1688</v>
      </c>
      <c r="O566" t="s">
        <v>1686</v>
      </c>
      <c r="P566">
        <v>0</v>
      </c>
      <c r="Q566">
        <v>6885601</v>
      </c>
      <c r="R566">
        <v>0</v>
      </c>
      <c r="S566">
        <v>43723569</v>
      </c>
      <c r="T566" t="str">
        <f t="shared" si="16"/>
        <v>3142.43.4302.84.0-205400.2.3.2.02.02.009.03.</v>
      </c>
      <c r="U566" t="e" cm="1">
        <f t="array" aca="1" ref="U566" ca="1">+IF(COMPROMISOS_2025[[#This Row],[P]]="20","41080111",_xlfn.XLOOKUP(COMPROMISOS_2025[[#This Row],[concatenado]],PAA[[#All],[RCP-RUBRO]],PAA[[#All],[INDICADOR]],"",0))</f>
        <v>#NAME?</v>
      </c>
      <c r="V566" s="144" t="str">
        <f t="shared" si="17"/>
        <v>84</v>
      </c>
      <c r="W566" s="136">
        <f>+COMPROMISOS_2025[[#This Row],[valor_total]]-COMPROMISOS_2025[[#This Row],[total_cancelado]]</f>
        <v>50609170</v>
      </c>
      <c r="X566" s="136">
        <f>COMPROMISOS_2025[[#This Row],[total_ordenes]]</f>
        <v>6885601</v>
      </c>
      <c r="Y566" t="str" cm="1">
        <f t="array" aca="1" ref="Y566" ca="1">IFERROR(_xlfn.XLOOKUP(COMPROMISOS_2025[[#This Row],[concatenado]],PAA[[#All],[RCP-RUBRO]],PAA[[#All],[Actividad3]],VLOOKUP(COMPROMISOS_2025[[#This Row],[Indicador Principal]],$AC$2:$AD$17,2,0),0),"")</f>
        <v/>
      </c>
    </row>
    <row r="567" spans="1:25" hidden="1" x14ac:dyDescent="0.25">
      <c r="A567">
        <v>315</v>
      </c>
      <c r="B567" t="s">
        <v>3208</v>
      </c>
      <c r="C567" t="s">
        <v>1936</v>
      </c>
      <c r="D567" t="s">
        <v>2119</v>
      </c>
      <c r="E567" t="s">
        <v>3209</v>
      </c>
      <c r="F567">
        <v>140</v>
      </c>
      <c r="G567">
        <v>62</v>
      </c>
      <c r="H567" t="s">
        <v>452</v>
      </c>
      <c r="I567" t="s">
        <v>2018</v>
      </c>
      <c r="J567">
        <v>26545593</v>
      </c>
      <c r="K567">
        <v>2025</v>
      </c>
      <c r="L567">
        <v>1017230955</v>
      </c>
      <c r="M567" t="s">
        <v>3210</v>
      </c>
      <c r="N567" t="s">
        <v>1688</v>
      </c>
      <c r="O567" t="s">
        <v>1686</v>
      </c>
      <c r="P567">
        <v>0</v>
      </c>
      <c r="Q567">
        <v>3521354</v>
      </c>
      <c r="R567">
        <v>0</v>
      </c>
      <c r="S567">
        <v>23024239</v>
      </c>
      <c r="T567" t="str">
        <f t="shared" si="16"/>
        <v>3152.43.4302.84.0-205400.2.3.2.02.02.009.03.</v>
      </c>
      <c r="U567" t="e" cm="1">
        <f t="array" aca="1" ref="U567" ca="1">+IF(COMPROMISOS_2025[[#This Row],[P]]="20","41080111",_xlfn.XLOOKUP(COMPROMISOS_2025[[#This Row],[concatenado]],PAA[[#All],[RCP-RUBRO]],PAA[[#All],[INDICADOR]],"",0))</f>
        <v>#NAME?</v>
      </c>
      <c r="V567" s="144" t="str">
        <f t="shared" si="17"/>
        <v>84</v>
      </c>
      <c r="W567" s="136">
        <f>+COMPROMISOS_2025[[#This Row],[valor_total]]-COMPROMISOS_2025[[#This Row],[total_cancelado]]</f>
        <v>26545593</v>
      </c>
      <c r="X567" s="136">
        <f>COMPROMISOS_2025[[#This Row],[total_ordenes]]</f>
        <v>3521354</v>
      </c>
      <c r="Y567" t="str" cm="1">
        <f t="array" aca="1" ref="Y567" ca="1">IFERROR(_xlfn.XLOOKUP(COMPROMISOS_2025[[#This Row],[concatenado]],PAA[[#All],[RCP-RUBRO]],PAA[[#All],[Actividad3]],VLOOKUP(COMPROMISOS_2025[[#This Row],[Indicador Principal]],$AC$2:$AD$17,2,0),0),"")</f>
        <v/>
      </c>
    </row>
    <row r="568" spans="1:25" hidden="1" x14ac:dyDescent="0.25">
      <c r="A568">
        <v>316</v>
      </c>
      <c r="B568" t="s">
        <v>3211</v>
      </c>
      <c r="C568" t="s">
        <v>1936</v>
      </c>
      <c r="D568" t="s">
        <v>2120</v>
      </c>
      <c r="E568" t="s">
        <v>3212</v>
      </c>
      <c r="F568">
        <v>141</v>
      </c>
      <c r="G568">
        <v>62</v>
      </c>
      <c r="H568" t="s">
        <v>452</v>
      </c>
      <c r="I568" t="s">
        <v>2018</v>
      </c>
      <c r="J568">
        <v>26545593</v>
      </c>
      <c r="K568">
        <v>2025</v>
      </c>
      <c r="L568">
        <v>10366860575</v>
      </c>
      <c r="M568" t="s">
        <v>3213</v>
      </c>
      <c r="N568" t="s">
        <v>1688</v>
      </c>
      <c r="O568" t="s">
        <v>1686</v>
      </c>
      <c r="P568">
        <v>0</v>
      </c>
      <c r="Q568">
        <v>3611645</v>
      </c>
      <c r="R568">
        <v>0</v>
      </c>
      <c r="S568">
        <v>22933948</v>
      </c>
      <c r="T568" t="str">
        <f t="shared" si="16"/>
        <v>3162.43.4302.84.0-205400.2.3.2.02.02.009.03.</v>
      </c>
      <c r="U568" t="e" cm="1">
        <f t="array" aca="1" ref="U568" ca="1">+IF(COMPROMISOS_2025[[#This Row],[P]]="20","41080111",_xlfn.XLOOKUP(COMPROMISOS_2025[[#This Row],[concatenado]],PAA[[#All],[RCP-RUBRO]],PAA[[#All],[INDICADOR]],"",0))</f>
        <v>#NAME?</v>
      </c>
      <c r="V568" s="144" t="str">
        <f t="shared" si="17"/>
        <v>84</v>
      </c>
      <c r="W568" s="136">
        <f>+COMPROMISOS_2025[[#This Row],[valor_total]]-COMPROMISOS_2025[[#This Row],[total_cancelado]]</f>
        <v>26545593</v>
      </c>
      <c r="X568" s="136">
        <f>COMPROMISOS_2025[[#This Row],[total_ordenes]]</f>
        <v>3611645</v>
      </c>
      <c r="Y568" t="str" cm="1">
        <f t="array" aca="1" ref="Y568" ca="1">IFERROR(_xlfn.XLOOKUP(COMPROMISOS_2025[[#This Row],[concatenado]],PAA[[#All],[RCP-RUBRO]],PAA[[#All],[Actividad3]],VLOOKUP(COMPROMISOS_2025[[#This Row],[Indicador Principal]],$AC$2:$AD$17,2,0),0),"")</f>
        <v/>
      </c>
    </row>
    <row r="569" spans="1:25" hidden="1" x14ac:dyDescent="0.25">
      <c r="A569">
        <v>317</v>
      </c>
      <c r="B569" t="s">
        <v>3006</v>
      </c>
      <c r="C569" t="s">
        <v>1936</v>
      </c>
      <c r="D569" t="s">
        <v>2121</v>
      </c>
      <c r="E569" t="s">
        <v>3214</v>
      </c>
      <c r="F569">
        <v>142</v>
      </c>
      <c r="G569">
        <v>62</v>
      </c>
      <c r="H569" t="s">
        <v>452</v>
      </c>
      <c r="I569" t="s">
        <v>2018</v>
      </c>
      <c r="J569">
        <v>40747479</v>
      </c>
      <c r="K569">
        <v>2025</v>
      </c>
      <c r="L569">
        <v>1017179736</v>
      </c>
      <c r="M569" t="s">
        <v>3215</v>
      </c>
      <c r="N569" t="s">
        <v>1688</v>
      </c>
      <c r="O569" t="s">
        <v>1686</v>
      </c>
      <c r="P569">
        <v>0</v>
      </c>
      <c r="Q569">
        <v>5405278</v>
      </c>
      <c r="R569">
        <v>0</v>
      </c>
      <c r="S569">
        <v>35342201</v>
      </c>
      <c r="T569" t="str">
        <f t="shared" si="16"/>
        <v>3172.43.4302.84.0-205400.2.3.2.02.02.009.03.</v>
      </c>
      <c r="U569" t="e" cm="1">
        <f t="array" aca="1" ref="U569" ca="1">+IF(COMPROMISOS_2025[[#This Row],[P]]="20","41080111",_xlfn.XLOOKUP(COMPROMISOS_2025[[#This Row],[concatenado]],PAA[[#All],[RCP-RUBRO]],PAA[[#All],[INDICADOR]],"",0))</f>
        <v>#NAME?</v>
      </c>
      <c r="V569" s="144" t="str">
        <f t="shared" si="17"/>
        <v>84</v>
      </c>
      <c r="W569" s="136">
        <f>+COMPROMISOS_2025[[#This Row],[valor_total]]-COMPROMISOS_2025[[#This Row],[total_cancelado]]</f>
        <v>40747479</v>
      </c>
      <c r="X569" s="136">
        <f>COMPROMISOS_2025[[#This Row],[total_ordenes]]</f>
        <v>5405278</v>
      </c>
      <c r="Y569" t="str" cm="1">
        <f t="array" aca="1" ref="Y569" ca="1">IFERROR(_xlfn.XLOOKUP(COMPROMISOS_2025[[#This Row],[concatenado]],PAA[[#All],[RCP-RUBRO]],PAA[[#All],[Actividad3]],VLOOKUP(COMPROMISOS_2025[[#This Row],[Indicador Principal]],$AC$2:$AD$17,2,0),0),"")</f>
        <v/>
      </c>
    </row>
    <row r="570" spans="1:25" hidden="1" x14ac:dyDescent="0.25">
      <c r="A570">
        <v>319</v>
      </c>
      <c r="B570" t="s">
        <v>3216</v>
      </c>
      <c r="C570" t="s">
        <v>1936</v>
      </c>
      <c r="D570" t="s">
        <v>2126</v>
      </c>
      <c r="E570" t="s">
        <v>3217</v>
      </c>
      <c r="F570">
        <v>146</v>
      </c>
      <c r="G570">
        <v>62</v>
      </c>
      <c r="H570" t="s">
        <v>452</v>
      </c>
      <c r="I570" t="s">
        <v>2018</v>
      </c>
      <c r="J570">
        <v>40747479</v>
      </c>
      <c r="K570">
        <v>2025</v>
      </c>
      <c r="L570">
        <v>3391900</v>
      </c>
      <c r="M570" t="s">
        <v>3218</v>
      </c>
      <c r="N570" t="s">
        <v>1688</v>
      </c>
      <c r="O570" t="s">
        <v>1686</v>
      </c>
      <c r="P570">
        <v>0</v>
      </c>
      <c r="Q570">
        <v>5543875</v>
      </c>
      <c r="R570">
        <v>0</v>
      </c>
      <c r="S570">
        <v>35203604</v>
      </c>
      <c r="T570" t="str">
        <f t="shared" si="16"/>
        <v>3192.43.4302.84.0-205400.2.3.2.02.02.009.03.</v>
      </c>
      <c r="U570" t="e" cm="1">
        <f t="array" aca="1" ref="U570" ca="1">+IF(COMPROMISOS_2025[[#This Row],[P]]="20","41080111",_xlfn.XLOOKUP(COMPROMISOS_2025[[#This Row],[concatenado]],PAA[[#All],[RCP-RUBRO]],PAA[[#All],[INDICADOR]],"",0))</f>
        <v>#NAME?</v>
      </c>
      <c r="V570" s="144" t="str">
        <f t="shared" si="17"/>
        <v>84</v>
      </c>
      <c r="W570" s="136">
        <f>+COMPROMISOS_2025[[#This Row],[valor_total]]-COMPROMISOS_2025[[#This Row],[total_cancelado]]</f>
        <v>40747479</v>
      </c>
      <c r="X570" s="136">
        <f>COMPROMISOS_2025[[#This Row],[total_ordenes]]</f>
        <v>5543875</v>
      </c>
      <c r="Y570" t="str" cm="1">
        <f t="array" aca="1" ref="Y570" ca="1">IFERROR(_xlfn.XLOOKUP(COMPROMISOS_2025[[#This Row],[concatenado]],PAA[[#All],[RCP-RUBRO]],PAA[[#All],[Actividad3]],VLOOKUP(COMPROMISOS_2025[[#This Row],[Indicador Principal]],$AC$2:$AD$17,2,0),0),"")</f>
        <v/>
      </c>
    </row>
    <row r="571" spans="1:25" hidden="1" x14ac:dyDescent="0.25">
      <c r="A571">
        <v>320</v>
      </c>
      <c r="B571" t="s">
        <v>3219</v>
      </c>
      <c r="C571" t="s">
        <v>1936</v>
      </c>
      <c r="D571" t="s">
        <v>2127</v>
      </c>
      <c r="E571" t="s">
        <v>3220</v>
      </c>
      <c r="F571">
        <v>147</v>
      </c>
      <c r="G571">
        <v>62</v>
      </c>
      <c r="H571" t="s">
        <v>452</v>
      </c>
      <c r="I571" t="s">
        <v>2018</v>
      </c>
      <c r="J571">
        <v>81536206</v>
      </c>
      <c r="K571">
        <v>2025</v>
      </c>
      <c r="L571">
        <v>98554081</v>
      </c>
      <c r="M571" t="s">
        <v>3221</v>
      </c>
      <c r="N571" t="s">
        <v>1688</v>
      </c>
      <c r="O571" t="s">
        <v>1686</v>
      </c>
      <c r="P571">
        <v>0</v>
      </c>
      <c r="Q571">
        <v>11093361</v>
      </c>
      <c r="R571">
        <v>0</v>
      </c>
      <c r="S571">
        <v>70442845</v>
      </c>
      <c r="T571" t="str">
        <f t="shared" si="16"/>
        <v>3202.43.4302.84.0-205400.2.3.2.02.02.009.03.</v>
      </c>
      <c r="U571" t="e" cm="1">
        <f t="array" aca="1" ref="U571" ca="1">+IF(COMPROMISOS_2025[[#This Row],[P]]="20","41080111",_xlfn.XLOOKUP(COMPROMISOS_2025[[#This Row],[concatenado]],PAA[[#All],[RCP-RUBRO]],PAA[[#All],[INDICADOR]],"",0))</f>
        <v>#NAME?</v>
      </c>
      <c r="V571" s="144" t="str">
        <f t="shared" si="17"/>
        <v>84</v>
      </c>
      <c r="W571" s="136">
        <f>+COMPROMISOS_2025[[#This Row],[valor_total]]-COMPROMISOS_2025[[#This Row],[total_cancelado]]</f>
        <v>81536206</v>
      </c>
      <c r="X571" s="136">
        <f>COMPROMISOS_2025[[#This Row],[total_ordenes]]</f>
        <v>11093361</v>
      </c>
      <c r="Y571" t="str" cm="1">
        <f t="array" aca="1" ref="Y571" ca="1">IFERROR(_xlfn.XLOOKUP(COMPROMISOS_2025[[#This Row],[concatenado]],PAA[[#All],[RCP-RUBRO]],PAA[[#All],[Actividad3]],VLOOKUP(COMPROMISOS_2025[[#This Row],[Indicador Principal]],$AC$2:$AD$17,2,0),0),"")</f>
        <v/>
      </c>
    </row>
    <row r="572" spans="1:25" hidden="1" x14ac:dyDescent="0.25">
      <c r="A572">
        <v>322</v>
      </c>
      <c r="B572" t="s">
        <v>3009</v>
      </c>
      <c r="C572" t="s">
        <v>1936</v>
      </c>
      <c r="D572" t="s">
        <v>2128</v>
      </c>
      <c r="E572" t="s">
        <v>3222</v>
      </c>
      <c r="F572">
        <v>148</v>
      </c>
      <c r="G572">
        <v>62</v>
      </c>
      <c r="H572" t="s">
        <v>452</v>
      </c>
      <c r="I572" t="s">
        <v>2018</v>
      </c>
      <c r="J572">
        <v>40747479</v>
      </c>
      <c r="K572">
        <v>2025</v>
      </c>
      <c r="L572">
        <v>1143326398</v>
      </c>
      <c r="M572" t="s">
        <v>3223</v>
      </c>
      <c r="N572" t="s">
        <v>1688</v>
      </c>
      <c r="O572" t="s">
        <v>1686</v>
      </c>
      <c r="P572">
        <v>0</v>
      </c>
      <c r="Q572">
        <v>5543875</v>
      </c>
      <c r="R572">
        <v>0</v>
      </c>
      <c r="S572">
        <v>35203604</v>
      </c>
      <c r="T572" t="str">
        <f t="shared" si="16"/>
        <v>3222.43.4302.84.0-205400.2.3.2.02.02.009.03.</v>
      </c>
      <c r="U572" t="e" cm="1">
        <f t="array" aca="1" ref="U572" ca="1">+IF(COMPROMISOS_2025[[#This Row],[P]]="20","41080111",_xlfn.XLOOKUP(COMPROMISOS_2025[[#This Row],[concatenado]],PAA[[#All],[RCP-RUBRO]],PAA[[#All],[INDICADOR]],"",0))</f>
        <v>#NAME?</v>
      </c>
      <c r="V572" s="144" t="str">
        <f t="shared" si="17"/>
        <v>84</v>
      </c>
      <c r="W572" s="136">
        <f>+COMPROMISOS_2025[[#This Row],[valor_total]]-COMPROMISOS_2025[[#This Row],[total_cancelado]]</f>
        <v>40747479</v>
      </c>
      <c r="X572" s="136">
        <f>COMPROMISOS_2025[[#This Row],[total_ordenes]]</f>
        <v>5543875</v>
      </c>
      <c r="Y572" t="str" cm="1">
        <f t="array" aca="1" ref="Y572" ca="1">IFERROR(_xlfn.XLOOKUP(COMPROMISOS_2025[[#This Row],[concatenado]],PAA[[#All],[RCP-RUBRO]],PAA[[#All],[Actividad3]],VLOOKUP(COMPROMISOS_2025[[#This Row],[Indicador Principal]],$AC$2:$AD$17,2,0),0),"")</f>
        <v/>
      </c>
    </row>
    <row r="573" spans="1:25" hidden="1" x14ac:dyDescent="0.25">
      <c r="A573">
        <v>323</v>
      </c>
      <c r="B573" t="s">
        <v>3224</v>
      </c>
      <c r="C573" t="s">
        <v>1936</v>
      </c>
      <c r="D573" t="s">
        <v>2130</v>
      </c>
      <c r="E573" t="s">
        <v>3225</v>
      </c>
      <c r="F573">
        <v>149</v>
      </c>
      <c r="G573">
        <v>62</v>
      </c>
      <c r="H573" t="s">
        <v>452</v>
      </c>
      <c r="I573" t="s">
        <v>2018</v>
      </c>
      <c r="J573">
        <v>50609170</v>
      </c>
      <c r="K573">
        <v>2025</v>
      </c>
      <c r="L573">
        <v>1128420951</v>
      </c>
      <c r="M573" t="s">
        <v>3226</v>
      </c>
      <c r="N573" t="s">
        <v>1688</v>
      </c>
      <c r="O573" t="s">
        <v>1686</v>
      </c>
      <c r="P573">
        <v>0</v>
      </c>
      <c r="Q573">
        <v>6024901</v>
      </c>
      <c r="R573">
        <v>0</v>
      </c>
      <c r="S573">
        <v>44584269</v>
      </c>
      <c r="T573" t="str">
        <f t="shared" si="16"/>
        <v>3232.43.4302.84.0-205400.2.3.2.02.02.009.03.</v>
      </c>
      <c r="U573" t="e" cm="1">
        <f t="array" aca="1" ref="U573" ca="1">+IF(COMPROMISOS_2025[[#This Row],[P]]="20","41080111",_xlfn.XLOOKUP(COMPROMISOS_2025[[#This Row],[concatenado]],PAA[[#All],[RCP-RUBRO]],PAA[[#All],[INDICADOR]],"",0))</f>
        <v>#NAME?</v>
      </c>
      <c r="V573" s="144" t="str">
        <f t="shared" si="17"/>
        <v>84</v>
      </c>
      <c r="W573" s="136">
        <f>+COMPROMISOS_2025[[#This Row],[valor_total]]-COMPROMISOS_2025[[#This Row],[total_cancelado]]</f>
        <v>50609170</v>
      </c>
      <c r="X573" s="136">
        <f>COMPROMISOS_2025[[#This Row],[total_ordenes]]</f>
        <v>6024901</v>
      </c>
      <c r="Y573" t="str" cm="1">
        <f t="array" aca="1" ref="Y573" ca="1">IFERROR(_xlfn.XLOOKUP(COMPROMISOS_2025[[#This Row],[concatenado]],PAA[[#All],[RCP-RUBRO]],PAA[[#All],[Actividad3]],VLOOKUP(COMPROMISOS_2025[[#This Row],[Indicador Principal]],$AC$2:$AD$17,2,0),0),"")</f>
        <v/>
      </c>
    </row>
    <row r="574" spans="1:25" hidden="1" x14ac:dyDescent="0.25">
      <c r="A574">
        <v>324</v>
      </c>
      <c r="B574" t="s">
        <v>3227</v>
      </c>
      <c r="C574" t="s">
        <v>1936</v>
      </c>
      <c r="D574" t="s">
        <v>2131</v>
      </c>
      <c r="E574" t="s">
        <v>3228</v>
      </c>
      <c r="F574">
        <v>150</v>
      </c>
      <c r="G574">
        <v>62</v>
      </c>
      <c r="H574" t="s">
        <v>452</v>
      </c>
      <c r="I574" t="s">
        <v>2018</v>
      </c>
      <c r="J574">
        <v>40747479</v>
      </c>
      <c r="K574">
        <v>2025</v>
      </c>
      <c r="L574">
        <v>721443431</v>
      </c>
      <c r="M574" t="s">
        <v>3229</v>
      </c>
      <c r="N574" t="s">
        <v>1688</v>
      </c>
      <c r="O574" t="s">
        <v>1686</v>
      </c>
      <c r="P574">
        <v>0</v>
      </c>
      <c r="Q574">
        <v>5405278</v>
      </c>
      <c r="R574">
        <v>0</v>
      </c>
      <c r="S574">
        <v>35342201</v>
      </c>
      <c r="T574" t="str">
        <f t="shared" si="16"/>
        <v>3242.43.4302.84.0-205400.2.3.2.02.02.009.03.</v>
      </c>
      <c r="U574" t="e" cm="1">
        <f t="array" aca="1" ref="U574" ca="1">+IF(COMPROMISOS_2025[[#This Row],[P]]="20","41080111",_xlfn.XLOOKUP(COMPROMISOS_2025[[#This Row],[concatenado]],PAA[[#All],[RCP-RUBRO]],PAA[[#All],[INDICADOR]],"",0))</f>
        <v>#NAME?</v>
      </c>
      <c r="V574" s="144" t="str">
        <f t="shared" si="17"/>
        <v>84</v>
      </c>
      <c r="W574" s="136">
        <f>+COMPROMISOS_2025[[#This Row],[valor_total]]-COMPROMISOS_2025[[#This Row],[total_cancelado]]</f>
        <v>40747479</v>
      </c>
      <c r="X574" s="136">
        <f>COMPROMISOS_2025[[#This Row],[total_ordenes]]</f>
        <v>5405278</v>
      </c>
      <c r="Y574" t="str" cm="1">
        <f t="array" aca="1" ref="Y574" ca="1">IFERROR(_xlfn.XLOOKUP(COMPROMISOS_2025[[#This Row],[concatenado]],PAA[[#All],[RCP-RUBRO]],PAA[[#All],[Actividad3]],VLOOKUP(COMPROMISOS_2025[[#This Row],[Indicador Principal]],$AC$2:$AD$17,2,0),0),"")</f>
        <v/>
      </c>
    </row>
    <row r="575" spans="1:25" hidden="1" x14ac:dyDescent="0.25">
      <c r="A575">
        <v>325</v>
      </c>
      <c r="B575" t="s">
        <v>3230</v>
      </c>
      <c r="C575" t="s">
        <v>1936</v>
      </c>
      <c r="D575" t="s">
        <v>2132</v>
      </c>
      <c r="E575" t="s">
        <v>3231</v>
      </c>
      <c r="F575">
        <v>151</v>
      </c>
      <c r="G575">
        <v>62</v>
      </c>
      <c r="H575" t="s">
        <v>452</v>
      </c>
      <c r="I575" t="s">
        <v>2018</v>
      </c>
      <c r="J575">
        <v>40747479</v>
      </c>
      <c r="K575">
        <v>2025</v>
      </c>
      <c r="L575">
        <v>717187696</v>
      </c>
      <c r="M575" t="s">
        <v>3232</v>
      </c>
      <c r="N575" t="s">
        <v>1688</v>
      </c>
      <c r="O575" t="s">
        <v>1686</v>
      </c>
      <c r="P575">
        <v>0</v>
      </c>
      <c r="Q575">
        <v>5543875</v>
      </c>
      <c r="R575">
        <v>0</v>
      </c>
      <c r="S575">
        <v>35203604</v>
      </c>
      <c r="T575" t="str">
        <f t="shared" si="16"/>
        <v>3252.43.4302.84.0-205400.2.3.2.02.02.009.03.</v>
      </c>
      <c r="U575" t="e" cm="1">
        <f t="array" aca="1" ref="U575" ca="1">+IF(COMPROMISOS_2025[[#This Row],[P]]="20","41080111",_xlfn.XLOOKUP(COMPROMISOS_2025[[#This Row],[concatenado]],PAA[[#All],[RCP-RUBRO]],PAA[[#All],[INDICADOR]],"",0))</f>
        <v>#NAME?</v>
      </c>
      <c r="V575" s="144" t="str">
        <f t="shared" si="17"/>
        <v>84</v>
      </c>
      <c r="W575" s="136">
        <f>+COMPROMISOS_2025[[#This Row],[valor_total]]-COMPROMISOS_2025[[#This Row],[total_cancelado]]</f>
        <v>40747479</v>
      </c>
      <c r="X575" s="136">
        <f>COMPROMISOS_2025[[#This Row],[total_ordenes]]</f>
        <v>5543875</v>
      </c>
      <c r="Y575" t="str" cm="1">
        <f t="array" aca="1" ref="Y575" ca="1">IFERROR(_xlfn.XLOOKUP(COMPROMISOS_2025[[#This Row],[concatenado]],PAA[[#All],[RCP-RUBRO]],PAA[[#All],[Actividad3]],VLOOKUP(COMPROMISOS_2025[[#This Row],[Indicador Principal]],$AC$2:$AD$17,2,0),0),"")</f>
        <v/>
      </c>
    </row>
    <row r="576" spans="1:25" hidden="1" x14ac:dyDescent="0.25">
      <c r="A576">
        <v>326</v>
      </c>
      <c r="B576" t="s">
        <v>3233</v>
      </c>
      <c r="C576" t="s">
        <v>1936</v>
      </c>
      <c r="D576" t="s">
        <v>2146</v>
      </c>
      <c r="E576" t="s">
        <v>3234</v>
      </c>
      <c r="F576">
        <v>165</v>
      </c>
      <c r="G576">
        <v>62</v>
      </c>
      <c r="H576" t="s">
        <v>452</v>
      </c>
      <c r="I576" t="s">
        <v>2018</v>
      </c>
      <c r="J576">
        <v>61147776</v>
      </c>
      <c r="K576">
        <v>2025</v>
      </c>
      <c r="L576">
        <v>98551148</v>
      </c>
      <c r="M576" t="s">
        <v>3235</v>
      </c>
      <c r="N576" t="s">
        <v>1688</v>
      </c>
      <c r="O576" t="s">
        <v>1686</v>
      </c>
      <c r="P576">
        <v>0</v>
      </c>
      <c r="Q576">
        <v>8319425</v>
      </c>
      <c r="R576">
        <v>0</v>
      </c>
      <c r="S576">
        <v>52828351</v>
      </c>
      <c r="T576" t="str">
        <f t="shared" si="16"/>
        <v>3262.43.4302.84.0-205400.2.3.2.02.02.009.03.</v>
      </c>
      <c r="U576" t="e" cm="1">
        <f t="array" aca="1" ref="U576" ca="1">+IF(COMPROMISOS_2025[[#This Row],[P]]="20","41080111",_xlfn.XLOOKUP(COMPROMISOS_2025[[#This Row],[concatenado]],PAA[[#All],[RCP-RUBRO]],PAA[[#All],[INDICADOR]],"",0))</f>
        <v>#NAME?</v>
      </c>
      <c r="V576" s="144" t="str">
        <f t="shared" si="17"/>
        <v>84</v>
      </c>
      <c r="W576" s="136">
        <f>+COMPROMISOS_2025[[#This Row],[valor_total]]-COMPROMISOS_2025[[#This Row],[total_cancelado]]</f>
        <v>61147776</v>
      </c>
      <c r="X576" s="136">
        <f>COMPROMISOS_2025[[#This Row],[total_ordenes]]</f>
        <v>8319425</v>
      </c>
      <c r="Y576" t="str" cm="1">
        <f t="array" aca="1" ref="Y576" ca="1">IFERROR(_xlfn.XLOOKUP(COMPROMISOS_2025[[#This Row],[concatenado]],PAA[[#All],[RCP-RUBRO]],PAA[[#All],[Actividad3]],VLOOKUP(COMPROMISOS_2025[[#This Row],[Indicador Principal]],$AC$2:$AD$17,2,0),0),"")</f>
        <v/>
      </c>
    </row>
    <row r="577" spans="1:25" hidden="1" x14ac:dyDescent="0.25">
      <c r="A577">
        <v>327</v>
      </c>
      <c r="B577" t="s">
        <v>3236</v>
      </c>
      <c r="C577" t="s">
        <v>1936</v>
      </c>
      <c r="D577" t="s">
        <v>2147</v>
      </c>
      <c r="E577" t="s">
        <v>3237</v>
      </c>
      <c r="F577">
        <v>166</v>
      </c>
      <c r="G577">
        <v>62</v>
      </c>
      <c r="H577" t="s">
        <v>452</v>
      </c>
      <c r="I577" t="s">
        <v>2018</v>
      </c>
      <c r="J577">
        <v>40747479</v>
      </c>
      <c r="K577">
        <v>2025</v>
      </c>
      <c r="L577">
        <v>1000653897</v>
      </c>
      <c r="M577" t="s">
        <v>3238</v>
      </c>
      <c r="N577" t="s">
        <v>1688</v>
      </c>
      <c r="O577" t="s">
        <v>1686</v>
      </c>
      <c r="P577">
        <v>0</v>
      </c>
      <c r="Q577">
        <v>5543875</v>
      </c>
      <c r="R577">
        <v>0</v>
      </c>
      <c r="S577">
        <v>35203604</v>
      </c>
      <c r="T577" t="str">
        <f t="shared" si="16"/>
        <v>3272.43.4302.84.0-205400.2.3.2.02.02.009.03.</v>
      </c>
      <c r="U577" t="e" cm="1">
        <f t="array" aca="1" ref="U577" ca="1">+IF(COMPROMISOS_2025[[#This Row],[P]]="20","41080111",_xlfn.XLOOKUP(COMPROMISOS_2025[[#This Row],[concatenado]],PAA[[#All],[RCP-RUBRO]],PAA[[#All],[INDICADOR]],"",0))</f>
        <v>#NAME?</v>
      </c>
      <c r="V577" s="144" t="str">
        <f t="shared" si="17"/>
        <v>84</v>
      </c>
      <c r="W577" s="136">
        <f>+COMPROMISOS_2025[[#This Row],[valor_total]]-COMPROMISOS_2025[[#This Row],[total_cancelado]]</f>
        <v>40747479</v>
      </c>
      <c r="X577" s="136">
        <f>COMPROMISOS_2025[[#This Row],[total_ordenes]]</f>
        <v>5543875</v>
      </c>
      <c r="Y577" t="str" cm="1">
        <f t="array" aca="1" ref="Y577" ca="1">IFERROR(_xlfn.XLOOKUP(COMPROMISOS_2025[[#This Row],[concatenado]],PAA[[#All],[RCP-RUBRO]],PAA[[#All],[Actividad3]],VLOOKUP(COMPROMISOS_2025[[#This Row],[Indicador Principal]],$AC$2:$AD$17,2,0),0),"")</f>
        <v/>
      </c>
    </row>
    <row r="578" spans="1:25" hidden="1" x14ac:dyDescent="0.25">
      <c r="A578">
        <v>329</v>
      </c>
      <c r="B578" t="s">
        <v>3239</v>
      </c>
      <c r="C578" t="s">
        <v>1936</v>
      </c>
      <c r="D578" t="s">
        <v>2246</v>
      </c>
      <c r="E578" t="s">
        <v>3240</v>
      </c>
      <c r="F578">
        <v>261</v>
      </c>
      <c r="G578">
        <v>62</v>
      </c>
      <c r="H578" t="s">
        <v>452</v>
      </c>
      <c r="I578" t="s">
        <v>2018</v>
      </c>
      <c r="J578">
        <v>40747479</v>
      </c>
      <c r="K578">
        <v>2025</v>
      </c>
      <c r="L578">
        <v>10403556088</v>
      </c>
      <c r="M578" t="s">
        <v>3241</v>
      </c>
      <c r="N578" t="s">
        <v>1688</v>
      </c>
      <c r="O578" t="s">
        <v>1686</v>
      </c>
      <c r="P578">
        <v>0</v>
      </c>
      <c r="Q578">
        <v>5543875</v>
      </c>
      <c r="R578">
        <v>0</v>
      </c>
      <c r="S578">
        <v>35203604</v>
      </c>
      <c r="T578" t="str">
        <f t="shared" ref="T578:T641" si="18">IF(A578&gt;=0,CONCATENATE(A578,H578),"")</f>
        <v>3292.43.4302.84.0-205400.2.3.2.02.02.009.03.</v>
      </c>
      <c r="U578" t="e" cm="1">
        <f t="array" aca="1" ref="U578" ca="1">+IF(COMPROMISOS_2025[[#This Row],[P]]="20","41080111",_xlfn.XLOOKUP(COMPROMISOS_2025[[#This Row],[concatenado]],PAA[[#All],[RCP-RUBRO]],PAA[[#All],[INDICADOR]],"",0))</f>
        <v>#NAME?</v>
      </c>
      <c r="V578" s="144" t="str">
        <f t="shared" ref="V578:V641" si="19">+MID(H578,11,2)</f>
        <v>84</v>
      </c>
      <c r="W578" s="136">
        <f>+COMPROMISOS_2025[[#This Row],[valor_total]]-COMPROMISOS_2025[[#This Row],[total_cancelado]]</f>
        <v>40747479</v>
      </c>
      <c r="X578" s="136">
        <f>COMPROMISOS_2025[[#This Row],[total_ordenes]]</f>
        <v>5543875</v>
      </c>
      <c r="Y578" t="str" cm="1">
        <f t="array" aca="1" ref="Y578" ca="1">IFERROR(_xlfn.XLOOKUP(COMPROMISOS_2025[[#This Row],[concatenado]],PAA[[#All],[RCP-RUBRO]],PAA[[#All],[Actividad3]],VLOOKUP(COMPROMISOS_2025[[#This Row],[Indicador Principal]],$AC$2:$AD$17,2,0),0),"")</f>
        <v/>
      </c>
    </row>
    <row r="579" spans="1:25" hidden="1" x14ac:dyDescent="0.25">
      <c r="A579">
        <v>330</v>
      </c>
      <c r="B579" t="s">
        <v>3242</v>
      </c>
      <c r="C579" t="s">
        <v>1936</v>
      </c>
      <c r="D579" t="s">
        <v>2243</v>
      </c>
      <c r="E579" t="s">
        <v>3243</v>
      </c>
      <c r="F579">
        <v>258</v>
      </c>
      <c r="G579">
        <v>62</v>
      </c>
      <c r="H579" t="s">
        <v>452</v>
      </c>
      <c r="I579" t="s">
        <v>2018</v>
      </c>
      <c r="J579">
        <v>61147776</v>
      </c>
      <c r="K579">
        <v>2025</v>
      </c>
      <c r="L579">
        <v>121136403</v>
      </c>
      <c r="M579" t="s">
        <v>3065</v>
      </c>
      <c r="N579" t="s">
        <v>1688</v>
      </c>
      <c r="O579" t="s">
        <v>1686</v>
      </c>
      <c r="P579">
        <v>0</v>
      </c>
      <c r="Q579">
        <v>0</v>
      </c>
      <c r="R579">
        <v>0</v>
      </c>
      <c r="S579">
        <v>61147776</v>
      </c>
      <c r="T579" t="str">
        <f t="shared" si="18"/>
        <v>3302.43.4302.84.0-205400.2.3.2.02.02.009.03.</v>
      </c>
      <c r="U579" t="e" cm="1">
        <f t="array" aca="1" ref="U579" ca="1">+IF(COMPROMISOS_2025[[#This Row],[P]]="20","41080111",_xlfn.XLOOKUP(COMPROMISOS_2025[[#This Row],[concatenado]],PAA[[#All],[RCP-RUBRO]],PAA[[#All],[INDICADOR]],"",0))</f>
        <v>#NAME?</v>
      </c>
      <c r="V579" s="144" t="str">
        <f t="shared" si="19"/>
        <v>84</v>
      </c>
      <c r="W579" s="136">
        <f>+COMPROMISOS_2025[[#This Row],[valor_total]]-COMPROMISOS_2025[[#This Row],[total_cancelado]]</f>
        <v>61147776</v>
      </c>
      <c r="X579" s="136">
        <f>COMPROMISOS_2025[[#This Row],[total_ordenes]]</f>
        <v>0</v>
      </c>
      <c r="Y579" t="str" cm="1">
        <f t="array" aca="1" ref="Y579" ca="1">IFERROR(_xlfn.XLOOKUP(COMPROMISOS_2025[[#This Row],[concatenado]],PAA[[#All],[RCP-RUBRO]],PAA[[#All],[Actividad3]],VLOOKUP(COMPROMISOS_2025[[#This Row],[Indicador Principal]],$AC$2:$AD$17,2,0),0),"")</f>
        <v/>
      </c>
    </row>
    <row r="580" spans="1:25" hidden="1" x14ac:dyDescent="0.25">
      <c r="A580">
        <v>331</v>
      </c>
      <c r="B580" t="s">
        <v>3244</v>
      </c>
      <c r="C580" t="s">
        <v>1936</v>
      </c>
      <c r="D580" t="s">
        <v>2242</v>
      </c>
      <c r="E580" t="s">
        <v>3245</v>
      </c>
      <c r="F580">
        <v>257</v>
      </c>
      <c r="G580">
        <v>62</v>
      </c>
      <c r="H580" t="s">
        <v>452</v>
      </c>
      <c r="I580" t="s">
        <v>2018</v>
      </c>
      <c r="J580">
        <v>40747479</v>
      </c>
      <c r="K580">
        <v>2025</v>
      </c>
      <c r="L580">
        <v>11282806639</v>
      </c>
      <c r="M580" t="s">
        <v>3246</v>
      </c>
      <c r="N580" t="s">
        <v>1688</v>
      </c>
      <c r="O580" t="s">
        <v>1686</v>
      </c>
      <c r="P580">
        <v>0</v>
      </c>
      <c r="Q580">
        <v>4850890</v>
      </c>
      <c r="R580">
        <v>0</v>
      </c>
      <c r="S580">
        <v>35896589</v>
      </c>
      <c r="T580" t="str">
        <f t="shared" si="18"/>
        <v>3312.43.4302.84.0-205400.2.3.2.02.02.009.03.</v>
      </c>
      <c r="U580" t="e" cm="1">
        <f t="array" aca="1" ref="U580" ca="1">+IF(COMPROMISOS_2025[[#This Row],[P]]="20","41080111",_xlfn.XLOOKUP(COMPROMISOS_2025[[#This Row],[concatenado]],PAA[[#All],[RCP-RUBRO]],PAA[[#All],[INDICADOR]],"",0))</f>
        <v>#NAME?</v>
      </c>
      <c r="V580" s="144" t="str">
        <f t="shared" si="19"/>
        <v>84</v>
      </c>
      <c r="W580" s="136">
        <f>+COMPROMISOS_2025[[#This Row],[valor_total]]-COMPROMISOS_2025[[#This Row],[total_cancelado]]</f>
        <v>40747479</v>
      </c>
      <c r="X580" s="136">
        <f>COMPROMISOS_2025[[#This Row],[total_ordenes]]</f>
        <v>4850890</v>
      </c>
      <c r="Y580" t="str" cm="1">
        <f t="array" aca="1" ref="Y580" ca="1">IFERROR(_xlfn.XLOOKUP(COMPROMISOS_2025[[#This Row],[concatenado]],PAA[[#All],[RCP-RUBRO]],PAA[[#All],[Actividad3]],VLOOKUP(COMPROMISOS_2025[[#This Row],[Indicador Principal]],$AC$2:$AD$17,2,0),0),"")</f>
        <v/>
      </c>
    </row>
    <row r="581" spans="1:25" hidden="1" x14ac:dyDescent="0.25">
      <c r="A581">
        <v>332</v>
      </c>
      <c r="B581" t="s">
        <v>3247</v>
      </c>
      <c r="C581" t="s">
        <v>1936</v>
      </c>
      <c r="D581" t="s">
        <v>2240</v>
      </c>
      <c r="E581" t="s">
        <v>3248</v>
      </c>
      <c r="F581">
        <v>255</v>
      </c>
      <c r="G581">
        <v>62</v>
      </c>
      <c r="H581" t="s">
        <v>452</v>
      </c>
      <c r="I581" t="s">
        <v>2018</v>
      </c>
      <c r="J581">
        <v>40747479</v>
      </c>
      <c r="K581">
        <v>2025</v>
      </c>
      <c r="L581">
        <v>11282764289</v>
      </c>
      <c r="M581" t="s">
        <v>3249</v>
      </c>
      <c r="N581" t="s">
        <v>1688</v>
      </c>
      <c r="O581" t="s">
        <v>1686</v>
      </c>
      <c r="P581">
        <v>0</v>
      </c>
      <c r="Q581">
        <v>5543875</v>
      </c>
      <c r="R581">
        <v>0</v>
      </c>
      <c r="S581">
        <v>35203604</v>
      </c>
      <c r="T581" t="str">
        <f t="shared" si="18"/>
        <v>3322.43.4302.84.0-205400.2.3.2.02.02.009.03.</v>
      </c>
      <c r="U581" t="e" cm="1">
        <f t="array" aca="1" ref="U581" ca="1">+IF(COMPROMISOS_2025[[#This Row],[P]]="20","41080111",_xlfn.XLOOKUP(COMPROMISOS_2025[[#This Row],[concatenado]],PAA[[#All],[RCP-RUBRO]],PAA[[#All],[INDICADOR]],"",0))</f>
        <v>#NAME?</v>
      </c>
      <c r="V581" s="144" t="str">
        <f t="shared" si="19"/>
        <v>84</v>
      </c>
      <c r="W581" s="136">
        <f>+COMPROMISOS_2025[[#This Row],[valor_total]]-COMPROMISOS_2025[[#This Row],[total_cancelado]]</f>
        <v>40747479</v>
      </c>
      <c r="X581" s="136">
        <f>COMPROMISOS_2025[[#This Row],[total_ordenes]]</f>
        <v>5543875</v>
      </c>
      <c r="Y581" t="str" cm="1">
        <f t="array" aca="1" ref="Y581" ca="1">IFERROR(_xlfn.XLOOKUP(COMPROMISOS_2025[[#This Row],[concatenado]],PAA[[#All],[RCP-RUBRO]],PAA[[#All],[Actividad3]],VLOOKUP(COMPROMISOS_2025[[#This Row],[Indicador Principal]],$AC$2:$AD$17,2,0),0),"")</f>
        <v/>
      </c>
    </row>
    <row r="582" spans="1:25" hidden="1" x14ac:dyDescent="0.25">
      <c r="A582">
        <v>333</v>
      </c>
      <c r="B582" t="s">
        <v>3250</v>
      </c>
      <c r="C582" t="s">
        <v>1936</v>
      </c>
      <c r="D582" t="s">
        <v>2143</v>
      </c>
      <c r="E582" t="s">
        <v>3251</v>
      </c>
      <c r="F582">
        <v>162</v>
      </c>
      <c r="G582">
        <v>62</v>
      </c>
      <c r="H582" t="s">
        <v>452</v>
      </c>
      <c r="I582" t="s">
        <v>2018</v>
      </c>
      <c r="J582">
        <v>50609170</v>
      </c>
      <c r="K582">
        <v>2025</v>
      </c>
      <c r="L582">
        <v>10366382205</v>
      </c>
      <c r="M582" t="s">
        <v>3252</v>
      </c>
      <c r="N582" t="s">
        <v>1688</v>
      </c>
      <c r="O582" t="s">
        <v>1686</v>
      </c>
      <c r="P582">
        <v>0</v>
      </c>
      <c r="Q582">
        <v>6885601</v>
      </c>
      <c r="R582">
        <v>0</v>
      </c>
      <c r="S582">
        <v>43723569</v>
      </c>
      <c r="T582" t="str">
        <f t="shared" si="18"/>
        <v>3332.43.4302.84.0-205400.2.3.2.02.02.009.03.</v>
      </c>
      <c r="U582" t="e" cm="1">
        <f t="array" aca="1" ref="U582" ca="1">+IF(COMPROMISOS_2025[[#This Row],[P]]="20","41080111",_xlfn.XLOOKUP(COMPROMISOS_2025[[#This Row],[concatenado]],PAA[[#All],[RCP-RUBRO]],PAA[[#All],[INDICADOR]],"",0))</f>
        <v>#NAME?</v>
      </c>
      <c r="V582" s="144" t="str">
        <f t="shared" si="19"/>
        <v>84</v>
      </c>
      <c r="W582" s="136">
        <f>+COMPROMISOS_2025[[#This Row],[valor_total]]-COMPROMISOS_2025[[#This Row],[total_cancelado]]</f>
        <v>50609170</v>
      </c>
      <c r="X582" s="136">
        <f>COMPROMISOS_2025[[#This Row],[total_ordenes]]</f>
        <v>6885601</v>
      </c>
      <c r="Y582" t="str" cm="1">
        <f t="array" aca="1" ref="Y582" ca="1">IFERROR(_xlfn.XLOOKUP(COMPROMISOS_2025[[#This Row],[concatenado]],PAA[[#All],[RCP-RUBRO]],PAA[[#All],[Actividad3]],VLOOKUP(COMPROMISOS_2025[[#This Row],[Indicador Principal]],$AC$2:$AD$17,2,0),0),"")</f>
        <v/>
      </c>
    </row>
    <row r="583" spans="1:25" hidden="1" x14ac:dyDescent="0.25">
      <c r="A583">
        <v>334</v>
      </c>
      <c r="B583" t="s">
        <v>3253</v>
      </c>
      <c r="C583" t="s">
        <v>1936</v>
      </c>
      <c r="D583" t="s">
        <v>2237</v>
      </c>
      <c r="E583" t="s">
        <v>3254</v>
      </c>
      <c r="F583">
        <v>252</v>
      </c>
      <c r="G583">
        <v>62</v>
      </c>
      <c r="H583" t="s">
        <v>452</v>
      </c>
      <c r="I583" t="s">
        <v>2018</v>
      </c>
      <c r="J583">
        <v>61147776</v>
      </c>
      <c r="K583">
        <v>2025</v>
      </c>
      <c r="L583">
        <v>16708074</v>
      </c>
      <c r="M583" t="s">
        <v>3255</v>
      </c>
      <c r="N583" t="s">
        <v>1688</v>
      </c>
      <c r="O583" t="s">
        <v>1686</v>
      </c>
      <c r="P583">
        <v>0</v>
      </c>
      <c r="Q583">
        <v>8319425</v>
      </c>
      <c r="R583">
        <v>0</v>
      </c>
      <c r="S583">
        <v>52828351</v>
      </c>
      <c r="T583" t="str">
        <f t="shared" si="18"/>
        <v>3342.43.4302.84.0-205400.2.3.2.02.02.009.03.</v>
      </c>
      <c r="U583" t="e" cm="1">
        <f t="array" aca="1" ref="U583" ca="1">+IF(COMPROMISOS_2025[[#This Row],[P]]="20","41080111",_xlfn.XLOOKUP(COMPROMISOS_2025[[#This Row],[concatenado]],PAA[[#All],[RCP-RUBRO]],PAA[[#All],[INDICADOR]],"",0))</f>
        <v>#NAME?</v>
      </c>
      <c r="V583" s="144" t="str">
        <f t="shared" si="19"/>
        <v>84</v>
      </c>
      <c r="W583" s="136">
        <f>+COMPROMISOS_2025[[#This Row],[valor_total]]-COMPROMISOS_2025[[#This Row],[total_cancelado]]</f>
        <v>61147776</v>
      </c>
      <c r="X583" s="136">
        <f>COMPROMISOS_2025[[#This Row],[total_ordenes]]</f>
        <v>8319425</v>
      </c>
      <c r="Y583" t="str" cm="1">
        <f t="array" aca="1" ref="Y583" ca="1">IFERROR(_xlfn.XLOOKUP(COMPROMISOS_2025[[#This Row],[concatenado]],PAA[[#All],[RCP-RUBRO]],PAA[[#All],[Actividad3]],VLOOKUP(COMPROMISOS_2025[[#This Row],[Indicador Principal]],$AC$2:$AD$17,2,0),0),"")</f>
        <v/>
      </c>
    </row>
    <row r="584" spans="1:25" hidden="1" x14ac:dyDescent="0.25">
      <c r="A584">
        <v>335</v>
      </c>
      <c r="B584" t="s">
        <v>3256</v>
      </c>
      <c r="C584" t="s">
        <v>1936</v>
      </c>
      <c r="D584" t="s">
        <v>2148</v>
      </c>
      <c r="E584" t="s">
        <v>3257</v>
      </c>
      <c r="F584">
        <v>167</v>
      </c>
      <c r="G584">
        <v>62</v>
      </c>
      <c r="H584" t="s">
        <v>452</v>
      </c>
      <c r="I584" t="s">
        <v>2018</v>
      </c>
      <c r="J584">
        <v>50609170</v>
      </c>
      <c r="K584">
        <v>2025</v>
      </c>
      <c r="L584">
        <v>6892057</v>
      </c>
      <c r="M584" t="s">
        <v>3258</v>
      </c>
      <c r="N584" t="s">
        <v>1688</v>
      </c>
      <c r="O584" t="s">
        <v>1686</v>
      </c>
      <c r="P584">
        <v>0</v>
      </c>
      <c r="Q584">
        <v>6197041</v>
      </c>
      <c r="R584">
        <v>0</v>
      </c>
      <c r="S584">
        <v>44412129</v>
      </c>
      <c r="T584" t="str">
        <f t="shared" si="18"/>
        <v>3352.43.4302.84.0-205400.2.3.2.02.02.009.03.</v>
      </c>
      <c r="U584" t="e" cm="1">
        <f t="array" aca="1" ref="U584" ca="1">+IF(COMPROMISOS_2025[[#This Row],[P]]="20","41080111",_xlfn.XLOOKUP(COMPROMISOS_2025[[#This Row],[concatenado]],PAA[[#All],[RCP-RUBRO]],PAA[[#All],[INDICADOR]],"",0))</f>
        <v>#NAME?</v>
      </c>
      <c r="V584" s="144" t="str">
        <f t="shared" si="19"/>
        <v>84</v>
      </c>
      <c r="W584" s="136">
        <f>+COMPROMISOS_2025[[#This Row],[valor_total]]-COMPROMISOS_2025[[#This Row],[total_cancelado]]</f>
        <v>50609170</v>
      </c>
      <c r="X584" s="136">
        <f>COMPROMISOS_2025[[#This Row],[total_ordenes]]</f>
        <v>6197041</v>
      </c>
      <c r="Y584" t="str" cm="1">
        <f t="array" aca="1" ref="Y584" ca="1">IFERROR(_xlfn.XLOOKUP(COMPROMISOS_2025[[#This Row],[concatenado]],PAA[[#All],[RCP-RUBRO]],PAA[[#All],[Actividad3]],VLOOKUP(COMPROMISOS_2025[[#This Row],[Indicador Principal]],$AC$2:$AD$17,2,0),0),"")</f>
        <v/>
      </c>
    </row>
    <row r="585" spans="1:25" hidden="1" x14ac:dyDescent="0.25">
      <c r="A585">
        <v>336</v>
      </c>
      <c r="B585" t="s">
        <v>3259</v>
      </c>
      <c r="C585" t="s">
        <v>1936</v>
      </c>
      <c r="D585" t="s">
        <v>2236</v>
      </c>
      <c r="E585" t="s">
        <v>3260</v>
      </c>
      <c r="F585">
        <v>251</v>
      </c>
      <c r="G585">
        <v>62</v>
      </c>
      <c r="H585" t="s">
        <v>452</v>
      </c>
      <c r="I585" t="s">
        <v>2018</v>
      </c>
      <c r="J585">
        <v>50609170</v>
      </c>
      <c r="K585">
        <v>2025</v>
      </c>
      <c r="L585">
        <v>43278118</v>
      </c>
      <c r="M585" t="s">
        <v>3261</v>
      </c>
      <c r="N585" t="s">
        <v>1688</v>
      </c>
      <c r="O585" t="s">
        <v>1686</v>
      </c>
      <c r="P585">
        <v>0</v>
      </c>
      <c r="Q585">
        <v>6885601</v>
      </c>
      <c r="R585">
        <v>0</v>
      </c>
      <c r="S585">
        <v>43723569</v>
      </c>
      <c r="T585" t="str">
        <f t="shared" si="18"/>
        <v>3362.43.4302.84.0-205400.2.3.2.02.02.009.03.</v>
      </c>
      <c r="U585" t="e" cm="1">
        <f t="array" aca="1" ref="U585" ca="1">+IF(COMPROMISOS_2025[[#This Row],[P]]="20","41080111",_xlfn.XLOOKUP(COMPROMISOS_2025[[#This Row],[concatenado]],PAA[[#All],[RCP-RUBRO]],PAA[[#All],[INDICADOR]],"",0))</f>
        <v>#NAME?</v>
      </c>
      <c r="V585" s="144" t="str">
        <f t="shared" si="19"/>
        <v>84</v>
      </c>
      <c r="W585" s="136">
        <f>+COMPROMISOS_2025[[#This Row],[valor_total]]-COMPROMISOS_2025[[#This Row],[total_cancelado]]</f>
        <v>50609170</v>
      </c>
      <c r="X585" s="136">
        <f>COMPROMISOS_2025[[#This Row],[total_ordenes]]</f>
        <v>6885601</v>
      </c>
      <c r="Y585" t="str" cm="1">
        <f t="array" aca="1" ref="Y585" ca="1">IFERROR(_xlfn.XLOOKUP(COMPROMISOS_2025[[#This Row],[concatenado]],PAA[[#All],[RCP-RUBRO]],PAA[[#All],[Actividad3]],VLOOKUP(COMPROMISOS_2025[[#This Row],[Indicador Principal]],$AC$2:$AD$17,2,0),0),"")</f>
        <v/>
      </c>
    </row>
    <row r="586" spans="1:25" hidden="1" x14ac:dyDescent="0.25">
      <c r="A586">
        <v>337</v>
      </c>
      <c r="B586" t="s">
        <v>3262</v>
      </c>
      <c r="C586" t="s">
        <v>1936</v>
      </c>
      <c r="D586" t="s">
        <v>2235</v>
      </c>
      <c r="E586" t="s">
        <v>3263</v>
      </c>
      <c r="F586">
        <v>250</v>
      </c>
      <c r="G586">
        <v>62</v>
      </c>
      <c r="H586" t="s">
        <v>452</v>
      </c>
      <c r="I586" t="s">
        <v>2018</v>
      </c>
      <c r="J586">
        <v>61147776</v>
      </c>
      <c r="K586">
        <v>2025</v>
      </c>
      <c r="L586">
        <v>43599588</v>
      </c>
      <c r="M586" t="s">
        <v>3264</v>
      </c>
      <c r="N586" t="s">
        <v>1688</v>
      </c>
      <c r="O586" t="s">
        <v>1686</v>
      </c>
      <c r="P586">
        <v>0</v>
      </c>
      <c r="Q586">
        <v>8319425</v>
      </c>
      <c r="R586">
        <v>0</v>
      </c>
      <c r="S586">
        <v>52828351</v>
      </c>
      <c r="T586" t="str">
        <f t="shared" si="18"/>
        <v>3372.43.4302.84.0-205400.2.3.2.02.02.009.03.</v>
      </c>
      <c r="U586" t="e" cm="1">
        <f t="array" aca="1" ref="U586" ca="1">+IF(COMPROMISOS_2025[[#This Row],[P]]="20","41080111",_xlfn.XLOOKUP(COMPROMISOS_2025[[#This Row],[concatenado]],PAA[[#All],[RCP-RUBRO]],PAA[[#All],[INDICADOR]],"",0))</f>
        <v>#NAME?</v>
      </c>
      <c r="V586" s="144" t="str">
        <f t="shared" si="19"/>
        <v>84</v>
      </c>
      <c r="W586" s="136">
        <f>+COMPROMISOS_2025[[#This Row],[valor_total]]-COMPROMISOS_2025[[#This Row],[total_cancelado]]</f>
        <v>61147776</v>
      </c>
      <c r="X586" s="136">
        <f>COMPROMISOS_2025[[#This Row],[total_ordenes]]</f>
        <v>8319425</v>
      </c>
      <c r="Y586" t="str" cm="1">
        <f t="array" aca="1" ref="Y586" ca="1">IFERROR(_xlfn.XLOOKUP(COMPROMISOS_2025[[#This Row],[concatenado]],PAA[[#All],[RCP-RUBRO]],PAA[[#All],[Actividad3]],VLOOKUP(COMPROMISOS_2025[[#This Row],[Indicador Principal]],$AC$2:$AD$17,2,0),0),"")</f>
        <v/>
      </c>
    </row>
    <row r="587" spans="1:25" hidden="1" x14ac:dyDescent="0.25">
      <c r="A587">
        <v>338</v>
      </c>
      <c r="B587" t="s">
        <v>3265</v>
      </c>
      <c r="C587" t="s">
        <v>1936</v>
      </c>
      <c r="D587" t="s">
        <v>2149</v>
      </c>
      <c r="E587" t="s">
        <v>3266</v>
      </c>
      <c r="F587">
        <v>168</v>
      </c>
      <c r="G587">
        <v>62</v>
      </c>
      <c r="H587" t="s">
        <v>452</v>
      </c>
      <c r="I587" t="s">
        <v>2018</v>
      </c>
      <c r="J587">
        <v>26545593</v>
      </c>
      <c r="K587">
        <v>2025</v>
      </c>
      <c r="L587">
        <v>1128478840</v>
      </c>
      <c r="M587" t="s">
        <v>3267</v>
      </c>
      <c r="N587" t="s">
        <v>1688</v>
      </c>
      <c r="O587" t="s">
        <v>1686</v>
      </c>
      <c r="P587">
        <v>0</v>
      </c>
      <c r="Q587">
        <v>3521354</v>
      </c>
      <c r="R587">
        <v>0</v>
      </c>
      <c r="S587">
        <v>23024239</v>
      </c>
      <c r="T587" t="str">
        <f t="shared" si="18"/>
        <v>3382.43.4302.84.0-205400.2.3.2.02.02.009.03.</v>
      </c>
      <c r="U587" t="e" cm="1">
        <f t="array" aca="1" ref="U587" ca="1">+IF(COMPROMISOS_2025[[#This Row],[P]]="20","41080111",_xlfn.XLOOKUP(COMPROMISOS_2025[[#This Row],[concatenado]],PAA[[#All],[RCP-RUBRO]],PAA[[#All],[INDICADOR]],"",0))</f>
        <v>#NAME?</v>
      </c>
      <c r="V587" s="144" t="str">
        <f t="shared" si="19"/>
        <v>84</v>
      </c>
      <c r="W587" s="136">
        <f>+COMPROMISOS_2025[[#This Row],[valor_total]]-COMPROMISOS_2025[[#This Row],[total_cancelado]]</f>
        <v>26545593</v>
      </c>
      <c r="X587" s="136">
        <f>COMPROMISOS_2025[[#This Row],[total_ordenes]]</f>
        <v>3521354</v>
      </c>
      <c r="Y587" t="str" cm="1">
        <f t="array" aca="1" ref="Y587" ca="1">IFERROR(_xlfn.XLOOKUP(COMPROMISOS_2025[[#This Row],[concatenado]],PAA[[#All],[RCP-RUBRO]],PAA[[#All],[Actividad3]],VLOOKUP(COMPROMISOS_2025[[#This Row],[Indicador Principal]],$AC$2:$AD$17,2,0),0),"")</f>
        <v/>
      </c>
    </row>
    <row r="588" spans="1:25" hidden="1" x14ac:dyDescent="0.25">
      <c r="A588">
        <v>339</v>
      </c>
      <c r="B588" t="s">
        <v>3268</v>
      </c>
      <c r="C588" t="s">
        <v>1936</v>
      </c>
      <c r="D588" t="s">
        <v>2230</v>
      </c>
      <c r="E588" t="s">
        <v>3269</v>
      </c>
      <c r="F588">
        <v>245</v>
      </c>
      <c r="G588">
        <v>62</v>
      </c>
      <c r="H588" t="s">
        <v>452</v>
      </c>
      <c r="I588" t="s">
        <v>2018</v>
      </c>
      <c r="J588">
        <v>40747479</v>
      </c>
      <c r="K588">
        <v>2025</v>
      </c>
      <c r="L588">
        <v>985702703</v>
      </c>
      <c r="M588" t="s">
        <v>3270</v>
      </c>
      <c r="N588" t="s">
        <v>1688</v>
      </c>
      <c r="O588" t="s">
        <v>1686</v>
      </c>
      <c r="P588">
        <v>0</v>
      </c>
      <c r="Q588">
        <v>5543875</v>
      </c>
      <c r="R588">
        <v>0</v>
      </c>
      <c r="S588">
        <v>35203604</v>
      </c>
      <c r="T588" t="str">
        <f t="shared" si="18"/>
        <v>3392.43.4302.84.0-205400.2.3.2.02.02.009.03.</v>
      </c>
      <c r="U588" t="e" cm="1">
        <f t="array" aca="1" ref="U588" ca="1">+IF(COMPROMISOS_2025[[#This Row],[P]]="20","41080111",_xlfn.XLOOKUP(COMPROMISOS_2025[[#This Row],[concatenado]],PAA[[#All],[RCP-RUBRO]],PAA[[#All],[INDICADOR]],"",0))</f>
        <v>#NAME?</v>
      </c>
      <c r="V588" s="144" t="str">
        <f t="shared" si="19"/>
        <v>84</v>
      </c>
      <c r="W588" s="136">
        <f>+COMPROMISOS_2025[[#This Row],[valor_total]]-COMPROMISOS_2025[[#This Row],[total_cancelado]]</f>
        <v>40747479</v>
      </c>
      <c r="X588" s="136">
        <f>COMPROMISOS_2025[[#This Row],[total_ordenes]]</f>
        <v>5543875</v>
      </c>
      <c r="Y588" t="str" cm="1">
        <f t="array" aca="1" ref="Y588" ca="1">IFERROR(_xlfn.XLOOKUP(COMPROMISOS_2025[[#This Row],[concatenado]],PAA[[#All],[RCP-RUBRO]],PAA[[#All],[Actividad3]],VLOOKUP(COMPROMISOS_2025[[#This Row],[Indicador Principal]],$AC$2:$AD$17,2,0),0),"")</f>
        <v/>
      </c>
    </row>
    <row r="589" spans="1:25" hidden="1" x14ac:dyDescent="0.25">
      <c r="A589">
        <v>340</v>
      </c>
      <c r="B589" t="s">
        <v>3271</v>
      </c>
      <c r="C589" t="s">
        <v>1936</v>
      </c>
      <c r="D589" t="s">
        <v>2229</v>
      </c>
      <c r="E589" t="s">
        <v>3272</v>
      </c>
      <c r="F589">
        <v>244</v>
      </c>
      <c r="G589">
        <v>62</v>
      </c>
      <c r="H589" t="s">
        <v>452</v>
      </c>
      <c r="I589" t="s">
        <v>2018</v>
      </c>
      <c r="J589">
        <v>50609170</v>
      </c>
      <c r="K589">
        <v>2025</v>
      </c>
      <c r="L589">
        <v>10366223091</v>
      </c>
      <c r="M589" t="s">
        <v>3273</v>
      </c>
      <c r="N589" t="s">
        <v>1688</v>
      </c>
      <c r="O589" t="s">
        <v>1686</v>
      </c>
      <c r="P589">
        <v>0</v>
      </c>
      <c r="Q589">
        <v>6885601</v>
      </c>
      <c r="R589">
        <v>0</v>
      </c>
      <c r="S589">
        <v>43723569</v>
      </c>
      <c r="T589" t="str">
        <f t="shared" si="18"/>
        <v>3402.43.4302.84.0-205400.2.3.2.02.02.009.03.</v>
      </c>
      <c r="U589" t="e" cm="1">
        <f t="array" aca="1" ref="U589" ca="1">+IF(COMPROMISOS_2025[[#This Row],[P]]="20","41080111",_xlfn.XLOOKUP(COMPROMISOS_2025[[#This Row],[concatenado]],PAA[[#All],[RCP-RUBRO]],PAA[[#All],[INDICADOR]],"",0))</f>
        <v>#NAME?</v>
      </c>
      <c r="V589" s="144" t="str">
        <f t="shared" si="19"/>
        <v>84</v>
      </c>
      <c r="W589" s="136">
        <f>+COMPROMISOS_2025[[#This Row],[valor_total]]-COMPROMISOS_2025[[#This Row],[total_cancelado]]</f>
        <v>50609170</v>
      </c>
      <c r="X589" s="136">
        <f>COMPROMISOS_2025[[#This Row],[total_ordenes]]</f>
        <v>6885601</v>
      </c>
      <c r="Y589" t="str" cm="1">
        <f t="array" aca="1" ref="Y589" ca="1">IFERROR(_xlfn.XLOOKUP(COMPROMISOS_2025[[#This Row],[concatenado]],PAA[[#All],[RCP-RUBRO]],PAA[[#All],[Actividad3]],VLOOKUP(COMPROMISOS_2025[[#This Row],[Indicador Principal]],$AC$2:$AD$17,2,0),0),"")</f>
        <v/>
      </c>
    </row>
    <row r="590" spans="1:25" hidden="1" x14ac:dyDescent="0.25">
      <c r="A590">
        <v>341</v>
      </c>
      <c r="B590" t="s">
        <v>3274</v>
      </c>
      <c r="C590" t="s">
        <v>1936</v>
      </c>
      <c r="D590" t="s">
        <v>2227</v>
      </c>
      <c r="E590" t="s">
        <v>3275</v>
      </c>
      <c r="F590">
        <v>242</v>
      </c>
      <c r="G590">
        <v>62</v>
      </c>
      <c r="H590" t="s">
        <v>452</v>
      </c>
      <c r="I590" t="s">
        <v>2018</v>
      </c>
      <c r="J590">
        <v>81536206</v>
      </c>
      <c r="K590">
        <v>2025</v>
      </c>
      <c r="L590">
        <v>3474237</v>
      </c>
      <c r="M590" t="s">
        <v>3276</v>
      </c>
      <c r="N590" t="s">
        <v>1688</v>
      </c>
      <c r="O590" t="s">
        <v>1686</v>
      </c>
      <c r="P590">
        <v>0</v>
      </c>
      <c r="Q590">
        <v>11093361</v>
      </c>
      <c r="R590">
        <v>0</v>
      </c>
      <c r="S590">
        <v>70442845</v>
      </c>
      <c r="T590" t="str">
        <f t="shared" si="18"/>
        <v>3412.43.4302.84.0-205400.2.3.2.02.02.009.03.</v>
      </c>
      <c r="U590" t="e" cm="1">
        <f t="array" aca="1" ref="U590" ca="1">+IF(COMPROMISOS_2025[[#This Row],[P]]="20","41080111",_xlfn.XLOOKUP(COMPROMISOS_2025[[#This Row],[concatenado]],PAA[[#All],[RCP-RUBRO]],PAA[[#All],[INDICADOR]],"",0))</f>
        <v>#NAME?</v>
      </c>
      <c r="V590" s="144" t="str">
        <f t="shared" si="19"/>
        <v>84</v>
      </c>
      <c r="W590" s="136">
        <f>+COMPROMISOS_2025[[#This Row],[valor_total]]-COMPROMISOS_2025[[#This Row],[total_cancelado]]</f>
        <v>81536206</v>
      </c>
      <c r="X590" s="136">
        <f>COMPROMISOS_2025[[#This Row],[total_ordenes]]</f>
        <v>11093361</v>
      </c>
      <c r="Y590" t="str" cm="1">
        <f t="array" aca="1" ref="Y590" ca="1">IFERROR(_xlfn.XLOOKUP(COMPROMISOS_2025[[#This Row],[concatenado]],PAA[[#All],[RCP-RUBRO]],PAA[[#All],[Actividad3]],VLOOKUP(COMPROMISOS_2025[[#This Row],[Indicador Principal]],$AC$2:$AD$17,2,0),0),"")</f>
        <v/>
      </c>
    </row>
    <row r="591" spans="1:25" hidden="1" x14ac:dyDescent="0.25">
      <c r="A591">
        <v>342</v>
      </c>
      <c r="B591" t="s">
        <v>3277</v>
      </c>
      <c r="C591" t="s">
        <v>1936</v>
      </c>
      <c r="D591" t="s">
        <v>2225</v>
      </c>
      <c r="E591" t="s">
        <v>3278</v>
      </c>
      <c r="F591">
        <v>240</v>
      </c>
      <c r="G591">
        <v>62</v>
      </c>
      <c r="H591" t="s">
        <v>452</v>
      </c>
      <c r="I591" t="s">
        <v>2018</v>
      </c>
      <c r="J591">
        <v>40747479</v>
      </c>
      <c r="K591">
        <v>2025</v>
      </c>
      <c r="L591">
        <v>1037578877</v>
      </c>
      <c r="M591" t="s">
        <v>3279</v>
      </c>
      <c r="N591" t="s">
        <v>1688</v>
      </c>
      <c r="O591" t="s">
        <v>1686</v>
      </c>
      <c r="P591">
        <v>0</v>
      </c>
      <c r="Q591">
        <v>5543875</v>
      </c>
      <c r="R591">
        <v>0</v>
      </c>
      <c r="S591">
        <v>35203604</v>
      </c>
      <c r="T591" t="str">
        <f t="shared" si="18"/>
        <v>3422.43.4302.84.0-205400.2.3.2.02.02.009.03.</v>
      </c>
      <c r="U591" t="e" cm="1">
        <f t="array" aca="1" ref="U591" ca="1">+IF(COMPROMISOS_2025[[#This Row],[P]]="20","41080111",_xlfn.XLOOKUP(COMPROMISOS_2025[[#This Row],[concatenado]],PAA[[#All],[RCP-RUBRO]],PAA[[#All],[INDICADOR]],"",0))</f>
        <v>#NAME?</v>
      </c>
      <c r="V591" s="144" t="str">
        <f t="shared" si="19"/>
        <v>84</v>
      </c>
      <c r="W591" s="136">
        <f>+COMPROMISOS_2025[[#This Row],[valor_total]]-COMPROMISOS_2025[[#This Row],[total_cancelado]]</f>
        <v>40747479</v>
      </c>
      <c r="X591" s="136">
        <f>COMPROMISOS_2025[[#This Row],[total_ordenes]]</f>
        <v>5543875</v>
      </c>
      <c r="Y591" t="str" cm="1">
        <f t="array" aca="1" ref="Y591" ca="1">IFERROR(_xlfn.XLOOKUP(COMPROMISOS_2025[[#This Row],[concatenado]],PAA[[#All],[RCP-RUBRO]],PAA[[#All],[Actividad3]],VLOOKUP(COMPROMISOS_2025[[#This Row],[Indicador Principal]],$AC$2:$AD$17,2,0),0),"")</f>
        <v/>
      </c>
    </row>
    <row r="592" spans="1:25" hidden="1" x14ac:dyDescent="0.25">
      <c r="A592">
        <v>343</v>
      </c>
      <c r="B592" t="s">
        <v>3277</v>
      </c>
      <c r="C592" t="s">
        <v>1936</v>
      </c>
      <c r="D592" t="s">
        <v>2151</v>
      </c>
      <c r="E592" t="s">
        <v>3280</v>
      </c>
      <c r="F592">
        <v>170</v>
      </c>
      <c r="G592">
        <v>62</v>
      </c>
      <c r="H592" t="s">
        <v>452</v>
      </c>
      <c r="I592" t="s">
        <v>2018</v>
      </c>
      <c r="J592">
        <v>26545593</v>
      </c>
      <c r="K592">
        <v>2025</v>
      </c>
      <c r="L592">
        <v>10390781544</v>
      </c>
      <c r="M592" t="s">
        <v>3281</v>
      </c>
      <c r="N592" t="s">
        <v>1688</v>
      </c>
      <c r="O592" t="s">
        <v>1686</v>
      </c>
      <c r="P592">
        <v>0</v>
      </c>
      <c r="Q592">
        <v>3611645</v>
      </c>
      <c r="R592">
        <v>0</v>
      </c>
      <c r="S592">
        <v>22933948</v>
      </c>
      <c r="T592" t="str">
        <f t="shared" si="18"/>
        <v>3432.43.4302.84.0-205400.2.3.2.02.02.009.03.</v>
      </c>
      <c r="U592" t="e" cm="1">
        <f t="array" aca="1" ref="U592" ca="1">+IF(COMPROMISOS_2025[[#This Row],[P]]="20","41080111",_xlfn.XLOOKUP(COMPROMISOS_2025[[#This Row],[concatenado]],PAA[[#All],[RCP-RUBRO]],PAA[[#All],[INDICADOR]],"",0))</f>
        <v>#NAME?</v>
      </c>
      <c r="V592" s="144" t="str">
        <f t="shared" si="19"/>
        <v>84</v>
      </c>
      <c r="W592" s="136">
        <f>+COMPROMISOS_2025[[#This Row],[valor_total]]-COMPROMISOS_2025[[#This Row],[total_cancelado]]</f>
        <v>26545593</v>
      </c>
      <c r="X592" s="136">
        <f>COMPROMISOS_2025[[#This Row],[total_ordenes]]</f>
        <v>3611645</v>
      </c>
      <c r="Y592" t="str" cm="1">
        <f t="array" aca="1" ref="Y592" ca="1">IFERROR(_xlfn.XLOOKUP(COMPROMISOS_2025[[#This Row],[concatenado]],PAA[[#All],[RCP-RUBRO]],PAA[[#All],[Actividad3]],VLOOKUP(COMPROMISOS_2025[[#This Row],[Indicador Principal]],$AC$2:$AD$17,2,0),0),"")</f>
        <v/>
      </c>
    </row>
    <row r="593" spans="1:25" hidden="1" x14ac:dyDescent="0.25">
      <c r="A593">
        <v>344</v>
      </c>
      <c r="B593" t="s">
        <v>3282</v>
      </c>
      <c r="C593" t="s">
        <v>1936</v>
      </c>
      <c r="D593" t="s">
        <v>2168</v>
      </c>
      <c r="E593" t="s">
        <v>3283</v>
      </c>
      <c r="F593">
        <v>185</v>
      </c>
      <c r="G593">
        <v>62</v>
      </c>
      <c r="H593" t="s">
        <v>452</v>
      </c>
      <c r="I593" t="s">
        <v>2018</v>
      </c>
      <c r="J593">
        <v>61147776</v>
      </c>
      <c r="K593">
        <v>2025</v>
      </c>
      <c r="L593">
        <v>1026137307</v>
      </c>
      <c r="M593" t="s">
        <v>3284</v>
      </c>
      <c r="N593" t="s">
        <v>1688</v>
      </c>
      <c r="O593" t="s">
        <v>1686</v>
      </c>
      <c r="P593">
        <v>0</v>
      </c>
      <c r="Q593">
        <v>8319425</v>
      </c>
      <c r="R593">
        <v>0</v>
      </c>
      <c r="S593">
        <v>52828351</v>
      </c>
      <c r="T593" t="str">
        <f t="shared" si="18"/>
        <v>3442.43.4302.84.0-205400.2.3.2.02.02.009.03.</v>
      </c>
      <c r="U593" t="e" cm="1">
        <f t="array" aca="1" ref="U593" ca="1">+IF(COMPROMISOS_2025[[#This Row],[P]]="20","41080111",_xlfn.XLOOKUP(COMPROMISOS_2025[[#This Row],[concatenado]],PAA[[#All],[RCP-RUBRO]],PAA[[#All],[INDICADOR]],"",0))</f>
        <v>#NAME?</v>
      </c>
      <c r="V593" s="144" t="str">
        <f t="shared" si="19"/>
        <v>84</v>
      </c>
      <c r="W593" s="136">
        <f>+COMPROMISOS_2025[[#This Row],[valor_total]]-COMPROMISOS_2025[[#This Row],[total_cancelado]]</f>
        <v>61147776</v>
      </c>
      <c r="X593" s="136">
        <f>COMPROMISOS_2025[[#This Row],[total_ordenes]]</f>
        <v>8319425</v>
      </c>
      <c r="Y593" t="str" cm="1">
        <f t="array" aca="1" ref="Y593" ca="1">IFERROR(_xlfn.XLOOKUP(COMPROMISOS_2025[[#This Row],[concatenado]],PAA[[#All],[RCP-RUBRO]],PAA[[#All],[Actividad3]],VLOOKUP(COMPROMISOS_2025[[#This Row],[Indicador Principal]],$AC$2:$AD$17,2,0),0),"")</f>
        <v/>
      </c>
    </row>
    <row r="594" spans="1:25" hidden="1" x14ac:dyDescent="0.25">
      <c r="A594">
        <v>345</v>
      </c>
      <c r="B594" t="s">
        <v>3285</v>
      </c>
      <c r="C594" t="s">
        <v>1936</v>
      </c>
      <c r="D594" t="s">
        <v>2224</v>
      </c>
      <c r="E594" t="s">
        <v>3286</v>
      </c>
      <c r="F594">
        <v>239</v>
      </c>
      <c r="G594">
        <v>62</v>
      </c>
      <c r="H594" t="s">
        <v>452</v>
      </c>
      <c r="I594" t="s">
        <v>2018</v>
      </c>
      <c r="J594">
        <v>26545593</v>
      </c>
      <c r="K594">
        <v>2025</v>
      </c>
      <c r="L594">
        <v>43113989</v>
      </c>
      <c r="M594" t="s">
        <v>3287</v>
      </c>
      <c r="N594" t="s">
        <v>1688</v>
      </c>
      <c r="O594" t="s">
        <v>1686</v>
      </c>
      <c r="P594">
        <v>0</v>
      </c>
      <c r="Q594">
        <v>3611645</v>
      </c>
      <c r="R594">
        <v>0</v>
      </c>
      <c r="S594">
        <v>22933948</v>
      </c>
      <c r="T594" t="str">
        <f t="shared" si="18"/>
        <v>3452.43.4302.84.0-205400.2.3.2.02.02.009.03.</v>
      </c>
      <c r="U594" t="e" cm="1">
        <f t="array" aca="1" ref="U594" ca="1">+IF(COMPROMISOS_2025[[#This Row],[P]]="20","41080111",_xlfn.XLOOKUP(COMPROMISOS_2025[[#This Row],[concatenado]],PAA[[#All],[RCP-RUBRO]],PAA[[#All],[INDICADOR]],"",0))</f>
        <v>#NAME?</v>
      </c>
      <c r="V594" s="144" t="str">
        <f t="shared" si="19"/>
        <v>84</v>
      </c>
      <c r="W594" s="136">
        <f>+COMPROMISOS_2025[[#This Row],[valor_total]]-COMPROMISOS_2025[[#This Row],[total_cancelado]]</f>
        <v>26545593</v>
      </c>
      <c r="X594" s="136">
        <f>COMPROMISOS_2025[[#This Row],[total_ordenes]]</f>
        <v>3611645</v>
      </c>
      <c r="Y594" t="str" cm="1">
        <f t="array" aca="1" ref="Y594" ca="1">IFERROR(_xlfn.XLOOKUP(COMPROMISOS_2025[[#This Row],[concatenado]],PAA[[#All],[RCP-RUBRO]],PAA[[#All],[Actividad3]],VLOOKUP(COMPROMISOS_2025[[#This Row],[Indicador Principal]],$AC$2:$AD$17,2,0),0),"")</f>
        <v/>
      </c>
    </row>
    <row r="595" spans="1:25" hidden="1" x14ac:dyDescent="0.25">
      <c r="A595">
        <v>346</v>
      </c>
      <c r="B595" t="s">
        <v>3288</v>
      </c>
      <c r="C595" t="s">
        <v>1936</v>
      </c>
      <c r="D595" t="s">
        <v>2223</v>
      </c>
      <c r="E595" t="s">
        <v>3289</v>
      </c>
      <c r="F595">
        <v>238</v>
      </c>
      <c r="G595">
        <v>62</v>
      </c>
      <c r="H595" t="s">
        <v>452</v>
      </c>
      <c r="I595" t="s">
        <v>2018</v>
      </c>
      <c r="J595">
        <v>61147776</v>
      </c>
      <c r="K595">
        <v>2025</v>
      </c>
      <c r="L595">
        <v>1152440541</v>
      </c>
      <c r="M595" t="s">
        <v>3290</v>
      </c>
      <c r="N595" t="s">
        <v>1688</v>
      </c>
      <c r="O595" t="s">
        <v>1686</v>
      </c>
      <c r="P595">
        <v>0</v>
      </c>
      <c r="Q595">
        <v>8319425</v>
      </c>
      <c r="R595">
        <v>0</v>
      </c>
      <c r="S595">
        <v>52828351</v>
      </c>
      <c r="T595" t="str">
        <f t="shared" si="18"/>
        <v>3462.43.4302.84.0-205400.2.3.2.02.02.009.03.</v>
      </c>
      <c r="U595" t="e" cm="1">
        <f t="array" aca="1" ref="U595" ca="1">+IF(COMPROMISOS_2025[[#This Row],[P]]="20","41080111",_xlfn.XLOOKUP(COMPROMISOS_2025[[#This Row],[concatenado]],PAA[[#All],[RCP-RUBRO]],PAA[[#All],[INDICADOR]],"",0))</f>
        <v>#NAME?</v>
      </c>
      <c r="V595" s="144" t="str">
        <f t="shared" si="19"/>
        <v>84</v>
      </c>
      <c r="W595" s="136">
        <f>+COMPROMISOS_2025[[#This Row],[valor_total]]-COMPROMISOS_2025[[#This Row],[total_cancelado]]</f>
        <v>61147776</v>
      </c>
      <c r="X595" s="136">
        <f>COMPROMISOS_2025[[#This Row],[total_ordenes]]</f>
        <v>8319425</v>
      </c>
      <c r="Y595" t="str" cm="1">
        <f t="array" aca="1" ref="Y595" ca="1">IFERROR(_xlfn.XLOOKUP(COMPROMISOS_2025[[#This Row],[concatenado]],PAA[[#All],[RCP-RUBRO]],PAA[[#All],[Actividad3]],VLOOKUP(COMPROMISOS_2025[[#This Row],[Indicador Principal]],$AC$2:$AD$17,2,0),0),"")</f>
        <v/>
      </c>
    </row>
    <row r="596" spans="1:25" hidden="1" x14ac:dyDescent="0.25">
      <c r="A596">
        <v>347</v>
      </c>
      <c r="B596" t="s">
        <v>3288</v>
      </c>
      <c r="C596" t="s">
        <v>1936</v>
      </c>
      <c r="D596" t="s">
        <v>2169</v>
      </c>
      <c r="E596" t="s">
        <v>3291</v>
      </c>
      <c r="F596">
        <v>186</v>
      </c>
      <c r="G596">
        <v>62</v>
      </c>
      <c r="H596" t="s">
        <v>452</v>
      </c>
      <c r="I596" t="s">
        <v>2018</v>
      </c>
      <c r="J596">
        <v>40747479</v>
      </c>
      <c r="K596">
        <v>2025</v>
      </c>
      <c r="L596">
        <v>98575572</v>
      </c>
      <c r="M596" t="s">
        <v>3292</v>
      </c>
      <c r="N596" t="s">
        <v>1688</v>
      </c>
      <c r="O596" t="s">
        <v>1686</v>
      </c>
      <c r="P596">
        <v>0</v>
      </c>
      <c r="Q596">
        <v>5543875</v>
      </c>
      <c r="R596">
        <v>0</v>
      </c>
      <c r="S596">
        <v>35203604</v>
      </c>
      <c r="T596" t="str">
        <f t="shared" si="18"/>
        <v>3472.43.4302.84.0-205400.2.3.2.02.02.009.03.</v>
      </c>
      <c r="U596" t="e" cm="1">
        <f t="array" aca="1" ref="U596" ca="1">+IF(COMPROMISOS_2025[[#This Row],[P]]="20","41080111",_xlfn.XLOOKUP(COMPROMISOS_2025[[#This Row],[concatenado]],PAA[[#All],[RCP-RUBRO]],PAA[[#All],[INDICADOR]],"",0))</f>
        <v>#NAME?</v>
      </c>
      <c r="V596" s="144" t="str">
        <f t="shared" si="19"/>
        <v>84</v>
      </c>
      <c r="W596" s="136">
        <f>+COMPROMISOS_2025[[#This Row],[valor_total]]-COMPROMISOS_2025[[#This Row],[total_cancelado]]</f>
        <v>40747479</v>
      </c>
      <c r="X596" s="136">
        <f>COMPROMISOS_2025[[#This Row],[total_ordenes]]</f>
        <v>5543875</v>
      </c>
      <c r="Y596" t="str" cm="1">
        <f t="array" aca="1" ref="Y596" ca="1">IFERROR(_xlfn.XLOOKUP(COMPROMISOS_2025[[#This Row],[concatenado]],PAA[[#All],[RCP-RUBRO]],PAA[[#All],[Actividad3]],VLOOKUP(COMPROMISOS_2025[[#This Row],[Indicador Principal]],$AC$2:$AD$17,2,0),0),"")</f>
        <v/>
      </c>
    </row>
    <row r="597" spans="1:25" hidden="1" x14ac:dyDescent="0.25">
      <c r="A597">
        <v>348</v>
      </c>
      <c r="B597" t="s">
        <v>3293</v>
      </c>
      <c r="C597" t="s">
        <v>1936</v>
      </c>
      <c r="D597" t="s">
        <v>2222</v>
      </c>
      <c r="E597" t="s">
        <v>3294</v>
      </c>
      <c r="F597">
        <v>237</v>
      </c>
      <c r="G597">
        <v>62</v>
      </c>
      <c r="H597" t="s">
        <v>452</v>
      </c>
      <c r="I597" t="s">
        <v>2018</v>
      </c>
      <c r="J597">
        <v>61147776</v>
      </c>
      <c r="K597">
        <v>2025</v>
      </c>
      <c r="L597">
        <v>7002050555</v>
      </c>
      <c r="M597" t="s">
        <v>3295</v>
      </c>
      <c r="N597" t="s">
        <v>1688</v>
      </c>
      <c r="O597" t="s">
        <v>1686</v>
      </c>
      <c r="P597">
        <v>0</v>
      </c>
      <c r="Q597">
        <v>8319425</v>
      </c>
      <c r="R597">
        <v>0</v>
      </c>
      <c r="S597">
        <v>52828351</v>
      </c>
      <c r="T597" t="str">
        <f t="shared" si="18"/>
        <v>3482.43.4302.84.0-205400.2.3.2.02.02.009.03.</v>
      </c>
      <c r="U597" t="e" cm="1">
        <f t="array" aca="1" ref="U597" ca="1">+IF(COMPROMISOS_2025[[#This Row],[P]]="20","41080111",_xlfn.XLOOKUP(COMPROMISOS_2025[[#This Row],[concatenado]],PAA[[#All],[RCP-RUBRO]],PAA[[#All],[INDICADOR]],"",0))</f>
        <v>#NAME?</v>
      </c>
      <c r="V597" s="144" t="str">
        <f t="shared" si="19"/>
        <v>84</v>
      </c>
      <c r="W597" s="136">
        <f>+COMPROMISOS_2025[[#This Row],[valor_total]]-COMPROMISOS_2025[[#This Row],[total_cancelado]]</f>
        <v>61147776</v>
      </c>
      <c r="X597" s="136">
        <f>COMPROMISOS_2025[[#This Row],[total_ordenes]]</f>
        <v>8319425</v>
      </c>
      <c r="Y597" t="str" cm="1">
        <f t="array" aca="1" ref="Y597" ca="1">IFERROR(_xlfn.XLOOKUP(COMPROMISOS_2025[[#This Row],[concatenado]],PAA[[#All],[RCP-RUBRO]],PAA[[#All],[Actividad3]],VLOOKUP(COMPROMISOS_2025[[#This Row],[Indicador Principal]],$AC$2:$AD$17,2,0),0),"")</f>
        <v/>
      </c>
    </row>
    <row r="598" spans="1:25" hidden="1" x14ac:dyDescent="0.25">
      <c r="A598">
        <v>349</v>
      </c>
      <c r="B598" t="s">
        <v>3296</v>
      </c>
      <c r="C598" t="s">
        <v>1936</v>
      </c>
      <c r="D598" t="s">
        <v>2170</v>
      </c>
      <c r="E598" t="s">
        <v>3297</v>
      </c>
      <c r="F598">
        <v>187</v>
      </c>
      <c r="G598">
        <v>62</v>
      </c>
      <c r="H598" t="s">
        <v>452</v>
      </c>
      <c r="I598" t="s">
        <v>2018</v>
      </c>
      <c r="J598">
        <v>40747479</v>
      </c>
      <c r="K598">
        <v>2025</v>
      </c>
      <c r="L598">
        <v>71734412</v>
      </c>
      <c r="M598" t="s">
        <v>3298</v>
      </c>
      <c r="N598" t="s">
        <v>1688</v>
      </c>
      <c r="O598" t="s">
        <v>1686</v>
      </c>
      <c r="P598">
        <v>0</v>
      </c>
      <c r="Q598">
        <v>5543875</v>
      </c>
      <c r="R598">
        <v>0</v>
      </c>
      <c r="S598">
        <v>35203604</v>
      </c>
      <c r="T598" t="str">
        <f t="shared" si="18"/>
        <v>3492.43.4302.84.0-205400.2.3.2.02.02.009.03.</v>
      </c>
      <c r="U598" t="e" cm="1">
        <f t="array" aca="1" ref="U598" ca="1">+IF(COMPROMISOS_2025[[#This Row],[P]]="20","41080111",_xlfn.XLOOKUP(COMPROMISOS_2025[[#This Row],[concatenado]],PAA[[#All],[RCP-RUBRO]],PAA[[#All],[INDICADOR]],"",0))</f>
        <v>#NAME?</v>
      </c>
      <c r="V598" s="144" t="str">
        <f t="shared" si="19"/>
        <v>84</v>
      </c>
      <c r="W598" s="136">
        <f>+COMPROMISOS_2025[[#This Row],[valor_total]]-COMPROMISOS_2025[[#This Row],[total_cancelado]]</f>
        <v>40747479</v>
      </c>
      <c r="X598" s="136">
        <f>COMPROMISOS_2025[[#This Row],[total_ordenes]]</f>
        <v>5543875</v>
      </c>
      <c r="Y598" t="str" cm="1">
        <f t="array" aca="1" ref="Y598" ca="1">IFERROR(_xlfn.XLOOKUP(COMPROMISOS_2025[[#This Row],[concatenado]],PAA[[#All],[RCP-RUBRO]],PAA[[#All],[Actividad3]],VLOOKUP(COMPROMISOS_2025[[#This Row],[Indicador Principal]],$AC$2:$AD$17,2,0),0),"")</f>
        <v/>
      </c>
    </row>
    <row r="599" spans="1:25" hidden="1" x14ac:dyDescent="0.25">
      <c r="A599">
        <v>350</v>
      </c>
      <c r="B599" t="s">
        <v>3299</v>
      </c>
      <c r="C599" t="s">
        <v>1936</v>
      </c>
      <c r="D599" t="s">
        <v>2221</v>
      </c>
      <c r="E599" t="s">
        <v>3300</v>
      </c>
      <c r="F599">
        <v>236</v>
      </c>
      <c r="G599">
        <v>62</v>
      </c>
      <c r="H599" t="s">
        <v>452</v>
      </c>
      <c r="I599" t="s">
        <v>2018</v>
      </c>
      <c r="J599">
        <v>50609170</v>
      </c>
      <c r="K599">
        <v>2025</v>
      </c>
      <c r="L599">
        <v>1017163203</v>
      </c>
      <c r="M599" t="s">
        <v>3301</v>
      </c>
      <c r="N599" t="s">
        <v>1688</v>
      </c>
      <c r="O599" t="s">
        <v>1686</v>
      </c>
      <c r="P599">
        <v>0</v>
      </c>
      <c r="Q599">
        <v>6885601</v>
      </c>
      <c r="R599">
        <v>0</v>
      </c>
      <c r="S599">
        <v>43723569</v>
      </c>
      <c r="T599" t="str">
        <f t="shared" si="18"/>
        <v>3502.43.4302.84.0-205400.2.3.2.02.02.009.03.</v>
      </c>
      <c r="U599" t="e" cm="1">
        <f t="array" aca="1" ref="U599" ca="1">+IF(COMPROMISOS_2025[[#This Row],[P]]="20","41080111",_xlfn.XLOOKUP(COMPROMISOS_2025[[#This Row],[concatenado]],PAA[[#All],[RCP-RUBRO]],PAA[[#All],[INDICADOR]],"",0))</f>
        <v>#NAME?</v>
      </c>
      <c r="V599" s="144" t="str">
        <f t="shared" si="19"/>
        <v>84</v>
      </c>
      <c r="W599" s="136">
        <f>+COMPROMISOS_2025[[#This Row],[valor_total]]-COMPROMISOS_2025[[#This Row],[total_cancelado]]</f>
        <v>50609170</v>
      </c>
      <c r="X599" s="136">
        <f>COMPROMISOS_2025[[#This Row],[total_ordenes]]</f>
        <v>6885601</v>
      </c>
      <c r="Y599" t="str" cm="1">
        <f t="array" aca="1" ref="Y599" ca="1">IFERROR(_xlfn.XLOOKUP(COMPROMISOS_2025[[#This Row],[concatenado]],PAA[[#All],[RCP-RUBRO]],PAA[[#All],[Actividad3]],VLOOKUP(COMPROMISOS_2025[[#This Row],[Indicador Principal]],$AC$2:$AD$17,2,0),0),"")</f>
        <v/>
      </c>
    </row>
    <row r="600" spans="1:25" hidden="1" x14ac:dyDescent="0.25">
      <c r="A600">
        <v>351</v>
      </c>
      <c r="B600" t="s">
        <v>3299</v>
      </c>
      <c r="C600" t="s">
        <v>1936</v>
      </c>
      <c r="D600" t="s">
        <v>2157</v>
      </c>
      <c r="E600" t="s">
        <v>3302</v>
      </c>
      <c r="F600">
        <v>175</v>
      </c>
      <c r="G600">
        <v>62</v>
      </c>
      <c r="H600" t="s">
        <v>452</v>
      </c>
      <c r="I600" t="s">
        <v>2018</v>
      </c>
      <c r="J600">
        <v>40747479</v>
      </c>
      <c r="K600">
        <v>2025</v>
      </c>
      <c r="L600">
        <v>10376007022</v>
      </c>
      <c r="M600" t="s">
        <v>3303</v>
      </c>
      <c r="N600" t="s">
        <v>1688</v>
      </c>
      <c r="O600" t="s">
        <v>1686</v>
      </c>
      <c r="P600">
        <v>0</v>
      </c>
      <c r="Q600">
        <v>5543875</v>
      </c>
      <c r="R600">
        <v>0</v>
      </c>
      <c r="S600">
        <v>35203604</v>
      </c>
      <c r="T600" t="str">
        <f t="shared" si="18"/>
        <v>3512.43.4302.84.0-205400.2.3.2.02.02.009.03.</v>
      </c>
      <c r="U600" t="e" cm="1">
        <f t="array" aca="1" ref="U600" ca="1">+IF(COMPROMISOS_2025[[#This Row],[P]]="20","41080111",_xlfn.XLOOKUP(COMPROMISOS_2025[[#This Row],[concatenado]],PAA[[#All],[RCP-RUBRO]],PAA[[#All],[INDICADOR]],"",0))</f>
        <v>#NAME?</v>
      </c>
      <c r="V600" s="144" t="str">
        <f t="shared" si="19"/>
        <v>84</v>
      </c>
      <c r="W600" s="136">
        <f>+COMPROMISOS_2025[[#This Row],[valor_total]]-COMPROMISOS_2025[[#This Row],[total_cancelado]]</f>
        <v>40747479</v>
      </c>
      <c r="X600" s="136">
        <f>COMPROMISOS_2025[[#This Row],[total_ordenes]]</f>
        <v>5543875</v>
      </c>
      <c r="Y600" t="str" cm="1">
        <f t="array" aca="1" ref="Y600" ca="1">IFERROR(_xlfn.XLOOKUP(COMPROMISOS_2025[[#This Row],[concatenado]],PAA[[#All],[RCP-RUBRO]],PAA[[#All],[Actividad3]],VLOOKUP(COMPROMISOS_2025[[#This Row],[Indicador Principal]],$AC$2:$AD$17,2,0),0),"")</f>
        <v/>
      </c>
    </row>
    <row r="601" spans="1:25" hidden="1" x14ac:dyDescent="0.25">
      <c r="A601">
        <v>352</v>
      </c>
      <c r="B601" t="s">
        <v>3304</v>
      </c>
      <c r="C601" t="s">
        <v>1936</v>
      </c>
      <c r="D601" t="s">
        <v>2171</v>
      </c>
      <c r="E601" t="s">
        <v>3305</v>
      </c>
      <c r="F601">
        <v>188</v>
      </c>
      <c r="G601">
        <v>62</v>
      </c>
      <c r="H601" t="s">
        <v>452</v>
      </c>
      <c r="I601" t="s">
        <v>2018</v>
      </c>
      <c r="J601">
        <v>40747479</v>
      </c>
      <c r="K601">
        <v>2025</v>
      </c>
      <c r="L601">
        <v>43209715</v>
      </c>
      <c r="M601" t="s">
        <v>3306</v>
      </c>
      <c r="N601" t="s">
        <v>1688</v>
      </c>
      <c r="O601" t="s">
        <v>1686</v>
      </c>
      <c r="P601">
        <v>0</v>
      </c>
      <c r="Q601">
        <v>5543875</v>
      </c>
      <c r="R601">
        <v>0</v>
      </c>
      <c r="S601">
        <v>35203604</v>
      </c>
      <c r="T601" t="str">
        <f t="shared" si="18"/>
        <v>3522.43.4302.84.0-205400.2.3.2.02.02.009.03.</v>
      </c>
      <c r="U601" t="e" cm="1">
        <f t="array" aca="1" ref="U601" ca="1">+IF(COMPROMISOS_2025[[#This Row],[P]]="20","41080111",_xlfn.XLOOKUP(COMPROMISOS_2025[[#This Row],[concatenado]],PAA[[#All],[RCP-RUBRO]],PAA[[#All],[INDICADOR]],"",0))</f>
        <v>#NAME?</v>
      </c>
      <c r="V601" s="144" t="str">
        <f t="shared" si="19"/>
        <v>84</v>
      </c>
      <c r="W601" s="136">
        <f>+COMPROMISOS_2025[[#This Row],[valor_total]]-COMPROMISOS_2025[[#This Row],[total_cancelado]]</f>
        <v>40747479</v>
      </c>
      <c r="X601" s="136">
        <f>COMPROMISOS_2025[[#This Row],[total_ordenes]]</f>
        <v>5543875</v>
      </c>
      <c r="Y601" t="str" cm="1">
        <f t="array" aca="1" ref="Y601" ca="1">IFERROR(_xlfn.XLOOKUP(COMPROMISOS_2025[[#This Row],[concatenado]],PAA[[#All],[RCP-RUBRO]],PAA[[#All],[Actividad3]],VLOOKUP(COMPROMISOS_2025[[#This Row],[Indicador Principal]],$AC$2:$AD$17,2,0),0),"")</f>
        <v/>
      </c>
    </row>
    <row r="602" spans="1:25" hidden="1" x14ac:dyDescent="0.25">
      <c r="A602">
        <v>353</v>
      </c>
      <c r="B602" t="s">
        <v>3307</v>
      </c>
      <c r="C602" t="s">
        <v>1936</v>
      </c>
      <c r="D602" t="s">
        <v>2158</v>
      </c>
      <c r="E602" t="s">
        <v>3308</v>
      </c>
      <c r="F602">
        <v>176</v>
      </c>
      <c r="G602">
        <v>62</v>
      </c>
      <c r="H602" t="s">
        <v>452</v>
      </c>
      <c r="I602" t="s">
        <v>2018</v>
      </c>
      <c r="J602">
        <v>40747479</v>
      </c>
      <c r="K602">
        <v>2025</v>
      </c>
      <c r="L602">
        <v>438346891</v>
      </c>
      <c r="M602" t="s">
        <v>3309</v>
      </c>
      <c r="N602" t="s">
        <v>1688</v>
      </c>
      <c r="O602" t="s">
        <v>1686</v>
      </c>
      <c r="P602">
        <v>0</v>
      </c>
      <c r="Q602">
        <v>5543875</v>
      </c>
      <c r="R602">
        <v>0</v>
      </c>
      <c r="S602">
        <v>35203604</v>
      </c>
      <c r="T602" t="str">
        <f t="shared" si="18"/>
        <v>3532.43.4302.84.0-205400.2.3.2.02.02.009.03.</v>
      </c>
      <c r="U602" t="e" cm="1">
        <f t="array" aca="1" ref="U602" ca="1">+IF(COMPROMISOS_2025[[#This Row],[P]]="20","41080111",_xlfn.XLOOKUP(COMPROMISOS_2025[[#This Row],[concatenado]],PAA[[#All],[RCP-RUBRO]],PAA[[#All],[INDICADOR]],"",0))</f>
        <v>#NAME?</v>
      </c>
      <c r="V602" s="144" t="str">
        <f t="shared" si="19"/>
        <v>84</v>
      </c>
      <c r="W602" s="136">
        <f>+COMPROMISOS_2025[[#This Row],[valor_total]]-COMPROMISOS_2025[[#This Row],[total_cancelado]]</f>
        <v>40747479</v>
      </c>
      <c r="X602" s="136">
        <f>COMPROMISOS_2025[[#This Row],[total_ordenes]]</f>
        <v>5543875</v>
      </c>
      <c r="Y602" t="str" cm="1">
        <f t="array" aca="1" ref="Y602" ca="1">IFERROR(_xlfn.XLOOKUP(COMPROMISOS_2025[[#This Row],[concatenado]],PAA[[#All],[RCP-RUBRO]],PAA[[#All],[Actividad3]],VLOOKUP(COMPROMISOS_2025[[#This Row],[Indicador Principal]],$AC$2:$AD$17,2,0),0),"")</f>
        <v/>
      </c>
    </row>
    <row r="603" spans="1:25" hidden="1" x14ac:dyDescent="0.25">
      <c r="A603">
        <v>354</v>
      </c>
      <c r="B603" t="s">
        <v>3310</v>
      </c>
      <c r="C603" t="s">
        <v>1936</v>
      </c>
      <c r="D603" t="s">
        <v>2219</v>
      </c>
      <c r="E603" t="s">
        <v>3311</v>
      </c>
      <c r="F603">
        <v>234</v>
      </c>
      <c r="G603">
        <v>62</v>
      </c>
      <c r="H603" t="s">
        <v>452</v>
      </c>
      <c r="I603" t="s">
        <v>2018</v>
      </c>
      <c r="J603">
        <v>26545593</v>
      </c>
      <c r="K603">
        <v>2025</v>
      </c>
      <c r="L603">
        <v>10883183303</v>
      </c>
      <c r="M603" t="s">
        <v>3312</v>
      </c>
      <c r="N603" t="s">
        <v>1688</v>
      </c>
      <c r="O603" t="s">
        <v>1686</v>
      </c>
      <c r="P603">
        <v>0</v>
      </c>
      <c r="Q603">
        <v>3611645</v>
      </c>
      <c r="R603">
        <v>0</v>
      </c>
      <c r="S603">
        <v>22933948</v>
      </c>
      <c r="T603" t="str">
        <f t="shared" si="18"/>
        <v>3542.43.4302.84.0-205400.2.3.2.02.02.009.03.</v>
      </c>
      <c r="U603" t="e" cm="1">
        <f t="array" aca="1" ref="U603" ca="1">+IF(COMPROMISOS_2025[[#This Row],[P]]="20","41080111",_xlfn.XLOOKUP(COMPROMISOS_2025[[#This Row],[concatenado]],PAA[[#All],[RCP-RUBRO]],PAA[[#All],[INDICADOR]],"",0))</f>
        <v>#NAME?</v>
      </c>
      <c r="V603" s="144" t="str">
        <f t="shared" si="19"/>
        <v>84</v>
      </c>
      <c r="W603" s="136">
        <f>+COMPROMISOS_2025[[#This Row],[valor_total]]-COMPROMISOS_2025[[#This Row],[total_cancelado]]</f>
        <v>26545593</v>
      </c>
      <c r="X603" s="136">
        <f>COMPROMISOS_2025[[#This Row],[total_ordenes]]</f>
        <v>3611645</v>
      </c>
      <c r="Y603" t="str" cm="1">
        <f t="array" aca="1" ref="Y603" ca="1">IFERROR(_xlfn.XLOOKUP(COMPROMISOS_2025[[#This Row],[concatenado]],PAA[[#All],[RCP-RUBRO]],PAA[[#All],[Actividad3]],VLOOKUP(COMPROMISOS_2025[[#This Row],[Indicador Principal]],$AC$2:$AD$17,2,0),0),"")</f>
        <v/>
      </c>
    </row>
    <row r="604" spans="1:25" hidden="1" x14ac:dyDescent="0.25">
      <c r="A604">
        <v>355</v>
      </c>
      <c r="B604" t="s">
        <v>3313</v>
      </c>
      <c r="C604" t="s">
        <v>1936</v>
      </c>
      <c r="D604" t="s">
        <v>2159</v>
      </c>
      <c r="E604" t="s">
        <v>3314</v>
      </c>
      <c r="F604">
        <v>177</v>
      </c>
      <c r="G604">
        <v>62</v>
      </c>
      <c r="H604" t="s">
        <v>452</v>
      </c>
      <c r="I604" t="s">
        <v>2018</v>
      </c>
      <c r="J604">
        <v>26545593</v>
      </c>
      <c r="K604">
        <v>2025</v>
      </c>
      <c r="L604">
        <v>11104752456</v>
      </c>
      <c r="M604" t="s">
        <v>3315</v>
      </c>
      <c r="N604" t="s">
        <v>1688</v>
      </c>
      <c r="O604" t="s">
        <v>1686</v>
      </c>
      <c r="P604">
        <v>0</v>
      </c>
      <c r="Q604">
        <v>3611645</v>
      </c>
      <c r="R604">
        <v>0</v>
      </c>
      <c r="S604">
        <v>22933948</v>
      </c>
      <c r="T604" t="str">
        <f t="shared" si="18"/>
        <v>3552.43.4302.84.0-205400.2.3.2.02.02.009.03.</v>
      </c>
      <c r="U604" t="e" cm="1">
        <f t="array" aca="1" ref="U604" ca="1">+IF(COMPROMISOS_2025[[#This Row],[P]]="20","41080111",_xlfn.XLOOKUP(COMPROMISOS_2025[[#This Row],[concatenado]],PAA[[#All],[RCP-RUBRO]],PAA[[#All],[INDICADOR]],"",0))</f>
        <v>#NAME?</v>
      </c>
      <c r="V604" s="144" t="str">
        <f t="shared" si="19"/>
        <v>84</v>
      </c>
      <c r="W604" s="136">
        <f>+COMPROMISOS_2025[[#This Row],[valor_total]]-COMPROMISOS_2025[[#This Row],[total_cancelado]]</f>
        <v>26545593</v>
      </c>
      <c r="X604" s="136">
        <f>COMPROMISOS_2025[[#This Row],[total_ordenes]]</f>
        <v>3611645</v>
      </c>
      <c r="Y604" t="str" cm="1">
        <f t="array" aca="1" ref="Y604" ca="1">IFERROR(_xlfn.XLOOKUP(COMPROMISOS_2025[[#This Row],[concatenado]],PAA[[#All],[RCP-RUBRO]],PAA[[#All],[Actividad3]],VLOOKUP(COMPROMISOS_2025[[#This Row],[Indicador Principal]],$AC$2:$AD$17,2,0),0),"")</f>
        <v/>
      </c>
    </row>
    <row r="605" spans="1:25" hidden="1" x14ac:dyDescent="0.25">
      <c r="A605">
        <v>356</v>
      </c>
      <c r="B605" t="s">
        <v>3316</v>
      </c>
      <c r="C605" t="s">
        <v>1936</v>
      </c>
      <c r="D605" t="s">
        <v>2173</v>
      </c>
      <c r="E605" t="s">
        <v>3317</v>
      </c>
      <c r="F605">
        <v>190</v>
      </c>
      <c r="G605">
        <v>62</v>
      </c>
      <c r="H605" t="s">
        <v>452</v>
      </c>
      <c r="I605" t="s">
        <v>2018</v>
      </c>
      <c r="J605">
        <v>40747479</v>
      </c>
      <c r="K605">
        <v>2025</v>
      </c>
      <c r="L605">
        <v>71744403</v>
      </c>
      <c r="M605" t="s">
        <v>3318</v>
      </c>
      <c r="N605" t="s">
        <v>1688</v>
      </c>
      <c r="O605" t="s">
        <v>1686</v>
      </c>
      <c r="P605">
        <v>0</v>
      </c>
      <c r="Q605">
        <v>5543875</v>
      </c>
      <c r="R605">
        <v>0</v>
      </c>
      <c r="S605">
        <v>35203604</v>
      </c>
      <c r="T605" t="str">
        <f t="shared" si="18"/>
        <v>3562.43.4302.84.0-205400.2.3.2.02.02.009.03.</v>
      </c>
      <c r="U605" t="e" cm="1">
        <f t="array" aca="1" ref="U605" ca="1">+IF(COMPROMISOS_2025[[#This Row],[P]]="20","41080111",_xlfn.XLOOKUP(COMPROMISOS_2025[[#This Row],[concatenado]],PAA[[#All],[RCP-RUBRO]],PAA[[#All],[INDICADOR]],"",0))</f>
        <v>#NAME?</v>
      </c>
      <c r="V605" s="144" t="str">
        <f t="shared" si="19"/>
        <v>84</v>
      </c>
      <c r="W605" s="136">
        <f>+COMPROMISOS_2025[[#This Row],[valor_total]]-COMPROMISOS_2025[[#This Row],[total_cancelado]]</f>
        <v>40747479</v>
      </c>
      <c r="X605" s="136">
        <f>COMPROMISOS_2025[[#This Row],[total_ordenes]]</f>
        <v>5543875</v>
      </c>
      <c r="Y605" t="str" cm="1">
        <f t="array" aca="1" ref="Y605" ca="1">IFERROR(_xlfn.XLOOKUP(COMPROMISOS_2025[[#This Row],[concatenado]],PAA[[#All],[RCP-RUBRO]],PAA[[#All],[Actividad3]],VLOOKUP(COMPROMISOS_2025[[#This Row],[Indicador Principal]],$AC$2:$AD$17,2,0),0),"")</f>
        <v/>
      </c>
    </row>
    <row r="606" spans="1:25" hidden="1" x14ac:dyDescent="0.25">
      <c r="A606">
        <v>357</v>
      </c>
      <c r="B606" t="s">
        <v>3319</v>
      </c>
      <c r="C606" t="s">
        <v>1936</v>
      </c>
      <c r="D606" t="s">
        <v>2216</v>
      </c>
      <c r="E606" t="s">
        <v>3320</v>
      </c>
      <c r="F606">
        <v>232</v>
      </c>
      <c r="G606">
        <v>62</v>
      </c>
      <c r="H606" t="s">
        <v>452</v>
      </c>
      <c r="I606" t="s">
        <v>2018</v>
      </c>
      <c r="J606">
        <v>101543523</v>
      </c>
      <c r="K606">
        <v>2025</v>
      </c>
      <c r="L606">
        <v>7004573038</v>
      </c>
      <c r="M606" t="s">
        <v>3321</v>
      </c>
      <c r="N606" t="s">
        <v>1688</v>
      </c>
      <c r="O606" t="s">
        <v>1686</v>
      </c>
      <c r="P606">
        <v>0</v>
      </c>
      <c r="Q606">
        <v>13815445</v>
      </c>
      <c r="R606">
        <v>0</v>
      </c>
      <c r="S606">
        <v>87728078</v>
      </c>
      <c r="T606" t="str">
        <f t="shared" si="18"/>
        <v>3572.43.4302.84.0-205400.2.3.2.02.02.009.03.</v>
      </c>
      <c r="U606" t="e" cm="1">
        <f t="array" aca="1" ref="U606" ca="1">+IF(COMPROMISOS_2025[[#This Row],[P]]="20","41080111",_xlfn.XLOOKUP(COMPROMISOS_2025[[#This Row],[concatenado]],PAA[[#All],[RCP-RUBRO]],PAA[[#All],[INDICADOR]],"",0))</f>
        <v>#NAME?</v>
      </c>
      <c r="V606" s="144" t="str">
        <f t="shared" si="19"/>
        <v>84</v>
      </c>
      <c r="W606" s="136">
        <f>+COMPROMISOS_2025[[#This Row],[valor_total]]-COMPROMISOS_2025[[#This Row],[total_cancelado]]</f>
        <v>101543523</v>
      </c>
      <c r="X606" s="136">
        <f>COMPROMISOS_2025[[#This Row],[total_ordenes]]</f>
        <v>13815445</v>
      </c>
      <c r="Y606" t="str" cm="1">
        <f t="array" aca="1" ref="Y606" ca="1">IFERROR(_xlfn.XLOOKUP(COMPROMISOS_2025[[#This Row],[concatenado]],PAA[[#All],[RCP-RUBRO]],PAA[[#All],[Actividad3]],VLOOKUP(COMPROMISOS_2025[[#This Row],[Indicador Principal]],$AC$2:$AD$17,2,0),0),"")</f>
        <v/>
      </c>
    </row>
    <row r="607" spans="1:25" hidden="1" x14ac:dyDescent="0.25">
      <c r="A607">
        <v>358</v>
      </c>
      <c r="B607" t="s">
        <v>3319</v>
      </c>
      <c r="C607" t="s">
        <v>1936</v>
      </c>
      <c r="D607" t="s">
        <v>2161</v>
      </c>
      <c r="E607" t="s">
        <v>3322</v>
      </c>
      <c r="F607">
        <v>178</v>
      </c>
      <c r="G607">
        <v>62</v>
      </c>
      <c r="H607" t="s">
        <v>452</v>
      </c>
      <c r="I607" t="s">
        <v>2018</v>
      </c>
      <c r="J607">
        <v>40747479</v>
      </c>
      <c r="K607">
        <v>2025</v>
      </c>
      <c r="L607">
        <v>71383229</v>
      </c>
      <c r="M607" t="s">
        <v>3323</v>
      </c>
      <c r="N607" t="s">
        <v>1688</v>
      </c>
      <c r="O607" t="s">
        <v>1686</v>
      </c>
      <c r="P607">
        <v>0</v>
      </c>
      <c r="Q607">
        <v>5543875</v>
      </c>
      <c r="R607">
        <v>0</v>
      </c>
      <c r="S607">
        <v>35203604</v>
      </c>
      <c r="T607" t="str">
        <f t="shared" si="18"/>
        <v>3582.43.4302.84.0-205400.2.3.2.02.02.009.03.</v>
      </c>
      <c r="U607" t="e" cm="1">
        <f t="array" aca="1" ref="U607" ca="1">+IF(COMPROMISOS_2025[[#This Row],[P]]="20","41080111",_xlfn.XLOOKUP(COMPROMISOS_2025[[#This Row],[concatenado]],PAA[[#All],[RCP-RUBRO]],PAA[[#All],[INDICADOR]],"",0))</f>
        <v>#NAME?</v>
      </c>
      <c r="V607" s="144" t="str">
        <f t="shared" si="19"/>
        <v>84</v>
      </c>
      <c r="W607" s="136">
        <f>+COMPROMISOS_2025[[#This Row],[valor_total]]-COMPROMISOS_2025[[#This Row],[total_cancelado]]</f>
        <v>40747479</v>
      </c>
      <c r="X607" s="136">
        <f>COMPROMISOS_2025[[#This Row],[total_ordenes]]</f>
        <v>5543875</v>
      </c>
      <c r="Y607" t="str" cm="1">
        <f t="array" aca="1" ref="Y607" ca="1">IFERROR(_xlfn.XLOOKUP(COMPROMISOS_2025[[#This Row],[concatenado]],PAA[[#All],[RCP-RUBRO]],PAA[[#All],[Actividad3]],VLOOKUP(COMPROMISOS_2025[[#This Row],[Indicador Principal]],$AC$2:$AD$17,2,0),0),"")</f>
        <v/>
      </c>
    </row>
    <row r="608" spans="1:25" hidden="1" x14ac:dyDescent="0.25">
      <c r="A608">
        <v>359</v>
      </c>
      <c r="B608" t="s">
        <v>3324</v>
      </c>
      <c r="C608" t="s">
        <v>1936</v>
      </c>
      <c r="D608" t="s">
        <v>2215</v>
      </c>
      <c r="E608" t="s">
        <v>3325</v>
      </c>
      <c r="F608">
        <v>231</v>
      </c>
      <c r="G608">
        <v>62</v>
      </c>
      <c r="H608" t="s">
        <v>452</v>
      </c>
      <c r="I608" t="s">
        <v>2018</v>
      </c>
      <c r="J608">
        <v>50609170</v>
      </c>
      <c r="K608">
        <v>2025</v>
      </c>
      <c r="L608">
        <v>154887361</v>
      </c>
      <c r="M608" t="s">
        <v>3326</v>
      </c>
      <c r="N608" t="s">
        <v>1688</v>
      </c>
      <c r="O608" t="s">
        <v>1686</v>
      </c>
      <c r="P608">
        <v>0</v>
      </c>
      <c r="Q608">
        <v>6885601</v>
      </c>
      <c r="R608">
        <v>0</v>
      </c>
      <c r="S608">
        <v>43723569</v>
      </c>
      <c r="T608" t="str">
        <f t="shared" si="18"/>
        <v>3592.43.4302.84.0-205400.2.3.2.02.02.009.03.</v>
      </c>
      <c r="U608" t="e" cm="1">
        <f t="array" aca="1" ref="U608" ca="1">+IF(COMPROMISOS_2025[[#This Row],[P]]="20","41080111",_xlfn.XLOOKUP(COMPROMISOS_2025[[#This Row],[concatenado]],PAA[[#All],[RCP-RUBRO]],PAA[[#All],[INDICADOR]],"",0))</f>
        <v>#NAME?</v>
      </c>
      <c r="V608" s="144" t="str">
        <f t="shared" si="19"/>
        <v>84</v>
      </c>
      <c r="W608" s="136">
        <f>+COMPROMISOS_2025[[#This Row],[valor_total]]-COMPROMISOS_2025[[#This Row],[total_cancelado]]</f>
        <v>50609170</v>
      </c>
      <c r="X608" s="136">
        <f>COMPROMISOS_2025[[#This Row],[total_ordenes]]</f>
        <v>6885601</v>
      </c>
      <c r="Y608" t="str" cm="1">
        <f t="array" aca="1" ref="Y608" ca="1">IFERROR(_xlfn.XLOOKUP(COMPROMISOS_2025[[#This Row],[concatenado]],PAA[[#All],[RCP-RUBRO]],PAA[[#All],[Actividad3]],VLOOKUP(COMPROMISOS_2025[[#This Row],[Indicador Principal]],$AC$2:$AD$17,2,0),0),"")</f>
        <v/>
      </c>
    </row>
    <row r="609" spans="1:25" hidden="1" x14ac:dyDescent="0.25">
      <c r="A609">
        <v>360</v>
      </c>
      <c r="B609" t="s">
        <v>3324</v>
      </c>
      <c r="C609" t="s">
        <v>1936</v>
      </c>
      <c r="D609" t="s">
        <v>2165</v>
      </c>
      <c r="E609" t="s">
        <v>3327</v>
      </c>
      <c r="F609">
        <v>182</v>
      </c>
      <c r="G609">
        <v>62</v>
      </c>
      <c r="H609" t="s">
        <v>452</v>
      </c>
      <c r="I609" t="s">
        <v>2018</v>
      </c>
      <c r="J609">
        <v>50609170</v>
      </c>
      <c r="K609">
        <v>2025</v>
      </c>
      <c r="L609">
        <v>1037624083</v>
      </c>
      <c r="M609" t="s">
        <v>3328</v>
      </c>
      <c r="N609" t="s">
        <v>1688</v>
      </c>
      <c r="O609" t="s">
        <v>1686</v>
      </c>
      <c r="P609">
        <v>0</v>
      </c>
      <c r="Q609">
        <v>6885601</v>
      </c>
      <c r="R609">
        <v>0</v>
      </c>
      <c r="S609">
        <v>43723569</v>
      </c>
      <c r="T609" t="str">
        <f t="shared" si="18"/>
        <v>3602.43.4302.84.0-205400.2.3.2.02.02.009.03.</v>
      </c>
      <c r="U609" t="e" cm="1">
        <f t="array" aca="1" ref="U609" ca="1">+IF(COMPROMISOS_2025[[#This Row],[P]]="20","41080111",_xlfn.XLOOKUP(COMPROMISOS_2025[[#This Row],[concatenado]],PAA[[#All],[RCP-RUBRO]],PAA[[#All],[INDICADOR]],"",0))</f>
        <v>#NAME?</v>
      </c>
      <c r="V609" s="144" t="str">
        <f t="shared" si="19"/>
        <v>84</v>
      </c>
      <c r="W609" s="136">
        <f>+COMPROMISOS_2025[[#This Row],[valor_total]]-COMPROMISOS_2025[[#This Row],[total_cancelado]]</f>
        <v>50609170</v>
      </c>
      <c r="X609" s="136">
        <f>COMPROMISOS_2025[[#This Row],[total_ordenes]]</f>
        <v>6885601</v>
      </c>
      <c r="Y609" t="str" cm="1">
        <f t="array" aca="1" ref="Y609" ca="1">IFERROR(_xlfn.XLOOKUP(COMPROMISOS_2025[[#This Row],[concatenado]],PAA[[#All],[RCP-RUBRO]],PAA[[#All],[Actividad3]],VLOOKUP(COMPROMISOS_2025[[#This Row],[Indicador Principal]],$AC$2:$AD$17,2,0),0),"")</f>
        <v/>
      </c>
    </row>
    <row r="610" spans="1:25" hidden="1" x14ac:dyDescent="0.25">
      <c r="A610">
        <v>361</v>
      </c>
      <c r="B610" t="s">
        <v>3324</v>
      </c>
      <c r="C610" t="s">
        <v>1936</v>
      </c>
      <c r="D610" t="s">
        <v>2174</v>
      </c>
      <c r="E610" t="s">
        <v>3329</v>
      </c>
      <c r="F610">
        <v>191</v>
      </c>
      <c r="G610">
        <v>62</v>
      </c>
      <c r="H610" t="s">
        <v>452</v>
      </c>
      <c r="I610" t="s">
        <v>2018</v>
      </c>
      <c r="J610">
        <v>40747479</v>
      </c>
      <c r="K610">
        <v>2025</v>
      </c>
      <c r="L610">
        <v>1035222143</v>
      </c>
      <c r="M610" t="s">
        <v>3330</v>
      </c>
      <c r="N610" t="s">
        <v>1688</v>
      </c>
      <c r="O610" t="s">
        <v>1686</v>
      </c>
      <c r="P610">
        <v>0</v>
      </c>
      <c r="Q610">
        <v>5543875</v>
      </c>
      <c r="R610">
        <v>0</v>
      </c>
      <c r="S610">
        <v>35203604</v>
      </c>
      <c r="T610" t="str">
        <f t="shared" si="18"/>
        <v>3612.43.4302.84.0-205400.2.3.2.02.02.009.03.</v>
      </c>
      <c r="U610" t="e" cm="1">
        <f t="array" aca="1" ref="U610" ca="1">+IF(COMPROMISOS_2025[[#This Row],[P]]="20","41080111",_xlfn.XLOOKUP(COMPROMISOS_2025[[#This Row],[concatenado]],PAA[[#All],[RCP-RUBRO]],PAA[[#All],[INDICADOR]],"",0))</f>
        <v>#NAME?</v>
      </c>
      <c r="V610" s="144" t="str">
        <f t="shared" si="19"/>
        <v>84</v>
      </c>
      <c r="W610" s="136">
        <f>+COMPROMISOS_2025[[#This Row],[valor_total]]-COMPROMISOS_2025[[#This Row],[total_cancelado]]</f>
        <v>40747479</v>
      </c>
      <c r="X610" s="136">
        <f>COMPROMISOS_2025[[#This Row],[total_ordenes]]</f>
        <v>5543875</v>
      </c>
      <c r="Y610" t="str" cm="1">
        <f t="array" aca="1" ref="Y610" ca="1">IFERROR(_xlfn.XLOOKUP(COMPROMISOS_2025[[#This Row],[concatenado]],PAA[[#All],[RCP-RUBRO]],PAA[[#All],[Actividad3]],VLOOKUP(COMPROMISOS_2025[[#This Row],[Indicador Principal]],$AC$2:$AD$17,2,0),0),"")</f>
        <v/>
      </c>
    </row>
    <row r="611" spans="1:25" hidden="1" x14ac:dyDescent="0.25">
      <c r="A611">
        <v>362</v>
      </c>
      <c r="B611" t="s">
        <v>3331</v>
      </c>
      <c r="C611" t="s">
        <v>1936</v>
      </c>
      <c r="D611" t="s">
        <v>2214</v>
      </c>
      <c r="E611" t="s">
        <v>3332</v>
      </c>
      <c r="F611">
        <v>230</v>
      </c>
      <c r="G611">
        <v>62</v>
      </c>
      <c r="H611" t="s">
        <v>452</v>
      </c>
      <c r="I611" t="s">
        <v>2018</v>
      </c>
      <c r="J611">
        <v>50609170</v>
      </c>
      <c r="K611">
        <v>2025</v>
      </c>
      <c r="L611">
        <v>10450219055</v>
      </c>
      <c r="M611" t="s">
        <v>3333</v>
      </c>
      <c r="N611" t="s">
        <v>1688</v>
      </c>
      <c r="O611" t="s">
        <v>1686</v>
      </c>
      <c r="P611">
        <v>0</v>
      </c>
      <c r="Q611">
        <v>6885601</v>
      </c>
      <c r="R611">
        <v>0</v>
      </c>
      <c r="S611">
        <v>43723569</v>
      </c>
      <c r="T611" t="str">
        <f t="shared" si="18"/>
        <v>3622.43.4302.84.0-205400.2.3.2.02.02.009.03.</v>
      </c>
      <c r="U611" t="e" cm="1">
        <f t="array" aca="1" ref="U611" ca="1">+IF(COMPROMISOS_2025[[#This Row],[P]]="20","41080111",_xlfn.XLOOKUP(COMPROMISOS_2025[[#This Row],[concatenado]],PAA[[#All],[RCP-RUBRO]],PAA[[#All],[INDICADOR]],"",0))</f>
        <v>#NAME?</v>
      </c>
      <c r="V611" s="144" t="str">
        <f t="shared" si="19"/>
        <v>84</v>
      </c>
      <c r="W611" s="136">
        <f>+COMPROMISOS_2025[[#This Row],[valor_total]]-COMPROMISOS_2025[[#This Row],[total_cancelado]]</f>
        <v>50609170</v>
      </c>
      <c r="X611" s="136">
        <f>COMPROMISOS_2025[[#This Row],[total_ordenes]]</f>
        <v>6885601</v>
      </c>
      <c r="Y611" t="str" cm="1">
        <f t="array" aca="1" ref="Y611" ca="1">IFERROR(_xlfn.XLOOKUP(COMPROMISOS_2025[[#This Row],[concatenado]],PAA[[#All],[RCP-RUBRO]],PAA[[#All],[Actividad3]],VLOOKUP(COMPROMISOS_2025[[#This Row],[Indicador Principal]],$AC$2:$AD$17,2,0),0),"")</f>
        <v/>
      </c>
    </row>
    <row r="612" spans="1:25" hidden="1" x14ac:dyDescent="0.25">
      <c r="A612">
        <v>363</v>
      </c>
      <c r="B612" t="s">
        <v>3334</v>
      </c>
      <c r="C612" t="s">
        <v>1936</v>
      </c>
      <c r="D612" t="s">
        <v>2213</v>
      </c>
      <c r="E612" t="s">
        <v>3335</v>
      </c>
      <c r="F612">
        <v>229</v>
      </c>
      <c r="G612">
        <v>62</v>
      </c>
      <c r="H612" t="s">
        <v>452</v>
      </c>
      <c r="I612" t="s">
        <v>2018</v>
      </c>
      <c r="J612">
        <v>50609170</v>
      </c>
      <c r="K612">
        <v>2025</v>
      </c>
      <c r="L612">
        <v>83235291</v>
      </c>
      <c r="M612" t="s">
        <v>3336</v>
      </c>
      <c r="N612" t="s">
        <v>1688</v>
      </c>
      <c r="O612" t="s">
        <v>1686</v>
      </c>
      <c r="P612">
        <v>0</v>
      </c>
      <c r="Q612">
        <v>6885601</v>
      </c>
      <c r="R612">
        <v>0</v>
      </c>
      <c r="S612">
        <v>43723569</v>
      </c>
      <c r="T612" t="str">
        <f t="shared" si="18"/>
        <v>3632.43.4302.84.0-205400.2.3.2.02.02.009.03.</v>
      </c>
      <c r="U612" t="e" cm="1">
        <f t="array" aca="1" ref="U612" ca="1">+IF(COMPROMISOS_2025[[#This Row],[P]]="20","41080111",_xlfn.XLOOKUP(COMPROMISOS_2025[[#This Row],[concatenado]],PAA[[#All],[RCP-RUBRO]],PAA[[#All],[INDICADOR]],"",0))</f>
        <v>#NAME?</v>
      </c>
      <c r="V612" s="144" t="str">
        <f t="shared" si="19"/>
        <v>84</v>
      </c>
      <c r="W612" s="136">
        <f>+COMPROMISOS_2025[[#This Row],[valor_total]]-COMPROMISOS_2025[[#This Row],[total_cancelado]]</f>
        <v>50609170</v>
      </c>
      <c r="X612" s="136">
        <f>COMPROMISOS_2025[[#This Row],[total_ordenes]]</f>
        <v>6885601</v>
      </c>
      <c r="Y612" t="str" cm="1">
        <f t="array" aca="1" ref="Y612" ca="1">IFERROR(_xlfn.XLOOKUP(COMPROMISOS_2025[[#This Row],[concatenado]],PAA[[#All],[RCP-RUBRO]],PAA[[#All],[Actividad3]],VLOOKUP(COMPROMISOS_2025[[#This Row],[Indicador Principal]],$AC$2:$AD$17,2,0),0),"")</f>
        <v/>
      </c>
    </row>
    <row r="613" spans="1:25" hidden="1" x14ac:dyDescent="0.25">
      <c r="A613">
        <v>364</v>
      </c>
      <c r="B613" t="s">
        <v>3337</v>
      </c>
      <c r="C613" t="s">
        <v>1936</v>
      </c>
      <c r="D613" t="s">
        <v>2175</v>
      </c>
      <c r="E613" t="s">
        <v>3338</v>
      </c>
      <c r="F613">
        <v>192</v>
      </c>
      <c r="G613">
        <v>62</v>
      </c>
      <c r="H613" t="s">
        <v>452</v>
      </c>
      <c r="I613" t="s">
        <v>2018</v>
      </c>
      <c r="J613">
        <v>40747479</v>
      </c>
      <c r="K613">
        <v>2025</v>
      </c>
      <c r="L613">
        <v>71315062</v>
      </c>
      <c r="M613" t="s">
        <v>3339</v>
      </c>
      <c r="N613" t="s">
        <v>1688</v>
      </c>
      <c r="O613" t="s">
        <v>1686</v>
      </c>
      <c r="P613">
        <v>0</v>
      </c>
      <c r="Q613">
        <v>5543875</v>
      </c>
      <c r="R613">
        <v>0</v>
      </c>
      <c r="S613">
        <v>35203604</v>
      </c>
      <c r="T613" t="str">
        <f t="shared" si="18"/>
        <v>3642.43.4302.84.0-205400.2.3.2.02.02.009.03.</v>
      </c>
      <c r="U613" t="e" cm="1">
        <f t="array" aca="1" ref="U613" ca="1">+IF(COMPROMISOS_2025[[#This Row],[P]]="20","41080111",_xlfn.XLOOKUP(COMPROMISOS_2025[[#This Row],[concatenado]],PAA[[#All],[RCP-RUBRO]],PAA[[#All],[INDICADOR]],"",0))</f>
        <v>#NAME?</v>
      </c>
      <c r="V613" s="144" t="str">
        <f t="shared" si="19"/>
        <v>84</v>
      </c>
      <c r="W613" s="136">
        <f>+COMPROMISOS_2025[[#This Row],[valor_total]]-COMPROMISOS_2025[[#This Row],[total_cancelado]]</f>
        <v>40747479</v>
      </c>
      <c r="X613" s="136">
        <f>COMPROMISOS_2025[[#This Row],[total_ordenes]]</f>
        <v>5543875</v>
      </c>
      <c r="Y613" t="str" cm="1">
        <f t="array" aca="1" ref="Y613" ca="1">IFERROR(_xlfn.XLOOKUP(COMPROMISOS_2025[[#This Row],[concatenado]],PAA[[#All],[RCP-RUBRO]],PAA[[#All],[Actividad3]],VLOOKUP(COMPROMISOS_2025[[#This Row],[Indicador Principal]],$AC$2:$AD$17,2,0),0),"")</f>
        <v/>
      </c>
    </row>
    <row r="614" spans="1:25" hidden="1" x14ac:dyDescent="0.25">
      <c r="A614">
        <v>365</v>
      </c>
      <c r="B614" t="s">
        <v>3340</v>
      </c>
      <c r="C614" t="s">
        <v>1936</v>
      </c>
      <c r="D614" t="s">
        <v>2212</v>
      </c>
      <c r="E614" t="s">
        <v>3341</v>
      </c>
      <c r="F614">
        <v>228</v>
      </c>
      <c r="G614">
        <v>62</v>
      </c>
      <c r="H614" t="s">
        <v>452</v>
      </c>
      <c r="I614" t="s">
        <v>2018</v>
      </c>
      <c r="J614">
        <v>50609170</v>
      </c>
      <c r="K614">
        <v>2025</v>
      </c>
      <c r="L614">
        <v>81540967</v>
      </c>
      <c r="M614" t="s">
        <v>3342</v>
      </c>
      <c r="N614" t="s">
        <v>1688</v>
      </c>
      <c r="O614" t="s">
        <v>1686</v>
      </c>
      <c r="P614">
        <v>0</v>
      </c>
      <c r="Q614">
        <v>6885601</v>
      </c>
      <c r="R614">
        <v>0</v>
      </c>
      <c r="S614">
        <v>43723569</v>
      </c>
      <c r="T614" t="str">
        <f t="shared" si="18"/>
        <v>3652.43.4302.84.0-205400.2.3.2.02.02.009.03.</v>
      </c>
      <c r="U614" t="e" cm="1">
        <f t="array" aca="1" ref="U614" ca="1">+IF(COMPROMISOS_2025[[#This Row],[P]]="20","41080111",_xlfn.XLOOKUP(COMPROMISOS_2025[[#This Row],[concatenado]],PAA[[#All],[RCP-RUBRO]],PAA[[#All],[INDICADOR]],"",0))</f>
        <v>#NAME?</v>
      </c>
      <c r="V614" s="144" t="str">
        <f t="shared" si="19"/>
        <v>84</v>
      </c>
      <c r="W614" s="136">
        <f>+COMPROMISOS_2025[[#This Row],[valor_total]]-COMPROMISOS_2025[[#This Row],[total_cancelado]]</f>
        <v>50609170</v>
      </c>
      <c r="X614" s="136">
        <f>COMPROMISOS_2025[[#This Row],[total_ordenes]]</f>
        <v>6885601</v>
      </c>
      <c r="Y614" t="str" cm="1">
        <f t="array" aca="1" ref="Y614" ca="1">IFERROR(_xlfn.XLOOKUP(COMPROMISOS_2025[[#This Row],[concatenado]],PAA[[#All],[RCP-RUBRO]],PAA[[#All],[Actividad3]],VLOOKUP(COMPROMISOS_2025[[#This Row],[Indicador Principal]],$AC$2:$AD$17,2,0),0),"")</f>
        <v/>
      </c>
    </row>
    <row r="615" spans="1:25" hidden="1" x14ac:dyDescent="0.25">
      <c r="A615">
        <v>366</v>
      </c>
      <c r="B615" t="s">
        <v>3343</v>
      </c>
      <c r="C615" t="s">
        <v>1936</v>
      </c>
      <c r="D615" t="s">
        <v>2178</v>
      </c>
      <c r="E615" t="s">
        <v>3344</v>
      </c>
      <c r="F615">
        <v>195</v>
      </c>
      <c r="G615">
        <v>62</v>
      </c>
      <c r="H615" t="s">
        <v>452</v>
      </c>
      <c r="I615" t="s">
        <v>2018</v>
      </c>
      <c r="J615">
        <v>40747479</v>
      </c>
      <c r="K615">
        <v>2025</v>
      </c>
      <c r="L615">
        <v>98628015</v>
      </c>
      <c r="M615" t="s">
        <v>3345</v>
      </c>
      <c r="N615" t="s">
        <v>1688</v>
      </c>
      <c r="O615" t="s">
        <v>1686</v>
      </c>
      <c r="P615">
        <v>0</v>
      </c>
      <c r="Q615">
        <v>5543875</v>
      </c>
      <c r="R615">
        <v>0</v>
      </c>
      <c r="S615">
        <v>35203604</v>
      </c>
      <c r="T615" t="str">
        <f t="shared" si="18"/>
        <v>3662.43.4302.84.0-205400.2.3.2.02.02.009.03.</v>
      </c>
      <c r="U615" t="e" cm="1">
        <f t="array" aca="1" ref="U615" ca="1">+IF(COMPROMISOS_2025[[#This Row],[P]]="20","41080111",_xlfn.XLOOKUP(COMPROMISOS_2025[[#This Row],[concatenado]],PAA[[#All],[RCP-RUBRO]],PAA[[#All],[INDICADOR]],"",0))</f>
        <v>#NAME?</v>
      </c>
      <c r="V615" s="144" t="str">
        <f t="shared" si="19"/>
        <v>84</v>
      </c>
      <c r="W615" s="136">
        <f>+COMPROMISOS_2025[[#This Row],[valor_total]]-COMPROMISOS_2025[[#This Row],[total_cancelado]]</f>
        <v>40747479</v>
      </c>
      <c r="X615" s="136">
        <f>COMPROMISOS_2025[[#This Row],[total_ordenes]]</f>
        <v>5543875</v>
      </c>
      <c r="Y615" t="str" cm="1">
        <f t="array" aca="1" ref="Y615" ca="1">IFERROR(_xlfn.XLOOKUP(COMPROMISOS_2025[[#This Row],[concatenado]],PAA[[#All],[RCP-RUBRO]],PAA[[#All],[Actividad3]],VLOOKUP(COMPROMISOS_2025[[#This Row],[Indicador Principal]],$AC$2:$AD$17,2,0),0),"")</f>
        <v/>
      </c>
    </row>
    <row r="616" spans="1:25" hidden="1" x14ac:dyDescent="0.25">
      <c r="A616">
        <v>367</v>
      </c>
      <c r="B616" t="s">
        <v>3346</v>
      </c>
      <c r="C616" t="s">
        <v>1936</v>
      </c>
      <c r="D616" t="s">
        <v>2179</v>
      </c>
      <c r="E616" t="s">
        <v>3347</v>
      </c>
      <c r="F616">
        <v>196</v>
      </c>
      <c r="G616">
        <v>62</v>
      </c>
      <c r="H616" t="s">
        <v>452</v>
      </c>
      <c r="I616" t="s">
        <v>2018</v>
      </c>
      <c r="J616">
        <v>50609170</v>
      </c>
      <c r="K616">
        <v>2025</v>
      </c>
      <c r="L616">
        <v>71216330</v>
      </c>
      <c r="M616" t="s">
        <v>3348</v>
      </c>
      <c r="N616" t="s">
        <v>1688</v>
      </c>
      <c r="O616" t="s">
        <v>1686</v>
      </c>
      <c r="P616">
        <v>0</v>
      </c>
      <c r="Q616">
        <v>6885601</v>
      </c>
      <c r="R616">
        <v>0</v>
      </c>
      <c r="S616">
        <v>43723569</v>
      </c>
      <c r="T616" t="str">
        <f t="shared" si="18"/>
        <v>3672.43.4302.84.0-205400.2.3.2.02.02.009.03.</v>
      </c>
      <c r="U616" t="e" cm="1">
        <f t="array" aca="1" ref="U616" ca="1">+IF(COMPROMISOS_2025[[#This Row],[P]]="20","41080111",_xlfn.XLOOKUP(COMPROMISOS_2025[[#This Row],[concatenado]],PAA[[#All],[RCP-RUBRO]],PAA[[#All],[INDICADOR]],"",0))</f>
        <v>#NAME?</v>
      </c>
      <c r="V616" s="144" t="str">
        <f t="shared" si="19"/>
        <v>84</v>
      </c>
      <c r="W616" s="136">
        <f>+COMPROMISOS_2025[[#This Row],[valor_total]]-COMPROMISOS_2025[[#This Row],[total_cancelado]]</f>
        <v>50609170</v>
      </c>
      <c r="X616" s="136">
        <f>COMPROMISOS_2025[[#This Row],[total_ordenes]]</f>
        <v>6885601</v>
      </c>
      <c r="Y616" t="str" cm="1">
        <f t="array" aca="1" ref="Y616" ca="1">IFERROR(_xlfn.XLOOKUP(COMPROMISOS_2025[[#This Row],[concatenado]],PAA[[#All],[RCP-RUBRO]],PAA[[#All],[Actividad3]],VLOOKUP(COMPROMISOS_2025[[#This Row],[Indicador Principal]],$AC$2:$AD$17,2,0),0),"")</f>
        <v/>
      </c>
    </row>
    <row r="617" spans="1:25" hidden="1" x14ac:dyDescent="0.25">
      <c r="A617">
        <v>368</v>
      </c>
      <c r="B617" t="s">
        <v>3349</v>
      </c>
      <c r="C617" t="s">
        <v>1936</v>
      </c>
      <c r="D617" t="s">
        <v>2211</v>
      </c>
      <c r="E617" t="s">
        <v>3350</v>
      </c>
      <c r="F617">
        <v>227</v>
      </c>
      <c r="G617">
        <v>62</v>
      </c>
      <c r="H617" t="s">
        <v>452</v>
      </c>
      <c r="I617" t="s">
        <v>2018</v>
      </c>
      <c r="J617">
        <v>50609170</v>
      </c>
      <c r="K617">
        <v>2025</v>
      </c>
      <c r="L617">
        <v>100114291</v>
      </c>
      <c r="M617" t="s">
        <v>3351</v>
      </c>
      <c r="N617" t="s">
        <v>1688</v>
      </c>
      <c r="O617" t="s">
        <v>1686</v>
      </c>
      <c r="P617">
        <v>0</v>
      </c>
      <c r="Q617">
        <v>6885601</v>
      </c>
      <c r="R617">
        <v>0</v>
      </c>
      <c r="S617">
        <v>43723569</v>
      </c>
      <c r="T617" t="str">
        <f t="shared" si="18"/>
        <v>3682.43.4302.84.0-205400.2.3.2.02.02.009.03.</v>
      </c>
      <c r="U617" t="e" cm="1">
        <f t="array" aca="1" ref="U617" ca="1">+IF(COMPROMISOS_2025[[#This Row],[P]]="20","41080111",_xlfn.XLOOKUP(COMPROMISOS_2025[[#This Row],[concatenado]],PAA[[#All],[RCP-RUBRO]],PAA[[#All],[INDICADOR]],"",0))</f>
        <v>#NAME?</v>
      </c>
      <c r="V617" s="144" t="str">
        <f t="shared" si="19"/>
        <v>84</v>
      </c>
      <c r="W617" s="136">
        <f>+COMPROMISOS_2025[[#This Row],[valor_total]]-COMPROMISOS_2025[[#This Row],[total_cancelado]]</f>
        <v>50609170</v>
      </c>
      <c r="X617" s="136">
        <f>COMPROMISOS_2025[[#This Row],[total_ordenes]]</f>
        <v>6885601</v>
      </c>
      <c r="Y617" t="str" cm="1">
        <f t="array" aca="1" ref="Y617" ca="1">IFERROR(_xlfn.XLOOKUP(COMPROMISOS_2025[[#This Row],[concatenado]],PAA[[#All],[RCP-RUBRO]],PAA[[#All],[Actividad3]],VLOOKUP(COMPROMISOS_2025[[#This Row],[Indicador Principal]],$AC$2:$AD$17,2,0),0),"")</f>
        <v/>
      </c>
    </row>
    <row r="618" spans="1:25" hidden="1" x14ac:dyDescent="0.25">
      <c r="A618">
        <v>369</v>
      </c>
      <c r="B618" t="s">
        <v>3352</v>
      </c>
      <c r="C618" t="s">
        <v>1936</v>
      </c>
      <c r="D618" t="s">
        <v>2176</v>
      </c>
      <c r="E618" t="s">
        <v>3353</v>
      </c>
      <c r="F618">
        <v>193</v>
      </c>
      <c r="G618">
        <v>62</v>
      </c>
      <c r="H618" t="s">
        <v>452</v>
      </c>
      <c r="I618" t="s">
        <v>2018</v>
      </c>
      <c r="J618">
        <v>40747479</v>
      </c>
      <c r="K618">
        <v>2025</v>
      </c>
      <c r="L618">
        <v>1146434793</v>
      </c>
      <c r="M618" t="s">
        <v>3354</v>
      </c>
      <c r="N618" t="s">
        <v>1688</v>
      </c>
      <c r="O618" t="s">
        <v>1686</v>
      </c>
      <c r="P618">
        <v>0</v>
      </c>
      <c r="Q618">
        <v>5405278</v>
      </c>
      <c r="R618">
        <v>0</v>
      </c>
      <c r="S618">
        <v>35342201</v>
      </c>
      <c r="T618" t="str">
        <f t="shared" si="18"/>
        <v>3692.43.4302.84.0-205400.2.3.2.02.02.009.03.</v>
      </c>
      <c r="U618" t="e" cm="1">
        <f t="array" aca="1" ref="U618" ca="1">+IF(COMPROMISOS_2025[[#This Row],[P]]="20","41080111",_xlfn.XLOOKUP(COMPROMISOS_2025[[#This Row],[concatenado]],PAA[[#All],[RCP-RUBRO]],PAA[[#All],[INDICADOR]],"",0))</f>
        <v>#NAME?</v>
      </c>
      <c r="V618" s="144" t="str">
        <f t="shared" si="19"/>
        <v>84</v>
      </c>
      <c r="W618" s="136">
        <f>+COMPROMISOS_2025[[#This Row],[valor_total]]-COMPROMISOS_2025[[#This Row],[total_cancelado]]</f>
        <v>40747479</v>
      </c>
      <c r="X618" s="136">
        <f>COMPROMISOS_2025[[#This Row],[total_ordenes]]</f>
        <v>5405278</v>
      </c>
      <c r="Y618" t="str" cm="1">
        <f t="array" aca="1" ref="Y618" ca="1">IFERROR(_xlfn.XLOOKUP(COMPROMISOS_2025[[#This Row],[concatenado]],PAA[[#All],[RCP-RUBRO]],PAA[[#All],[Actividad3]],VLOOKUP(COMPROMISOS_2025[[#This Row],[Indicador Principal]],$AC$2:$AD$17,2,0),0),"")</f>
        <v/>
      </c>
    </row>
    <row r="619" spans="1:25" hidden="1" x14ac:dyDescent="0.25">
      <c r="A619">
        <v>370</v>
      </c>
      <c r="B619" t="s">
        <v>3352</v>
      </c>
      <c r="C619" t="s">
        <v>1936</v>
      </c>
      <c r="D619" t="s">
        <v>2210</v>
      </c>
      <c r="E619" t="s">
        <v>3355</v>
      </c>
      <c r="F619">
        <v>226</v>
      </c>
      <c r="G619">
        <v>62</v>
      </c>
      <c r="H619" t="s">
        <v>452</v>
      </c>
      <c r="I619" t="s">
        <v>2018</v>
      </c>
      <c r="J619">
        <v>81536206</v>
      </c>
      <c r="K619">
        <v>2025</v>
      </c>
      <c r="L619">
        <v>70810561</v>
      </c>
      <c r="M619" t="s">
        <v>3356</v>
      </c>
      <c r="N619" t="s">
        <v>1688</v>
      </c>
      <c r="O619" t="s">
        <v>1686</v>
      </c>
      <c r="P619">
        <v>0</v>
      </c>
      <c r="Q619">
        <v>11093361</v>
      </c>
      <c r="R619">
        <v>0</v>
      </c>
      <c r="S619">
        <v>70442845</v>
      </c>
      <c r="T619" t="str">
        <f t="shared" si="18"/>
        <v>3702.43.4302.84.0-205400.2.3.2.02.02.009.03.</v>
      </c>
      <c r="U619" t="e" cm="1">
        <f t="array" aca="1" ref="U619" ca="1">+IF(COMPROMISOS_2025[[#This Row],[P]]="20","41080111",_xlfn.XLOOKUP(COMPROMISOS_2025[[#This Row],[concatenado]],PAA[[#All],[RCP-RUBRO]],PAA[[#All],[INDICADOR]],"",0))</f>
        <v>#NAME?</v>
      </c>
      <c r="V619" s="144" t="str">
        <f t="shared" si="19"/>
        <v>84</v>
      </c>
      <c r="W619" s="136">
        <f>+COMPROMISOS_2025[[#This Row],[valor_total]]-COMPROMISOS_2025[[#This Row],[total_cancelado]]</f>
        <v>81536206</v>
      </c>
      <c r="X619" s="136">
        <f>COMPROMISOS_2025[[#This Row],[total_ordenes]]</f>
        <v>11093361</v>
      </c>
      <c r="Y619" t="str" cm="1">
        <f t="array" aca="1" ref="Y619" ca="1">IFERROR(_xlfn.XLOOKUP(COMPROMISOS_2025[[#This Row],[concatenado]],PAA[[#All],[RCP-RUBRO]],PAA[[#All],[Actividad3]],VLOOKUP(COMPROMISOS_2025[[#This Row],[Indicador Principal]],$AC$2:$AD$17,2,0),0),"")</f>
        <v/>
      </c>
    </row>
    <row r="620" spans="1:25" hidden="1" x14ac:dyDescent="0.25">
      <c r="A620">
        <v>371</v>
      </c>
      <c r="B620" t="s">
        <v>3357</v>
      </c>
      <c r="C620" t="s">
        <v>1936</v>
      </c>
      <c r="D620" t="s">
        <v>2180</v>
      </c>
      <c r="E620" t="s">
        <v>3358</v>
      </c>
      <c r="F620">
        <v>197</v>
      </c>
      <c r="G620">
        <v>62</v>
      </c>
      <c r="H620" t="s">
        <v>452</v>
      </c>
      <c r="I620" t="s">
        <v>2018</v>
      </c>
      <c r="J620">
        <v>40747479</v>
      </c>
      <c r="K620">
        <v>2025</v>
      </c>
      <c r="L620">
        <v>1037582162</v>
      </c>
      <c r="M620" t="s">
        <v>3359</v>
      </c>
      <c r="N620" t="s">
        <v>1688</v>
      </c>
      <c r="O620" t="s">
        <v>1686</v>
      </c>
      <c r="P620">
        <v>0</v>
      </c>
      <c r="Q620">
        <v>5543875</v>
      </c>
      <c r="R620">
        <v>0</v>
      </c>
      <c r="S620">
        <v>35203604</v>
      </c>
      <c r="T620" t="str">
        <f t="shared" si="18"/>
        <v>3712.43.4302.84.0-205400.2.3.2.02.02.009.03.</v>
      </c>
      <c r="U620" t="e" cm="1">
        <f t="array" aca="1" ref="U620" ca="1">+IF(COMPROMISOS_2025[[#This Row],[P]]="20","41080111",_xlfn.XLOOKUP(COMPROMISOS_2025[[#This Row],[concatenado]],PAA[[#All],[RCP-RUBRO]],PAA[[#All],[INDICADOR]],"",0))</f>
        <v>#NAME?</v>
      </c>
      <c r="V620" s="144" t="str">
        <f t="shared" si="19"/>
        <v>84</v>
      </c>
      <c r="W620" s="136">
        <f>+COMPROMISOS_2025[[#This Row],[valor_total]]-COMPROMISOS_2025[[#This Row],[total_cancelado]]</f>
        <v>40747479</v>
      </c>
      <c r="X620" s="136">
        <f>COMPROMISOS_2025[[#This Row],[total_ordenes]]</f>
        <v>5543875</v>
      </c>
      <c r="Y620" t="str" cm="1">
        <f t="array" aca="1" ref="Y620" ca="1">IFERROR(_xlfn.XLOOKUP(COMPROMISOS_2025[[#This Row],[concatenado]],PAA[[#All],[RCP-RUBRO]],PAA[[#All],[Actividad3]],VLOOKUP(COMPROMISOS_2025[[#This Row],[Indicador Principal]],$AC$2:$AD$17,2,0),0),"")</f>
        <v/>
      </c>
    </row>
    <row r="621" spans="1:25" hidden="1" x14ac:dyDescent="0.25">
      <c r="A621">
        <v>372</v>
      </c>
      <c r="B621" t="s">
        <v>3360</v>
      </c>
      <c r="C621" t="s">
        <v>1936</v>
      </c>
      <c r="D621" t="s">
        <v>2208</v>
      </c>
      <c r="E621" t="s">
        <v>3361</v>
      </c>
      <c r="F621">
        <v>224</v>
      </c>
      <c r="G621">
        <v>62</v>
      </c>
      <c r="H621" t="s">
        <v>452</v>
      </c>
      <c r="I621" t="s">
        <v>2018</v>
      </c>
      <c r="J621">
        <v>61147776</v>
      </c>
      <c r="K621">
        <v>2025</v>
      </c>
      <c r="L621">
        <v>3402168</v>
      </c>
      <c r="M621" t="s">
        <v>3362</v>
      </c>
      <c r="N621" t="s">
        <v>1688</v>
      </c>
      <c r="O621" t="s">
        <v>1686</v>
      </c>
      <c r="P621">
        <v>0</v>
      </c>
      <c r="Q621">
        <v>8319425</v>
      </c>
      <c r="R621">
        <v>0</v>
      </c>
      <c r="S621">
        <v>52828351</v>
      </c>
      <c r="T621" t="str">
        <f t="shared" si="18"/>
        <v>3722.43.4302.84.0-205400.2.3.2.02.02.009.03.</v>
      </c>
      <c r="U621" t="e" cm="1">
        <f t="array" aca="1" ref="U621" ca="1">+IF(COMPROMISOS_2025[[#This Row],[P]]="20","41080111",_xlfn.XLOOKUP(COMPROMISOS_2025[[#This Row],[concatenado]],PAA[[#All],[RCP-RUBRO]],PAA[[#All],[INDICADOR]],"",0))</f>
        <v>#NAME?</v>
      </c>
      <c r="V621" s="144" t="str">
        <f t="shared" si="19"/>
        <v>84</v>
      </c>
      <c r="W621" s="136">
        <f>+COMPROMISOS_2025[[#This Row],[valor_total]]-COMPROMISOS_2025[[#This Row],[total_cancelado]]</f>
        <v>61147776</v>
      </c>
      <c r="X621" s="136">
        <f>COMPROMISOS_2025[[#This Row],[total_ordenes]]</f>
        <v>8319425</v>
      </c>
      <c r="Y621" t="str" cm="1">
        <f t="array" aca="1" ref="Y621" ca="1">IFERROR(_xlfn.XLOOKUP(COMPROMISOS_2025[[#This Row],[concatenado]],PAA[[#All],[RCP-RUBRO]],PAA[[#All],[Actividad3]],VLOOKUP(COMPROMISOS_2025[[#This Row],[Indicador Principal]],$AC$2:$AD$17,2,0),0),"")</f>
        <v/>
      </c>
    </row>
    <row r="622" spans="1:25" hidden="1" x14ac:dyDescent="0.25">
      <c r="A622">
        <v>373</v>
      </c>
      <c r="B622" t="s">
        <v>3363</v>
      </c>
      <c r="C622" t="s">
        <v>1936</v>
      </c>
      <c r="D622" t="s">
        <v>2181</v>
      </c>
      <c r="E622" t="s">
        <v>3364</v>
      </c>
      <c r="F622">
        <v>198</v>
      </c>
      <c r="G622">
        <v>62</v>
      </c>
      <c r="H622" t="s">
        <v>452</v>
      </c>
      <c r="I622" t="s">
        <v>2018</v>
      </c>
      <c r="J622">
        <v>50609170</v>
      </c>
      <c r="K622">
        <v>2025</v>
      </c>
      <c r="L622">
        <v>71737394</v>
      </c>
      <c r="M622" t="s">
        <v>3365</v>
      </c>
      <c r="N622" t="s">
        <v>1688</v>
      </c>
      <c r="O622" t="s">
        <v>1686</v>
      </c>
      <c r="P622">
        <v>0</v>
      </c>
      <c r="Q622">
        <v>6885601</v>
      </c>
      <c r="R622">
        <v>0</v>
      </c>
      <c r="S622">
        <v>43723569</v>
      </c>
      <c r="T622" t="str">
        <f t="shared" si="18"/>
        <v>3732.43.4302.84.0-205400.2.3.2.02.02.009.03.</v>
      </c>
      <c r="U622" t="e" cm="1">
        <f t="array" aca="1" ref="U622" ca="1">+IF(COMPROMISOS_2025[[#This Row],[P]]="20","41080111",_xlfn.XLOOKUP(COMPROMISOS_2025[[#This Row],[concatenado]],PAA[[#All],[RCP-RUBRO]],PAA[[#All],[INDICADOR]],"",0))</f>
        <v>#NAME?</v>
      </c>
      <c r="V622" s="144" t="str">
        <f t="shared" si="19"/>
        <v>84</v>
      </c>
      <c r="W622" s="136">
        <f>+COMPROMISOS_2025[[#This Row],[valor_total]]-COMPROMISOS_2025[[#This Row],[total_cancelado]]</f>
        <v>50609170</v>
      </c>
      <c r="X622" s="136">
        <f>COMPROMISOS_2025[[#This Row],[total_ordenes]]</f>
        <v>6885601</v>
      </c>
      <c r="Y622" t="str" cm="1">
        <f t="array" aca="1" ref="Y622" ca="1">IFERROR(_xlfn.XLOOKUP(COMPROMISOS_2025[[#This Row],[concatenado]],PAA[[#All],[RCP-RUBRO]],PAA[[#All],[Actividad3]],VLOOKUP(COMPROMISOS_2025[[#This Row],[Indicador Principal]],$AC$2:$AD$17,2,0),0),"")</f>
        <v/>
      </c>
    </row>
    <row r="623" spans="1:25" hidden="1" x14ac:dyDescent="0.25">
      <c r="A623">
        <v>374</v>
      </c>
      <c r="B623" t="s">
        <v>3363</v>
      </c>
      <c r="C623" t="s">
        <v>1936</v>
      </c>
      <c r="D623" t="s">
        <v>2177</v>
      </c>
      <c r="E623" t="s">
        <v>3366</v>
      </c>
      <c r="F623">
        <v>194</v>
      </c>
      <c r="G623">
        <v>62</v>
      </c>
      <c r="H623" t="s">
        <v>452</v>
      </c>
      <c r="I623" t="s">
        <v>2018</v>
      </c>
      <c r="J623">
        <v>26545593</v>
      </c>
      <c r="K623">
        <v>2025</v>
      </c>
      <c r="L623">
        <v>1037649671</v>
      </c>
      <c r="M623" t="s">
        <v>3367</v>
      </c>
      <c r="N623" t="s">
        <v>1688</v>
      </c>
      <c r="O623" t="s">
        <v>1686</v>
      </c>
      <c r="P623">
        <v>0</v>
      </c>
      <c r="Q623">
        <v>3611645</v>
      </c>
      <c r="R623">
        <v>0</v>
      </c>
      <c r="S623">
        <v>22933948</v>
      </c>
      <c r="T623" t="str">
        <f t="shared" si="18"/>
        <v>3742.43.4302.84.0-205400.2.3.2.02.02.009.03.</v>
      </c>
      <c r="U623" t="e" cm="1">
        <f t="array" aca="1" ref="U623" ca="1">+IF(COMPROMISOS_2025[[#This Row],[P]]="20","41080111",_xlfn.XLOOKUP(COMPROMISOS_2025[[#This Row],[concatenado]],PAA[[#All],[RCP-RUBRO]],PAA[[#All],[INDICADOR]],"",0))</f>
        <v>#NAME?</v>
      </c>
      <c r="V623" s="144" t="str">
        <f t="shared" si="19"/>
        <v>84</v>
      </c>
      <c r="W623" s="136">
        <f>+COMPROMISOS_2025[[#This Row],[valor_total]]-COMPROMISOS_2025[[#This Row],[total_cancelado]]</f>
        <v>26545593</v>
      </c>
      <c r="X623" s="136">
        <f>COMPROMISOS_2025[[#This Row],[total_ordenes]]</f>
        <v>3611645</v>
      </c>
      <c r="Y623" t="str" cm="1">
        <f t="array" aca="1" ref="Y623" ca="1">IFERROR(_xlfn.XLOOKUP(COMPROMISOS_2025[[#This Row],[concatenado]],PAA[[#All],[RCP-RUBRO]],PAA[[#All],[Actividad3]],VLOOKUP(COMPROMISOS_2025[[#This Row],[Indicador Principal]],$AC$2:$AD$17,2,0),0),"")</f>
        <v/>
      </c>
    </row>
    <row r="624" spans="1:25" hidden="1" x14ac:dyDescent="0.25">
      <c r="A624">
        <v>375</v>
      </c>
      <c r="B624" t="s">
        <v>3368</v>
      </c>
      <c r="C624" t="s">
        <v>1936</v>
      </c>
      <c r="D624" t="s">
        <v>2206</v>
      </c>
      <c r="E624" t="s">
        <v>3369</v>
      </c>
      <c r="F624">
        <v>223</v>
      </c>
      <c r="G624">
        <v>62</v>
      </c>
      <c r="H624" t="s">
        <v>452</v>
      </c>
      <c r="I624" t="s">
        <v>2018</v>
      </c>
      <c r="J624">
        <v>50609170</v>
      </c>
      <c r="K624">
        <v>2025</v>
      </c>
      <c r="L624">
        <v>98632774</v>
      </c>
      <c r="M624" t="s">
        <v>3370</v>
      </c>
      <c r="N624" t="s">
        <v>1688</v>
      </c>
      <c r="O624" t="s">
        <v>1686</v>
      </c>
      <c r="P624">
        <v>0</v>
      </c>
      <c r="Q624">
        <v>6885601</v>
      </c>
      <c r="R624">
        <v>0</v>
      </c>
      <c r="S624">
        <v>43723569</v>
      </c>
      <c r="T624" t="str">
        <f t="shared" si="18"/>
        <v>3752.43.4302.84.0-205400.2.3.2.02.02.009.03.</v>
      </c>
      <c r="U624" t="e" cm="1">
        <f t="array" aca="1" ref="U624" ca="1">+IF(COMPROMISOS_2025[[#This Row],[P]]="20","41080111",_xlfn.XLOOKUP(COMPROMISOS_2025[[#This Row],[concatenado]],PAA[[#All],[RCP-RUBRO]],PAA[[#All],[INDICADOR]],"",0))</f>
        <v>#NAME?</v>
      </c>
      <c r="V624" s="144" t="str">
        <f t="shared" si="19"/>
        <v>84</v>
      </c>
      <c r="W624" s="136">
        <f>+COMPROMISOS_2025[[#This Row],[valor_total]]-COMPROMISOS_2025[[#This Row],[total_cancelado]]</f>
        <v>50609170</v>
      </c>
      <c r="X624" s="136">
        <f>COMPROMISOS_2025[[#This Row],[total_ordenes]]</f>
        <v>6885601</v>
      </c>
      <c r="Y624" t="str" cm="1">
        <f t="array" aca="1" ref="Y624" ca="1">IFERROR(_xlfn.XLOOKUP(COMPROMISOS_2025[[#This Row],[concatenado]],PAA[[#All],[RCP-RUBRO]],PAA[[#All],[Actividad3]],VLOOKUP(COMPROMISOS_2025[[#This Row],[Indicador Principal]],$AC$2:$AD$17,2,0),0),"")</f>
        <v/>
      </c>
    </row>
    <row r="625" spans="1:25" hidden="1" x14ac:dyDescent="0.25">
      <c r="A625">
        <v>376</v>
      </c>
      <c r="B625" t="s">
        <v>3371</v>
      </c>
      <c r="C625" t="s">
        <v>1936</v>
      </c>
      <c r="D625" t="s">
        <v>2182</v>
      </c>
      <c r="E625" t="s">
        <v>3372</v>
      </c>
      <c r="F625">
        <v>199</v>
      </c>
      <c r="G625">
        <v>62</v>
      </c>
      <c r="H625" t="s">
        <v>452</v>
      </c>
      <c r="I625" t="s">
        <v>2018</v>
      </c>
      <c r="J625">
        <v>61147776</v>
      </c>
      <c r="K625">
        <v>2025</v>
      </c>
      <c r="L625">
        <v>1113520825</v>
      </c>
      <c r="M625" t="s">
        <v>3373</v>
      </c>
      <c r="N625" t="s">
        <v>1688</v>
      </c>
      <c r="O625" t="s">
        <v>1686</v>
      </c>
      <c r="P625">
        <v>0</v>
      </c>
      <c r="Q625">
        <v>8319425</v>
      </c>
      <c r="R625">
        <v>0</v>
      </c>
      <c r="S625">
        <v>52828351</v>
      </c>
      <c r="T625" t="str">
        <f t="shared" si="18"/>
        <v>3762.43.4302.84.0-205400.2.3.2.02.02.009.03.</v>
      </c>
      <c r="U625" t="e" cm="1">
        <f t="array" aca="1" ref="U625" ca="1">+IF(COMPROMISOS_2025[[#This Row],[P]]="20","41080111",_xlfn.XLOOKUP(COMPROMISOS_2025[[#This Row],[concatenado]],PAA[[#All],[RCP-RUBRO]],PAA[[#All],[INDICADOR]],"",0))</f>
        <v>#NAME?</v>
      </c>
      <c r="V625" s="144" t="str">
        <f t="shared" si="19"/>
        <v>84</v>
      </c>
      <c r="W625" s="136">
        <f>+COMPROMISOS_2025[[#This Row],[valor_total]]-COMPROMISOS_2025[[#This Row],[total_cancelado]]</f>
        <v>61147776</v>
      </c>
      <c r="X625" s="136">
        <f>COMPROMISOS_2025[[#This Row],[total_ordenes]]</f>
        <v>8319425</v>
      </c>
      <c r="Y625" t="str" cm="1">
        <f t="array" aca="1" ref="Y625" ca="1">IFERROR(_xlfn.XLOOKUP(COMPROMISOS_2025[[#This Row],[concatenado]],PAA[[#All],[RCP-RUBRO]],PAA[[#All],[Actividad3]],VLOOKUP(COMPROMISOS_2025[[#This Row],[Indicador Principal]],$AC$2:$AD$17,2,0),0),"")</f>
        <v/>
      </c>
    </row>
    <row r="626" spans="1:25" hidden="1" x14ac:dyDescent="0.25">
      <c r="A626">
        <v>377</v>
      </c>
      <c r="B626" t="s">
        <v>3371</v>
      </c>
      <c r="C626" t="s">
        <v>1936</v>
      </c>
      <c r="D626" t="s">
        <v>2205</v>
      </c>
      <c r="E626" t="s">
        <v>3374</v>
      </c>
      <c r="F626">
        <v>222</v>
      </c>
      <c r="G626">
        <v>62</v>
      </c>
      <c r="H626" t="s">
        <v>452</v>
      </c>
      <c r="I626" t="s">
        <v>2018</v>
      </c>
      <c r="J626">
        <v>61147776</v>
      </c>
      <c r="K626">
        <v>2025</v>
      </c>
      <c r="L626">
        <v>15483073</v>
      </c>
      <c r="M626" t="s">
        <v>3375</v>
      </c>
      <c r="N626" t="s">
        <v>1688</v>
      </c>
      <c r="O626" t="s">
        <v>1686</v>
      </c>
      <c r="P626">
        <v>0</v>
      </c>
      <c r="Q626">
        <v>8319425</v>
      </c>
      <c r="R626">
        <v>0</v>
      </c>
      <c r="S626">
        <v>52828351</v>
      </c>
      <c r="T626" t="str">
        <f t="shared" si="18"/>
        <v>3772.43.4302.84.0-205400.2.3.2.02.02.009.03.</v>
      </c>
      <c r="U626" t="e" cm="1">
        <f t="array" aca="1" ref="U626" ca="1">+IF(COMPROMISOS_2025[[#This Row],[P]]="20","41080111",_xlfn.XLOOKUP(COMPROMISOS_2025[[#This Row],[concatenado]],PAA[[#All],[RCP-RUBRO]],PAA[[#All],[INDICADOR]],"",0))</f>
        <v>#NAME?</v>
      </c>
      <c r="V626" s="144" t="str">
        <f t="shared" si="19"/>
        <v>84</v>
      </c>
      <c r="W626" s="136">
        <f>+COMPROMISOS_2025[[#This Row],[valor_total]]-COMPROMISOS_2025[[#This Row],[total_cancelado]]</f>
        <v>61147776</v>
      </c>
      <c r="X626" s="136">
        <f>COMPROMISOS_2025[[#This Row],[total_ordenes]]</f>
        <v>8319425</v>
      </c>
      <c r="Y626" t="str" cm="1">
        <f t="array" aca="1" ref="Y626" ca="1">IFERROR(_xlfn.XLOOKUP(COMPROMISOS_2025[[#This Row],[concatenado]],PAA[[#All],[RCP-RUBRO]],PAA[[#All],[Actividad3]],VLOOKUP(COMPROMISOS_2025[[#This Row],[Indicador Principal]],$AC$2:$AD$17,2,0),0),"")</f>
        <v/>
      </c>
    </row>
    <row r="627" spans="1:25" hidden="1" x14ac:dyDescent="0.25">
      <c r="A627">
        <v>378</v>
      </c>
      <c r="B627" t="s">
        <v>3376</v>
      </c>
      <c r="C627" t="s">
        <v>1936</v>
      </c>
      <c r="D627" t="s">
        <v>2189</v>
      </c>
      <c r="E627" t="s">
        <v>3377</v>
      </c>
      <c r="F627">
        <v>206</v>
      </c>
      <c r="G627">
        <v>62</v>
      </c>
      <c r="H627" t="s">
        <v>452</v>
      </c>
      <c r="I627" t="s">
        <v>2018</v>
      </c>
      <c r="J627">
        <v>26545593</v>
      </c>
      <c r="K627">
        <v>2025</v>
      </c>
      <c r="L627">
        <v>10172570433</v>
      </c>
      <c r="M627" t="s">
        <v>3378</v>
      </c>
      <c r="N627" t="s">
        <v>1688</v>
      </c>
      <c r="O627" t="s">
        <v>1686</v>
      </c>
      <c r="P627">
        <v>0</v>
      </c>
      <c r="Q627">
        <v>3611645</v>
      </c>
      <c r="R627">
        <v>0</v>
      </c>
      <c r="S627">
        <v>22933948</v>
      </c>
      <c r="T627" t="str">
        <f t="shared" si="18"/>
        <v>3782.43.4302.84.0-205400.2.3.2.02.02.009.03.</v>
      </c>
      <c r="U627" t="e" cm="1">
        <f t="array" aca="1" ref="U627" ca="1">+IF(COMPROMISOS_2025[[#This Row],[P]]="20","41080111",_xlfn.XLOOKUP(COMPROMISOS_2025[[#This Row],[concatenado]],PAA[[#All],[RCP-RUBRO]],PAA[[#All],[INDICADOR]],"",0))</f>
        <v>#NAME?</v>
      </c>
      <c r="V627" s="144" t="str">
        <f t="shared" si="19"/>
        <v>84</v>
      </c>
      <c r="W627" s="136">
        <f>+COMPROMISOS_2025[[#This Row],[valor_total]]-COMPROMISOS_2025[[#This Row],[total_cancelado]]</f>
        <v>26545593</v>
      </c>
      <c r="X627" s="136">
        <f>COMPROMISOS_2025[[#This Row],[total_ordenes]]</f>
        <v>3611645</v>
      </c>
      <c r="Y627" t="str" cm="1">
        <f t="array" aca="1" ref="Y627" ca="1">IFERROR(_xlfn.XLOOKUP(COMPROMISOS_2025[[#This Row],[concatenado]],PAA[[#All],[RCP-RUBRO]],PAA[[#All],[Actividad3]],VLOOKUP(COMPROMISOS_2025[[#This Row],[Indicador Principal]],$AC$2:$AD$17,2,0),0),"")</f>
        <v/>
      </c>
    </row>
    <row r="628" spans="1:25" hidden="1" x14ac:dyDescent="0.25">
      <c r="A628">
        <v>379</v>
      </c>
      <c r="B628" t="s">
        <v>3379</v>
      </c>
      <c r="C628" t="s">
        <v>1936</v>
      </c>
      <c r="D628" t="s">
        <v>2201</v>
      </c>
      <c r="E628" t="s">
        <v>3380</v>
      </c>
      <c r="F628">
        <v>218</v>
      </c>
      <c r="G628">
        <v>62</v>
      </c>
      <c r="H628" t="s">
        <v>452</v>
      </c>
      <c r="I628" t="s">
        <v>2018</v>
      </c>
      <c r="J628">
        <v>61147776</v>
      </c>
      <c r="K628">
        <v>2025</v>
      </c>
      <c r="L628">
        <v>8163337</v>
      </c>
      <c r="M628" t="s">
        <v>3381</v>
      </c>
      <c r="N628" t="s">
        <v>1688</v>
      </c>
      <c r="O628" t="s">
        <v>1686</v>
      </c>
      <c r="P628">
        <v>0</v>
      </c>
      <c r="Q628">
        <v>8319425</v>
      </c>
      <c r="R628">
        <v>0</v>
      </c>
      <c r="S628">
        <v>52828351</v>
      </c>
      <c r="T628" t="str">
        <f t="shared" si="18"/>
        <v>3792.43.4302.84.0-205400.2.3.2.02.02.009.03.</v>
      </c>
      <c r="U628" t="e" cm="1">
        <f t="array" aca="1" ref="U628" ca="1">+IF(COMPROMISOS_2025[[#This Row],[P]]="20","41080111",_xlfn.XLOOKUP(COMPROMISOS_2025[[#This Row],[concatenado]],PAA[[#All],[RCP-RUBRO]],PAA[[#All],[INDICADOR]],"",0))</f>
        <v>#NAME?</v>
      </c>
      <c r="V628" s="144" t="str">
        <f t="shared" si="19"/>
        <v>84</v>
      </c>
      <c r="W628" s="136">
        <f>+COMPROMISOS_2025[[#This Row],[valor_total]]-COMPROMISOS_2025[[#This Row],[total_cancelado]]</f>
        <v>61147776</v>
      </c>
      <c r="X628" s="136">
        <f>COMPROMISOS_2025[[#This Row],[total_ordenes]]</f>
        <v>8319425</v>
      </c>
      <c r="Y628" t="str" cm="1">
        <f t="array" aca="1" ref="Y628" ca="1">IFERROR(_xlfn.XLOOKUP(COMPROMISOS_2025[[#This Row],[concatenado]],PAA[[#All],[RCP-RUBRO]],PAA[[#All],[Actividad3]],VLOOKUP(COMPROMISOS_2025[[#This Row],[Indicador Principal]],$AC$2:$AD$17,2,0),0),"")</f>
        <v/>
      </c>
    </row>
    <row r="629" spans="1:25" hidden="1" x14ac:dyDescent="0.25">
      <c r="A629">
        <v>380</v>
      </c>
      <c r="B629" t="s">
        <v>3382</v>
      </c>
      <c r="C629" t="s">
        <v>1936</v>
      </c>
      <c r="D629" t="s">
        <v>2197</v>
      </c>
      <c r="E629" t="s">
        <v>3383</v>
      </c>
      <c r="F629">
        <v>214</v>
      </c>
      <c r="G629">
        <v>62</v>
      </c>
      <c r="H629" t="s">
        <v>452</v>
      </c>
      <c r="I629" t="s">
        <v>2018</v>
      </c>
      <c r="J629">
        <v>61147776</v>
      </c>
      <c r="K629">
        <v>2025</v>
      </c>
      <c r="L629">
        <v>10372361656</v>
      </c>
      <c r="M629" t="s">
        <v>3384</v>
      </c>
      <c r="N629" t="s">
        <v>1688</v>
      </c>
      <c r="O629" t="s">
        <v>1686</v>
      </c>
      <c r="P629">
        <v>0</v>
      </c>
      <c r="Q629">
        <v>8319425</v>
      </c>
      <c r="R629">
        <v>0</v>
      </c>
      <c r="S629">
        <v>52828351</v>
      </c>
      <c r="T629" t="str">
        <f t="shared" si="18"/>
        <v>3802.43.4302.84.0-205400.2.3.2.02.02.009.03.</v>
      </c>
      <c r="U629" t="e" cm="1">
        <f t="array" aca="1" ref="U629" ca="1">+IF(COMPROMISOS_2025[[#This Row],[P]]="20","41080111",_xlfn.XLOOKUP(COMPROMISOS_2025[[#This Row],[concatenado]],PAA[[#All],[RCP-RUBRO]],PAA[[#All],[INDICADOR]],"",0))</f>
        <v>#NAME?</v>
      </c>
      <c r="V629" s="144" t="str">
        <f t="shared" si="19"/>
        <v>84</v>
      </c>
      <c r="W629" s="136">
        <f>+COMPROMISOS_2025[[#This Row],[valor_total]]-COMPROMISOS_2025[[#This Row],[total_cancelado]]</f>
        <v>61147776</v>
      </c>
      <c r="X629" s="136">
        <f>COMPROMISOS_2025[[#This Row],[total_ordenes]]</f>
        <v>8319425</v>
      </c>
      <c r="Y629" t="str" cm="1">
        <f t="array" aca="1" ref="Y629" ca="1">IFERROR(_xlfn.XLOOKUP(COMPROMISOS_2025[[#This Row],[concatenado]],PAA[[#All],[RCP-RUBRO]],PAA[[#All],[Actividad3]],VLOOKUP(COMPROMISOS_2025[[#This Row],[Indicador Principal]],$AC$2:$AD$17,2,0),0),"")</f>
        <v/>
      </c>
    </row>
    <row r="630" spans="1:25" hidden="1" x14ac:dyDescent="0.25">
      <c r="A630">
        <v>381</v>
      </c>
      <c r="B630" t="s">
        <v>3385</v>
      </c>
      <c r="C630" t="s">
        <v>1936</v>
      </c>
      <c r="D630" t="s">
        <v>2183</v>
      </c>
      <c r="E630" t="s">
        <v>3386</v>
      </c>
      <c r="F630">
        <v>200</v>
      </c>
      <c r="G630">
        <v>62</v>
      </c>
      <c r="H630" t="s">
        <v>452</v>
      </c>
      <c r="I630" t="s">
        <v>2018</v>
      </c>
      <c r="J630">
        <v>61147776</v>
      </c>
      <c r="K630">
        <v>2025</v>
      </c>
      <c r="L630">
        <v>8434470</v>
      </c>
      <c r="M630" t="s">
        <v>3387</v>
      </c>
      <c r="N630" t="s">
        <v>1688</v>
      </c>
      <c r="O630" t="s">
        <v>1686</v>
      </c>
      <c r="P630">
        <v>0</v>
      </c>
      <c r="Q630">
        <v>8319425</v>
      </c>
      <c r="R630">
        <v>0</v>
      </c>
      <c r="S630">
        <v>52828351</v>
      </c>
      <c r="T630" t="str">
        <f t="shared" si="18"/>
        <v>3812.43.4302.84.0-205400.2.3.2.02.02.009.03.</v>
      </c>
      <c r="U630" t="e" cm="1">
        <f t="array" aca="1" ref="U630" ca="1">+IF(COMPROMISOS_2025[[#This Row],[P]]="20","41080111",_xlfn.XLOOKUP(COMPROMISOS_2025[[#This Row],[concatenado]],PAA[[#All],[RCP-RUBRO]],PAA[[#All],[INDICADOR]],"",0))</f>
        <v>#NAME?</v>
      </c>
      <c r="V630" s="144" t="str">
        <f t="shared" si="19"/>
        <v>84</v>
      </c>
      <c r="W630" s="136">
        <f>+COMPROMISOS_2025[[#This Row],[valor_total]]-COMPROMISOS_2025[[#This Row],[total_cancelado]]</f>
        <v>61147776</v>
      </c>
      <c r="X630" s="136">
        <f>COMPROMISOS_2025[[#This Row],[total_ordenes]]</f>
        <v>8319425</v>
      </c>
      <c r="Y630" t="str" cm="1">
        <f t="array" aca="1" ref="Y630" ca="1">IFERROR(_xlfn.XLOOKUP(COMPROMISOS_2025[[#This Row],[concatenado]],PAA[[#All],[RCP-RUBRO]],PAA[[#All],[Actividad3]],VLOOKUP(COMPROMISOS_2025[[#This Row],[Indicador Principal]],$AC$2:$AD$17,2,0),0),"")</f>
        <v/>
      </c>
    </row>
    <row r="631" spans="1:25" hidden="1" x14ac:dyDescent="0.25">
      <c r="A631">
        <v>382</v>
      </c>
      <c r="B631" t="s">
        <v>3388</v>
      </c>
      <c r="C631" t="s">
        <v>1936</v>
      </c>
      <c r="D631" t="s">
        <v>2196</v>
      </c>
      <c r="E631" t="s">
        <v>3389</v>
      </c>
      <c r="F631">
        <v>213</v>
      </c>
      <c r="G631">
        <v>62</v>
      </c>
      <c r="H631" t="s">
        <v>452</v>
      </c>
      <c r="I631" t="s">
        <v>2018</v>
      </c>
      <c r="J631">
        <v>61147776</v>
      </c>
      <c r="K631">
        <v>2025</v>
      </c>
      <c r="L631">
        <v>80195539</v>
      </c>
      <c r="M631" t="s">
        <v>3390</v>
      </c>
      <c r="N631" t="s">
        <v>1688</v>
      </c>
      <c r="O631" t="s">
        <v>1686</v>
      </c>
      <c r="P631">
        <v>0</v>
      </c>
      <c r="Q631">
        <v>8319425</v>
      </c>
      <c r="R631">
        <v>0</v>
      </c>
      <c r="S631">
        <v>52828351</v>
      </c>
      <c r="T631" t="str">
        <f t="shared" si="18"/>
        <v>3822.43.4302.84.0-205400.2.3.2.02.02.009.03.</v>
      </c>
      <c r="U631" t="e" cm="1">
        <f t="array" aca="1" ref="U631" ca="1">+IF(COMPROMISOS_2025[[#This Row],[P]]="20","41080111",_xlfn.XLOOKUP(COMPROMISOS_2025[[#This Row],[concatenado]],PAA[[#All],[RCP-RUBRO]],PAA[[#All],[INDICADOR]],"",0))</f>
        <v>#NAME?</v>
      </c>
      <c r="V631" s="144" t="str">
        <f t="shared" si="19"/>
        <v>84</v>
      </c>
      <c r="W631" s="136">
        <f>+COMPROMISOS_2025[[#This Row],[valor_total]]-COMPROMISOS_2025[[#This Row],[total_cancelado]]</f>
        <v>61147776</v>
      </c>
      <c r="X631" s="136">
        <f>COMPROMISOS_2025[[#This Row],[total_ordenes]]</f>
        <v>8319425</v>
      </c>
      <c r="Y631" t="str" cm="1">
        <f t="array" aca="1" ref="Y631" ca="1">IFERROR(_xlfn.XLOOKUP(COMPROMISOS_2025[[#This Row],[concatenado]],PAA[[#All],[RCP-RUBRO]],PAA[[#All],[Actividad3]],VLOOKUP(COMPROMISOS_2025[[#This Row],[Indicador Principal]],$AC$2:$AD$17,2,0),0),"")</f>
        <v/>
      </c>
    </row>
    <row r="632" spans="1:25" hidden="1" x14ac:dyDescent="0.25">
      <c r="A632">
        <v>383</v>
      </c>
      <c r="B632" t="s">
        <v>3391</v>
      </c>
      <c r="C632" t="s">
        <v>1936</v>
      </c>
      <c r="D632" t="s">
        <v>2185</v>
      </c>
      <c r="E632" t="s">
        <v>3392</v>
      </c>
      <c r="F632">
        <v>202</v>
      </c>
      <c r="G632">
        <v>62</v>
      </c>
      <c r="H632" t="s">
        <v>452</v>
      </c>
      <c r="I632" t="s">
        <v>2018</v>
      </c>
      <c r="J632">
        <v>40747479</v>
      </c>
      <c r="K632">
        <v>2025</v>
      </c>
      <c r="L632">
        <v>80040215</v>
      </c>
      <c r="M632" t="s">
        <v>3393</v>
      </c>
      <c r="N632" t="s">
        <v>1688</v>
      </c>
      <c r="O632" t="s">
        <v>1686</v>
      </c>
      <c r="P632">
        <v>0</v>
      </c>
      <c r="Q632">
        <v>5543875</v>
      </c>
      <c r="R632">
        <v>0</v>
      </c>
      <c r="S632">
        <v>35203604</v>
      </c>
      <c r="T632" t="str">
        <f t="shared" si="18"/>
        <v>3832.43.4302.84.0-205400.2.3.2.02.02.009.03.</v>
      </c>
      <c r="U632" t="e" cm="1">
        <f t="array" aca="1" ref="U632" ca="1">+IF(COMPROMISOS_2025[[#This Row],[P]]="20","41080111",_xlfn.XLOOKUP(COMPROMISOS_2025[[#This Row],[concatenado]],PAA[[#All],[RCP-RUBRO]],PAA[[#All],[INDICADOR]],"",0))</f>
        <v>#NAME?</v>
      </c>
      <c r="V632" s="144" t="str">
        <f t="shared" si="19"/>
        <v>84</v>
      </c>
      <c r="W632" s="136">
        <f>+COMPROMISOS_2025[[#This Row],[valor_total]]-COMPROMISOS_2025[[#This Row],[total_cancelado]]</f>
        <v>40747479</v>
      </c>
      <c r="X632" s="136">
        <f>COMPROMISOS_2025[[#This Row],[total_ordenes]]</f>
        <v>5543875</v>
      </c>
      <c r="Y632" t="str" cm="1">
        <f t="array" aca="1" ref="Y632" ca="1">IFERROR(_xlfn.XLOOKUP(COMPROMISOS_2025[[#This Row],[concatenado]],PAA[[#All],[RCP-RUBRO]],PAA[[#All],[Actividad3]],VLOOKUP(COMPROMISOS_2025[[#This Row],[Indicador Principal]],$AC$2:$AD$17,2,0),0),"")</f>
        <v/>
      </c>
    </row>
    <row r="633" spans="1:25" hidden="1" x14ac:dyDescent="0.25">
      <c r="A633">
        <v>384</v>
      </c>
      <c r="B633" t="s">
        <v>3394</v>
      </c>
      <c r="C633" t="s">
        <v>1936</v>
      </c>
      <c r="D633" t="s">
        <v>2186</v>
      </c>
      <c r="E633" t="s">
        <v>3395</v>
      </c>
      <c r="F633">
        <v>203</v>
      </c>
      <c r="G633">
        <v>62</v>
      </c>
      <c r="H633" t="s">
        <v>452</v>
      </c>
      <c r="I633" t="s">
        <v>2018</v>
      </c>
      <c r="J633">
        <v>40747479</v>
      </c>
      <c r="K633">
        <v>2025</v>
      </c>
      <c r="L633">
        <v>1037629422</v>
      </c>
      <c r="M633" t="s">
        <v>3396</v>
      </c>
      <c r="N633" t="s">
        <v>1688</v>
      </c>
      <c r="O633" t="s">
        <v>1686</v>
      </c>
      <c r="P633">
        <v>0</v>
      </c>
      <c r="Q633">
        <v>5543875</v>
      </c>
      <c r="R633">
        <v>0</v>
      </c>
      <c r="S633">
        <v>35203604</v>
      </c>
      <c r="T633" t="str">
        <f t="shared" si="18"/>
        <v>3842.43.4302.84.0-205400.2.3.2.02.02.009.03.</v>
      </c>
      <c r="U633" t="e" cm="1">
        <f t="array" aca="1" ref="U633" ca="1">+IF(COMPROMISOS_2025[[#This Row],[P]]="20","41080111",_xlfn.XLOOKUP(COMPROMISOS_2025[[#This Row],[concatenado]],PAA[[#All],[RCP-RUBRO]],PAA[[#All],[INDICADOR]],"",0))</f>
        <v>#NAME?</v>
      </c>
      <c r="V633" s="144" t="str">
        <f t="shared" si="19"/>
        <v>84</v>
      </c>
      <c r="W633" s="136">
        <f>+COMPROMISOS_2025[[#This Row],[valor_total]]-COMPROMISOS_2025[[#This Row],[total_cancelado]]</f>
        <v>40747479</v>
      </c>
      <c r="X633" s="136">
        <f>COMPROMISOS_2025[[#This Row],[total_ordenes]]</f>
        <v>5543875</v>
      </c>
      <c r="Y633" t="str" cm="1">
        <f t="array" aca="1" ref="Y633" ca="1">IFERROR(_xlfn.XLOOKUP(COMPROMISOS_2025[[#This Row],[concatenado]],PAA[[#All],[RCP-RUBRO]],PAA[[#All],[Actividad3]],VLOOKUP(COMPROMISOS_2025[[#This Row],[Indicador Principal]],$AC$2:$AD$17,2,0),0),"")</f>
        <v/>
      </c>
    </row>
    <row r="634" spans="1:25" hidden="1" x14ac:dyDescent="0.25">
      <c r="A634">
        <v>385</v>
      </c>
      <c r="B634" t="s">
        <v>3397</v>
      </c>
      <c r="C634" t="s">
        <v>1936</v>
      </c>
      <c r="D634" t="s">
        <v>2228</v>
      </c>
      <c r="E634" t="s">
        <v>3398</v>
      </c>
      <c r="F634">
        <v>243</v>
      </c>
      <c r="G634">
        <v>62</v>
      </c>
      <c r="H634" t="s">
        <v>452</v>
      </c>
      <c r="I634" t="s">
        <v>2018</v>
      </c>
      <c r="J634">
        <v>71344176</v>
      </c>
      <c r="K634">
        <v>2025</v>
      </c>
      <c r="L634">
        <v>15302841</v>
      </c>
      <c r="M634" t="s">
        <v>3399</v>
      </c>
      <c r="N634" t="s">
        <v>1688</v>
      </c>
      <c r="O634" t="s">
        <v>1686</v>
      </c>
      <c r="P634">
        <v>0</v>
      </c>
      <c r="Q634">
        <v>9706691</v>
      </c>
      <c r="R634">
        <v>0</v>
      </c>
      <c r="S634">
        <v>61637485</v>
      </c>
      <c r="T634" t="str">
        <f t="shared" si="18"/>
        <v>3852.43.4302.84.0-205400.2.3.2.02.02.009.03.</v>
      </c>
      <c r="U634" t="e" cm="1">
        <f t="array" aca="1" ref="U634" ca="1">+IF(COMPROMISOS_2025[[#This Row],[P]]="20","41080111",_xlfn.XLOOKUP(COMPROMISOS_2025[[#This Row],[concatenado]],PAA[[#All],[RCP-RUBRO]],PAA[[#All],[INDICADOR]],"",0))</f>
        <v>#NAME?</v>
      </c>
      <c r="V634" s="144" t="str">
        <f t="shared" si="19"/>
        <v>84</v>
      </c>
      <c r="W634" s="136">
        <f>+COMPROMISOS_2025[[#This Row],[valor_total]]-COMPROMISOS_2025[[#This Row],[total_cancelado]]</f>
        <v>71344176</v>
      </c>
      <c r="X634" s="136">
        <f>COMPROMISOS_2025[[#This Row],[total_ordenes]]</f>
        <v>9706691</v>
      </c>
      <c r="Y634" t="str" cm="1">
        <f t="array" aca="1" ref="Y634" ca="1">IFERROR(_xlfn.XLOOKUP(COMPROMISOS_2025[[#This Row],[concatenado]],PAA[[#All],[RCP-RUBRO]],PAA[[#All],[Actividad3]],VLOOKUP(COMPROMISOS_2025[[#This Row],[Indicador Principal]],$AC$2:$AD$17,2,0),0),"")</f>
        <v/>
      </c>
    </row>
    <row r="635" spans="1:25" hidden="1" x14ac:dyDescent="0.25">
      <c r="A635">
        <v>386</v>
      </c>
      <c r="B635" t="s">
        <v>3400</v>
      </c>
      <c r="C635" t="s">
        <v>1936</v>
      </c>
      <c r="D635" t="s">
        <v>2187</v>
      </c>
      <c r="E635" t="s">
        <v>3401</v>
      </c>
      <c r="F635">
        <v>204</v>
      </c>
      <c r="G635">
        <v>62</v>
      </c>
      <c r="H635" t="s">
        <v>452</v>
      </c>
      <c r="I635" t="s">
        <v>2018</v>
      </c>
      <c r="J635">
        <v>26545593</v>
      </c>
      <c r="K635">
        <v>2025</v>
      </c>
      <c r="L635">
        <v>1042767191</v>
      </c>
      <c r="M635" t="s">
        <v>3402</v>
      </c>
      <c r="N635" t="s">
        <v>1688</v>
      </c>
      <c r="O635" t="s">
        <v>1686</v>
      </c>
      <c r="P635">
        <v>0</v>
      </c>
      <c r="Q635">
        <v>3611645</v>
      </c>
      <c r="R635">
        <v>0</v>
      </c>
      <c r="S635">
        <v>22933948</v>
      </c>
      <c r="T635" t="str">
        <f t="shared" si="18"/>
        <v>3862.43.4302.84.0-205400.2.3.2.02.02.009.03.</v>
      </c>
      <c r="U635" t="e" cm="1">
        <f t="array" aca="1" ref="U635" ca="1">+IF(COMPROMISOS_2025[[#This Row],[P]]="20","41080111",_xlfn.XLOOKUP(COMPROMISOS_2025[[#This Row],[concatenado]],PAA[[#All],[RCP-RUBRO]],PAA[[#All],[INDICADOR]],"",0))</f>
        <v>#NAME?</v>
      </c>
      <c r="V635" s="144" t="str">
        <f t="shared" si="19"/>
        <v>84</v>
      </c>
      <c r="W635" s="136">
        <f>+COMPROMISOS_2025[[#This Row],[valor_total]]-COMPROMISOS_2025[[#This Row],[total_cancelado]]</f>
        <v>26545593</v>
      </c>
      <c r="X635" s="136">
        <f>COMPROMISOS_2025[[#This Row],[total_ordenes]]</f>
        <v>3611645</v>
      </c>
      <c r="Y635" t="str" cm="1">
        <f t="array" aca="1" ref="Y635" ca="1">IFERROR(_xlfn.XLOOKUP(COMPROMISOS_2025[[#This Row],[concatenado]],PAA[[#All],[RCP-RUBRO]],PAA[[#All],[Actividad3]],VLOOKUP(COMPROMISOS_2025[[#This Row],[Indicador Principal]],$AC$2:$AD$17,2,0),0),"")</f>
        <v/>
      </c>
    </row>
    <row r="636" spans="1:25" hidden="1" x14ac:dyDescent="0.25">
      <c r="A636">
        <v>387</v>
      </c>
      <c r="B636" t="s">
        <v>3403</v>
      </c>
      <c r="C636" t="s">
        <v>1936</v>
      </c>
      <c r="D636" t="s">
        <v>2220</v>
      </c>
      <c r="E636" t="s">
        <v>3404</v>
      </c>
      <c r="F636">
        <v>235</v>
      </c>
      <c r="G636">
        <v>62</v>
      </c>
      <c r="H636" t="s">
        <v>452</v>
      </c>
      <c r="I636" t="s">
        <v>2018</v>
      </c>
      <c r="J636">
        <v>26545593</v>
      </c>
      <c r="K636">
        <v>2025</v>
      </c>
      <c r="L636">
        <v>1041234805</v>
      </c>
      <c r="M636" t="s">
        <v>3405</v>
      </c>
      <c r="N636" t="s">
        <v>1688</v>
      </c>
      <c r="O636" t="s">
        <v>1686</v>
      </c>
      <c r="P636">
        <v>0</v>
      </c>
      <c r="Q636">
        <v>3611645</v>
      </c>
      <c r="R636">
        <v>0</v>
      </c>
      <c r="S636">
        <v>22933948</v>
      </c>
      <c r="T636" t="str">
        <f t="shared" si="18"/>
        <v>3872.43.4302.84.0-205400.2.3.2.02.02.009.03.</v>
      </c>
      <c r="U636" t="e" cm="1">
        <f t="array" aca="1" ref="U636" ca="1">+IF(COMPROMISOS_2025[[#This Row],[P]]="20","41080111",_xlfn.XLOOKUP(COMPROMISOS_2025[[#This Row],[concatenado]],PAA[[#All],[RCP-RUBRO]],PAA[[#All],[INDICADOR]],"",0))</f>
        <v>#NAME?</v>
      </c>
      <c r="V636" s="144" t="str">
        <f t="shared" si="19"/>
        <v>84</v>
      </c>
      <c r="W636" s="136">
        <f>+COMPROMISOS_2025[[#This Row],[valor_total]]-COMPROMISOS_2025[[#This Row],[total_cancelado]]</f>
        <v>26545593</v>
      </c>
      <c r="X636" s="136">
        <f>COMPROMISOS_2025[[#This Row],[total_ordenes]]</f>
        <v>3611645</v>
      </c>
      <c r="Y636" t="str" cm="1">
        <f t="array" aca="1" ref="Y636" ca="1">IFERROR(_xlfn.XLOOKUP(COMPROMISOS_2025[[#This Row],[concatenado]],PAA[[#All],[RCP-RUBRO]],PAA[[#All],[Actividad3]],VLOOKUP(COMPROMISOS_2025[[#This Row],[Indicador Principal]],$AC$2:$AD$17,2,0),0),"")</f>
        <v/>
      </c>
    </row>
    <row r="637" spans="1:25" hidden="1" x14ac:dyDescent="0.25">
      <c r="A637">
        <v>388</v>
      </c>
      <c r="B637" t="s">
        <v>3403</v>
      </c>
      <c r="C637" t="s">
        <v>1936</v>
      </c>
      <c r="D637" t="s">
        <v>2195</v>
      </c>
      <c r="E637" t="s">
        <v>3406</v>
      </c>
      <c r="F637">
        <v>212</v>
      </c>
      <c r="G637">
        <v>62</v>
      </c>
      <c r="H637" t="s">
        <v>452</v>
      </c>
      <c r="I637" t="s">
        <v>2018</v>
      </c>
      <c r="J637">
        <v>61147776</v>
      </c>
      <c r="K637">
        <v>2025</v>
      </c>
      <c r="L637">
        <v>7003262267</v>
      </c>
      <c r="M637" t="s">
        <v>3407</v>
      </c>
      <c r="N637" t="s">
        <v>1688</v>
      </c>
      <c r="O637" t="s">
        <v>1686</v>
      </c>
      <c r="P637">
        <v>0</v>
      </c>
      <c r="Q637">
        <v>8319425</v>
      </c>
      <c r="R637">
        <v>0</v>
      </c>
      <c r="S637">
        <v>52828351</v>
      </c>
      <c r="T637" t="str">
        <f t="shared" si="18"/>
        <v>3882.43.4302.84.0-205400.2.3.2.02.02.009.03.</v>
      </c>
      <c r="U637" t="e" cm="1">
        <f t="array" aca="1" ref="U637" ca="1">+IF(COMPROMISOS_2025[[#This Row],[P]]="20","41080111",_xlfn.XLOOKUP(COMPROMISOS_2025[[#This Row],[concatenado]],PAA[[#All],[RCP-RUBRO]],PAA[[#All],[INDICADOR]],"",0))</f>
        <v>#NAME?</v>
      </c>
      <c r="V637" s="144" t="str">
        <f t="shared" si="19"/>
        <v>84</v>
      </c>
      <c r="W637" s="136">
        <f>+COMPROMISOS_2025[[#This Row],[valor_total]]-COMPROMISOS_2025[[#This Row],[total_cancelado]]</f>
        <v>61147776</v>
      </c>
      <c r="X637" s="136">
        <f>COMPROMISOS_2025[[#This Row],[total_ordenes]]</f>
        <v>8319425</v>
      </c>
      <c r="Y637" t="str" cm="1">
        <f t="array" aca="1" ref="Y637" ca="1">IFERROR(_xlfn.XLOOKUP(COMPROMISOS_2025[[#This Row],[concatenado]],PAA[[#All],[RCP-RUBRO]],PAA[[#All],[Actividad3]],VLOOKUP(COMPROMISOS_2025[[#This Row],[Indicador Principal]],$AC$2:$AD$17,2,0),0),"")</f>
        <v/>
      </c>
    </row>
    <row r="638" spans="1:25" hidden="1" x14ac:dyDescent="0.25">
      <c r="A638">
        <v>389</v>
      </c>
      <c r="B638" t="s">
        <v>3408</v>
      </c>
      <c r="C638" t="s">
        <v>1936</v>
      </c>
      <c r="D638" t="s">
        <v>2135</v>
      </c>
      <c r="E638" t="s">
        <v>3409</v>
      </c>
      <c r="F638">
        <v>154</v>
      </c>
      <c r="G638">
        <v>62</v>
      </c>
      <c r="H638" t="s">
        <v>452</v>
      </c>
      <c r="I638" t="s">
        <v>2018</v>
      </c>
      <c r="J638">
        <v>61147776</v>
      </c>
      <c r="K638">
        <v>2025</v>
      </c>
      <c r="L638">
        <v>10376172137</v>
      </c>
      <c r="M638" t="s">
        <v>3410</v>
      </c>
      <c r="N638" t="s">
        <v>1688</v>
      </c>
      <c r="O638" t="s">
        <v>1686</v>
      </c>
      <c r="P638">
        <v>0</v>
      </c>
      <c r="Q638">
        <v>8319425</v>
      </c>
      <c r="R638">
        <v>0</v>
      </c>
      <c r="S638">
        <v>52828351</v>
      </c>
      <c r="T638" t="str">
        <f t="shared" si="18"/>
        <v>3892.43.4302.84.0-205400.2.3.2.02.02.009.03.</v>
      </c>
      <c r="U638" t="e" cm="1">
        <f t="array" aca="1" ref="U638" ca="1">+IF(COMPROMISOS_2025[[#This Row],[P]]="20","41080111",_xlfn.XLOOKUP(COMPROMISOS_2025[[#This Row],[concatenado]],PAA[[#All],[RCP-RUBRO]],PAA[[#All],[INDICADOR]],"",0))</f>
        <v>#NAME?</v>
      </c>
      <c r="V638" s="144" t="str">
        <f t="shared" si="19"/>
        <v>84</v>
      </c>
      <c r="W638" s="136">
        <f>+COMPROMISOS_2025[[#This Row],[valor_total]]-COMPROMISOS_2025[[#This Row],[total_cancelado]]</f>
        <v>61147776</v>
      </c>
      <c r="X638" s="136">
        <f>COMPROMISOS_2025[[#This Row],[total_ordenes]]</f>
        <v>8319425</v>
      </c>
      <c r="Y638" t="str" cm="1">
        <f t="array" aca="1" ref="Y638" ca="1">IFERROR(_xlfn.XLOOKUP(COMPROMISOS_2025[[#This Row],[concatenado]],PAA[[#All],[RCP-RUBRO]],PAA[[#All],[Actividad3]],VLOOKUP(COMPROMISOS_2025[[#This Row],[Indicador Principal]],$AC$2:$AD$17,2,0),0),"")</f>
        <v/>
      </c>
    </row>
    <row r="639" spans="1:25" hidden="1" x14ac:dyDescent="0.25">
      <c r="A639">
        <v>390</v>
      </c>
      <c r="B639" t="s">
        <v>3411</v>
      </c>
      <c r="C639" t="s">
        <v>1936</v>
      </c>
      <c r="D639" t="s">
        <v>2203</v>
      </c>
      <c r="E639" t="s">
        <v>3412</v>
      </c>
      <c r="F639">
        <v>220</v>
      </c>
      <c r="G639">
        <v>62</v>
      </c>
      <c r="H639" t="s">
        <v>452</v>
      </c>
      <c r="I639" t="s">
        <v>2018</v>
      </c>
      <c r="J639">
        <v>61147776</v>
      </c>
      <c r="K639">
        <v>2025</v>
      </c>
      <c r="L639">
        <v>71988040</v>
      </c>
      <c r="M639" t="s">
        <v>3413</v>
      </c>
      <c r="N639" t="s">
        <v>1688</v>
      </c>
      <c r="O639" t="s">
        <v>1686</v>
      </c>
      <c r="P639">
        <v>0</v>
      </c>
      <c r="Q639">
        <v>8319425</v>
      </c>
      <c r="R639">
        <v>0</v>
      </c>
      <c r="S639">
        <v>52828351</v>
      </c>
      <c r="T639" t="str">
        <f t="shared" si="18"/>
        <v>3902.43.4302.84.0-205400.2.3.2.02.02.009.03.</v>
      </c>
      <c r="U639" t="e" cm="1">
        <f t="array" aca="1" ref="U639" ca="1">+IF(COMPROMISOS_2025[[#This Row],[P]]="20","41080111",_xlfn.XLOOKUP(COMPROMISOS_2025[[#This Row],[concatenado]],PAA[[#All],[RCP-RUBRO]],PAA[[#All],[INDICADOR]],"",0))</f>
        <v>#NAME?</v>
      </c>
      <c r="V639" s="144" t="str">
        <f t="shared" si="19"/>
        <v>84</v>
      </c>
      <c r="W639" s="136">
        <f>+COMPROMISOS_2025[[#This Row],[valor_total]]-COMPROMISOS_2025[[#This Row],[total_cancelado]]</f>
        <v>61147776</v>
      </c>
      <c r="X639" s="136">
        <f>COMPROMISOS_2025[[#This Row],[total_ordenes]]</f>
        <v>8319425</v>
      </c>
      <c r="Y639" t="str" cm="1">
        <f t="array" aca="1" ref="Y639" ca="1">IFERROR(_xlfn.XLOOKUP(COMPROMISOS_2025[[#This Row],[concatenado]],PAA[[#All],[RCP-RUBRO]],PAA[[#All],[Actividad3]],VLOOKUP(COMPROMISOS_2025[[#This Row],[Indicador Principal]],$AC$2:$AD$17,2,0),0),"")</f>
        <v/>
      </c>
    </row>
    <row r="640" spans="1:25" hidden="1" x14ac:dyDescent="0.25">
      <c r="A640">
        <v>391</v>
      </c>
      <c r="B640" t="s">
        <v>3414</v>
      </c>
      <c r="C640" t="s">
        <v>1936</v>
      </c>
      <c r="D640" t="s">
        <v>2117</v>
      </c>
      <c r="E640" t="s">
        <v>3415</v>
      </c>
      <c r="F640">
        <v>138</v>
      </c>
      <c r="G640">
        <v>62</v>
      </c>
      <c r="H640" t="s">
        <v>452</v>
      </c>
      <c r="I640" t="s">
        <v>2018</v>
      </c>
      <c r="J640">
        <v>26545593</v>
      </c>
      <c r="K640">
        <v>2025</v>
      </c>
      <c r="L640">
        <v>1028001610</v>
      </c>
      <c r="M640" t="s">
        <v>3416</v>
      </c>
      <c r="N640" t="s">
        <v>1688</v>
      </c>
      <c r="O640" t="s">
        <v>1686</v>
      </c>
      <c r="P640">
        <v>0</v>
      </c>
      <c r="Q640">
        <v>3611645</v>
      </c>
      <c r="R640">
        <v>0</v>
      </c>
      <c r="S640">
        <v>22933948</v>
      </c>
      <c r="T640" t="str">
        <f t="shared" si="18"/>
        <v>3912.43.4302.84.0-205400.2.3.2.02.02.009.03.</v>
      </c>
      <c r="U640" t="e" cm="1">
        <f t="array" aca="1" ref="U640" ca="1">+IF(COMPROMISOS_2025[[#This Row],[P]]="20","41080111",_xlfn.XLOOKUP(COMPROMISOS_2025[[#This Row],[concatenado]],PAA[[#All],[RCP-RUBRO]],PAA[[#All],[INDICADOR]],"",0))</f>
        <v>#NAME?</v>
      </c>
      <c r="V640" s="144" t="str">
        <f t="shared" si="19"/>
        <v>84</v>
      </c>
      <c r="W640" s="136">
        <f>+COMPROMISOS_2025[[#This Row],[valor_total]]-COMPROMISOS_2025[[#This Row],[total_cancelado]]</f>
        <v>26545593</v>
      </c>
      <c r="X640" s="136">
        <f>COMPROMISOS_2025[[#This Row],[total_ordenes]]</f>
        <v>3611645</v>
      </c>
      <c r="Y640" t="str" cm="1">
        <f t="array" aca="1" ref="Y640" ca="1">IFERROR(_xlfn.XLOOKUP(COMPROMISOS_2025[[#This Row],[concatenado]],PAA[[#All],[RCP-RUBRO]],PAA[[#All],[Actividad3]],VLOOKUP(COMPROMISOS_2025[[#This Row],[Indicador Principal]],$AC$2:$AD$17,2,0),0),"")</f>
        <v/>
      </c>
    </row>
    <row r="641" spans="1:25" hidden="1" x14ac:dyDescent="0.25">
      <c r="A641">
        <v>392</v>
      </c>
      <c r="B641" t="s">
        <v>3417</v>
      </c>
      <c r="C641" t="s">
        <v>1936</v>
      </c>
      <c r="D641" t="s">
        <v>2134</v>
      </c>
      <c r="E641" t="s">
        <v>3418</v>
      </c>
      <c r="F641">
        <v>153</v>
      </c>
      <c r="G641">
        <v>62</v>
      </c>
      <c r="H641" t="s">
        <v>452</v>
      </c>
      <c r="I641" t="s">
        <v>2018</v>
      </c>
      <c r="J641">
        <v>26545593</v>
      </c>
      <c r="K641">
        <v>2025</v>
      </c>
      <c r="L641">
        <v>705220678</v>
      </c>
      <c r="M641" t="s">
        <v>3419</v>
      </c>
      <c r="N641" t="s">
        <v>1688</v>
      </c>
      <c r="O641" t="s">
        <v>1686</v>
      </c>
      <c r="P641">
        <v>0</v>
      </c>
      <c r="Q641">
        <v>3611645</v>
      </c>
      <c r="R641">
        <v>0</v>
      </c>
      <c r="S641">
        <v>22933948</v>
      </c>
      <c r="T641" t="str">
        <f t="shared" si="18"/>
        <v>3922.43.4302.84.0-205400.2.3.2.02.02.009.03.</v>
      </c>
      <c r="U641" t="e" cm="1">
        <f t="array" aca="1" ref="U641" ca="1">+IF(COMPROMISOS_2025[[#This Row],[P]]="20","41080111",_xlfn.XLOOKUP(COMPROMISOS_2025[[#This Row],[concatenado]],PAA[[#All],[RCP-RUBRO]],PAA[[#All],[INDICADOR]],"",0))</f>
        <v>#NAME?</v>
      </c>
      <c r="V641" s="144" t="str">
        <f t="shared" si="19"/>
        <v>84</v>
      </c>
      <c r="W641" s="136">
        <f>+COMPROMISOS_2025[[#This Row],[valor_total]]-COMPROMISOS_2025[[#This Row],[total_cancelado]]</f>
        <v>26545593</v>
      </c>
      <c r="X641" s="136">
        <f>COMPROMISOS_2025[[#This Row],[total_ordenes]]</f>
        <v>3611645</v>
      </c>
      <c r="Y641" t="str" cm="1">
        <f t="array" aca="1" ref="Y641" ca="1">IFERROR(_xlfn.XLOOKUP(COMPROMISOS_2025[[#This Row],[concatenado]],PAA[[#All],[RCP-RUBRO]],PAA[[#All],[Actividad3]],VLOOKUP(COMPROMISOS_2025[[#This Row],[Indicador Principal]],$AC$2:$AD$17,2,0),0),"")</f>
        <v/>
      </c>
    </row>
    <row r="642" spans="1:25" hidden="1" x14ac:dyDescent="0.25">
      <c r="A642">
        <v>394</v>
      </c>
      <c r="B642" t="s">
        <v>3420</v>
      </c>
      <c r="C642" t="s">
        <v>1936</v>
      </c>
      <c r="D642" t="s">
        <v>2108</v>
      </c>
      <c r="E642" t="s">
        <v>3421</v>
      </c>
      <c r="F642">
        <v>129</v>
      </c>
      <c r="G642">
        <v>62</v>
      </c>
      <c r="H642" t="s">
        <v>452</v>
      </c>
      <c r="I642" t="s">
        <v>2018</v>
      </c>
      <c r="J642">
        <v>50609170</v>
      </c>
      <c r="K642">
        <v>2025</v>
      </c>
      <c r="L642">
        <v>1065894539</v>
      </c>
      <c r="M642" t="s">
        <v>3422</v>
      </c>
      <c r="N642" t="s">
        <v>1688</v>
      </c>
      <c r="O642" t="s">
        <v>1686</v>
      </c>
      <c r="P642">
        <v>0</v>
      </c>
      <c r="Q642">
        <v>6885601</v>
      </c>
      <c r="R642">
        <v>0</v>
      </c>
      <c r="S642">
        <v>43723569</v>
      </c>
      <c r="T642" t="str">
        <f t="shared" ref="T642:T705" si="20">IF(A642&gt;=0,CONCATENATE(A642,H642),"")</f>
        <v>3942.43.4302.84.0-205400.2.3.2.02.02.009.03.</v>
      </c>
      <c r="U642" t="e" cm="1">
        <f t="array" aca="1" ref="U642" ca="1">+IF(COMPROMISOS_2025[[#This Row],[P]]="20","41080111",_xlfn.XLOOKUP(COMPROMISOS_2025[[#This Row],[concatenado]],PAA[[#All],[RCP-RUBRO]],PAA[[#All],[INDICADOR]],"",0))</f>
        <v>#NAME?</v>
      </c>
      <c r="V642" s="144" t="str">
        <f t="shared" ref="V642:V705" si="21">+MID(H642,11,2)</f>
        <v>84</v>
      </c>
      <c r="W642" s="136">
        <f>+COMPROMISOS_2025[[#This Row],[valor_total]]-COMPROMISOS_2025[[#This Row],[total_cancelado]]</f>
        <v>50609170</v>
      </c>
      <c r="X642" s="136">
        <f>COMPROMISOS_2025[[#This Row],[total_ordenes]]</f>
        <v>6885601</v>
      </c>
      <c r="Y642" t="str" cm="1">
        <f t="array" aca="1" ref="Y642" ca="1">IFERROR(_xlfn.XLOOKUP(COMPROMISOS_2025[[#This Row],[concatenado]],PAA[[#All],[RCP-RUBRO]],PAA[[#All],[Actividad3]],VLOOKUP(COMPROMISOS_2025[[#This Row],[Indicador Principal]],$AC$2:$AD$17,2,0),0),"")</f>
        <v/>
      </c>
    </row>
    <row r="643" spans="1:25" hidden="1" x14ac:dyDescent="0.25">
      <c r="A643">
        <v>395</v>
      </c>
      <c r="B643" t="s">
        <v>3423</v>
      </c>
      <c r="C643" t="s">
        <v>1936</v>
      </c>
      <c r="D643" t="s">
        <v>2109</v>
      </c>
      <c r="E643" t="s">
        <v>3424</v>
      </c>
      <c r="F643">
        <v>130</v>
      </c>
      <c r="G643">
        <v>62</v>
      </c>
      <c r="H643" t="s">
        <v>452</v>
      </c>
      <c r="I643" t="s">
        <v>2018</v>
      </c>
      <c r="J643">
        <v>50609170</v>
      </c>
      <c r="K643">
        <v>2025</v>
      </c>
      <c r="L643">
        <v>11522253828</v>
      </c>
      <c r="M643" t="s">
        <v>3425</v>
      </c>
      <c r="N643" t="s">
        <v>1688</v>
      </c>
      <c r="O643" t="s">
        <v>1686</v>
      </c>
      <c r="P643">
        <v>0</v>
      </c>
      <c r="Q643">
        <v>6885601</v>
      </c>
      <c r="R643">
        <v>0</v>
      </c>
      <c r="S643">
        <v>43723569</v>
      </c>
      <c r="T643" t="str">
        <f t="shared" si="20"/>
        <v>3952.43.4302.84.0-205400.2.3.2.02.02.009.03.</v>
      </c>
      <c r="U643" t="e" cm="1">
        <f t="array" aca="1" ref="U643" ca="1">+IF(COMPROMISOS_2025[[#This Row],[P]]="20","41080111",_xlfn.XLOOKUP(COMPROMISOS_2025[[#This Row],[concatenado]],PAA[[#All],[RCP-RUBRO]],PAA[[#All],[INDICADOR]],"",0))</f>
        <v>#NAME?</v>
      </c>
      <c r="V643" s="144" t="str">
        <f t="shared" si="21"/>
        <v>84</v>
      </c>
      <c r="W643" s="136">
        <f>+COMPROMISOS_2025[[#This Row],[valor_total]]-COMPROMISOS_2025[[#This Row],[total_cancelado]]</f>
        <v>50609170</v>
      </c>
      <c r="X643" s="136">
        <f>COMPROMISOS_2025[[#This Row],[total_ordenes]]</f>
        <v>6885601</v>
      </c>
      <c r="Y643" t="str" cm="1">
        <f t="array" aca="1" ref="Y643" ca="1">IFERROR(_xlfn.XLOOKUP(COMPROMISOS_2025[[#This Row],[concatenado]],PAA[[#All],[RCP-RUBRO]],PAA[[#All],[Actividad3]],VLOOKUP(COMPROMISOS_2025[[#This Row],[Indicador Principal]],$AC$2:$AD$17,2,0),0),"")</f>
        <v/>
      </c>
    </row>
    <row r="644" spans="1:25" hidden="1" x14ac:dyDescent="0.25">
      <c r="A644">
        <v>396</v>
      </c>
      <c r="B644" t="s">
        <v>3426</v>
      </c>
      <c r="C644" t="s">
        <v>1936</v>
      </c>
      <c r="D644" t="s">
        <v>2145</v>
      </c>
      <c r="E644" t="s">
        <v>3427</v>
      </c>
      <c r="F644">
        <v>164</v>
      </c>
      <c r="G644">
        <v>62</v>
      </c>
      <c r="H644" t="s">
        <v>452</v>
      </c>
      <c r="I644" t="s">
        <v>2018</v>
      </c>
      <c r="J644">
        <v>61147776</v>
      </c>
      <c r="K644">
        <v>2025</v>
      </c>
      <c r="L644">
        <v>1041325263</v>
      </c>
      <c r="M644" t="s">
        <v>3428</v>
      </c>
      <c r="N644" t="s">
        <v>1688</v>
      </c>
      <c r="O644" t="s">
        <v>1686</v>
      </c>
      <c r="P644">
        <v>0</v>
      </c>
      <c r="Q644">
        <v>8319425</v>
      </c>
      <c r="R644">
        <v>0</v>
      </c>
      <c r="S644">
        <v>52828351</v>
      </c>
      <c r="T644" t="str">
        <f t="shared" si="20"/>
        <v>3962.43.4302.84.0-205400.2.3.2.02.02.009.03.</v>
      </c>
      <c r="U644" t="e" cm="1">
        <f t="array" aca="1" ref="U644" ca="1">+IF(COMPROMISOS_2025[[#This Row],[P]]="20","41080111",_xlfn.XLOOKUP(COMPROMISOS_2025[[#This Row],[concatenado]],PAA[[#All],[RCP-RUBRO]],PAA[[#All],[INDICADOR]],"",0))</f>
        <v>#NAME?</v>
      </c>
      <c r="V644" s="144" t="str">
        <f t="shared" si="21"/>
        <v>84</v>
      </c>
      <c r="W644" s="136">
        <f>+COMPROMISOS_2025[[#This Row],[valor_total]]-COMPROMISOS_2025[[#This Row],[total_cancelado]]</f>
        <v>61147776</v>
      </c>
      <c r="X644" s="136">
        <f>COMPROMISOS_2025[[#This Row],[total_ordenes]]</f>
        <v>8319425</v>
      </c>
      <c r="Y644" t="str" cm="1">
        <f t="array" aca="1" ref="Y644" ca="1">IFERROR(_xlfn.XLOOKUP(COMPROMISOS_2025[[#This Row],[concatenado]],PAA[[#All],[RCP-RUBRO]],PAA[[#All],[Actividad3]],VLOOKUP(COMPROMISOS_2025[[#This Row],[Indicador Principal]],$AC$2:$AD$17,2,0),0),"")</f>
        <v/>
      </c>
    </row>
    <row r="645" spans="1:25" hidden="1" x14ac:dyDescent="0.25">
      <c r="A645">
        <v>397</v>
      </c>
      <c r="B645" t="s">
        <v>3429</v>
      </c>
      <c r="C645" t="s">
        <v>1936</v>
      </c>
      <c r="D645" t="s">
        <v>2144</v>
      </c>
      <c r="E645" t="s">
        <v>3430</v>
      </c>
      <c r="F645">
        <v>163</v>
      </c>
      <c r="G645">
        <v>62</v>
      </c>
      <c r="H645" t="s">
        <v>452</v>
      </c>
      <c r="I645" t="s">
        <v>2018</v>
      </c>
      <c r="J645">
        <v>50609170</v>
      </c>
      <c r="K645">
        <v>2025</v>
      </c>
      <c r="L645">
        <v>10369622923</v>
      </c>
      <c r="M645" t="s">
        <v>3431</v>
      </c>
      <c r="N645" t="s">
        <v>1688</v>
      </c>
      <c r="O645" t="s">
        <v>1686</v>
      </c>
      <c r="P645">
        <v>0</v>
      </c>
      <c r="Q645">
        <v>6885601</v>
      </c>
      <c r="R645">
        <v>0</v>
      </c>
      <c r="S645">
        <v>43723569</v>
      </c>
      <c r="T645" t="str">
        <f t="shared" si="20"/>
        <v>3972.43.4302.84.0-205400.2.3.2.02.02.009.03.</v>
      </c>
      <c r="U645" t="e" cm="1">
        <f t="array" aca="1" ref="U645" ca="1">+IF(COMPROMISOS_2025[[#This Row],[P]]="20","41080111",_xlfn.XLOOKUP(COMPROMISOS_2025[[#This Row],[concatenado]],PAA[[#All],[RCP-RUBRO]],PAA[[#All],[INDICADOR]],"",0))</f>
        <v>#NAME?</v>
      </c>
      <c r="V645" s="144" t="str">
        <f t="shared" si="21"/>
        <v>84</v>
      </c>
      <c r="W645" s="136">
        <f>+COMPROMISOS_2025[[#This Row],[valor_total]]-COMPROMISOS_2025[[#This Row],[total_cancelado]]</f>
        <v>50609170</v>
      </c>
      <c r="X645" s="136">
        <f>COMPROMISOS_2025[[#This Row],[total_ordenes]]</f>
        <v>6885601</v>
      </c>
      <c r="Y645" t="str" cm="1">
        <f t="array" aca="1" ref="Y645" ca="1">IFERROR(_xlfn.XLOOKUP(COMPROMISOS_2025[[#This Row],[concatenado]],PAA[[#All],[RCP-RUBRO]],PAA[[#All],[Actividad3]],VLOOKUP(COMPROMISOS_2025[[#This Row],[Indicador Principal]],$AC$2:$AD$17,2,0),0),"")</f>
        <v/>
      </c>
    </row>
    <row r="646" spans="1:25" hidden="1" x14ac:dyDescent="0.25">
      <c r="A646">
        <v>398</v>
      </c>
      <c r="B646" t="s">
        <v>3432</v>
      </c>
      <c r="C646" t="s">
        <v>1936</v>
      </c>
      <c r="D646" t="s">
        <v>2153</v>
      </c>
      <c r="E646" t="s">
        <v>3433</v>
      </c>
      <c r="F646">
        <v>172</v>
      </c>
      <c r="G646">
        <v>62</v>
      </c>
      <c r="H646" t="s">
        <v>452</v>
      </c>
      <c r="I646" t="s">
        <v>2018</v>
      </c>
      <c r="J646">
        <v>50609170</v>
      </c>
      <c r="K646">
        <v>2025</v>
      </c>
      <c r="L646">
        <v>1036955178</v>
      </c>
      <c r="M646" t="s">
        <v>3434</v>
      </c>
      <c r="N646" t="s">
        <v>1688</v>
      </c>
      <c r="O646" t="s">
        <v>1686</v>
      </c>
      <c r="P646">
        <v>0</v>
      </c>
      <c r="Q646">
        <v>6885601</v>
      </c>
      <c r="R646">
        <v>0</v>
      </c>
      <c r="S646">
        <v>43723569</v>
      </c>
      <c r="T646" t="str">
        <f t="shared" si="20"/>
        <v>3982.43.4302.84.0-205400.2.3.2.02.02.009.03.</v>
      </c>
      <c r="U646" t="e" cm="1">
        <f t="array" aca="1" ref="U646" ca="1">+IF(COMPROMISOS_2025[[#This Row],[P]]="20","41080111",_xlfn.XLOOKUP(COMPROMISOS_2025[[#This Row],[concatenado]],PAA[[#All],[RCP-RUBRO]],PAA[[#All],[INDICADOR]],"",0))</f>
        <v>#NAME?</v>
      </c>
      <c r="V646" s="144" t="str">
        <f t="shared" si="21"/>
        <v>84</v>
      </c>
      <c r="W646" s="136">
        <f>+COMPROMISOS_2025[[#This Row],[valor_total]]-COMPROMISOS_2025[[#This Row],[total_cancelado]]</f>
        <v>50609170</v>
      </c>
      <c r="X646" s="136">
        <f>COMPROMISOS_2025[[#This Row],[total_ordenes]]</f>
        <v>6885601</v>
      </c>
      <c r="Y646" t="str" cm="1">
        <f t="array" aca="1" ref="Y646" ca="1">IFERROR(_xlfn.XLOOKUP(COMPROMISOS_2025[[#This Row],[concatenado]],PAA[[#All],[RCP-RUBRO]],PAA[[#All],[Actividad3]],VLOOKUP(COMPROMISOS_2025[[#This Row],[Indicador Principal]],$AC$2:$AD$17,2,0),0),"")</f>
        <v/>
      </c>
    </row>
    <row r="647" spans="1:25" hidden="1" x14ac:dyDescent="0.25">
      <c r="A647">
        <v>399</v>
      </c>
      <c r="B647" t="s">
        <v>3435</v>
      </c>
      <c r="C647" t="s">
        <v>1936</v>
      </c>
      <c r="D647" t="s">
        <v>2137</v>
      </c>
      <c r="E647" t="s">
        <v>3436</v>
      </c>
      <c r="F647">
        <v>156</v>
      </c>
      <c r="G647">
        <v>62</v>
      </c>
      <c r="H647" t="s">
        <v>452</v>
      </c>
      <c r="I647" t="s">
        <v>2018</v>
      </c>
      <c r="J647">
        <v>50609170</v>
      </c>
      <c r="K647">
        <v>2025</v>
      </c>
      <c r="L647">
        <v>10369352311</v>
      </c>
      <c r="M647" t="s">
        <v>3437</v>
      </c>
      <c r="N647" t="s">
        <v>1688</v>
      </c>
      <c r="O647" t="s">
        <v>1686</v>
      </c>
      <c r="P647">
        <v>0</v>
      </c>
      <c r="Q647">
        <v>6885601</v>
      </c>
      <c r="R647">
        <v>0</v>
      </c>
      <c r="S647">
        <v>43723569</v>
      </c>
      <c r="T647" t="str">
        <f t="shared" si="20"/>
        <v>3992.43.4302.84.0-205400.2.3.2.02.02.009.03.</v>
      </c>
      <c r="U647" t="e" cm="1">
        <f t="array" aca="1" ref="U647" ca="1">+IF(COMPROMISOS_2025[[#This Row],[P]]="20","41080111",_xlfn.XLOOKUP(COMPROMISOS_2025[[#This Row],[concatenado]],PAA[[#All],[RCP-RUBRO]],PAA[[#All],[INDICADOR]],"",0))</f>
        <v>#NAME?</v>
      </c>
      <c r="V647" s="144" t="str">
        <f t="shared" si="21"/>
        <v>84</v>
      </c>
      <c r="W647" s="136">
        <f>+COMPROMISOS_2025[[#This Row],[valor_total]]-COMPROMISOS_2025[[#This Row],[total_cancelado]]</f>
        <v>50609170</v>
      </c>
      <c r="X647" s="136">
        <f>COMPROMISOS_2025[[#This Row],[total_ordenes]]</f>
        <v>6885601</v>
      </c>
      <c r="Y647" t="str" cm="1">
        <f t="array" aca="1" ref="Y647" ca="1">IFERROR(_xlfn.XLOOKUP(COMPROMISOS_2025[[#This Row],[concatenado]],PAA[[#All],[RCP-RUBRO]],PAA[[#All],[Actividad3]],VLOOKUP(COMPROMISOS_2025[[#This Row],[Indicador Principal]],$AC$2:$AD$17,2,0),0),"")</f>
        <v/>
      </c>
    </row>
    <row r="648" spans="1:25" hidden="1" x14ac:dyDescent="0.25">
      <c r="A648">
        <v>400</v>
      </c>
      <c r="B648" t="s">
        <v>3438</v>
      </c>
      <c r="C648" t="s">
        <v>1936</v>
      </c>
      <c r="D648" t="s">
        <v>2111</v>
      </c>
      <c r="E648" t="s">
        <v>3439</v>
      </c>
      <c r="F648">
        <v>132</v>
      </c>
      <c r="G648">
        <v>62</v>
      </c>
      <c r="H648" t="s">
        <v>452</v>
      </c>
      <c r="I648" t="s">
        <v>2018</v>
      </c>
      <c r="J648">
        <v>50609170</v>
      </c>
      <c r="K648">
        <v>2025</v>
      </c>
      <c r="L648">
        <v>10366694419</v>
      </c>
      <c r="M648" t="s">
        <v>3440</v>
      </c>
      <c r="N648" t="s">
        <v>1688</v>
      </c>
      <c r="O648" t="s">
        <v>1686</v>
      </c>
      <c r="P648">
        <v>0</v>
      </c>
      <c r="Q648">
        <v>6885601</v>
      </c>
      <c r="R648">
        <v>0</v>
      </c>
      <c r="S648">
        <v>43723569</v>
      </c>
      <c r="T648" t="str">
        <f t="shared" si="20"/>
        <v>4002.43.4302.84.0-205400.2.3.2.02.02.009.03.</v>
      </c>
      <c r="U648" t="e" cm="1">
        <f t="array" aca="1" ref="U648" ca="1">+IF(COMPROMISOS_2025[[#This Row],[P]]="20","41080111",_xlfn.XLOOKUP(COMPROMISOS_2025[[#This Row],[concatenado]],PAA[[#All],[RCP-RUBRO]],PAA[[#All],[INDICADOR]],"",0))</f>
        <v>#NAME?</v>
      </c>
      <c r="V648" s="144" t="str">
        <f t="shared" si="21"/>
        <v>84</v>
      </c>
      <c r="W648" s="136">
        <f>+COMPROMISOS_2025[[#This Row],[valor_total]]-COMPROMISOS_2025[[#This Row],[total_cancelado]]</f>
        <v>50609170</v>
      </c>
      <c r="X648" s="136">
        <f>COMPROMISOS_2025[[#This Row],[total_ordenes]]</f>
        <v>6885601</v>
      </c>
      <c r="Y648" t="str" cm="1">
        <f t="array" aca="1" ref="Y648" ca="1">IFERROR(_xlfn.XLOOKUP(COMPROMISOS_2025[[#This Row],[concatenado]],PAA[[#All],[RCP-RUBRO]],PAA[[#All],[Actividad3]],VLOOKUP(COMPROMISOS_2025[[#This Row],[Indicador Principal]],$AC$2:$AD$17,2,0),0),"")</f>
        <v/>
      </c>
    </row>
    <row r="649" spans="1:25" hidden="1" x14ac:dyDescent="0.25">
      <c r="A649">
        <v>401</v>
      </c>
      <c r="B649" t="s">
        <v>3441</v>
      </c>
      <c r="C649" t="s">
        <v>1936</v>
      </c>
      <c r="D649" t="s">
        <v>2106</v>
      </c>
      <c r="E649" t="s">
        <v>3442</v>
      </c>
      <c r="F649">
        <v>127</v>
      </c>
      <c r="G649">
        <v>62</v>
      </c>
      <c r="H649" t="s">
        <v>452</v>
      </c>
      <c r="I649" t="s">
        <v>2018</v>
      </c>
      <c r="J649">
        <v>40747479</v>
      </c>
      <c r="K649">
        <v>2025</v>
      </c>
      <c r="L649">
        <v>10363961737</v>
      </c>
      <c r="M649" t="s">
        <v>3443</v>
      </c>
      <c r="N649" t="s">
        <v>1688</v>
      </c>
      <c r="O649" t="s">
        <v>1686</v>
      </c>
      <c r="P649">
        <v>0</v>
      </c>
      <c r="Q649">
        <v>5543875</v>
      </c>
      <c r="R649">
        <v>0</v>
      </c>
      <c r="S649">
        <v>35203604</v>
      </c>
      <c r="T649" t="str">
        <f t="shared" si="20"/>
        <v>4012.43.4302.84.0-205400.2.3.2.02.02.009.03.</v>
      </c>
      <c r="U649" t="e" cm="1">
        <f t="array" aca="1" ref="U649" ca="1">+IF(COMPROMISOS_2025[[#This Row],[P]]="20","41080111",_xlfn.XLOOKUP(COMPROMISOS_2025[[#This Row],[concatenado]],PAA[[#All],[RCP-RUBRO]],PAA[[#All],[INDICADOR]],"",0))</f>
        <v>#NAME?</v>
      </c>
      <c r="V649" s="144" t="str">
        <f t="shared" si="21"/>
        <v>84</v>
      </c>
      <c r="W649" s="136">
        <f>+COMPROMISOS_2025[[#This Row],[valor_total]]-COMPROMISOS_2025[[#This Row],[total_cancelado]]</f>
        <v>40747479</v>
      </c>
      <c r="X649" s="136">
        <f>COMPROMISOS_2025[[#This Row],[total_ordenes]]</f>
        <v>5543875</v>
      </c>
      <c r="Y649" t="str" cm="1">
        <f t="array" aca="1" ref="Y649" ca="1">IFERROR(_xlfn.XLOOKUP(COMPROMISOS_2025[[#This Row],[concatenado]],PAA[[#All],[RCP-RUBRO]],PAA[[#All],[Actividad3]],VLOOKUP(COMPROMISOS_2025[[#This Row],[Indicador Principal]],$AC$2:$AD$17,2,0),0),"")</f>
        <v/>
      </c>
    </row>
    <row r="650" spans="1:25" hidden="1" x14ac:dyDescent="0.25">
      <c r="A650">
        <v>402</v>
      </c>
      <c r="B650" t="s">
        <v>3444</v>
      </c>
      <c r="C650" t="s">
        <v>1936</v>
      </c>
      <c r="D650" t="s">
        <v>2138</v>
      </c>
      <c r="E650" t="s">
        <v>3445</v>
      </c>
      <c r="F650">
        <v>157</v>
      </c>
      <c r="G650">
        <v>62</v>
      </c>
      <c r="H650" t="s">
        <v>452</v>
      </c>
      <c r="I650" t="s">
        <v>2018</v>
      </c>
      <c r="J650">
        <v>40747479</v>
      </c>
      <c r="K650">
        <v>2025</v>
      </c>
      <c r="L650">
        <v>1028013832</v>
      </c>
      <c r="M650" t="s">
        <v>3446</v>
      </c>
      <c r="N650" t="s">
        <v>1688</v>
      </c>
      <c r="O650" t="s">
        <v>1686</v>
      </c>
      <c r="P650">
        <v>0</v>
      </c>
      <c r="Q650">
        <v>5543875</v>
      </c>
      <c r="R650">
        <v>0</v>
      </c>
      <c r="S650">
        <v>35203604</v>
      </c>
      <c r="T650" t="str">
        <f t="shared" si="20"/>
        <v>4022.43.4302.84.0-205400.2.3.2.02.02.009.03.</v>
      </c>
      <c r="U650" t="e" cm="1">
        <f t="array" aca="1" ref="U650" ca="1">+IF(COMPROMISOS_2025[[#This Row],[P]]="20","41080111",_xlfn.XLOOKUP(COMPROMISOS_2025[[#This Row],[concatenado]],PAA[[#All],[RCP-RUBRO]],PAA[[#All],[INDICADOR]],"",0))</f>
        <v>#NAME?</v>
      </c>
      <c r="V650" s="144" t="str">
        <f t="shared" si="21"/>
        <v>84</v>
      </c>
      <c r="W650" s="136">
        <f>+COMPROMISOS_2025[[#This Row],[valor_total]]-COMPROMISOS_2025[[#This Row],[total_cancelado]]</f>
        <v>40747479</v>
      </c>
      <c r="X650" s="136">
        <f>COMPROMISOS_2025[[#This Row],[total_ordenes]]</f>
        <v>5543875</v>
      </c>
      <c r="Y650" t="str" cm="1">
        <f t="array" aca="1" ref="Y650" ca="1">IFERROR(_xlfn.XLOOKUP(COMPROMISOS_2025[[#This Row],[concatenado]],PAA[[#All],[RCP-RUBRO]],PAA[[#All],[Actividad3]],VLOOKUP(COMPROMISOS_2025[[#This Row],[Indicador Principal]],$AC$2:$AD$17,2,0),0),"")</f>
        <v/>
      </c>
    </row>
    <row r="651" spans="1:25" hidden="1" x14ac:dyDescent="0.25">
      <c r="A651">
        <v>403</v>
      </c>
      <c r="B651" t="s">
        <v>3447</v>
      </c>
      <c r="C651" t="s">
        <v>1936</v>
      </c>
      <c r="D651" t="s">
        <v>2136</v>
      </c>
      <c r="E651" t="s">
        <v>3448</v>
      </c>
      <c r="F651">
        <v>155</v>
      </c>
      <c r="G651">
        <v>62</v>
      </c>
      <c r="H651" t="s">
        <v>452</v>
      </c>
      <c r="I651" t="s">
        <v>2018</v>
      </c>
      <c r="J651">
        <v>61147776</v>
      </c>
      <c r="K651">
        <v>2025</v>
      </c>
      <c r="L651">
        <v>1022093789</v>
      </c>
      <c r="M651" t="s">
        <v>3449</v>
      </c>
      <c r="N651" t="s">
        <v>1688</v>
      </c>
      <c r="O651" t="s">
        <v>1686</v>
      </c>
      <c r="P651">
        <v>0</v>
      </c>
      <c r="Q651">
        <v>8319425</v>
      </c>
      <c r="R651">
        <v>0</v>
      </c>
      <c r="S651">
        <v>52828351</v>
      </c>
      <c r="T651" t="str">
        <f t="shared" si="20"/>
        <v>4032.43.4302.84.0-205400.2.3.2.02.02.009.03.</v>
      </c>
      <c r="U651" t="e" cm="1">
        <f t="array" aca="1" ref="U651" ca="1">+IF(COMPROMISOS_2025[[#This Row],[P]]="20","41080111",_xlfn.XLOOKUP(COMPROMISOS_2025[[#This Row],[concatenado]],PAA[[#All],[RCP-RUBRO]],PAA[[#All],[INDICADOR]],"",0))</f>
        <v>#NAME?</v>
      </c>
      <c r="V651" s="144" t="str">
        <f t="shared" si="21"/>
        <v>84</v>
      </c>
      <c r="W651" s="136">
        <f>+COMPROMISOS_2025[[#This Row],[valor_total]]-COMPROMISOS_2025[[#This Row],[total_cancelado]]</f>
        <v>61147776</v>
      </c>
      <c r="X651" s="136">
        <f>COMPROMISOS_2025[[#This Row],[total_ordenes]]</f>
        <v>8319425</v>
      </c>
      <c r="Y651" t="str" cm="1">
        <f t="array" aca="1" ref="Y651" ca="1">IFERROR(_xlfn.XLOOKUP(COMPROMISOS_2025[[#This Row],[concatenado]],PAA[[#All],[RCP-RUBRO]],PAA[[#All],[Actividad3]],VLOOKUP(COMPROMISOS_2025[[#This Row],[Indicador Principal]],$AC$2:$AD$17,2,0),0),"")</f>
        <v/>
      </c>
    </row>
    <row r="652" spans="1:25" hidden="1" x14ac:dyDescent="0.25">
      <c r="A652">
        <v>404</v>
      </c>
      <c r="B652" t="s">
        <v>3450</v>
      </c>
      <c r="C652" t="s">
        <v>1936</v>
      </c>
      <c r="D652" t="s">
        <v>2193</v>
      </c>
      <c r="E652" t="s">
        <v>3451</v>
      </c>
      <c r="F652">
        <v>210</v>
      </c>
      <c r="G652">
        <v>62</v>
      </c>
      <c r="H652" t="s">
        <v>452</v>
      </c>
      <c r="I652" t="s">
        <v>2018</v>
      </c>
      <c r="J652">
        <v>50609170</v>
      </c>
      <c r="K652">
        <v>2025</v>
      </c>
      <c r="L652">
        <v>10204188401</v>
      </c>
      <c r="M652" t="s">
        <v>3452</v>
      </c>
      <c r="N652" t="s">
        <v>1688</v>
      </c>
      <c r="O652" t="s">
        <v>1686</v>
      </c>
      <c r="P652">
        <v>0</v>
      </c>
      <c r="Q652">
        <v>6885601</v>
      </c>
      <c r="R652">
        <v>0</v>
      </c>
      <c r="S652">
        <v>43723569</v>
      </c>
      <c r="T652" t="str">
        <f t="shared" si="20"/>
        <v>4042.43.4302.84.0-205400.2.3.2.02.02.009.03.</v>
      </c>
      <c r="U652" t="e" cm="1">
        <f t="array" aca="1" ref="U652" ca="1">+IF(COMPROMISOS_2025[[#This Row],[P]]="20","41080111",_xlfn.XLOOKUP(COMPROMISOS_2025[[#This Row],[concatenado]],PAA[[#All],[RCP-RUBRO]],PAA[[#All],[INDICADOR]],"",0))</f>
        <v>#NAME?</v>
      </c>
      <c r="V652" s="144" t="str">
        <f t="shared" si="21"/>
        <v>84</v>
      </c>
      <c r="W652" s="136">
        <f>+COMPROMISOS_2025[[#This Row],[valor_total]]-COMPROMISOS_2025[[#This Row],[total_cancelado]]</f>
        <v>50609170</v>
      </c>
      <c r="X652" s="136">
        <f>COMPROMISOS_2025[[#This Row],[total_ordenes]]</f>
        <v>6885601</v>
      </c>
      <c r="Y652" t="str" cm="1">
        <f t="array" aca="1" ref="Y652" ca="1">IFERROR(_xlfn.XLOOKUP(COMPROMISOS_2025[[#This Row],[concatenado]],PAA[[#All],[RCP-RUBRO]],PAA[[#All],[Actividad3]],VLOOKUP(COMPROMISOS_2025[[#This Row],[Indicador Principal]],$AC$2:$AD$17,2,0),0),"")</f>
        <v/>
      </c>
    </row>
    <row r="653" spans="1:25" hidden="1" x14ac:dyDescent="0.25">
      <c r="A653">
        <v>405</v>
      </c>
      <c r="B653" t="s">
        <v>3453</v>
      </c>
      <c r="C653" t="s">
        <v>1936</v>
      </c>
      <c r="D653" t="s">
        <v>2190</v>
      </c>
      <c r="E653" t="s">
        <v>3454</v>
      </c>
      <c r="F653">
        <v>207</v>
      </c>
      <c r="G653">
        <v>62</v>
      </c>
      <c r="H653" t="s">
        <v>452</v>
      </c>
      <c r="I653" t="s">
        <v>2018</v>
      </c>
      <c r="J653">
        <v>50609170</v>
      </c>
      <c r="K653">
        <v>2025</v>
      </c>
      <c r="L653">
        <v>10172153825</v>
      </c>
      <c r="M653" t="s">
        <v>3455</v>
      </c>
      <c r="N653" t="s">
        <v>1688</v>
      </c>
      <c r="O653" t="s">
        <v>1686</v>
      </c>
      <c r="P653">
        <v>0</v>
      </c>
      <c r="Q653">
        <v>6885601</v>
      </c>
      <c r="R653">
        <v>0</v>
      </c>
      <c r="S653">
        <v>43723569</v>
      </c>
      <c r="T653" t="str">
        <f t="shared" si="20"/>
        <v>4052.43.4302.84.0-205400.2.3.2.02.02.009.03.</v>
      </c>
      <c r="U653" t="e" cm="1">
        <f t="array" aca="1" ref="U653" ca="1">+IF(COMPROMISOS_2025[[#This Row],[P]]="20","41080111",_xlfn.XLOOKUP(COMPROMISOS_2025[[#This Row],[concatenado]],PAA[[#All],[RCP-RUBRO]],PAA[[#All],[INDICADOR]],"",0))</f>
        <v>#NAME?</v>
      </c>
      <c r="V653" s="144" t="str">
        <f t="shared" si="21"/>
        <v>84</v>
      </c>
      <c r="W653" s="136">
        <f>+COMPROMISOS_2025[[#This Row],[valor_total]]-COMPROMISOS_2025[[#This Row],[total_cancelado]]</f>
        <v>50609170</v>
      </c>
      <c r="X653" s="136">
        <f>COMPROMISOS_2025[[#This Row],[total_ordenes]]</f>
        <v>6885601</v>
      </c>
      <c r="Y653" t="str" cm="1">
        <f t="array" aca="1" ref="Y653" ca="1">IFERROR(_xlfn.XLOOKUP(COMPROMISOS_2025[[#This Row],[concatenado]],PAA[[#All],[RCP-RUBRO]],PAA[[#All],[Actividad3]],VLOOKUP(COMPROMISOS_2025[[#This Row],[Indicador Principal]],$AC$2:$AD$17,2,0),0),"")</f>
        <v/>
      </c>
    </row>
    <row r="654" spans="1:25" hidden="1" x14ac:dyDescent="0.25">
      <c r="A654">
        <v>406</v>
      </c>
      <c r="B654" t="s">
        <v>3456</v>
      </c>
      <c r="C654" t="s">
        <v>1936</v>
      </c>
      <c r="D654" t="s">
        <v>2191</v>
      </c>
      <c r="E654" t="s">
        <v>3457</v>
      </c>
      <c r="F654">
        <v>208</v>
      </c>
      <c r="G654">
        <v>62</v>
      </c>
      <c r="H654" t="s">
        <v>452</v>
      </c>
      <c r="I654" t="s">
        <v>2018</v>
      </c>
      <c r="J654">
        <v>50609170</v>
      </c>
      <c r="K654">
        <v>2025</v>
      </c>
      <c r="L654">
        <v>986308463</v>
      </c>
      <c r="M654" t="s">
        <v>3458</v>
      </c>
      <c r="N654" t="s">
        <v>1688</v>
      </c>
      <c r="O654" t="s">
        <v>1686</v>
      </c>
      <c r="P654">
        <v>0</v>
      </c>
      <c r="Q654">
        <v>6885601</v>
      </c>
      <c r="R654">
        <v>0</v>
      </c>
      <c r="S654">
        <v>43723569</v>
      </c>
      <c r="T654" t="str">
        <f t="shared" si="20"/>
        <v>4062.43.4302.84.0-205400.2.3.2.02.02.009.03.</v>
      </c>
      <c r="U654" t="e" cm="1">
        <f t="array" aca="1" ref="U654" ca="1">+IF(COMPROMISOS_2025[[#This Row],[P]]="20","41080111",_xlfn.XLOOKUP(COMPROMISOS_2025[[#This Row],[concatenado]],PAA[[#All],[RCP-RUBRO]],PAA[[#All],[INDICADOR]],"",0))</f>
        <v>#NAME?</v>
      </c>
      <c r="V654" s="144" t="str">
        <f t="shared" si="21"/>
        <v>84</v>
      </c>
      <c r="W654" s="136">
        <f>+COMPROMISOS_2025[[#This Row],[valor_total]]-COMPROMISOS_2025[[#This Row],[total_cancelado]]</f>
        <v>50609170</v>
      </c>
      <c r="X654" s="136">
        <f>COMPROMISOS_2025[[#This Row],[total_ordenes]]</f>
        <v>6885601</v>
      </c>
      <c r="Y654" t="str" cm="1">
        <f t="array" aca="1" ref="Y654" ca="1">IFERROR(_xlfn.XLOOKUP(COMPROMISOS_2025[[#This Row],[concatenado]],PAA[[#All],[RCP-RUBRO]],PAA[[#All],[Actividad3]],VLOOKUP(COMPROMISOS_2025[[#This Row],[Indicador Principal]],$AC$2:$AD$17,2,0),0),"")</f>
        <v/>
      </c>
    </row>
    <row r="655" spans="1:25" hidden="1" x14ac:dyDescent="0.25">
      <c r="A655">
        <v>407</v>
      </c>
      <c r="B655" t="s">
        <v>3459</v>
      </c>
      <c r="C655" t="s">
        <v>1936</v>
      </c>
      <c r="D655" t="s">
        <v>2133</v>
      </c>
      <c r="E655" t="s">
        <v>3460</v>
      </c>
      <c r="F655">
        <v>152</v>
      </c>
      <c r="G655">
        <v>62</v>
      </c>
      <c r="H655" t="s">
        <v>452</v>
      </c>
      <c r="I655" t="s">
        <v>2018</v>
      </c>
      <c r="J655">
        <v>26545593</v>
      </c>
      <c r="K655">
        <v>2025</v>
      </c>
      <c r="L655">
        <v>786889476</v>
      </c>
      <c r="M655" t="s">
        <v>3461</v>
      </c>
      <c r="N655" t="s">
        <v>1688</v>
      </c>
      <c r="O655" t="s">
        <v>1686</v>
      </c>
      <c r="P655">
        <v>0</v>
      </c>
      <c r="Q655">
        <v>3611645</v>
      </c>
      <c r="R655">
        <v>0</v>
      </c>
      <c r="S655">
        <v>22933948</v>
      </c>
      <c r="T655" t="str">
        <f t="shared" si="20"/>
        <v>4072.43.4302.84.0-205400.2.3.2.02.02.009.03.</v>
      </c>
      <c r="U655" t="e" cm="1">
        <f t="array" aca="1" ref="U655" ca="1">+IF(COMPROMISOS_2025[[#This Row],[P]]="20","41080111",_xlfn.XLOOKUP(COMPROMISOS_2025[[#This Row],[concatenado]],PAA[[#All],[RCP-RUBRO]],PAA[[#All],[INDICADOR]],"",0))</f>
        <v>#NAME?</v>
      </c>
      <c r="V655" s="144" t="str">
        <f t="shared" si="21"/>
        <v>84</v>
      </c>
      <c r="W655" s="136">
        <f>+COMPROMISOS_2025[[#This Row],[valor_total]]-COMPROMISOS_2025[[#This Row],[total_cancelado]]</f>
        <v>26545593</v>
      </c>
      <c r="X655" s="136">
        <f>COMPROMISOS_2025[[#This Row],[total_ordenes]]</f>
        <v>3611645</v>
      </c>
      <c r="Y655" t="str" cm="1">
        <f t="array" aca="1" ref="Y655" ca="1">IFERROR(_xlfn.XLOOKUP(COMPROMISOS_2025[[#This Row],[concatenado]],PAA[[#All],[RCP-RUBRO]],PAA[[#All],[Actividad3]],VLOOKUP(COMPROMISOS_2025[[#This Row],[Indicador Principal]],$AC$2:$AD$17,2,0),0),"")</f>
        <v/>
      </c>
    </row>
    <row r="656" spans="1:25" hidden="1" x14ac:dyDescent="0.25">
      <c r="A656">
        <v>408</v>
      </c>
      <c r="B656" t="s">
        <v>3462</v>
      </c>
      <c r="C656" t="s">
        <v>1936</v>
      </c>
      <c r="D656" t="s">
        <v>2114</v>
      </c>
      <c r="E656" t="s">
        <v>3463</v>
      </c>
      <c r="F656">
        <v>135</v>
      </c>
      <c r="G656">
        <v>62</v>
      </c>
      <c r="H656" t="s">
        <v>452</v>
      </c>
      <c r="I656" t="s">
        <v>2018</v>
      </c>
      <c r="J656">
        <v>40747479</v>
      </c>
      <c r="K656">
        <v>2025</v>
      </c>
      <c r="L656">
        <v>78296925</v>
      </c>
      <c r="M656" t="s">
        <v>3464</v>
      </c>
      <c r="N656" t="s">
        <v>1688</v>
      </c>
      <c r="O656" t="s">
        <v>1686</v>
      </c>
      <c r="P656">
        <v>0</v>
      </c>
      <c r="Q656">
        <v>5543875</v>
      </c>
      <c r="R656">
        <v>0</v>
      </c>
      <c r="S656">
        <v>35203604</v>
      </c>
      <c r="T656" t="str">
        <f t="shared" si="20"/>
        <v>4082.43.4302.84.0-205400.2.3.2.02.02.009.03.</v>
      </c>
      <c r="U656" t="e" cm="1">
        <f t="array" aca="1" ref="U656" ca="1">+IF(COMPROMISOS_2025[[#This Row],[P]]="20","41080111",_xlfn.XLOOKUP(COMPROMISOS_2025[[#This Row],[concatenado]],PAA[[#All],[RCP-RUBRO]],PAA[[#All],[INDICADOR]],"",0))</f>
        <v>#NAME?</v>
      </c>
      <c r="V656" s="144" t="str">
        <f t="shared" si="21"/>
        <v>84</v>
      </c>
      <c r="W656" s="136">
        <f>+COMPROMISOS_2025[[#This Row],[valor_total]]-COMPROMISOS_2025[[#This Row],[total_cancelado]]</f>
        <v>40747479</v>
      </c>
      <c r="X656" s="136">
        <f>COMPROMISOS_2025[[#This Row],[total_ordenes]]</f>
        <v>5543875</v>
      </c>
      <c r="Y656" t="str" cm="1">
        <f t="array" aca="1" ref="Y656" ca="1">IFERROR(_xlfn.XLOOKUP(COMPROMISOS_2025[[#This Row],[concatenado]],PAA[[#All],[RCP-RUBRO]],PAA[[#All],[Actividad3]],VLOOKUP(COMPROMISOS_2025[[#This Row],[Indicador Principal]],$AC$2:$AD$17,2,0),0),"")</f>
        <v/>
      </c>
    </row>
    <row r="657" spans="1:25" hidden="1" x14ac:dyDescent="0.25">
      <c r="A657">
        <v>409</v>
      </c>
      <c r="B657" t="s">
        <v>3465</v>
      </c>
      <c r="C657" t="s">
        <v>1936</v>
      </c>
      <c r="D657" t="s">
        <v>2154</v>
      </c>
      <c r="E657" t="s">
        <v>3466</v>
      </c>
      <c r="F657">
        <v>173</v>
      </c>
      <c r="G657">
        <v>62</v>
      </c>
      <c r="H657" t="s">
        <v>452</v>
      </c>
      <c r="I657" t="s">
        <v>2018</v>
      </c>
      <c r="J657">
        <v>26545593</v>
      </c>
      <c r="K657">
        <v>2025</v>
      </c>
      <c r="L657">
        <v>717322353</v>
      </c>
      <c r="M657" t="s">
        <v>3467</v>
      </c>
      <c r="N657" t="s">
        <v>1688</v>
      </c>
      <c r="O657" t="s">
        <v>1686</v>
      </c>
      <c r="P657">
        <v>0</v>
      </c>
      <c r="Q657">
        <v>3521354</v>
      </c>
      <c r="R657">
        <v>0</v>
      </c>
      <c r="S657">
        <v>23024239</v>
      </c>
      <c r="T657" t="str">
        <f t="shared" si="20"/>
        <v>4092.43.4302.84.0-205400.2.3.2.02.02.009.03.</v>
      </c>
      <c r="U657" t="e" cm="1">
        <f t="array" aca="1" ref="U657" ca="1">+IF(COMPROMISOS_2025[[#This Row],[P]]="20","41080111",_xlfn.XLOOKUP(COMPROMISOS_2025[[#This Row],[concatenado]],PAA[[#All],[RCP-RUBRO]],PAA[[#All],[INDICADOR]],"",0))</f>
        <v>#NAME?</v>
      </c>
      <c r="V657" s="144" t="str">
        <f t="shared" si="21"/>
        <v>84</v>
      </c>
      <c r="W657" s="136">
        <f>+COMPROMISOS_2025[[#This Row],[valor_total]]-COMPROMISOS_2025[[#This Row],[total_cancelado]]</f>
        <v>26545593</v>
      </c>
      <c r="X657" s="136">
        <f>COMPROMISOS_2025[[#This Row],[total_ordenes]]</f>
        <v>3521354</v>
      </c>
      <c r="Y657" t="str" cm="1">
        <f t="array" aca="1" ref="Y657" ca="1">IFERROR(_xlfn.XLOOKUP(COMPROMISOS_2025[[#This Row],[concatenado]],PAA[[#All],[RCP-RUBRO]],PAA[[#All],[Actividad3]],VLOOKUP(COMPROMISOS_2025[[#This Row],[Indicador Principal]],$AC$2:$AD$17,2,0),0),"")</f>
        <v/>
      </c>
    </row>
    <row r="658" spans="1:25" hidden="1" x14ac:dyDescent="0.25">
      <c r="A658">
        <v>410</v>
      </c>
      <c r="B658" t="s">
        <v>3468</v>
      </c>
      <c r="C658" t="s">
        <v>1936</v>
      </c>
      <c r="D658" t="s">
        <v>2192</v>
      </c>
      <c r="E658" t="s">
        <v>3469</v>
      </c>
      <c r="F658">
        <v>209</v>
      </c>
      <c r="G658">
        <v>62</v>
      </c>
      <c r="H658" t="s">
        <v>452</v>
      </c>
      <c r="I658" t="s">
        <v>2018</v>
      </c>
      <c r="J658">
        <v>50609170</v>
      </c>
      <c r="K658">
        <v>2025</v>
      </c>
      <c r="L658">
        <v>71217825</v>
      </c>
      <c r="M658" t="s">
        <v>3470</v>
      </c>
      <c r="N658" t="s">
        <v>1688</v>
      </c>
      <c r="O658" t="s">
        <v>1686</v>
      </c>
      <c r="P658">
        <v>0</v>
      </c>
      <c r="Q658">
        <v>6885601</v>
      </c>
      <c r="R658">
        <v>0</v>
      </c>
      <c r="S658">
        <v>43723569</v>
      </c>
      <c r="T658" t="str">
        <f t="shared" si="20"/>
        <v>4102.43.4302.84.0-205400.2.3.2.02.02.009.03.</v>
      </c>
      <c r="U658" t="e" cm="1">
        <f t="array" aca="1" ref="U658" ca="1">+IF(COMPROMISOS_2025[[#This Row],[P]]="20","41080111",_xlfn.XLOOKUP(COMPROMISOS_2025[[#This Row],[concatenado]],PAA[[#All],[RCP-RUBRO]],PAA[[#All],[INDICADOR]],"",0))</f>
        <v>#NAME?</v>
      </c>
      <c r="V658" s="144" t="str">
        <f t="shared" si="21"/>
        <v>84</v>
      </c>
      <c r="W658" s="136">
        <f>+COMPROMISOS_2025[[#This Row],[valor_total]]-COMPROMISOS_2025[[#This Row],[total_cancelado]]</f>
        <v>50609170</v>
      </c>
      <c r="X658" s="136">
        <f>COMPROMISOS_2025[[#This Row],[total_ordenes]]</f>
        <v>6885601</v>
      </c>
      <c r="Y658" t="str" cm="1">
        <f t="array" aca="1" ref="Y658" ca="1">IFERROR(_xlfn.XLOOKUP(COMPROMISOS_2025[[#This Row],[concatenado]],PAA[[#All],[RCP-RUBRO]],PAA[[#All],[Actividad3]],VLOOKUP(COMPROMISOS_2025[[#This Row],[Indicador Principal]],$AC$2:$AD$17,2,0),0),"")</f>
        <v/>
      </c>
    </row>
    <row r="659" spans="1:25" hidden="1" x14ac:dyDescent="0.25">
      <c r="A659">
        <v>411</v>
      </c>
      <c r="B659" t="s">
        <v>3471</v>
      </c>
      <c r="C659" t="s">
        <v>1936</v>
      </c>
      <c r="D659" t="s">
        <v>2112</v>
      </c>
      <c r="E659" t="s">
        <v>3472</v>
      </c>
      <c r="F659">
        <v>133</v>
      </c>
      <c r="G659">
        <v>62</v>
      </c>
      <c r="H659" t="s">
        <v>452</v>
      </c>
      <c r="I659" t="s">
        <v>2018</v>
      </c>
      <c r="J659">
        <v>61147776</v>
      </c>
      <c r="K659">
        <v>2025</v>
      </c>
      <c r="L659">
        <v>15434878</v>
      </c>
      <c r="M659" t="s">
        <v>3473</v>
      </c>
      <c r="N659" t="s">
        <v>1688</v>
      </c>
      <c r="O659" t="s">
        <v>1686</v>
      </c>
      <c r="P659">
        <v>0</v>
      </c>
      <c r="Q659">
        <v>8319425</v>
      </c>
      <c r="R659">
        <v>0</v>
      </c>
      <c r="S659">
        <v>52828351</v>
      </c>
      <c r="T659" t="str">
        <f t="shared" si="20"/>
        <v>4112.43.4302.84.0-205400.2.3.2.02.02.009.03.</v>
      </c>
      <c r="U659" t="e" cm="1">
        <f t="array" aca="1" ref="U659" ca="1">+IF(COMPROMISOS_2025[[#This Row],[P]]="20","41080111",_xlfn.XLOOKUP(COMPROMISOS_2025[[#This Row],[concatenado]],PAA[[#All],[RCP-RUBRO]],PAA[[#All],[INDICADOR]],"",0))</f>
        <v>#NAME?</v>
      </c>
      <c r="V659" s="144" t="str">
        <f t="shared" si="21"/>
        <v>84</v>
      </c>
      <c r="W659" s="136">
        <f>+COMPROMISOS_2025[[#This Row],[valor_total]]-COMPROMISOS_2025[[#This Row],[total_cancelado]]</f>
        <v>61147776</v>
      </c>
      <c r="X659" s="136">
        <f>COMPROMISOS_2025[[#This Row],[total_ordenes]]</f>
        <v>8319425</v>
      </c>
      <c r="Y659" t="str" cm="1">
        <f t="array" aca="1" ref="Y659" ca="1">IFERROR(_xlfn.XLOOKUP(COMPROMISOS_2025[[#This Row],[concatenado]],PAA[[#All],[RCP-RUBRO]],PAA[[#All],[Actividad3]],VLOOKUP(COMPROMISOS_2025[[#This Row],[Indicador Principal]],$AC$2:$AD$17,2,0),0),"")</f>
        <v/>
      </c>
    </row>
    <row r="660" spans="1:25" hidden="1" x14ac:dyDescent="0.25">
      <c r="A660">
        <v>412</v>
      </c>
      <c r="B660" t="s">
        <v>3474</v>
      </c>
      <c r="C660" t="s">
        <v>1936</v>
      </c>
      <c r="D660" t="s">
        <v>2152</v>
      </c>
      <c r="E660" t="s">
        <v>3475</v>
      </c>
      <c r="F660">
        <v>171</v>
      </c>
      <c r="G660">
        <v>62</v>
      </c>
      <c r="H660" t="s">
        <v>452</v>
      </c>
      <c r="I660" t="s">
        <v>2018</v>
      </c>
      <c r="J660">
        <v>26545593</v>
      </c>
      <c r="K660">
        <v>2025</v>
      </c>
      <c r="L660">
        <v>8188483</v>
      </c>
      <c r="M660" t="s">
        <v>3476</v>
      </c>
      <c r="N660" t="s">
        <v>1688</v>
      </c>
      <c r="O660" t="s">
        <v>1686</v>
      </c>
      <c r="P660">
        <v>0</v>
      </c>
      <c r="Q660">
        <v>3611645</v>
      </c>
      <c r="R660">
        <v>0</v>
      </c>
      <c r="S660">
        <v>22933948</v>
      </c>
      <c r="T660" t="str">
        <f t="shared" si="20"/>
        <v>4122.43.4302.84.0-205400.2.3.2.02.02.009.03.</v>
      </c>
      <c r="U660" t="e" cm="1">
        <f t="array" aca="1" ref="U660" ca="1">+IF(COMPROMISOS_2025[[#This Row],[P]]="20","41080111",_xlfn.XLOOKUP(COMPROMISOS_2025[[#This Row],[concatenado]],PAA[[#All],[RCP-RUBRO]],PAA[[#All],[INDICADOR]],"",0))</f>
        <v>#NAME?</v>
      </c>
      <c r="V660" s="144" t="str">
        <f t="shared" si="21"/>
        <v>84</v>
      </c>
      <c r="W660" s="136">
        <f>+COMPROMISOS_2025[[#This Row],[valor_total]]-COMPROMISOS_2025[[#This Row],[total_cancelado]]</f>
        <v>26545593</v>
      </c>
      <c r="X660" s="136">
        <f>COMPROMISOS_2025[[#This Row],[total_ordenes]]</f>
        <v>3611645</v>
      </c>
      <c r="Y660" t="str" cm="1">
        <f t="array" aca="1" ref="Y660" ca="1">IFERROR(_xlfn.XLOOKUP(COMPROMISOS_2025[[#This Row],[concatenado]],PAA[[#All],[RCP-RUBRO]],PAA[[#All],[Actividad3]],VLOOKUP(COMPROMISOS_2025[[#This Row],[Indicador Principal]],$AC$2:$AD$17,2,0),0),"")</f>
        <v/>
      </c>
    </row>
    <row r="661" spans="1:25" hidden="1" x14ac:dyDescent="0.25">
      <c r="A661">
        <v>804</v>
      </c>
      <c r="B661" t="s">
        <v>3477</v>
      </c>
      <c r="C661" t="s">
        <v>1936</v>
      </c>
      <c r="D661" t="s">
        <v>2155</v>
      </c>
      <c r="E661" t="s">
        <v>3478</v>
      </c>
      <c r="F661">
        <v>174</v>
      </c>
      <c r="G661">
        <v>62</v>
      </c>
      <c r="H661" t="s">
        <v>452</v>
      </c>
      <c r="I661" t="s">
        <v>2018</v>
      </c>
      <c r="J661">
        <v>38529929</v>
      </c>
      <c r="K661">
        <v>2025</v>
      </c>
      <c r="L661">
        <v>98778700</v>
      </c>
      <c r="M661" t="s">
        <v>3479</v>
      </c>
      <c r="N661" t="s">
        <v>1688</v>
      </c>
      <c r="O661" t="s">
        <v>1686</v>
      </c>
      <c r="P661">
        <v>0</v>
      </c>
      <c r="Q661">
        <v>2910534</v>
      </c>
      <c r="R661">
        <v>0</v>
      </c>
      <c r="S661">
        <v>35619395</v>
      </c>
      <c r="T661" t="str">
        <f t="shared" si="20"/>
        <v>8042.43.4302.84.0-205400.2.3.2.02.02.009.03.</v>
      </c>
      <c r="U661" t="e" cm="1">
        <f t="array" aca="1" ref="U661" ca="1">+IF(COMPROMISOS_2025[[#This Row],[P]]="20","41080111",_xlfn.XLOOKUP(COMPROMISOS_2025[[#This Row],[concatenado]],PAA[[#All],[RCP-RUBRO]],PAA[[#All],[INDICADOR]],"",0))</f>
        <v>#NAME?</v>
      </c>
      <c r="V661" s="144" t="str">
        <f t="shared" si="21"/>
        <v>84</v>
      </c>
      <c r="W661" s="136">
        <f>+COMPROMISOS_2025[[#This Row],[valor_total]]-COMPROMISOS_2025[[#This Row],[total_cancelado]]</f>
        <v>38529929</v>
      </c>
      <c r="X661" s="136">
        <f>COMPROMISOS_2025[[#This Row],[total_ordenes]]</f>
        <v>2910534</v>
      </c>
      <c r="Y661" t="str" cm="1">
        <f t="array" aca="1" ref="Y661" ca="1">IFERROR(_xlfn.XLOOKUP(COMPROMISOS_2025[[#This Row],[concatenado]],PAA[[#All],[RCP-RUBRO]],PAA[[#All],[Actividad3]],VLOOKUP(COMPROMISOS_2025[[#This Row],[Indicador Principal]],$AC$2:$AD$17,2,0),0),"")</f>
        <v/>
      </c>
    </row>
    <row r="662" spans="1:25" hidden="1" x14ac:dyDescent="0.25">
      <c r="A662">
        <v>805</v>
      </c>
      <c r="B662" t="s">
        <v>3480</v>
      </c>
      <c r="C662" t="s">
        <v>1936</v>
      </c>
      <c r="D662" t="s">
        <v>2163</v>
      </c>
      <c r="E662" t="s">
        <v>3481</v>
      </c>
      <c r="F662">
        <v>180</v>
      </c>
      <c r="G662">
        <v>62</v>
      </c>
      <c r="H662" t="s">
        <v>452</v>
      </c>
      <c r="I662" t="s">
        <v>2018</v>
      </c>
      <c r="J662">
        <v>25100935</v>
      </c>
      <c r="K662">
        <v>2025</v>
      </c>
      <c r="L662">
        <v>1017207409</v>
      </c>
      <c r="M662" t="s">
        <v>3482</v>
      </c>
      <c r="N662" t="s">
        <v>1688</v>
      </c>
      <c r="O662" t="s">
        <v>1686</v>
      </c>
      <c r="P662">
        <v>0</v>
      </c>
      <c r="Q662">
        <v>1896114</v>
      </c>
      <c r="R662">
        <v>0</v>
      </c>
      <c r="S662">
        <v>23204821</v>
      </c>
      <c r="T662" t="str">
        <f t="shared" si="20"/>
        <v>8052.43.4302.84.0-205400.2.3.2.02.02.009.03.</v>
      </c>
      <c r="U662" t="e" cm="1">
        <f t="array" aca="1" ref="U662" ca="1">+IF(COMPROMISOS_2025[[#This Row],[P]]="20","41080111",_xlfn.XLOOKUP(COMPROMISOS_2025[[#This Row],[concatenado]],PAA[[#All],[RCP-RUBRO]],PAA[[#All],[INDICADOR]],"",0))</f>
        <v>#NAME?</v>
      </c>
      <c r="V662" s="144" t="str">
        <f t="shared" si="21"/>
        <v>84</v>
      </c>
      <c r="W662" s="136">
        <f>+COMPROMISOS_2025[[#This Row],[valor_total]]-COMPROMISOS_2025[[#This Row],[total_cancelado]]</f>
        <v>25100935</v>
      </c>
      <c r="X662" s="136">
        <f>COMPROMISOS_2025[[#This Row],[total_ordenes]]</f>
        <v>1896114</v>
      </c>
      <c r="Y662" t="str" cm="1">
        <f t="array" aca="1" ref="Y662" ca="1">IFERROR(_xlfn.XLOOKUP(COMPROMISOS_2025[[#This Row],[concatenado]],PAA[[#All],[RCP-RUBRO]],PAA[[#All],[Actividad3]],VLOOKUP(COMPROMISOS_2025[[#This Row],[Indicador Principal]],$AC$2:$AD$17,2,0),0),"")</f>
        <v/>
      </c>
    </row>
    <row r="663" spans="1:25" hidden="1" x14ac:dyDescent="0.25">
      <c r="A663">
        <v>806</v>
      </c>
      <c r="B663" t="s">
        <v>3483</v>
      </c>
      <c r="C663" t="s">
        <v>1936</v>
      </c>
      <c r="D663" t="s">
        <v>2150</v>
      </c>
      <c r="E663" t="s">
        <v>3484</v>
      </c>
      <c r="F663">
        <v>169</v>
      </c>
      <c r="G663">
        <v>62</v>
      </c>
      <c r="H663" t="s">
        <v>452</v>
      </c>
      <c r="I663" t="s">
        <v>2018</v>
      </c>
      <c r="J663">
        <v>25100935</v>
      </c>
      <c r="K663">
        <v>2025</v>
      </c>
      <c r="L663">
        <v>9081673</v>
      </c>
      <c r="M663" t="s">
        <v>3485</v>
      </c>
      <c r="N663" t="s">
        <v>1688</v>
      </c>
      <c r="O663" t="s">
        <v>1686</v>
      </c>
      <c r="P663">
        <v>0</v>
      </c>
      <c r="Q663">
        <v>1896114</v>
      </c>
      <c r="R663">
        <v>0</v>
      </c>
      <c r="S663">
        <v>23204821</v>
      </c>
      <c r="T663" t="str">
        <f t="shared" si="20"/>
        <v>8062.43.4302.84.0-205400.2.3.2.02.02.009.03.</v>
      </c>
      <c r="U663" t="e" cm="1">
        <f t="array" aca="1" ref="U663" ca="1">+IF(COMPROMISOS_2025[[#This Row],[P]]="20","41080111",_xlfn.XLOOKUP(COMPROMISOS_2025[[#This Row],[concatenado]],PAA[[#All],[RCP-RUBRO]],PAA[[#All],[INDICADOR]],"",0))</f>
        <v>#NAME?</v>
      </c>
      <c r="V663" s="144" t="str">
        <f t="shared" si="21"/>
        <v>84</v>
      </c>
      <c r="W663" s="136">
        <f>+COMPROMISOS_2025[[#This Row],[valor_total]]-COMPROMISOS_2025[[#This Row],[total_cancelado]]</f>
        <v>25100935</v>
      </c>
      <c r="X663" s="136">
        <f>COMPROMISOS_2025[[#This Row],[total_ordenes]]</f>
        <v>1896114</v>
      </c>
      <c r="Y663" t="str" cm="1">
        <f t="array" aca="1" ref="Y663" ca="1">IFERROR(_xlfn.XLOOKUP(COMPROMISOS_2025[[#This Row],[concatenado]],PAA[[#All],[RCP-RUBRO]],PAA[[#All],[Actividad3]],VLOOKUP(COMPROMISOS_2025[[#This Row],[Indicador Principal]],$AC$2:$AD$17,2,0),0),"")</f>
        <v/>
      </c>
    </row>
    <row r="664" spans="1:25" hidden="1" x14ac:dyDescent="0.25">
      <c r="A664">
        <v>807</v>
      </c>
      <c r="B664" t="s">
        <v>3486</v>
      </c>
      <c r="C664" t="s">
        <v>1936</v>
      </c>
      <c r="D664" t="s">
        <v>2167</v>
      </c>
      <c r="E664" t="s">
        <v>3487</v>
      </c>
      <c r="F664">
        <v>184</v>
      </c>
      <c r="G664">
        <v>62</v>
      </c>
      <c r="H664" t="s">
        <v>452</v>
      </c>
      <c r="I664" t="s">
        <v>2018</v>
      </c>
      <c r="J664">
        <v>47854929</v>
      </c>
      <c r="K664">
        <v>2025</v>
      </c>
      <c r="L664">
        <v>21533036</v>
      </c>
      <c r="M664" t="s">
        <v>3488</v>
      </c>
      <c r="N664" t="s">
        <v>1688</v>
      </c>
      <c r="O664" t="s">
        <v>1686</v>
      </c>
      <c r="P664">
        <v>0</v>
      </c>
      <c r="Q664">
        <v>3614940</v>
      </c>
      <c r="R664">
        <v>0</v>
      </c>
      <c r="S664">
        <v>44239989</v>
      </c>
      <c r="T664" t="str">
        <f t="shared" si="20"/>
        <v>8072.43.4302.84.0-205400.2.3.2.02.02.009.03.</v>
      </c>
      <c r="U664" t="e" cm="1">
        <f t="array" aca="1" ref="U664" ca="1">+IF(COMPROMISOS_2025[[#This Row],[P]]="20","41080111",_xlfn.XLOOKUP(COMPROMISOS_2025[[#This Row],[concatenado]],PAA[[#All],[RCP-RUBRO]],PAA[[#All],[INDICADOR]],"",0))</f>
        <v>#NAME?</v>
      </c>
      <c r="V664" s="144" t="str">
        <f t="shared" si="21"/>
        <v>84</v>
      </c>
      <c r="W664" s="136">
        <f>+COMPROMISOS_2025[[#This Row],[valor_total]]-COMPROMISOS_2025[[#This Row],[total_cancelado]]</f>
        <v>47854929</v>
      </c>
      <c r="X664" s="136">
        <f>COMPROMISOS_2025[[#This Row],[total_ordenes]]</f>
        <v>3614940</v>
      </c>
      <c r="Y664" t="str" cm="1">
        <f t="array" aca="1" ref="Y664" ca="1">IFERROR(_xlfn.XLOOKUP(COMPROMISOS_2025[[#This Row],[concatenado]],PAA[[#All],[RCP-RUBRO]],PAA[[#All],[Actividad3]],VLOOKUP(COMPROMISOS_2025[[#This Row],[Indicador Principal]],$AC$2:$AD$17,2,0),0),"")</f>
        <v/>
      </c>
    </row>
    <row r="665" spans="1:25" hidden="1" x14ac:dyDescent="0.25">
      <c r="A665">
        <v>808</v>
      </c>
      <c r="B665" t="s">
        <v>3489</v>
      </c>
      <c r="C665" t="s">
        <v>1936</v>
      </c>
      <c r="D665" t="s">
        <v>2125</v>
      </c>
      <c r="E665" t="s">
        <v>3490</v>
      </c>
      <c r="F665">
        <v>145</v>
      </c>
      <c r="G665">
        <v>62</v>
      </c>
      <c r="H665" t="s">
        <v>452</v>
      </c>
      <c r="I665" t="s">
        <v>2018</v>
      </c>
      <c r="J665">
        <v>38529929</v>
      </c>
      <c r="K665">
        <v>2025</v>
      </c>
      <c r="L665">
        <v>15446640</v>
      </c>
      <c r="M665" t="s">
        <v>3491</v>
      </c>
      <c r="N665" t="s">
        <v>1688</v>
      </c>
      <c r="O665" t="s">
        <v>1686</v>
      </c>
      <c r="P665">
        <v>0</v>
      </c>
      <c r="Q665">
        <v>2910534</v>
      </c>
      <c r="R665">
        <v>0</v>
      </c>
      <c r="S665">
        <v>35619395</v>
      </c>
      <c r="T665" t="str">
        <f t="shared" si="20"/>
        <v>8082.43.4302.84.0-205400.2.3.2.02.02.009.03.</v>
      </c>
      <c r="U665" t="e" cm="1">
        <f t="array" aca="1" ref="U665" ca="1">+IF(COMPROMISOS_2025[[#This Row],[P]]="20","41080111",_xlfn.XLOOKUP(COMPROMISOS_2025[[#This Row],[concatenado]],PAA[[#All],[RCP-RUBRO]],PAA[[#All],[INDICADOR]],"",0))</f>
        <v>#NAME?</v>
      </c>
      <c r="V665" s="144" t="str">
        <f t="shared" si="21"/>
        <v>84</v>
      </c>
      <c r="W665" s="136">
        <f>+COMPROMISOS_2025[[#This Row],[valor_total]]-COMPROMISOS_2025[[#This Row],[total_cancelado]]</f>
        <v>38529929</v>
      </c>
      <c r="X665" s="136">
        <f>COMPROMISOS_2025[[#This Row],[total_ordenes]]</f>
        <v>2910534</v>
      </c>
      <c r="Y665" t="str" cm="1">
        <f t="array" aca="1" ref="Y665" ca="1">IFERROR(_xlfn.XLOOKUP(COMPROMISOS_2025[[#This Row],[concatenado]],PAA[[#All],[RCP-RUBRO]],PAA[[#All],[Actividad3]],VLOOKUP(COMPROMISOS_2025[[#This Row],[Indicador Principal]],$AC$2:$AD$17,2,0),0),"")</f>
        <v/>
      </c>
    </row>
    <row r="666" spans="1:25" hidden="1" x14ac:dyDescent="0.25">
      <c r="A666">
        <v>809</v>
      </c>
      <c r="B666" t="s">
        <v>3492</v>
      </c>
      <c r="C666" t="s">
        <v>1936</v>
      </c>
      <c r="D666" t="s">
        <v>2139</v>
      </c>
      <c r="E666" t="s">
        <v>3493</v>
      </c>
      <c r="F666">
        <v>158</v>
      </c>
      <c r="G666">
        <v>62</v>
      </c>
      <c r="H666" t="s">
        <v>452</v>
      </c>
      <c r="I666" t="s">
        <v>2018</v>
      </c>
      <c r="J666">
        <v>10925227</v>
      </c>
      <c r="K666">
        <v>2025</v>
      </c>
      <c r="L666">
        <v>7319786</v>
      </c>
      <c r="M666" t="s">
        <v>3494</v>
      </c>
      <c r="N666" t="s">
        <v>1688</v>
      </c>
      <c r="O666" t="s">
        <v>1686</v>
      </c>
      <c r="P666">
        <v>0</v>
      </c>
      <c r="Q666">
        <v>1896114</v>
      </c>
      <c r="R666">
        <v>0</v>
      </c>
      <c r="S666">
        <v>9029113</v>
      </c>
      <c r="T666" t="str">
        <f t="shared" si="20"/>
        <v>8092.43.4302.84.0-205400.2.3.2.02.02.009.03.</v>
      </c>
      <c r="U666" t="e" cm="1">
        <f t="array" aca="1" ref="U666" ca="1">+IF(COMPROMISOS_2025[[#This Row],[P]]="20","41080111",_xlfn.XLOOKUP(COMPROMISOS_2025[[#This Row],[concatenado]],PAA[[#All],[RCP-RUBRO]],PAA[[#All],[INDICADOR]],"",0))</f>
        <v>#NAME?</v>
      </c>
      <c r="V666" s="144" t="str">
        <f t="shared" si="21"/>
        <v>84</v>
      </c>
      <c r="W666" s="136">
        <f>+COMPROMISOS_2025[[#This Row],[valor_total]]-COMPROMISOS_2025[[#This Row],[total_cancelado]]</f>
        <v>10925227</v>
      </c>
      <c r="X666" s="136">
        <f>COMPROMISOS_2025[[#This Row],[total_ordenes]]</f>
        <v>1896114</v>
      </c>
      <c r="Y666" t="str" cm="1">
        <f t="array" aca="1" ref="Y666" ca="1">IFERROR(_xlfn.XLOOKUP(COMPROMISOS_2025[[#This Row],[concatenado]],PAA[[#All],[RCP-RUBRO]],PAA[[#All],[Actividad3]],VLOOKUP(COMPROMISOS_2025[[#This Row],[Indicador Principal]],$AC$2:$AD$17,2,0),0),"")</f>
        <v/>
      </c>
    </row>
    <row r="667" spans="1:25" hidden="1" x14ac:dyDescent="0.25">
      <c r="A667">
        <v>814</v>
      </c>
      <c r="B667" t="s">
        <v>3495</v>
      </c>
      <c r="C667" t="s">
        <v>1936</v>
      </c>
      <c r="D667" t="s">
        <v>2199</v>
      </c>
      <c r="E667" t="s">
        <v>3496</v>
      </c>
      <c r="F667">
        <v>216</v>
      </c>
      <c r="G667">
        <v>62</v>
      </c>
      <c r="H667" t="s">
        <v>452</v>
      </c>
      <c r="I667" t="s">
        <v>2018</v>
      </c>
      <c r="J667">
        <v>57820006</v>
      </c>
      <c r="K667">
        <v>2025</v>
      </c>
      <c r="L667">
        <v>71716048</v>
      </c>
      <c r="M667" t="s">
        <v>3497</v>
      </c>
      <c r="N667" t="s">
        <v>1688</v>
      </c>
      <c r="O667" t="s">
        <v>1686</v>
      </c>
      <c r="P667">
        <v>0</v>
      </c>
      <c r="Q667">
        <v>4367698</v>
      </c>
      <c r="R667">
        <v>0</v>
      </c>
      <c r="S667">
        <v>53452308</v>
      </c>
      <c r="T667" t="str">
        <f t="shared" si="20"/>
        <v>8142.43.4302.84.0-205400.2.3.2.02.02.009.03.</v>
      </c>
      <c r="U667" t="e" cm="1">
        <f t="array" aca="1" ref="U667" ca="1">+IF(COMPROMISOS_2025[[#This Row],[P]]="20","41080111",_xlfn.XLOOKUP(COMPROMISOS_2025[[#This Row],[concatenado]],PAA[[#All],[RCP-RUBRO]],PAA[[#All],[INDICADOR]],"",0))</f>
        <v>#NAME?</v>
      </c>
      <c r="V667" s="144" t="str">
        <f t="shared" si="21"/>
        <v>84</v>
      </c>
      <c r="W667" s="136">
        <f>+COMPROMISOS_2025[[#This Row],[valor_total]]-COMPROMISOS_2025[[#This Row],[total_cancelado]]</f>
        <v>57820006</v>
      </c>
      <c r="X667" s="136">
        <f>COMPROMISOS_2025[[#This Row],[total_ordenes]]</f>
        <v>4367698</v>
      </c>
      <c r="Y667" t="str" cm="1">
        <f t="array" aca="1" ref="Y667" ca="1">IFERROR(_xlfn.XLOOKUP(COMPROMISOS_2025[[#This Row],[concatenado]],PAA[[#All],[RCP-RUBRO]],PAA[[#All],[Actividad3]],VLOOKUP(COMPROMISOS_2025[[#This Row],[Indicador Principal]],$AC$2:$AD$17,2,0),0),"")</f>
        <v/>
      </c>
    </row>
    <row r="668" spans="1:25" hidden="1" x14ac:dyDescent="0.25">
      <c r="A668">
        <v>815</v>
      </c>
      <c r="B668" t="s">
        <v>3498</v>
      </c>
      <c r="C668" t="s">
        <v>1936</v>
      </c>
      <c r="D668" t="s">
        <v>2198</v>
      </c>
      <c r="E668" t="s">
        <v>3499</v>
      </c>
      <c r="F668">
        <v>215</v>
      </c>
      <c r="G668">
        <v>62</v>
      </c>
      <c r="H668" t="s">
        <v>452</v>
      </c>
      <c r="I668" t="s">
        <v>2018</v>
      </c>
      <c r="J668">
        <v>25100935</v>
      </c>
      <c r="K668">
        <v>2025</v>
      </c>
      <c r="L668">
        <v>10455053276</v>
      </c>
      <c r="M668" t="s">
        <v>3500</v>
      </c>
      <c r="N668" t="s">
        <v>1688</v>
      </c>
      <c r="O668" t="s">
        <v>1686</v>
      </c>
      <c r="P668">
        <v>0</v>
      </c>
      <c r="Q668">
        <v>1896114</v>
      </c>
      <c r="R668">
        <v>0</v>
      </c>
      <c r="S668">
        <v>23204821</v>
      </c>
      <c r="T668" t="str">
        <f t="shared" si="20"/>
        <v>8152.43.4302.84.0-205400.2.3.2.02.02.009.03.</v>
      </c>
      <c r="U668" t="e" cm="1">
        <f t="array" aca="1" ref="U668" ca="1">+IF(COMPROMISOS_2025[[#This Row],[P]]="20","41080111",_xlfn.XLOOKUP(COMPROMISOS_2025[[#This Row],[concatenado]],PAA[[#All],[RCP-RUBRO]],PAA[[#All],[INDICADOR]],"",0))</f>
        <v>#NAME?</v>
      </c>
      <c r="V668" s="144" t="str">
        <f t="shared" si="21"/>
        <v>84</v>
      </c>
      <c r="W668" s="136">
        <f>+COMPROMISOS_2025[[#This Row],[valor_total]]-COMPROMISOS_2025[[#This Row],[total_cancelado]]</f>
        <v>25100935</v>
      </c>
      <c r="X668" s="136">
        <f>COMPROMISOS_2025[[#This Row],[total_ordenes]]</f>
        <v>1896114</v>
      </c>
      <c r="Y668" t="str" cm="1">
        <f t="array" aca="1" ref="Y668" ca="1">IFERROR(_xlfn.XLOOKUP(COMPROMISOS_2025[[#This Row],[concatenado]],PAA[[#All],[RCP-RUBRO]],PAA[[#All],[Actividad3]],VLOOKUP(COMPROMISOS_2025[[#This Row],[Indicador Principal]],$AC$2:$AD$17,2,0),0),"")</f>
        <v/>
      </c>
    </row>
    <row r="669" spans="1:25" hidden="1" x14ac:dyDescent="0.25">
      <c r="A669">
        <v>816</v>
      </c>
      <c r="B669" t="s">
        <v>3501</v>
      </c>
      <c r="C669" t="s">
        <v>1936</v>
      </c>
      <c r="D669" t="s">
        <v>2252</v>
      </c>
      <c r="E669" t="s">
        <v>3502</v>
      </c>
      <c r="F669">
        <v>267</v>
      </c>
      <c r="G669">
        <v>62</v>
      </c>
      <c r="H669" t="s">
        <v>452</v>
      </c>
      <c r="I669" t="s">
        <v>2018</v>
      </c>
      <c r="J669">
        <v>50540509</v>
      </c>
      <c r="K669">
        <v>2025</v>
      </c>
      <c r="L669">
        <v>8431569</v>
      </c>
      <c r="M669" t="s">
        <v>3503</v>
      </c>
      <c r="N669" t="s">
        <v>1688</v>
      </c>
      <c r="O669" t="s">
        <v>1686</v>
      </c>
      <c r="P669">
        <v>0</v>
      </c>
      <c r="Q669">
        <v>4367698</v>
      </c>
      <c r="R669">
        <v>0</v>
      </c>
      <c r="S669">
        <v>46172811</v>
      </c>
      <c r="T669" t="str">
        <f t="shared" si="20"/>
        <v>8162.43.4302.84.0-205400.2.3.2.02.02.009.03.</v>
      </c>
      <c r="U669" t="e" cm="1">
        <f t="array" aca="1" ref="U669" ca="1">+IF(COMPROMISOS_2025[[#This Row],[P]]="20","41080111",_xlfn.XLOOKUP(COMPROMISOS_2025[[#This Row],[concatenado]],PAA[[#All],[RCP-RUBRO]],PAA[[#All],[INDICADOR]],"",0))</f>
        <v>#NAME?</v>
      </c>
      <c r="V669" s="144" t="str">
        <f t="shared" si="21"/>
        <v>84</v>
      </c>
      <c r="W669" s="136">
        <f>+COMPROMISOS_2025[[#This Row],[valor_total]]-COMPROMISOS_2025[[#This Row],[total_cancelado]]</f>
        <v>50540509</v>
      </c>
      <c r="X669" s="136">
        <f>COMPROMISOS_2025[[#This Row],[total_ordenes]]</f>
        <v>4367698</v>
      </c>
      <c r="Y669" t="str" cm="1">
        <f t="array" aca="1" ref="Y669" ca="1">IFERROR(_xlfn.XLOOKUP(COMPROMISOS_2025[[#This Row],[concatenado]],PAA[[#All],[RCP-RUBRO]],PAA[[#All],[Actividad3]],VLOOKUP(COMPROMISOS_2025[[#This Row],[Indicador Principal]],$AC$2:$AD$17,2,0),0),"")</f>
        <v/>
      </c>
    </row>
    <row r="670" spans="1:25" hidden="1" x14ac:dyDescent="0.25">
      <c r="A670">
        <v>818</v>
      </c>
      <c r="B670" t="s">
        <v>3504</v>
      </c>
      <c r="C670" t="s">
        <v>1936</v>
      </c>
      <c r="D670" t="s">
        <v>2200</v>
      </c>
      <c r="E670" t="s">
        <v>3505</v>
      </c>
      <c r="F670">
        <v>217</v>
      </c>
      <c r="G670">
        <v>62</v>
      </c>
      <c r="H670" t="s">
        <v>452</v>
      </c>
      <c r="I670" t="s">
        <v>2018</v>
      </c>
      <c r="J670">
        <v>67461500</v>
      </c>
      <c r="K670">
        <v>2025</v>
      </c>
      <c r="L670">
        <v>1027945251</v>
      </c>
      <c r="M670" t="s">
        <v>3506</v>
      </c>
      <c r="N670" t="s">
        <v>1688</v>
      </c>
      <c r="O670" t="s">
        <v>1686</v>
      </c>
      <c r="P670">
        <v>0</v>
      </c>
      <c r="Q670">
        <v>5096013</v>
      </c>
      <c r="R670">
        <v>0</v>
      </c>
      <c r="S670">
        <v>62365487</v>
      </c>
      <c r="T670" t="str">
        <f t="shared" si="20"/>
        <v>8182.43.4302.84.0-205400.2.3.2.02.02.009.03.</v>
      </c>
      <c r="U670" t="e" cm="1">
        <f t="array" aca="1" ref="U670" ca="1">+IF(COMPROMISOS_2025[[#This Row],[P]]="20","41080111",_xlfn.XLOOKUP(COMPROMISOS_2025[[#This Row],[concatenado]],PAA[[#All],[RCP-RUBRO]],PAA[[#All],[INDICADOR]],"",0))</f>
        <v>#NAME?</v>
      </c>
      <c r="V670" s="144" t="str">
        <f t="shared" si="21"/>
        <v>84</v>
      </c>
      <c r="W670" s="136">
        <f>+COMPROMISOS_2025[[#This Row],[valor_total]]-COMPROMISOS_2025[[#This Row],[total_cancelado]]</f>
        <v>67461500</v>
      </c>
      <c r="X670" s="136">
        <f>COMPROMISOS_2025[[#This Row],[total_ordenes]]</f>
        <v>5096013</v>
      </c>
      <c r="Y670" t="str" cm="1">
        <f t="array" aca="1" ref="Y670" ca="1">IFERROR(_xlfn.XLOOKUP(COMPROMISOS_2025[[#This Row],[concatenado]],PAA[[#All],[RCP-RUBRO]],PAA[[#All],[Actividad3]],VLOOKUP(COMPROMISOS_2025[[#This Row],[Indicador Principal]],$AC$2:$AD$17,2,0),0),"")</f>
        <v/>
      </c>
    </row>
    <row r="671" spans="1:25" hidden="1" x14ac:dyDescent="0.25">
      <c r="A671">
        <v>821</v>
      </c>
      <c r="B671" t="s">
        <v>3507</v>
      </c>
      <c r="C671" t="s">
        <v>1936</v>
      </c>
      <c r="D671" t="s">
        <v>2202</v>
      </c>
      <c r="E671" t="s">
        <v>3508</v>
      </c>
      <c r="F671">
        <v>219</v>
      </c>
      <c r="G671">
        <v>62</v>
      </c>
      <c r="H671" t="s">
        <v>452</v>
      </c>
      <c r="I671" t="s">
        <v>2018</v>
      </c>
      <c r="J671">
        <v>77098861</v>
      </c>
      <c r="K671">
        <v>2025</v>
      </c>
      <c r="L671">
        <v>43918828</v>
      </c>
      <c r="M671" t="s">
        <v>3509</v>
      </c>
      <c r="N671" t="s">
        <v>1688</v>
      </c>
      <c r="O671" t="s">
        <v>1686</v>
      </c>
      <c r="P671">
        <v>0</v>
      </c>
      <c r="Q671">
        <v>5824015</v>
      </c>
      <c r="R671">
        <v>0</v>
      </c>
      <c r="S671">
        <v>71274846</v>
      </c>
      <c r="T671" t="str">
        <f t="shared" si="20"/>
        <v>8212.43.4302.84.0-205400.2.3.2.02.02.009.03.</v>
      </c>
      <c r="U671" t="e" cm="1">
        <f t="array" aca="1" ref="U671" ca="1">+IF(COMPROMISOS_2025[[#This Row],[P]]="20","41080111",_xlfn.XLOOKUP(COMPROMISOS_2025[[#This Row],[concatenado]],PAA[[#All],[RCP-RUBRO]],PAA[[#All],[INDICADOR]],"",0))</f>
        <v>#NAME?</v>
      </c>
      <c r="V671" s="144" t="str">
        <f t="shared" si="21"/>
        <v>84</v>
      </c>
      <c r="W671" s="136">
        <f>+COMPROMISOS_2025[[#This Row],[valor_total]]-COMPROMISOS_2025[[#This Row],[total_cancelado]]</f>
        <v>77098861</v>
      </c>
      <c r="X671" s="136">
        <f>COMPROMISOS_2025[[#This Row],[total_ordenes]]</f>
        <v>5824015</v>
      </c>
      <c r="Y671" t="str" cm="1">
        <f t="array" aca="1" ref="Y671" ca="1">IFERROR(_xlfn.XLOOKUP(COMPROMISOS_2025[[#This Row],[concatenado]],PAA[[#All],[RCP-RUBRO]],PAA[[#All],[Actividad3]],VLOOKUP(COMPROMISOS_2025[[#This Row],[Indicador Principal]],$AC$2:$AD$17,2,0),0),"")</f>
        <v/>
      </c>
    </row>
    <row r="672" spans="1:25" hidden="1" x14ac:dyDescent="0.25">
      <c r="A672">
        <v>822</v>
      </c>
      <c r="B672" t="s">
        <v>3510</v>
      </c>
      <c r="C672" t="s">
        <v>1936</v>
      </c>
      <c r="D672" t="s">
        <v>2204</v>
      </c>
      <c r="E672" t="s">
        <v>3511</v>
      </c>
      <c r="F672">
        <v>221</v>
      </c>
      <c r="G672">
        <v>62</v>
      </c>
      <c r="H672" t="s">
        <v>452</v>
      </c>
      <c r="I672" t="s">
        <v>2018</v>
      </c>
      <c r="J672">
        <v>25100935</v>
      </c>
      <c r="K672">
        <v>2025</v>
      </c>
      <c r="L672">
        <v>713535803</v>
      </c>
      <c r="M672" t="s">
        <v>3512</v>
      </c>
      <c r="N672" t="s">
        <v>1688</v>
      </c>
      <c r="O672" t="s">
        <v>1686</v>
      </c>
      <c r="P672">
        <v>0</v>
      </c>
      <c r="Q672">
        <v>1896114</v>
      </c>
      <c r="R672">
        <v>0</v>
      </c>
      <c r="S672">
        <v>23204821</v>
      </c>
      <c r="T672" t="str">
        <f t="shared" si="20"/>
        <v>8222.43.4302.84.0-205400.2.3.2.02.02.009.03.</v>
      </c>
      <c r="U672" t="e" cm="1">
        <f t="array" aca="1" ref="U672" ca="1">+IF(COMPROMISOS_2025[[#This Row],[P]]="20","41080111",_xlfn.XLOOKUP(COMPROMISOS_2025[[#This Row],[concatenado]],PAA[[#All],[RCP-RUBRO]],PAA[[#All],[INDICADOR]],"",0))</f>
        <v>#NAME?</v>
      </c>
      <c r="V672" s="144" t="str">
        <f t="shared" si="21"/>
        <v>84</v>
      </c>
      <c r="W672" s="136">
        <f>+COMPROMISOS_2025[[#This Row],[valor_total]]-COMPROMISOS_2025[[#This Row],[total_cancelado]]</f>
        <v>25100935</v>
      </c>
      <c r="X672" s="136">
        <f>COMPROMISOS_2025[[#This Row],[total_ordenes]]</f>
        <v>1896114</v>
      </c>
      <c r="Y672" t="str" cm="1">
        <f t="array" aca="1" ref="Y672" ca="1">IFERROR(_xlfn.XLOOKUP(COMPROMISOS_2025[[#This Row],[concatenado]],PAA[[#All],[RCP-RUBRO]],PAA[[#All],[Actividad3]],VLOOKUP(COMPROMISOS_2025[[#This Row],[Indicador Principal]],$AC$2:$AD$17,2,0),0),"")</f>
        <v/>
      </c>
    </row>
    <row r="673" spans="1:25" hidden="1" x14ac:dyDescent="0.25">
      <c r="A673">
        <v>824</v>
      </c>
      <c r="B673" t="s">
        <v>3513</v>
      </c>
      <c r="C673" t="s">
        <v>1936</v>
      </c>
      <c r="D673" t="s">
        <v>2209</v>
      </c>
      <c r="E673" t="s">
        <v>3514</v>
      </c>
      <c r="F673">
        <v>225</v>
      </c>
      <c r="G673">
        <v>62</v>
      </c>
      <c r="H673" t="s">
        <v>452</v>
      </c>
      <c r="I673" t="s">
        <v>2018</v>
      </c>
      <c r="J673">
        <v>77098861</v>
      </c>
      <c r="K673">
        <v>2025</v>
      </c>
      <c r="L673">
        <v>98534661</v>
      </c>
      <c r="M673" t="s">
        <v>3515</v>
      </c>
      <c r="N673" t="s">
        <v>1688</v>
      </c>
      <c r="O673" t="s">
        <v>1686</v>
      </c>
      <c r="P673">
        <v>0</v>
      </c>
      <c r="Q673">
        <v>5824015</v>
      </c>
      <c r="R673">
        <v>0</v>
      </c>
      <c r="S673">
        <v>71274846</v>
      </c>
      <c r="T673" t="str">
        <f t="shared" si="20"/>
        <v>8242.43.4302.84.0-205400.2.3.2.02.02.009.03.</v>
      </c>
      <c r="U673" t="e" cm="1">
        <f t="array" aca="1" ref="U673" ca="1">+IF(COMPROMISOS_2025[[#This Row],[P]]="20","41080111",_xlfn.XLOOKUP(COMPROMISOS_2025[[#This Row],[concatenado]],PAA[[#All],[RCP-RUBRO]],PAA[[#All],[INDICADOR]],"",0))</f>
        <v>#NAME?</v>
      </c>
      <c r="V673" s="144" t="str">
        <f t="shared" si="21"/>
        <v>84</v>
      </c>
      <c r="W673" s="136">
        <f>+COMPROMISOS_2025[[#This Row],[valor_total]]-COMPROMISOS_2025[[#This Row],[total_cancelado]]</f>
        <v>77098861</v>
      </c>
      <c r="X673" s="136">
        <f>COMPROMISOS_2025[[#This Row],[total_ordenes]]</f>
        <v>5824015</v>
      </c>
      <c r="Y673" t="str" cm="1">
        <f t="array" aca="1" ref="Y673" ca="1">IFERROR(_xlfn.XLOOKUP(COMPROMISOS_2025[[#This Row],[concatenado]],PAA[[#All],[RCP-RUBRO]],PAA[[#All],[Actividad3]],VLOOKUP(COMPROMISOS_2025[[#This Row],[Indicador Principal]],$AC$2:$AD$17,2,0),0),"")</f>
        <v/>
      </c>
    </row>
    <row r="674" spans="1:25" hidden="1" x14ac:dyDescent="0.25">
      <c r="A674">
        <v>826</v>
      </c>
      <c r="B674" t="s">
        <v>3516</v>
      </c>
      <c r="C674" t="s">
        <v>1936</v>
      </c>
      <c r="D674" t="s">
        <v>2218</v>
      </c>
      <c r="E674" t="s">
        <v>3517</v>
      </c>
      <c r="F674">
        <v>233</v>
      </c>
      <c r="G674">
        <v>62</v>
      </c>
      <c r="H674" t="s">
        <v>452</v>
      </c>
      <c r="I674" t="s">
        <v>2018</v>
      </c>
      <c r="J674">
        <v>57820006</v>
      </c>
      <c r="K674">
        <v>2025</v>
      </c>
      <c r="L674">
        <v>43811085</v>
      </c>
      <c r="M674" t="s">
        <v>3518</v>
      </c>
      <c r="N674" t="s">
        <v>1688</v>
      </c>
      <c r="O674" t="s">
        <v>1686</v>
      </c>
      <c r="P674">
        <v>0</v>
      </c>
      <c r="Q674">
        <v>4367698</v>
      </c>
      <c r="R674">
        <v>0</v>
      </c>
      <c r="S674">
        <v>53452308</v>
      </c>
      <c r="T674" t="str">
        <f t="shared" si="20"/>
        <v>8262.43.4302.84.0-205400.2.3.2.02.02.009.03.</v>
      </c>
      <c r="U674" t="e" cm="1">
        <f t="array" aca="1" ref="U674" ca="1">+IF(COMPROMISOS_2025[[#This Row],[P]]="20","41080111",_xlfn.XLOOKUP(COMPROMISOS_2025[[#This Row],[concatenado]],PAA[[#All],[RCP-RUBRO]],PAA[[#All],[INDICADOR]],"",0))</f>
        <v>#NAME?</v>
      </c>
      <c r="V674" s="144" t="str">
        <f t="shared" si="21"/>
        <v>84</v>
      </c>
      <c r="W674" s="136">
        <f>+COMPROMISOS_2025[[#This Row],[valor_total]]-COMPROMISOS_2025[[#This Row],[total_cancelado]]</f>
        <v>57820006</v>
      </c>
      <c r="X674" s="136">
        <f>COMPROMISOS_2025[[#This Row],[total_ordenes]]</f>
        <v>4367698</v>
      </c>
      <c r="Y674" t="str" cm="1">
        <f t="array" aca="1" ref="Y674" ca="1">IFERROR(_xlfn.XLOOKUP(COMPROMISOS_2025[[#This Row],[concatenado]],PAA[[#All],[RCP-RUBRO]],PAA[[#All],[Actividad3]],VLOOKUP(COMPROMISOS_2025[[#This Row],[Indicador Principal]],$AC$2:$AD$17,2,0),0),"")</f>
        <v/>
      </c>
    </row>
    <row r="675" spans="1:25" hidden="1" x14ac:dyDescent="0.25">
      <c r="A675">
        <v>827</v>
      </c>
      <c r="B675" t="s">
        <v>3519</v>
      </c>
      <c r="C675" t="s">
        <v>1936</v>
      </c>
      <c r="D675" t="s">
        <v>2232</v>
      </c>
      <c r="E675" t="s">
        <v>3520</v>
      </c>
      <c r="F675">
        <v>247</v>
      </c>
      <c r="G675">
        <v>62</v>
      </c>
      <c r="H675" t="s">
        <v>452</v>
      </c>
      <c r="I675" t="s">
        <v>2018</v>
      </c>
      <c r="J675">
        <v>25100935</v>
      </c>
      <c r="K675">
        <v>2025</v>
      </c>
      <c r="L675">
        <v>1026148854</v>
      </c>
      <c r="M675" t="s">
        <v>3521</v>
      </c>
      <c r="N675" t="s">
        <v>1688</v>
      </c>
      <c r="O675" t="s">
        <v>1686</v>
      </c>
      <c r="P675">
        <v>0</v>
      </c>
      <c r="Q675">
        <v>1896114</v>
      </c>
      <c r="R675">
        <v>0</v>
      </c>
      <c r="S675">
        <v>23204821</v>
      </c>
      <c r="T675" t="str">
        <f t="shared" si="20"/>
        <v>8272.43.4302.84.0-205400.2.3.2.02.02.009.03.</v>
      </c>
      <c r="U675" t="e" cm="1">
        <f t="array" aca="1" ref="U675" ca="1">+IF(COMPROMISOS_2025[[#This Row],[P]]="20","41080111",_xlfn.XLOOKUP(COMPROMISOS_2025[[#This Row],[concatenado]],PAA[[#All],[RCP-RUBRO]],PAA[[#All],[INDICADOR]],"",0))</f>
        <v>#NAME?</v>
      </c>
      <c r="V675" s="144" t="str">
        <f t="shared" si="21"/>
        <v>84</v>
      </c>
      <c r="W675" s="136">
        <f>+COMPROMISOS_2025[[#This Row],[valor_total]]-COMPROMISOS_2025[[#This Row],[total_cancelado]]</f>
        <v>25100935</v>
      </c>
      <c r="X675" s="136">
        <f>COMPROMISOS_2025[[#This Row],[total_ordenes]]</f>
        <v>1896114</v>
      </c>
      <c r="Y675" t="str" cm="1">
        <f t="array" aca="1" ref="Y675" ca="1">IFERROR(_xlfn.XLOOKUP(COMPROMISOS_2025[[#This Row],[concatenado]],PAA[[#All],[RCP-RUBRO]],PAA[[#All],[Actividad3]],VLOOKUP(COMPROMISOS_2025[[#This Row],[Indicador Principal]],$AC$2:$AD$17,2,0),0),"")</f>
        <v/>
      </c>
    </row>
    <row r="676" spans="1:25" hidden="1" x14ac:dyDescent="0.25">
      <c r="A676">
        <v>830</v>
      </c>
      <c r="B676" t="s">
        <v>3522</v>
      </c>
      <c r="C676" t="s">
        <v>1936</v>
      </c>
      <c r="D676" t="s">
        <v>2172</v>
      </c>
      <c r="E676" t="s">
        <v>3523</v>
      </c>
      <c r="F676">
        <v>189</v>
      </c>
      <c r="G676">
        <v>62</v>
      </c>
      <c r="H676" t="s">
        <v>452</v>
      </c>
      <c r="I676" t="s">
        <v>2018</v>
      </c>
      <c r="J676">
        <v>47854929</v>
      </c>
      <c r="K676">
        <v>2025</v>
      </c>
      <c r="L676">
        <v>10279667478</v>
      </c>
      <c r="M676" t="s">
        <v>3524</v>
      </c>
      <c r="N676" t="s">
        <v>1688</v>
      </c>
      <c r="O676" t="s">
        <v>1686</v>
      </c>
      <c r="P676">
        <v>0</v>
      </c>
      <c r="Q676">
        <v>3614940</v>
      </c>
      <c r="R676">
        <v>0</v>
      </c>
      <c r="S676">
        <v>44239989</v>
      </c>
      <c r="T676" t="str">
        <f t="shared" si="20"/>
        <v>8302.43.4302.84.0-205400.2.3.2.02.02.009.03.</v>
      </c>
      <c r="U676" t="e" cm="1">
        <f t="array" aca="1" ref="U676" ca="1">+IF(COMPROMISOS_2025[[#This Row],[P]]="20","41080111",_xlfn.XLOOKUP(COMPROMISOS_2025[[#This Row],[concatenado]],PAA[[#All],[RCP-RUBRO]],PAA[[#All],[INDICADOR]],"",0))</f>
        <v>#NAME?</v>
      </c>
      <c r="V676" s="144" t="str">
        <f t="shared" si="21"/>
        <v>84</v>
      </c>
      <c r="W676" s="136">
        <f>+COMPROMISOS_2025[[#This Row],[valor_total]]-COMPROMISOS_2025[[#This Row],[total_cancelado]]</f>
        <v>47854929</v>
      </c>
      <c r="X676" s="136">
        <f>COMPROMISOS_2025[[#This Row],[total_ordenes]]</f>
        <v>3614940</v>
      </c>
      <c r="Y676" t="str" cm="1">
        <f t="array" aca="1" ref="Y676" ca="1">IFERROR(_xlfn.XLOOKUP(COMPROMISOS_2025[[#This Row],[concatenado]],PAA[[#All],[RCP-RUBRO]],PAA[[#All],[Actividad3]],VLOOKUP(COMPROMISOS_2025[[#This Row],[Indicador Principal]],$AC$2:$AD$17,2,0),0),"")</f>
        <v/>
      </c>
    </row>
    <row r="677" spans="1:25" hidden="1" x14ac:dyDescent="0.25">
      <c r="A677">
        <v>831</v>
      </c>
      <c r="B677" t="s">
        <v>3525</v>
      </c>
      <c r="C677" t="s">
        <v>1936</v>
      </c>
      <c r="D677" t="s">
        <v>2254</v>
      </c>
      <c r="E677" t="s">
        <v>3526</v>
      </c>
      <c r="F677">
        <v>282</v>
      </c>
      <c r="G677">
        <v>62</v>
      </c>
      <c r="H677" t="s">
        <v>452</v>
      </c>
      <c r="I677" t="s">
        <v>2018</v>
      </c>
      <c r="J677">
        <v>25100935</v>
      </c>
      <c r="K677">
        <v>2025</v>
      </c>
      <c r="L677">
        <v>1017246519</v>
      </c>
      <c r="M677" t="s">
        <v>3527</v>
      </c>
      <c r="N677" t="s">
        <v>1688</v>
      </c>
      <c r="O677" t="s">
        <v>1686</v>
      </c>
      <c r="P677">
        <v>0</v>
      </c>
      <c r="Q677">
        <v>0</v>
      </c>
      <c r="R677">
        <v>0</v>
      </c>
      <c r="S677">
        <v>25100935</v>
      </c>
      <c r="T677" t="str">
        <f t="shared" si="20"/>
        <v>8312.43.4302.84.0-205400.2.3.2.02.02.009.03.</v>
      </c>
      <c r="U677" t="e" cm="1">
        <f t="array" aca="1" ref="U677" ca="1">+IF(COMPROMISOS_2025[[#This Row],[P]]="20","41080111",_xlfn.XLOOKUP(COMPROMISOS_2025[[#This Row],[concatenado]],PAA[[#All],[RCP-RUBRO]],PAA[[#All],[INDICADOR]],"",0))</f>
        <v>#NAME?</v>
      </c>
      <c r="V677" s="144" t="str">
        <f t="shared" si="21"/>
        <v>84</v>
      </c>
      <c r="W677" s="136">
        <f>+COMPROMISOS_2025[[#This Row],[valor_total]]-COMPROMISOS_2025[[#This Row],[total_cancelado]]</f>
        <v>25100935</v>
      </c>
      <c r="X677" s="136">
        <f>COMPROMISOS_2025[[#This Row],[total_ordenes]]</f>
        <v>0</v>
      </c>
      <c r="Y677" t="str" cm="1">
        <f t="array" aca="1" ref="Y677" ca="1">IFERROR(_xlfn.XLOOKUP(COMPROMISOS_2025[[#This Row],[concatenado]],PAA[[#All],[RCP-RUBRO]],PAA[[#All],[Actividad3]],VLOOKUP(COMPROMISOS_2025[[#This Row],[Indicador Principal]],$AC$2:$AD$17,2,0),0),"")</f>
        <v/>
      </c>
    </row>
    <row r="678" spans="1:25" hidden="1" x14ac:dyDescent="0.25">
      <c r="A678">
        <v>832</v>
      </c>
      <c r="B678" t="s">
        <v>3528</v>
      </c>
      <c r="C678" t="s">
        <v>1936</v>
      </c>
      <c r="D678" t="s">
        <v>2250</v>
      </c>
      <c r="E678" t="s">
        <v>3529</v>
      </c>
      <c r="F678">
        <v>265</v>
      </c>
      <c r="G678">
        <v>62</v>
      </c>
      <c r="H678" t="s">
        <v>452</v>
      </c>
      <c r="I678" t="s">
        <v>2018</v>
      </c>
      <c r="J678">
        <v>25100935</v>
      </c>
      <c r="K678">
        <v>2025</v>
      </c>
      <c r="L678">
        <v>11524583186</v>
      </c>
      <c r="M678" t="s">
        <v>3530</v>
      </c>
      <c r="N678" t="s">
        <v>1688</v>
      </c>
      <c r="O678" t="s">
        <v>1686</v>
      </c>
      <c r="P678">
        <v>0</v>
      </c>
      <c r="Q678">
        <v>1896114</v>
      </c>
      <c r="R678">
        <v>0</v>
      </c>
      <c r="S678">
        <v>23204821</v>
      </c>
      <c r="T678" t="str">
        <f t="shared" si="20"/>
        <v>8322.43.4302.84.0-205400.2.3.2.02.02.009.03.</v>
      </c>
      <c r="U678" t="e" cm="1">
        <f t="array" aca="1" ref="U678" ca="1">+IF(COMPROMISOS_2025[[#This Row],[P]]="20","41080111",_xlfn.XLOOKUP(COMPROMISOS_2025[[#This Row],[concatenado]],PAA[[#All],[RCP-RUBRO]],PAA[[#All],[INDICADOR]],"",0))</f>
        <v>#NAME?</v>
      </c>
      <c r="V678" s="144" t="str">
        <f t="shared" si="21"/>
        <v>84</v>
      </c>
      <c r="W678" s="136">
        <f>+COMPROMISOS_2025[[#This Row],[valor_total]]-COMPROMISOS_2025[[#This Row],[total_cancelado]]</f>
        <v>25100935</v>
      </c>
      <c r="X678" s="136">
        <f>COMPROMISOS_2025[[#This Row],[total_ordenes]]</f>
        <v>1896114</v>
      </c>
      <c r="Y678" t="str" cm="1">
        <f t="array" aca="1" ref="Y678" ca="1">IFERROR(_xlfn.XLOOKUP(COMPROMISOS_2025[[#This Row],[concatenado]],PAA[[#All],[RCP-RUBRO]],PAA[[#All],[Actividad3]],VLOOKUP(COMPROMISOS_2025[[#This Row],[Indicador Principal]],$AC$2:$AD$17,2,0),0),"")</f>
        <v/>
      </c>
    </row>
    <row r="679" spans="1:25" hidden="1" x14ac:dyDescent="0.25">
      <c r="A679">
        <v>833</v>
      </c>
      <c r="B679" t="s">
        <v>3531</v>
      </c>
      <c r="C679" t="s">
        <v>1936</v>
      </c>
      <c r="D679" t="s">
        <v>2188</v>
      </c>
      <c r="E679" t="s">
        <v>3532</v>
      </c>
      <c r="F679">
        <v>205</v>
      </c>
      <c r="G679">
        <v>62</v>
      </c>
      <c r="H679" t="s">
        <v>452</v>
      </c>
      <c r="I679" t="s">
        <v>2018</v>
      </c>
      <c r="J679">
        <v>38529929</v>
      </c>
      <c r="K679">
        <v>2025</v>
      </c>
      <c r="L679">
        <v>10364233557</v>
      </c>
      <c r="M679" t="s">
        <v>3533</v>
      </c>
      <c r="N679" t="s">
        <v>1688</v>
      </c>
      <c r="O679" t="s">
        <v>1686</v>
      </c>
      <c r="P679">
        <v>0</v>
      </c>
      <c r="Q679">
        <v>2910534</v>
      </c>
      <c r="R679">
        <v>0</v>
      </c>
      <c r="S679">
        <v>35619395</v>
      </c>
      <c r="T679" t="str">
        <f t="shared" si="20"/>
        <v>8332.43.4302.84.0-205400.2.3.2.02.02.009.03.</v>
      </c>
      <c r="U679" t="e" cm="1">
        <f t="array" aca="1" ref="U679" ca="1">+IF(COMPROMISOS_2025[[#This Row],[P]]="20","41080111",_xlfn.XLOOKUP(COMPROMISOS_2025[[#This Row],[concatenado]],PAA[[#All],[RCP-RUBRO]],PAA[[#All],[INDICADOR]],"",0))</f>
        <v>#NAME?</v>
      </c>
      <c r="V679" s="144" t="str">
        <f t="shared" si="21"/>
        <v>84</v>
      </c>
      <c r="W679" s="136">
        <f>+COMPROMISOS_2025[[#This Row],[valor_total]]-COMPROMISOS_2025[[#This Row],[total_cancelado]]</f>
        <v>38529929</v>
      </c>
      <c r="X679" s="136">
        <f>COMPROMISOS_2025[[#This Row],[total_ordenes]]</f>
        <v>2910534</v>
      </c>
      <c r="Y679" t="str" cm="1">
        <f t="array" aca="1" ref="Y679" ca="1">IFERROR(_xlfn.XLOOKUP(COMPROMISOS_2025[[#This Row],[concatenado]],PAA[[#All],[RCP-RUBRO]],PAA[[#All],[Actividad3]],VLOOKUP(COMPROMISOS_2025[[#This Row],[Indicador Principal]],$AC$2:$AD$17,2,0),0),"")</f>
        <v/>
      </c>
    </row>
    <row r="680" spans="1:25" hidden="1" x14ac:dyDescent="0.25">
      <c r="A680">
        <v>834</v>
      </c>
      <c r="B680" t="s">
        <v>1844</v>
      </c>
      <c r="C680" t="s">
        <v>1936</v>
      </c>
      <c r="D680" t="s">
        <v>2107</v>
      </c>
      <c r="E680" t="s">
        <v>3534</v>
      </c>
      <c r="F680">
        <v>128</v>
      </c>
      <c r="G680">
        <v>62</v>
      </c>
      <c r="H680" t="s">
        <v>452</v>
      </c>
      <c r="I680" t="s">
        <v>2018</v>
      </c>
      <c r="J680">
        <v>25100935</v>
      </c>
      <c r="K680">
        <v>2025</v>
      </c>
      <c r="L680">
        <v>10172364404</v>
      </c>
      <c r="M680" t="s">
        <v>3535</v>
      </c>
      <c r="N680" t="s">
        <v>1688</v>
      </c>
      <c r="O680" t="s">
        <v>1686</v>
      </c>
      <c r="P680">
        <v>0</v>
      </c>
      <c r="Q680">
        <v>1896114</v>
      </c>
      <c r="R680">
        <v>0</v>
      </c>
      <c r="S680">
        <v>23204821</v>
      </c>
      <c r="T680" t="str">
        <f t="shared" si="20"/>
        <v>8342.43.4302.84.0-205400.2.3.2.02.02.009.03.</v>
      </c>
      <c r="U680" t="e" cm="1">
        <f t="array" aca="1" ref="U680" ca="1">+IF(COMPROMISOS_2025[[#This Row],[P]]="20","41080111",_xlfn.XLOOKUP(COMPROMISOS_2025[[#This Row],[concatenado]],PAA[[#All],[RCP-RUBRO]],PAA[[#All],[INDICADOR]],"",0))</f>
        <v>#NAME?</v>
      </c>
      <c r="V680" s="144" t="str">
        <f t="shared" si="21"/>
        <v>84</v>
      </c>
      <c r="W680" s="136">
        <f>+COMPROMISOS_2025[[#This Row],[valor_total]]-COMPROMISOS_2025[[#This Row],[total_cancelado]]</f>
        <v>25100935</v>
      </c>
      <c r="X680" s="136">
        <f>COMPROMISOS_2025[[#This Row],[total_ordenes]]</f>
        <v>1896114</v>
      </c>
      <c r="Y680" t="str" cm="1">
        <f t="array" aca="1" ref="Y680" ca="1">IFERROR(_xlfn.XLOOKUP(COMPROMISOS_2025[[#This Row],[concatenado]],PAA[[#All],[RCP-RUBRO]],PAA[[#All],[Actividad3]],VLOOKUP(COMPROMISOS_2025[[#This Row],[Indicador Principal]],$AC$2:$AD$17,2,0),0),"")</f>
        <v/>
      </c>
    </row>
    <row r="681" spans="1:25" hidden="1" x14ac:dyDescent="0.25">
      <c r="A681">
        <v>835</v>
      </c>
      <c r="B681" t="s">
        <v>3536</v>
      </c>
      <c r="C681" t="s">
        <v>1936</v>
      </c>
      <c r="D681" t="s">
        <v>2251</v>
      </c>
      <c r="E681" t="s">
        <v>3537</v>
      </c>
      <c r="F681">
        <v>266</v>
      </c>
      <c r="G681">
        <v>62</v>
      </c>
      <c r="H681" t="s">
        <v>452</v>
      </c>
      <c r="I681" t="s">
        <v>2018</v>
      </c>
      <c r="J681">
        <v>25100935</v>
      </c>
      <c r="K681">
        <v>2025</v>
      </c>
      <c r="L681">
        <v>10369481167</v>
      </c>
      <c r="M681" t="s">
        <v>3538</v>
      </c>
      <c r="N681" t="s">
        <v>1688</v>
      </c>
      <c r="O681" t="s">
        <v>1686</v>
      </c>
      <c r="P681">
        <v>0</v>
      </c>
      <c r="Q681">
        <v>1896114</v>
      </c>
      <c r="R681">
        <v>0</v>
      </c>
      <c r="S681">
        <v>23204821</v>
      </c>
      <c r="T681" t="str">
        <f t="shared" si="20"/>
        <v>8352.43.4302.84.0-205400.2.3.2.02.02.009.03.</v>
      </c>
      <c r="U681" t="e" cm="1">
        <f t="array" aca="1" ref="U681" ca="1">+IF(COMPROMISOS_2025[[#This Row],[P]]="20","41080111",_xlfn.XLOOKUP(COMPROMISOS_2025[[#This Row],[concatenado]],PAA[[#All],[RCP-RUBRO]],PAA[[#All],[INDICADOR]],"",0))</f>
        <v>#NAME?</v>
      </c>
      <c r="V681" s="144" t="str">
        <f t="shared" si="21"/>
        <v>84</v>
      </c>
      <c r="W681" s="136">
        <f>+COMPROMISOS_2025[[#This Row],[valor_total]]-COMPROMISOS_2025[[#This Row],[total_cancelado]]</f>
        <v>25100935</v>
      </c>
      <c r="X681" s="136">
        <f>COMPROMISOS_2025[[#This Row],[total_ordenes]]</f>
        <v>1896114</v>
      </c>
      <c r="Y681" t="str" cm="1">
        <f t="array" aca="1" ref="Y681" ca="1">IFERROR(_xlfn.XLOOKUP(COMPROMISOS_2025[[#This Row],[concatenado]],PAA[[#All],[RCP-RUBRO]],PAA[[#All],[Actividad3]],VLOOKUP(COMPROMISOS_2025[[#This Row],[Indicador Principal]],$AC$2:$AD$17,2,0),0),"")</f>
        <v/>
      </c>
    </row>
    <row r="682" spans="1:25" hidden="1" x14ac:dyDescent="0.25">
      <c r="A682">
        <v>836</v>
      </c>
      <c r="B682" t="s">
        <v>3539</v>
      </c>
      <c r="C682" t="s">
        <v>1936</v>
      </c>
      <c r="D682" t="s">
        <v>2184</v>
      </c>
      <c r="E682" t="s">
        <v>3540</v>
      </c>
      <c r="F682">
        <v>201</v>
      </c>
      <c r="G682">
        <v>62</v>
      </c>
      <c r="H682" t="s">
        <v>452</v>
      </c>
      <c r="I682" t="s">
        <v>2018</v>
      </c>
      <c r="J682">
        <v>38529929</v>
      </c>
      <c r="K682">
        <v>2025</v>
      </c>
      <c r="L682">
        <v>71703740</v>
      </c>
      <c r="M682" t="s">
        <v>3541</v>
      </c>
      <c r="N682" t="s">
        <v>1688</v>
      </c>
      <c r="O682" t="s">
        <v>1686</v>
      </c>
      <c r="P682">
        <v>0</v>
      </c>
      <c r="Q682">
        <v>2910534</v>
      </c>
      <c r="R682">
        <v>0</v>
      </c>
      <c r="S682">
        <v>35619395</v>
      </c>
      <c r="T682" t="str">
        <f t="shared" si="20"/>
        <v>8362.43.4302.84.0-205400.2.3.2.02.02.009.03.</v>
      </c>
      <c r="U682" t="e" cm="1">
        <f t="array" aca="1" ref="U682" ca="1">+IF(COMPROMISOS_2025[[#This Row],[P]]="20","41080111",_xlfn.XLOOKUP(COMPROMISOS_2025[[#This Row],[concatenado]],PAA[[#All],[RCP-RUBRO]],PAA[[#All],[INDICADOR]],"",0))</f>
        <v>#NAME?</v>
      </c>
      <c r="V682" s="144" t="str">
        <f t="shared" si="21"/>
        <v>84</v>
      </c>
      <c r="W682" s="136">
        <f>+COMPROMISOS_2025[[#This Row],[valor_total]]-COMPROMISOS_2025[[#This Row],[total_cancelado]]</f>
        <v>38529929</v>
      </c>
      <c r="X682" s="136">
        <f>COMPROMISOS_2025[[#This Row],[total_ordenes]]</f>
        <v>2910534</v>
      </c>
      <c r="Y682" t="str" cm="1">
        <f t="array" aca="1" ref="Y682" ca="1">IFERROR(_xlfn.XLOOKUP(COMPROMISOS_2025[[#This Row],[concatenado]],PAA[[#All],[RCP-RUBRO]],PAA[[#All],[Actividad3]],VLOOKUP(COMPROMISOS_2025[[#This Row],[Indicador Principal]],$AC$2:$AD$17,2,0),0),"")</f>
        <v/>
      </c>
    </row>
    <row r="683" spans="1:25" hidden="1" x14ac:dyDescent="0.25">
      <c r="A683">
        <v>837</v>
      </c>
      <c r="B683" t="s">
        <v>3542</v>
      </c>
      <c r="C683" t="s">
        <v>1936</v>
      </c>
      <c r="D683" t="s">
        <v>2100</v>
      </c>
      <c r="E683" t="s">
        <v>3543</v>
      </c>
      <c r="F683">
        <v>122</v>
      </c>
      <c r="G683">
        <v>62</v>
      </c>
      <c r="H683" t="s">
        <v>452</v>
      </c>
      <c r="I683" t="s">
        <v>2018</v>
      </c>
      <c r="J683">
        <v>47854929</v>
      </c>
      <c r="K683">
        <v>2025</v>
      </c>
      <c r="L683">
        <v>71989906</v>
      </c>
      <c r="M683" t="s">
        <v>3544</v>
      </c>
      <c r="N683" t="s">
        <v>1688</v>
      </c>
      <c r="O683" t="s">
        <v>1686</v>
      </c>
      <c r="P683">
        <v>0</v>
      </c>
      <c r="Q683">
        <v>3614940</v>
      </c>
      <c r="R683">
        <v>0</v>
      </c>
      <c r="S683">
        <v>44239989</v>
      </c>
      <c r="T683" t="str">
        <f t="shared" si="20"/>
        <v>8372.43.4302.84.0-205400.2.3.2.02.02.009.03.</v>
      </c>
      <c r="U683" t="e" cm="1">
        <f t="array" aca="1" ref="U683" ca="1">+IF(COMPROMISOS_2025[[#This Row],[P]]="20","41080111",_xlfn.XLOOKUP(COMPROMISOS_2025[[#This Row],[concatenado]],PAA[[#All],[RCP-RUBRO]],PAA[[#All],[INDICADOR]],"",0))</f>
        <v>#NAME?</v>
      </c>
      <c r="V683" s="144" t="str">
        <f t="shared" si="21"/>
        <v>84</v>
      </c>
      <c r="W683" s="136">
        <f>+COMPROMISOS_2025[[#This Row],[valor_total]]-COMPROMISOS_2025[[#This Row],[total_cancelado]]</f>
        <v>47854929</v>
      </c>
      <c r="X683" s="136">
        <f>COMPROMISOS_2025[[#This Row],[total_ordenes]]</f>
        <v>3614940</v>
      </c>
      <c r="Y683" t="str" cm="1">
        <f t="array" aca="1" ref="Y683" ca="1">IFERROR(_xlfn.XLOOKUP(COMPROMISOS_2025[[#This Row],[concatenado]],PAA[[#All],[RCP-RUBRO]],PAA[[#All],[Actividad3]],VLOOKUP(COMPROMISOS_2025[[#This Row],[Indicador Principal]],$AC$2:$AD$17,2,0),0),"")</f>
        <v/>
      </c>
    </row>
    <row r="684" spans="1:25" hidden="1" x14ac:dyDescent="0.25">
      <c r="A684">
        <v>838</v>
      </c>
      <c r="B684" t="s">
        <v>3545</v>
      </c>
      <c r="C684" t="s">
        <v>1936</v>
      </c>
      <c r="D684" t="s">
        <v>2164</v>
      </c>
      <c r="E684" t="s">
        <v>3546</v>
      </c>
      <c r="F684">
        <v>181</v>
      </c>
      <c r="G684">
        <v>62</v>
      </c>
      <c r="H684" t="s">
        <v>452</v>
      </c>
      <c r="I684" t="s">
        <v>2018</v>
      </c>
      <c r="J684">
        <v>25100935</v>
      </c>
      <c r="K684">
        <v>2025</v>
      </c>
      <c r="L684">
        <v>71277601</v>
      </c>
      <c r="M684" t="s">
        <v>3547</v>
      </c>
      <c r="N684" t="s">
        <v>1688</v>
      </c>
      <c r="O684" t="s">
        <v>1686</v>
      </c>
      <c r="P684">
        <v>0</v>
      </c>
      <c r="Q684">
        <v>1896114</v>
      </c>
      <c r="R684">
        <v>0</v>
      </c>
      <c r="S684">
        <v>23204821</v>
      </c>
      <c r="T684" t="str">
        <f t="shared" si="20"/>
        <v>8382.43.4302.84.0-205400.2.3.2.02.02.009.03.</v>
      </c>
      <c r="U684" t="e" cm="1">
        <f t="array" aca="1" ref="U684" ca="1">+IF(COMPROMISOS_2025[[#This Row],[P]]="20","41080111",_xlfn.XLOOKUP(COMPROMISOS_2025[[#This Row],[concatenado]],PAA[[#All],[RCP-RUBRO]],PAA[[#All],[INDICADOR]],"",0))</f>
        <v>#NAME?</v>
      </c>
      <c r="V684" s="144" t="str">
        <f t="shared" si="21"/>
        <v>84</v>
      </c>
      <c r="W684" s="136">
        <f>+COMPROMISOS_2025[[#This Row],[valor_total]]-COMPROMISOS_2025[[#This Row],[total_cancelado]]</f>
        <v>25100935</v>
      </c>
      <c r="X684" s="136">
        <f>COMPROMISOS_2025[[#This Row],[total_ordenes]]</f>
        <v>1896114</v>
      </c>
      <c r="Y684" t="str" cm="1">
        <f t="array" aca="1" ref="Y684" ca="1">IFERROR(_xlfn.XLOOKUP(COMPROMISOS_2025[[#This Row],[concatenado]],PAA[[#All],[RCP-RUBRO]],PAA[[#All],[Actividad3]],VLOOKUP(COMPROMISOS_2025[[#This Row],[Indicador Principal]],$AC$2:$AD$17,2,0),0),"")</f>
        <v/>
      </c>
    </row>
    <row r="685" spans="1:25" hidden="1" x14ac:dyDescent="0.25">
      <c r="A685">
        <v>839</v>
      </c>
      <c r="B685" t="s">
        <v>3548</v>
      </c>
      <c r="C685" t="s">
        <v>1936</v>
      </c>
      <c r="D685" t="s">
        <v>2098</v>
      </c>
      <c r="E685" t="s">
        <v>3549</v>
      </c>
      <c r="F685">
        <v>120</v>
      </c>
      <c r="G685">
        <v>62</v>
      </c>
      <c r="H685" t="s">
        <v>452</v>
      </c>
      <c r="I685" t="s">
        <v>2018</v>
      </c>
      <c r="J685">
        <v>47854929</v>
      </c>
      <c r="K685">
        <v>2025</v>
      </c>
      <c r="L685">
        <v>987613909</v>
      </c>
      <c r="M685" t="s">
        <v>3550</v>
      </c>
      <c r="N685" t="s">
        <v>1688</v>
      </c>
      <c r="O685" t="s">
        <v>1686</v>
      </c>
      <c r="P685">
        <v>0</v>
      </c>
      <c r="Q685">
        <v>3614940</v>
      </c>
      <c r="R685">
        <v>0</v>
      </c>
      <c r="S685">
        <v>44239989</v>
      </c>
      <c r="T685" t="str">
        <f t="shared" si="20"/>
        <v>8392.43.4302.84.0-205400.2.3.2.02.02.009.03.</v>
      </c>
      <c r="U685" t="e" cm="1">
        <f t="array" aca="1" ref="U685" ca="1">+IF(COMPROMISOS_2025[[#This Row],[P]]="20","41080111",_xlfn.XLOOKUP(COMPROMISOS_2025[[#This Row],[concatenado]],PAA[[#All],[RCP-RUBRO]],PAA[[#All],[INDICADOR]],"",0))</f>
        <v>#NAME?</v>
      </c>
      <c r="V685" s="144" t="str">
        <f t="shared" si="21"/>
        <v>84</v>
      </c>
      <c r="W685" s="136">
        <f>+COMPROMISOS_2025[[#This Row],[valor_total]]-COMPROMISOS_2025[[#This Row],[total_cancelado]]</f>
        <v>47854929</v>
      </c>
      <c r="X685" s="136">
        <f>COMPROMISOS_2025[[#This Row],[total_ordenes]]</f>
        <v>3614940</v>
      </c>
      <c r="Y685" t="str" cm="1">
        <f t="array" aca="1" ref="Y685" ca="1">IFERROR(_xlfn.XLOOKUP(COMPROMISOS_2025[[#This Row],[concatenado]],PAA[[#All],[RCP-RUBRO]],PAA[[#All],[Actividad3]],VLOOKUP(COMPROMISOS_2025[[#This Row],[Indicador Principal]],$AC$2:$AD$17,2,0),0),"")</f>
        <v/>
      </c>
    </row>
    <row r="686" spans="1:25" hidden="1" x14ac:dyDescent="0.25">
      <c r="A686">
        <v>840</v>
      </c>
      <c r="B686" t="s">
        <v>3551</v>
      </c>
      <c r="C686" t="s">
        <v>1936</v>
      </c>
      <c r="D686" t="s">
        <v>2142</v>
      </c>
      <c r="E686" t="s">
        <v>3552</v>
      </c>
      <c r="F686">
        <v>161</v>
      </c>
      <c r="G686">
        <v>62</v>
      </c>
      <c r="H686" t="s">
        <v>452</v>
      </c>
      <c r="I686" t="s">
        <v>2018</v>
      </c>
      <c r="J686">
        <v>25100935</v>
      </c>
      <c r="K686">
        <v>2025</v>
      </c>
      <c r="L686">
        <v>10358730351</v>
      </c>
      <c r="M686" t="s">
        <v>3553</v>
      </c>
      <c r="N686" t="s">
        <v>1688</v>
      </c>
      <c r="O686" t="s">
        <v>1686</v>
      </c>
      <c r="P686">
        <v>0</v>
      </c>
      <c r="Q686">
        <v>1896114</v>
      </c>
      <c r="R686">
        <v>0</v>
      </c>
      <c r="S686">
        <v>23204821</v>
      </c>
      <c r="T686" t="str">
        <f t="shared" si="20"/>
        <v>8402.43.4302.84.0-205400.2.3.2.02.02.009.03.</v>
      </c>
      <c r="U686" t="e" cm="1">
        <f t="array" aca="1" ref="U686" ca="1">+IF(COMPROMISOS_2025[[#This Row],[P]]="20","41080111",_xlfn.XLOOKUP(COMPROMISOS_2025[[#This Row],[concatenado]],PAA[[#All],[RCP-RUBRO]],PAA[[#All],[INDICADOR]],"",0))</f>
        <v>#NAME?</v>
      </c>
      <c r="V686" s="144" t="str">
        <f t="shared" si="21"/>
        <v>84</v>
      </c>
      <c r="W686" s="136">
        <f>+COMPROMISOS_2025[[#This Row],[valor_total]]-COMPROMISOS_2025[[#This Row],[total_cancelado]]</f>
        <v>25100935</v>
      </c>
      <c r="X686" s="136">
        <f>COMPROMISOS_2025[[#This Row],[total_ordenes]]</f>
        <v>1896114</v>
      </c>
      <c r="Y686" t="str" cm="1">
        <f t="array" aca="1" ref="Y686" ca="1">IFERROR(_xlfn.XLOOKUP(COMPROMISOS_2025[[#This Row],[concatenado]],PAA[[#All],[RCP-RUBRO]],PAA[[#All],[Actividad3]],VLOOKUP(COMPROMISOS_2025[[#This Row],[Indicador Principal]],$AC$2:$AD$17,2,0),0),"")</f>
        <v/>
      </c>
    </row>
    <row r="687" spans="1:25" hidden="1" x14ac:dyDescent="0.25">
      <c r="A687">
        <v>843</v>
      </c>
      <c r="B687" t="s">
        <v>3554</v>
      </c>
      <c r="C687" t="s">
        <v>1936</v>
      </c>
      <c r="D687" t="s">
        <v>2123</v>
      </c>
      <c r="E687" t="s">
        <v>3555</v>
      </c>
      <c r="F687">
        <v>144</v>
      </c>
      <c r="G687">
        <v>62</v>
      </c>
      <c r="H687" t="s">
        <v>452</v>
      </c>
      <c r="I687" t="s">
        <v>2018</v>
      </c>
      <c r="J687">
        <v>38529929</v>
      </c>
      <c r="K687">
        <v>2025</v>
      </c>
      <c r="L687">
        <v>985305825</v>
      </c>
      <c r="M687" t="s">
        <v>3556</v>
      </c>
      <c r="N687" t="s">
        <v>1688</v>
      </c>
      <c r="O687" t="s">
        <v>1686</v>
      </c>
      <c r="P687">
        <v>0</v>
      </c>
      <c r="Q687">
        <v>2910534</v>
      </c>
      <c r="R687">
        <v>0</v>
      </c>
      <c r="S687">
        <v>35619395</v>
      </c>
      <c r="T687" t="str">
        <f t="shared" si="20"/>
        <v>8432.43.4302.84.0-205400.2.3.2.02.02.009.03.</v>
      </c>
      <c r="U687" t="e" cm="1">
        <f t="array" aca="1" ref="U687" ca="1">+IF(COMPROMISOS_2025[[#This Row],[P]]="20","41080111",_xlfn.XLOOKUP(COMPROMISOS_2025[[#This Row],[concatenado]],PAA[[#All],[RCP-RUBRO]],PAA[[#All],[INDICADOR]],"",0))</f>
        <v>#NAME?</v>
      </c>
      <c r="V687" s="144" t="str">
        <f t="shared" si="21"/>
        <v>84</v>
      </c>
      <c r="W687" s="136">
        <f>+COMPROMISOS_2025[[#This Row],[valor_total]]-COMPROMISOS_2025[[#This Row],[total_cancelado]]</f>
        <v>38529929</v>
      </c>
      <c r="X687" s="136">
        <f>COMPROMISOS_2025[[#This Row],[total_ordenes]]</f>
        <v>2910534</v>
      </c>
      <c r="Y687" t="str" cm="1">
        <f t="array" aca="1" ref="Y687" ca="1">IFERROR(_xlfn.XLOOKUP(COMPROMISOS_2025[[#This Row],[concatenado]],PAA[[#All],[RCP-RUBRO]],PAA[[#All],[Actividad3]],VLOOKUP(COMPROMISOS_2025[[#This Row],[Indicador Principal]],$AC$2:$AD$17,2,0),0),"")</f>
        <v/>
      </c>
    </row>
    <row r="688" spans="1:25" hidden="1" x14ac:dyDescent="0.25">
      <c r="A688">
        <v>896</v>
      </c>
      <c r="B688" t="s">
        <v>3557</v>
      </c>
      <c r="C688" t="s">
        <v>1936</v>
      </c>
      <c r="D688" t="s">
        <v>2072</v>
      </c>
      <c r="E688" t="s">
        <v>3558</v>
      </c>
      <c r="F688">
        <v>95</v>
      </c>
      <c r="G688">
        <v>62</v>
      </c>
      <c r="H688" t="s">
        <v>452</v>
      </c>
      <c r="I688" t="s">
        <v>2018</v>
      </c>
      <c r="J688">
        <v>50540509</v>
      </c>
      <c r="K688">
        <v>2025</v>
      </c>
      <c r="L688">
        <v>71313409</v>
      </c>
      <c r="M688" t="s">
        <v>3559</v>
      </c>
      <c r="N688" t="s">
        <v>1688</v>
      </c>
      <c r="O688" t="s">
        <v>1686</v>
      </c>
      <c r="P688">
        <v>0</v>
      </c>
      <c r="Q688">
        <v>4367698</v>
      </c>
      <c r="R688">
        <v>0</v>
      </c>
      <c r="S688">
        <v>46172811</v>
      </c>
      <c r="T688" t="str">
        <f t="shared" si="20"/>
        <v>8962.43.4302.84.0-205400.2.3.2.02.02.009.03.</v>
      </c>
      <c r="U688" t="e" cm="1">
        <f t="array" aca="1" ref="U688" ca="1">+IF(COMPROMISOS_2025[[#This Row],[P]]="20","41080111",_xlfn.XLOOKUP(COMPROMISOS_2025[[#This Row],[concatenado]],PAA[[#All],[RCP-RUBRO]],PAA[[#All],[INDICADOR]],"",0))</f>
        <v>#NAME?</v>
      </c>
      <c r="V688" s="144" t="str">
        <f t="shared" si="21"/>
        <v>84</v>
      </c>
      <c r="W688" s="136">
        <f>+COMPROMISOS_2025[[#This Row],[valor_total]]-COMPROMISOS_2025[[#This Row],[total_cancelado]]</f>
        <v>50540509</v>
      </c>
      <c r="X688" s="136">
        <f>COMPROMISOS_2025[[#This Row],[total_ordenes]]</f>
        <v>4367698</v>
      </c>
      <c r="Y688" t="str" cm="1">
        <f t="array" aca="1" ref="Y688" ca="1">IFERROR(_xlfn.XLOOKUP(COMPROMISOS_2025[[#This Row],[concatenado]],PAA[[#All],[RCP-RUBRO]],PAA[[#All],[Actividad3]],VLOOKUP(COMPROMISOS_2025[[#This Row],[Indicador Principal]],$AC$2:$AD$17,2,0),0),"")</f>
        <v/>
      </c>
    </row>
    <row r="689" spans="1:25" hidden="1" x14ac:dyDescent="0.25">
      <c r="A689">
        <v>1190</v>
      </c>
      <c r="B689" t="s">
        <v>3560</v>
      </c>
      <c r="C689" t="s">
        <v>1936</v>
      </c>
      <c r="D689" t="s">
        <v>2069</v>
      </c>
      <c r="E689" t="s">
        <v>3561</v>
      </c>
      <c r="F689">
        <v>92</v>
      </c>
      <c r="G689">
        <v>62</v>
      </c>
      <c r="H689" t="s">
        <v>452</v>
      </c>
      <c r="I689" t="s">
        <v>2018</v>
      </c>
      <c r="J689">
        <v>38529929</v>
      </c>
      <c r="K689">
        <v>2025</v>
      </c>
      <c r="L689">
        <v>1056302283</v>
      </c>
      <c r="M689" t="s">
        <v>3562</v>
      </c>
      <c r="N689" t="s">
        <v>1688</v>
      </c>
      <c r="O689" t="s">
        <v>1686</v>
      </c>
      <c r="P689">
        <v>0</v>
      </c>
      <c r="Q689">
        <v>2910534</v>
      </c>
      <c r="R689">
        <v>0</v>
      </c>
      <c r="S689">
        <v>35619395</v>
      </c>
      <c r="T689" t="str">
        <f t="shared" si="20"/>
        <v>11902.43.4302.84.0-205400.2.3.2.02.02.009.03.</v>
      </c>
      <c r="U689" t="e" cm="1">
        <f t="array" aca="1" ref="U689" ca="1">+IF(COMPROMISOS_2025[[#This Row],[P]]="20","41080111",_xlfn.XLOOKUP(COMPROMISOS_2025[[#This Row],[concatenado]],PAA[[#All],[RCP-RUBRO]],PAA[[#All],[INDICADOR]],"",0))</f>
        <v>#NAME?</v>
      </c>
      <c r="V689" s="144" t="str">
        <f t="shared" si="21"/>
        <v>84</v>
      </c>
      <c r="W689" s="136">
        <f>+COMPROMISOS_2025[[#This Row],[valor_total]]-COMPROMISOS_2025[[#This Row],[total_cancelado]]</f>
        <v>38529929</v>
      </c>
      <c r="X689" s="136">
        <f>COMPROMISOS_2025[[#This Row],[total_ordenes]]</f>
        <v>2910534</v>
      </c>
      <c r="Y689" t="str" cm="1">
        <f t="array" aca="1" ref="Y689" ca="1">IFERROR(_xlfn.XLOOKUP(COMPROMISOS_2025[[#This Row],[concatenado]],PAA[[#All],[RCP-RUBRO]],PAA[[#All],[Actividad3]],VLOOKUP(COMPROMISOS_2025[[#This Row],[Indicador Principal]],$AC$2:$AD$17,2,0),0),"")</f>
        <v/>
      </c>
    </row>
    <row r="690" spans="1:25" hidden="1" x14ac:dyDescent="0.25">
      <c r="A690">
        <v>1198</v>
      </c>
      <c r="B690" t="s">
        <v>3563</v>
      </c>
      <c r="C690" t="s">
        <v>1936</v>
      </c>
      <c r="D690" t="s">
        <v>2110</v>
      </c>
      <c r="E690" t="s">
        <v>3564</v>
      </c>
      <c r="F690">
        <v>131</v>
      </c>
      <c r="G690">
        <v>62</v>
      </c>
      <c r="H690" t="s">
        <v>452</v>
      </c>
      <c r="I690" t="s">
        <v>2018</v>
      </c>
      <c r="J690">
        <v>47854929</v>
      </c>
      <c r="K690">
        <v>2025</v>
      </c>
      <c r="L690">
        <v>10369555151</v>
      </c>
      <c r="M690" t="s">
        <v>3565</v>
      </c>
      <c r="N690" t="s">
        <v>1688</v>
      </c>
      <c r="O690" t="s">
        <v>1686</v>
      </c>
      <c r="P690">
        <v>0</v>
      </c>
      <c r="Q690">
        <v>3442801</v>
      </c>
      <c r="R690">
        <v>0</v>
      </c>
      <c r="S690">
        <v>44412128</v>
      </c>
      <c r="T690" t="str">
        <f t="shared" si="20"/>
        <v>11982.43.4302.84.0-205400.2.3.2.02.02.009.03.</v>
      </c>
      <c r="U690" t="e" cm="1">
        <f t="array" aca="1" ref="U690" ca="1">+IF(COMPROMISOS_2025[[#This Row],[P]]="20","41080111",_xlfn.XLOOKUP(COMPROMISOS_2025[[#This Row],[concatenado]],PAA[[#All],[RCP-RUBRO]],PAA[[#All],[INDICADOR]],"",0))</f>
        <v>#NAME?</v>
      </c>
      <c r="V690" s="144" t="str">
        <f t="shared" si="21"/>
        <v>84</v>
      </c>
      <c r="W690" s="136">
        <f>+COMPROMISOS_2025[[#This Row],[valor_total]]-COMPROMISOS_2025[[#This Row],[total_cancelado]]</f>
        <v>47854929</v>
      </c>
      <c r="X690" s="136">
        <f>COMPROMISOS_2025[[#This Row],[total_ordenes]]</f>
        <v>3442801</v>
      </c>
      <c r="Y690" t="str" cm="1">
        <f t="array" aca="1" ref="Y690" ca="1">IFERROR(_xlfn.XLOOKUP(COMPROMISOS_2025[[#This Row],[concatenado]],PAA[[#All],[RCP-RUBRO]],PAA[[#All],[Actividad3]],VLOOKUP(COMPROMISOS_2025[[#This Row],[Indicador Principal]],$AC$2:$AD$17,2,0),0),"")</f>
        <v/>
      </c>
    </row>
    <row r="691" spans="1:25" hidden="1" x14ac:dyDescent="0.25">
      <c r="A691">
        <v>1200</v>
      </c>
      <c r="B691" t="s">
        <v>3566</v>
      </c>
      <c r="C691" t="s">
        <v>1936</v>
      </c>
      <c r="D691" t="s">
        <v>2080</v>
      </c>
      <c r="E691" t="s">
        <v>3567</v>
      </c>
      <c r="F691">
        <v>103</v>
      </c>
      <c r="G691">
        <v>62</v>
      </c>
      <c r="H691" t="s">
        <v>452</v>
      </c>
      <c r="I691" t="s">
        <v>2018</v>
      </c>
      <c r="J691">
        <v>47854929</v>
      </c>
      <c r="K691">
        <v>2025</v>
      </c>
      <c r="L691">
        <v>10204476643</v>
      </c>
      <c r="M691" t="s">
        <v>3568</v>
      </c>
      <c r="N691" t="s">
        <v>1688</v>
      </c>
      <c r="O691" t="s">
        <v>1686</v>
      </c>
      <c r="P691">
        <v>0</v>
      </c>
      <c r="Q691">
        <v>3442800</v>
      </c>
      <c r="R691">
        <v>0</v>
      </c>
      <c r="S691">
        <v>44412129</v>
      </c>
      <c r="T691" t="str">
        <f t="shared" si="20"/>
        <v>12002.43.4302.84.0-205400.2.3.2.02.02.009.03.</v>
      </c>
      <c r="U691" t="e" cm="1">
        <f t="array" aca="1" ref="U691" ca="1">+IF(COMPROMISOS_2025[[#This Row],[P]]="20","41080111",_xlfn.XLOOKUP(COMPROMISOS_2025[[#This Row],[concatenado]],PAA[[#All],[RCP-RUBRO]],PAA[[#All],[INDICADOR]],"",0))</f>
        <v>#NAME?</v>
      </c>
      <c r="V691" s="144" t="str">
        <f t="shared" si="21"/>
        <v>84</v>
      </c>
      <c r="W691" s="136">
        <f>+COMPROMISOS_2025[[#This Row],[valor_total]]-COMPROMISOS_2025[[#This Row],[total_cancelado]]</f>
        <v>47854929</v>
      </c>
      <c r="X691" s="136">
        <f>COMPROMISOS_2025[[#This Row],[total_ordenes]]</f>
        <v>3442800</v>
      </c>
      <c r="Y691" t="str" cm="1">
        <f t="array" aca="1" ref="Y691" ca="1">IFERROR(_xlfn.XLOOKUP(COMPROMISOS_2025[[#This Row],[concatenado]],PAA[[#All],[RCP-RUBRO]],PAA[[#All],[Actividad3]],VLOOKUP(COMPROMISOS_2025[[#This Row],[Indicador Principal]],$AC$2:$AD$17,2,0),0),"")</f>
        <v/>
      </c>
    </row>
    <row r="692" spans="1:25" hidden="1" x14ac:dyDescent="0.25">
      <c r="A692">
        <v>1201</v>
      </c>
      <c r="B692" t="s">
        <v>3569</v>
      </c>
      <c r="C692" t="s">
        <v>1936</v>
      </c>
      <c r="D692" t="s">
        <v>2071</v>
      </c>
      <c r="E692" t="s">
        <v>3570</v>
      </c>
      <c r="F692">
        <v>94</v>
      </c>
      <c r="G692">
        <v>62</v>
      </c>
      <c r="H692" t="s">
        <v>452</v>
      </c>
      <c r="I692" t="s">
        <v>2018</v>
      </c>
      <c r="J692">
        <v>40557199</v>
      </c>
      <c r="K692">
        <v>2025</v>
      </c>
      <c r="L692">
        <v>712617922</v>
      </c>
      <c r="M692" t="s">
        <v>3571</v>
      </c>
      <c r="N692" t="s">
        <v>1688</v>
      </c>
      <c r="O692" t="s">
        <v>1686</v>
      </c>
      <c r="P692">
        <v>0</v>
      </c>
      <c r="Q692">
        <v>4159713</v>
      </c>
      <c r="R692">
        <v>0</v>
      </c>
      <c r="S692">
        <v>36397486</v>
      </c>
      <c r="T692" t="str">
        <f t="shared" si="20"/>
        <v>12012.43.4302.84.0-205400.2.3.2.02.02.009.03.</v>
      </c>
      <c r="U692" t="e" cm="1">
        <f t="array" aca="1" ref="U692" ca="1">+IF(COMPROMISOS_2025[[#This Row],[P]]="20","41080111",_xlfn.XLOOKUP(COMPROMISOS_2025[[#This Row],[concatenado]],PAA[[#All],[RCP-RUBRO]],PAA[[#All],[INDICADOR]],"",0))</f>
        <v>#NAME?</v>
      </c>
      <c r="V692" s="144" t="str">
        <f t="shared" si="21"/>
        <v>84</v>
      </c>
      <c r="W692" s="136">
        <f>+COMPROMISOS_2025[[#This Row],[valor_total]]-COMPROMISOS_2025[[#This Row],[total_cancelado]]</f>
        <v>40557199</v>
      </c>
      <c r="X692" s="136">
        <f>COMPROMISOS_2025[[#This Row],[total_ordenes]]</f>
        <v>4159713</v>
      </c>
      <c r="Y692" t="str" cm="1">
        <f t="array" aca="1" ref="Y692" ca="1">IFERROR(_xlfn.XLOOKUP(COMPROMISOS_2025[[#This Row],[concatenado]],PAA[[#All],[RCP-RUBRO]],PAA[[#All],[Actividad3]],VLOOKUP(COMPROMISOS_2025[[#This Row],[Indicador Principal]],$AC$2:$AD$17,2,0),0),"")</f>
        <v/>
      </c>
    </row>
    <row r="693" spans="1:25" hidden="1" x14ac:dyDescent="0.25">
      <c r="A693">
        <v>1202</v>
      </c>
      <c r="B693" t="s">
        <v>3572</v>
      </c>
      <c r="C693" t="s">
        <v>1936</v>
      </c>
      <c r="D693" t="s">
        <v>2093</v>
      </c>
      <c r="E693" t="s">
        <v>3573</v>
      </c>
      <c r="F693">
        <v>115</v>
      </c>
      <c r="G693">
        <v>62</v>
      </c>
      <c r="H693" t="s">
        <v>452</v>
      </c>
      <c r="I693" t="s">
        <v>2018</v>
      </c>
      <c r="J693">
        <v>32653744</v>
      </c>
      <c r="K693">
        <v>2025</v>
      </c>
      <c r="L693">
        <v>2000023333</v>
      </c>
      <c r="M693" t="s">
        <v>3574</v>
      </c>
      <c r="N693" t="s">
        <v>1688</v>
      </c>
      <c r="O693" t="s">
        <v>1686</v>
      </c>
      <c r="P693">
        <v>0</v>
      </c>
      <c r="Q693">
        <v>0</v>
      </c>
      <c r="R693">
        <v>0</v>
      </c>
      <c r="S693">
        <v>32653744</v>
      </c>
      <c r="T693" t="str">
        <f t="shared" si="20"/>
        <v>12022.43.4302.84.0-205400.2.3.2.02.02.009.03.</v>
      </c>
      <c r="U693" t="e" cm="1">
        <f t="array" aca="1" ref="U693" ca="1">+IF(COMPROMISOS_2025[[#This Row],[P]]="20","41080111",_xlfn.XLOOKUP(COMPROMISOS_2025[[#This Row],[concatenado]],PAA[[#All],[RCP-RUBRO]],PAA[[#All],[INDICADOR]],"",0))</f>
        <v>#NAME?</v>
      </c>
      <c r="V693" s="144" t="str">
        <f t="shared" si="21"/>
        <v>84</v>
      </c>
      <c r="W693" s="136">
        <f>+COMPROMISOS_2025[[#This Row],[valor_total]]-COMPROMISOS_2025[[#This Row],[total_cancelado]]</f>
        <v>32653744</v>
      </c>
      <c r="X693" s="136">
        <f>COMPROMISOS_2025[[#This Row],[total_ordenes]]</f>
        <v>0</v>
      </c>
      <c r="Y693" t="str" cm="1">
        <f t="array" aca="1" ref="Y693" ca="1">IFERROR(_xlfn.XLOOKUP(COMPROMISOS_2025[[#This Row],[concatenado]],PAA[[#All],[RCP-RUBRO]],PAA[[#All],[Actividad3]],VLOOKUP(COMPROMISOS_2025[[#This Row],[Indicador Principal]],$AC$2:$AD$17,2,0),0),"")</f>
        <v/>
      </c>
    </row>
    <row r="694" spans="1:25" hidden="1" x14ac:dyDescent="0.25">
      <c r="A694">
        <v>2036</v>
      </c>
      <c r="B694" t="s">
        <v>2491</v>
      </c>
      <c r="C694" t="s">
        <v>1936</v>
      </c>
      <c r="D694" t="s">
        <v>3575</v>
      </c>
      <c r="F694">
        <v>405</v>
      </c>
      <c r="G694">
        <v>96</v>
      </c>
      <c r="H694" t="s">
        <v>789</v>
      </c>
      <c r="I694" t="s">
        <v>2257</v>
      </c>
      <c r="J694">
        <v>1067625</v>
      </c>
      <c r="K694">
        <v>2025</v>
      </c>
      <c r="L694">
        <v>570487</v>
      </c>
      <c r="M694" t="s">
        <v>3576</v>
      </c>
      <c r="N694" t="s">
        <v>1688</v>
      </c>
      <c r="O694" t="s">
        <v>1686</v>
      </c>
      <c r="P694">
        <v>0</v>
      </c>
      <c r="Q694">
        <v>1067625</v>
      </c>
      <c r="R694">
        <v>0</v>
      </c>
      <c r="S694">
        <v>0</v>
      </c>
      <c r="T694" t="str">
        <f t="shared" si="20"/>
        <v>20362.43.4302.85.0-101024.2.3.3.08.06.</v>
      </c>
      <c r="U694" t="e" cm="1">
        <f t="array" aca="1" ref="U694" ca="1">+IF(COMPROMISOS_2025[[#This Row],[P]]="20","41080111",_xlfn.XLOOKUP(COMPROMISOS_2025[[#This Row],[concatenado]],PAA[[#All],[RCP-RUBRO]],PAA[[#All],[INDICADOR]],"",0))</f>
        <v>#NAME?</v>
      </c>
      <c r="V694" s="144" t="str">
        <f t="shared" si="21"/>
        <v>85</v>
      </c>
      <c r="W694" s="136">
        <f>+COMPROMISOS_2025[[#This Row],[valor_total]]-COMPROMISOS_2025[[#This Row],[total_cancelado]]</f>
        <v>1067625</v>
      </c>
      <c r="X694" s="136">
        <f>COMPROMISOS_2025[[#This Row],[total_ordenes]]</f>
        <v>1067625</v>
      </c>
      <c r="Y694" t="str" cm="1">
        <f t="array" aca="1" ref="Y694" ca="1">IFERROR(_xlfn.XLOOKUP(COMPROMISOS_2025[[#This Row],[concatenado]],PAA[[#All],[RCP-RUBRO]],PAA[[#All],[Actividad3]],VLOOKUP(COMPROMISOS_2025[[#This Row],[Indicador Principal]],$AC$2:$AD$17,2,0),0),"")</f>
        <v/>
      </c>
    </row>
    <row r="695" spans="1:25" hidden="1" x14ac:dyDescent="0.25">
      <c r="A695">
        <v>2037</v>
      </c>
      <c r="B695" t="s">
        <v>2491</v>
      </c>
      <c r="C695" t="s">
        <v>1936</v>
      </c>
      <c r="D695" t="s">
        <v>3575</v>
      </c>
      <c r="F695">
        <v>405</v>
      </c>
      <c r="G695">
        <v>96</v>
      </c>
      <c r="H695" t="s">
        <v>789</v>
      </c>
      <c r="I695" t="s">
        <v>2257</v>
      </c>
      <c r="J695">
        <v>1067625</v>
      </c>
      <c r="K695">
        <v>2025</v>
      </c>
      <c r="L695">
        <v>1443638</v>
      </c>
      <c r="M695" t="s">
        <v>3577</v>
      </c>
      <c r="N695" t="s">
        <v>1688</v>
      </c>
      <c r="O695" t="s">
        <v>1686</v>
      </c>
      <c r="P695">
        <v>0</v>
      </c>
      <c r="Q695">
        <v>1067625</v>
      </c>
      <c r="R695">
        <v>0</v>
      </c>
      <c r="S695">
        <v>0</v>
      </c>
      <c r="T695" t="str">
        <f t="shared" si="20"/>
        <v>20372.43.4302.85.0-101024.2.3.3.08.06.</v>
      </c>
      <c r="U695" t="e" cm="1">
        <f t="array" aca="1" ref="U695" ca="1">+IF(COMPROMISOS_2025[[#This Row],[P]]="20","41080111",_xlfn.XLOOKUP(COMPROMISOS_2025[[#This Row],[concatenado]],PAA[[#All],[RCP-RUBRO]],PAA[[#All],[INDICADOR]],"",0))</f>
        <v>#NAME?</v>
      </c>
      <c r="V695" s="144" t="str">
        <f t="shared" si="21"/>
        <v>85</v>
      </c>
      <c r="W695" s="136">
        <f>+COMPROMISOS_2025[[#This Row],[valor_total]]-COMPROMISOS_2025[[#This Row],[total_cancelado]]</f>
        <v>1067625</v>
      </c>
      <c r="X695" s="136">
        <f>COMPROMISOS_2025[[#This Row],[total_ordenes]]</f>
        <v>1067625</v>
      </c>
      <c r="Y695" t="str" cm="1">
        <f t="array" aca="1" ref="Y695" ca="1">IFERROR(_xlfn.XLOOKUP(COMPROMISOS_2025[[#This Row],[concatenado]],PAA[[#All],[RCP-RUBRO]],PAA[[#All],[Actividad3]],VLOOKUP(COMPROMISOS_2025[[#This Row],[Indicador Principal]],$AC$2:$AD$17,2,0),0),"")</f>
        <v/>
      </c>
    </row>
    <row r="696" spans="1:25" hidden="1" x14ac:dyDescent="0.25">
      <c r="A696">
        <v>2039</v>
      </c>
      <c r="B696" t="s">
        <v>2491</v>
      </c>
      <c r="C696" t="s">
        <v>1936</v>
      </c>
      <c r="D696" t="s">
        <v>3575</v>
      </c>
      <c r="F696">
        <v>405</v>
      </c>
      <c r="G696">
        <v>96</v>
      </c>
      <c r="H696" t="s">
        <v>789</v>
      </c>
      <c r="I696" t="s">
        <v>2257</v>
      </c>
      <c r="J696">
        <v>711750</v>
      </c>
      <c r="K696">
        <v>2025</v>
      </c>
      <c r="L696">
        <v>4907627</v>
      </c>
      <c r="M696" t="s">
        <v>3578</v>
      </c>
      <c r="N696" t="s">
        <v>1688</v>
      </c>
      <c r="O696" t="s">
        <v>1686</v>
      </c>
      <c r="P696">
        <v>0</v>
      </c>
      <c r="Q696">
        <v>711750</v>
      </c>
      <c r="R696">
        <v>0</v>
      </c>
      <c r="S696">
        <v>0</v>
      </c>
      <c r="T696" t="str">
        <f t="shared" si="20"/>
        <v>20392.43.4302.85.0-101024.2.3.3.08.06.</v>
      </c>
      <c r="U696" t="e" cm="1">
        <f t="array" aca="1" ref="U696" ca="1">+IF(COMPROMISOS_2025[[#This Row],[P]]="20","41080111",_xlfn.XLOOKUP(COMPROMISOS_2025[[#This Row],[concatenado]],PAA[[#All],[RCP-RUBRO]],PAA[[#All],[INDICADOR]],"",0))</f>
        <v>#NAME?</v>
      </c>
      <c r="V696" s="144" t="str">
        <f t="shared" si="21"/>
        <v>85</v>
      </c>
      <c r="W696" s="136">
        <f>+COMPROMISOS_2025[[#This Row],[valor_total]]-COMPROMISOS_2025[[#This Row],[total_cancelado]]</f>
        <v>711750</v>
      </c>
      <c r="X696" s="136">
        <f>COMPROMISOS_2025[[#This Row],[total_ordenes]]</f>
        <v>711750</v>
      </c>
      <c r="Y696" t="str" cm="1">
        <f t="array" aca="1" ref="Y696" ca="1">IFERROR(_xlfn.XLOOKUP(COMPROMISOS_2025[[#This Row],[concatenado]],PAA[[#All],[RCP-RUBRO]],PAA[[#All],[Actividad3]],VLOOKUP(COMPROMISOS_2025[[#This Row],[Indicador Principal]],$AC$2:$AD$17,2,0),0),"")</f>
        <v/>
      </c>
    </row>
    <row r="697" spans="1:25" hidden="1" x14ac:dyDescent="0.25">
      <c r="A697">
        <v>2040</v>
      </c>
      <c r="B697" t="s">
        <v>2491</v>
      </c>
      <c r="C697" t="s">
        <v>1936</v>
      </c>
      <c r="D697" t="s">
        <v>3575</v>
      </c>
      <c r="F697">
        <v>405</v>
      </c>
      <c r="G697">
        <v>96</v>
      </c>
      <c r="H697" t="s">
        <v>789</v>
      </c>
      <c r="I697" t="s">
        <v>2257</v>
      </c>
      <c r="J697">
        <v>711750</v>
      </c>
      <c r="K697">
        <v>2025</v>
      </c>
      <c r="L697">
        <v>5333598</v>
      </c>
      <c r="M697" t="s">
        <v>3579</v>
      </c>
      <c r="N697" t="s">
        <v>1688</v>
      </c>
      <c r="O697" t="s">
        <v>1686</v>
      </c>
      <c r="P697">
        <v>0</v>
      </c>
      <c r="Q697">
        <v>711750</v>
      </c>
      <c r="R697">
        <v>0</v>
      </c>
      <c r="S697">
        <v>0</v>
      </c>
      <c r="T697" t="str">
        <f t="shared" si="20"/>
        <v>20402.43.4302.85.0-101024.2.3.3.08.06.</v>
      </c>
      <c r="U697" t="e" cm="1">
        <f t="array" aca="1" ref="U697" ca="1">+IF(COMPROMISOS_2025[[#This Row],[P]]="20","41080111",_xlfn.XLOOKUP(COMPROMISOS_2025[[#This Row],[concatenado]],PAA[[#All],[RCP-RUBRO]],PAA[[#All],[INDICADOR]],"",0))</f>
        <v>#NAME?</v>
      </c>
      <c r="V697" s="144" t="str">
        <f t="shared" si="21"/>
        <v>85</v>
      </c>
      <c r="W697" s="136">
        <f>+COMPROMISOS_2025[[#This Row],[valor_total]]-COMPROMISOS_2025[[#This Row],[total_cancelado]]</f>
        <v>711750</v>
      </c>
      <c r="X697" s="136">
        <f>COMPROMISOS_2025[[#This Row],[total_ordenes]]</f>
        <v>711750</v>
      </c>
      <c r="Y697" t="str" cm="1">
        <f t="array" aca="1" ref="Y697" ca="1">IFERROR(_xlfn.XLOOKUP(COMPROMISOS_2025[[#This Row],[concatenado]],PAA[[#All],[RCP-RUBRO]],PAA[[#All],[Actividad3]],VLOOKUP(COMPROMISOS_2025[[#This Row],[Indicador Principal]],$AC$2:$AD$17,2,0),0),"")</f>
        <v/>
      </c>
    </row>
    <row r="698" spans="1:25" hidden="1" x14ac:dyDescent="0.25">
      <c r="A698">
        <v>2043</v>
      </c>
      <c r="B698" t="s">
        <v>2491</v>
      </c>
      <c r="C698" t="s">
        <v>1936</v>
      </c>
      <c r="D698" t="s">
        <v>3575</v>
      </c>
      <c r="F698">
        <v>405</v>
      </c>
      <c r="G698">
        <v>96</v>
      </c>
      <c r="H698" t="s">
        <v>789</v>
      </c>
      <c r="I698" t="s">
        <v>2257</v>
      </c>
      <c r="J698">
        <v>1423500</v>
      </c>
      <c r="K698">
        <v>2025</v>
      </c>
      <c r="L698">
        <v>7319786</v>
      </c>
      <c r="M698" t="s">
        <v>3494</v>
      </c>
      <c r="N698" t="s">
        <v>1688</v>
      </c>
      <c r="O698" t="s">
        <v>1686</v>
      </c>
      <c r="P698">
        <v>0</v>
      </c>
      <c r="Q698">
        <v>1423500</v>
      </c>
      <c r="R698">
        <v>0</v>
      </c>
      <c r="S698">
        <v>0</v>
      </c>
      <c r="T698" t="str">
        <f t="shared" si="20"/>
        <v>20432.43.4302.85.0-101024.2.3.3.08.06.</v>
      </c>
      <c r="U698" t="e" cm="1">
        <f t="array" aca="1" ref="U698" ca="1">+IF(COMPROMISOS_2025[[#This Row],[P]]="20","41080111",_xlfn.XLOOKUP(COMPROMISOS_2025[[#This Row],[concatenado]],PAA[[#All],[RCP-RUBRO]],PAA[[#All],[INDICADOR]],"",0))</f>
        <v>#NAME?</v>
      </c>
      <c r="V698" s="144" t="str">
        <f t="shared" si="21"/>
        <v>85</v>
      </c>
      <c r="W698" s="136">
        <f>+COMPROMISOS_2025[[#This Row],[valor_total]]-COMPROMISOS_2025[[#This Row],[total_cancelado]]</f>
        <v>1423500</v>
      </c>
      <c r="X698" s="136">
        <f>COMPROMISOS_2025[[#This Row],[total_ordenes]]</f>
        <v>1423500</v>
      </c>
      <c r="Y698" t="str" cm="1">
        <f t="array" aca="1" ref="Y698" ca="1">IFERROR(_xlfn.XLOOKUP(COMPROMISOS_2025[[#This Row],[concatenado]],PAA[[#All],[RCP-RUBRO]],PAA[[#All],[Actividad3]],VLOOKUP(COMPROMISOS_2025[[#This Row],[Indicador Principal]],$AC$2:$AD$17,2,0),0),"")</f>
        <v/>
      </c>
    </row>
    <row r="699" spans="1:25" hidden="1" x14ac:dyDescent="0.25">
      <c r="A699">
        <v>2060</v>
      </c>
      <c r="B699" t="s">
        <v>2491</v>
      </c>
      <c r="C699" t="s">
        <v>1936</v>
      </c>
      <c r="D699" t="s">
        <v>3575</v>
      </c>
      <c r="F699">
        <v>405</v>
      </c>
      <c r="G699">
        <v>96</v>
      </c>
      <c r="H699" t="s">
        <v>789</v>
      </c>
      <c r="I699" t="s">
        <v>2257</v>
      </c>
      <c r="J699">
        <v>1423500</v>
      </c>
      <c r="K699">
        <v>2025</v>
      </c>
      <c r="L699">
        <v>43998319</v>
      </c>
      <c r="M699" t="s">
        <v>3580</v>
      </c>
      <c r="N699" t="s">
        <v>1688</v>
      </c>
      <c r="O699" t="s">
        <v>1686</v>
      </c>
      <c r="P699">
        <v>0</v>
      </c>
      <c r="Q699">
        <v>1423500</v>
      </c>
      <c r="R699">
        <v>0</v>
      </c>
      <c r="S699">
        <v>0</v>
      </c>
      <c r="T699" t="str">
        <f t="shared" si="20"/>
        <v>20602.43.4302.85.0-101024.2.3.3.08.06.</v>
      </c>
      <c r="U699" t="e" cm="1">
        <f t="array" aca="1" ref="U699" ca="1">+IF(COMPROMISOS_2025[[#This Row],[P]]="20","41080111",_xlfn.XLOOKUP(COMPROMISOS_2025[[#This Row],[concatenado]],PAA[[#All],[RCP-RUBRO]],PAA[[#All],[INDICADOR]],"",0))</f>
        <v>#NAME?</v>
      </c>
      <c r="V699" s="144" t="str">
        <f t="shared" si="21"/>
        <v>85</v>
      </c>
      <c r="W699" s="136">
        <f>+COMPROMISOS_2025[[#This Row],[valor_total]]-COMPROMISOS_2025[[#This Row],[total_cancelado]]</f>
        <v>1423500</v>
      </c>
      <c r="X699" s="136">
        <f>COMPROMISOS_2025[[#This Row],[total_ordenes]]</f>
        <v>1423500</v>
      </c>
      <c r="Y699" t="str" cm="1">
        <f t="array" aca="1" ref="Y699" ca="1">IFERROR(_xlfn.XLOOKUP(COMPROMISOS_2025[[#This Row],[concatenado]],PAA[[#All],[RCP-RUBRO]],PAA[[#All],[Actividad3]],VLOOKUP(COMPROMISOS_2025[[#This Row],[Indicador Principal]],$AC$2:$AD$17,2,0),0),"")</f>
        <v/>
      </c>
    </row>
    <row r="700" spans="1:25" hidden="1" x14ac:dyDescent="0.25">
      <c r="A700">
        <v>2063</v>
      </c>
      <c r="B700" t="s">
        <v>2491</v>
      </c>
      <c r="C700" t="s">
        <v>1936</v>
      </c>
      <c r="D700" t="s">
        <v>3575</v>
      </c>
      <c r="F700">
        <v>405</v>
      </c>
      <c r="G700">
        <v>96</v>
      </c>
      <c r="H700" t="s">
        <v>789</v>
      </c>
      <c r="I700" t="s">
        <v>2257</v>
      </c>
      <c r="J700">
        <v>1423500</v>
      </c>
      <c r="K700">
        <v>2025</v>
      </c>
      <c r="L700">
        <v>70330346</v>
      </c>
      <c r="M700" t="s">
        <v>3581</v>
      </c>
      <c r="N700" t="s">
        <v>1688</v>
      </c>
      <c r="O700" t="s">
        <v>1686</v>
      </c>
      <c r="P700">
        <v>0</v>
      </c>
      <c r="Q700">
        <v>1423500</v>
      </c>
      <c r="R700">
        <v>0</v>
      </c>
      <c r="S700">
        <v>0</v>
      </c>
      <c r="T700" t="str">
        <f t="shared" si="20"/>
        <v>20632.43.4302.85.0-101024.2.3.3.08.06.</v>
      </c>
      <c r="U700" t="e" cm="1">
        <f t="array" aca="1" ref="U700" ca="1">+IF(COMPROMISOS_2025[[#This Row],[P]]="20","41080111",_xlfn.XLOOKUP(COMPROMISOS_2025[[#This Row],[concatenado]],PAA[[#All],[RCP-RUBRO]],PAA[[#All],[INDICADOR]],"",0))</f>
        <v>#NAME?</v>
      </c>
      <c r="V700" s="144" t="str">
        <f t="shared" si="21"/>
        <v>85</v>
      </c>
      <c r="W700" s="136">
        <f>+COMPROMISOS_2025[[#This Row],[valor_total]]-COMPROMISOS_2025[[#This Row],[total_cancelado]]</f>
        <v>1423500</v>
      </c>
      <c r="X700" s="136">
        <f>COMPROMISOS_2025[[#This Row],[total_ordenes]]</f>
        <v>1423500</v>
      </c>
      <c r="Y700" t="str" cm="1">
        <f t="array" aca="1" ref="Y700" ca="1">IFERROR(_xlfn.XLOOKUP(COMPROMISOS_2025[[#This Row],[concatenado]],PAA[[#All],[RCP-RUBRO]],PAA[[#All],[Actividad3]],VLOOKUP(COMPROMISOS_2025[[#This Row],[Indicador Principal]],$AC$2:$AD$17,2,0),0),"")</f>
        <v/>
      </c>
    </row>
    <row r="701" spans="1:25" hidden="1" x14ac:dyDescent="0.25">
      <c r="A701">
        <v>2071</v>
      </c>
      <c r="B701" t="s">
        <v>2491</v>
      </c>
      <c r="C701" t="s">
        <v>1936</v>
      </c>
      <c r="D701" t="s">
        <v>3575</v>
      </c>
      <c r="F701">
        <v>405</v>
      </c>
      <c r="G701">
        <v>96</v>
      </c>
      <c r="H701" t="s">
        <v>789</v>
      </c>
      <c r="I701" t="s">
        <v>2257</v>
      </c>
      <c r="J701">
        <v>711750</v>
      </c>
      <c r="K701">
        <v>2025</v>
      </c>
      <c r="L701">
        <v>71362015</v>
      </c>
      <c r="M701" t="s">
        <v>3582</v>
      </c>
      <c r="N701" t="s">
        <v>1688</v>
      </c>
      <c r="O701" t="s">
        <v>1686</v>
      </c>
      <c r="P701">
        <v>0</v>
      </c>
      <c r="Q701">
        <v>711750</v>
      </c>
      <c r="R701">
        <v>0</v>
      </c>
      <c r="S701">
        <v>0</v>
      </c>
      <c r="T701" t="str">
        <f t="shared" si="20"/>
        <v>20712.43.4302.85.0-101024.2.3.3.08.06.</v>
      </c>
      <c r="U701" t="e" cm="1">
        <f t="array" aca="1" ref="U701" ca="1">+IF(COMPROMISOS_2025[[#This Row],[P]]="20","41080111",_xlfn.XLOOKUP(COMPROMISOS_2025[[#This Row],[concatenado]],PAA[[#All],[RCP-RUBRO]],PAA[[#All],[INDICADOR]],"",0))</f>
        <v>#NAME?</v>
      </c>
      <c r="V701" s="144" t="str">
        <f t="shared" si="21"/>
        <v>85</v>
      </c>
      <c r="W701" s="136">
        <f>+COMPROMISOS_2025[[#This Row],[valor_total]]-COMPROMISOS_2025[[#This Row],[total_cancelado]]</f>
        <v>711750</v>
      </c>
      <c r="X701" s="136">
        <f>COMPROMISOS_2025[[#This Row],[total_ordenes]]</f>
        <v>711750</v>
      </c>
      <c r="Y701" t="str" cm="1">
        <f t="array" aca="1" ref="Y701" ca="1">IFERROR(_xlfn.XLOOKUP(COMPROMISOS_2025[[#This Row],[concatenado]],PAA[[#All],[RCP-RUBRO]],PAA[[#All],[Actividad3]],VLOOKUP(COMPROMISOS_2025[[#This Row],[Indicador Principal]],$AC$2:$AD$17,2,0),0),"")</f>
        <v/>
      </c>
    </row>
    <row r="702" spans="1:25" hidden="1" x14ac:dyDescent="0.25">
      <c r="A702">
        <v>2083</v>
      </c>
      <c r="B702" t="s">
        <v>2491</v>
      </c>
      <c r="C702" t="s">
        <v>1936</v>
      </c>
      <c r="D702" t="s">
        <v>3575</v>
      </c>
      <c r="F702">
        <v>405</v>
      </c>
      <c r="G702">
        <v>96</v>
      </c>
      <c r="H702" t="s">
        <v>789</v>
      </c>
      <c r="I702" t="s">
        <v>2257</v>
      </c>
      <c r="J702">
        <v>711750</v>
      </c>
      <c r="K702">
        <v>2025</v>
      </c>
      <c r="L702">
        <v>98762447</v>
      </c>
      <c r="M702" t="s">
        <v>3583</v>
      </c>
      <c r="N702" t="s">
        <v>1688</v>
      </c>
      <c r="O702" t="s">
        <v>1686</v>
      </c>
      <c r="P702">
        <v>0</v>
      </c>
      <c r="Q702">
        <v>711750</v>
      </c>
      <c r="R702">
        <v>0</v>
      </c>
      <c r="S702">
        <v>0</v>
      </c>
      <c r="T702" t="str">
        <f t="shared" si="20"/>
        <v>20832.43.4302.85.0-101024.2.3.3.08.06.</v>
      </c>
      <c r="U702" t="e" cm="1">
        <f t="array" aca="1" ref="U702" ca="1">+IF(COMPROMISOS_2025[[#This Row],[P]]="20","41080111",_xlfn.XLOOKUP(COMPROMISOS_2025[[#This Row],[concatenado]],PAA[[#All],[RCP-RUBRO]],PAA[[#All],[INDICADOR]],"",0))</f>
        <v>#NAME?</v>
      </c>
      <c r="V702" s="144" t="str">
        <f t="shared" si="21"/>
        <v>85</v>
      </c>
      <c r="W702" s="136">
        <f>+COMPROMISOS_2025[[#This Row],[valor_total]]-COMPROMISOS_2025[[#This Row],[total_cancelado]]</f>
        <v>711750</v>
      </c>
      <c r="X702" s="136">
        <f>COMPROMISOS_2025[[#This Row],[total_ordenes]]</f>
        <v>711750</v>
      </c>
      <c r="Y702" t="str" cm="1">
        <f t="array" aca="1" ref="Y702" ca="1">IFERROR(_xlfn.XLOOKUP(COMPROMISOS_2025[[#This Row],[concatenado]],PAA[[#All],[RCP-RUBRO]],PAA[[#All],[Actividad3]],VLOOKUP(COMPROMISOS_2025[[#This Row],[Indicador Principal]],$AC$2:$AD$17,2,0),0),"")</f>
        <v/>
      </c>
    </row>
    <row r="703" spans="1:25" hidden="1" x14ac:dyDescent="0.25">
      <c r="A703">
        <v>2088</v>
      </c>
      <c r="B703" t="s">
        <v>2491</v>
      </c>
      <c r="C703" t="s">
        <v>1936</v>
      </c>
      <c r="D703" t="s">
        <v>3575</v>
      </c>
      <c r="F703">
        <v>405</v>
      </c>
      <c r="G703">
        <v>96</v>
      </c>
      <c r="H703" t="s">
        <v>789</v>
      </c>
      <c r="I703" t="s">
        <v>2257</v>
      </c>
      <c r="J703">
        <v>4270500</v>
      </c>
      <c r="K703">
        <v>2025</v>
      </c>
      <c r="L703">
        <v>1000087354</v>
      </c>
      <c r="M703" t="s">
        <v>3584</v>
      </c>
      <c r="N703" t="s">
        <v>1688</v>
      </c>
      <c r="O703" t="s">
        <v>1686</v>
      </c>
      <c r="P703">
        <v>0</v>
      </c>
      <c r="Q703">
        <v>4270500</v>
      </c>
      <c r="R703">
        <v>0</v>
      </c>
      <c r="S703">
        <v>0</v>
      </c>
      <c r="T703" t="str">
        <f t="shared" si="20"/>
        <v>20882.43.4302.85.0-101024.2.3.3.08.06.</v>
      </c>
      <c r="U703" t="e" cm="1">
        <f t="array" aca="1" ref="U703" ca="1">+IF(COMPROMISOS_2025[[#This Row],[P]]="20","41080111",_xlfn.XLOOKUP(COMPROMISOS_2025[[#This Row],[concatenado]],PAA[[#All],[RCP-RUBRO]],PAA[[#All],[INDICADOR]],"",0))</f>
        <v>#NAME?</v>
      </c>
      <c r="V703" s="144" t="str">
        <f t="shared" si="21"/>
        <v>85</v>
      </c>
      <c r="W703" s="136">
        <f>+COMPROMISOS_2025[[#This Row],[valor_total]]-COMPROMISOS_2025[[#This Row],[total_cancelado]]</f>
        <v>4270500</v>
      </c>
      <c r="X703" s="136">
        <f>COMPROMISOS_2025[[#This Row],[total_ordenes]]</f>
        <v>4270500</v>
      </c>
      <c r="Y703" t="str" cm="1">
        <f t="array" aca="1" ref="Y703" ca="1">IFERROR(_xlfn.XLOOKUP(COMPROMISOS_2025[[#This Row],[concatenado]],PAA[[#All],[RCP-RUBRO]],PAA[[#All],[Actividad3]],VLOOKUP(COMPROMISOS_2025[[#This Row],[Indicador Principal]],$AC$2:$AD$17,2,0),0),"")</f>
        <v/>
      </c>
    </row>
    <row r="704" spans="1:25" hidden="1" x14ac:dyDescent="0.25">
      <c r="A704">
        <v>2090</v>
      </c>
      <c r="B704" t="s">
        <v>2491</v>
      </c>
      <c r="C704" t="s">
        <v>1936</v>
      </c>
      <c r="D704" t="s">
        <v>3575</v>
      </c>
      <c r="F704">
        <v>405</v>
      </c>
      <c r="G704">
        <v>96</v>
      </c>
      <c r="H704" t="s">
        <v>789</v>
      </c>
      <c r="I704" t="s">
        <v>2257</v>
      </c>
      <c r="J704">
        <v>1423500</v>
      </c>
      <c r="K704">
        <v>2025</v>
      </c>
      <c r="L704">
        <v>1000090494</v>
      </c>
      <c r="M704" t="s">
        <v>3585</v>
      </c>
      <c r="N704" t="s">
        <v>1688</v>
      </c>
      <c r="O704" t="s">
        <v>1686</v>
      </c>
      <c r="P704">
        <v>0</v>
      </c>
      <c r="Q704">
        <v>1423500</v>
      </c>
      <c r="R704">
        <v>0</v>
      </c>
      <c r="S704">
        <v>0</v>
      </c>
      <c r="T704" t="str">
        <f t="shared" si="20"/>
        <v>20902.43.4302.85.0-101024.2.3.3.08.06.</v>
      </c>
      <c r="U704" t="e" cm="1">
        <f t="array" aca="1" ref="U704" ca="1">+IF(COMPROMISOS_2025[[#This Row],[P]]="20","41080111",_xlfn.XLOOKUP(COMPROMISOS_2025[[#This Row],[concatenado]],PAA[[#All],[RCP-RUBRO]],PAA[[#All],[INDICADOR]],"",0))</f>
        <v>#NAME?</v>
      </c>
      <c r="V704" s="144" t="str">
        <f t="shared" si="21"/>
        <v>85</v>
      </c>
      <c r="W704" s="136">
        <f>+COMPROMISOS_2025[[#This Row],[valor_total]]-COMPROMISOS_2025[[#This Row],[total_cancelado]]</f>
        <v>1423500</v>
      </c>
      <c r="X704" s="136">
        <f>COMPROMISOS_2025[[#This Row],[total_ordenes]]</f>
        <v>1423500</v>
      </c>
      <c r="Y704" t="str" cm="1">
        <f t="array" aca="1" ref="Y704" ca="1">IFERROR(_xlfn.XLOOKUP(COMPROMISOS_2025[[#This Row],[concatenado]],PAA[[#All],[RCP-RUBRO]],PAA[[#All],[Actividad3]],VLOOKUP(COMPROMISOS_2025[[#This Row],[Indicador Principal]],$AC$2:$AD$17,2,0),0),"")</f>
        <v/>
      </c>
    </row>
    <row r="705" spans="1:25" hidden="1" x14ac:dyDescent="0.25">
      <c r="A705">
        <v>2099</v>
      </c>
      <c r="B705" t="s">
        <v>2491</v>
      </c>
      <c r="C705" t="s">
        <v>1936</v>
      </c>
      <c r="D705" t="s">
        <v>3575</v>
      </c>
      <c r="F705">
        <v>405</v>
      </c>
      <c r="G705">
        <v>96</v>
      </c>
      <c r="H705" t="s">
        <v>789</v>
      </c>
      <c r="I705" t="s">
        <v>2257</v>
      </c>
      <c r="J705">
        <v>711750</v>
      </c>
      <c r="K705">
        <v>2025</v>
      </c>
      <c r="L705">
        <v>1000295491</v>
      </c>
      <c r="M705" t="s">
        <v>3586</v>
      </c>
      <c r="N705" t="s">
        <v>1688</v>
      </c>
      <c r="O705" t="s">
        <v>1686</v>
      </c>
      <c r="P705">
        <v>0</v>
      </c>
      <c r="Q705">
        <v>711750</v>
      </c>
      <c r="R705">
        <v>0</v>
      </c>
      <c r="S705">
        <v>0</v>
      </c>
      <c r="T705" t="str">
        <f t="shared" si="20"/>
        <v>20992.43.4302.85.0-101024.2.3.3.08.06.</v>
      </c>
      <c r="U705" t="e" cm="1">
        <f t="array" aca="1" ref="U705" ca="1">+IF(COMPROMISOS_2025[[#This Row],[P]]="20","41080111",_xlfn.XLOOKUP(COMPROMISOS_2025[[#This Row],[concatenado]],PAA[[#All],[RCP-RUBRO]],PAA[[#All],[INDICADOR]],"",0))</f>
        <v>#NAME?</v>
      </c>
      <c r="V705" s="144" t="str">
        <f t="shared" si="21"/>
        <v>85</v>
      </c>
      <c r="W705" s="136">
        <f>+COMPROMISOS_2025[[#This Row],[valor_total]]-COMPROMISOS_2025[[#This Row],[total_cancelado]]</f>
        <v>711750</v>
      </c>
      <c r="X705" s="136">
        <f>COMPROMISOS_2025[[#This Row],[total_ordenes]]</f>
        <v>711750</v>
      </c>
      <c r="Y705" t="str" cm="1">
        <f t="array" aca="1" ref="Y705" ca="1">IFERROR(_xlfn.XLOOKUP(COMPROMISOS_2025[[#This Row],[concatenado]],PAA[[#All],[RCP-RUBRO]],PAA[[#All],[Actividad3]],VLOOKUP(COMPROMISOS_2025[[#This Row],[Indicador Principal]],$AC$2:$AD$17,2,0),0),"")</f>
        <v/>
      </c>
    </row>
    <row r="706" spans="1:25" hidden="1" x14ac:dyDescent="0.25">
      <c r="A706">
        <v>2103</v>
      </c>
      <c r="B706" t="s">
        <v>2491</v>
      </c>
      <c r="C706" t="s">
        <v>1936</v>
      </c>
      <c r="D706" t="s">
        <v>3575</v>
      </c>
      <c r="F706">
        <v>405</v>
      </c>
      <c r="G706">
        <v>96</v>
      </c>
      <c r="H706" t="s">
        <v>789</v>
      </c>
      <c r="I706" t="s">
        <v>2257</v>
      </c>
      <c r="J706">
        <v>1067625</v>
      </c>
      <c r="K706">
        <v>2025</v>
      </c>
      <c r="L706">
        <v>1000410702</v>
      </c>
      <c r="M706" t="s">
        <v>3587</v>
      </c>
      <c r="N706" t="s">
        <v>1688</v>
      </c>
      <c r="O706" t="s">
        <v>1686</v>
      </c>
      <c r="P706">
        <v>0</v>
      </c>
      <c r="Q706">
        <v>1067625</v>
      </c>
      <c r="R706">
        <v>0</v>
      </c>
      <c r="S706">
        <v>0</v>
      </c>
      <c r="T706" t="str">
        <f t="shared" ref="T706:T769" si="22">IF(A706&gt;=0,CONCATENATE(A706,H706),"")</f>
        <v>21032.43.4302.85.0-101024.2.3.3.08.06.</v>
      </c>
      <c r="U706" t="e" cm="1">
        <f t="array" aca="1" ref="U706" ca="1">+IF(COMPROMISOS_2025[[#This Row],[P]]="20","41080111",_xlfn.XLOOKUP(COMPROMISOS_2025[[#This Row],[concatenado]],PAA[[#All],[RCP-RUBRO]],PAA[[#All],[INDICADOR]],"",0))</f>
        <v>#NAME?</v>
      </c>
      <c r="V706" s="144" t="str">
        <f t="shared" ref="V706:V769" si="23">+MID(H706,11,2)</f>
        <v>85</v>
      </c>
      <c r="W706" s="136">
        <f>+COMPROMISOS_2025[[#This Row],[valor_total]]-COMPROMISOS_2025[[#This Row],[total_cancelado]]</f>
        <v>1067625</v>
      </c>
      <c r="X706" s="136">
        <f>COMPROMISOS_2025[[#This Row],[total_ordenes]]</f>
        <v>1067625</v>
      </c>
      <c r="Y706" t="str" cm="1">
        <f t="array" aca="1" ref="Y706" ca="1">IFERROR(_xlfn.XLOOKUP(COMPROMISOS_2025[[#This Row],[concatenado]],PAA[[#All],[RCP-RUBRO]],PAA[[#All],[Actividad3]],VLOOKUP(COMPROMISOS_2025[[#This Row],[Indicador Principal]],$AC$2:$AD$17,2,0),0),"")</f>
        <v/>
      </c>
    </row>
    <row r="707" spans="1:25" hidden="1" x14ac:dyDescent="0.25">
      <c r="A707">
        <v>2104</v>
      </c>
      <c r="B707" t="s">
        <v>2491</v>
      </c>
      <c r="C707" t="s">
        <v>1936</v>
      </c>
      <c r="D707" t="s">
        <v>3575</v>
      </c>
      <c r="F707">
        <v>405</v>
      </c>
      <c r="G707">
        <v>96</v>
      </c>
      <c r="H707" t="s">
        <v>789</v>
      </c>
      <c r="I707" t="s">
        <v>2257</v>
      </c>
      <c r="J707">
        <v>1067625</v>
      </c>
      <c r="K707">
        <v>2025</v>
      </c>
      <c r="L707">
        <v>1000412496</v>
      </c>
      <c r="M707" t="s">
        <v>3588</v>
      </c>
      <c r="N707" t="s">
        <v>1688</v>
      </c>
      <c r="O707" t="s">
        <v>1686</v>
      </c>
      <c r="P707">
        <v>0</v>
      </c>
      <c r="Q707">
        <v>1067625</v>
      </c>
      <c r="R707">
        <v>0</v>
      </c>
      <c r="S707">
        <v>0</v>
      </c>
      <c r="T707" t="str">
        <f t="shared" si="22"/>
        <v>21042.43.4302.85.0-101024.2.3.3.08.06.</v>
      </c>
      <c r="U707" t="e" cm="1">
        <f t="array" aca="1" ref="U707" ca="1">+IF(COMPROMISOS_2025[[#This Row],[P]]="20","41080111",_xlfn.XLOOKUP(COMPROMISOS_2025[[#This Row],[concatenado]],PAA[[#All],[RCP-RUBRO]],PAA[[#All],[INDICADOR]],"",0))</f>
        <v>#NAME?</v>
      </c>
      <c r="V707" s="144" t="str">
        <f t="shared" si="23"/>
        <v>85</v>
      </c>
      <c r="W707" s="136">
        <f>+COMPROMISOS_2025[[#This Row],[valor_total]]-COMPROMISOS_2025[[#This Row],[total_cancelado]]</f>
        <v>1067625</v>
      </c>
      <c r="X707" s="136">
        <f>COMPROMISOS_2025[[#This Row],[total_ordenes]]</f>
        <v>1067625</v>
      </c>
      <c r="Y707" t="str" cm="1">
        <f t="array" aca="1" ref="Y707" ca="1">IFERROR(_xlfn.XLOOKUP(COMPROMISOS_2025[[#This Row],[concatenado]],PAA[[#All],[RCP-RUBRO]],PAA[[#All],[Actividad3]],VLOOKUP(COMPROMISOS_2025[[#This Row],[Indicador Principal]],$AC$2:$AD$17,2,0),0),"")</f>
        <v/>
      </c>
    </row>
    <row r="708" spans="1:25" hidden="1" x14ac:dyDescent="0.25">
      <c r="A708">
        <v>2112</v>
      </c>
      <c r="B708" t="s">
        <v>2491</v>
      </c>
      <c r="C708" t="s">
        <v>1936</v>
      </c>
      <c r="D708" t="s">
        <v>3575</v>
      </c>
      <c r="F708">
        <v>405</v>
      </c>
      <c r="G708">
        <v>96</v>
      </c>
      <c r="H708" t="s">
        <v>789</v>
      </c>
      <c r="I708" t="s">
        <v>2257</v>
      </c>
      <c r="J708">
        <v>2847000</v>
      </c>
      <c r="K708">
        <v>2025</v>
      </c>
      <c r="L708">
        <v>1000566220</v>
      </c>
      <c r="M708" t="s">
        <v>3589</v>
      </c>
      <c r="N708" t="s">
        <v>1688</v>
      </c>
      <c r="O708" t="s">
        <v>1686</v>
      </c>
      <c r="P708">
        <v>0</v>
      </c>
      <c r="Q708">
        <v>2847000</v>
      </c>
      <c r="R708">
        <v>0</v>
      </c>
      <c r="S708">
        <v>0</v>
      </c>
      <c r="T708" t="str">
        <f t="shared" si="22"/>
        <v>21122.43.4302.85.0-101024.2.3.3.08.06.</v>
      </c>
      <c r="U708" t="e" cm="1">
        <f t="array" aca="1" ref="U708" ca="1">+IF(COMPROMISOS_2025[[#This Row],[P]]="20","41080111",_xlfn.XLOOKUP(COMPROMISOS_2025[[#This Row],[concatenado]],PAA[[#All],[RCP-RUBRO]],PAA[[#All],[INDICADOR]],"",0))</f>
        <v>#NAME?</v>
      </c>
      <c r="V708" s="144" t="str">
        <f t="shared" si="23"/>
        <v>85</v>
      </c>
      <c r="W708" s="136">
        <f>+COMPROMISOS_2025[[#This Row],[valor_total]]-COMPROMISOS_2025[[#This Row],[total_cancelado]]</f>
        <v>2847000</v>
      </c>
      <c r="X708" s="136">
        <f>COMPROMISOS_2025[[#This Row],[total_ordenes]]</f>
        <v>2847000</v>
      </c>
      <c r="Y708" t="str" cm="1">
        <f t="array" aca="1" ref="Y708" ca="1">IFERROR(_xlfn.XLOOKUP(COMPROMISOS_2025[[#This Row],[concatenado]],PAA[[#All],[RCP-RUBRO]],PAA[[#All],[Actividad3]],VLOOKUP(COMPROMISOS_2025[[#This Row],[Indicador Principal]],$AC$2:$AD$17,2,0),0),"")</f>
        <v/>
      </c>
    </row>
    <row r="709" spans="1:25" hidden="1" x14ac:dyDescent="0.25">
      <c r="A709">
        <v>2113</v>
      </c>
      <c r="B709" t="s">
        <v>2491</v>
      </c>
      <c r="C709" t="s">
        <v>1936</v>
      </c>
      <c r="D709" t="s">
        <v>3575</v>
      </c>
      <c r="F709">
        <v>405</v>
      </c>
      <c r="G709">
        <v>96</v>
      </c>
      <c r="H709" t="s">
        <v>789</v>
      </c>
      <c r="I709" t="s">
        <v>2257</v>
      </c>
      <c r="J709">
        <v>711750</v>
      </c>
      <c r="K709">
        <v>2025</v>
      </c>
      <c r="L709">
        <v>1000633538</v>
      </c>
      <c r="M709" t="s">
        <v>3590</v>
      </c>
      <c r="N709" t="s">
        <v>1688</v>
      </c>
      <c r="O709" t="s">
        <v>1686</v>
      </c>
      <c r="P709">
        <v>0</v>
      </c>
      <c r="Q709">
        <v>711750</v>
      </c>
      <c r="R709">
        <v>0</v>
      </c>
      <c r="S709">
        <v>0</v>
      </c>
      <c r="T709" t="str">
        <f t="shared" si="22"/>
        <v>21132.43.4302.85.0-101024.2.3.3.08.06.</v>
      </c>
      <c r="U709" t="e" cm="1">
        <f t="array" aca="1" ref="U709" ca="1">+IF(COMPROMISOS_2025[[#This Row],[P]]="20","41080111",_xlfn.XLOOKUP(COMPROMISOS_2025[[#This Row],[concatenado]],PAA[[#All],[RCP-RUBRO]],PAA[[#All],[INDICADOR]],"",0))</f>
        <v>#NAME?</v>
      </c>
      <c r="V709" s="144" t="str">
        <f t="shared" si="23"/>
        <v>85</v>
      </c>
      <c r="W709" s="136">
        <f>+COMPROMISOS_2025[[#This Row],[valor_total]]-COMPROMISOS_2025[[#This Row],[total_cancelado]]</f>
        <v>711750</v>
      </c>
      <c r="X709" s="136">
        <f>COMPROMISOS_2025[[#This Row],[total_ordenes]]</f>
        <v>711750</v>
      </c>
      <c r="Y709" t="str" cm="1">
        <f t="array" aca="1" ref="Y709" ca="1">IFERROR(_xlfn.XLOOKUP(COMPROMISOS_2025[[#This Row],[concatenado]],PAA[[#All],[RCP-RUBRO]],PAA[[#All],[Actividad3]],VLOOKUP(COMPROMISOS_2025[[#This Row],[Indicador Principal]],$AC$2:$AD$17,2,0),0),"")</f>
        <v/>
      </c>
    </row>
    <row r="710" spans="1:25" hidden="1" x14ac:dyDescent="0.25">
      <c r="A710">
        <v>2117</v>
      </c>
      <c r="B710" t="s">
        <v>2491</v>
      </c>
      <c r="C710" t="s">
        <v>1936</v>
      </c>
      <c r="D710" t="s">
        <v>3575</v>
      </c>
      <c r="F710">
        <v>405</v>
      </c>
      <c r="G710">
        <v>96</v>
      </c>
      <c r="H710" t="s">
        <v>789</v>
      </c>
      <c r="I710" t="s">
        <v>2257</v>
      </c>
      <c r="J710">
        <v>2847000</v>
      </c>
      <c r="K710">
        <v>2025</v>
      </c>
      <c r="L710">
        <v>1000643997</v>
      </c>
      <c r="M710" t="s">
        <v>3591</v>
      </c>
      <c r="N710" t="s">
        <v>1688</v>
      </c>
      <c r="O710" t="s">
        <v>1686</v>
      </c>
      <c r="P710">
        <v>0</v>
      </c>
      <c r="Q710">
        <v>2847000</v>
      </c>
      <c r="R710">
        <v>0</v>
      </c>
      <c r="S710">
        <v>0</v>
      </c>
      <c r="T710" t="str">
        <f t="shared" si="22"/>
        <v>21172.43.4302.85.0-101024.2.3.3.08.06.</v>
      </c>
      <c r="U710" t="e" cm="1">
        <f t="array" aca="1" ref="U710" ca="1">+IF(COMPROMISOS_2025[[#This Row],[P]]="20","41080111",_xlfn.XLOOKUP(COMPROMISOS_2025[[#This Row],[concatenado]],PAA[[#All],[RCP-RUBRO]],PAA[[#All],[INDICADOR]],"",0))</f>
        <v>#NAME?</v>
      </c>
      <c r="V710" s="144" t="str">
        <f t="shared" si="23"/>
        <v>85</v>
      </c>
      <c r="W710" s="136">
        <f>+COMPROMISOS_2025[[#This Row],[valor_total]]-COMPROMISOS_2025[[#This Row],[total_cancelado]]</f>
        <v>2847000</v>
      </c>
      <c r="X710" s="136">
        <f>COMPROMISOS_2025[[#This Row],[total_ordenes]]</f>
        <v>2847000</v>
      </c>
      <c r="Y710" t="str" cm="1">
        <f t="array" aca="1" ref="Y710" ca="1">IFERROR(_xlfn.XLOOKUP(COMPROMISOS_2025[[#This Row],[concatenado]],PAA[[#All],[RCP-RUBRO]],PAA[[#All],[Actividad3]],VLOOKUP(COMPROMISOS_2025[[#This Row],[Indicador Principal]],$AC$2:$AD$17,2,0),0),"")</f>
        <v/>
      </c>
    </row>
    <row r="711" spans="1:25" hidden="1" x14ac:dyDescent="0.25">
      <c r="A711">
        <v>2124</v>
      </c>
      <c r="B711" t="s">
        <v>2491</v>
      </c>
      <c r="C711" t="s">
        <v>1936</v>
      </c>
      <c r="D711" t="s">
        <v>3575</v>
      </c>
      <c r="F711">
        <v>405</v>
      </c>
      <c r="G711">
        <v>96</v>
      </c>
      <c r="H711" t="s">
        <v>789</v>
      </c>
      <c r="I711" t="s">
        <v>2257</v>
      </c>
      <c r="J711">
        <v>711750</v>
      </c>
      <c r="K711">
        <v>2025</v>
      </c>
      <c r="L711">
        <v>1000759833</v>
      </c>
      <c r="M711" t="s">
        <v>3592</v>
      </c>
      <c r="N711" t="s">
        <v>1688</v>
      </c>
      <c r="O711" t="s">
        <v>1686</v>
      </c>
      <c r="P711">
        <v>0</v>
      </c>
      <c r="Q711">
        <v>711750</v>
      </c>
      <c r="R711">
        <v>0</v>
      </c>
      <c r="S711">
        <v>0</v>
      </c>
      <c r="T711" t="str">
        <f t="shared" si="22"/>
        <v>21242.43.4302.85.0-101024.2.3.3.08.06.</v>
      </c>
      <c r="U711" t="e" cm="1">
        <f t="array" aca="1" ref="U711" ca="1">+IF(COMPROMISOS_2025[[#This Row],[P]]="20","41080111",_xlfn.XLOOKUP(COMPROMISOS_2025[[#This Row],[concatenado]],PAA[[#All],[RCP-RUBRO]],PAA[[#All],[INDICADOR]],"",0))</f>
        <v>#NAME?</v>
      </c>
      <c r="V711" s="144" t="str">
        <f t="shared" si="23"/>
        <v>85</v>
      </c>
      <c r="W711" s="136">
        <f>+COMPROMISOS_2025[[#This Row],[valor_total]]-COMPROMISOS_2025[[#This Row],[total_cancelado]]</f>
        <v>711750</v>
      </c>
      <c r="X711" s="136">
        <f>COMPROMISOS_2025[[#This Row],[total_ordenes]]</f>
        <v>711750</v>
      </c>
      <c r="Y711" t="str" cm="1">
        <f t="array" aca="1" ref="Y711" ca="1">IFERROR(_xlfn.XLOOKUP(COMPROMISOS_2025[[#This Row],[concatenado]],PAA[[#All],[RCP-RUBRO]],PAA[[#All],[Actividad3]],VLOOKUP(COMPROMISOS_2025[[#This Row],[Indicador Principal]],$AC$2:$AD$17,2,0),0),"")</f>
        <v/>
      </c>
    </row>
    <row r="712" spans="1:25" hidden="1" x14ac:dyDescent="0.25">
      <c r="A712">
        <v>2128</v>
      </c>
      <c r="B712" t="s">
        <v>2491</v>
      </c>
      <c r="C712" t="s">
        <v>1936</v>
      </c>
      <c r="D712" t="s">
        <v>3575</v>
      </c>
      <c r="F712">
        <v>405</v>
      </c>
      <c r="G712">
        <v>96</v>
      </c>
      <c r="H712" t="s">
        <v>789</v>
      </c>
      <c r="I712" t="s">
        <v>2257</v>
      </c>
      <c r="J712">
        <v>1423500</v>
      </c>
      <c r="K712">
        <v>2025</v>
      </c>
      <c r="L712">
        <v>1000870038</v>
      </c>
      <c r="M712" t="s">
        <v>3593</v>
      </c>
      <c r="N712" t="s">
        <v>1688</v>
      </c>
      <c r="O712" t="s">
        <v>1686</v>
      </c>
      <c r="P712">
        <v>0</v>
      </c>
      <c r="Q712">
        <v>1423500</v>
      </c>
      <c r="R712">
        <v>0</v>
      </c>
      <c r="S712">
        <v>0</v>
      </c>
      <c r="T712" t="str">
        <f t="shared" si="22"/>
        <v>21282.43.4302.85.0-101024.2.3.3.08.06.</v>
      </c>
      <c r="U712" t="e" cm="1">
        <f t="array" aca="1" ref="U712" ca="1">+IF(COMPROMISOS_2025[[#This Row],[P]]="20","41080111",_xlfn.XLOOKUP(COMPROMISOS_2025[[#This Row],[concatenado]],PAA[[#All],[RCP-RUBRO]],PAA[[#All],[INDICADOR]],"",0))</f>
        <v>#NAME?</v>
      </c>
      <c r="V712" s="144" t="str">
        <f t="shared" si="23"/>
        <v>85</v>
      </c>
      <c r="W712" s="136">
        <f>+COMPROMISOS_2025[[#This Row],[valor_total]]-COMPROMISOS_2025[[#This Row],[total_cancelado]]</f>
        <v>1423500</v>
      </c>
      <c r="X712" s="136">
        <f>COMPROMISOS_2025[[#This Row],[total_ordenes]]</f>
        <v>1423500</v>
      </c>
      <c r="Y712" t="str" cm="1">
        <f t="array" aca="1" ref="Y712" ca="1">IFERROR(_xlfn.XLOOKUP(COMPROMISOS_2025[[#This Row],[concatenado]],PAA[[#All],[RCP-RUBRO]],PAA[[#All],[Actividad3]],VLOOKUP(COMPROMISOS_2025[[#This Row],[Indicador Principal]],$AC$2:$AD$17,2,0),0),"")</f>
        <v/>
      </c>
    </row>
    <row r="713" spans="1:25" hidden="1" x14ac:dyDescent="0.25">
      <c r="A713">
        <v>2129</v>
      </c>
      <c r="B713" t="s">
        <v>2491</v>
      </c>
      <c r="C713" t="s">
        <v>1936</v>
      </c>
      <c r="D713" t="s">
        <v>3575</v>
      </c>
      <c r="F713">
        <v>405</v>
      </c>
      <c r="G713">
        <v>96</v>
      </c>
      <c r="H713" t="s">
        <v>789</v>
      </c>
      <c r="I713" t="s">
        <v>2257</v>
      </c>
      <c r="J713">
        <v>1067625</v>
      </c>
      <c r="K713">
        <v>2025</v>
      </c>
      <c r="L713">
        <v>1000870734</v>
      </c>
      <c r="M713" t="s">
        <v>3594</v>
      </c>
      <c r="N713" t="s">
        <v>1688</v>
      </c>
      <c r="O713" t="s">
        <v>1686</v>
      </c>
      <c r="P713">
        <v>0</v>
      </c>
      <c r="Q713">
        <v>1067625</v>
      </c>
      <c r="R713">
        <v>0</v>
      </c>
      <c r="S713">
        <v>0</v>
      </c>
      <c r="T713" t="str">
        <f t="shared" si="22"/>
        <v>21292.43.4302.85.0-101024.2.3.3.08.06.</v>
      </c>
      <c r="U713" t="e" cm="1">
        <f t="array" aca="1" ref="U713" ca="1">+IF(COMPROMISOS_2025[[#This Row],[P]]="20","41080111",_xlfn.XLOOKUP(COMPROMISOS_2025[[#This Row],[concatenado]],PAA[[#All],[RCP-RUBRO]],PAA[[#All],[INDICADOR]],"",0))</f>
        <v>#NAME?</v>
      </c>
      <c r="V713" s="144" t="str">
        <f t="shared" si="23"/>
        <v>85</v>
      </c>
      <c r="W713" s="136">
        <f>+COMPROMISOS_2025[[#This Row],[valor_total]]-COMPROMISOS_2025[[#This Row],[total_cancelado]]</f>
        <v>1067625</v>
      </c>
      <c r="X713" s="136">
        <f>COMPROMISOS_2025[[#This Row],[total_ordenes]]</f>
        <v>1067625</v>
      </c>
      <c r="Y713" t="str" cm="1">
        <f t="array" aca="1" ref="Y713" ca="1">IFERROR(_xlfn.XLOOKUP(COMPROMISOS_2025[[#This Row],[concatenado]],PAA[[#All],[RCP-RUBRO]],PAA[[#All],[Actividad3]],VLOOKUP(COMPROMISOS_2025[[#This Row],[Indicador Principal]],$AC$2:$AD$17,2,0),0),"")</f>
        <v/>
      </c>
    </row>
    <row r="714" spans="1:25" hidden="1" x14ac:dyDescent="0.25">
      <c r="A714">
        <v>2135</v>
      </c>
      <c r="B714" t="s">
        <v>2491</v>
      </c>
      <c r="C714" t="s">
        <v>1936</v>
      </c>
      <c r="D714" t="s">
        <v>3575</v>
      </c>
      <c r="F714">
        <v>405</v>
      </c>
      <c r="G714">
        <v>96</v>
      </c>
      <c r="H714" t="s">
        <v>789</v>
      </c>
      <c r="I714" t="s">
        <v>2257</v>
      </c>
      <c r="J714">
        <v>1067625</v>
      </c>
      <c r="K714">
        <v>2025</v>
      </c>
      <c r="L714">
        <v>1000894492</v>
      </c>
      <c r="M714" t="s">
        <v>3595</v>
      </c>
      <c r="N714" t="s">
        <v>1688</v>
      </c>
      <c r="O714" t="s">
        <v>1686</v>
      </c>
      <c r="P714">
        <v>0</v>
      </c>
      <c r="Q714">
        <v>1067625</v>
      </c>
      <c r="R714">
        <v>0</v>
      </c>
      <c r="S714">
        <v>0</v>
      </c>
      <c r="T714" t="str">
        <f t="shared" si="22"/>
        <v>21352.43.4302.85.0-101024.2.3.3.08.06.</v>
      </c>
      <c r="U714" t="e" cm="1">
        <f t="array" aca="1" ref="U714" ca="1">+IF(COMPROMISOS_2025[[#This Row],[P]]="20","41080111",_xlfn.XLOOKUP(COMPROMISOS_2025[[#This Row],[concatenado]],PAA[[#All],[RCP-RUBRO]],PAA[[#All],[INDICADOR]],"",0))</f>
        <v>#NAME?</v>
      </c>
      <c r="V714" s="144" t="str">
        <f t="shared" si="23"/>
        <v>85</v>
      </c>
      <c r="W714" s="136">
        <f>+COMPROMISOS_2025[[#This Row],[valor_total]]-COMPROMISOS_2025[[#This Row],[total_cancelado]]</f>
        <v>1067625</v>
      </c>
      <c r="X714" s="136">
        <f>COMPROMISOS_2025[[#This Row],[total_ordenes]]</f>
        <v>1067625</v>
      </c>
      <c r="Y714" t="str" cm="1">
        <f t="array" aca="1" ref="Y714" ca="1">IFERROR(_xlfn.XLOOKUP(COMPROMISOS_2025[[#This Row],[concatenado]],PAA[[#All],[RCP-RUBRO]],PAA[[#All],[Actividad3]],VLOOKUP(COMPROMISOS_2025[[#This Row],[Indicador Principal]],$AC$2:$AD$17,2,0),0),"")</f>
        <v/>
      </c>
    </row>
    <row r="715" spans="1:25" hidden="1" x14ac:dyDescent="0.25">
      <c r="A715">
        <v>2137</v>
      </c>
      <c r="B715" t="s">
        <v>2491</v>
      </c>
      <c r="C715" t="s">
        <v>1936</v>
      </c>
      <c r="D715" t="s">
        <v>3575</v>
      </c>
      <c r="F715">
        <v>405</v>
      </c>
      <c r="G715">
        <v>96</v>
      </c>
      <c r="H715" t="s">
        <v>789</v>
      </c>
      <c r="I715" t="s">
        <v>2257</v>
      </c>
      <c r="J715">
        <v>711750</v>
      </c>
      <c r="K715">
        <v>2025</v>
      </c>
      <c r="L715">
        <v>1000896858</v>
      </c>
      <c r="M715" t="s">
        <v>3596</v>
      </c>
      <c r="N715" t="s">
        <v>1688</v>
      </c>
      <c r="O715" t="s">
        <v>1686</v>
      </c>
      <c r="P715">
        <v>0</v>
      </c>
      <c r="Q715">
        <v>711750</v>
      </c>
      <c r="R715">
        <v>0</v>
      </c>
      <c r="S715">
        <v>0</v>
      </c>
      <c r="T715" t="str">
        <f t="shared" si="22"/>
        <v>21372.43.4302.85.0-101024.2.3.3.08.06.</v>
      </c>
      <c r="U715" t="e" cm="1">
        <f t="array" aca="1" ref="U715" ca="1">+IF(COMPROMISOS_2025[[#This Row],[P]]="20","41080111",_xlfn.XLOOKUP(COMPROMISOS_2025[[#This Row],[concatenado]],PAA[[#All],[RCP-RUBRO]],PAA[[#All],[INDICADOR]],"",0))</f>
        <v>#NAME?</v>
      </c>
      <c r="V715" s="144" t="str">
        <f t="shared" si="23"/>
        <v>85</v>
      </c>
      <c r="W715" s="136">
        <f>+COMPROMISOS_2025[[#This Row],[valor_total]]-COMPROMISOS_2025[[#This Row],[total_cancelado]]</f>
        <v>711750</v>
      </c>
      <c r="X715" s="136">
        <f>COMPROMISOS_2025[[#This Row],[total_ordenes]]</f>
        <v>711750</v>
      </c>
      <c r="Y715" t="str" cm="1">
        <f t="array" aca="1" ref="Y715" ca="1">IFERROR(_xlfn.XLOOKUP(COMPROMISOS_2025[[#This Row],[concatenado]],PAA[[#All],[RCP-RUBRO]],PAA[[#All],[Actividad3]],VLOOKUP(COMPROMISOS_2025[[#This Row],[Indicador Principal]],$AC$2:$AD$17,2,0),0),"")</f>
        <v/>
      </c>
    </row>
    <row r="716" spans="1:25" hidden="1" x14ac:dyDescent="0.25">
      <c r="A716">
        <v>2142</v>
      </c>
      <c r="B716" t="s">
        <v>2491</v>
      </c>
      <c r="C716" t="s">
        <v>1936</v>
      </c>
      <c r="D716" t="s">
        <v>3575</v>
      </c>
      <c r="F716">
        <v>405</v>
      </c>
      <c r="G716">
        <v>96</v>
      </c>
      <c r="H716" t="s">
        <v>789</v>
      </c>
      <c r="I716" t="s">
        <v>2257</v>
      </c>
      <c r="J716">
        <v>2847000</v>
      </c>
      <c r="K716">
        <v>2025</v>
      </c>
      <c r="L716">
        <v>1000951196</v>
      </c>
      <c r="M716" t="s">
        <v>3597</v>
      </c>
      <c r="N716" t="s">
        <v>1688</v>
      </c>
      <c r="O716" t="s">
        <v>1686</v>
      </c>
      <c r="P716">
        <v>0</v>
      </c>
      <c r="Q716">
        <v>2847000</v>
      </c>
      <c r="R716">
        <v>0</v>
      </c>
      <c r="S716">
        <v>0</v>
      </c>
      <c r="T716" t="str">
        <f t="shared" si="22"/>
        <v>21422.43.4302.85.0-101024.2.3.3.08.06.</v>
      </c>
      <c r="U716" t="e" cm="1">
        <f t="array" aca="1" ref="U716" ca="1">+IF(COMPROMISOS_2025[[#This Row],[P]]="20","41080111",_xlfn.XLOOKUP(COMPROMISOS_2025[[#This Row],[concatenado]],PAA[[#All],[RCP-RUBRO]],PAA[[#All],[INDICADOR]],"",0))</f>
        <v>#NAME?</v>
      </c>
      <c r="V716" s="144" t="str">
        <f t="shared" si="23"/>
        <v>85</v>
      </c>
      <c r="W716" s="136">
        <f>+COMPROMISOS_2025[[#This Row],[valor_total]]-COMPROMISOS_2025[[#This Row],[total_cancelado]]</f>
        <v>2847000</v>
      </c>
      <c r="X716" s="136">
        <f>COMPROMISOS_2025[[#This Row],[total_ordenes]]</f>
        <v>2847000</v>
      </c>
      <c r="Y716" t="str" cm="1">
        <f t="array" aca="1" ref="Y716" ca="1">IFERROR(_xlfn.XLOOKUP(COMPROMISOS_2025[[#This Row],[concatenado]],PAA[[#All],[RCP-RUBRO]],PAA[[#All],[Actividad3]],VLOOKUP(COMPROMISOS_2025[[#This Row],[Indicador Principal]],$AC$2:$AD$17,2,0),0),"")</f>
        <v/>
      </c>
    </row>
    <row r="717" spans="1:25" hidden="1" x14ac:dyDescent="0.25">
      <c r="A717">
        <v>2161</v>
      </c>
      <c r="B717" t="s">
        <v>2491</v>
      </c>
      <c r="C717" t="s">
        <v>1936</v>
      </c>
      <c r="D717" t="s">
        <v>3575</v>
      </c>
      <c r="F717">
        <v>405</v>
      </c>
      <c r="G717">
        <v>96</v>
      </c>
      <c r="H717" t="s">
        <v>789</v>
      </c>
      <c r="I717" t="s">
        <v>2257</v>
      </c>
      <c r="J717">
        <v>711750</v>
      </c>
      <c r="K717">
        <v>2025</v>
      </c>
      <c r="L717">
        <v>1001227502</v>
      </c>
      <c r="M717" t="s">
        <v>3598</v>
      </c>
      <c r="N717" t="s">
        <v>1688</v>
      </c>
      <c r="O717" t="s">
        <v>1686</v>
      </c>
      <c r="P717">
        <v>0</v>
      </c>
      <c r="Q717">
        <v>711750</v>
      </c>
      <c r="R717">
        <v>0</v>
      </c>
      <c r="S717">
        <v>0</v>
      </c>
      <c r="T717" t="str">
        <f t="shared" si="22"/>
        <v>21612.43.4302.85.0-101024.2.3.3.08.06.</v>
      </c>
      <c r="U717" t="e" cm="1">
        <f t="array" aca="1" ref="U717" ca="1">+IF(COMPROMISOS_2025[[#This Row],[P]]="20","41080111",_xlfn.XLOOKUP(COMPROMISOS_2025[[#This Row],[concatenado]],PAA[[#All],[RCP-RUBRO]],PAA[[#All],[INDICADOR]],"",0))</f>
        <v>#NAME?</v>
      </c>
      <c r="V717" s="144" t="str">
        <f t="shared" si="23"/>
        <v>85</v>
      </c>
      <c r="W717" s="136">
        <f>+COMPROMISOS_2025[[#This Row],[valor_total]]-COMPROMISOS_2025[[#This Row],[total_cancelado]]</f>
        <v>711750</v>
      </c>
      <c r="X717" s="136">
        <f>COMPROMISOS_2025[[#This Row],[total_ordenes]]</f>
        <v>711750</v>
      </c>
      <c r="Y717" t="str" cm="1">
        <f t="array" aca="1" ref="Y717" ca="1">IFERROR(_xlfn.XLOOKUP(COMPROMISOS_2025[[#This Row],[concatenado]],PAA[[#All],[RCP-RUBRO]],PAA[[#All],[Actividad3]],VLOOKUP(COMPROMISOS_2025[[#This Row],[Indicador Principal]],$AC$2:$AD$17,2,0),0),"")</f>
        <v/>
      </c>
    </row>
    <row r="718" spans="1:25" hidden="1" x14ac:dyDescent="0.25">
      <c r="A718">
        <v>2167</v>
      </c>
      <c r="B718" t="s">
        <v>2491</v>
      </c>
      <c r="C718" t="s">
        <v>1936</v>
      </c>
      <c r="D718" t="s">
        <v>3575</v>
      </c>
      <c r="F718">
        <v>405</v>
      </c>
      <c r="G718">
        <v>96</v>
      </c>
      <c r="H718" t="s">
        <v>789</v>
      </c>
      <c r="I718" t="s">
        <v>2257</v>
      </c>
      <c r="J718">
        <v>1423500</v>
      </c>
      <c r="K718">
        <v>2025</v>
      </c>
      <c r="L718">
        <v>1001370659</v>
      </c>
      <c r="M718" t="s">
        <v>3599</v>
      </c>
      <c r="N718" t="s">
        <v>1688</v>
      </c>
      <c r="O718" t="s">
        <v>1686</v>
      </c>
      <c r="P718">
        <v>0</v>
      </c>
      <c r="Q718">
        <v>1423500</v>
      </c>
      <c r="R718">
        <v>0</v>
      </c>
      <c r="S718">
        <v>0</v>
      </c>
      <c r="T718" t="str">
        <f t="shared" si="22"/>
        <v>21672.43.4302.85.0-101024.2.3.3.08.06.</v>
      </c>
      <c r="U718" t="e" cm="1">
        <f t="array" aca="1" ref="U718" ca="1">+IF(COMPROMISOS_2025[[#This Row],[P]]="20","41080111",_xlfn.XLOOKUP(COMPROMISOS_2025[[#This Row],[concatenado]],PAA[[#All],[RCP-RUBRO]],PAA[[#All],[INDICADOR]],"",0))</f>
        <v>#NAME?</v>
      </c>
      <c r="V718" s="144" t="str">
        <f t="shared" si="23"/>
        <v>85</v>
      </c>
      <c r="W718" s="136">
        <f>+COMPROMISOS_2025[[#This Row],[valor_total]]-COMPROMISOS_2025[[#This Row],[total_cancelado]]</f>
        <v>1423500</v>
      </c>
      <c r="X718" s="136">
        <f>COMPROMISOS_2025[[#This Row],[total_ordenes]]</f>
        <v>1423500</v>
      </c>
      <c r="Y718" t="str" cm="1">
        <f t="array" aca="1" ref="Y718" ca="1">IFERROR(_xlfn.XLOOKUP(COMPROMISOS_2025[[#This Row],[concatenado]],PAA[[#All],[RCP-RUBRO]],PAA[[#All],[Actividad3]],VLOOKUP(COMPROMISOS_2025[[#This Row],[Indicador Principal]],$AC$2:$AD$17,2,0),0),"")</f>
        <v/>
      </c>
    </row>
    <row r="719" spans="1:25" hidden="1" x14ac:dyDescent="0.25">
      <c r="A719">
        <v>2174</v>
      </c>
      <c r="B719" t="s">
        <v>2491</v>
      </c>
      <c r="C719" t="s">
        <v>1936</v>
      </c>
      <c r="D719" t="s">
        <v>3575</v>
      </c>
      <c r="F719">
        <v>405</v>
      </c>
      <c r="G719">
        <v>96</v>
      </c>
      <c r="H719" t="s">
        <v>789</v>
      </c>
      <c r="I719" t="s">
        <v>2257</v>
      </c>
      <c r="J719">
        <v>2847000</v>
      </c>
      <c r="K719">
        <v>2025</v>
      </c>
      <c r="L719">
        <v>1001497137</v>
      </c>
      <c r="M719" t="s">
        <v>3600</v>
      </c>
      <c r="N719" t="s">
        <v>1688</v>
      </c>
      <c r="O719" t="s">
        <v>1686</v>
      </c>
      <c r="P719">
        <v>0</v>
      </c>
      <c r="Q719">
        <v>2847000</v>
      </c>
      <c r="R719">
        <v>0</v>
      </c>
      <c r="S719">
        <v>0</v>
      </c>
      <c r="T719" t="str">
        <f t="shared" si="22"/>
        <v>21742.43.4302.85.0-101024.2.3.3.08.06.</v>
      </c>
      <c r="U719" t="e" cm="1">
        <f t="array" aca="1" ref="U719" ca="1">+IF(COMPROMISOS_2025[[#This Row],[P]]="20","41080111",_xlfn.XLOOKUP(COMPROMISOS_2025[[#This Row],[concatenado]],PAA[[#All],[RCP-RUBRO]],PAA[[#All],[INDICADOR]],"",0))</f>
        <v>#NAME?</v>
      </c>
      <c r="V719" s="144" t="str">
        <f t="shared" si="23"/>
        <v>85</v>
      </c>
      <c r="W719" s="136">
        <f>+COMPROMISOS_2025[[#This Row],[valor_total]]-COMPROMISOS_2025[[#This Row],[total_cancelado]]</f>
        <v>2847000</v>
      </c>
      <c r="X719" s="136">
        <f>COMPROMISOS_2025[[#This Row],[total_ordenes]]</f>
        <v>2847000</v>
      </c>
      <c r="Y719" t="str" cm="1">
        <f t="array" aca="1" ref="Y719" ca="1">IFERROR(_xlfn.XLOOKUP(COMPROMISOS_2025[[#This Row],[concatenado]],PAA[[#All],[RCP-RUBRO]],PAA[[#All],[Actividad3]],VLOOKUP(COMPROMISOS_2025[[#This Row],[Indicador Principal]],$AC$2:$AD$17,2,0),0),"")</f>
        <v/>
      </c>
    </row>
    <row r="720" spans="1:25" hidden="1" x14ac:dyDescent="0.25">
      <c r="A720">
        <v>2189</v>
      </c>
      <c r="B720" t="s">
        <v>2491</v>
      </c>
      <c r="C720" t="s">
        <v>1936</v>
      </c>
      <c r="D720" t="s">
        <v>3575</v>
      </c>
      <c r="F720">
        <v>405</v>
      </c>
      <c r="G720">
        <v>96</v>
      </c>
      <c r="H720" t="s">
        <v>789</v>
      </c>
      <c r="I720" t="s">
        <v>2257</v>
      </c>
      <c r="J720">
        <v>711750</v>
      </c>
      <c r="K720">
        <v>2025</v>
      </c>
      <c r="L720">
        <v>1002539015</v>
      </c>
      <c r="M720" t="s">
        <v>3601</v>
      </c>
      <c r="N720" t="s">
        <v>1688</v>
      </c>
      <c r="O720" t="s">
        <v>1686</v>
      </c>
      <c r="P720">
        <v>0</v>
      </c>
      <c r="Q720">
        <v>711750</v>
      </c>
      <c r="R720">
        <v>0</v>
      </c>
      <c r="S720">
        <v>0</v>
      </c>
      <c r="T720" t="str">
        <f t="shared" si="22"/>
        <v>21892.43.4302.85.0-101024.2.3.3.08.06.</v>
      </c>
      <c r="U720" t="e" cm="1">
        <f t="array" aca="1" ref="U720" ca="1">+IF(COMPROMISOS_2025[[#This Row],[P]]="20","41080111",_xlfn.XLOOKUP(COMPROMISOS_2025[[#This Row],[concatenado]],PAA[[#All],[RCP-RUBRO]],PAA[[#All],[INDICADOR]],"",0))</f>
        <v>#NAME?</v>
      </c>
      <c r="V720" s="144" t="str">
        <f t="shared" si="23"/>
        <v>85</v>
      </c>
      <c r="W720" s="136">
        <f>+COMPROMISOS_2025[[#This Row],[valor_total]]-COMPROMISOS_2025[[#This Row],[total_cancelado]]</f>
        <v>711750</v>
      </c>
      <c r="X720" s="136">
        <f>COMPROMISOS_2025[[#This Row],[total_ordenes]]</f>
        <v>711750</v>
      </c>
      <c r="Y720" t="str" cm="1">
        <f t="array" aca="1" ref="Y720" ca="1">IFERROR(_xlfn.XLOOKUP(COMPROMISOS_2025[[#This Row],[concatenado]],PAA[[#All],[RCP-RUBRO]],PAA[[#All],[Actividad3]],VLOOKUP(COMPROMISOS_2025[[#This Row],[Indicador Principal]],$AC$2:$AD$17,2,0),0),"")</f>
        <v/>
      </c>
    </row>
    <row r="721" spans="1:25" hidden="1" x14ac:dyDescent="0.25">
      <c r="A721">
        <v>2190</v>
      </c>
      <c r="B721" t="s">
        <v>2491</v>
      </c>
      <c r="C721" t="s">
        <v>1936</v>
      </c>
      <c r="D721" t="s">
        <v>3575</v>
      </c>
      <c r="F721">
        <v>405</v>
      </c>
      <c r="G721">
        <v>96</v>
      </c>
      <c r="H721" t="s">
        <v>789</v>
      </c>
      <c r="I721" t="s">
        <v>2257</v>
      </c>
      <c r="J721">
        <v>1067625</v>
      </c>
      <c r="K721">
        <v>2025</v>
      </c>
      <c r="L721">
        <v>1002740316</v>
      </c>
      <c r="M721" t="s">
        <v>3602</v>
      </c>
      <c r="N721" t="s">
        <v>1688</v>
      </c>
      <c r="O721" t="s">
        <v>1686</v>
      </c>
      <c r="P721">
        <v>0</v>
      </c>
      <c r="Q721">
        <v>1067625</v>
      </c>
      <c r="R721">
        <v>0</v>
      </c>
      <c r="S721">
        <v>0</v>
      </c>
      <c r="T721" t="str">
        <f t="shared" si="22"/>
        <v>21902.43.4302.85.0-101024.2.3.3.08.06.</v>
      </c>
      <c r="U721" t="e" cm="1">
        <f t="array" aca="1" ref="U721" ca="1">+IF(COMPROMISOS_2025[[#This Row],[P]]="20","41080111",_xlfn.XLOOKUP(COMPROMISOS_2025[[#This Row],[concatenado]],PAA[[#All],[RCP-RUBRO]],PAA[[#All],[INDICADOR]],"",0))</f>
        <v>#NAME?</v>
      </c>
      <c r="V721" s="144" t="str">
        <f t="shared" si="23"/>
        <v>85</v>
      </c>
      <c r="W721" s="136">
        <f>+COMPROMISOS_2025[[#This Row],[valor_total]]-COMPROMISOS_2025[[#This Row],[total_cancelado]]</f>
        <v>1067625</v>
      </c>
      <c r="X721" s="136">
        <f>COMPROMISOS_2025[[#This Row],[total_ordenes]]</f>
        <v>1067625</v>
      </c>
      <c r="Y721" t="str" cm="1">
        <f t="array" aca="1" ref="Y721" ca="1">IFERROR(_xlfn.XLOOKUP(COMPROMISOS_2025[[#This Row],[concatenado]],PAA[[#All],[RCP-RUBRO]],PAA[[#All],[Actividad3]],VLOOKUP(COMPROMISOS_2025[[#This Row],[Indicador Principal]],$AC$2:$AD$17,2,0),0),"")</f>
        <v/>
      </c>
    </row>
    <row r="722" spans="1:25" hidden="1" x14ac:dyDescent="0.25">
      <c r="A722">
        <v>2191</v>
      </c>
      <c r="B722" t="s">
        <v>2491</v>
      </c>
      <c r="C722" t="s">
        <v>1936</v>
      </c>
      <c r="D722" t="s">
        <v>3575</v>
      </c>
      <c r="F722">
        <v>405</v>
      </c>
      <c r="G722">
        <v>96</v>
      </c>
      <c r="H722" t="s">
        <v>789</v>
      </c>
      <c r="I722" t="s">
        <v>2257</v>
      </c>
      <c r="J722">
        <v>711750</v>
      </c>
      <c r="K722">
        <v>2025</v>
      </c>
      <c r="L722">
        <v>1003655716</v>
      </c>
      <c r="M722" t="s">
        <v>3603</v>
      </c>
      <c r="N722" t="s">
        <v>1688</v>
      </c>
      <c r="O722" t="s">
        <v>1686</v>
      </c>
      <c r="P722">
        <v>0</v>
      </c>
      <c r="Q722">
        <v>711750</v>
      </c>
      <c r="R722">
        <v>0</v>
      </c>
      <c r="S722">
        <v>0</v>
      </c>
      <c r="T722" t="str">
        <f t="shared" si="22"/>
        <v>21912.43.4302.85.0-101024.2.3.3.08.06.</v>
      </c>
      <c r="U722" t="e" cm="1">
        <f t="array" aca="1" ref="U722" ca="1">+IF(COMPROMISOS_2025[[#This Row],[P]]="20","41080111",_xlfn.XLOOKUP(COMPROMISOS_2025[[#This Row],[concatenado]],PAA[[#All],[RCP-RUBRO]],PAA[[#All],[INDICADOR]],"",0))</f>
        <v>#NAME?</v>
      </c>
      <c r="V722" s="144" t="str">
        <f t="shared" si="23"/>
        <v>85</v>
      </c>
      <c r="W722" s="136">
        <f>+COMPROMISOS_2025[[#This Row],[valor_total]]-COMPROMISOS_2025[[#This Row],[total_cancelado]]</f>
        <v>711750</v>
      </c>
      <c r="X722" s="136">
        <f>COMPROMISOS_2025[[#This Row],[total_ordenes]]</f>
        <v>711750</v>
      </c>
      <c r="Y722" t="str" cm="1">
        <f t="array" aca="1" ref="Y722" ca="1">IFERROR(_xlfn.XLOOKUP(COMPROMISOS_2025[[#This Row],[concatenado]],PAA[[#All],[RCP-RUBRO]],PAA[[#All],[Actividad3]],VLOOKUP(COMPROMISOS_2025[[#This Row],[Indicador Principal]],$AC$2:$AD$17,2,0),0),"")</f>
        <v/>
      </c>
    </row>
    <row r="723" spans="1:25" hidden="1" x14ac:dyDescent="0.25">
      <c r="A723">
        <v>2200</v>
      </c>
      <c r="B723" t="s">
        <v>2491</v>
      </c>
      <c r="C723" t="s">
        <v>1936</v>
      </c>
      <c r="D723" t="s">
        <v>3575</v>
      </c>
      <c r="F723">
        <v>405</v>
      </c>
      <c r="G723">
        <v>96</v>
      </c>
      <c r="H723" t="s">
        <v>789</v>
      </c>
      <c r="I723" t="s">
        <v>2257</v>
      </c>
      <c r="J723">
        <v>711750</v>
      </c>
      <c r="K723">
        <v>2025</v>
      </c>
      <c r="L723">
        <v>1004897858</v>
      </c>
      <c r="M723" t="s">
        <v>3604</v>
      </c>
      <c r="N723" t="s">
        <v>1688</v>
      </c>
      <c r="O723" t="s">
        <v>1686</v>
      </c>
      <c r="P723">
        <v>0</v>
      </c>
      <c r="Q723">
        <v>711750</v>
      </c>
      <c r="R723">
        <v>0</v>
      </c>
      <c r="S723">
        <v>0</v>
      </c>
      <c r="T723" t="str">
        <f t="shared" si="22"/>
        <v>22002.43.4302.85.0-101024.2.3.3.08.06.</v>
      </c>
      <c r="U723" t="e" cm="1">
        <f t="array" aca="1" ref="U723" ca="1">+IF(COMPROMISOS_2025[[#This Row],[P]]="20","41080111",_xlfn.XLOOKUP(COMPROMISOS_2025[[#This Row],[concatenado]],PAA[[#All],[RCP-RUBRO]],PAA[[#All],[INDICADOR]],"",0))</f>
        <v>#NAME?</v>
      </c>
      <c r="V723" s="144" t="str">
        <f t="shared" si="23"/>
        <v>85</v>
      </c>
      <c r="W723" s="136">
        <f>+COMPROMISOS_2025[[#This Row],[valor_total]]-COMPROMISOS_2025[[#This Row],[total_cancelado]]</f>
        <v>711750</v>
      </c>
      <c r="X723" s="136">
        <f>COMPROMISOS_2025[[#This Row],[total_ordenes]]</f>
        <v>711750</v>
      </c>
      <c r="Y723" t="str" cm="1">
        <f t="array" aca="1" ref="Y723" ca="1">IFERROR(_xlfn.XLOOKUP(COMPROMISOS_2025[[#This Row],[concatenado]],PAA[[#All],[RCP-RUBRO]],PAA[[#All],[Actividad3]],VLOOKUP(COMPROMISOS_2025[[#This Row],[Indicador Principal]],$AC$2:$AD$17,2,0),0),"")</f>
        <v/>
      </c>
    </row>
    <row r="724" spans="1:25" hidden="1" x14ac:dyDescent="0.25">
      <c r="A724">
        <v>2201</v>
      </c>
      <c r="B724" t="s">
        <v>2491</v>
      </c>
      <c r="C724" t="s">
        <v>1936</v>
      </c>
      <c r="D724" t="s">
        <v>3575</v>
      </c>
      <c r="F724">
        <v>405</v>
      </c>
      <c r="G724">
        <v>96</v>
      </c>
      <c r="H724" t="s">
        <v>789</v>
      </c>
      <c r="I724" t="s">
        <v>2257</v>
      </c>
      <c r="J724">
        <v>1067625</v>
      </c>
      <c r="K724">
        <v>2025</v>
      </c>
      <c r="L724">
        <v>1004912774</v>
      </c>
      <c r="M724" t="s">
        <v>3605</v>
      </c>
      <c r="N724" t="s">
        <v>1688</v>
      </c>
      <c r="O724" t="s">
        <v>1686</v>
      </c>
      <c r="P724">
        <v>0</v>
      </c>
      <c r="Q724">
        <v>1067625</v>
      </c>
      <c r="R724">
        <v>0</v>
      </c>
      <c r="S724">
        <v>0</v>
      </c>
      <c r="T724" t="str">
        <f t="shared" si="22"/>
        <v>22012.43.4302.85.0-101024.2.3.3.08.06.</v>
      </c>
      <c r="U724" t="e" cm="1">
        <f t="array" aca="1" ref="U724" ca="1">+IF(COMPROMISOS_2025[[#This Row],[P]]="20","41080111",_xlfn.XLOOKUP(COMPROMISOS_2025[[#This Row],[concatenado]],PAA[[#All],[RCP-RUBRO]],PAA[[#All],[INDICADOR]],"",0))</f>
        <v>#NAME?</v>
      </c>
      <c r="V724" s="144" t="str">
        <f t="shared" si="23"/>
        <v>85</v>
      </c>
      <c r="W724" s="136">
        <f>+COMPROMISOS_2025[[#This Row],[valor_total]]-COMPROMISOS_2025[[#This Row],[total_cancelado]]</f>
        <v>1067625</v>
      </c>
      <c r="X724" s="136">
        <f>COMPROMISOS_2025[[#This Row],[total_ordenes]]</f>
        <v>1067625</v>
      </c>
      <c r="Y724" t="str" cm="1">
        <f t="array" aca="1" ref="Y724" ca="1">IFERROR(_xlfn.XLOOKUP(COMPROMISOS_2025[[#This Row],[concatenado]],PAA[[#All],[RCP-RUBRO]],PAA[[#All],[Actividad3]],VLOOKUP(COMPROMISOS_2025[[#This Row],[Indicador Principal]],$AC$2:$AD$17,2,0),0),"")</f>
        <v/>
      </c>
    </row>
    <row r="725" spans="1:25" hidden="1" x14ac:dyDescent="0.25">
      <c r="A725">
        <v>2205</v>
      </c>
      <c r="B725" t="s">
        <v>2491</v>
      </c>
      <c r="C725" t="s">
        <v>1936</v>
      </c>
      <c r="D725" t="s">
        <v>3575</v>
      </c>
      <c r="F725">
        <v>405</v>
      </c>
      <c r="G725">
        <v>96</v>
      </c>
      <c r="H725" t="s">
        <v>789</v>
      </c>
      <c r="I725" t="s">
        <v>2257</v>
      </c>
      <c r="J725">
        <v>711750</v>
      </c>
      <c r="K725">
        <v>2025</v>
      </c>
      <c r="L725">
        <v>1006207346</v>
      </c>
      <c r="M725" t="s">
        <v>3606</v>
      </c>
      <c r="N725" t="s">
        <v>1688</v>
      </c>
      <c r="O725" t="s">
        <v>1686</v>
      </c>
      <c r="P725">
        <v>0</v>
      </c>
      <c r="Q725">
        <v>711750</v>
      </c>
      <c r="R725">
        <v>0</v>
      </c>
      <c r="S725">
        <v>0</v>
      </c>
      <c r="T725" t="str">
        <f t="shared" si="22"/>
        <v>22052.43.4302.85.0-101024.2.3.3.08.06.</v>
      </c>
      <c r="U725" t="e" cm="1">
        <f t="array" aca="1" ref="U725" ca="1">+IF(COMPROMISOS_2025[[#This Row],[P]]="20","41080111",_xlfn.XLOOKUP(COMPROMISOS_2025[[#This Row],[concatenado]],PAA[[#All],[RCP-RUBRO]],PAA[[#All],[INDICADOR]],"",0))</f>
        <v>#NAME?</v>
      </c>
      <c r="V725" s="144" t="str">
        <f t="shared" si="23"/>
        <v>85</v>
      </c>
      <c r="W725" s="136">
        <f>+COMPROMISOS_2025[[#This Row],[valor_total]]-COMPROMISOS_2025[[#This Row],[total_cancelado]]</f>
        <v>711750</v>
      </c>
      <c r="X725" s="136">
        <f>COMPROMISOS_2025[[#This Row],[total_ordenes]]</f>
        <v>711750</v>
      </c>
      <c r="Y725" t="str" cm="1">
        <f t="array" aca="1" ref="Y725" ca="1">IFERROR(_xlfn.XLOOKUP(COMPROMISOS_2025[[#This Row],[concatenado]],PAA[[#All],[RCP-RUBRO]],PAA[[#All],[Actividad3]],VLOOKUP(COMPROMISOS_2025[[#This Row],[Indicador Principal]],$AC$2:$AD$17,2,0),0),"")</f>
        <v/>
      </c>
    </row>
    <row r="726" spans="1:25" hidden="1" x14ac:dyDescent="0.25">
      <c r="A726">
        <v>2206</v>
      </c>
      <c r="B726" t="s">
        <v>2491</v>
      </c>
      <c r="C726" t="s">
        <v>1936</v>
      </c>
      <c r="D726" t="s">
        <v>3575</v>
      </c>
      <c r="F726">
        <v>405</v>
      </c>
      <c r="G726">
        <v>96</v>
      </c>
      <c r="H726" t="s">
        <v>789</v>
      </c>
      <c r="I726" t="s">
        <v>2257</v>
      </c>
      <c r="J726">
        <v>4270500</v>
      </c>
      <c r="K726">
        <v>2025</v>
      </c>
      <c r="L726">
        <v>1006318727</v>
      </c>
      <c r="M726" t="s">
        <v>3607</v>
      </c>
      <c r="N726" t="s">
        <v>1688</v>
      </c>
      <c r="O726" t="s">
        <v>1686</v>
      </c>
      <c r="P726">
        <v>0</v>
      </c>
      <c r="Q726">
        <v>4270500</v>
      </c>
      <c r="R726">
        <v>0</v>
      </c>
      <c r="S726">
        <v>0</v>
      </c>
      <c r="T726" t="str">
        <f t="shared" si="22"/>
        <v>22062.43.4302.85.0-101024.2.3.3.08.06.</v>
      </c>
      <c r="U726" t="e" cm="1">
        <f t="array" aca="1" ref="U726" ca="1">+IF(COMPROMISOS_2025[[#This Row],[P]]="20","41080111",_xlfn.XLOOKUP(COMPROMISOS_2025[[#This Row],[concatenado]],PAA[[#All],[RCP-RUBRO]],PAA[[#All],[INDICADOR]],"",0))</f>
        <v>#NAME?</v>
      </c>
      <c r="V726" s="144" t="str">
        <f t="shared" si="23"/>
        <v>85</v>
      </c>
      <c r="W726" s="136">
        <f>+COMPROMISOS_2025[[#This Row],[valor_total]]-COMPROMISOS_2025[[#This Row],[total_cancelado]]</f>
        <v>4270500</v>
      </c>
      <c r="X726" s="136">
        <f>COMPROMISOS_2025[[#This Row],[total_ordenes]]</f>
        <v>4270500</v>
      </c>
      <c r="Y726" t="str" cm="1">
        <f t="array" aca="1" ref="Y726" ca="1">IFERROR(_xlfn.XLOOKUP(COMPROMISOS_2025[[#This Row],[concatenado]],PAA[[#All],[RCP-RUBRO]],PAA[[#All],[Actividad3]],VLOOKUP(COMPROMISOS_2025[[#This Row],[Indicador Principal]],$AC$2:$AD$17,2,0),0),"")</f>
        <v/>
      </c>
    </row>
    <row r="727" spans="1:25" hidden="1" x14ac:dyDescent="0.25">
      <c r="A727">
        <v>2210</v>
      </c>
      <c r="B727" t="s">
        <v>2491</v>
      </c>
      <c r="C727" t="s">
        <v>1936</v>
      </c>
      <c r="D727" t="s">
        <v>3575</v>
      </c>
      <c r="F727">
        <v>405</v>
      </c>
      <c r="G727">
        <v>96</v>
      </c>
      <c r="H727" t="s">
        <v>789</v>
      </c>
      <c r="I727" t="s">
        <v>2257</v>
      </c>
      <c r="J727">
        <v>1423500</v>
      </c>
      <c r="K727">
        <v>2025</v>
      </c>
      <c r="L727">
        <v>1006972704</v>
      </c>
      <c r="M727" t="s">
        <v>3608</v>
      </c>
      <c r="N727" t="s">
        <v>1688</v>
      </c>
      <c r="O727" t="s">
        <v>1686</v>
      </c>
      <c r="P727">
        <v>0</v>
      </c>
      <c r="Q727">
        <v>1423500</v>
      </c>
      <c r="R727">
        <v>0</v>
      </c>
      <c r="S727">
        <v>0</v>
      </c>
      <c r="T727" t="str">
        <f t="shared" si="22"/>
        <v>22102.43.4302.85.0-101024.2.3.3.08.06.</v>
      </c>
      <c r="U727" t="e" cm="1">
        <f t="array" aca="1" ref="U727" ca="1">+IF(COMPROMISOS_2025[[#This Row],[P]]="20","41080111",_xlfn.XLOOKUP(COMPROMISOS_2025[[#This Row],[concatenado]],PAA[[#All],[RCP-RUBRO]],PAA[[#All],[INDICADOR]],"",0))</f>
        <v>#NAME?</v>
      </c>
      <c r="V727" s="144" t="str">
        <f t="shared" si="23"/>
        <v>85</v>
      </c>
      <c r="W727" s="136">
        <f>+COMPROMISOS_2025[[#This Row],[valor_total]]-COMPROMISOS_2025[[#This Row],[total_cancelado]]</f>
        <v>1423500</v>
      </c>
      <c r="X727" s="136">
        <f>COMPROMISOS_2025[[#This Row],[total_ordenes]]</f>
        <v>1423500</v>
      </c>
      <c r="Y727" t="str" cm="1">
        <f t="array" aca="1" ref="Y727" ca="1">IFERROR(_xlfn.XLOOKUP(COMPROMISOS_2025[[#This Row],[concatenado]],PAA[[#All],[RCP-RUBRO]],PAA[[#All],[Actividad3]],VLOOKUP(COMPROMISOS_2025[[#This Row],[Indicador Principal]],$AC$2:$AD$17,2,0),0),"")</f>
        <v/>
      </c>
    </row>
    <row r="728" spans="1:25" hidden="1" x14ac:dyDescent="0.25">
      <c r="A728">
        <v>2213</v>
      </c>
      <c r="B728" t="s">
        <v>2491</v>
      </c>
      <c r="C728" t="s">
        <v>1936</v>
      </c>
      <c r="D728" t="s">
        <v>3575</v>
      </c>
      <c r="F728">
        <v>405</v>
      </c>
      <c r="G728">
        <v>96</v>
      </c>
      <c r="H728" t="s">
        <v>789</v>
      </c>
      <c r="I728" t="s">
        <v>2257</v>
      </c>
      <c r="J728">
        <v>711750</v>
      </c>
      <c r="K728">
        <v>2025</v>
      </c>
      <c r="L728">
        <v>1007257342</v>
      </c>
      <c r="M728" t="s">
        <v>3609</v>
      </c>
      <c r="N728" t="s">
        <v>1688</v>
      </c>
      <c r="O728" t="s">
        <v>1686</v>
      </c>
      <c r="P728">
        <v>0</v>
      </c>
      <c r="Q728">
        <v>711750</v>
      </c>
      <c r="R728">
        <v>0</v>
      </c>
      <c r="S728">
        <v>0</v>
      </c>
      <c r="T728" t="str">
        <f t="shared" si="22"/>
        <v>22132.43.4302.85.0-101024.2.3.3.08.06.</v>
      </c>
      <c r="U728" t="e" cm="1">
        <f t="array" aca="1" ref="U728" ca="1">+IF(COMPROMISOS_2025[[#This Row],[P]]="20","41080111",_xlfn.XLOOKUP(COMPROMISOS_2025[[#This Row],[concatenado]],PAA[[#All],[RCP-RUBRO]],PAA[[#All],[INDICADOR]],"",0))</f>
        <v>#NAME?</v>
      </c>
      <c r="V728" s="144" t="str">
        <f t="shared" si="23"/>
        <v>85</v>
      </c>
      <c r="W728" s="136">
        <f>+COMPROMISOS_2025[[#This Row],[valor_total]]-COMPROMISOS_2025[[#This Row],[total_cancelado]]</f>
        <v>711750</v>
      </c>
      <c r="X728" s="136">
        <f>COMPROMISOS_2025[[#This Row],[total_ordenes]]</f>
        <v>711750</v>
      </c>
      <c r="Y728" t="str" cm="1">
        <f t="array" aca="1" ref="Y728" ca="1">IFERROR(_xlfn.XLOOKUP(COMPROMISOS_2025[[#This Row],[concatenado]],PAA[[#All],[RCP-RUBRO]],PAA[[#All],[Actividad3]],VLOOKUP(COMPROMISOS_2025[[#This Row],[Indicador Principal]],$AC$2:$AD$17,2,0),0),"")</f>
        <v/>
      </c>
    </row>
    <row r="729" spans="1:25" hidden="1" x14ac:dyDescent="0.25">
      <c r="A729">
        <v>2216</v>
      </c>
      <c r="B729" t="s">
        <v>2491</v>
      </c>
      <c r="C729" t="s">
        <v>1936</v>
      </c>
      <c r="D729" t="s">
        <v>3575</v>
      </c>
      <c r="F729">
        <v>405</v>
      </c>
      <c r="G729">
        <v>96</v>
      </c>
      <c r="H729" t="s">
        <v>789</v>
      </c>
      <c r="I729" t="s">
        <v>2257</v>
      </c>
      <c r="J729">
        <v>2847000</v>
      </c>
      <c r="K729">
        <v>2025</v>
      </c>
      <c r="L729">
        <v>1007305540</v>
      </c>
      <c r="M729" t="s">
        <v>3610</v>
      </c>
      <c r="N729" t="s">
        <v>1688</v>
      </c>
      <c r="O729" t="s">
        <v>1686</v>
      </c>
      <c r="P729">
        <v>0</v>
      </c>
      <c r="Q729">
        <v>2847000</v>
      </c>
      <c r="R729">
        <v>0</v>
      </c>
      <c r="S729">
        <v>0</v>
      </c>
      <c r="T729" t="str">
        <f t="shared" si="22"/>
        <v>22162.43.4302.85.0-101024.2.3.3.08.06.</v>
      </c>
      <c r="U729" t="e" cm="1">
        <f t="array" aca="1" ref="U729" ca="1">+IF(COMPROMISOS_2025[[#This Row],[P]]="20","41080111",_xlfn.XLOOKUP(COMPROMISOS_2025[[#This Row],[concatenado]],PAA[[#All],[RCP-RUBRO]],PAA[[#All],[INDICADOR]],"",0))</f>
        <v>#NAME?</v>
      </c>
      <c r="V729" s="144" t="str">
        <f t="shared" si="23"/>
        <v>85</v>
      </c>
      <c r="W729" s="136">
        <f>+COMPROMISOS_2025[[#This Row],[valor_total]]-COMPROMISOS_2025[[#This Row],[total_cancelado]]</f>
        <v>2847000</v>
      </c>
      <c r="X729" s="136">
        <f>COMPROMISOS_2025[[#This Row],[total_ordenes]]</f>
        <v>2847000</v>
      </c>
      <c r="Y729" t="str" cm="1">
        <f t="array" aca="1" ref="Y729" ca="1">IFERROR(_xlfn.XLOOKUP(COMPROMISOS_2025[[#This Row],[concatenado]],PAA[[#All],[RCP-RUBRO]],PAA[[#All],[Actividad3]],VLOOKUP(COMPROMISOS_2025[[#This Row],[Indicador Principal]],$AC$2:$AD$17,2,0),0),"")</f>
        <v/>
      </c>
    </row>
    <row r="730" spans="1:25" hidden="1" x14ac:dyDescent="0.25">
      <c r="A730">
        <v>2219</v>
      </c>
      <c r="B730" t="s">
        <v>2491</v>
      </c>
      <c r="C730" t="s">
        <v>1936</v>
      </c>
      <c r="D730" t="s">
        <v>3575</v>
      </c>
      <c r="F730">
        <v>405</v>
      </c>
      <c r="G730">
        <v>96</v>
      </c>
      <c r="H730" t="s">
        <v>789</v>
      </c>
      <c r="I730" t="s">
        <v>2257</v>
      </c>
      <c r="J730">
        <v>711750</v>
      </c>
      <c r="K730">
        <v>2025</v>
      </c>
      <c r="L730">
        <v>1007495891</v>
      </c>
      <c r="M730" t="s">
        <v>3611</v>
      </c>
      <c r="N730" t="s">
        <v>1688</v>
      </c>
      <c r="O730" t="s">
        <v>1686</v>
      </c>
      <c r="P730">
        <v>0</v>
      </c>
      <c r="Q730">
        <v>711750</v>
      </c>
      <c r="R730">
        <v>0</v>
      </c>
      <c r="S730">
        <v>0</v>
      </c>
      <c r="T730" t="str">
        <f t="shared" si="22"/>
        <v>22192.43.4302.85.0-101024.2.3.3.08.06.</v>
      </c>
      <c r="U730" t="e" cm="1">
        <f t="array" aca="1" ref="U730" ca="1">+IF(COMPROMISOS_2025[[#This Row],[P]]="20","41080111",_xlfn.XLOOKUP(COMPROMISOS_2025[[#This Row],[concatenado]],PAA[[#All],[RCP-RUBRO]],PAA[[#All],[INDICADOR]],"",0))</f>
        <v>#NAME?</v>
      </c>
      <c r="V730" s="144" t="str">
        <f t="shared" si="23"/>
        <v>85</v>
      </c>
      <c r="W730" s="136">
        <f>+COMPROMISOS_2025[[#This Row],[valor_total]]-COMPROMISOS_2025[[#This Row],[total_cancelado]]</f>
        <v>711750</v>
      </c>
      <c r="X730" s="136">
        <f>COMPROMISOS_2025[[#This Row],[total_ordenes]]</f>
        <v>711750</v>
      </c>
      <c r="Y730" t="str" cm="1">
        <f t="array" aca="1" ref="Y730" ca="1">IFERROR(_xlfn.XLOOKUP(COMPROMISOS_2025[[#This Row],[concatenado]],PAA[[#All],[RCP-RUBRO]],PAA[[#All],[Actividad3]],VLOOKUP(COMPROMISOS_2025[[#This Row],[Indicador Principal]],$AC$2:$AD$17,2,0),0),"")</f>
        <v/>
      </c>
    </row>
    <row r="731" spans="1:25" hidden="1" x14ac:dyDescent="0.25">
      <c r="A731">
        <v>2220</v>
      </c>
      <c r="B731" t="s">
        <v>2491</v>
      </c>
      <c r="C731" t="s">
        <v>1936</v>
      </c>
      <c r="D731" t="s">
        <v>3575</v>
      </c>
      <c r="F731">
        <v>405</v>
      </c>
      <c r="G731">
        <v>96</v>
      </c>
      <c r="H731" t="s">
        <v>789</v>
      </c>
      <c r="I731" t="s">
        <v>2257</v>
      </c>
      <c r="J731">
        <v>1423500</v>
      </c>
      <c r="K731">
        <v>2025</v>
      </c>
      <c r="L731">
        <v>1007508053</v>
      </c>
      <c r="M731" t="s">
        <v>3612</v>
      </c>
      <c r="N731" t="s">
        <v>1688</v>
      </c>
      <c r="O731" t="s">
        <v>1686</v>
      </c>
      <c r="P731">
        <v>0</v>
      </c>
      <c r="Q731">
        <v>1423500</v>
      </c>
      <c r="R731">
        <v>0</v>
      </c>
      <c r="S731">
        <v>0</v>
      </c>
      <c r="T731" t="str">
        <f t="shared" si="22"/>
        <v>22202.43.4302.85.0-101024.2.3.3.08.06.</v>
      </c>
      <c r="U731" t="e" cm="1">
        <f t="array" aca="1" ref="U731" ca="1">+IF(COMPROMISOS_2025[[#This Row],[P]]="20","41080111",_xlfn.XLOOKUP(COMPROMISOS_2025[[#This Row],[concatenado]],PAA[[#All],[RCP-RUBRO]],PAA[[#All],[INDICADOR]],"",0))</f>
        <v>#NAME?</v>
      </c>
      <c r="V731" s="144" t="str">
        <f t="shared" si="23"/>
        <v>85</v>
      </c>
      <c r="W731" s="136">
        <f>+COMPROMISOS_2025[[#This Row],[valor_total]]-COMPROMISOS_2025[[#This Row],[total_cancelado]]</f>
        <v>1423500</v>
      </c>
      <c r="X731" s="136">
        <f>COMPROMISOS_2025[[#This Row],[total_ordenes]]</f>
        <v>1423500</v>
      </c>
      <c r="Y731" t="str" cm="1">
        <f t="array" aca="1" ref="Y731" ca="1">IFERROR(_xlfn.XLOOKUP(COMPROMISOS_2025[[#This Row],[concatenado]],PAA[[#All],[RCP-RUBRO]],PAA[[#All],[Actividad3]],VLOOKUP(COMPROMISOS_2025[[#This Row],[Indicador Principal]],$AC$2:$AD$17,2,0),0),"")</f>
        <v/>
      </c>
    </row>
    <row r="732" spans="1:25" hidden="1" x14ac:dyDescent="0.25">
      <c r="A732">
        <v>2222</v>
      </c>
      <c r="B732" t="s">
        <v>2491</v>
      </c>
      <c r="C732" t="s">
        <v>1936</v>
      </c>
      <c r="D732" t="s">
        <v>3575</v>
      </c>
      <c r="F732">
        <v>405</v>
      </c>
      <c r="G732">
        <v>96</v>
      </c>
      <c r="H732" t="s">
        <v>789</v>
      </c>
      <c r="I732" t="s">
        <v>2257</v>
      </c>
      <c r="J732">
        <v>711750</v>
      </c>
      <c r="K732">
        <v>2025</v>
      </c>
      <c r="L732">
        <v>1007526330</v>
      </c>
      <c r="M732" t="s">
        <v>3613</v>
      </c>
      <c r="N732" t="s">
        <v>1688</v>
      </c>
      <c r="O732" t="s">
        <v>1686</v>
      </c>
      <c r="P732">
        <v>0</v>
      </c>
      <c r="Q732">
        <v>711750</v>
      </c>
      <c r="R732">
        <v>0</v>
      </c>
      <c r="S732">
        <v>0</v>
      </c>
      <c r="T732" t="str">
        <f t="shared" si="22"/>
        <v>22222.43.4302.85.0-101024.2.3.3.08.06.</v>
      </c>
      <c r="U732" t="e" cm="1">
        <f t="array" aca="1" ref="U732" ca="1">+IF(COMPROMISOS_2025[[#This Row],[P]]="20","41080111",_xlfn.XLOOKUP(COMPROMISOS_2025[[#This Row],[concatenado]],PAA[[#All],[RCP-RUBRO]],PAA[[#All],[INDICADOR]],"",0))</f>
        <v>#NAME?</v>
      </c>
      <c r="V732" s="144" t="str">
        <f t="shared" si="23"/>
        <v>85</v>
      </c>
      <c r="W732" s="136">
        <f>+COMPROMISOS_2025[[#This Row],[valor_total]]-COMPROMISOS_2025[[#This Row],[total_cancelado]]</f>
        <v>711750</v>
      </c>
      <c r="X732" s="136">
        <f>COMPROMISOS_2025[[#This Row],[total_ordenes]]</f>
        <v>711750</v>
      </c>
      <c r="Y732" t="str" cm="1">
        <f t="array" aca="1" ref="Y732" ca="1">IFERROR(_xlfn.XLOOKUP(COMPROMISOS_2025[[#This Row],[concatenado]],PAA[[#All],[RCP-RUBRO]],PAA[[#All],[Actividad3]],VLOOKUP(COMPROMISOS_2025[[#This Row],[Indicador Principal]],$AC$2:$AD$17,2,0),0),"")</f>
        <v/>
      </c>
    </row>
    <row r="733" spans="1:25" hidden="1" x14ac:dyDescent="0.25">
      <c r="A733">
        <v>2227</v>
      </c>
      <c r="B733" t="s">
        <v>2491</v>
      </c>
      <c r="C733" t="s">
        <v>1936</v>
      </c>
      <c r="D733" t="s">
        <v>3575</v>
      </c>
      <c r="F733">
        <v>405</v>
      </c>
      <c r="G733">
        <v>96</v>
      </c>
      <c r="H733" t="s">
        <v>789</v>
      </c>
      <c r="I733" t="s">
        <v>2257</v>
      </c>
      <c r="J733">
        <v>2847000</v>
      </c>
      <c r="K733">
        <v>2025</v>
      </c>
      <c r="L733">
        <v>1007746450</v>
      </c>
      <c r="M733" t="s">
        <v>3614</v>
      </c>
      <c r="N733" t="s">
        <v>1688</v>
      </c>
      <c r="O733" t="s">
        <v>1686</v>
      </c>
      <c r="P733">
        <v>0</v>
      </c>
      <c r="Q733">
        <v>2847000</v>
      </c>
      <c r="R733">
        <v>0</v>
      </c>
      <c r="S733">
        <v>0</v>
      </c>
      <c r="T733" t="str">
        <f t="shared" si="22"/>
        <v>22272.43.4302.85.0-101024.2.3.3.08.06.</v>
      </c>
      <c r="U733" t="e" cm="1">
        <f t="array" aca="1" ref="U733" ca="1">+IF(COMPROMISOS_2025[[#This Row],[P]]="20","41080111",_xlfn.XLOOKUP(COMPROMISOS_2025[[#This Row],[concatenado]],PAA[[#All],[RCP-RUBRO]],PAA[[#All],[INDICADOR]],"",0))</f>
        <v>#NAME?</v>
      </c>
      <c r="V733" s="144" t="str">
        <f t="shared" si="23"/>
        <v>85</v>
      </c>
      <c r="W733" s="136">
        <f>+COMPROMISOS_2025[[#This Row],[valor_total]]-COMPROMISOS_2025[[#This Row],[total_cancelado]]</f>
        <v>2847000</v>
      </c>
      <c r="X733" s="136">
        <f>COMPROMISOS_2025[[#This Row],[total_ordenes]]</f>
        <v>2847000</v>
      </c>
      <c r="Y733" t="str" cm="1">
        <f t="array" aca="1" ref="Y733" ca="1">IFERROR(_xlfn.XLOOKUP(COMPROMISOS_2025[[#This Row],[concatenado]],PAA[[#All],[RCP-RUBRO]],PAA[[#All],[Actividad3]],VLOOKUP(COMPROMISOS_2025[[#This Row],[Indicador Principal]],$AC$2:$AD$17,2,0),0),"")</f>
        <v/>
      </c>
    </row>
    <row r="734" spans="1:25" hidden="1" x14ac:dyDescent="0.25">
      <c r="A734">
        <v>2232</v>
      </c>
      <c r="B734" t="s">
        <v>2491</v>
      </c>
      <c r="C734" t="s">
        <v>1936</v>
      </c>
      <c r="D734" t="s">
        <v>3575</v>
      </c>
      <c r="F734">
        <v>405</v>
      </c>
      <c r="G734">
        <v>96</v>
      </c>
      <c r="H734" t="s">
        <v>789</v>
      </c>
      <c r="I734" t="s">
        <v>2257</v>
      </c>
      <c r="J734">
        <v>711750</v>
      </c>
      <c r="K734">
        <v>2025</v>
      </c>
      <c r="L734">
        <v>1011391775</v>
      </c>
      <c r="M734" t="s">
        <v>3615</v>
      </c>
      <c r="N734" t="s">
        <v>1688</v>
      </c>
      <c r="O734" t="s">
        <v>1686</v>
      </c>
      <c r="P734">
        <v>0</v>
      </c>
      <c r="Q734">
        <v>711750</v>
      </c>
      <c r="R734">
        <v>0</v>
      </c>
      <c r="S734">
        <v>0</v>
      </c>
      <c r="T734" t="str">
        <f t="shared" si="22"/>
        <v>22322.43.4302.85.0-101024.2.3.3.08.06.</v>
      </c>
      <c r="U734" t="e" cm="1">
        <f t="array" aca="1" ref="U734" ca="1">+IF(COMPROMISOS_2025[[#This Row],[P]]="20","41080111",_xlfn.XLOOKUP(COMPROMISOS_2025[[#This Row],[concatenado]],PAA[[#All],[RCP-RUBRO]],PAA[[#All],[INDICADOR]],"",0))</f>
        <v>#NAME?</v>
      </c>
      <c r="V734" s="144" t="str">
        <f t="shared" si="23"/>
        <v>85</v>
      </c>
      <c r="W734" s="136">
        <f>+COMPROMISOS_2025[[#This Row],[valor_total]]-COMPROMISOS_2025[[#This Row],[total_cancelado]]</f>
        <v>711750</v>
      </c>
      <c r="X734" s="136">
        <f>COMPROMISOS_2025[[#This Row],[total_ordenes]]</f>
        <v>711750</v>
      </c>
      <c r="Y734" t="str" cm="1">
        <f t="array" aca="1" ref="Y734" ca="1">IFERROR(_xlfn.XLOOKUP(COMPROMISOS_2025[[#This Row],[concatenado]],PAA[[#All],[RCP-RUBRO]],PAA[[#All],[Actividad3]],VLOOKUP(COMPROMISOS_2025[[#This Row],[Indicador Principal]],$AC$2:$AD$17,2,0),0),"")</f>
        <v/>
      </c>
    </row>
    <row r="735" spans="1:25" hidden="1" x14ac:dyDescent="0.25">
      <c r="A735">
        <v>2234</v>
      </c>
      <c r="B735" t="s">
        <v>2491</v>
      </c>
      <c r="C735" t="s">
        <v>1936</v>
      </c>
      <c r="D735" t="s">
        <v>3575</v>
      </c>
      <c r="F735">
        <v>405</v>
      </c>
      <c r="G735">
        <v>96</v>
      </c>
      <c r="H735" t="s">
        <v>789</v>
      </c>
      <c r="I735" t="s">
        <v>2257</v>
      </c>
      <c r="J735">
        <v>711750</v>
      </c>
      <c r="K735">
        <v>2025</v>
      </c>
      <c r="L735">
        <v>1011395202</v>
      </c>
      <c r="M735" t="s">
        <v>3616</v>
      </c>
      <c r="N735" t="s">
        <v>1688</v>
      </c>
      <c r="O735" t="s">
        <v>1686</v>
      </c>
      <c r="P735">
        <v>0</v>
      </c>
      <c r="Q735">
        <v>711750</v>
      </c>
      <c r="R735">
        <v>0</v>
      </c>
      <c r="S735">
        <v>0</v>
      </c>
      <c r="T735" t="str">
        <f t="shared" si="22"/>
        <v>22342.43.4302.85.0-101024.2.3.3.08.06.</v>
      </c>
      <c r="U735" t="e" cm="1">
        <f t="array" aca="1" ref="U735" ca="1">+IF(COMPROMISOS_2025[[#This Row],[P]]="20","41080111",_xlfn.XLOOKUP(COMPROMISOS_2025[[#This Row],[concatenado]],PAA[[#All],[RCP-RUBRO]],PAA[[#All],[INDICADOR]],"",0))</f>
        <v>#NAME?</v>
      </c>
      <c r="V735" s="144" t="str">
        <f t="shared" si="23"/>
        <v>85</v>
      </c>
      <c r="W735" s="136">
        <f>+COMPROMISOS_2025[[#This Row],[valor_total]]-COMPROMISOS_2025[[#This Row],[total_cancelado]]</f>
        <v>711750</v>
      </c>
      <c r="X735" s="136">
        <f>COMPROMISOS_2025[[#This Row],[total_ordenes]]</f>
        <v>711750</v>
      </c>
      <c r="Y735" t="str" cm="1">
        <f t="array" aca="1" ref="Y735" ca="1">IFERROR(_xlfn.XLOOKUP(COMPROMISOS_2025[[#This Row],[concatenado]],PAA[[#All],[RCP-RUBRO]],PAA[[#All],[Actividad3]],VLOOKUP(COMPROMISOS_2025[[#This Row],[Indicador Principal]],$AC$2:$AD$17,2,0),0),"")</f>
        <v/>
      </c>
    </row>
    <row r="736" spans="1:25" hidden="1" x14ac:dyDescent="0.25">
      <c r="A736">
        <v>2235</v>
      </c>
      <c r="B736" t="s">
        <v>2491</v>
      </c>
      <c r="C736" t="s">
        <v>1936</v>
      </c>
      <c r="D736" t="s">
        <v>3575</v>
      </c>
      <c r="F736">
        <v>405</v>
      </c>
      <c r="G736">
        <v>96</v>
      </c>
      <c r="H736" t="s">
        <v>789</v>
      </c>
      <c r="I736" t="s">
        <v>2257</v>
      </c>
      <c r="J736">
        <v>1067625</v>
      </c>
      <c r="K736">
        <v>2025</v>
      </c>
      <c r="L736">
        <v>1011398561</v>
      </c>
      <c r="M736" t="s">
        <v>3617</v>
      </c>
      <c r="N736" t="s">
        <v>1688</v>
      </c>
      <c r="O736" t="s">
        <v>1686</v>
      </c>
      <c r="P736">
        <v>0</v>
      </c>
      <c r="Q736">
        <v>1067625</v>
      </c>
      <c r="R736">
        <v>0</v>
      </c>
      <c r="S736">
        <v>0</v>
      </c>
      <c r="T736" t="str">
        <f t="shared" si="22"/>
        <v>22352.43.4302.85.0-101024.2.3.3.08.06.</v>
      </c>
      <c r="U736" t="e" cm="1">
        <f t="array" aca="1" ref="U736" ca="1">+IF(COMPROMISOS_2025[[#This Row],[P]]="20","41080111",_xlfn.XLOOKUP(COMPROMISOS_2025[[#This Row],[concatenado]],PAA[[#All],[RCP-RUBRO]],PAA[[#All],[INDICADOR]],"",0))</f>
        <v>#NAME?</v>
      </c>
      <c r="V736" s="144" t="str">
        <f t="shared" si="23"/>
        <v>85</v>
      </c>
      <c r="W736" s="136">
        <f>+COMPROMISOS_2025[[#This Row],[valor_total]]-COMPROMISOS_2025[[#This Row],[total_cancelado]]</f>
        <v>1067625</v>
      </c>
      <c r="X736" s="136">
        <f>COMPROMISOS_2025[[#This Row],[total_ordenes]]</f>
        <v>1067625</v>
      </c>
      <c r="Y736" t="str" cm="1">
        <f t="array" aca="1" ref="Y736" ca="1">IFERROR(_xlfn.XLOOKUP(COMPROMISOS_2025[[#This Row],[concatenado]],PAA[[#All],[RCP-RUBRO]],PAA[[#All],[Actividad3]],VLOOKUP(COMPROMISOS_2025[[#This Row],[Indicador Principal]],$AC$2:$AD$17,2,0),0),"")</f>
        <v/>
      </c>
    </row>
    <row r="737" spans="1:25" hidden="1" x14ac:dyDescent="0.25">
      <c r="A737">
        <v>2236</v>
      </c>
      <c r="B737" t="s">
        <v>2491</v>
      </c>
      <c r="C737" t="s">
        <v>1936</v>
      </c>
      <c r="D737" t="s">
        <v>3575</v>
      </c>
      <c r="F737">
        <v>405</v>
      </c>
      <c r="G737">
        <v>96</v>
      </c>
      <c r="H737" t="s">
        <v>789</v>
      </c>
      <c r="I737" t="s">
        <v>2257</v>
      </c>
      <c r="J737">
        <v>711750</v>
      </c>
      <c r="K737">
        <v>2025</v>
      </c>
      <c r="L737">
        <v>1011399715</v>
      </c>
      <c r="M737" t="s">
        <v>3618</v>
      </c>
      <c r="N737" t="s">
        <v>1688</v>
      </c>
      <c r="O737" t="s">
        <v>1686</v>
      </c>
      <c r="P737">
        <v>0</v>
      </c>
      <c r="Q737">
        <v>711750</v>
      </c>
      <c r="R737">
        <v>0</v>
      </c>
      <c r="S737">
        <v>0</v>
      </c>
      <c r="T737" t="str">
        <f t="shared" si="22"/>
        <v>22362.43.4302.85.0-101024.2.3.3.08.06.</v>
      </c>
      <c r="U737" t="e" cm="1">
        <f t="array" aca="1" ref="U737" ca="1">+IF(COMPROMISOS_2025[[#This Row],[P]]="20","41080111",_xlfn.XLOOKUP(COMPROMISOS_2025[[#This Row],[concatenado]],PAA[[#All],[RCP-RUBRO]],PAA[[#All],[INDICADOR]],"",0))</f>
        <v>#NAME?</v>
      </c>
      <c r="V737" s="144" t="str">
        <f t="shared" si="23"/>
        <v>85</v>
      </c>
      <c r="W737" s="136">
        <f>+COMPROMISOS_2025[[#This Row],[valor_total]]-COMPROMISOS_2025[[#This Row],[total_cancelado]]</f>
        <v>711750</v>
      </c>
      <c r="X737" s="136">
        <f>COMPROMISOS_2025[[#This Row],[total_ordenes]]</f>
        <v>711750</v>
      </c>
      <c r="Y737" t="str" cm="1">
        <f t="array" aca="1" ref="Y737" ca="1">IFERROR(_xlfn.XLOOKUP(COMPROMISOS_2025[[#This Row],[concatenado]],PAA[[#All],[RCP-RUBRO]],PAA[[#All],[Actividad3]],VLOOKUP(COMPROMISOS_2025[[#This Row],[Indicador Principal]],$AC$2:$AD$17,2,0),0),"")</f>
        <v/>
      </c>
    </row>
    <row r="738" spans="1:25" hidden="1" x14ac:dyDescent="0.25">
      <c r="A738">
        <v>2237</v>
      </c>
      <c r="B738" t="s">
        <v>2491</v>
      </c>
      <c r="C738" t="s">
        <v>1936</v>
      </c>
      <c r="D738" t="s">
        <v>3575</v>
      </c>
      <c r="F738">
        <v>405</v>
      </c>
      <c r="G738">
        <v>96</v>
      </c>
      <c r="H738" t="s">
        <v>789</v>
      </c>
      <c r="I738" t="s">
        <v>2257</v>
      </c>
      <c r="J738">
        <v>1067625</v>
      </c>
      <c r="K738">
        <v>2025</v>
      </c>
      <c r="L738">
        <v>1011400174</v>
      </c>
      <c r="M738" t="s">
        <v>3619</v>
      </c>
      <c r="N738" t="s">
        <v>1688</v>
      </c>
      <c r="O738" t="s">
        <v>1686</v>
      </c>
      <c r="P738">
        <v>0</v>
      </c>
      <c r="Q738">
        <v>1067625</v>
      </c>
      <c r="R738">
        <v>0</v>
      </c>
      <c r="S738">
        <v>0</v>
      </c>
      <c r="T738" t="str">
        <f t="shared" si="22"/>
        <v>22372.43.4302.85.0-101024.2.3.3.08.06.</v>
      </c>
      <c r="U738" t="e" cm="1">
        <f t="array" aca="1" ref="U738" ca="1">+IF(COMPROMISOS_2025[[#This Row],[P]]="20","41080111",_xlfn.XLOOKUP(COMPROMISOS_2025[[#This Row],[concatenado]],PAA[[#All],[RCP-RUBRO]],PAA[[#All],[INDICADOR]],"",0))</f>
        <v>#NAME?</v>
      </c>
      <c r="V738" s="144" t="str">
        <f t="shared" si="23"/>
        <v>85</v>
      </c>
      <c r="W738" s="136">
        <f>+COMPROMISOS_2025[[#This Row],[valor_total]]-COMPROMISOS_2025[[#This Row],[total_cancelado]]</f>
        <v>1067625</v>
      </c>
      <c r="X738" s="136">
        <f>COMPROMISOS_2025[[#This Row],[total_ordenes]]</f>
        <v>1067625</v>
      </c>
      <c r="Y738" t="str" cm="1">
        <f t="array" aca="1" ref="Y738" ca="1">IFERROR(_xlfn.XLOOKUP(COMPROMISOS_2025[[#This Row],[concatenado]],PAA[[#All],[RCP-RUBRO]],PAA[[#All],[Actividad3]],VLOOKUP(COMPROMISOS_2025[[#This Row],[Indicador Principal]],$AC$2:$AD$17,2,0),0),"")</f>
        <v/>
      </c>
    </row>
    <row r="739" spans="1:25" hidden="1" x14ac:dyDescent="0.25">
      <c r="A739">
        <v>2240</v>
      </c>
      <c r="B739" t="s">
        <v>2491</v>
      </c>
      <c r="C739" t="s">
        <v>1936</v>
      </c>
      <c r="D739" t="s">
        <v>3575</v>
      </c>
      <c r="F739">
        <v>405</v>
      </c>
      <c r="G739">
        <v>96</v>
      </c>
      <c r="H739" t="s">
        <v>789</v>
      </c>
      <c r="I739" t="s">
        <v>2257</v>
      </c>
      <c r="J739">
        <v>711750</v>
      </c>
      <c r="K739">
        <v>2025</v>
      </c>
      <c r="L739">
        <v>1011511435</v>
      </c>
      <c r="M739" t="s">
        <v>3620</v>
      </c>
      <c r="N739" t="s">
        <v>1688</v>
      </c>
      <c r="O739" t="s">
        <v>1686</v>
      </c>
      <c r="P739">
        <v>0</v>
      </c>
      <c r="Q739">
        <v>711750</v>
      </c>
      <c r="R739">
        <v>0</v>
      </c>
      <c r="S739">
        <v>0</v>
      </c>
      <c r="T739" t="str">
        <f t="shared" si="22"/>
        <v>22402.43.4302.85.0-101024.2.3.3.08.06.</v>
      </c>
      <c r="U739" t="e" cm="1">
        <f t="array" aca="1" ref="U739" ca="1">+IF(COMPROMISOS_2025[[#This Row],[P]]="20","41080111",_xlfn.XLOOKUP(COMPROMISOS_2025[[#This Row],[concatenado]],PAA[[#All],[RCP-RUBRO]],PAA[[#All],[INDICADOR]],"",0))</f>
        <v>#NAME?</v>
      </c>
      <c r="V739" s="144" t="str">
        <f t="shared" si="23"/>
        <v>85</v>
      </c>
      <c r="W739" s="136">
        <f>+COMPROMISOS_2025[[#This Row],[valor_total]]-COMPROMISOS_2025[[#This Row],[total_cancelado]]</f>
        <v>711750</v>
      </c>
      <c r="X739" s="136">
        <f>COMPROMISOS_2025[[#This Row],[total_ordenes]]</f>
        <v>711750</v>
      </c>
      <c r="Y739" t="str" cm="1">
        <f t="array" aca="1" ref="Y739" ca="1">IFERROR(_xlfn.XLOOKUP(COMPROMISOS_2025[[#This Row],[concatenado]],PAA[[#All],[RCP-RUBRO]],PAA[[#All],[Actividad3]],VLOOKUP(COMPROMISOS_2025[[#This Row],[Indicador Principal]],$AC$2:$AD$17,2,0),0),"")</f>
        <v/>
      </c>
    </row>
    <row r="740" spans="1:25" hidden="1" x14ac:dyDescent="0.25">
      <c r="A740">
        <v>2241</v>
      </c>
      <c r="B740" t="s">
        <v>2491</v>
      </c>
      <c r="C740" t="s">
        <v>1936</v>
      </c>
      <c r="D740" t="s">
        <v>3575</v>
      </c>
      <c r="F740">
        <v>405</v>
      </c>
      <c r="G740">
        <v>96</v>
      </c>
      <c r="H740" t="s">
        <v>789</v>
      </c>
      <c r="I740" t="s">
        <v>2257</v>
      </c>
      <c r="J740">
        <v>711750</v>
      </c>
      <c r="K740">
        <v>2025</v>
      </c>
      <c r="L740">
        <v>1011511497</v>
      </c>
      <c r="M740" t="s">
        <v>3621</v>
      </c>
      <c r="N740" t="s">
        <v>1688</v>
      </c>
      <c r="O740" t="s">
        <v>1686</v>
      </c>
      <c r="P740">
        <v>0</v>
      </c>
      <c r="Q740">
        <v>711750</v>
      </c>
      <c r="R740">
        <v>0</v>
      </c>
      <c r="S740">
        <v>0</v>
      </c>
      <c r="T740" t="str">
        <f t="shared" si="22"/>
        <v>22412.43.4302.85.0-101024.2.3.3.08.06.</v>
      </c>
      <c r="U740" t="e" cm="1">
        <f t="array" aca="1" ref="U740" ca="1">+IF(COMPROMISOS_2025[[#This Row],[P]]="20","41080111",_xlfn.XLOOKUP(COMPROMISOS_2025[[#This Row],[concatenado]],PAA[[#All],[RCP-RUBRO]],PAA[[#All],[INDICADOR]],"",0))</f>
        <v>#NAME?</v>
      </c>
      <c r="V740" s="144" t="str">
        <f t="shared" si="23"/>
        <v>85</v>
      </c>
      <c r="W740" s="136">
        <f>+COMPROMISOS_2025[[#This Row],[valor_total]]-COMPROMISOS_2025[[#This Row],[total_cancelado]]</f>
        <v>711750</v>
      </c>
      <c r="X740" s="136">
        <f>COMPROMISOS_2025[[#This Row],[total_ordenes]]</f>
        <v>711750</v>
      </c>
      <c r="Y740" t="str" cm="1">
        <f t="array" aca="1" ref="Y740" ca="1">IFERROR(_xlfn.XLOOKUP(COMPROMISOS_2025[[#This Row],[concatenado]],PAA[[#All],[RCP-RUBRO]],PAA[[#All],[Actividad3]],VLOOKUP(COMPROMISOS_2025[[#This Row],[Indicador Principal]],$AC$2:$AD$17,2,0),0),"")</f>
        <v/>
      </c>
    </row>
    <row r="741" spans="1:25" hidden="1" x14ac:dyDescent="0.25">
      <c r="A741">
        <v>2243</v>
      </c>
      <c r="B741" t="s">
        <v>2491</v>
      </c>
      <c r="C741" t="s">
        <v>1936</v>
      </c>
      <c r="D741" t="s">
        <v>3575</v>
      </c>
      <c r="F741">
        <v>405</v>
      </c>
      <c r="G741">
        <v>96</v>
      </c>
      <c r="H741" t="s">
        <v>789</v>
      </c>
      <c r="I741" t="s">
        <v>2257</v>
      </c>
      <c r="J741">
        <v>2847000</v>
      </c>
      <c r="K741">
        <v>2025</v>
      </c>
      <c r="L741">
        <v>1013264193</v>
      </c>
      <c r="M741" t="s">
        <v>3622</v>
      </c>
      <c r="N741" t="s">
        <v>1688</v>
      </c>
      <c r="O741" t="s">
        <v>1686</v>
      </c>
      <c r="P741">
        <v>0</v>
      </c>
      <c r="Q741">
        <v>2847000</v>
      </c>
      <c r="R741">
        <v>0</v>
      </c>
      <c r="S741">
        <v>0</v>
      </c>
      <c r="T741" t="str">
        <f t="shared" si="22"/>
        <v>22432.43.4302.85.0-101024.2.3.3.08.06.</v>
      </c>
      <c r="U741" t="e" cm="1">
        <f t="array" aca="1" ref="U741" ca="1">+IF(COMPROMISOS_2025[[#This Row],[P]]="20","41080111",_xlfn.XLOOKUP(COMPROMISOS_2025[[#This Row],[concatenado]],PAA[[#All],[RCP-RUBRO]],PAA[[#All],[INDICADOR]],"",0))</f>
        <v>#NAME?</v>
      </c>
      <c r="V741" s="144" t="str">
        <f t="shared" si="23"/>
        <v>85</v>
      </c>
      <c r="W741" s="136">
        <f>+COMPROMISOS_2025[[#This Row],[valor_total]]-COMPROMISOS_2025[[#This Row],[total_cancelado]]</f>
        <v>2847000</v>
      </c>
      <c r="X741" s="136">
        <f>COMPROMISOS_2025[[#This Row],[total_ordenes]]</f>
        <v>2847000</v>
      </c>
      <c r="Y741" t="str" cm="1">
        <f t="array" aca="1" ref="Y741" ca="1">IFERROR(_xlfn.XLOOKUP(COMPROMISOS_2025[[#This Row],[concatenado]],PAA[[#All],[RCP-RUBRO]],PAA[[#All],[Actividad3]],VLOOKUP(COMPROMISOS_2025[[#This Row],[Indicador Principal]],$AC$2:$AD$17,2,0),0),"")</f>
        <v/>
      </c>
    </row>
    <row r="742" spans="1:25" hidden="1" x14ac:dyDescent="0.25">
      <c r="A742">
        <v>2245</v>
      </c>
      <c r="B742" t="s">
        <v>2491</v>
      </c>
      <c r="C742" t="s">
        <v>1936</v>
      </c>
      <c r="D742" t="s">
        <v>3575</v>
      </c>
      <c r="F742">
        <v>405</v>
      </c>
      <c r="G742">
        <v>96</v>
      </c>
      <c r="H742" t="s">
        <v>789</v>
      </c>
      <c r="I742" t="s">
        <v>2257</v>
      </c>
      <c r="J742">
        <v>711750</v>
      </c>
      <c r="K742">
        <v>2025</v>
      </c>
      <c r="L742">
        <v>1013339797</v>
      </c>
      <c r="M742" t="s">
        <v>3623</v>
      </c>
      <c r="N742" t="s">
        <v>1688</v>
      </c>
      <c r="O742" t="s">
        <v>1686</v>
      </c>
      <c r="P742">
        <v>0</v>
      </c>
      <c r="Q742">
        <v>711750</v>
      </c>
      <c r="R742">
        <v>0</v>
      </c>
      <c r="S742">
        <v>0</v>
      </c>
      <c r="T742" t="str">
        <f t="shared" si="22"/>
        <v>22452.43.4302.85.0-101024.2.3.3.08.06.</v>
      </c>
      <c r="U742" t="e" cm="1">
        <f t="array" aca="1" ref="U742" ca="1">+IF(COMPROMISOS_2025[[#This Row],[P]]="20","41080111",_xlfn.XLOOKUP(COMPROMISOS_2025[[#This Row],[concatenado]],PAA[[#All],[RCP-RUBRO]],PAA[[#All],[INDICADOR]],"",0))</f>
        <v>#NAME?</v>
      </c>
      <c r="V742" s="144" t="str">
        <f t="shared" si="23"/>
        <v>85</v>
      </c>
      <c r="W742" s="136">
        <f>+COMPROMISOS_2025[[#This Row],[valor_total]]-COMPROMISOS_2025[[#This Row],[total_cancelado]]</f>
        <v>711750</v>
      </c>
      <c r="X742" s="136">
        <f>COMPROMISOS_2025[[#This Row],[total_ordenes]]</f>
        <v>711750</v>
      </c>
      <c r="Y742" t="str" cm="1">
        <f t="array" aca="1" ref="Y742" ca="1">IFERROR(_xlfn.XLOOKUP(COMPROMISOS_2025[[#This Row],[concatenado]],PAA[[#All],[RCP-RUBRO]],PAA[[#All],[Actividad3]],VLOOKUP(COMPROMISOS_2025[[#This Row],[Indicador Principal]],$AC$2:$AD$17,2,0),0),"")</f>
        <v/>
      </c>
    </row>
    <row r="743" spans="1:25" hidden="1" x14ac:dyDescent="0.25">
      <c r="A743">
        <v>2247</v>
      </c>
      <c r="B743" t="s">
        <v>2491</v>
      </c>
      <c r="C743" t="s">
        <v>1936</v>
      </c>
      <c r="D743" t="s">
        <v>3575</v>
      </c>
      <c r="F743">
        <v>405</v>
      </c>
      <c r="G743">
        <v>96</v>
      </c>
      <c r="H743" t="s">
        <v>789</v>
      </c>
      <c r="I743" t="s">
        <v>2257</v>
      </c>
      <c r="J743">
        <v>711750</v>
      </c>
      <c r="K743">
        <v>2025</v>
      </c>
      <c r="L743">
        <v>1013342051</v>
      </c>
      <c r="M743" t="s">
        <v>3624</v>
      </c>
      <c r="N743" t="s">
        <v>1688</v>
      </c>
      <c r="O743" t="s">
        <v>1686</v>
      </c>
      <c r="P743">
        <v>0</v>
      </c>
      <c r="Q743">
        <v>711750</v>
      </c>
      <c r="R743">
        <v>0</v>
      </c>
      <c r="S743">
        <v>0</v>
      </c>
      <c r="T743" t="str">
        <f t="shared" si="22"/>
        <v>22472.43.4302.85.0-101024.2.3.3.08.06.</v>
      </c>
      <c r="U743" t="e" cm="1">
        <f t="array" aca="1" ref="U743" ca="1">+IF(COMPROMISOS_2025[[#This Row],[P]]="20","41080111",_xlfn.XLOOKUP(COMPROMISOS_2025[[#This Row],[concatenado]],PAA[[#All],[RCP-RUBRO]],PAA[[#All],[INDICADOR]],"",0))</f>
        <v>#NAME?</v>
      </c>
      <c r="V743" s="144" t="str">
        <f t="shared" si="23"/>
        <v>85</v>
      </c>
      <c r="W743" s="136">
        <f>+COMPROMISOS_2025[[#This Row],[valor_total]]-COMPROMISOS_2025[[#This Row],[total_cancelado]]</f>
        <v>711750</v>
      </c>
      <c r="X743" s="136">
        <f>COMPROMISOS_2025[[#This Row],[total_ordenes]]</f>
        <v>711750</v>
      </c>
      <c r="Y743" t="str" cm="1">
        <f t="array" aca="1" ref="Y743" ca="1">IFERROR(_xlfn.XLOOKUP(COMPROMISOS_2025[[#This Row],[concatenado]],PAA[[#All],[RCP-RUBRO]],PAA[[#All],[Actividad3]],VLOOKUP(COMPROMISOS_2025[[#This Row],[Indicador Principal]],$AC$2:$AD$17,2,0),0),"")</f>
        <v/>
      </c>
    </row>
    <row r="744" spans="1:25" hidden="1" x14ac:dyDescent="0.25">
      <c r="A744">
        <v>2249</v>
      </c>
      <c r="B744" t="s">
        <v>2491</v>
      </c>
      <c r="C744" t="s">
        <v>1936</v>
      </c>
      <c r="D744" t="s">
        <v>3575</v>
      </c>
      <c r="F744">
        <v>405</v>
      </c>
      <c r="G744">
        <v>96</v>
      </c>
      <c r="H744" t="s">
        <v>789</v>
      </c>
      <c r="I744" t="s">
        <v>2257</v>
      </c>
      <c r="J744">
        <v>711750</v>
      </c>
      <c r="K744">
        <v>2025</v>
      </c>
      <c r="L744">
        <v>1013459283</v>
      </c>
      <c r="M744" t="s">
        <v>3625</v>
      </c>
      <c r="N744" t="s">
        <v>1688</v>
      </c>
      <c r="O744" t="s">
        <v>1686</v>
      </c>
      <c r="P744">
        <v>0</v>
      </c>
      <c r="Q744">
        <v>711750</v>
      </c>
      <c r="R744">
        <v>0</v>
      </c>
      <c r="S744">
        <v>0</v>
      </c>
      <c r="T744" t="str">
        <f t="shared" si="22"/>
        <v>22492.43.4302.85.0-101024.2.3.3.08.06.</v>
      </c>
      <c r="U744" t="e" cm="1">
        <f t="array" aca="1" ref="U744" ca="1">+IF(COMPROMISOS_2025[[#This Row],[P]]="20","41080111",_xlfn.XLOOKUP(COMPROMISOS_2025[[#This Row],[concatenado]],PAA[[#All],[RCP-RUBRO]],PAA[[#All],[INDICADOR]],"",0))</f>
        <v>#NAME?</v>
      </c>
      <c r="V744" s="144" t="str">
        <f t="shared" si="23"/>
        <v>85</v>
      </c>
      <c r="W744" s="136">
        <f>+COMPROMISOS_2025[[#This Row],[valor_total]]-COMPROMISOS_2025[[#This Row],[total_cancelado]]</f>
        <v>711750</v>
      </c>
      <c r="X744" s="136">
        <f>COMPROMISOS_2025[[#This Row],[total_ordenes]]</f>
        <v>711750</v>
      </c>
      <c r="Y744" t="str" cm="1">
        <f t="array" aca="1" ref="Y744" ca="1">IFERROR(_xlfn.XLOOKUP(COMPROMISOS_2025[[#This Row],[concatenado]],PAA[[#All],[RCP-RUBRO]],PAA[[#All],[Actividad3]],VLOOKUP(COMPROMISOS_2025[[#This Row],[Indicador Principal]],$AC$2:$AD$17,2,0),0),"")</f>
        <v/>
      </c>
    </row>
    <row r="745" spans="1:25" hidden="1" x14ac:dyDescent="0.25">
      <c r="A745">
        <v>2251</v>
      </c>
      <c r="B745" t="s">
        <v>2491</v>
      </c>
      <c r="C745" t="s">
        <v>1936</v>
      </c>
      <c r="D745" t="s">
        <v>3575</v>
      </c>
      <c r="F745">
        <v>405</v>
      </c>
      <c r="G745">
        <v>96</v>
      </c>
      <c r="H745" t="s">
        <v>789</v>
      </c>
      <c r="I745" t="s">
        <v>2257</v>
      </c>
      <c r="J745">
        <v>2847000</v>
      </c>
      <c r="K745">
        <v>2025</v>
      </c>
      <c r="L745">
        <v>1013459361</v>
      </c>
      <c r="M745" t="s">
        <v>3626</v>
      </c>
      <c r="N745" t="s">
        <v>1688</v>
      </c>
      <c r="O745" t="s">
        <v>1686</v>
      </c>
      <c r="P745">
        <v>0</v>
      </c>
      <c r="Q745">
        <v>2847000</v>
      </c>
      <c r="R745">
        <v>0</v>
      </c>
      <c r="S745">
        <v>0</v>
      </c>
      <c r="T745" t="str">
        <f t="shared" si="22"/>
        <v>22512.43.4302.85.0-101024.2.3.3.08.06.</v>
      </c>
      <c r="U745" t="e" cm="1">
        <f t="array" aca="1" ref="U745" ca="1">+IF(COMPROMISOS_2025[[#This Row],[P]]="20","41080111",_xlfn.XLOOKUP(COMPROMISOS_2025[[#This Row],[concatenado]],PAA[[#All],[RCP-RUBRO]],PAA[[#All],[INDICADOR]],"",0))</f>
        <v>#NAME?</v>
      </c>
      <c r="V745" s="144" t="str">
        <f t="shared" si="23"/>
        <v>85</v>
      </c>
      <c r="W745" s="136">
        <f>+COMPROMISOS_2025[[#This Row],[valor_total]]-COMPROMISOS_2025[[#This Row],[total_cancelado]]</f>
        <v>2847000</v>
      </c>
      <c r="X745" s="136">
        <f>COMPROMISOS_2025[[#This Row],[total_ordenes]]</f>
        <v>2847000</v>
      </c>
      <c r="Y745" t="str" cm="1">
        <f t="array" aca="1" ref="Y745" ca="1">IFERROR(_xlfn.XLOOKUP(COMPROMISOS_2025[[#This Row],[concatenado]],PAA[[#All],[RCP-RUBRO]],PAA[[#All],[Actividad3]],VLOOKUP(COMPROMISOS_2025[[#This Row],[Indicador Principal]],$AC$2:$AD$17,2,0),0),"")</f>
        <v/>
      </c>
    </row>
    <row r="746" spans="1:25" hidden="1" x14ac:dyDescent="0.25">
      <c r="A746">
        <v>2252</v>
      </c>
      <c r="B746" t="s">
        <v>2491</v>
      </c>
      <c r="C746" t="s">
        <v>1936</v>
      </c>
      <c r="D746" t="s">
        <v>3575</v>
      </c>
      <c r="F746">
        <v>405</v>
      </c>
      <c r="G746">
        <v>96</v>
      </c>
      <c r="H746" t="s">
        <v>789</v>
      </c>
      <c r="I746" t="s">
        <v>2257</v>
      </c>
      <c r="J746">
        <v>711750</v>
      </c>
      <c r="K746">
        <v>2025</v>
      </c>
      <c r="L746">
        <v>1013460929</v>
      </c>
      <c r="M746" t="s">
        <v>3627</v>
      </c>
      <c r="N746" t="s">
        <v>1688</v>
      </c>
      <c r="O746" t="s">
        <v>1686</v>
      </c>
      <c r="P746">
        <v>0</v>
      </c>
      <c r="Q746">
        <v>711750</v>
      </c>
      <c r="R746">
        <v>0</v>
      </c>
      <c r="S746">
        <v>0</v>
      </c>
      <c r="T746" t="str">
        <f t="shared" si="22"/>
        <v>22522.43.4302.85.0-101024.2.3.3.08.06.</v>
      </c>
      <c r="U746" t="e" cm="1">
        <f t="array" aca="1" ref="U746" ca="1">+IF(COMPROMISOS_2025[[#This Row],[P]]="20","41080111",_xlfn.XLOOKUP(COMPROMISOS_2025[[#This Row],[concatenado]],PAA[[#All],[RCP-RUBRO]],PAA[[#All],[INDICADOR]],"",0))</f>
        <v>#NAME?</v>
      </c>
      <c r="V746" s="144" t="str">
        <f t="shared" si="23"/>
        <v>85</v>
      </c>
      <c r="W746" s="136">
        <f>+COMPROMISOS_2025[[#This Row],[valor_total]]-COMPROMISOS_2025[[#This Row],[total_cancelado]]</f>
        <v>711750</v>
      </c>
      <c r="X746" s="136">
        <f>COMPROMISOS_2025[[#This Row],[total_ordenes]]</f>
        <v>711750</v>
      </c>
      <c r="Y746" t="str" cm="1">
        <f t="array" aca="1" ref="Y746" ca="1">IFERROR(_xlfn.XLOOKUP(COMPROMISOS_2025[[#This Row],[concatenado]],PAA[[#All],[RCP-RUBRO]],PAA[[#All],[Actividad3]],VLOOKUP(COMPROMISOS_2025[[#This Row],[Indicador Principal]],$AC$2:$AD$17,2,0),0),"")</f>
        <v/>
      </c>
    </row>
    <row r="747" spans="1:25" hidden="1" x14ac:dyDescent="0.25">
      <c r="A747">
        <v>2253</v>
      </c>
      <c r="B747" t="s">
        <v>2491</v>
      </c>
      <c r="C747" t="s">
        <v>1936</v>
      </c>
      <c r="D747" t="s">
        <v>3575</v>
      </c>
      <c r="F747">
        <v>405</v>
      </c>
      <c r="G747">
        <v>96</v>
      </c>
      <c r="H747" t="s">
        <v>789</v>
      </c>
      <c r="I747" t="s">
        <v>2257</v>
      </c>
      <c r="J747">
        <v>711750</v>
      </c>
      <c r="K747">
        <v>2025</v>
      </c>
      <c r="L747">
        <v>1013462018</v>
      </c>
      <c r="M747" t="s">
        <v>3628</v>
      </c>
      <c r="N747" t="s">
        <v>1688</v>
      </c>
      <c r="O747" t="s">
        <v>1686</v>
      </c>
      <c r="P747">
        <v>0</v>
      </c>
      <c r="Q747">
        <v>711750</v>
      </c>
      <c r="R747">
        <v>0</v>
      </c>
      <c r="S747">
        <v>0</v>
      </c>
      <c r="T747" t="str">
        <f t="shared" si="22"/>
        <v>22532.43.4302.85.0-101024.2.3.3.08.06.</v>
      </c>
      <c r="U747" t="e" cm="1">
        <f t="array" aca="1" ref="U747" ca="1">+IF(COMPROMISOS_2025[[#This Row],[P]]="20","41080111",_xlfn.XLOOKUP(COMPROMISOS_2025[[#This Row],[concatenado]],PAA[[#All],[RCP-RUBRO]],PAA[[#All],[INDICADOR]],"",0))</f>
        <v>#NAME?</v>
      </c>
      <c r="V747" s="144" t="str">
        <f t="shared" si="23"/>
        <v>85</v>
      </c>
      <c r="W747" s="136">
        <f>+COMPROMISOS_2025[[#This Row],[valor_total]]-COMPROMISOS_2025[[#This Row],[total_cancelado]]</f>
        <v>711750</v>
      </c>
      <c r="X747" s="136">
        <f>COMPROMISOS_2025[[#This Row],[total_ordenes]]</f>
        <v>711750</v>
      </c>
      <c r="Y747" t="str" cm="1">
        <f t="array" aca="1" ref="Y747" ca="1">IFERROR(_xlfn.XLOOKUP(COMPROMISOS_2025[[#This Row],[concatenado]],PAA[[#All],[RCP-RUBRO]],PAA[[#All],[Actividad3]],VLOOKUP(COMPROMISOS_2025[[#This Row],[Indicador Principal]],$AC$2:$AD$17,2,0),0),"")</f>
        <v/>
      </c>
    </row>
    <row r="748" spans="1:25" hidden="1" x14ac:dyDescent="0.25">
      <c r="A748">
        <v>2254</v>
      </c>
      <c r="B748" t="s">
        <v>2491</v>
      </c>
      <c r="C748" t="s">
        <v>1936</v>
      </c>
      <c r="D748" t="s">
        <v>3575</v>
      </c>
      <c r="F748">
        <v>405</v>
      </c>
      <c r="G748">
        <v>96</v>
      </c>
      <c r="H748" t="s">
        <v>789</v>
      </c>
      <c r="I748" t="s">
        <v>2257</v>
      </c>
      <c r="J748">
        <v>711750</v>
      </c>
      <c r="K748">
        <v>2025</v>
      </c>
      <c r="L748">
        <v>1013462498</v>
      </c>
      <c r="M748" t="s">
        <v>3629</v>
      </c>
      <c r="N748" t="s">
        <v>1688</v>
      </c>
      <c r="O748" t="s">
        <v>1686</v>
      </c>
      <c r="P748">
        <v>0</v>
      </c>
      <c r="Q748">
        <v>711750</v>
      </c>
      <c r="R748">
        <v>0</v>
      </c>
      <c r="S748">
        <v>0</v>
      </c>
      <c r="T748" t="str">
        <f t="shared" si="22"/>
        <v>22542.43.4302.85.0-101024.2.3.3.08.06.</v>
      </c>
      <c r="U748" t="e" cm="1">
        <f t="array" aca="1" ref="U748" ca="1">+IF(COMPROMISOS_2025[[#This Row],[P]]="20","41080111",_xlfn.XLOOKUP(COMPROMISOS_2025[[#This Row],[concatenado]],PAA[[#All],[RCP-RUBRO]],PAA[[#All],[INDICADOR]],"",0))</f>
        <v>#NAME?</v>
      </c>
      <c r="V748" s="144" t="str">
        <f t="shared" si="23"/>
        <v>85</v>
      </c>
      <c r="W748" s="136">
        <f>+COMPROMISOS_2025[[#This Row],[valor_total]]-COMPROMISOS_2025[[#This Row],[total_cancelado]]</f>
        <v>711750</v>
      </c>
      <c r="X748" s="136">
        <f>COMPROMISOS_2025[[#This Row],[total_ordenes]]</f>
        <v>711750</v>
      </c>
      <c r="Y748" t="str" cm="1">
        <f t="array" aca="1" ref="Y748" ca="1">IFERROR(_xlfn.XLOOKUP(COMPROMISOS_2025[[#This Row],[concatenado]],PAA[[#All],[RCP-RUBRO]],PAA[[#All],[Actividad3]],VLOOKUP(COMPROMISOS_2025[[#This Row],[Indicador Principal]],$AC$2:$AD$17,2,0),0),"")</f>
        <v/>
      </c>
    </row>
    <row r="749" spans="1:25" hidden="1" x14ac:dyDescent="0.25">
      <c r="A749">
        <v>2256</v>
      </c>
      <c r="B749" t="s">
        <v>2491</v>
      </c>
      <c r="C749" t="s">
        <v>1936</v>
      </c>
      <c r="D749" t="s">
        <v>3575</v>
      </c>
      <c r="F749">
        <v>405</v>
      </c>
      <c r="G749">
        <v>96</v>
      </c>
      <c r="H749" t="s">
        <v>789</v>
      </c>
      <c r="I749" t="s">
        <v>2257</v>
      </c>
      <c r="J749">
        <v>1067625</v>
      </c>
      <c r="K749">
        <v>2025</v>
      </c>
      <c r="L749">
        <v>1014291928</v>
      </c>
      <c r="M749" t="s">
        <v>3630</v>
      </c>
      <c r="N749" t="s">
        <v>1688</v>
      </c>
      <c r="O749" t="s">
        <v>1686</v>
      </c>
      <c r="P749">
        <v>0</v>
      </c>
      <c r="Q749">
        <v>1067625</v>
      </c>
      <c r="R749">
        <v>0</v>
      </c>
      <c r="S749">
        <v>0</v>
      </c>
      <c r="T749" t="str">
        <f t="shared" si="22"/>
        <v>22562.43.4302.85.0-101024.2.3.3.08.06.</v>
      </c>
      <c r="U749" t="e" cm="1">
        <f t="array" aca="1" ref="U749" ca="1">+IF(COMPROMISOS_2025[[#This Row],[P]]="20","41080111",_xlfn.XLOOKUP(COMPROMISOS_2025[[#This Row],[concatenado]],PAA[[#All],[RCP-RUBRO]],PAA[[#All],[INDICADOR]],"",0))</f>
        <v>#NAME?</v>
      </c>
      <c r="V749" s="144" t="str">
        <f t="shared" si="23"/>
        <v>85</v>
      </c>
      <c r="W749" s="136">
        <f>+COMPROMISOS_2025[[#This Row],[valor_total]]-COMPROMISOS_2025[[#This Row],[total_cancelado]]</f>
        <v>1067625</v>
      </c>
      <c r="X749" s="136">
        <f>COMPROMISOS_2025[[#This Row],[total_ordenes]]</f>
        <v>1067625</v>
      </c>
      <c r="Y749" t="str" cm="1">
        <f t="array" aca="1" ref="Y749" ca="1">IFERROR(_xlfn.XLOOKUP(COMPROMISOS_2025[[#This Row],[concatenado]],PAA[[#All],[RCP-RUBRO]],PAA[[#All],[Actividad3]],VLOOKUP(COMPROMISOS_2025[[#This Row],[Indicador Principal]],$AC$2:$AD$17,2,0),0),"")</f>
        <v/>
      </c>
    </row>
    <row r="750" spans="1:25" hidden="1" x14ac:dyDescent="0.25">
      <c r="A750">
        <v>2257</v>
      </c>
      <c r="B750" t="s">
        <v>2491</v>
      </c>
      <c r="C750" t="s">
        <v>1936</v>
      </c>
      <c r="D750" t="s">
        <v>3575</v>
      </c>
      <c r="F750">
        <v>405</v>
      </c>
      <c r="G750">
        <v>96</v>
      </c>
      <c r="H750" t="s">
        <v>789</v>
      </c>
      <c r="I750" t="s">
        <v>2257</v>
      </c>
      <c r="J750">
        <v>711750</v>
      </c>
      <c r="K750">
        <v>2025</v>
      </c>
      <c r="L750">
        <v>1014311666</v>
      </c>
      <c r="M750" t="s">
        <v>3631</v>
      </c>
      <c r="N750" t="s">
        <v>1688</v>
      </c>
      <c r="O750" t="s">
        <v>1686</v>
      </c>
      <c r="P750">
        <v>0</v>
      </c>
      <c r="Q750">
        <v>711750</v>
      </c>
      <c r="R750">
        <v>0</v>
      </c>
      <c r="S750">
        <v>0</v>
      </c>
      <c r="T750" t="str">
        <f t="shared" si="22"/>
        <v>22572.43.4302.85.0-101024.2.3.3.08.06.</v>
      </c>
      <c r="U750" t="e" cm="1">
        <f t="array" aca="1" ref="U750" ca="1">+IF(COMPROMISOS_2025[[#This Row],[P]]="20","41080111",_xlfn.XLOOKUP(COMPROMISOS_2025[[#This Row],[concatenado]],PAA[[#All],[RCP-RUBRO]],PAA[[#All],[INDICADOR]],"",0))</f>
        <v>#NAME?</v>
      </c>
      <c r="V750" s="144" t="str">
        <f t="shared" si="23"/>
        <v>85</v>
      </c>
      <c r="W750" s="136">
        <f>+COMPROMISOS_2025[[#This Row],[valor_total]]-COMPROMISOS_2025[[#This Row],[total_cancelado]]</f>
        <v>711750</v>
      </c>
      <c r="X750" s="136">
        <f>COMPROMISOS_2025[[#This Row],[total_ordenes]]</f>
        <v>711750</v>
      </c>
      <c r="Y750" t="str" cm="1">
        <f t="array" aca="1" ref="Y750" ca="1">IFERROR(_xlfn.XLOOKUP(COMPROMISOS_2025[[#This Row],[concatenado]],PAA[[#All],[RCP-RUBRO]],PAA[[#All],[Actividad3]],VLOOKUP(COMPROMISOS_2025[[#This Row],[Indicador Principal]],$AC$2:$AD$17,2,0),0),"")</f>
        <v/>
      </c>
    </row>
    <row r="751" spans="1:25" hidden="1" x14ac:dyDescent="0.25">
      <c r="A751">
        <v>2258</v>
      </c>
      <c r="B751" t="s">
        <v>2491</v>
      </c>
      <c r="C751" t="s">
        <v>1936</v>
      </c>
      <c r="D751" t="s">
        <v>3575</v>
      </c>
      <c r="F751">
        <v>405</v>
      </c>
      <c r="G751">
        <v>96</v>
      </c>
      <c r="H751" t="s">
        <v>789</v>
      </c>
      <c r="I751" t="s">
        <v>2257</v>
      </c>
      <c r="J751">
        <v>1067625</v>
      </c>
      <c r="K751">
        <v>2025</v>
      </c>
      <c r="L751">
        <v>1015068954</v>
      </c>
      <c r="M751" t="s">
        <v>3632</v>
      </c>
      <c r="N751" t="s">
        <v>1688</v>
      </c>
      <c r="O751" t="s">
        <v>1686</v>
      </c>
      <c r="P751">
        <v>0</v>
      </c>
      <c r="Q751">
        <v>1067625</v>
      </c>
      <c r="R751">
        <v>0</v>
      </c>
      <c r="S751">
        <v>0</v>
      </c>
      <c r="T751" t="str">
        <f t="shared" si="22"/>
        <v>22582.43.4302.85.0-101024.2.3.3.08.06.</v>
      </c>
      <c r="U751" t="e" cm="1">
        <f t="array" aca="1" ref="U751" ca="1">+IF(COMPROMISOS_2025[[#This Row],[P]]="20","41080111",_xlfn.XLOOKUP(COMPROMISOS_2025[[#This Row],[concatenado]],PAA[[#All],[RCP-RUBRO]],PAA[[#All],[INDICADOR]],"",0))</f>
        <v>#NAME?</v>
      </c>
      <c r="V751" s="144" t="str">
        <f t="shared" si="23"/>
        <v>85</v>
      </c>
      <c r="W751" s="136">
        <f>+COMPROMISOS_2025[[#This Row],[valor_total]]-COMPROMISOS_2025[[#This Row],[total_cancelado]]</f>
        <v>1067625</v>
      </c>
      <c r="X751" s="136">
        <f>COMPROMISOS_2025[[#This Row],[total_ordenes]]</f>
        <v>1067625</v>
      </c>
      <c r="Y751" t="str" cm="1">
        <f t="array" aca="1" ref="Y751" ca="1">IFERROR(_xlfn.XLOOKUP(COMPROMISOS_2025[[#This Row],[concatenado]],PAA[[#All],[RCP-RUBRO]],PAA[[#All],[Actividad3]],VLOOKUP(COMPROMISOS_2025[[#This Row],[Indicador Principal]],$AC$2:$AD$17,2,0),0),"")</f>
        <v/>
      </c>
    </row>
    <row r="752" spans="1:25" hidden="1" x14ac:dyDescent="0.25">
      <c r="A752">
        <v>2259</v>
      </c>
      <c r="B752" t="s">
        <v>2491</v>
      </c>
      <c r="C752" t="s">
        <v>1936</v>
      </c>
      <c r="D752" t="s">
        <v>3575</v>
      </c>
      <c r="F752">
        <v>405</v>
      </c>
      <c r="G752">
        <v>96</v>
      </c>
      <c r="H752" t="s">
        <v>789</v>
      </c>
      <c r="I752" t="s">
        <v>2257</v>
      </c>
      <c r="J752">
        <v>711750</v>
      </c>
      <c r="K752">
        <v>2025</v>
      </c>
      <c r="L752">
        <v>1015069797</v>
      </c>
      <c r="M752" t="s">
        <v>3633</v>
      </c>
      <c r="N752" t="s">
        <v>1688</v>
      </c>
      <c r="O752" t="s">
        <v>1686</v>
      </c>
      <c r="P752">
        <v>0</v>
      </c>
      <c r="Q752">
        <v>711750</v>
      </c>
      <c r="R752">
        <v>0</v>
      </c>
      <c r="S752">
        <v>0</v>
      </c>
      <c r="T752" t="str">
        <f t="shared" si="22"/>
        <v>22592.43.4302.85.0-101024.2.3.3.08.06.</v>
      </c>
      <c r="U752" t="e" cm="1">
        <f t="array" aca="1" ref="U752" ca="1">+IF(COMPROMISOS_2025[[#This Row],[P]]="20","41080111",_xlfn.XLOOKUP(COMPROMISOS_2025[[#This Row],[concatenado]],PAA[[#All],[RCP-RUBRO]],PAA[[#All],[INDICADOR]],"",0))</f>
        <v>#NAME?</v>
      </c>
      <c r="V752" s="144" t="str">
        <f t="shared" si="23"/>
        <v>85</v>
      </c>
      <c r="W752" s="136">
        <f>+COMPROMISOS_2025[[#This Row],[valor_total]]-COMPROMISOS_2025[[#This Row],[total_cancelado]]</f>
        <v>711750</v>
      </c>
      <c r="X752" s="136">
        <f>COMPROMISOS_2025[[#This Row],[total_ordenes]]</f>
        <v>711750</v>
      </c>
      <c r="Y752" t="str" cm="1">
        <f t="array" aca="1" ref="Y752" ca="1">IFERROR(_xlfn.XLOOKUP(COMPROMISOS_2025[[#This Row],[concatenado]],PAA[[#All],[RCP-RUBRO]],PAA[[#All],[Actividad3]],VLOOKUP(COMPROMISOS_2025[[#This Row],[Indicador Principal]],$AC$2:$AD$17,2,0),0),"")</f>
        <v/>
      </c>
    </row>
    <row r="753" spans="1:25" hidden="1" x14ac:dyDescent="0.25">
      <c r="A753">
        <v>2261</v>
      </c>
      <c r="B753" t="s">
        <v>2491</v>
      </c>
      <c r="C753" t="s">
        <v>1936</v>
      </c>
      <c r="D753" t="s">
        <v>3575</v>
      </c>
      <c r="F753">
        <v>405</v>
      </c>
      <c r="G753">
        <v>96</v>
      </c>
      <c r="H753" t="s">
        <v>789</v>
      </c>
      <c r="I753" t="s">
        <v>2257</v>
      </c>
      <c r="J753">
        <v>711750</v>
      </c>
      <c r="K753">
        <v>2025</v>
      </c>
      <c r="L753">
        <v>1015074223</v>
      </c>
      <c r="M753" t="s">
        <v>3634</v>
      </c>
      <c r="N753" t="s">
        <v>1688</v>
      </c>
      <c r="O753" t="s">
        <v>1686</v>
      </c>
      <c r="P753">
        <v>0</v>
      </c>
      <c r="Q753">
        <v>711750</v>
      </c>
      <c r="R753">
        <v>0</v>
      </c>
      <c r="S753">
        <v>0</v>
      </c>
      <c r="T753" t="str">
        <f t="shared" si="22"/>
        <v>22612.43.4302.85.0-101024.2.3.3.08.06.</v>
      </c>
      <c r="U753" t="e" cm="1">
        <f t="array" aca="1" ref="U753" ca="1">+IF(COMPROMISOS_2025[[#This Row],[P]]="20","41080111",_xlfn.XLOOKUP(COMPROMISOS_2025[[#This Row],[concatenado]],PAA[[#All],[RCP-RUBRO]],PAA[[#All],[INDICADOR]],"",0))</f>
        <v>#NAME?</v>
      </c>
      <c r="V753" s="144" t="str">
        <f t="shared" si="23"/>
        <v>85</v>
      </c>
      <c r="W753" s="136">
        <f>+COMPROMISOS_2025[[#This Row],[valor_total]]-COMPROMISOS_2025[[#This Row],[total_cancelado]]</f>
        <v>711750</v>
      </c>
      <c r="X753" s="136">
        <f>COMPROMISOS_2025[[#This Row],[total_ordenes]]</f>
        <v>711750</v>
      </c>
      <c r="Y753" t="str" cm="1">
        <f t="array" aca="1" ref="Y753" ca="1">IFERROR(_xlfn.XLOOKUP(COMPROMISOS_2025[[#This Row],[concatenado]],PAA[[#All],[RCP-RUBRO]],PAA[[#All],[Actividad3]],VLOOKUP(COMPROMISOS_2025[[#This Row],[Indicador Principal]],$AC$2:$AD$17,2,0),0),"")</f>
        <v/>
      </c>
    </row>
    <row r="754" spans="1:25" hidden="1" x14ac:dyDescent="0.25">
      <c r="A754">
        <v>2262</v>
      </c>
      <c r="B754" t="s">
        <v>2491</v>
      </c>
      <c r="C754" t="s">
        <v>1936</v>
      </c>
      <c r="D754" t="s">
        <v>3575</v>
      </c>
      <c r="F754">
        <v>405</v>
      </c>
      <c r="G754">
        <v>96</v>
      </c>
      <c r="H754" t="s">
        <v>789</v>
      </c>
      <c r="I754" t="s">
        <v>2257</v>
      </c>
      <c r="J754">
        <v>1067625</v>
      </c>
      <c r="K754">
        <v>2025</v>
      </c>
      <c r="L754">
        <v>1015075616</v>
      </c>
      <c r="M754" t="s">
        <v>3635</v>
      </c>
      <c r="N754" t="s">
        <v>1688</v>
      </c>
      <c r="O754" t="s">
        <v>1686</v>
      </c>
      <c r="P754">
        <v>0</v>
      </c>
      <c r="Q754">
        <v>1067625</v>
      </c>
      <c r="R754">
        <v>0</v>
      </c>
      <c r="S754">
        <v>0</v>
      </c>
      <c r="T754" t="str">
        <f t="shared" si="22"/>
        <v>22622.43.4302.85.0-101024.2.3.3.08.06.</v>
      </c>
      <c r="U754" t="e" cm="1">
        <f t="array" aca="1" ref="U754" ca="1">+IF(COMPROMISOS_2025[[#This Row],[P]]="20","41080111",_xlfn.XLOOKUP(COMPROMISOS_2025[[#This Row],[concatenado]],PAA[[#All],[RCP-RUBRO]],PAA[[#All],[INDICADOR]],"",0))</f>
        <v>#NAME?</v>
      </c>
      <c r="V754" s="144" t="str">
        <f t="shared" si="23"/>
        <v>85</v>
      </c>
      <c r="W754" s="136">
        <f>+COMPROMISOS_2025[[#This Row],[valor_total]]-COMPROMISOS_2025[[#This Row],[total_cancelado]]</f>
        <v>1067625</v>
      </c>
      <c r="X754" s="136">
        <f>COMPROMISOS_2025[[#This Row],[total_ordenes]]</f>
        <v>1067625</v>
      </c>
      <c r="Y754" t="str" cm="1">
        <f t="array" aca="1" ref="Y754" ca="1">IFERROR(_xlfn.XLOOKUP(COMPROMISOS_2025[[#This Row],[concatenado]],PAA[[#All],[RCP-RUBRO]],PAA[[#All],[Actividad3]],VLOOKUP(COMPROMISOS_2025[[#This Row],[Indicador Principal]],$AC$2:$AD$17,2,0),0),"")</f>
        <v/>
      </c>
    </row>
    <row r="755" spans="1:25" hidden="1" x14ac:dyDescent="0.25">
      <c r="A755">
        <v>2263</v>
      </c>
      <c r="B755" t="s">
        <v>2491</v>
      </c>
      <c r="C755" t="s">
        <v>1936</v>
      </c>
      <c r="D755" t="s">
        <v>3575</v>
      </c>
      <c r="F755">
        <v>405</v>
      </c>
      <c r="G755">
        <v>96</v>
      </c>
      <c r="H755" t="s">
        <v>789</v>
      </c>
      <c r="I755" t="s">
        <v>2257</v>
      </c>
      <c r="J755">
        <v>711750</v>
      </c>
      <c r="K755">
        <v>2025</v>
      </c>
      <c r="L755">
        <v>1015186603</v>
      </c>
      <c r="M755" t="s">
        <v>3636</v>
      </c>
      <c r="N755" t="s">
        <v>1688</v>
      </c>
      <c r="O755" t="s">
        <v>1686</v>
      </c>
      <c r="P755">
        <v>0</v>
      </c>
      <c r="Q755">
        <v>711750</v>
      </c>
      <c r="R755">
        <v>0</v>
      </c>
      <c r="S755">
        <v>0</v>
      </c>
      <c r="T755" t="str">
        <f t="shared" si="22"/>
        <v>22632.43.4302.85.0-101024.2.3.3.08.06.</v>
      </c>
      <c r="U755" t="e" cm="1">
        <f t="array" aca="1" ref="U755" ca="1">+IF(COMPROMISOS_2025[[#This Row],[P]]="20","41080111",_xlfn.XLOOKUP(COMPROMISOS_2025[[#This Row],[concatenado]],PAA[[#All],[RCP-RUBRO]],PAA[[#All],[INDICADOR]],"",0))</f>
        <v>#NAME?</v>
      </c>
      <c r="V755" s="144" t="str">
        <f t="shared" si="23"/>
        <v>85</v>
      </c>
      <c r="W755" s="136">
        <f>+COMPROMISOS_2025[[#This Row],[valor_total]]-COMPROMISOS_2025[[#This Row],[total_cancelado]]</f>
        <v>711750</v>
      </c>
      <c r="X755" s="136">
        <f>COMPROMISOS_2025[[#This Row],[total_ordenes]]</f>
        <v>711750</v>
      </c>
      <c r="Y755" t="str" cm="1">
        <f t="array" aca="1" ref="Y755" ca="1">IFERROR(_xlfn.XLOOKUP(COMPROMISOS_2025[[#This Row],[concatenado]],PAA[[#All],[RCP-RUBRO]],PAA[[#All],[Actividad3]],VLOOKUP(COMPROMISOS_2025[[#This Row],[Indicador Principal]],$AC$2:$AD$17,2,0),0),"")</f>
        <v/>
      </c>
    </row>
    <row r="756" spans="1:25" hidden="1" x14ac:dyDescent="0.25">
      <c r="A756">
        <v>2269</v>
      </c>
      <c r="B756" t="s">
        <v>2491</v>
      </c>
      <c r="C756" t="s">
        <v>1936</v>
      </c>
      <c r="D756" t="s">
        <v>3575</v>
      </c>
      <c r="F756">
        <v>405</v>
      </c>
      <c r="G756">
        <v>96</v>
      </c>
      <c r="H756" t="s">
        <v>789</v>
      </c>
      <c r="I756" t="s">
        <v>2257</v>
      </c>
      <c r="J756">
        <v>2847000</v>
      </c>
      <c r="K756">
        <v>2025</v>
      </c>
      <c r="L756">
        <v>1017176363</v>
      </c>
      <c r="M756" t="s">
        <v>3637</v>
      </c>
      <c r="N756" t="s">
        <v>1688</v>
      </c>
      <c r="O756" t="s">
        <v>1686</v>
      </c>
      <c r="P756">
        <v>0</v>
      </c>
      <c r="Q756">
        <v>2847000</v>
      </c>
      <c r="R756">
        <v>0</v>
      </c>
      <c r="S756">
        <v>0</v>
      </c>
      <c r="T756" t="str">
        <f t="shared" si="22"/>
        <v>22692.43.4302.85.0-101024.2.3.3.08.06.</v>
      </c>
      <c r="U756" t="e" cm="1">
        <f t="array" aca="1" ref="U756" ca="1">+IF(COMPROMISOS_2025[[#This Row],[P]]="20","41080111",_xlfn.XLOOKUP(COMPROMISOS_2025[[#This Row],[concatenado]],PAA[[#All],[RCP-RUBRO]],PAA[[#All],[INDICADOR]],"",0))</f>
        <v>#NAME?</v>
      </c>
      <c r="V756" s="144" t="str">
        <f t="shared" si="23"/>
        <v>85</v>
      </c>
      <c r="W756" s="136">
        <f>+COMPROMISOS_2025[[#This Row],[valor_total]]-COMPROMISOS_2025[[#This Row],[total_cancelado]]</f>
        <v>2847000</v>
      </c>
      <c r="X756" s="136">
        <f>COMPROMISOS_2025[[#This Row],[total_ordenes]]</f>
        <v>2847000</v>
      </c>
      <c r="Y756" t="str" cm="1">
        <f t="array" aca="1" ref="Y756" ca="1">IFERROR(_xlfn.XLOOKUP(COMPROMISOS_2025[[#This Row],[concatenado]],PAA[[#All],[RCP-RUBRO]],PAA[[#All],[Actividad3]],VLOOKUP(COMPROMISOS_2025[[#This Row],[Indicador Principal]],$AC$2:$AD$17,2,0),0),"")</f>
        <v/>
      </c>
    </row>
    <row r="757" spans="1:25" hidden="1" x14ac:dyDescent="0.25">
      <c r="A757">
        <v>2274</v>
      </c>
      <c r="B757" t="s">
        <v>2491</v>
      </c>
      <c r="C757" t="s">
        <v>1936</v>
      </c>
      <c r="D757" t="s">
        <v>3575</v>
      </c>
      <c r="F757">
        <v>405</v>
      </c>
      <c r="G757">
        <v>96</v>
      </c>
      <c r="H757" t="s">
        <v>789</v>
      </c>
      <c r="I757" t="s">
        <v>2257</v>
      </c>
      <c r="J757">
        <v>1423500</v>
      </c>
      <c r="K757">
        <v>2025</v>
      </c>
      <c r="L757">
        <v>1017217982</v>
      </c>
      <c r="M757" t="s">
        <v>3638</v>
      </c>
      <c r="N757" t="s">
        <v>1688</v>
      </c>
      <c r="O757" t="s">
        <v>1686</v>
      </c>
      <c r="P757">
        <v>0</v>
      </c>
      <c r="Q757">
        <v>1423500</v>
      </c>
      <c r="R757">
        <v>0</v>
      </c>
      <c r="S757">
        <v>0</v>
      </c>
      <c r="T757" t="str">
        <f t="shared" si="22"/>
        <v>22742.43.4302.85.0-101024.2.3.3.08.06.</v>
      </c>
      <c r="U757" t="e" cm="1">
        <f t="array" aca="1" ref="U757" ca="1">+IF(COMPROMISOS_2025[[#This Row],[P]]="20","41080111",_xlfn.XLOOKUP(COMPROMISOS_2025[[#This Row],[concatenado]],PAA[[#All],[RCP-RUBRO]],PAA[[#All],[INDICADOR]],"",0))</f>
        <v>#NAME?</v>
      </c>
      <c r="V757" s="144" t="str">
        <f t="shared" si="23"/>
        <v>85</v>
      </c>
      <c r="W757" s="136">
        <f>+COMPROMISOS_2025[[#This Row],[valor_total]]-COMPROMISOS_2025[[#This Row],[total_cancelado]]</f>
        <v>1423500</v>
      </c>
      <c r="X757" s="136">
        <f>COMPROMISOS_2025[[#This Row],[total_ordenes]]</f>
        <v>1423500</v>
      </c>
      <c r="Y757" t="str" cm="1">
        <f t="array" aca="1" ref="Y757" ca="1">IFERROR(_xlfn.XLOOKUP(COMPROMISOS_2025[[#This Row],[concatenado]],PAA[[#All],[RCP-RUBRO]],PAA[[#All],[Actividad3]],VLOOKUP(COMPROMISOS_2025[[#This Row],[Indicador Principal]],$AC$2:$AD$17,2,0),0),"")</f>
        <v/>
      </c>
    </row>
    <row r="758" spans="1:25" hidden="1" x14ac:dyDescent="0.25">
      <c r="A758">
        <v>2275</v>
      </c>
      <c r="B758" t="s">
        <v>2491</v>
      </c>
      <c r="C758" t="s">
        <v>1936</v>
      </c>
      <c r="D758" t="s">
        <v>3575</v>
      </c>
      <c r="F758">
        <v>405</v>
      </c>
      <c r="G758">
        <v>96</v>
      </c>
      <c r="H758" t="s">
        <v>789</v>
      </c>
      <c r="I758" t="s">
        <v>2257</v>
      </c>
      <c r="J758">
        <v>1423500</v>
      </c>
      <c r="K758">
        <v>2025</v>
      </c>
      <c r="L758">
        <v>1017220010</v>
      </c>
      <c r="M758" t="s">
        <v>3639</v>
      </c>
      <c r="N758" t="s">
        <v>1688</v>
      </c>
      <c r="O758" t="s">
        <v>1686</v>
      </c>
      <c r="P758">
        <v>0</v>
      </c>
      <c r="Q758">
        <v>1423500</v>
      </c>
      <c r="R758">
        <v>0</v>
      </c>
      <c r="S758">
        <v>0</v>
      </c>
      <c r="T758" t="str">
        <f t="shared" si="22"/>
        <v>22752.43.4302.85.0-101024.2.3.3.08.06.</v>
      </c>
      <c r="U758" t="e" cm="1">
        <f t="array" aca="1" ref="U758" ca="1">+IF(COMPROMISOS_2025[[#This Row],[P]]="20","41080111",_xlfn.XLOOKUP(COMPROMISOS_2025[[#This Row],[concatenado]],PAA[[#All],[RCP-RUBRO]],PAA[[#All],[INDICADOR]],"",0))</f>
        <v>#NAME?</v>
      </c>
      <c r="V758" s="144" t="str">
        <f t="shared" si="23"/>
        <v>85</v>
      </c>
      <c r="W758" s="136">
        <f>+COMPROMISOS_2025[[#This Row],[valor_total]]-COMPROMISOS_2025[[#This Row],[total_cancelado]]</f>
        <v>1423500</v>
      </c>
      <c r="X758" s="136">
        <f>COMPROMISOS_2025[[#This Row],[total_ordenes]]</f>
        <v>1423500</v>
      </c>
      <c r="Y758" t="str" cm="1">
        <f t="array" aca="1" ref="Y758" ca="1">IFERROR(_xlfn.XLOOKUP(COMPROMISOS_2025[[#This Row],[concatenado]],PAA[[#All],[RCP-RUBRO]],PAA[[#All],[Actividad3]],VLOOKUP(COMPROMISOS_2025[[#This Row],[Indicador Principal]],$AC$2:$AD$17,2,0),0),"")</f>
        <v/>
      </c>
    </row>
    <row r="759" spans="1:25" hidden="1" x14ac:dyDescent="0.25">
      <c r="A759">
        <v>2277</v>
      </c>
      <c r="B759" t="s">
        <v>2491</v>
      </c>
      <c r="C759" t="s">
        <v>1936</v>
      </c>
      <c r="D759" t="s">
        <v>3575</v>
      </c>
      <c r="F759">
        <v>405</v>
      </c>
      <c r="G759">
        <v>96</v>
      </c>
      <c r="H759" t="s">
        <v>789</v>
      </c>
      <c r="I759" t="s">
        <v>2257</v>
      </c>
      <c r="J759">
        <v>711750</v>
      </c>
      <c r="K759">
        <v>2025</v>
      </c>
      <c r="L759">
        <v>1017227707</v>
      </c>
      <c r="M759" t="s">
        <v>3640</v>
      </c>
      <c r="N759" t="s">
        <v>1688</v>
      </c>
      <c r="O759" t="s">
        <v>1686</v>
      </c>
      <c r="P759">
        <v>0</v>
      </c>
      <c r="Q759">
        <v>711750</v>
      </c>
      <c r="R759">
        <v>0</v>
      </c>
      <c r="S759">
        <v>0</v>
      </c>
      <c r="T759" t="str">
        <f t="shared" si="22"/>
        <v>22772.43.4302.85.0-101024.2.3.3.08.06.</v>
      </c>
      <c r="U759" t="e" cm="1">
        <f t="array" aca="1" ref="U759" ca="1">+IF(COMPROMISOS_2025[[#This Row],[P]]="20","41080111",_xlfn.XLOOKUP(COMPROMISOS_2025[[#This Row],[concatenado]],PAA[[#All],[RCP-RUBRO]],PAA[[#All],[INDICADOR]],"",0))</f>
        <v>#NAME?</v>
      </c>
      <c r="V759" s="144" t="str">
        <f t="shared" si="23"/>
        <v>85</v>
      </c>
      <c r="W759" s="136">
        <f>+COMPROMISOS_2025[[#This Row],[valor_total]]-COMPROMISOS_2025[[#This Row],[total_cancelado]]</f>
        <v>711750</v>
      </c>
      <c r="X759" s="136">
        <f>COMPROMISOS_2025[[#This Row],[total_ordenes]]</f>
        <v>711750</v>
      </c>
      <c r="Y759" t="str" cm="1">
        <f t="array" aca="1" ref="Y759" ca="1">IFERROR(_xlfn.XLOOKUP(COMPROMISOS_2025[[#This Row],[concatenado]],PAA[[#All],[RCP-RUBRO]],PAA[[#All],[Actividad3]],VLOOKUP(COMPROMISOS_2025[[#This Row],[Indicador Principal]],$AC$2:$AD$17,2,0),0),"")</f>
        <v/>
      </c>
    </row>
    <row r="760" spans="1:25" hidden="1" x14ac:dyDescent="0.25">
      <c r="A760">
        <v>2280</v>
      </c>
      <c r="B760" t="s">
        <v>2491</v>
      </c>
      <c r="C760" t="s">
        <v>1936</v>
      </c>
      <c r="D760" t="s">
        <v>3575</v>
      </c>
      <c r="F760">
        <v>405</v>
      </c>
      <c r="G760">
        <v>96</v>
      </c>
      <c r="H760" t="s">
        <v>789</v>
      </c>
      <c r="I760" t="s">
        <v>2257</v>
      </c>
      <c r="J760">
        <v>1423500</v>
      </c>
      <c r="K760">
        <v>2025</v>
      </c>
      <c r="L760">
        <v>1017235896</v>
      </c>
      <c r="M760" t="s">
        <v>3641</v>
      </c>
      <c r="N760" t="s">
        <v>1688</v>
      </c>
      <c r="O760" t="s">
        <v>1686</v>
      </c>
      <c r="P760">
        <v>0</v>
      </c>
      <c r="Q760">
        <v>1423500</v>
      </c>
      <c r="R760">
        <v>0</v>
      </c>
      <c r="S760">
        <v>0</v>
      </c>
      <c r="T760" t="str">
        <f t="shared" si="22"/>
        <v>22802.43.4302.85.0-101024.2.3.3.08.06.</v>
      </c>
      <c r="U760" t="e" cm="1">
        <f t="array" aca="1" ref="U760" ca="1">+IF(COMPROMISOS_2025[[#This Row],[P]]="20","41080111",_xlfn.XLOOKUP(COMPROMISOS_2025[[#This Row],[concatenado]],PAA[[#All],[RCP-RUBRO]],PAA[[#All],[INDICADOR]],"",0))</f>
        <v>#NAME?</v>
      </c>
      <c r="V760" s="144" t="str">
        <f t="shared" si="23"/>
        <v>85</v>
      </c>
      <c r="W760" s="136">
        <f>+COMPROMISOS_2025[[#This Row],[valor_total]]-COMPROMISOS_2025[[#This Row],[total_cancelado]]</f>
        <v>1423500</v>
      </c>
      <c r="X760" s="136">
        <f>COMPROMISOS_2025[[#This Row],[total_ordenes]]</f>
        <v>1423500</v>
      </c>
      <c r="Y760" t="str" cm="1">
        <f t="array" aca="1" ref="Y760" ca="1">IFERROR(_xlfn.XLOOKUP(COMPROMISOS_2025[[#This Row],[concatenado]],PAA[[#All],[RCP-RUBRO]],PAA[[#All],[Actividad3]],VLOOKUP(COMPROMISOS_2025[[#This Row],[Indicador Principal]],$AC$2:$AD$17,2,0),0),"")</f>
        <v/>
      </c>
    </row>
    <row r="761" spans="1:25" hidden="1" x14ac:dyDescent="0.25">
      <c r="A761">
        <v>2282</v>
      </c>
      <c r="B761" t="s">
        <v>2491</v>
      </c>
      <c r="C761" t="s">
        <v>1936</v>
      </c>
      <c r="D761" t="s">
        <v>3575</v>
      </c>
      <c r="F761">
        <v>405</v>
      </c>
      <c r="G761">
        <v>96</v>
      </c>
      <c r="H761" t="s">
        <v>789</v>
      </c>
      <c r="I761" t="s">
        <v>2257</v>
      </c>
      <c r="J761">
        <v>1067625</v>
      </c>
      <c r="K761">
        <v>2025</v>
      </c>
      <c r="L761">
        <v>1017243459</v>
      </c>
      <c r="M761" t="s">
        <v>3642</v>
      </c>
      <c r="N761" t="s">
        <v>1688</v>
      </c>
      <c r="O761" t="s">
        <v>1686</v>
      </c>
      <c r="P761">
        <v>0</v>
      </c>
      <c r="Q761">
        <v>1067625</v>
      </c>
      <c r="R761">
        <v>0</v>
      </c>
      <c r="S761">
        <v>0</v>
      </c>
      <c r="T761" t="str">
        <f t="shared" si="22"/>
        <v>22822.43.4302.85.0-101024.2.3.3.08.06.</v>
      </c>
      <c r="U761" t="e" cm="1">
        <f t="array" aca="1" ref="U761" ca="1">+IF(COMPROMISOS_2025[[#This Row],[P]]="20","41080111",_xlfn.XLOOKUP(COMPROMISOS_2025[[#This Row],[concatenado]],PAA[[#All],[RCP-RUBRO]],PAA[[#All],[INDICADOR]],"",0))</f>
        <v>#NAME?</v>
      </c>
      <c r="V761" s="144" t="str">
        <f t="shared" si="23"/>
        <v>85</v>
      </c>
      <c r="W761" s="136">
        <f>+COMPROMISOS_2025[[#This Row],[valor_total]]-COMPROMISOS_2025[[#This Row],[total_cancelado]]</f>
        <v>1067625</v>
      </c>
      <c r="X761" s="136">
        <f>COMPROMISOS_2025[[#This Row],[total_ordenes]]</f>
        <v>1067625</v>
      </c>
      <c r="Y761" t="str" cm="1">
        <f t="array" aca="1" ref="Y761" ca="1">IFERROR(_xlfn.XLOOKUP(COMPROMISOS_2025[[#This Row],[concatenado]],PAA[[#All],[RCP-RUBRO]],PAA[[#All],[Actividad3]],VLOOKUP(COMPROMISOS_2025[[#This Row],[Indicador Principal]],$AC$2:$AD$17,2,0),0),"")</f>
        <v/>
      </c>
    </row>
    <row r="762" spans="1:25" hidden="1" x14ac:dyDescent="0.25">
      <c r="A762">
        <v>2287</v>
      </c>
      <c r="B762" t="s">
        <v>2491</v>
      </c>
      <c r="C762" t="s">
        <v>1936</v>
      </c>
      <c r="D762" t="s">
        <v>3575</v>
      </c>
      <c r="F762">
        <v>405</v>
      </c>
      <c r="G762">
        <v>96</v>
      </c>
      <c r="H762" t="s">
        <v>789</v>
      </c>
      <c r="I762" t="s">
        <v>2257</v>
      </c>
      <c r="J762">
        <v>1423500</v>
      </c>
      <c r="K762">
        <v>2025</v>
      </c>
      <c r="L762">
        <v>1017263035</v>
      </c>
      <c r="M762" t="s">
        <v>3643</v>
      </c>
      <c r="N762" t="s">
        <v>1688</v>
      </c>
      <c r="O762" t="s">
        <v>1686</v>
      </c>
      <c r="P762">
        <v>0</v>
      </c>
      <c r="Q762">
        <v>1423500</v>
      </c>
      <c r="R762">
        <v>0</v>
      </c>
      <c r="S762">
        <v>0</v>
      </c>
      <c r="T762" t="str">
        <f t="shared" si="22"/>
        <v>22872.43.4302.85.0-101024.2.3.3.08.06.</v>
      </c>
      <c r="U762" t="e" cm="1">
        <f t="array" aca="1" ref="U762" ca="1">+IF(COMPROMISOS_2025[[#This Row],[P]]="20","41080111",_xlfn.XLOOKUP(COMPROMISOS_2025[[#This Row],[concatenado]],PAA[[#All],[RCP-RUBRO]],PAA[[#All],[INDICADOR]],"",0))</f>
        <v>#NAME?</v>
      </c>
      <c r="V762" s="144" t="str">
        <f t="shared" si="23"/>
        <v>85</v>
      </c>
      <c r="W762" s="136">
        <f>+COMPROMISOS_2025[[#This Row],[valor_total]]-COMPROMISOS_2025[[#This Row],[total_cancelado]]</f>
        <v>1423500</v>
      </c>
      <c r="X762" s="136">
        <f>COMPROMISOS_2025[[#This Row],[total_ordenes]]</f>
        <v>1423500</v>
      </c>
      <c r="Y762" t="str" cm="1">
        <f t="array" aca="1" ref="Y762" ca="1">IFERROR(_xlfn.XLOOKUP(COMPROMISOS_2025[[#This Row],[concatenado]],PAA[[#All],[RCP-RUBRO]],PAA[[#All],[Actividad3]],VLOOKUP(COMPROMISOS_2025[[#This Row],[Indicador Principal]],$AC$2:$AD$17,2,0),0),"")</f>
        <v/>
      </c>
    </row>
    <row r="763" spans="1:25" hidden="1" x14ac:dyDescent="0.25">
      <c r="A763">
        <v>2288</v>
      </c>
      <c r="B763" t="s">
        <v>2491</v>
      </c>
      <c r="C763" t="s">
        <v>1936</v>
      </c>
      <c r="D763" t="s">
        <v>3575</v>
      </c>
      <c r="F763">
        <v>405</v>
      </c>
      <c r="G763">
        <v>96</v>
      </c>
      <c r="H763" t="s">
        <v>789</v>
      </c>
      <c r="I763" t="s">
        <v>2257</v>
      </c>
      <c r="J763">
        <v>1423500</v>
      </c>
      <c r="K763">
        <v>2025</v>
      </c>
      <c r="L763">
        <v>1017265361</v>
      </c>
      <c r="M763" t="s">
        <v>3644</v>
      </c>
      <c r="N763" t="s">
        <v>1688</v>
      </c>
      <c r="O763" t="s">
        <v>1686</v>
      </c>
      <c r="P763">
        <v>0</v>
      </c>
      <c r="Q763">
        <v>1423500</v>
      </c>
      <c r="R763">
        <v>0</v>
      </c>
      <c r="S763">
        <v>0</v>
      </c>
      <c r="T763" t="str">
        <f t="shared" si="22"/>
        <v>22882.43.4302.85.0-101024.2.3.3.08.06.</v>
      </c>
      <c r="U763" t="e" cm="1">
        <f t="array" aca="1" ref="U763" ca="1">+IF(COMPROMISOS_2025[[#This Row],[P]]="20","41080111",_xlfn.XLOOKUP(COMPROMISOS_2025[[#This Row],[concatenado]],PAA[[#All],[RCP-RUBRO]],PAA[[#All],[INDICADOR]],"",0))</f>
        <v>#NAME?</v>
      </c>
      <c r="V763" s="144" t="str">
        <f t="shared" si="23"/>
        <v>85</v>
      </c>
      <c r="W763" s="136">
        <f>+COMPROMISOS_2025[[#This Row],[valor_total]]-COMPROMISOS_2025[[#This Row],[total_cancelado]]</f>
        <v>1423500</v>
      </c>
      <c r="X763" s="136">
        <f>COMPROMISOS_2025[[#This Row],[total_ordenes]]</f>
        <v>1423500</v>
      </c>
      <c r="Y763" t="str" cm="1">
        <f t="array" aca="1" ref="Y763" ca="1">IFERROR(_xlfn.XLOOKUP(COMPROMISOS_2025[[#This Row],[concatenado]],PAA[[#All],[RCP-RUBRO]],PAA[[#All],[Actividad3]],VLOOKUP(COMPROMISOS_2025[[#This Row],[Indicador Principal]],$AC$2:$AD$17,2,0),0),"")</f>
        <v/>
      </c>
    </row>
    <row r="764" spans="1:25" hidden="1" x14ac:dyDescent="0.25">
      <c r="A764">
        <v>2294</v>
      </c>
      <c r="B764" t="s">
        <v>2491</v>
      </c>
      <c r="C764" t="s">
        <v>1936</v>
      </c>
      <c r="D764" t="s">
        <v>3575</v>
      </c>
      <c r="F764">
        <v>405</v>
      </c>
      <c r="G764">
        <v>96</v>
      </c>
      <c r="H764" t="s">
        <v>789</v>
      </c>
      <c r="I764" t="s">
        <v>2257</v>
      </c>
      <c r="J764">
        <v>1067625</v>
      </c>
      <c r="K764">
        <v>2025</v>
      </c>
      <c r="L764">
        <v>1017922512</v>
      </c>
      <c r="M764" t="s">
        <v>3645</v>
      </c>
      <c r="N764" t="s">
        <v>1688</v>
      </c>
      <c r="O764" t="s">
        <v>1686</v>
      </c>
      <c r="P764">
        <v>0</v>
      </c>
      <c r="Q764">
        <v>1067625</v>
      </c>
      <c r="R764">
        <v>0</v>
      </c>
      <c r="S764">
        <v>0</v>
      </c>
      <c r="T764" t="str">
        <f t="shared" si="22"/>
        <v>22942.43.4302.85.0-101024.2.3.3.08.06.</v>
      </c>
      <c r="U764" t="e" cm="1">
        <f t="array" aca="1" ref="U764" ca="1">+IF(COMPROMISOS_2025[[#This Row],[P]]="20","41080111",_xlfn.XLOOKUP(COMPROMISOS_2025[[#This Row],[concatenado]],PAA[[#All],[RCP-RUBRO]],PAA[[#All],[INDICADOR]],"",0))</f>
        <v>#NAME?</v>
      </c>
      <c r="V764" s="144" t="str">
        <f t="shared" si="23"/>
        <v>85</v>
      </c>
      <c r="W764" s="136">
        <f>+COMPROMISOS_2025[[#This Row],[valor_total]]-COMPROMISOS_2025[[#This Row],[total_cancelado]]</f>
        <v>1067625</v>
      </c>
      <c r="X764" s="136">
        <f>COMPROMISOS_2025[[#This Row],[total_ordenes]]</f>
        <v>1067625</v>
      </c>
      <c r="Y764" t="str" cm="1">
        <f t="array" aca="1" ref="Y764" ca="1">IFERROR(_xlfn.XLOOKUP(COMPROMISOS_2025[[#This Row],[concatenado]],PAA[[#All],[RCP-RUBRO]],PAA[[#All],[Actividad3]],VLOOKUP(COMPROMISOS_2025[[#This Row],[Indicador Principal]],$AC$2:$AD$17,2,0),0),"")</f>
        <v/>
      </c>
    </row>
    <row r="765" spans="1:25" hidden="1" x14ac:dyDescent="0.25">
      <c r="A765">
        <v>2297</v>
      </c>
      <c r="B765" t="s">
        <v>2491</v>
      </c>
      <c r="C765" t="s">
        <v>1936</v>
      </c>
      <c r="D765" t="s">
        <v>3575</v>
      </c>
      <c r="F765">
        <v>405</v>
      </c>
      <c r="G765">
        <v>96</v>
      </c>
      <c r="H765" t="s">
        <v>789</v>
      </c>
      <c r="I765" t="s">
        <v>2257</v>
      </c>
      <c r="J765">
        <v>711750</v>
      </c>
      <c r="K765">
        <v>2025</v>
      </c>
      <c r="L765">
        <v>1017926694</v>
      </c>
      <c r="M765" t="s">
        <v>3646</v>
      </c>
      <c r="N765" t="s">
        <v>1688</v>
      </c>
      <c r="O765" t="s">
        <v>1686</v>
      </c>
      <c r="P765">
        <v>0</v>
      </c>
      <c r="Q765">
        <v>711750</v>
      </c>
      <c r="R765">
        <v>0</v>
      </c>
      <c r="S765">
        <v>0</v>
      </c>
      <c r="T765" t="str">
        <f t="shared" si="22"/>
        <v>22972.43.4302.85.0-101024.2.3.3.08.06.</v>
      </c>
      <c r="U765" t="e" cm="1">
        <f t="array" aca="1" ref="U765" ca="1">+IF(COMPROMISOS_2025[[#This Row],[P]]="20","41080111",_xlfn.XLOOKUP(COMPROMISOS_2025[[#This Row],[concatenado]],PAA[[#All],[RCP-RUBRO]],PAA[[#All],[INDICADOR]],"",0))</f>
        <v>#NAME?</v>
      </c>
      <c r="V765" s="144" t="str">
        <f t="shared" si="23"/>
        <v>85</v>
      </c>
      <c r="W765" s="136">
        <f>+COMPROMISOS_2025[[#This Row],[valor_total]]-COMPROMISOS_2025[[#This Row],[total_cancelado]]</f>
        <v>711750</v>
      </c>
      <c r="X765" s="136">
        <f>COMPROMISOS_2025[[#This Row],[total_ordenes]]</f>
        <v>711750</v>
      </c>
      <c r="Y765" t="str" cm="1">
        <f t="array" aca="1" ref="Y765" ca="1">IFERROR(_xlfn.XLOOKUP(COMPROMISOS_2025[[#This Row],[concatenado]],PAA[[#All],[RCP-RUBRO]],PAA[[#All],[Actividad3]],VLOOKUP(COMPROMISOS_2025[[#This Row],[Indicador Principal]],$AC$2:$AD$17,2,0),0),"")</f>
        <v/>
      </c>
    </row>
    <row r="766" spans="1:25" hidden="1" x14ac:dyDescent="0.25">
      <c r="A766">
        <v>2298</v>
      </c>
      <c r="B766" t="s">
        <v>2491</v>
      </c>
      <c r="C766" t="s">
        <v>1936</v>
      </c>
      <c r="D766" t="s">
        <v>3575</v>
      </c>
      <c r="F766">
        <v>405</v>
      </c>
      <c r="G766">
        <v>96</v>
      </c>
      <c r="H766" t="s">
        <v>789</v>
      </c>
      <c r="I766" t="s">
        <v>2257</v>
      </c>
      <c r="J766">
        <v>711750</v>
      </c>
      <c r="K766">
        <v>2025</v>
      </c>
      <c r="L766">
        <v>1017927385</v>
      </c>
      <c r="M766" t="s">
        <v>3647</v>
      </c>
      <c r="N766" t="s">
        <v>1688</v>
      </c>
      <c r="O766" t="s">
        <v>1686</v>
      </c>
      <c r="P766">
        <v>0</v>
      </c>
      <c r="Q766">
        <v>711750</v>
      </c>
      <c r="R766">
        <v>0</v>
      </c>
      <c r="S766">
        <v>0</v>
      </c>
      <c r="T766" t="str">
        <f t="shared" si="22"/>
        <v>22982.43.4302.85.0-101024.2.3.3.08.06.</v>
      </c>
      <c r="U766" t="e" cm="1">
        <f t="array" aca="1" ref="U766" ca="1">+IF(COMPROMISOS_2025[[#This Row],[P]]="20","41080111",_xlfn.XLOOKUP(COMPROMISOS_2025[[#This Row],[concatenado]],PAA[[#All],[RCP-RUBRO]],PAA[[#All],[INDICADOR]],"",0))</f>
        <v>#NAME?</v>
      </c>
      <c r="V766" s="144" t="str">
        <f t="shared" si="23"/>
        <v>85</v>
      </c>
      <c r="W766" s="136">
        <f>+COMPROMISOS_2025[[#This Row],[valor_total]]-COMPROMISOS_2025[[#This Row],[total_cancelado]]</f>
        <v>711750</v>
      </c>
      <c r="X766" s="136">
        <f>COMPROMISOS_2025[[#This Row],[total_ordenes]]</f>
        <v>711750</v>
      </c>
      <c r="Y766" t="str" cm="1">
        <f t="array" aca="1" ref="Y766" ca="1">IFERROR(_xlfn.XLOOKUP(COMPROMISOS_2025[[#This Row],[concatenado]],PAA[[#All],[RCP-RUBRO]],PAA[[#All],[Actividad3]],VLOOKUP(COMPROMISOS_2025[[#This Row],[Indicador Principal]],$AC$2:$AD$17,2,0),0),"")</f>
        <v/>
      </c>
    </row>
    <row r="767" spans="1:25" hidden="1" x14ac:dyDescent="0.25">
      <c r="A767">
        <v>2299</v>
      </c>
      <c r="B767" t="s">
        <v>2491</v>
      </c>
      <c r="C767" t="s">
        <v>1936</v>
      </c>
      <c r="D767" t="s">
        <v>3575</v>
      </c>
      <c r="F767">
        <v>405</v>
      </c>
      <c r="G767">
        <v>96</v>
      </c>
      <c r="H767" t="s">
        <v>789</v>
      </c>
      <c r="I767" t="s">
        <v>2257</v>
      </c>
      <c r="J767">
        <v>711750</v>
      </c>
      <c r="K767">
        <v>2025</v>
      </c>
      <c r="L767">
        <v>1017928368</v>
      </c>
      <c r="M767" t="s">
        <v>3648</v>
      </c>
      <c r="N767" t="s">
        <v>1688</v>
      </c>
      <c r="O767" t="s">
        <v>1686</v>
      </c>
      <c r="P767">
        <v>0</v>
      </c>
      <c r="Q767">
        <v>711750</v>
      </c>
      <c r="R767">
        <v>0</v>
      </c>
      <c r="S767">
        <v>0</v>
      </c>
      <c r="T767" t="str">
        <f t="shared" si="22"/>
        <v>22992.43.4302.85.0-101024.2.3.3.08.06.</v>
      </c>
      <c r="U767" t="e" cm="1">
        <f t="array" aca="1" ref="U767" ca="1">+IF(COMPROMISOS_2025[[#This Row],[P]]="20","41080111",_xlfn.XLOOKUP(COMPROMISOS_2025[[#This Row],[concatenado]],PAA[[#All],[RCP-RUBRO]],PAA[[#All],[INDICADOR]],"",0))</f>
        <v>#NAME?</v>
      </c>
      <c r="V767" s="144" t="str">
        <f t="shared" si="23"/>
        <v>85</v>
      </c>
      <c r="W767" s="136">
        <f>+COMPROMISOS_2025[[#This Row],[valor_total]]-COMPROMISOS_2025[[#This Row],[total_cancelado]]</f>
        <v>711750</v>
      </c>
      <c r="X767" s="136">
        <f>COMPROMISOS_2025[[#This Row],[total_ordenes]]</f>
        <v>711750</v>
      </c>
      <c r="Y767" t="str" cm="1">
        <f t="array" aca="1" ref="Y767" ca="1">IFERROR(_xlfn.XLOOKUP(COMPROMISOS_2025[[#This Row],[concatenado]],PAA[[#All],[RCP-RUBRO]],PAA[[#All],[Actividad3]],VLOOKUP(COMPROMISOS_2025[[#This Row],[Indicador Principal]],$AC$2:$AD$17,2,0),0),"")</f>
        <v/>
      </c>
    </row>
    <row r="768" spans="1:25" hidden="1" x14ac:dyDescent="0.25">
      <c r="A768">
        <v>2300</v>
      </c>
      <c r="B768" t="s">
        <v>2491</v>
      </c>
      <c r="C768" t="s">
        <v>1936</v>
      </c>
      <c r="D768" t="s">
        <v>3575</v>
      </c>
      <c r="F768">
        <v>405</v>
      </c>
      <c r="G768">
        <v>96</v>
      </c>
      <c r="H768" t="s">
        <v>789</v>
      </c>
      <c r="I768" t="s">
        <v>2257</v>
      </c>
      <c r="J768">
        <v>1067625</v>
      </c>
      <c r="K768">
        <v>2025</v>
      </c>
      <c r="L768">
        <v>1017929166</v>
      </c>
      <c r="M768" t="s">
        <v>3649</v>
      </c>
      <c r="N768" t="s">
        <v>1688</v>
      </c>
      <c r="O768" t="s">
        <v>1686</v>
      </c>
      <c r="P768">
        <v>0</v>
      </c>
      <c r="Q768">
        <v>1067625</v>
      </c>
      <c r="R768">
        <v>0</v>
      </c>
      <c r="S768">
        <v>0</v>
      </c>
      <c r="T768" t="str">
        <f t="shared" si="22"/>
        <v>23002.43.4302.85.0-101024.2.3.3.08.06.</v>
      </c>
      <c r="U768" t="e" cm="1">
        <f t="array" aca="1" ref="U768" ca="1">+IF(COMPROMISOS_2025[[#This Row],[P]]="20","41080111",_xlfn.XLOOKUP(COMPROMISOS_2025[[#This Row],[concatenado]],PAA[[#All],[RCP-RUBRO]],PAA[[#All],[INDICADOR]],"",0))</f>
        <v>#NAME?</v>
      </c>
      <c r="V768" s="144" t="str">
        <f t="shared" si="23"/>
        <v>85</v>
      </c>
      <c r="W768" s="136">
        <f>+COMPROMISOS_2025[[#This Row],[valor_total]]-COMPROMISOS_2025[[#This Row],[total_cancelado]]</f>
        <v>1067625</v>
      </c>
      <c r="X768" s="136">
        <f>COMPROMISOS_2025[[#This Row],[total_ordenes]]</f>
        <v>1067625</v>
      </c>
      <c r="Y768" t="str" cm="1">
        <f t="array" aca="1" ref="Y768" ca="1">IFERROR(_xlfn.XLOOKUP(COMPROMISOS_2025[[#This Row],[concatenado]],PAA[[#All],[RCP-RUBRO]],PAA[[#All],[Actividad3]],VLOOKUP(COMPROMISOS_2025[[#This Row],[Indicador Principal]],$AC$2:$AD$17,2,0),0),"")</f>
        <v/>
      </c>
    </row>
    <row r="769" spans="1:25" hidden="1" x14ac:dyDescent="0.25">
      <c r="A769">
        <v>2301</v>
      </c>
      <c r="B769" t="s">
        <v>2491</v>
      </c>
      <c r="C769" t="s">
        <v>1936</v>
      </c>
      <c r="D769" t="s">
        <v>3575</v>
      </c>
      <c r="F769">
        <v>405</v>
      </c>
      <c r="G769">
        <v>96</v>
      </c>
      <c r="H769" t="s">
        <v>789</v>
      </c>
      <c r="I769" t="s">
        <v>2257</v>
      </c>
      <c r="J769">
        <v>711750</v>
      </c>
      <c r="K769">
        <v>2025</v>
      </c>
      <c r="L769">
        <v>1017931622</v>
      </c>
      <c r="M769" t="s">
        <v>3650</v>
      </c>
      <c r="N769" t="s">
        <v>1688</v>
      </c>
      <c r="O769" t="s">
        <v>1686</v>
      </c>
      <c r="P769">
        <v>0</v>
      </c>
      <c r="Q769">
        <v>711750</v>
      </c>
      <c r="R769">
        <v>0</v>
      </c>
      <c r="S769">
        <v>0</v>
      </c>
      <c r="T769" t="str">
        <f t="shared" si="22"/>
        <v>23012.43.4302.85.0-101024.2.3.3.08.06.</v>
      </c>
      <c r="U769" t="e" cm="1">
        <f t="array" aca="1" ref="U769" ca="1">+IF(COMPROMISOS_2025[[#This Row],[P]]="20","41080111",_xlfn.XLOOKUP(COMPROMISOS_2025[[#This Row],[concatenado]],PAA[[#All],[RCP-RUBRO]],PAA[[#All],[INDICADOR]],"",0))</f>
        <v>#NAME?</v>
      </c>
      <c r="V769" s="144" t="str">
        <f t="shared" si="23"/>
        <v>85</v>
      </c>
      <c r="W769" s="136">
        <f>+COMPROMISOS_2025[[#This Row],[valor_total]]-COMPROMISOS_2025[[#This Row],[total_cancelado]]</f>
        <v>711750</v>
      </c>
      <c r="X769" s="136">
        <f>COMPROMISOS_2025[[#This Row],[total_ordenes]]</f>
        <v>711750</v>
      </c>
      <c r="Y769" t="str" cm="1">
        <f t="array" aca="1" ref="Y769" ca="1">IFERROR(_xlfn.XLOOKUP(COMPROMISOS_2025[[#This Row],[concatenado]],PAA[[#All],[RCP-RUBRO]],PAA[[#All],[Actividad3]],VLOOKUP(COMPROMISOS_2025[[#This Row],[Indicador Principal]],$AC$2:$AD$17,2,0),0),"")</f>
        <v/>
      </c>
    </row>
    <row r="770" spans="1:25" hidden="1" x14ac:dyDescent="0.25">
      <c r="A770">
        <v>2302</v>
      </c>
      <c r="B770" t="s">
        <v>2491</v>
      </c>
      <c r="C770" t="s">
        <v>1936</v>
      </c>
      <c r="D770" t="s">
        <v>3575</v>
      </c>
      <c r="F770">
        <v>405</v>
      </c>
      <c r="G770">
        <v>96</v>
      </c>
      <c r="H770" t="s">
        <v>789</v>
      </c>
      <c r="I770" t="s">
        <v>2257</v>
      </c>
      <c r="J770">
        <v>711750</v>
      </c>
      <c r="K770">
        <v>2025</v>
      </c>
      <c r="L770">
        <v>1018223473</v>
      </c>
      <c r="M770" t="s">
        <v>3651</v>
      </c>
      <c r="N770" t="s">
        <v>1688</v>
      </c>
      <c r="O770" t="s">
        <v>1686</v>
      </c>
      <c r="P770">
        <v>0</v>
      </c>
      <c r="Q770">
        <v>711750</v>
      </c>
      <c r="R770">
        <v>0</v>
      </c>
      <c r="S770">
        <v>0</v>
      </c>
      <c r="T770" t="str">
        <f t="shared" ref="T770:T833" si="24">IF(A770&gt;=0,CONCATENATE(A770,H770),"")</f>
        <v>23022.43.4302.85.0-101024.2.3.3.08.06.</v>
      </c>
      <c r="U770" t="e" cm="1">
        <f t="array" aca="1" ref="U770" ca="1">+IF(COMPROMISOS_2025[[#This Row],[P]]="20","41080111",_xlfn.XLOOKUP(COMPROMISOS_2025[[#This Row],[concatenado]],PAA[[#All],[RCP-RUBRO]],PAA[[#All],[INDICADOR]],"",0))</f>
        <v>#NAME?</v>
      </c>
      <c r="V770" s="144" t="str">
        <f t="shared" ref="V770:V833" si="25">+MID(H770,11,2)</f>
        <v>85</v>
      </c>
      <c r="W770" s="136">
        <f>+COMPROMISOS_2025[[#This Row],[valor_total]]-COMPROMISOS_2025[[#This Row],[total_cancelado]]</f>
        <v>711750</v>
      </c>
      <c r="X770" s="136">
        <f>COMPROMISOS_2025[[#This Row],[total_ordenes]]</f>
        <v>711750</v>
      </c>
      <c r="Y770" t="str" cm="1">
        <f t="array" aca="1" ref="Y770" ca="1">IFERROR(_xlfn.XLOOKUP(COMPROMISOS_2025[[#This Row],[concatenado]],PAA[[#All],[RCP-RUBRO]],PAA[[#All],[Actividad3]],VLOOKUP(COMPROMISOS_2025[[#This Row],[Indicador Principal]],$AC$2:$AD$17,2,0),0),"")</f>
        <v/>
      </c>
    </row>
    <row r="771" spans="1:25" hidden="1" x14ac:dyDescent="0.25">
      <c r="A771">
        <v>2306</v>
      </c>
      <c r="B771" t="s">
        <v>2491</v>
      </c>
      <c r="C771" t="s">
        <v>1936</v>
      </c>
      <c r="D771" t="s">
        <v>3575</v>
      </c>
      <c r="F771">
        <v>405</v>
      </c>
      <c r="G771">
        <v>96</v>
      </c>
      <c r="H771" t="s">
        <v>789</v>
      </c>
      <c r="I771" t="s">
        <v>2257</v>
      </c>
      <c r="J771">
        <v>711750</v>
      </c>
      <c r="K771">
        <v>2025</v>
      </c>
      <c r="L771">
        <v>1018235039</v>
      </c>
      <c r="M771" t="s">
        <v>3652</v>
      </c>
      <c r="N771" t="s">
        <v>1688</v>
      </c>
      <c r="O771" t="s">
        <v>1686</v>
      </c>
      <c r="P771">
        <v>0</v>
      </c>
      <c r="Q771">
        <v>711750</v>
      </c>
      <c r="R771">
        <v>0</v>
      </c>
      <c r="S771">
        <v>0</v>
      </c>
      <c r="T771" t="str">
        <f t="shared" si="24"/>
        <v>23062.43.4302.85.0-101024.2.3.3.08.06.</v>
      </c>
      <c r="U771" t="e" cm="1">
        <f t="array" aca="1" ref="U771" ca="1">+IF(COMPROMISOS_2025[[#This Row],[P]]="20","41080111",_xlfn.XLOOKUP(COMPROMISOS_2025[[#This Row],[concatenado]],PAA[[#All],[RCP-RUBRO]],PAA[[#All],[INDICADOR]],"",0))</f>
        <v>#NAME?</v>
      </c>
      <c r="V771" s="144" t="str">
        <f t="shared" si="25"/>
        <v>85</v>
      </c>
      <c r="W771" s="136">
        <f>+COMPROMISOS_2025[[#This Row],[valor_total]]-COMPROMISOS_2025[[#This Row],[total_cancelado]]</f>
        <v>711750</v>
      </c>
      <c r="X771" s="136">
        <f>COMPROMISOS_2025[[#This Row],[total_ordenes]]</f>
        <v>711750</v>
      </c>
      <c r="Y771" t="str" cm="1">
        <f t="array" aca="1" ref="Y771" ca="1">IFERROR(_xlfn.XLOOKUP(COMPROMISOS_2025[[#This Row],[concatenado]],PAA[[#All],[RCP-RUBRO]],PAA[[#All],[Actividad3]],VLOOKUP(COMPROMISOS_2025[[#This Row],[Indicador Principal]],$AC$2:$AD$17,2,0),0),"")</f>
        <v/>
      </c>
    </row>
    <row r="772" spans="1:25" hidden="1" x14ac:dyDescent="0.25">
      <c r="A772">
        <v>2308</v>
      </c>
      <c r="B772" t="s">
        <v>2491</v>
      </c>
      <c r="C772" t="s">
        <v>1936</v>
      </c>
      <c r="D772" t="s">
        <v>3575</v>
      </c>
      <c r="F772">
        <v>405</v>
      </c>
      <c r="G772">
        <v>96</v>
      </c>
      <c r="H772" t="s">
        <v>789</v>
      </c>
      <c r="I772" t="s">
        <v>2257</v>
      </c>
      <c r="J772">
        <v>711750</v>
      </c>
      <c r="K772">
        <v>2025</v>
      </c>
      <c r="L772">
        <v>1018238388</v>
      </c>
      <c r="M772" t="s">
        <v>3653</v>
      </c>
      <c r="N772" t="s">
        <v>1688</v>
      </c>
      <c r="O772" t="s">
        <v>1686</v>
      </c>
      <c r="P772">
        <v>0</v>
      </c>
      <c r="Q772">
        <v>711750</v>
      </c>
      <c r="R772">
        <v>0</v>
      </c>
      <c r="S772">
        <v>0</v>
      </c>
      <c r="T772" t="str">
        <f t="shared" si="24"/>
        <v>23082.43.4302.85.0-101024.2.3.3.08.06.</v>
      </c>
      <c r="U772" t="e" cm="1">
        <f t="array" aca="1" ref="U772" ca="1">+IF(COMPROMISOS_2025[[#This Row],[P]]="20","41080111",_xlfn.XLOOKUP(COMPROMISOS_2025[[#This Row],[concatenado]],PAA[[#All],[RCP-RUBRO]],PAA[[#All],[INDICADOR]],"",0))</f>
        <v>#NAME?</v>
      </c>
      <c r="V772" s="144" t="str">
        <f t="shared" si="25"/>
        <v>85</v>
      </c>
      <c r="W772" s="136">
        <f>+COMPROMISOS_2025[[#This Row],[valor_total]]-COMPROMISOS_2025[[#This Row],[total_cancelado]]</f>
        <v>711750</v>
      </c>
      <c r="X772" s="136">
        <f>COMPROMISOS_2025[[#This Row],[total_ordenes]]</f>
        <v>711750</v>
      </c>
      <c r="Y772" t="str" cm="1">
        <f t="array" aca="1" ref="Y772" ca="1">IFERROR(_xlfn.XLOOKUP(COMPROMISOS_2025[[#This Row],[concatenado]],PAA[[#All],[RCP-RUBRO]],PAA[[#All],[Actividad3]],VLOOKUP(COMPROMISOS_2025[[#This Row],[Indicador Principal]],$AC$2:$AD$17,2,0),0),"")</f>
        <v/>
      </c>
    </row>
    <row r="773" spans="1:25" hidden="1" x14ac:dyDescent="0.25">
      <c r="A773">
        <v>2309</v>
      </c>
      <c r="B773" t="s">
        <v>2491</v>
      </c>
      <c r="C773" t="s">
        <v>1936</v>
      </c>
      <c r="D773" t="s">
        <v>3575</v>
      </c>
      <c r="F773">
        <v>405</v>
      </c>
      <c r="G773">
        <v>96</v>
      </c>
      <c r="H773" t="s">
        <v>789</v>
      </c>
      <c r="I773" t="s">
        <v>2257</v>
      </c>
      <c r="J773">
        <v>711750</v>
      </c>
      <c r="K773">
        <v>2025</v>
      </c>
      <c r="L773">
        <v>1018240558</v>
      </c>
      <c r="M773" t="s">
        <v>3654</v>
      </c>
      <c r="N773" t="s">
        <v>1688</v>
      </c>
      <c r="O773" t="s">
        <v>1686</v>
      </c>
      <c r="P773">
        <v>0</v>
      </c>
      <c r="Q773">
        <v>711750</v>
      </c>
      <c r="R773">
        <v>0</v>
      </c>
      <c r="S773">
        <v>0</v>
      </c>
      <c r="T773" t="str">
        <f t="shared" si="24"/>
        <v>23092.43.4302.85.0-101024.2.3.3.08.06.</v>
      </c>
      <c r="U773" t="e" cm="1">
        <f t="array" aca="1" ref="U773" ca="1">+IF(COMPROMISOS_2025[[#This Row],[P]]="20","41080111",_xlfn.XLOOKUP(COMPROMISOS_2025[[#This Row],[concatenado]],PAA[[#All],[RCP-RUBRO]],PAA[[#All],[INDICADOR]],"",0))</f>
        <v>#NAME?</v>
      </c>
      <c r="V773" s="144" t="str">
        <f t="shared" si="25"/>
        <v>85</v>
      </c>
      <c r="W773" s="136">
        <f>+COMPROMISOS_2025[[#This Row],[valor_total]]-COMPROMISOS_2025[[#This Row],[total_cancelado]]</f>
        <v>711750</v>
      </c>
      <c r="X773" s="136">
        <f>COMPROMISOS_2025[[#This Row],[total_ordenes]]</f>
        <v>711750</v>
      </c>
      <c r="Y773" t="str" cm="1">
        <f t="array" aca="1" ref="Y773" ca="1">IFERROR(_xlfn.XLOOKUP(COMPROMISOS_2025[[#This Row],[concatenado]],PAA[[#All],[RCP-RUBRO]],PAA[[#All],[Actividad3]],VLOOKUP(COMPROMISOS_2025[[#This Row],[Indicador Principal]],$AC$2:$AD$17,2,0),0),"")</f>
        <v/>
      </c>
    </row>
    <row r="774" spans="1:25" hidden="1" x14ac:dyDescent="0.25">
      <c r="A774">
        <v>2310</v>
      </c>
      <c r="B774" t="s">
        <v>2491</v>
      </c>
      <c r="C774" t="s">
        <v>1936</v>
      </c>
      <c r="D774" t="s">
        <v>3575</v>
      </c>
      <c r="F774">
        <v>405</v>
      </c>
      <c r="G774">
        <v>96</v>
      </c>
      <c r="H774" t="s">
        <v>789</v>
      </c>
      <c r="I774" t="s">
        <v>2257</v>
      </c>
      <c r="J774">
        <v>1067625</v>
      </c>
      <c r="K774">
        <v>2025</v>
      </c>
      <c r="L774">
        <v>1018242485</v>
      </c>
      <c r="M774" t="s">
        <v>3655</v>
      </c>
      <c r="N774" t="s">
        <v>1688</v>
      </c>
      <c r="O774" t="s">
        <v>1686</v>
      </c>
      <c r="P774">
        <v>0</v>
      </c>
      <c r="Q774">
        <v>1067625</v>
      </c>
      <c r="R774">
        <v>0</v>
      </c>
      <c r="S774">
        <v>0</v>
      </c>
      <c r="T774" t="str">
        <f t="shared" si="24"/>
        <v>23102.43.4302.85.0-101024.2.3.3.08.06.</v>
      </c>
      <c r="U774" t="e" cm="1">
        <f t="array" aca="1" ref="U774" ca="1">+IF(COMPROMISOS_2025[[#This Row],[P]]="20","41080111",_xlfn.XLOOKUP(COMPROMISOS_2025[[#This Row],[concatenado]],PAA[[#All],[RCP-RUBRO]],PAA[[#All],[INDICADOR]],"",0))</f>
        <v>#NAME?</v>
      </c>
      <c r="V774" s="144" t="str">
        <f t="shared" si="25"/>
        <v>85</v>
      </c>
      <c r="W774" s="136">
        <f>+COMPROMISOS_2025[[#This Row],[valor_total]]-COMPROMISOS_2025[[#This Row],[total_cancelado]]</f>
        <v>1067625</v>
      </c>
      <c r="X774" s="136">
        <f>COMPROMISOS_2025[[#This Row],[total_ordenes]]</f>
        <v>1067625</v>
      </c>
      <c r="Y774" t="str" cm="1">
        <f t="array" aca="1" ref="Y774" ca="1">IFERROR(_xlfn.XLOOKUP(COMPROMISOS_2025[[#This Row],[concatenado]],PAA[[#All],[RCP-RUBRO]],PAA[[#All],[Actividad3]],VLOOKUP(COMPROMISOS_2025[[#This Row],[Indicador Principal]],$AC$2:$AD$17,2,0),0),"")</f>
        <v/>
      </c>
    </row>
    <row r="775" spans="1:25" hidden="1" x14ac:dyDescent="0.25">
      <c r="A775">
        <v>2311</v>
      </c>
      <c r="B775" t="s">
        <v>2491</v>
      </c>
      <c r="C775" t="s">
        <v>1936</v>
      </c>
      <c r="D775" t="s">
        <v>3575</v>
      </c>
      <c r="F775">
        <v>405</v>
      </c>
      <c r="G775">
        <v>96</v>
      </c>
      <c r="H775" t="s">
        <v>789</v>
      </c>
      <c r="I775" t="s">
        <v>2257</v>
      </c>
      <c r="J775">
        <v>711750</v>
      </c>
      <c r="K775">
        <v>2025</v>
      </c>
      <c r="L775">
        <v>1018244713</v>
      </c>
      <c r="M775" t="s">
        <v>3656</v>
      </c>
      <c r="N775" t="s">
        <v>1688</v>
      </c>
      <c r="O775" t="s">
        <v>1686</v>
      </c>
      <c r="P775">
        <v>0</v>
      </c>
      <c r="Q775">
        <v>711750</v>
      </c>
      <c r="R775">
        <v>0</v>
      </c>
      <c r="S775">
        <v>0</v>
      </c>
      <c r="T775" t="str">
        <f t="shared" si="24"/>
        <v>23112.43.4302.85.0-101024.2.3.3.08.06.</v>
      </c>
      <c r="U775" t="e" cm="1">
        <f t="array" aca="1" ref="U775" ca="1">+IF(COMPROMISOS_2025[[#This Row],[P]]="20","41080111",_xlfn.XLOOKUP(COMPROMISOS_2025[[#This Row],[concatenado]],PAA[[#All],[RCP-RUBRO]],PAA[[#All],[INDICADOR]],"",0))</f>
        <v>#NAME?</v>
      </c>
      <c r="V775" s="144" t="str">
        <f t="shared" si="25"/>
        <v>85</v>
      </c>
      <c r="W775" s="136">
        <f>+COMPROMISOS_2025[[#This Row],[valor_total]]-COMPROMISOS_2025[[#This Row],[total_cancelado]]</f>
        <v>711750</v>
      </c>
      <c r="X775" s="136">
        <f>COMPROMISOS_2025[[#This Row],[total_ordenes]]</f>
        <v>711750</v>
      </c>
      <c r="Y775" t="str" cm="1">
        <f t="array" aca="1" ref="Y775" ca="1">IFERROR(_xlfn.XLOOKUP(COMPROMISOS_2025[[#This Row],[concatenado]],PAA[[#All],[RCP-RUBRO]],PAA[[#All],[Actividad3]],VLOOKUP(COMPROMISOS_2025[[#This Row],[Indicador Principal]],$AC$2:$AD$17,2,0),0),"")</f>
        <v/>
      </c>
    </row>
    <row r="776" spans="1:25" hidden="1" x14ac:dyDescent="0.25">
      <c r="A776">
        <v>2313</v>
      </c>
      <c r="B776" t="s">
        <v>2491</v>
      </c>
      <c r="C776" t="s">
        <v>1936</v>
      </c>
      <c r="D776" t="s">
        <v>3575</v>
      </c>
      <c r="F776">
        <v>405</v>
      </c>
      <c r="G776">
        <v>96</v>
      </c>
      <c r="H776" t="s">
        <v>789</v>
      </c>
      <c r="I776" t="s">
        <v>2257</v>
      </c>
      <c r="J776">
        <v>711750</v>
      </c>
      <c r="K776">
        <v>2025</v>
      </c>
      <c r="L776">
        <v>1018247069</v>
      </c>
      <c r="M776" t="s">
        <v>3657</v>
      </c>
      <c r="N776" t="s">
        <v>1688</v>
      </c>
      <c r="O776" t="s">
        <v>1686</v>
      </c>
      <c r="P776">
        <v>0</v>
      </c>
      <c r="Q776">
        <v>711750</v>
      </c>
      <c r="R776">
        <v>0</v>
      </c>
      <c r="S776">
        <v>0</v>
      </c>
      <c r="T776" t="str">
        <f t="shared" si="24"/>
        <v>23132.43.4302.85.0-101024.2.3.3.08.06.</v>
      </c>
      <c r="U776" t="e" cm="1">
        <f t="array" aca="1" ref="U776" ca="1">+IF(COMPROMISOS_2025[[#This Row],[P]]="20","41080111",_xlfn.XLOOKUP(COMPROMISOS_2025[[#This Row],[concatenado]],PAA[[#All],[RCP-RUBRO]],PAA[[#All],[INDICADOR]],"",0))</f>
        <v>#NAME?</v>
      </c>
      <c r="V776" s="144" t="str">
        <f t="shared" si="25"/>
        <v>85</v>
      </c>
      <c r="W776" s="136">
        <f>+COMPROMISOS_2025[[#This Row],[valor_total]]-COMPROMISOS_2025[[#This Row],[total_cancelado]]</f>
        <v>711750</v>
      </c>
      <c r="X776" s="136">
        <f>COMPROMISOS_2025[[#This Row],[total_ordenes]]</f>
        <v>711750</v>
      </c>
      <c r="Y776" t="str" cm="1">
        <f t="array" aca="1" ref="Y776" ca="1">IFERROR(_xlfn.XLOOKUP(COMPROMISOS_2025[[#This Row],[concatenado]],PAA[[#All],[RCP-RUBRO]],PAA[[#All],[Actividad3]],VLOOKUP(COMPROMISOS_2025[[#This Row],[Indicador Principal]],$AC$2:$AD$17,2,0),0),"")</f>
        <v/>
      </c>
    </row>
    <row r="777" spans="1:25" hidden="1" x14ac:dyDescent="0.25">
      <c r="A777">
        <v>2314</v>
      </c>
      <c r="B777" t="s">
        <v>2491</v>
      </c>
      <c r="C777" t="s">
        <v>1936</v>
      </c>
      <c r="D777" t="s">
        <v>3575</v>
      </c>
      <c r="F777">
        <v>405</v>
      </c>
      <c r="G777">
        <v>96</v>
      </c>
      <c r="H777" t="s">
        <v>789</v>
      </c>
      <c r="I777" t="s">
        <v>2257</v>
      </c>
      <c r="J777">
        <v>711750</v>
      </c>
      <c r="K777">
        <v>2025</v>
      </c>
      <c r="L777">
        <v>1018346496</v>
      </c>
      <c r="M777" t="s">
        <v>3658</v>
      </c>
      <c r="N777" t="s">
        <v>1688</v>
      </c>
      <c r="O777" t="s">
        <v>1686</v>
      </c>
      <c r="P777">
        <v>0</v>
      </c>
      <c r="Q777">
        <v>711750</v>
      </c>
      <c r="R777">
        <v>0</v>
      </c>
      <c r="S777">
        <v>0</v>
      </c>
      <c r="T777" t="str">
        <f t="shared" si="24"/>
        <v>23142.43.4302.85.0-101024.2.3.3.08.06.</v>
      </c>
      <c r="U777" t="e" cm="1">
        <f t="array" aca="1" ref="U777" ca="1">+IF(COMPROMISOS_2025[[#This Row],[P]]="20","41080111",_xlfn.XLOOKUP(COMPROMISOS_2025[[#This Row],[concatenado]],PAA[[#All],[RCP-RUBRO]],PAA[[#All],[INDICADOR]],"",0))</f>
        <v>#NAME?</v>
      </c>
      <c r="V777" s="144" t="str">
        <f t="shared" si="25"/>
        <v>85</v>
      </c>
      <c r="W777" s="136">
        <f>+COMPROMISOS_2025[[#This Row],[valor_total]]-COMPROMISOS_2025[[#This Row],[total_cancelado]]</f>
        <v>711750</v>
      </c>
      <c r="X777" s="136">
        <f>COMPROMISOS_2025[[#This Row],[total_ordenes]]</f>
        <v>711750</v>
      </c>
      <c r="Y777" t="str" cm="1">
        <f t="array" aca="1" ref="Y777" ca="1">IFERROR(_xlfn.XLOOKUP(COMPROMISOS_2025[[#This Row],[concatenado]],PAA[[#All],[RCP-RUBRO]],PAA[[#All],[Actividad3]],VLOOKUP(COMPROMISOS_2025[[#This Row],[Indicador Principal]],$AC$2:$AD$17,2,0),0),"")</f>
        <v/>
      </c>
    </row>
    <row r="778" spans="1:25" hidden="1" x14ac:dyDescent="0.25">
      <c r="A778">
        <v>2317</v>
      </c>
      <c r="B778" t="s">
        <v>2491</v>
      </c>
      <c r="C778" t="s">
        <v>1936</v>
      </c>
      <c r="D778" t="s">
        <v>3575</v>
      </c>
      <c r="F778">
        <v>405</v>
      </c>
      <c r="G778">
        <v>96</v>
      </c>
      <c r="H778" t="s">
        <v>789</v>
      </c>
      <c r="I778" t="s">
        <v>2257</v>
      </c>
      <c r="J778">
        <v>1067625</v>
      </c>
      <c r="K778">
        <v>2025</v>
      </c>
      <c r="L778">
        <v>1019602772</v>
      </c>
      <c r="M778" t="s">
        <v>3659</v>
      </c>
      <c r="N778" t="s">
        <v>1688</v>
      </c>
      <c r="O778" t="s">
        <v>1686</v>
      </c>
      <c r="P778">
        <v>0</v>
      </c>
      <c r="Q778">
        <v>1067625</v>
      </c>
      <c r="R778">
        <v>0</v>
      </c>
      <c r="S778">
        <v>0</v>
      </c>
      <c r="T778" t="str">
        <f t="shared" si="24"/>
        <v>23172.43.4302.85.0-101024.2.3.3.08.06.</v>
      </c>
      <c r="U778" t="e" cm="1">
        <f t="array" aca="1" ref="U778" ca="1">+IF(COMPROMISOS_2025[[#This Row],[P]]="20","41080111",_xlfn.XLOOKUP(COMPROMISOS_2025[[#This Row],[concatenado]],PAA[[#All],[RCP-RUBRO]],PAA[[#All],[INDICADOR]],"",0))</f>
        <v>#NAME?</v>
      </c>
      <c r="V778" s="144" t="str">
        <f t="shared" si="25"/>
        <v>85</v>
      </c>
      <c r="W778" s="136">
        <f>+COMPROMISOS_2025[[#This Row],[valor_total]]-COMPROMISOS_2025[[#This Row],[total_cancelado]]</f>
        <v>1067625</v>
      </c>
      <c r="X778" s="136">
        <f>COMPROMISOS_2025[[#This Row],[total_ordenes]]</f>
        <v>1067625</v>
      </c>
      <c r="Y778" t="str" cm="1">
        <f t="array" aca="1" ref="Y778" ca="1">IFERROR(_xlfn.XLOOKUP(COMPROMISOS_2025[[#This Row],[concatenado]],PAA[[#All],[RCP-RUBRO]],PAA[[#All],[Actividad3]],VLOOKUP(COMPROMISOS_2025[[#This Row],[Indicador Principal]],$AC$2:$AD$17,2,0),0),"")</f>
        <v/>
      </c>
    </row>
    <row r="779" spans="1:25" hidden="1" x14ac:dyDescent="0.25">
      <c r="A779">
        <v>2322</v>
      </c>
      <c r="B779" t="s">
        <v>2491</v>
      </c>
      <c r="C779" t="s">
        <v>1936</v>
      </c>
      <c r="D779" t="s">
        <v>3575</v>
      </c>
      <c r="F779">
        <v>405</v>
      </c>
      <c r="G779">
        <v>96</v>
      </c>
      <c r="H779" t="s">
        <v>789</v>
      </c>
      <c r="I779" t="s">
        <v>2257</v>
      </c>
      <c r="J779">
        <v>711750</v>
      </c>
      <c r="K779">
        <v>2025</v>
      </c>
      <c r="L779">
        <v>10201103817</v>
      </c>
      <c r="M779" t="s">
        <v>3660</v>
      </c>
      <c r="N779" t="s">
        <v>1688</v>
      </c>
      <c r="O779" t="s">
        <v>1686</v>
      </c>
      <c r="P779">
        <v>0</v>
      </c>
      <c r="Q779">
        <v>711750</v>
      </c>
      <c r="R779">
        <v>0</v>
      </c>
      <c r="S779">
        <v>0</v>
      </c>
      <c r="T779" t="str">
        <f t="shared" si="24"/>
        <v>23222.43.4302.85.0-101024.2.3.3.08.06.</v>
      </c>
      <c r="U779" t="e" cm="1">
        <f t="array" aca="1" ref="U779" ca="1">+IF(COMPROMISOS_2025[[#This Row],[P]]="20","41080111",_xlfn.XLOOKUP(COMPROMISOS_2025[[#This Row],[concatenado]],PAA[[#All],[RCP-RUBRO]],PAA[[#All],[INDICADOR]],"",0))</f>
        <v>#NAME?</v>
      </c>
      <c r="V779" s="144" t="str">
        <f t="shared" si="25"/>
        <v>85</v>
      </c>
      <c r="W779" s="136">
        <f>+COMPROMISOS_2025[[#This Row],[valor_total]]-COMPROMISOS_2025[[#This Row],[total_cancelado]]</f>
        <v>711750</v>
      </c>
      <c r="X779" s="136">
        <f>COMPROMISOS_2025[[#This Row],[total_ordenes]]</f>
        <v>711750</v>
      </c>
      <c r="Y779" t="str" cm="1">
        <f t="array" aca="1" ref="Y779" ca="1">IFERROR(_xlfn.XLOOKUP(COMPROMISOS_2025[[#This Row],[concatenado]],PAA[[#All],[RCP-RUBRO]],PAA[[#All],[Actividad3]],VLOOKUP(COMPROMISOS_2025[[#This Row],[Indicador Principal]],$AC$2:$AD$17,2,0),0),"")</f>
        <v/>
      </c>
    </row>
    <row r="780" spans="1:25" hidden="1" x14ac:dyDescent="0.25">
      <c r="A780">
        <v>2323</v>
      </c>
      <c r="B780" t="s">
        <v>2491</v>
      </c>
      <c r="C780" t="s">
        <v>1936</v>
      </c>
      <c r="D780" t="s">
        <v>3575</v>
      </c>
      <c r="F780">
        <v>405</v>
      </c>
      <c r="G780">
        <v>96</v>
      </c>
      <c r="H780" t="s">
        <v>789</v>
      </c>
      <c r="I780" t="s">
        <v>2257</v>
      </c>
      <c r="J780">
        <v>711750</v>
      </c>
      <c r="K780">
        <v>2025</v>
      </c>
      <c r="L780">
        <v>1020110535</v>
      </c>
      <c r="M780" t="s">
        <v>3661</v>
      </c>
      <c r="N780" t="s">
        <v>1688</v>
      </c>
      <c r="O780" t="s">
        <v>1686</v>
      </c>
      <c r="P780">
        <v>0</v>
      </c>
      <c r="Q780">
        <v>711750</v>
      </c>
      <c r="R780">
        <v>0</v>
      </c>
      <c r="S780">
        <v>0</v>
      </c>
      <c r="T780" t="str">
        <f t="shared" si="24"/>
        <v>23232.43.4302.85.0-101024.2.3.3.08.06.</v>
      </c>
      <c r="U780" t="e" cm="1">
        <f t="array" aca="1" ref="U780" ca="1">+IF(COMPROMISOS_2025[[#This Row],[P]]="20","41080111",_xlfn.XLOOKUP(COMPROMISOS_2025[[#This Row],[concatenado]],PAA[[#All],[RCP-RUBRO]],PAA[[#All],[INDICADOR]],"",0))</f>
        <v>#NAME?</v>
      </c>
      <c r="V780" s="144" t="str">
        <f t="shared" si="25"/>
        <v>85</v>
      </c>
      <c r="W780" s="136">
        <f>+COMPROMISOS_2025[[#This Row],[valor_total]]-COMPROMISOS_2025[[#This Row],[total_cancelado]]</f>
        <v>711750</v>
      </c>
      <c r="X780" s="136">
        <f>COMPROMISOS_2025[[#This Row],[total_ordenes]]</f>
        <v>711750</v>
      </c>
      <c r="Y780" t="str" cm="1">
        <f t="array" aca="1" ref="Y780" ca="1">IFERROR(_xlfn.XLOOKUP(COMPROMISOS_2025[[#This Row],[concatenado]],PAA[[#All],[RCP-RUBRO]],PAA[[#All],[Actividad3]],VLOOKUP(COMPROMISOS_2025[[#This Row],[Indicador Principal]],$AC$2:$AD$17,2,0),0),"")</f>
        <v/>
      </c>
    </row>
    <row r="781" spans="1:25" hidden="1" x14ac:dyDescent="0.25">
      <c r="A781">
        <v>2324</v>
      </c>
      <c r="B781" t="s">
        <v>2491</v>
      </c>
      <c r="C781" t="s">
        <v>1936</v>
      </c>
      <c r="D781" t="s">
        <v>3575</v>
      </c>
      <c r="F781">
        <v>405</v>
      </c>
      <c r="G781">
        <v>96</v>
      </c>
      <c r="H781" t="s">
        <v>789</v>
      </c>
      <c r="I781" t="s">
        <v>2257</v>
      </c>
      <c r="J781">
        <v>1067625</v>
      </c>
      <c r="K781">
        <v>2025</v>
      </c>
      <c r="L781">
        <v>1020112430</v>
      </c>
      <c r="M781" t="s">
        <v>3662</v>
      </c>
      <c r="N781" t="s">
        <v>1688</v>
      </c>
      <c r="O781" t="s">
        <v>1686</v>
      </c>
      <c r="P781">
        <v>0</v>
      </c>
      <c r="Q781">
        <v>1067625</v>
      </c>
      <c r="R781">
        <v>0</v>
      </c>
      <c r="S781">
        <v>0</v>
      </c>
      <c r="T781" t="str">
        <f t="shared" si="24"/>
        <v>23242.43.4302.85.0-101024.2.3.3.08.06.</v>
      </c>
      <c r="U781" t="e" cm="1">
        <f t="array" aca="1" ref="U781" ca="1">+IF(COMPROMISOS_2025[[#This Row],[P]]="20","41080111",_xlfn.XLOOKUP(COMPROMISOS_2025[[#This Row],[concatenado]],PAA[[#All],[RCP-RUBRO]],PAA[[#All],[INDICADOR]],"",0))</f>
        <v>#NAME?</v>
      </c>
      <c r="V781" s="144" t="str">
        <f t="shared" si="25"/>
        <v>85</v>
      </c>
      <c r="W781" s="136">
        <f>+COMPROMISOS_2025[[#This Row],[valor_total]]-COMPROMISOS_2025[[#This Row],[total_cancelado]]</f>
        <v>1067625</v>
      </c>
      <c r="X781" s="136">
        <f>COMPROMISOS_2025[[#This Row],[total_ordenes]]</f>
        <v>1067625</v>
      </c>
      <c r="Y781" t="str" cm="1">
        <f t="array" aca="1" ref="Y781" ca="1">IFERROR(_xlfn.XLOOKUP(COMPROMISOS_2025[[#This Row],[concatenado]],PAA[[#All],[RCP-RUBRO]],PAA[[#All],[Actividad3]],VLOOKUP(COMPROMISOS_2025[[#This Row],[Indicador Principal]],$AC$2:$AD$17,2,0),0),"")</f>
        <v/>
      </c>
    </row>
    <row r="782" spans="1:25" hidden="1" x14ac:dyDescent="0.25">
      <c r="A782">
        <v>2326</v>
      </c>
      <c r="B782" t="s">
        <v>2491</v>
      </c>
      <c r="C782" t="s">
        <v>1936</v>
      </c>
      <c r="D782" t="s">
        <v>3575</v>
      </c>
      <c r="F782">
        <v>405</v>
      </c>
      <c r="G782">
        <v>96</v>
      </c>
      <c r="H782" t="s">
        <v>789</v>
      </c>
      <c r="I782" t="s">
        <v>2257</v>
      </c>
      <c r="J782">
        <v>711750</v>
      </c>
      <c r="K782">
        <v>2025</v>
      </c>
      <c r="L782">
        <v>1020115624</v>
      </c>
      <c r="M782" t="s">
        <v>3663</v>
      </c>
      <c r="N782" t="s">
        <v>1688</v>
      </c>
      <c r="O782" t="s">
        <v>1686</v>
      </c>
      <c r="P782">
        <v>0</v>
      </c>
      <c r="Q782">
        <v>711750</v>
      </c>
      <c r="R782">
        <v>0</v>
      </c>
      <c r="S782">
        <v>0</v>
      </c>
      <c r="T782" t="str">
        <f t="shared" si="24"/>
        <v>23262.43.4302.85.0-101024.2.3.3.08.06.</v>
      </c>
      <c r="U782" t="e" cm="1">
        <f t="array" aca="1" ref="U782" ca="1">+IF(COMPROMISOS_2025[[#This Row],[P]]="20","41080111",_xlfn.XLOOKUP(COMPROMISOS_2025[[#This Row],[concatenado]],PAA[[#All],[RCP-RUBRO]],PAA[[#All],[INDICADOR]],"",0))</f>
        <v>#NAME?</v>
      </c>
      <c r="V782" s="144" t="str">
        <f t="shared" si="25"/>
        <v>85</v>
      </c>
      <c r="W782" s="136">
        <f>+COMPROMISOS_2025[[#This Row],[valor_total]]-COMPROMISOS_2025[[#This Row],[total_cancelado]]</f>
        <v>711750</v>
      </c>
      <c r="X782" s="136">
        <f>COMPROMISOS_2025[[#This Row],[total_ordenes]]</f>
        <v>711750</v>
      </c>
      <c r="Y782" t="str" cm="1">
        <f t="array" aca="1" ref="Y782" ca="1">IFERROR(_xlfn.XLOOKUP(COMPROMISOS_2025[[#This Row],[concatenado]],PAA[[#All],[RCP-RUBRO]],PAA[[#All],[Actividad3]],VLOOKUP(COMPROMISOS_2025[[#This Row],[Indicador Principal]],$AC$2:$AD$17,2,0),0),"")</f>
        <v/>
      </c>
    </row>
    <row r="783" spans="1:25" hidden="1" x14ac:dyDescent="0.25">
      <c r="A783">
        <v>2327</v>
      </c>
      <c r="B783" t="s">
        <v>2491</v>
      </c>
      <c r="C783" t="s">
        <v>1936</v>
      </c>
      <c r="D783" t="s">
        <v>3575</v>
      </c>
      <c r="F783">
        <v>405</v>
      </c>
      <c r="G783">
        <v>96</v>
      </c>
      <c r="H783" t="s">
        <v>789</v>
      </c>
      <c r="I783" t="s">
        <v>2257</v>
      </c>
      <c r="J783">
        <v>711750</v>
      </c>
      <c r="K783">
        <v>2025</v>
      </c>
      <c r="L783">
        <v>1020116076</v>
      </c>
      <c r="M783" t="s">
        <v>3664</v>
      </c>
      <c r="N783" t="s">
        <v>1688</v>
      </c>
      <c r="O783" t="s">
        <v>1686</v>
      </c>
      <c r="P783">
        <v>0</v>
      </c>
      <c r="Q783">
        <v>711750</v>
      </c>
      <c r="R783">
        <v>0</v>
      </c>
      <c r="S783">
        <v>0</v>
      </c>
      <c r="T783" t="str">
        <f t="shared" si="24"/>
        <v>23272.43.4302.85.0-101024.2.3.3.08.06.</v>
      </c>
      <c r="U783" t="e" cm="1">
        <f t="array" aca="1" ref="U783" ca="1">+IF(COMPROMISOS_2025[[#This Row],[P]]="20","41080111",_xlfn.XLOOKUP(COMPROMISOS_2025[[#This Row],[concatenado]],PAA[[#All],[RCP-RUBRO]],PAA[[#All],[INDICADOR]],"",0))</f>
        <v>#NAME?</v>
      </c>
      <c r="V783" s="144" t="str">
        <f t="shared" si="25"/>
        <v>85</v>
      </c>
      <c r="W783" s="136">
        <f>+COMPROMISOS_2025[[#This Row],[valor_total]]-COMPROMISOS_2025[[#This Row],[total_cancelado]]</f>
        <v>711750</v>
      </c>
      <c r="X783" s="136">
        <f>COMPROMISOS_2025[[#This Row],[total_ordenes]]</f>
        <v>711750</v>
      </c>
      <c r="Y783" t="str" cm="1">
        <f t="array" aca="1" ref="Y783" ca="1">IFERROR(_xlfn.XLOOKUP(COMPROMISOS_2025[[#This Row],[concatenado]],PAA[[#All],[RCP-RUBRO]],PAA[[#All],[Actividad3]],VLOOKUP(COMPROMISOS_2025[[#This Row],[Indicador Principal]],$AC$2:$AD$17,2,0),0),"")</f>
        <v/>
      </c>
    </row>
    <row r="784" spans="1:25" hidden="1" x14ac:dyDescent="0.25">
      <c r="A784">
        <v>2328</v>
      </c>
      <c r="B784" t="s">
        <v>2491</v>
      </c>
      <c r="C784" t="s">
        <v>1936</v>
      </c>
      <c r="D784" t="s">
        <v>3575</v>
      </c>
      <c r="F784">
        <v>405</v>
      </c>
      <c r="G784">
        <v>96</v>
      </c>
      <c r="H784" t="s">
        <v>789</v>
      </c>
      <c r="I784" t="s">
        <v>2257</v>
      </c>
      <c r="J784">
        <v>711750</v>
      </c>
      <c r="K784">
        <v>2025</v>
      </c>
      <c r="L784">
        <v>1020117961</v>
      </c>
      <c r="M784" t="s">
        <v>3665</v>
      </c>
      <c r="N784" t="s">
        <v>1688</v>
      </c>
      <c r="O784" t="s">
        <v>1686</v>
      </c>
      <c r="P784">
        <v>0</v>
      </c>
      <c r="Q784">
        <v>711750</v>
      </c>
      <c r="R784">
        <v>0</v>
      </c>
      <c r="S784">
        <v>0</v>
      </c>
      <c r="T784" t="str">
        <f t="shared" si="24"/>
        <v>23282.43.4302.85.0-101024.2.3.3.08.06.</v>
      </c>
      <c r="U784" t="e" cm="1">
        <f t="array" aca="1" ref="U784" ca="1">+IF(COMPROMISOS_2025[[#This Row],[P]]="20","41080111",_xlfn.XLOOKUP(COMPROMISOS_2025[[#This Row],[concatenado]],PAA[[#All],[RCP-RUBRO]],PAA[[#All],[INDICADOR]],"",0))</f>
        <v>#NAME?</v>
      </c>
      <c r="V784" s="144" t="str">
        <f t="shared" si="25"/>
        <v>85</v>
      </c>
      <c r="W784" s="136">
        <f>+COMPROMISOS_2025[[#This Row],[valor_total]]-COMPROMISOS_2025[[#This Row],[total_cancelado]]</f>
        <v>711750</v>
      </c>
      <c r="X784" s="136">
        <f>COMPROMISOS_2025[[#This Row],[total_ordenes]]</f>
        <v>711750</v>
      </c>
      <c r="Y784" t="str" cm="1">
        <f t="array" aca="1" ref="Y784" ca="1">IFERROR(_xlfn.XLOOKUP(COMPROMISOS_2025[[#This Row],[concatenado]],PAA[[#All],[RCP-RUBRO]],PAA[[#All],[Actividad3]],VLOOKUP(COMPROMISOS_2025[[#This Row],[Indicador Principal]],$AC$2:$AD$17,2,0),0),"")</f>
        <v/>
      </c>
    </row>
    <row r="785" spans="1:25" hidden="1" x14ac:dyDescent="0.25">
      <c r="A785">
        <v>2331</v>
      </c>
      <c r="B785" t="s">
        <v>2491</v>
      </c>
      <c r="C785" t="s">
        <v>1936</v>
      </c>
      <c r="D785" t="s">
        <v>3575</v>
      </c>
      <c r="F785">
        <v>405</v>
      </c>
      <c r="G785">
        <v>96</v>
      </c>
      <c r="H785" t="s">
        <v>789</v>
      </c>
      <c r="I785" t="s">
        <v>2257</v>
      </c>
      <c r="J785">
        <v>711750</v>
      </c>
      <c r="K785">
        <v>2025</v>
      </c>
      <c r="L785">
        <v>1020302978</v>
      </c>
      <c r="M785" t="s">
        <v>3666</v>
      </c>
      <c r="N785" t="s">
        <v>1688</v>
      </c>
      <c r="O785" t="s">
        <v>1686</v>
      </c>
      <c r="P785">
        <v>0</v>
      </c>
      <c r="Q785">
        <v>711750</v>
      </c>
      <c r="R785">
        <v>0</v>
      </c>
      <c r="S785">
        <v>0</v>
      </c>
      <c r="T785" t="str">
        <f t="shared" si="24"/>
        <v>23312.43.4302.85.0-101024.2.3.3.08.06.</v>
      </c>
      <c r="U785" t="e" cm="1">
        <f t="array" aca="1" ref="U785" ca="1">+IF(COMPROMISOS_2025[[#This Row],[P]]="20","41080111",_xlfn.XLOOKUP(COMPROMISOS_2025[[#This Row],[concatenado]],PAA[[#All],[RCP-RUBRO]],PAA[[#All],[INDICADOR]],"",0))</f>
        <v>#NAME?</v>
      </c>
      <c r="V785" s="144" t="str">
        <f t="shared" si="25"/>
        <v>85</v>
      </c>
      <c r="W785" s="136">
        <f>+COMPROMISOS_2025[[#This Row],[valor_total]]-COMPROMISOS_2025[[#This Row],[total_cancelado]]</f>
        <v>711750</v>
      </c>
      <c r="X785" s="136">
        <f>COMPROMISOS_2025[[#This Row],[total_ordenes]]</f>
        <v>711750</v>
      </c>
      <c r="Y785" t="str" cm="1">
        <f t="array" aca="1" ref="Y785" ca="1">IFERROR(_xlfn.XLOOKUP(COMPROMISOS_2025[[#This Row],[concatenado]],PAA[[#All],[RCP-RUBRO]],PAA[[#All],[Actividad3]],VLOOKUP(COMPROMISOS_2025[[#This Row],[Indicador Principal]],$AC$2:$AD$17,2,0),0),"")</f>
        <v/>
      </c>
    </row>
    <row r="786" spans="1:25" hidden="1" x14ac:dyDescent="0.25">
      <c r="A786">
        <v>2332</v>
      </c>
      <c r="B786" t="s">
        <v>2491</v>
      </c>
      <c r="C786" t="s">
        <v>1936</v>
      </c>
      <c r="D786" t="s">
        <v>3575</v>
      </c>
      <c r="F786">
        <v>405</v>
      </c>
      <c r="G786">
        <v>96</v>
      </c>
      <c r="H786" t="s">
        <v>789</v>
      </c>
      <c r="I786" t="s">
        <v>2257</v>
      </c>
      <c r="J786">
        <v>711750</v>
      </c>
      <c r="K786">
        <v>2025</v>
      </c>
      <c r="L786">
        <v>1020304332</v>
      </c>
      <c r="M786" t="s">
        <v>3667</v>
      </c>
      <c r="N786" t="s">
        <v>1688</v>
      </c>
      <c r="O786" t="s">
        <v>1686</v>
      </c>
      <c r="P786">
        <v>0</v>
      </c>
      <c r="Q786">
        <v>711750</v>
      </c>
      <c r="R786">
        <v>0</v>
      </c>
      <c r="S786">
        <v>0</v>
      </c>
      <c r="T786" t="str">
        <f t="shared" si="24"/>
        <v>23322.43.4302.85.0-101024.2.3.3.08.06.</v>
      </c>
      <c r="U786" t="e" cm="1">
        <f t="array" aca="1" ref="U786" ca="1">+IF(COMPROMISOS_2025[[#This Row],[P]]="20","41080111",_xlfn.XLOOKUP(COMPROMISOS_2025[[#This Row],[concatenado]],PAA[[#All],[RCP-RUBRO]],PAA[[#All],[INDICADOR]],"",0))</f>
        <v>#NAME?</v>
      </c>
      <c r="V786" s="144" t="str">
        <f t="shared" si="25"/>
        <v>85</v>
      </c>
      <c r="W786" s="136">
        <f>+COMPROMISOS_2025[[#This Row],[valor_total]]-COMPROMISOS_2025[[#This Row],[total_cancelado]]</f>
        <v>711750</v>
      </c>
      <c r="X786" s="136">
        <f>COMPROMISOS_2025[[#This Row],[total_ordenes]]</f>
        <v>711750</v>
      </c>
      <c r="Y786" t="str" cm="1">
        <f t="array" aca="1" ref="Y786" ca="1">IFERROR(_xlfn.XLOOKUP(COMPROMISOS_2025[[#This Row],[concatenado]],PAA[[#All],[RCP-RUBRO]],PAA[[#All],[Actividad3]],VLOOKUP(COMPROMISOS_2025[[#This Row],[Indicador Principal]],$AC$2:$AD$17,2,0),0),"")</f>
        <v/>
      </c>
    </row>
    <row r="787" spans="1:25" hidden="1" x14ac:dyDescent="0.25">
      <c r="A787">
        <v>2333</v>
      </c>
      <c r="B787" t="s">
        <v>2491</v>
      </c>
      <c r="C787" t="s">
        <v>1936</v>
      </c>
      <c r="D787" t="s">
        <v>3575</v>
      </c>
      <c r="F787">
        <v>405</v>
      </c>
      <c r="G787">
        <v>96</v>
      </c>
      <c r="H787" t="s">
        <v>789</v>
      </c>
      <c r="I787" t="s">
        <v>2257</v>
      </c>
      <c r="J787">
        <v>711750</v>
      </c>
      <c r="K787">
        <v>2025</v>
      </c>
      <c r="L787">
        <v>1020304812</v>
      </c>
      <c r="M787" t="s">
        <v>3668</v>
      </c>
      <c r="N787" t="s">
        <v>1688</v>
      </c>
      <c r="O787" t="s">
        <v>1686</v>
      </c>
      <c r="P787">
        <v>0</v>
      </c>
      <c r="Q787">
        <v>711750</v>
      </c>
      <c r="R787">
        <v>0</v>
      </c>
      <c r="S787">
        <v>0</v>
      </c>
      <c r="T787" t="str">
        <f t="shared" si="24"/>
        <v>23332.43.4302.85.0-101024.2.3.3.08.06.</v>
      </c>
      <c r="U787" t="e" cm="1">
        <f t="array" aca="1" ref="U787" ca="1">+IF(COMPROMISOS_2025[[#This Row],[P]]="20","41080111",_xlfn.XLOOKUP(COMPROMISOS_2025[[#This Row],[concatenado]],PAA[[#All],[RCP-RUBRO]],PAA[[#All],[INDICADOR]],"",0))</f>
        <v>#NAME?</v>
      </c>
      <c r="V787" s="144" t="str">
        <f t="shared" si="25"/>
        <v>85</v>
      </c>
      <c r="W787" s="136">
        <f>+COMPROMISOS_2025[[#This Row],[valor_total]]-COMPROMISOS_2025[[#This Row],[total_cancelado]]</f>
        <v>711750</v>
      </c>
      <c r="X787" s="136">
        <f>COMPROMISOS_2025[[#This Row],[total_ordenes]]</f>
        <v>711750</v>
      </c>
      <c r="Y787" t="str" cm="1">
        <f t="array" aca="1" ref="Y787" ca="1">IFERROR(_xlfn.XLOOKUP(COMPROMISOS_2025[[#This Row],[concatenado]],PAA[[#All],[RCP-RUBRO]],PAA[[#All],[Actividad3]],VLOOKUP(COMPROMISOS_2025[[#This Row],[Indicador Principal]],$AC$2:$AD$17,2,0),0),"")</f>
        <v/>
      </c>
    </row>
    <row r="788" spans="1:25" hidden="1" x14ac:dyDescent="0.25">
      <c r="A788">
        <v>2335</v>
      </c>
      <c r="B788" t="s">
        <v>2491</v>
      </c>
      <c r="C788" t="s">
        <v>1936</v>
      </c>
      <c r="D788" t="s">
        <v>3575</v>
      </c>
      <c r="F788">
        <v>405</v>
      </c>
      <c r="G788">
        <v>96</v>
      </c>
      <c r="H788" t="s">
        <v>789</v>
      </c>
      <c r="I788" t="s">
        <v>2257</v>
      </c>
      <c r="J788">
        <v>711750</v>
      </c>
      <c r="K788">
        <v>2025</v>
      </c>
      <c r="L788">
        <v>1020435051</v>
      </c>
      <c r="M788" t="s">
        <v>3669</v>
      </c>
      <c r="N788" t="s">
        <v>1688</v>
      </c>
      <c r="O788" t="s">
        <v>1686</v>
      </c>
      <c r="P788">
        <v>0</v>
      </c>
      <c r="Q788">
        <v>711750</v>
      </c>
      <c r="R788">
        <v>0</v>
      </c>
      <c r="S788">
        <v>0</v>
      </c>
      <c r="T788" t="str">
        <f t="shared" si="24"/>
        <v>23352.43.4302.85.0-101024.2.3.3.08.06.</v>
      </c>
      <c r="U788" t="e" cm="1">
        <f t="array" aca="1" ref="U788" ca="1">+IF(COMPROMISOS_2025[[#This Row],[P]]="20","41080111",_xlfn.XLOOKUP(COMPROMISOS_2025[[#This Row],[concatenado]],PAA[[#All],[RCP-RUBRO]],PAA[[#All],[INDICADOR]],"",0))</f>
        <v>#NAME?</v>
      </c>
      <c r="V788" s="144" t="str">
        <f t="shared" si="25"/>
        <v>85</v>
      </c>
      <c r="W788" s="136">
        <f>+COMPROMISOS_2025[[#This Row],[valor_total]]-COMPROMISOS_2025[[#This Row],[total_cancelado]]</f>
        <v>711750</v>
      </c>
      <c r="X788" s="136">
        <f>COMPROMISOS_2025[[#This Row],[total_ordenes]]</f>
        <v>711750</v>
      </c>
      <c r="Y788" t="str" cm="1">
        <f t="array" aca="1" ref="Y788" ca="1">IFERROR(_xlfn.XLOOKUP(COMPROMISOS_2025[[#This Row],[concatenado]],PAA[[#All],[RCP-RUBRO]],PAA[[#All],[Actividad3]],VLOOKUP(COMPROMISOS_2025[[#This Row],[Indicador Principal]],$AC$2:$AD$17,2,0),0),"")</f>
        <v/>
      </c>
    </row>
    <row r="789" spans="1:25" hidden="1" x14ac:dyDescent="0.25">
      <c r="A789">
        <v>2342</v>
      </c>
      <c r="B789" t="s">
        <v>2491</v>
      </c>
      <c r="C789" t="s">
        <v>1936</v>
      </c>
      <c r="D789" t="s">
        <v>3575</v>
      </c>
      <c r="F789">
        <v>405</v>
      </c>
      <c r="G789">
        <v>96</v>
      </c>
      <c r="H789" t="s">
        <v>789</v>
      </c>
      <c r="I789" t="s">
        <v>2257</v>
      </c>
      <c r="J789">
        <v>1067625</v>
      </c>
      <c r="K789">
        <v>2025</v>
      </c>
      <c r="L789">
        <v>1021398644</v>
      </c>
      <c r="M789" t="s">
        <v>3670</v>
      </c>
      <c r="N789" t="s">
        <v>1688</v>
      </c>
      <c r="O789" t="s">
        <v>1686</v>
      </c>
      <c r="P789">
        <v>0</v>
      </c>
      <c r="Q789">
        <v>1067625</v>
      </c>
      <c r="R789">
        <v>0</v>
      </c>
      <c r="S789">
        <v>0</v>
      </c>
      <c r="T789" t="str">
        <f t="shared" si="24"/>
        <v>23422.43.4302.85.0-101024.2.3.3.08.06.</v>
      </c>
      <c r="U789" t="e" cm="1">
        <f t="array" aca="1" ref="U789" ca="1">+IF(COMPROMISOS_2025[[#This Row],[P]]="20","41080111",_xlfn.XLOOKUP(COMPROMISOS_2025[[#This Row],[concatenado]],PAA[[#All],[RCP-RUBRO]],PAA[[#All],[INDICADOR]],"",0))</f>
        <v>#NAME?</v>
      </c>
      <c r="V789" s="144" t="str">
        <f t="shared" si="25"/>
        <v>85</v>
      </c>
      <c r="W789" s="136">
        <f>+COMPROMISOS_2025[[#This Row],[valor_total]]-COMPROMISOS_2025[[#This Row],[total_cancelado]]</f>
        <v>1067625</v>
      </c>
      <c r="X789" s="136">
        <f>COMPROMISOS_2025[[#This Row],[total_ordenes]]</f>
        <v>1067625</v>
      </c>
      <c r="Y789" t="str" cm="1">
        <f t="array" aca="1" ref="Y789" ca="1">IFERROR(_xlfn.XLOOKUP(COMPROMISOS_2025[[#This Row],[concatenado]],PAA[[#All],[RCP-RUBRO]],PAA[[#All],[Actividad3]],VLOOKUP(COMPROMISOS_2025[[#This Row],[Indicador Principal]],$AC$2:$AD$17,2,0),0),"")</f>
        <v/>
      </c>
    </row>
    <row r="790" spans="1:25" hidden="1" x14ac:dyDescent="0.25">
      <c r="A790">
        <v>2343</v>
      </c>
      <c r="B790" t="s">
        <v>2491</v>
      </c>
      <c r="C790" t="s">
        <v>1936</v>
      </c>
      <c r="D790" t="s">
        <v>3575</v>
      </c>
      <c r="F790">
        <v>405</v>
      </c>
      <c r="G790">
        <v>96</v>
      </c>
      <c r="H790" t="s">
        <v>789</v>
      </c>
      <c r="I790" t="s">
        <v>2257</v>
      </c>
      <c r="J790">
        <v>1067625</v>
      </c>
      <c r="K790">
        <v>2025</v>
      </c>
      <c r="L790">
        <v>1021803306</v>
      </c>
      <c r="M790" t="s">
        <v>3671</v>
      </c>
      <c r="N790" t="s">
        <v>1688</v>
      </c>
      <c r="O790" t="s">
        <v>1686</v>
      </c>
      <c r="P790">
        <v>0</v>
      </c>
      <c r="Q790">
        <v>1067625</v>
      </c>
      <c r="R790">
        <v>0</v>
      </c>
      <c r="S790">
        <v>0</v>
      </c>
      <c r="T790" t="str">
        <f t="shared" si="24"/>
        <v>23432.43.4302.85.0-101024.2.3.3.08.06.</v>
      </c>
      <c r="U790" t="e" cm="1">
        <f t="array" aca="1" ref="U790" ca="1">+IF(COMPROMISOS_2025[[#This Row],[P]]="20","41080111",_xlfn.XLOOKUP(COMPROMISOS_2025[[#This Row],[concatenado]],PAA[[#All],[RCP-RUBRO]],PAA[[#All],[INDICADOR]],"",0))</f>
        <v>#NAME?</v>
      </c>
      <c r="V790" s="144" t="str">
        <f t="shared" si="25"/>
        <v>85</v>
      </c>
      <c r="W790" s="136">
        <f>+COMPROMISOS_2025[[#This Row],[valor_total]]-COMPROMISOS_2025[[#This Row],[total_cancelado]]</f>
        <v>1067625</v>
      </c>
      <c r="X790" s="136">
        <f>COMPROMISOS_2025[[#This Row],[total_ordenes]]</f>
        <v>1067625</v>
      </c>
      <c r="Y790" t="str" cm="1">
        <f t="array" aca="1" ref="Y790" ca="1">IFERROR(_xlfn.XLOOKUP(COMPROMISOS_2025[[#This Row],[concatenado]],PAA[[#All],[RCP-RUBRO]],PAA[[#All],[Actividad3]],VLOOKUP(COMPROMISOS_2025[[#This Row],[Indicador Principal]],$AC$2:$AD$17,2,0),0),"")</f>
        <v/>
      </c>
    </row>
    <row r="791" spans="1:25" hidden="1" x14ac:dyDescent="0.25">
      <c r="A791">
        <v>2344</v>
      </c>
      <c r="B791" t="s">
        <v>2491</v>
      </c>
      <c r="C791" t="s">
        <v>1936</v>
      </c>
      <c r="D791" t="s">
        <v>3575</v>
      </c>
      <c r="F791">
        <v>405</v>
      </c>
      <c r="G791">
        <v>96</v>
      </c>
      <c r="H791" t="s">
        <v>789</v>
      </c>
      <c r="I791" t="s">
        <v>2257</v>
      </c>
      <c r="J791">
        <v>1067625</v>
      </c>
      <c r="K791">
        <v>2025</v>
      </c>
      <c r="L791">
        <v>1021923103</v>
      </c>
      <c r="M791" t="s">
        <v>3672</v>
      </c>
      <c r="N791" t="s">
        <v>1688</v>
      </c>
      <c r="O791" t="s">
        <v>1686</v>
      </c>
      <c r="P791">
        <v>0</v>
      </c>
      <c r="Q791">
        <v>1067625</v>
      </c>
      <c r="R791">
        <v>0</v>
      </c>
      <c r="S791">
        <v>0</v>
      </c>
      <c r="T791" t="str">
        <f t="shared" si="24"/>
        <v>23442.43.4302.85.0-101024.2.3.3.08.06.</v>
      </c>
      <c r="U791" t="e" cm="1">
        <f t="array" aca="1" ref="U791" ca="1">+IF(COMPROMISOS_2025[[#This Row],[P]]="20","41080111",_xlfn.XLOOKUP(COMPROMISOS_2025[[#This Row],[concatenado]],PAA[[#All],[RCP-RUBRO]],PAA[[#All],[INDICADOR]],"",0))</f>
        <v>#NAME?</v>
      </c>
      <c r="V791" s="144" t="str">
        <f t="shared" si="25"/>
        <v>85</v>
      </c>
      <c r="W791" s="136">
        <f>+COMPROMISOS_2025[[#This Row],[valor_total]]-COMPROMISOS_2025[[#This Row],[total_cancelado]]</f>
        <v>1067625</v>
      </c>
      <c r="X791" s="136">
        <f>COMPROMISOS_2025[[#This Row],[total_ordenes]]</f>
        <v>1067625</v>
      </c>
      <c r="Y791" t="str" cm="1">
        <f t="array" aca="1" ref="Y791" ca="1">IFERROR(_xlfn.XLOOKUP(COMPROMISOS_2025[[#This Row],[concatenado]],PAA[[#All],[RCP-RUBRO]],PAA[[#All],[Actividad3]],VLOOKUP(COMPROMISOS_2025[[#This Row],[Indicador Principal]],$AC$2:$AD$17,2,0),0),"")</f>
        <v/>
      </c>
    </row>
    <row r="792" spans="1:25" hidden="1" x14ac:dyDescent="0.25">
      <c r="A792">
        <v>2345</v>
      </c>
      <c r="B792" t="s">
        <v>2491</v>
      </c>
      <c r="C792" t="s">
        <v>1936</v>
      </c>
      <c r="D792" t="s">
        <v>3575</v>
      </c>
      <c r="F792">
        <v>405</v>
      </c>
      <c r="G792">
        <v>96</v>
      </c>
      <c r="H792" t="s">
        <v>789</v>
      </c>
      <c r="I792" t="s">
        <v>2257</v>
      </c>
      <c r="J792">
        <v>1067625</v>
      </c>
      <c r="K792">
        <v>2025</v>
      </c>
      <c r="L792">
        <v>1021923426</v>
      </c>
      <c r="M792" t="s">
        <v>3673</v>
      </c>
      <c r="N792" t="s">
        <v>1688</v>
      </c>
      <c r="O792" t="s">
        <v>1686</v>
      </c>
      <c r="P792">
        <v>0</v>
      </c>
      <c r="Q792">
        <v>1067625</v>
      </c>
      <c r="R792">
        <v>0</v>
      </c>
      <c r="S792">
        <v>0</v>
      </c>
      <c r="T792" t="str">
        <f t="shared" si="24"/>
        <v>23452.43.4302.85.0-101024.2.3.3.08.06.</v>
      </c>
      <c r="U792" t="e" cm="1">
        <f t="array" aca="1" ref="U792" ca="1">+IF(COMPROMISOS_2025[[#This Row],[P]]="20","41080111",_xlfn.XLOOKUP(COMPROMISOS_2025[[#This Row],[concatenado]],PAA[[#All],[RCP-RUBRO]],PAA[[#All],[INDICADOR]],"",0))</f>
        <v>#NAME?</v>
      </c>
      <c r="V792" s="144" t="str">
        <f t="shared" si="25"/>
        <v>85</v>
      </c>
      <c r="W792" s="136">
        <f>+COMPROMISOS_2025[[#This Row],[valor_total]]-COMPROMISOS_2025[[#This Row],[total_cancelado]]</f>
        <v>1067625</v>
      </c>
      <c r="X792" s="136">
        <f>COMPROMISOS_2025[[#This Row],[total_ordenes]]</f>
        <v>1067625</v>
      </c>
      <c r="Y792" t="str" cm="1">
        <f t="array" aca="1" ref="Y792" ca="1">IFERROR(_xlfn.XLOOKUP(COMPROMISOS_2025[[#This Row],[concatenado]],PAA[[#All],[RCP-RUBRO]],PAA[[#All],[Actividad3]],VLOOKUP(COMPROMISOS_2025[[#This Row],[Indicador Principal]],$AC$2:$AD$17,2,0),0),"")</f>
        <v/>
      </c>
    </row>
    <row r="793" spans="1:25" hidden="1" x14ac:dyDescent="0.25">
      <c r="A793">
        <v>2346</v>
      </c>
      <c r="B793" t="s">
        <v>2491</v>
      </c>
      <c r="C793" t="s">
        <v>1936</v>
      </c>
      <c r="D793" t="s">
        <v>3575</v>
      </c>
      <c r="F793">
        <v>405</v>
      </c>
      <c r="G793">
        <v>96</v>
      </c>
      <c r="H793" t="s">
        <v>789</v>
      </c>
      <c r="I793" t="s">
        <v>2257</v>
      </c>
      <c r="J793">
        <v>711750</v>
      </c>
      <c r="K793">
        <v>2025</v>
      </c>
      <c r="L793">
        <v>1021924359</v>
      </c>
      <c r="M793" t="s">
        <v>3674</v>
      </c>
      <c r="N793" t="s">
        <v>1688</v>
      </c>
      <c r="O793" t="s">
        <v>1686</v>
      </c>
      <c r="P793">
        <v>0</v>
      </c>
      <c r="Q793">
        <v>711750</v>
      </c>
      <c r="R793">
        <v>0</v>
      </c>
      <c r="S793">
        <v>0</v>
      </c>
      <c r="T793" t="str">
        <f t="shared" si="24"/>
        <v>23462.43.4302.85.0-101024.2.3.3.08.06.</v>
      </c>
      <c r="U793" t="e" cm="1">
        <f t="array" aca="1" ref="U793" ca="1">+IF(COMPROMISOS_2025[[#This Row],[P]]="20","41080111",_xlfn.XLOOKUP(COMPROMISOS_2025[[#This Row],[concatenado]],PAA[[#All],[RCP-RUBRO]],PAA[[#All],[INDICADOR]],"",0))</f>
        <v>#NAME?</v>
      </c>
      <c r="V793" s="144" t="str">
        <f t="shared" si="25"/>
        <v>85</v>
      </c>
      <c r="W793" s="136">
        <f>+COMPROMISOS_2025[[#This Row],[valor_total]]-COMPROMISOS_2025[[#This Row],[total_cancelado]]</f>
        <v>711750</v>
      </c>
      <c r="X793" s="136">
        <f>COMPROMISOS_2025[[#This Row],[total_ordenes]]</f>
        <v>711750</v>
      </c>
      <c r="Y793" t="str" cm="1">
        <f t="array" aca="1" ref="Y793" ca="1">IFERROR(_xlfn.XLOOKUP(COMPROMISOS_2025[[#This Row],[concatenado]],PAA[[#All],[RCP-RUBRO]],PAA[[#All],[Actividad3]],VLOOKUP(COMPROMISOS_2025[[#This Row],[Indicador Principal]],$AC$2:$AD$17,2,0),0),"")</f>
        <v/>
      </c>
    </row>
    <row r="794" spans="1:25" hidden="1" x14ac:dyDescent="0.25">
      <c r="A794">
        <v>2347</v>
      </c>
      <c r="B794" t="s">
        <v>2491</v>
      </c>
      <c r="C794" t="s">
        <v>1936</v>
      </c>
      <c r="D794" t="s">
        <v>3575</v>
      </c>
      <c r="F794">
        <v>405</v>
      </c>
      <c r="G794">
        <v>96</v>
      </c>
      <c r="H794" t="s">
        <v>789</v>
      </c>
      <c r="I794" t="s">
        <v>2257</v>
      </c>
      <c r="J794">
        <v>1067625</v>
      </c>
      <c r="K794">
        <v>2025</v>
      </c>
      <c r="L794">
        <v>1021925931</v>
      </c>
      <c r="M794" t="s">
        <v>3675</v>
      </c>
      <c r="N794" t="s">
        <v>1688</v>
      </c>
      <c r="O794" t="s">
        <v>1686</v>
      </c>
      <c r="P794">
        <v>0</v>
      </c>
      <c r="Q794">
        <v>1067625</v>
      </c>
      <c r="R794">
        <v>0</v>
      </c>
      <c r="S794">
        <v>0</v>
      </c>
      <c r="T794" t="str">
        <f t="shared" si="24"/>
        <v>23472.43.4302.85.0-101024.2.3.3.08.06.</v>
      </c>
      <c r="U794" t="e" cm="1">
        <f t="array" aca="1" ref="U794" ca="1">+IF(COMPROMISOS_2025[[#This Row],[P]]="20","41080111",_xlfn.XLOOKUP(COMPROMISOS_2025[[#This Row],[concatenado]],PAA[[#All],[RCP-RUBRO]],PAA[[#All],[INDICADOR]],"",0))</f>
        <v>#NAME?</v>
      </c>
      <c r="V794" s="144" t="str">
        <f t="shared" si="25"/>
        <v>85</v>
      </c>
      <c r="W794" s="136">
        <f>+COMPROMISOS_2025[[#This Row],[valor_total]]-COMPROMISOS_2025[[#This Row],[total_cancelado]]</f>
        <v>1067625</v>
      </c>
      <c r="X794" s="136">
        <f>COMPROMISOS_2025[[#This Row],[total_ordenes]]</f>
        <v>1067625</v>
      </c>
      <c r="Y794" t="str" cm="1">
        <f t="array" aca="1" ref="Y794" ca="1">IFERROR(_xlfn.XLOOKUP(COMPROMISOS_2025[[#This Row],[concatenado]],PAA[[#All],[RCP-RUBRO]],PAA[[#All],[Actividad3]],VLOOKUP(COMPROMISOS_2025[[#This Row],[Indicador Principal]],$AC$2:$AD$17,2,0),0),"")</f>
        <v/>
      </c>
    </row>
    <row r="795" spans="1:25" hidden="1" x14ac:dyDescent="0.25">
      <c r="A795">
        <v>2351</v>
      </c>
      <c r="B795" t="s">
        <v>2491</v>
      </c>
      <c r="C795" t="s">
        <v>1936</v>
      </c>
      <c r="D795" t="s">
        <v>3575</v>
      </c>
      <c r="F795">
        <v>405</v>
      </c>
      <c r="G795">
        <v>96</v>
      </c>
      <c r="H795" t="s">
        <v>789</v>
      </c>
      <c r="I795" t="s">
        <v>2257</v>
      </c>
      <c r="J795">
        <v>711750</v>
      </c>
      <c r="K795">
        <v>2025</v>
      </c>
      <c r="L795">
        <v>1022004608</v>
      </c>
      <c r="M795" t="s">
        <v>3676</v>
      </c>
      <c r="N795" t="s">
        <v>1688</v>
      </c>
      <c r="O795" t="s">
        <v>1686</v>
      </c>
      <c r="P795">
        <v>0</v>
      </c>
      <c r="Q795">
        <v>711750</v>
      </c>
      <c r="R795">
        <v>0</v>
      </c>
      <c r="S795">
        <v>0</v>
      </c>
      <c r="T795" t="str">
        <f t="shared" si="24"/>
        <v>23512.43.4302.85.0-101024.2.3.3.08.06.</v>
      </c>
      <c r="U795" t="e" cm="1">
        <f t="array" aca="1" ref="U795" ca="1">+IF(COMPROMISOS_2025[[#This Row],[P]]="20","41080111",_xlfn.XLOOKUP(COMPROMISOS_2025[[#This Row],[concatenado]],PAA[[#All],[RCP-RUBRO]],PAA[[#All],[INDICADOR]],"",0))</f>
        <v>#NAME?</v>
      </c>
      <c r="V795" s="144" t="str">
        <f t="shared" si="25"/>
        <v>85</v>
      </c>
      <c r="W795" s="136">
        <f>+COMPROMISOS_2025[[#This Row],[valor_total]]-COMPROMISOS_2025[[#This Row],[total_cancelado]]</f>
        <v>711750</v>
      </c>
      <c r="X795" s="136">
        <f>COMPROMISOS_2025[[#This Row],[total_ordenes]]</f>
        <v>711750</v>
      </c>
      <c r="Y795" t="str" cm="1">
        <f t="array" aca="1" ref="Y795" ca="1">IFERROR(_xlfn.XLOOKUP(COMPROMISOS_2025[[#This Row],[concatenado]],PAA[[#All],[RCP-RUBRO]],PAA[[#All],[Actividad3]],VLOOKUP(COMPROMISOS_2025[[#This Row],[Indicador Principal]],$AC$2:$AD$17,2,0),0),"")</f>
        <v/>
      </c>
    </row>
    <row r="796" spans="1:25" hidden="1" x14ac:dyDescent="0.25">
      <c r="A796">
        <v>2352</v>
      </c>
      <c r="B796" t="s">
        <v>2491</v>
      </c>
      <c r="C796" t="s">
        <v>1936</v>
      </c>
      <c r="D796" t="s">
        <v>3575</v>
      </c>
      <c r="F796">
        <v>405</v>
      </c>
      <c r="G796">
        <v>96</v>
      </c>
      <c r="H796" t="s">
        <v>789</v>
      </c>
      <c r="I796" t="s">
        <v>2257</v>
      </c>
      <c r="J796">
        <v>711750</v>
      </c>
      <c r="K796">
        <v>2025</v>
      </c>
      <c r="L796">
        <v>1022148130</v>
      </c>
      <c r="M796" t="s">
        <v>3677</v>
      </c>
      <c r="N796" t="s">
        <v>1688</v>
      </c>
      <c r="O796" t="s">
        <v>1686</v>
      </c>
      <c r="P796">
        <v>0</v>
      </c>
      <c r="Q796">
        <v>711750</v>
      </c>
      <c r="R796">
        <v>0</v>
      </c>
      <c r="S796">
        <v>0</v>
      </c>
      <c r="T796" t="str">
        <f t="shared" si="24"/>
        <v>23522.43.4302.85.0-101024.2.3.3.08.06.</v>
      </c>
      <c r="U796" t="e" cm="1">
        <f t="array" aca="1" ref="U796" ca="1">+IF(COMPROMISOS_2025[[#This Row],[P]]="20","41080111",_xlfn.XLOOKUP(COMPROMISOS_2025[[#This Row],[concatenado]],PAA[[#All],[RCP-RUBRO]],PAA[[#All],[INDICADOR]],"",0))</f>
        <v>#NAME?</v>
      </c>
      <c r="V796" s="144" t="str">
        <f t="shared" si="25"/>
        <v>85</v>
      </c>
      <c r="W796" s="136">
        <f>+COMPROMISOS_2025[[#This Row],[valor_total]]-COMPROMISOS_2025[[#This Row],[total_cancelado]]</f>
        <v>711750</v>
      </c>
      <c r="X796" s="136">
        <f>COMPROMISOS_2025[[#This Row],[total_ordenes]]</f>
        <v>711750</v>
      </c>
      <c r="Y796" t="str" cm="1">
        <f t="array" aca="1" ref="Y796" ca="1">IFERROR(_xlfn.XLOOKUP(COMPROMISOS_2025[[#This Row],[concatenado]],PAA[[#All],[RCP-RUBRO]],PAA[[#All],[Actividad3]],VLOOKUP(COMPROMISOS_2025[[#This Row],[Indicador Principal]],$AC$2:$AD$17,2,0),0),"")</f>
        <v/>
      </c>
    </row>
    <row r="797" spans="1:25" hidden="1" x14ac:dyDescent="0.25">
      <c r="A797">
        <v>2353</v>
      </c>
      <c r="B797" t="s">
        <v>2491</v>
      </c>
      <c r="C797" t="s">
        <v>1936</v>
      </c>
      <c r="D797" t="s">
        <v>3575</v>
      </c>
      <c r="F797">
        <v>405</v>
      </c>
      <c r="G797">
        <v>96</v>
      </c>
      <c r="H797" t="s">
        <v>789</v>
      </c>
      <c r="I797" t="s">
        <v>2257</v>
      </c>
      <c r="J797">
        <v>711750</v>
      </c>
      <c r="K797">
        <v>2025</v>
      </c>
      <c r="L797">
        <v>1022148638</v>
      </c>
      <c r="M797" t="s">
        <v>3678</v>
      </c>
      <c r="N797" t="s">
        <v>1688</v>
      </c>
      <c r="O797" t="s">
        <v>1686</v>
      </c>
      <c r="P797">
        <v>0</v>
      </c>
      <c r="Q797">
        <v>711750</v>
      </c>
      <c r="R797">
        <v>0</v>
      </c>
      <c r="S797">
        <v>0</v>
      </c>
      <c r="T797" t="str">
        <f t="shared" si="24"/>
        <v>23532.43.4302.85.0-101024.2.3.3.08.06.</v>
      </c>
      <c r="U797" t="e" cm="1">
        <f t="array" aca="1" ref="U797" ca="1">+IF(COMPROMISOS_2025[[#This Row],[P]]="20","41080111",_xlfn.XLOOKUP(COMPROMISOS_2025[[#This Row],[concatenado]],PAA[[#All],[RCP-RUBRO]],PAA[[#All],[INDICADOR]],"",0))</f>
        <v>#NAME?</v>
      </c>
      <c r="V797" s="144" t="str">
        <f t="shared" si="25"/>
        <v>85</v>
      </c>
      <c r="W797" s="136">
        <f>+COMPROMISOS_2025[[#This Row],[valor_total]]-COMPROMISOS_2025[[#This Row],[total_cancelado]]</f>
        <v>711750</v>
      </c>
      <c r="X797" s="136">
        <f>COMPROMISOS_2025[[#This Row],[total_ordenes]]</f>
        <v>711750</v>
      </c>
      <c r="Y797" t="str" cm="1">
        <f t="array" aca="1" ref="Y797" ca="1">IFERROR(_xlfn.XLOOKUP(COMPROMISOS_2025[[#This Row],[concatenado]],PAA[[#All],[RCP-RUBRO]],PAA[[#All],[Actividad3]],VLOOKUP(COMPROMISOS_2025[[#This Row],[Indicador Principal]],$AC$2:$AD$17,2,0),0),"")</f>
        <v/>
      </c>
    </row>
    <row r="798" spans="1:25" hidden="1" x14ac:dyDescent="0.25">
      <c r="A798">
        <v>2354</v>
      </c>
      <c r="B798" t="s">
        <v>2491</v>
      </c>
      <c r="C798" t="s">
        <v>1936</v>
      </c>
      <c r="D798" t="s">
        <v>3575</v>
      </c>
      <c r="F798">
        <v>405</v>
      </c>
      <c r="G798">
        <v>96</v>
      </c>
      <c r="H798" t="s">
        <v>789</v>
      </c>
      <c r="I798" t="s">
        <v>2257</v>
      </c>
      <c r="J798">
        <v>711750</v>
      </c>
      <c r="K798">
        <v>2025</v>
      </c>
      <c r="L798">
        <v>10221538121</v>
      </c>
      <c r="M798" t="s">
        <v>3679</v>
      </c>
      <c r="N798" t="s">
        <v>1688</v>
      </c>
      <c r="O798" t="s">
        <v>1686</v>
      </c>
      <c r="P798">
        <v>0</v>
      </c>
      <c r="Q798">
        <v>711750</v>
      </c>
      <c r="R798">
        <v>0</v>
      </c>
      <c r="S798">
        <v>0</v>
      </c>
      <c r="T798" t="str">
        <f t="shared" si="24"/>
        <v>23542.43.4302.85.0-101024.2.3.3.08.06.</v>
      </c>
      <c r="U798" t="e" cm="1">
        <f t="array" aca="1" ref="U798" ca="1">+IF(COMPROMISOS_2025[[#This Row],[P]]="20","41080111",_xlfn.XLOOKUP(COMPROMISOS_2025[[#This Row],[concatenado]],PAA[[#All],[RCP-RUBRO]],PAA[[#All],[INDICADOR]],"",0))</f>
        <v>#NAME?</v>
      </c>
      <c r="V798" s="144" t="str">
        <f t="shared" si="25"/>
        <v>85</v>
      </c>
      <c r="W798" s="136">
        <f>+COMPROMISOS_2025[[#This Row],[valor_total]]-COMPROMISOS_2025[[#This Row],[total_cancelado]]</f>
        <v>711750</v>
      </c>
      <c r="X798" s="136">
        <f>COMPROMISOS_2025[[#This Row],[total_ordenes]]</f>
        <v>711750</v>
      </c>
      <c r="Y798" t="str" cm="1">
        <f t="array" aca="1" ref="Y798" ca="1">IFERROR(_xlfn.XLOOKUP(COMPROMISOS_2025[[#This Row],[concatenado]],PAA[[#All],[RCP-RUBRO]],PAA[[#All],[Actividad3]],VLOOKUP(COMPROMISOS_2025[[#This Row],[Indicador Principal]],$AC$2:$AD$17,2,0),0),"")</f>
        <v/>
      </c>
    </row>
    <row r="799" spans="1:25" hidden="1" x14ac:dyDescent="0.25">
      <c r="A799">
        <v>2357</v>
      </c>
      <c r="B799" t="s">
        <v>2491</v>
      </c>
      <c r="C799" t="s">
        <v>1936</v>
      </c>
      <c r="D799" t="s">
        <v>3575</v>
      </c>
      <c r="F799">
        <v>405</v>
      </c>
      <c r="G799">
        <v>96</v>
      </c>
      <c r="H799" t="s">
        <v>789</v>
      </c>
      <c r="I799" t="s">
        <v>2257</v>
      </c>
      <c r="J799">
        <v>1067625</v>
      </c>
      <c r="K799">
        <v>2025</v>
      </c>
      <c r="L799">
        <v>1023522157</v>
      </c>
      <c r="M799" t="s">
        <v>3680</v>
      </c>
      <c r="N799" t="s">
        <v>1688</v>
      </c>
      <c r="O799" t="s">
        <v>1686</v>
      </c>
      <c r="P799">
        <v>0</v>
      </c>
      <c r="Q799">
        <v>1067625</v>
      </c>
      <c r="R799">
        <v>0</v>
      </c>
      <c r="S799">
        <v>0</v>
      </c>
      <c r="T799" t="str">
        <f t="shared" si="24"/>
        <v>23572.43.4302.85.0-101024.2.3.3.08.06.</v>
      </c>
      <c r="U799" t="e" cm="1">
        <f t="array" aca="1" ref="U799" ca="1">+IF(COMPROMISOS_2025[[#This Row],[P]]="20","41080111",_xlfn.XLOOKUP(COMPROMISOS_2025[[#This Row],[concatenado]],PAA[[#All],[RCP-RUBRO]],PAA[[#All],[INDICADOR]],"",0))</f>
        <v>#NAME?</v>
      </c>
      <c r="V799" s="144" t="str">
        <f t="shared" si="25"/>
        <v>85</v>
      </c>
      <c r="W799" s="136">
        <f>+COMPROMISOS_2025[[#This Row],[valor_total]]-COMPROMISOS_2025[[#This Row],[total_cancelado]]</f>
        <v>1067625</v>
      </c>
      <c r="X799" s="136">
        <f>COMPROMISOS_2025[[#This Row],[total_ordenes]]</f>
        <v>1067625</v>
      </c>
      <c r="Y799" t="str" cm="1">
        <f t="array" aca="1" ref="Y799" ca="1">IFERROR(_xlfn.XLOOKUP(COMPROMISOS_2025[[#This Row],[concatenado]],PAA[[#All],[RCP-RUBRO]],PAA[[#All],[Actividad3]],VLOOKUP(COMPROMISOS_2025[[#This Row],[Indicador Principal]],$AC$2:$AD$17,2,0),0),"")</f>
        <v/>
      </c>
    </row>
    <row r="800" spans="1:25" hidden="1" x14ac:dyDescent="0.25">
      <c r="A800">
        <v>2358</v>
      </c>
      <c r="B800" t="s">
        <v>2491</v>
      </c>
      <c r="C800" t="s">
        <v>1936</v>
      </c>
      <c r="D800" t="s">
        <v>3575</v>
      </c>
      <c r="F800">
        <v>405</v>
      </c>
      <c r="G800">
        <v>96</v>
      </c>
      <c r="H800" t="s">
        <v>789</v>
      </c>
      <c r="I800" t="s">
        <v>2257</v>
      </c>
      <c r="J800">
        <v>711750</v>
      </c>
      <c r="K800">
        <v>2025</v>
      </c>
      <c r="L800">
        <v>1023522739</v>
      </c>
      <c r="M800" t="s">
        <v>3681</v>
      </c>
      <c r="N800" t="s">
        <v>1688</v>
      </c>
      <c r="O800" t="s">
        <v>1686</v>
      </c>
      <c r="P800">
        <v>0</v>
      </c>
      <c r="Q800">
        <v>711750</v>
      </c>
      <c r="R800">
        <v>0</v>
      </c>
      <c r="S800">
        <v>0</v>
      </c>
      <c r="T800" t="str">
        <f t="shared" si="24"/>
        <v>23582.43.4302.85.0-101024.2.3.3.08.06.</v>
      </c>
      <c r="U800" t="e" cm="1">
        <f t="array" aca="1" ref="U800" ca="1">+IF(COMPROMISOS_2025[[#This Row],[P]]="20","41080111",_xlfn.XLOOKUP(COMPROMISOS_2025[[#This Row],[concatenado]],PAA[[#All],[RCP-RUBRO]],PAA[[#All],[INDICADOR]],"",0))</f>
        <v>#NAME?</v>
      </c>
      <c r="V800" s="144" t="str">
        <f t="shared" si="25"/>
        <v>85</v>
      </c>
      <c r="W800" s="136">
        <f>+COMPROMISOS_2025[[#This Row],[valor_total]]-COMPROMISOS_2025[[#This Row],[total_cancelado]]</f>
        <v>711750</v>
      </c>
      <c r="X800" s="136">
        <f>COMPROMISOS_2025[[#This Row],[total_ordenes]]</f>
        <v>711750</v>
      </c>
      <c r="Y800" t="str" cm="1">
        <f t="array" aca="1" ref="Y800" ca="1">IFERROR(_xlfn.XLOOKUP(COMPROMISOS_2025[[#This Row],[concatenado]],PAA[[#All],[RCP-RUBRO]],PAA[[#All],[Actividad3]],VLOOKUP(COMPROMISOS_2025[[#This Row],[Indicador Principal]],$AC$2:$AD$17,2,0),0),"")</f>
        <v/>
      </c>
    </row>
    <row r="801" spans="1:25" hidden="1" x14ac:dyDescent="0.25">
      <c r="A801">
        <v>2360</v>
      </c>
      <c r="B801" t="s">
        <v>2491</v>
      </c>
      <c r="C801" t="s">
        <v>1936</v>
      </c>
      <c r="D801" t="s">
        <v>3575</v>
      </c>
      <c r="F801">
        <v>405</v>
      </c>
      <c r="G801">
        <v>96</v>
      </c>
      <c r="H801" t="s">
        <v>789</v>
      </c>
      <c r="I801" t="s">
        <v>2257</v>
      </c>
      <c r="J801">
        <v>1067625</v>
      </c>
      <c r="K801">
        <v>2025</v>
      </c>
      <c r="L801">
        <v>1023592449</v>
      </c>
      <c r="M801" t="s">
        <v>3682</v>
      </c>
      <c r="N801" t="s">
        <v>1688</v>
      </c>
      <c r="O801" t="s">
        <v>1686</v>
      </c>
      <c r="P801">
        <v>0</v>
      </c>
      <c r="Q801">
        <v>1067625</v>
      </c>
      <c r="R801">
        <v>0</v>
      </c>
      <c r="S801">
        <v>0</v>
      </c>
      <c r="T801" t="str">
        <f t="shared" si="24"/>
        <v>23602.43.4302.85.0-101024.2.3.3.08.06.</v>
      </c>
      <c r="U801" t="e" cm="1">
        <f t="array" aca="1" ref="U801" ca="1">+IF(COMPROMISOS_2025[[#This Row],[P]]="20","41080111",_xlfn.XLOOKUP(COMPROMISOS_2025[[#This Row],[concatenado]],PAA[[#All],[RCP-RUBRO]],PAA[[#All],[INDICADOR]],"",0))</f>
        <v>#NAME?</v>
      </c>
      <c r="V801" s="144" t="str">
        <f t="shared" si="25"/>
        <v>85</v>
      </c>
      <c r="W801" s="136">
        <f>+COMPROMISOS_2025[[#This Row],[valor_total]]-COMPROMISOS_2025[[#This Row],[total_cancelado]]</f>
        <v>1067625</v>
      </c>
      <c r="X801" s="136">
        <f>COMPROMISOS_2025[[#This Row],[total_ordenes]]</f>
        <v>1067625</v>
      </c>
      <c r="Y801" t="str" cm="1">
        <f t="array" aca="1" ref="Y801" ca="1">IFERROR(_xlfn.XLOOKUP(COMPROMISOS_2025[[#This Row],[concatenado]],PAA[[#All],[RCP-RUBRO]],PAA[[#All],[Actividad3]],VLOOKUP(COMPROMISOS_2025[[#This Row],[Indicador Principal]],$AC$2:$AD$17,2,0),0),"")</f>
        <v/>
      </c>
    </row>
    <row r="802" spans="1:25" hidden="1" x14ac:dyDescent="0.25">
      <c r="A802">
        <v>2361</v>
      </c>
      <c r="B802" t="s">
        <v>2491</v>
      </c>
      <c r="C802" t="s">
        <v>1936</v>
      </c>
      <c r="D802" t="s">
        <v>3575</v>
      </c>
      <c r="F802">
        <v>405</v>
      </c>
      <c r="G802">
        <v>96</v>
      </c>
      <c r="H802" t="s">
        <v>789</v>
      </c>
      <c r="I802" t="s">
        <v>2257</v>
      </c>
      <c r="J802">
        <v>711750</v>
      </c>
      <c r="K802">
        <v>2025</v>
      </c>
      <c r="L802">
        <v>1023625192</v>
      </c>
      <c r="M802" t="s">
        <v>3683</v>
      </c>
      <c r="N802" t="s">
        <v>1688</v>
      </c>
      <c r="O802" t="s">
        <v>1686</v>
      </c>
      <c r="P802">
        <v>0</v>
      </c>
      <c r="Q802">
        <v>711750</v>
      </c>
      <c r="R802">
        <v>0</v>
      </c>
      <c r="S802">
        <v>0</v>
      </c>
      <c r="T802" t="str">
        <f t="shared" si="24"/>
        <v>23612.43.4302.85.0-101024.2.3.3.08.06.</v>
      </c>
      <c r="U802" t="e" cm="1">
        <f t="array" aca="1" ref="U802" ca="1">+IF(COMPROMISOS_2025[[#This Row],[P]]="20","41080111",_xlfn.XLOOKUP(COMPROMISOS_2025[[#This Row],[concatenado]],PAA[[#All],[RCP-RUBRO]],PAA[[#All],[INDICADOR]],"",0))</f>
        <v>#NAME?</v>
      </c>
      <c r="V802" s="144" t="str">
        <f t="shared" si="25"/>
        <v>85</v>
      </c>
      <c r="W802" s="136">
        <f>+COMPROMISOS_2025[[#This Row],[valor_total]]-COMPROMISOS_2025[[#This Row],[total_cancelado]]</f>
        <v>711750</v>
      </c>
      <c r="X802" s="136">
        <f>COMPROMISOS_2025[[#This Row],[total_ordenes]]</f>
        <v>711750</v>
      </c>
      <c r="Y802" t="str" cm="1">
        <f t="array" aca="1" ref="Y802" ca="1">IFERROR(_xlfn.XLOOKUP(COMPROMISOS_2025[[#This Row],[concatenado]],PAA[[#All],[RCP-RUBRO]],PAA[[#All],[Actividad3]],VLOOKUP(COMPROMISOS_2025[[#This Row],[Indicador Principal]],$AC$2:$AD$17,2,0),0),"")</f>
        <v/>
      </c>
    </row>
    <row r="803" spans="1:25" hidden="1" x14ac:dyDescent="0.25">
      <c r="A803">
        <v>2363</v>
      </c>
      <c r="B803" t="s">
        <v>2491</v>
      </c>
      <c r="C803" t="s">
        <v>1936</v>
      </c>
      <c r="D803" t="s">
        <v>3575</v>
      </c>
      <c r="F803">
        <v>405</v>
      </c>
      <c r="G803">
        <v>96</v>
      </c>
      <c r="H803" t="s">
        <v>789</v>
      </c>
      <c r="I803" t="s">
        <v>2257</v>
      </c>
      <c r="J803">
        <v>711750</v>
      </c>
      <c r="K803">
        <v>2025</v>
      </c>
      <c r="L803">
        <v>1023629534</v>
      </c>
      <c r="M803" t="s">
        <v>3684</v>
      </c>
      <c r="N803" t="s">
        <v>1688</v>
      </c>
      <c r="O803" t="s">
        <v>1686</v>
      </c>
      <c r="P803">
        <v>0</v>
      </c>
      <c r="Q803">
        <v>711750</v>
      </c>
      <c r="R803">
        <v>0</v>
      </c>
      <c r="S803">
        <v>0</v>
      </c>
      <c r="T803" t="str">
        <f t="shared" si="24"/>
        <v>23632.43.4302.85.0-101024.2.3.3.08.06.</v>
      </c>
      <c r="U803" t="e" cm="1">
        <f t="array" aca="1" ref="U803" ca="1">+IF(COMPROMISOS_2025[[#This Row],[P]]="20","41080111",_xlfn.XLOOKUP(COMPROMISOS_2025[[#This Row],[concatenado]],PAA[[#All],[RCP-RUBRO]],PAA[[#All],[INDICADOR]],"",0))</f>
        <v>#NAME?</v>
      </c>
      <c r="V803" s="144" t="str">
        <f t="shared" si="25"/>
        <v>85</v>
      </c>
      <c r="W803" s="136">
        <f>+COMPROMISOS_2025[[#This Row],[valor_total]]-COMPROMISOS_2025[[#This Row],[total_cancelado]]</f>
        <v>711750</v>
      </c>
      <c r="X803" s="136">
        <f>COMPROMISOS_2025[[#This Row],[total_ordenes]]</f>
        <v>711750</v>
      </c>
      <c r="Y803" t="str" cm="1">
        <f t="array" aca="1" ref="Y803" ca="1">IFERROR(_xlfn.XLOOKUP(COMPROMISOS_2025[[#This Row],[concatenado]],PAA[[#All],[RCP-RUBRO]],PAA[[#All],[Actividad3]],VLOOKUP(COMPROMISOS_2025[[#This Row],[Indicador Principal]],$AC$2:$AD$17,2,0),0),"")</f>
        <v/>
      </c>
    </row>
    <row r="804" spans="1:25" hidden="1" x14ac:dyDescent="0.25">
      <c r="A804">
        <v>2365</v>
      </c>
      <c r="B804" t="s">
        <v>2491</v>
      </c>
      <c r="C804" t="s">
        <v>1936</v>
      </c>
      <c r="D804" t="s">
        <v>3575</v>
      </c>
      <c r="F804">
        <v>405</v>
      </c>
      <c r="G804">
        <v>96</v>
      </c>
      <c r="H804" t="s">
        <v>789</v>
      </c>
      <c r="I804" t="s">
        <v>2257</v>
      </c>
      <c r="J804">
        <v>711750</v>
      </c>
      <c r="K804">
        <v>2025</v>
      </c>
      <c r="L804">
        <v>1023629926</v>
      </c>
      <c r="M804" t="s">
        <v>3685</v>
      </c>
      <c r="N804" t="s">
        <v>1688</v>
      </c>
      <c r="O804" t="s">
        <v>1686</v>
      </c>
      <c r="P804">
        <v>0</v>
      </c>
      <c r="Q804">
        <v>711750</v>
      </c>
      <c r="R804">
        <v>0</v>
      </c>
      <c r="S804">
        <v>0</v>
      </c>
      <c r="T804" t="str">
        <f t="shared" si="24"/>
        <v>23652.43.4302.85.0-101024.2.3.3.08.06.</v>
      </c>
      <c r="U804" t="e" cm="1">
        <f t="array" aca="1" ref="U804" ca="1">+IF(COMPROMISOS_2025[[#This Row],[P]]="20","41080111",_xlfn.XLOOKUP(COMPROMISOS_2025[[#This Row],[concatenado]],PAA[[#All],[RCP-RUBRO]],PAA[[#All],[INDICADOR]],"",0))</f>
        <v>#NAME?</v>
      </c>
      <c r="V804" s="144" t="str">
        <f t="shared" si="25"/>
        <v>85</v>
      </c>
      <c r="W804" s="136">
        <f>+COMPROMISOS_2025[[#This Row],[valor_total]]-COMPROMISOS_2025[[#This Row],[total_cancelado]]</f>
        <v>711750</v>
      </c>
      <c r="X804" s="136">
        <f>COMPROMISOS_2025[[#This Row],[total_ordenes]]</f>
        <v>711750</v>
      </c>
      <c r="Y804" t="str" cm="1">
        <f t="array" aca="1" ref="Y804" ca="1">IFERROR(_xlfn.XLOOKUP(COMPROMISOS_2025[[#This Row],[concatenado]],PAA[[#All],[RCP-RUBRO]],PAA[[#All],[Actividad3]],VLOOKUP(COMPROMISOS_2025[[#This Row],[Indicador Principal]],$AC$2:$AD$17,2,0),0),"")</f>
        <v/>
      </c>
    </row>
    <row r="805" spans="1:25" hidden="1" x14ac:dyDescent="0.25">
      <c r="A805">
        <v>2367</v>
      </c>
      <c r="B805" t="s">
        <v>2491</v>
      </c>
      <c r="C805" t="s">
        <v>1936</v>
      </c>
      <c r="D805" t="s">
        <v>3575</v>
      </c>
      <c r="F805">
        <v>405</v>
      </c>
      <c r="G805">
        <v>96</v>
      </c>
      <c r="H805" t="s">
        <v>789</v>
      </c>
      <c r="I805" t="s">
        <v>2257</v>
      </c>
      <c r="J805">
        <v>711750</v>
      </c>
      <c r="K805">
        <v>2025</v>
      </c>
      <c r="L805">
        <v>1023631790</v>
      </c>
      <c r="M805" t="s">
        <v>3686</v>
      </c>
      <c r="N805" t="s">
        <v>1688</v>
      </c>
      <c r="O805" t="s">
        <v>1686</v>
      </c>
      <c r="P805">
        <v>0</v>
      </c>
      <c r="Q805">
        <v>711750</v>
      </c>
      <c r="R805">
        <v>0</v>
      </c>
      <c r="S805">
        <v>0</v>
      </c>
      <c r="T805" t="str">
        <f t="shared" si="24"/>
        <v>23672.43.4302.85.0-101024.2.3.3.08.06.</v>
      </c>
      <c r="U805" t="e" cm="1">
        <f t="array" aca="1" ref="U805" ca="1">+IF(COMPROMISOS_2025[[#This Row],[P]]="20","41080111",_xlfn.XLOOKUP(COMPROMISOS_2025[[#This Row],[concatenado]],PAA[[#All],[RCP-RUBRO]],PAA[[#All],[INDICADOR]],"",0))</f>
        <v>#NAME?</v>
      </c>
      <c r="V805" s="144" t="str">
        <f t="shared" si="25"/>
        <v>85</v>
      </c>
      <c r="W805" s="136">
        <f>+COMPROMISOS_2025[[#This Row],[valor_total]]-COMPROMISOS_2025[[#This Row],[total_cancelado]]</f>
        <v>711750</v>
      </c>
      <c r="X805" s="136">
        <f>COMPROMISOS_2025[[#This Row],[total_ordenes]]</f>
        <v>711750</v>
      </c>
      <c r="Y805" t="str" cm="1">
        <f t="array" aca="1" ref="Y805" ca="1">IFERROR(_xlfn.XLOOKUP(COMPROMISOS_2025[[#This Row],[concatenado]],PAA[[#All],[RCP-RUBRO]],PAA[[#All],[Actividad3]],VLOOKUP(COMPROMISOS_2025[[#This Row],[Indicador Principal]],$AC$2:$AD$17,2,0),0),"")</f>
        <v/>
      </c>
    </row>
    <row r="806" spans="1:25" hidden="1" x14ac:dyDescent="0.25">
      <c r="A806">
        <v>2368</v>
      </c>
      <c r="B806" t="s">
        <v>2491</v>
      </c>
      <c r="C806" t="s">
        <v>1936</v>
      </c>
      <c r="D806" t="s">
        <v>3575</v>
      </c>
      <c r="F806">
        <v>405</v>
      </c>
      <c r="G806">
        <v>96</v>
      </c>
      <c r="H806" t="s">
        <v>789</v>
      </c>
      <c r="I806" t="s">
        <v>2257</v>
      </c>
      <c r="J806">
        <v>1067625</v>
      </c>
      <c r="K806">
        <v>2025</v>
      </c>
      <c r="L806">
        <v>1023632698</v>
      </c>
      <c r="M806" t="s">
        <v>3687</v>
      </c>
      <c r="N806" t="s">
        <v>1688</v>
      </c>
      <c r="O806" t="s">
        <v>1686</v>
      </c>
      <c r="P806">
        <v>0</v>
      </c>
      <c r="Q806">
        <v>1067625</v>
      </c>
      <c r="R806">
        <v>0</v>
      </c>
      <c r="S806">
        <v>0</v>
      </c>
      <c r="T806" t="str">
        <f t="shared" si="24"/>
        <v>23682.43.4302.85.0-101024.2.3.3.08.06.</v>
      </c>
      <c r="U806" t="e" cm="1">
        <f t="array" aca="1" ref="U806" ca="1">+IF(COMPROMISOS_2025[[#This Row],[P]]="20","41080111",_xlfn.XLOOKUP(COMPROMISOS_2025[[#This Row],[concatenado]],PAA[[#All],[RCP-RUBRO]],PAA[[#All],[INDICADOR]],"",0))</f>
        <v>#NAME?</v>
      </c>
      <c r="V806" s="144" t="str">
        <f t="shared" si="25"/>
        <v>85</v>
      </c>
      <c r="W806" s="136">
        <f>+COMPROMISOS_2025[[#This Row],[valor_total]]-COMPROMISOS_2025[[#This Row],[total_cancelado]]</f>
        <v>1067625</v>
      </c>
      <c r="X806" s="136">
        <f>COMPROMISOS_2025[[#This Row],[total_ordenes]]</f>
        <v>1067625</v>
      </c>
      <c r="Y806" t="str" cm="1">
        <f t="array" aca="1" ref="Y806" ca="1">IFERROR(_xlfn.XLOOKUP(COMPROMISOS_2025[[#This Row],[concatenado]],PAA[[#All],[RCP-RUBRO]],PAA[[#All],[Actividad3]],VLOOKUP(COMPROMISOS_2025[[#This Row],[Indicador Principal]],$AC$2:$AD$17,2,0),0),"")</f>
        <v/>
      </c>
    </row>
    <row r="807" spans="1:25" hidden="1" x14ac:dyDescent="0.25">
      <c r="A807">
        <v>2370</v>
      </c>
      <c r="B807" t="s">
        <v>2491</v>
      </c>
      <c r="C807" t="s">
        <v>1936</v>
      </c>
      <c r="D807" t="s">
        <v>3575</v>
      </c>
      <c r="F807">
        <v>405</v>
      </c>
      <c r="G807">
        <v>96</v>
      </c>
      <c r="H807" t="s">
        <v>789</v>
      </c>
      <c r="I807" t="s">
        <v>2257</v>
      </c>
      <c r="J807">
        <v>711750</v>
      </c>
      <c r="K807">
        <v>2025</v>
      </c>
      <c r="L807">
        <v>1023638406</v>
      </c>
      <c r="M807" t="s">
        <v>3688</v>
      </c>
      <c r="N807" t="s">
        <v>1688</v>
      </c>
      <c r="O807" t="s">
        <v>1686</v>
      </c>
      <c r="P807">
        <v>0</v>
      </c>
      <c r="Q807">
        <v>711750</v>
      </c>
      <c r="R807">
        <v>0</v>
      </c>
      <c r="S807">
        <v>0</v>
      </c>
      <c r="T807" t="str">
        <f t="shared" si="24"/>
        <v>23702.43.4302.85.0-101024.2.3.3.08.06.</v>
      </c>
      <c r="U807" t="e" cm="1">
        <f t="array" aca="1" ref="U807" ca="1">+IF(COMPROMISOS_2025[[#This Row],[P]]="20","41080111",_xlfn.XLOOKUP(COMPROMISOS_2025[[#This Row],[concatenado]],PAA[[#All],[RCP-RUBRO]],PAA[[#All],[INDICADOR]],"",0))</f>
        <v>#NAME?</v>
      </c>
      <c r="V807" s="144" t="str">
        <f t="shared" si="25"/>
        <v>85</v>
      </c>
      <c r="W807" s="136">
        <f>+COMPROMISOS_2025[[#This Row],[valor_total]]-COMPROMISOS_2025[[#This Row],[total_cancelado]]</f>
        <v>711750</v>
      </c>
      <c r="X807" s="136">
        <f>COMPROMISOS_2025[[#This Row],[total_ordenes]]</f>
        <v>711750</v>
      </c>
      <c r="Y807" t="str" cm="1">
        <f t="array" aca="1" ref="Y807" ca="1">IFERROR(_xlfn.XLOOKUP(COMPROMISOS_2025[[#This Row],[concatenado]],PAA[[#All],[RCP-RUBRO]],PAA[[#All],[Actividad3]],VLOOKUP(COMPROMISOS_2025[[#This Row],[Indicador Principal]],$AC$2:$AD$17,2,0),0),"")</f>
        <v/>
      </c>
    </row>
    <row r="808" spans="1:25" hidden="1" x14ac:dyDescent="0.25">
      <c r="A808">
        <v>2371</v>
      </c>
      <c r="B808" t="s">
        <v>2491</v>
      </c>
      <c r="C808" t="s">
        <v>1936</v>
      </c>
      <c r="D808" t="s">
        <v>3575</v>
      </c>
      <c r="F808">
        <v>405</v>
      </c>
      <c r="G808">
        <v>96</v>
      </c>
      <c r="H808" t="s">
        <v>789</v>
      </c>
      <c r="I808" t="s">
        <v>2257</v>
      </c>
      <c r="J808">
        <v>711750</v>
      </c>
      <c r="K808">
        <v>2025</v>
      </c>
      <c r="L808">
        <v>1025645512</v>
      </c>
      <c r="M808" t="s">
        <v>3689</v>
      </c>
      <c r="N808" t="s">
        <v>1688</v>
      </c>
      <c r="O808" t="s">
        <v>1686</v>
      </c>
      <c r="P808">
        <v>0</v>
      </c>
      <c r="Q808">
        <v>711750</v>
      </c>
      <c r="R808">
        <v>0</v>
      </c>
      <c r="S808">
        <v>0</v>
      </c>
      <c r="T808" t="str">
        <f t="shared" si="24"/>
        <v>23712.43.4302.85.0-101024.2.3.3.08.06.</v>
      </c>
      <c r="U808" t="e" cm="1">
        <f t="array" aca="1" ref="U808" ca="1">+IF(COMPROMISOS_2025[[#This Row],[P]]="20","41080111",_xlfn.XLOOKUP(COMPROMISOS_2025[[#This Row],[concatenado]],PAA[[#All],[RCP-RUBRO]],PAA[[#All],[INDICADOR]],"",0))</f>
        <v>#NAME?</v>
      </c>
      <c r="V808" s="144" t="str">
        <f t="shared" si="25"/>
        <v>85</v>
      </c>
      <c r="W808" s="136">
        <f>+COMPROMISOS_2025[[#This Row],[valor_total]]-COMPROMISOS_2025[[#This Row],[total_cancelado]]</f>
        <v>711750</v>
      </c>
      <c r="X808" s="136">
        <f>COMPROMISOS_2025[[#This Row],[total_ordenes]]</f>
        <v>711750</v>
      </c>
      <c r="Y808" t="str" cm="1">
        <f t="array" aca="1" ref="Y808" ca="1">IFERROR(_xlfn.XLOOKUP(COMPROMISOS_2025[[#This Row],[concatenado]],PAA[[#All],[RCP-RUBRO]],PAA[[#All],[Actividad3]],VLOOKUP(COMPROMISOS_2025[[#This Row],[Indicador Principal]],$AC$2:$AD$17,2,0),0),"")</f>
        <v/>
      </c>
    </row>
    <row r="809" spans="1:25" hidden="1" x14ac:dyDescent="0.25">
      <c r="A809">
        <v>2372</v>
      </c>
      <c r="B809" t="s">
        <v>2491</v>
      </c>
      <c r="C809" t="s">
        <v>1936</v>
      </c>
      <c r="D809" t="s">
        <v>3575</v>
      </c>
      <c r="F809">
        <v>405</v>
      </c>
      <c r="G809">
        <v>96</v>
      </c>
      <c r="H809" t="s">
        <v>789</v>
      </c>
      <c r="I809" t="s">
        <v>2257</v>
      </c>
      <c r="J809">
        <v>711750</v>
      </c>
      <c r="K809">
        <v>2025</v>
      </c>
      <c r="L809">
        <v>1025645730</v>
      </c>
      <c r="M809" t="s">
        <v>3690</v>
      </c>
      <c r="N809" t="s">
        <v>1688</v>
      </c>
      <c r="O809" t="s">
        <v>1686</v>
      </c>
      <c r="P809">
        <v>0</v>
      </c>
      <c r="Q809">
        <v>711750</v>
      </c>
      <c r="R809">
        <v>0</v>
      </c>
      <c r="S809">
        <v>0</v>
      </c>
      <c r="T809" t="str">
        <f t="shared" si="24"/>
        <v>23722.43.4302.85.0-101024.2.3.3.08.06.</v>
      </c>
      <c r="U809" t="e" cm="1">
        <f t="array" aca="1" ref="U809" ca="1">+IF(COMPROMISOS_2025[[#This Row],[P]]="20","41080111",_xlfn.XLOOKUP(COMPROMISOS_2025[[#This Row],[concatenado]],PAA[[#All],[RCP-RUBRO]],PAA[[#All],[INDICADOR]],"",0))</f>
        <v>#NAME?</v>
      </c>
      <c r="V809" s="144" t="str">
        <f t="shared" si="25"/>
        <v>85</v>
      </c>
      <c r="W809" s="136">
        <f>+COMPROMISOS_2025[[#This Row],[valor_total]]-COMPROMISOS_2025[[#This Row],[total_cancelado]]</f>
        <v>711750</v>
      </c>
      <c r="X809" s="136">
        <f>COMPROMISOS_2025[[#This Row],[total_ordenes]]</f>
        <v>711750</v>
      </c>
      <c r="Y809" t="str" cm="1">
        <f t="array" aca="1" ref="Y809" ca="1">IFERROR(_xlfn.XLOOKUP(COMPROMISOS_2025[[#This Row],[concatenado]],PAA[[#All],[RCP-RUBRO]],PAA[[#All],[Actividad3]],VLOOKUP(COMPROMISOS_2025[[#This Row],[Indicador Principal]],$AC$2:$AD$17,2,0),0),"")</f>
        <v/>
      </c>
    </row>
    <row r="810" spans="1:25" hidden="1" x14ac:dyDescent="0.25">
      <c r="A810">
        <v>2373</v>
      </c>
      <c r="B810" t="s">
        <v>2491</v>
      </c>
      <c r="C810" t="s">
        <v>1936</v>
      </c>
      <c r="D810" t="s">
        <v>3575</v>
      </c>
      <c r="F810">
        <v>405</v>
      </c>
      <c r="G810">
        <v>96</v>
      </c>
      <c r="H810" t="s">
        <v>789</v>
      </c>
      <c r="I810" t="s">
        <v>2257</v>
      </c>
      <c r="J810">
        <v>711750</v>
      </c>
      <c r="K810">
        <v>2025</v>
      </c>
      <c r="L810">
        <v>1025649690</v>
      </c>
      <c r="M810" t="s">
        <v>3691</v>
      </c>
      <c r="N810" t="s">
        <v>1688</v>
      </c>
      <c r="O810" t="s">
        <v>1686</v>
      </c>
      <c r="P810">
        <v>0</v>
      </c>
      <c r="Q810">
        <v>711750</v>
      </c>
      <c r="R810">
        <v>0</v>
      </c>
      <c r="S810">
        <v>0</v>
      </c>
      <c r="T810" t="str">
        <f t="shared" si="24"/>
        <v>23732.43.4302.85.0-101024.2.3.3.08.06.</v>
      </c>
      <c r="U810" t="e" cm="1">
        <f t="array" aca="1" ref="U810" ca="1">+IF(COMPROMISOS_2025[[#This Row],[P]]="20","41080111",_xlfn.XLOOKUP(COMPROMISOS_2025[[#This Row],[concatenado]],PAA[[#All],[RCP-RUBRO]],PAA[[#All],[INDICADOR]],"",0))</f>
        <v>#NAME?</v>
      </c>
      <c r="V810" s="144" t="str">
        <f t="shared" si="25"/>
        <v>85</v>
      </c>
      <c r="W810" s="136">
        <f>+COMPROMISOS_2025[[#This Row],[valor_total]]-COMPROMISOS_2025[[#This Row],[total_cancelado]]</f>
        <v>711750</v>
      </c>
      <c r="X810" s="136">
        <f>COMPROMISOS_2025[[#This Row],[total_ordenes]]</f>
        <v>711750</v>
      </c>
      <c r="Y810" t="str" cm="1">
        <f t="array" aca="1" ref="Y810" ca="1">IFERROR(_xlfn.XLOOKUP(COMPROMISOS_2025[[#This Row],[concatenado]],PAA[[#All],[RCP-RUBRO]],PAA[[#All],[Actividad3]],VLOOKUP(COMPROMISOS_2025[[#This Row],[Indicador Principal]],$AC$2:$AD$17,2,0),0),"")</f>
        <v/>
      </c>
    </row>
    <row r="811" spans="1:25" hidden="1" x14ac:dyDescent="0.25">
      <c r="A811">
        <v>2374</v>
      </c>
      <c r="B811" t="s">
        <v>2491</v>
      </c>
      <c r="C811" t="s">
        <v>1936</v>
      </c>
      <c r="D811" t="s">
        <v>3575</v>
      </c>
      <c r="F811">
        <v>405</v>
      </c>
      <c r="G811">
        <v>96</v>
      </c>
      <c r="H811" t="s">
        <v>789</v>
      </c>
      <c r="I811" t="s">
        <v>2257</v>
      </c>
      <c r="J811">
        <v>711750</v>
      </c>
      <c r="K811">
        <v>2025</v>
      </c>
      <c r="L811">
        <v>1025649713</v>
      </c>
      <c r="M811" t="s">
        <v>3692</v>
      </c>
      <c r="N811" t="s">
        <v>1688</v>
      </c>
      <c r="O811" t="s">
        <v>1686</v>
      </c>
      <c r="P811">
        <v>0</v>
      </c>
      <c r="Q811">
        <v>711750</v>
      </c>
      <c r="R811">
        <v>0</v>
      </c>
      <c r="S811">
        <v>0</v>
      </c>
      <c r="T811" t="str">
        <f t="shared" si="24"/>
        <v>23742.43.4302.85.0-101024.2.3.3.08.06.</v>
      </c>
      <c r="U811" t="e" cm="1">
        <f t="array" aca="1" ref="U811" ca="1">+IF(COMPROMISOS_2025[[#This Row],[P]]="20","41080111",_xlfn.XLOOKUP(COMPROMISOS_2025[[#This Row],[concatenado]],PAA[[#All],[RCP-RUBRO]],PAA[[#All],[INDICADOR]],"",0))</f>
        <v>#NAME?</v>
      </c>
      <c r="V811" s="144" t="str">
        <f t="shared" si="25"/>
        <v>85</v>
      </c>
      <c r="W811" s="136">
        <f>+COMPROMISOS_2025[[#This Row],[valor_total]]-COMPROMISOS_2025[[#This Row],[total_cancelado]]</f>
        <v>711750</v>
      </c>
      <c r="X811" s="136">
        <f>COMPROMISOS_2025[[#This Row],[total_ordenes]]</f>
        <v>711750</v>
      </c>
      <c r="Y811" t="str" cm="1">
        <f t="array" aca="1" ref="Y811" ca="1">IFERROR(_xlfn.XLOOKUP(COMPROMISOS_2025[[#This Row],[concatenado]],PAA[[#All],[RCP-RUBRO]],PAA[[#All],[Actividad3]],VLOOKUP(COMPROMISOS_2025[[#This Row],[Indicador Principal]],$AC$2:$AD$17,2,0),0),"")</f>
        <v/>
      </c>
    </row>
    <row r="812" spans="1:25" hidden="1" x14ac:dyDescent="0.25">
      <c r="A812">
        <v>2376</v>
      </c>
      <c r="B812" t="s">
        <v>2491</v>
      </c>
      <c r="C812" t="s">
        <v>1936</v>
      </c>
      <c r="D812" t="s">
        <v>3575</v>
      </c>
      <c r="F812">
        <v>405</v>
      </c>
      <c r="G812">
        <v>96</v>
      </c>
      <c r="H812" t="s">
        <v>789</v>
      </c>
      <c r="I812" t="s">
        <v>2257</v>
      </c>
      <c r="J812">
        <v>711750</v>
      </c>
      <c r="K812">
        <v>2025</v>
      </c>
      <c r="L812">
        <v>1025653001</v>
      </c>
      <c r="M812" t="s">
        <v>3693</v>
      </c>
      <c r="N812" t="s">
        <v>1688</v>
      </c>
      <c r="O812" t="s">
        <v>1686</v>
      </c>
      <c r="P812">
        <v>0</v>
      </c>
      <c r="Q812">
        <v>711750</v>
      </c>
      <c r="R812">
        <v>0</v>
      </c>
      <c r="S812">
        <v>0</v>
      </c>
      <c r="T812" t="str">
        <f t="shared" si="24"/>
        <v>23762.43.4302.85.0-101024.2.3.3.08.06.</v>
      </c>
      <c r="U812" t="e" cm="1">
        <f t="array" aca="1" ref="U812" ca="1">+IF(COMPROMISOS_2025[[#This Row],[P]]="20","41080111",_xlfn.XLOOKUP(COMPROMISOS_2025[[#This Row],[concatenado]],PAA[[#All],[RCP-RUBRO]],PAA[[#All],[INDICADOR]],"",0))</f>
        <v>#NAME?</v>
      </c>
      <c r="V812" s="144" t="str">
        <f t="shared" si="25"/>
        <v>85</v>
      </c>
      <c r="W812" s="136">
        <f>+COMPROMISOS_2025[[#This Row],[valor_total]]-COMPROMISOS_2025[[#This Row],[total_cancelado]]</f>
        <v>711750</v>
      </c>
      <c r="X812" s="136">
        <f>COMPROMISOS_2025[[#This Row],[total_ordenes]]</f>
        <v>711750</v>
      </c>
      <c r="Y812" t="str" cm="1">
        <f t="array" aca="1" ref="Y812" ca="1">IFERROR(_xlfn.XLOOKUP(COMPROMISOS_2025[[#This Row],[concatenado]],PAA[[#All],[RCP-RUBRO]],PAA[[#All],[Actividad3]],VLOOKUP(COMPROMISOS_2025[[#This Row],[Indicador Principal]],$AC$2:$AD$17,2,0),0),"")</f>
        <v/>
      </c>
    </row>
    <row r="813" spans="1:25" hidden="1" x14ac:dyDescent="0.25">
      <c r="A813">
        <v>2377</v>
      </c>
      <c r="B813" t="s">
        <v>2491</v>
      </c>
      <c r="C813" t="s">
        <v>1936</v>
      </c>
      <c r="D813" t="s">
        <v>3575</v>
      </c>
      <c r="F813">
        <v>405</v>
      </c>
      <c r="G813">
        <v>96</v>
      </c>
      <c r="H813" t="s">
        <v>789</v>
      </c>
      <c r="I813" t="s">
        <v>2257</v>
      </c>
      <c r="J813">
        <v>711750</v>
      </c>
      <c r="K813">
        <v>2025</v>
      </c>
      <c r="L813">
        <v>1025653009</v>
      </c>
      <c r="M813" t="s">
        <v>3694</v>
      </c>
      <c r="N813" t="s">
        <v>1688</v>
      </c>
      <c r="O813" t="s">
        <v>1686</v>
      </c>
      <c r="P813">
        <v>0</v>
      </c>
      <c r="Q813">
        <v>711750</v>
      </c>
      <c r="R813">
        <v>0</v>
      </c>
      <c r="S813">
        <v>0</v>
      </c>
      <c r="T813" t="str">
        <f t="shared" si="24"/>
        <v>23772.43.4302.85.0-101024.2.3.3.08.06.</v>
      </c>
      <c r="U813" t="e" cm="1">
        <f t="array" aca="1" ref="U813" ca="1">+IF(COMPROMISOS_2025[[#This Row],[P]]="20","41080111",_xlfn.XLOOKUP(COMPROMISOS_2025[[#This Row],[concatenado]],PAA[[#All],[RCP-RUBRO]],PAA[[#All],[INDICADOR]],"",0))</f>
        <v>#NAME?</v>
      </c>
      <c r="V813" s="144" t="str">
        <f t="shared" si="25"/>
        <v>85</v>
      </c>
      <c r="W813" s="136">
        <f>+COMPROMISOS_2025[[#This Row],[valor_total]]-COMPROMISOS_2025[[#This Row],[total_cancelado]]</f>
        <v>711750</v>
      </c>
      <c r="X813" s="136">
        <f>COMPROMISOS_2025[[#This Row],[total_ordenes]]</f>
        <v>711750</v>
      </c>
      <c r="Y813" t="str" cm="1">
        <f t="array" aca="1" ref="Y813" ca="1">IFERROR(_xlfn.XLOOKUP(COMPROMISOS_2025[[#This Row],[concatenado]],PAA[[#All],[RCP-RUBRO]],PAA[[#All],[Actividad3]],VLOOKUP(COMPROMISOS_2025[[#This Row],[Indicador Principal]],$AC$2:$AD$17,2,0),0),"")</f>
        <v/>
      </c>
    </row>
    <row r="814" spans="1:25" hidden="1" x14ac:dyDescent="0.25">
      <c r="A814">
        <v>2378</v>
      </c>
      <c r="B814" t="s">
        <v>2491</v>
      </c>
      <c r="C814" t="s">
        <v>1936</v>
      </c>
      <c r="D814" t="s">
        <v>3575</v>
      </c>
      <c r="F814">
        <v>405</v>
      </c>
      <c r="G814">
        <v>96</v>
      </c>
      <c r="H814" t="s">
        <v>789</v>
      </c>
      <c r="I814" t="s">
        <v>2257</v>
      </c>
      <c r="J814">
        <v>711750</v>
      </c>
      <c r="K814">
        <v>2025</v>
      </c>
      <c r="L814">
        <v>1025655241</v>
      </c>
      <c r="M814" t="s">
        <v>3695</v>
      </c>
      <c r="N814" t="s">
        <v>1688</v>
      </c>
      <c r="O814" t="s">
        <v>1686</v>
      </c>
      <c r="P814">
        <v>0</v>
      </c>
      <c r="Q814">
        <v>711750</v>
      </c>
      <c r="R814">
        <v>0</v>
      </c>
      <c r="S814">
        <v>0</v>
      </c>
      <c r="T814" t="str">
        <f t="shared" si="24"/>
        <v>23782.43.4302.85.0-101024.2.3.3.08.06.</v>
      </c>
      <c r="U814" t="e" cm="1">
        <f t="array" aca="1" ref="U814" ca="1">+IF(COMPROMISOS_2025[[#This Row],[P]]="20","41080111",_xlfn.XLOOKUP(COMPROMISOS_2025[[#This Row],[concatenado]],PAA[[#All],[RCP-RUBRO]],PAA[[#All],[INDICADOR]],"",0))</f>
        <v>#NAME?</v>
      </c>
      <c r="V814" s="144" t="str">
        <f t="shared" si="25"/>
        <v>85</v>
      </c>
      <c r="W814" s="136">
        <f>+COMPROMISOS_2025[[#This Row],[valor_total]]-COMPROMISOS_2025[[#This Row],[total_cancelado]]</f>
        <v>711750</v>
      </c>
      <c r="X814" s="136">
        <f>COMPROMISOS_2025[[#This Row],[total_ordenes]]</f>
        <v>711750</v>
      </c>
      <c r="Y814" t="str" cm="1">
        <f t="array" aca="1" ref="Y814" ca="1">IFERROR(_xlfn.XLOOKUP(COMPROMISOS_2025[[#This Row],[concatenado]],PAA[[#All],[RCP-RUBRO]],PAA[[#All],[Actividad3]],VLOOKUP(COMPROMISOS_2025[[#This Row],[Indicador Principal]],$AC$2:$AD$17,2,0),0),"")</f>
        <v/>
      </c>
    </row>
    <row r="815" spans="1:25" hidden="1" x14ac:dyDescent="0.25">
      <c r="A815">
        <v>2379</v>
      </c>
      <c r="B815" t="s">
        <v>2491</v>
      </c>
      <c r="C815" t="s">
        <v>1936</v>
      </c>
      <c r="D815" t="s">
        <v>3575</v>
      </c>
      <c r="F815">
        <v>405</v>
      </c>
      <c r="G815">
        <v>96</v>
      </c>
      <c r="H815" t="s">
        <v>789</v>
      </c>
      <c r="I815" t="s">
        <v>2257</v>
      </c>
      <c r="J815">
        <v>1423500</v>
      </c>
      <c r="K815">
        <v>2025</v>
      </c>
      <c r="L815">
        <v>1025658645</v>
      </c>
      <c r="M815" t="s">
        <v>3696</v>
      </c>
      <c r="N815" t="s">
        <v>1688</v>
      </c>
      <c r="O815" t="s">
        <v>1686</v>
      </c>
      <c r="P815">
        <v>0</v>
      </c>
      <c r="Q815">
        <v>1423500</v>
      </c>
      <c r="R815">
        <v>0</v>
      </c>
      <c r="S815">
        <v>0</v>
      </c>
      <c r="T815" t="str">
        <f t="shared" si="24"/>
        <v>23792.43.4302.85.0-101024.2.3.3.08.06.</v>
      </c>
      <c r="U815" t="e" cm="1">
        <f t="array" aca="1" ref="U815" ca="1">+IF(COMPROMISOS_2025[[#This Row],[P]]="20","41080111",_xlfn.XLOOKUP(COMPROMISOS_2025[[#This Row],[concatenado]],PAA[[#All],[RCP-RUBRO]],PAA[[#All],[INDICADOR]],"",0))</f>
        <v>#NAME?</v>
      </c>
      <c r="V815" s="144" t="str">
        <f t="shared" si="25"/>
        <v>85</v>
      </c>
      <c r="W815" s="136">
        <f>+COMPROMISOS_2025[[#This Row],[valor_total]]-COMPROMISOS_2025[[#This Row],[total_cancelado]]</f>
        <v>1423500</v>
      </c>
      <c r="X815" s="136">
        <f>COMPROMISOS_2025[[#This Row],[total_ordenes]]</f>
        <v>1423500</v>
      </c>
      <c r="Y815" t="str" cm="1">
        <f t="array" aca="1" ref="Y815" ca="1">IFERROR(_xlfn.XLOOKUP(COMPROMISOS_2025[[#This Row],[concatenado]],PAA[[#All],[RCP-RUBRO]],PAA[[#All],[Actividad3]],VLOOKUP(COMPROMISOS_2025[[#This Row],[Indicador Principal]],$AC$2:$AD$17,2,0),0),"")</f>
        <v/>
      </c>
    </row>
    <row r="816" spans="1:25" hidden="1" x14ac:dyDescent="0.25">
      <c r="A816">
        <v>2380</v>
      </c>
      <c r="B816" t="s">
        <v>2491</v>
      </c>
      <c r="C816" t="s">
        <v>1936</v>
      </c>
      <c r="D816" t="s">
        <v>3575</v>
      </c>
      <c r="F816">
        <v>405</v>
      </c>
      <c r="G816">
        <v>96</v>
      </c>
      <c r="H816" t="s">
        <v>789</v>
      </c>
      <c r="I816" t="s">
        <v>2257</v>
      </c>
      <c r="J816">
        <v>711750</v>
      </c>
      <c r="K816">
        <v>2025</v>
      </c>
      <c r="L816">
        <v>1025660057</v>
      </c>
      <c r="M816" t="s">
        <v>3697</v>
      </c>
      <c r="N816" t="s">
        <v>1688</v>
      </c>
      <c r="O816" t="s">
        <v>1686</v>
      </c>
      <c r="P816">
        <v>0</v>
      </c>
      <c r="Q816">
        <v>711750</v>
      </c>
      <c r="R816">
        <v>0</v>
      </c>
      <c r="S816">
        <v>0</v>
      </c>
      <c r="T816" t="str">
        <f t="shared" si="24"/>
        <v>23802.43.4302.85.0-101024.2.3.3.08.06.</v>
      </c>
      <c r="U816" t="e" cm="1">
        <f t="array" aca="1" ref="U816" ca="1">+IF(COMPROMISOS_2025[[#This Row],[P]]="20","41080111",_xlfn.XLOOKUP(COMPROMISOS_2025[[#This Row],[concatenado]],PAA[[#All],[RCP-RUBRO]],PAA[[#All],[INDICADOR]],"",0))</f>
        <v>#NAME?</v>
      </c>
      <c r="V816" s="144" t="str">
        <f t="shared" si="25"/>
        <v>85</v>
      </c>
      <c r="W816" s="136">
        <f>+COMPROMISOS_2025[[#This Row],[valor_total]]-COMPROMISOS_2025[[#This Row],[total_cancelado]]</f>
        <v>711750</v>
      </c>
      <c r="X816" s="136">
        <f>COMPROMISOS_2025[[#This Row],[total_ordenes]]</f>
        <v>711750</v>
      </c>
      <c r="Y816" t="str" cm="1">
        <f t="array" aca="1" ref="Y816" ca="1">IFERROR(_xlfn.XLOOKUP(COMPROMISOS_2025[[#This Row],[concatenado]],PAA[[#All],[RCP-RUBRO]],PAA[[#All],[Actividad3]],VLOOKUP(COMPROMISOS_2025[[#This Row],[Indicador Principal]],$AC$2:$AD$17,2,0),0),"")</f>
        <v/>
      </c>
    </row>
    <row r="817" spans="1:25" hidden="1" x14ac:dyDescent="0.25">
      <c r="A817">
        <v>2381</v>
      </c>
      <c r="B817" t="s">
        <v>2491</v>
      </c>
      <c r="C817" t="s">
        <v>1936</v>
      </c>
      <c r="D817" t="s">
        <v>3575</v>
      </c>
      <c r="F817">
        <v>405</v>
      </c>
      <c r="G817">
        <v>96</v>
      </c>
      <c r="H817" t="s">
        <v>789</v>
      </c>
      <c r="I817" t="s">
        <v>2257</v>
      </c>
      <c r="J817">
        <v>711750</v>
      </c>
      <c r="K817">
        <v>2025</v>
      </c>
      <c r="L817">
        <v>1025662182</v>
      </c>
      <c r="M817" t="s">
        <v>3698</v>
      </c>
      <c r="N817" t="s">
        <v>1688</v>
      </c>
      <c r="O817" t="s">
        <v>1686</v>
      </c>
      <c r="P817">
        <v>0</v>
      </c>
      <c r="Q817">
        <v>711750</v>
      </c>
      <c r="R817">
        <v>0</v>
      </c>
      <c r="S817">
        <v>0</v>
      </c>
      <c r="T817" t="str">
        <f t="shared" si="24"/>
        <v>23812.43.4302.85.0-101024.2.3.3.08.06.</v>
      </c>
      <c r="U817" t="e" cm="1">
        <f t="array" aca="1" ref="U817" ca="1">+IF(COMPROMISOS_2025[[#This Row],[P]]="20","41080111",_xlfn.XLOOKUP(COMPROMISOS_2025[[#This Row],[concatenado]],PAA[[#All],[RCP-RUBRO]],PAA[[#All],[INDICADOR]],"",0))</f>
        <v>#NAME?</v>
      </c>
      <c r="V817" s="144" t="str">
        <f t="shared" si="25"/>
        <v>85</v>
      </c>
      <c r="W817" s="136">
        <f>+COMPROMISOS_2025[[#This Row],[valor_total]]-COMPROMISOS_2025[[#This Row],[total_cancelado]]</f>
        <v>711750</v>
      </c>
      <c r="X817" s="136">
        <f>COMPROMISOS_2025[[#This Row],[total_ordenes]]</f>
        <v>711750</v>
      </c>
      <c r="Y817" t="str" cm="1">
        <f t="array" aca="1" ref="Y817" ca="1">IFERROR(_xlfn.XLOOKUP(COMPROMISOS_2025[[#This Row],[concatenado]],PAA[[#All],[RCP-RUBRO]],PAA[[#All],[Actividad3]],VLOOKUP(COMPROMISOS_2025[[#This Row],[Indicador Principal]],$AC$2:$AD$17,2,0),0),"")</f>
        <v/>
      </c>
    </row>
    <row r="818" spans="1:25" hidden="1" x14ac:dyDescent="0.25">
      <c r="A818">
        <v>2382</v>
      </c>
      <c r="B818" t="s">
        <v>2491</v>
      </c>
      <c r="C818" t="s">
        <v>1936</v>
      </c>
      <c r="D818" t="s">
        <v>3575</v>
      </c>
      <c r="F818">
        <v>405</v>
      </c>
      <c r="G818">
        <v>96</v>
      </c>
      <c r="H818" t="s">
        <v>789</v>
      </c>
      <c r="I818" t="s">
        <v>2257</v>
      </c>
      <c r="J818">
        <v>711750</v>
      </c>
      <c r="K818">
        <v>2025</v>
      </c>
      <c r="L818">
        <v>1025760229</v>
      </c>
      <c r="M818" t="s">
        <v>3699</v>
      </c>
      <c r="N818" t="s">
        <v>1688</v>
      </c>
      <c r="O818" t="s">
        <v>1686</v>
      </c>
      <c r="P818">
        <v>0</v>
      </c>
      <c r="Q818">
        <v>711750</v>
      </c>
      <c r="R818">
        <v>0</v>
      </c>
      <c r="S818">
        <v>0</v>
      </c>
      <c r="T818" t="str">
        <f t="shared" si="24"/>
        <v>23822.43.4302.85.0-101024.2.3.3.08.06.</v>
      </c>
      <c r="U818" t="e" cm="1">
        <f t="array" aca="1" ref="U818" ca="1">+IF(COMPROMISOS_2025[[#This Row],[P]]="20","41080111",_xlfn.XLOOKUP(COMPROMISOS_2025[[#This Row],[concatenado]],PAA[[#All],[RCP-RUBRO]],PAA[[#All],[INDICADOR]],"",0))</f>
        <v>#NAME?</v>
      </c>
      <c r="V818" s="144" t="str">
        <f t="shared" si="25"/>
        <v>85</v>
      </c>
      <c r="W818" s="136">
        <f>+COMPROMISOS_2025[[#This Row],[valor_total]]-COMPROMISOS_2025[[#This Row],[total_cancelado]]</f>
        <v>711750</v>
      </c>
      <c r="X818" s="136">
        <f>COMPROMISOS_2025[[#This Row],[total_ordenes]]</f>
        <v>711750</v>
      </c>
      <c r="Y818" t="str" cm="1">
        <f t="array" aca="1" ref="Y818" ca="1">IFERROR(_xlfn.XLOOKUP(COMPROMISOS_2025[[#This Row],[concatenado]],PAA[[#All],[RCP-RUBRO]],PAA[[#All],[Actividad3]],VLOOKUP(COMPROMISOS_2025[[#This Row],[Indicador Principal]],$AC$2:$AD$17,2,0),0),"")</f>
        <v/>
      </c>
    </row>
    <row r="819" spans="1:25" hidden="1" x14ac:dyDescent="0.25">
      <c r="A819">
        <v>2383</v>
      </c>
      <c r="B819" t="s">
        <v>2491</v>
      </c>
      <c r="C819" t="s">
        <v>1936</v>
      </c>
      <c r="D819" t="s">
        <v>3575</v>
      </c>
      <c r="F819">
        <v>405</v>
      </c>
      <c r="G819">
        <v>96</v>
      </c>
      <c r="H819" t="s">
        <v>789</v>
      </c>
      <c r="I819" t="s">
        <v>2257</v>
      </c>
      <c r="J819">
        <v>711750</v>
      </c>
      <c r="K819">
        <v>2025</v>
      </c>
      <c r="L819">
        <v>1025764770</v>
      </c>
      <c r="M819" t="s">
        <v>3700</v>
      </c>
      <c r="N819" t="s">
        <v>1688</v>
      </c>
      <c r="O819" t="s">
        <v>1686</v>
      </c>
      <c r="P819">
        <v>0</v>
      </c>
      <c r="Q819">
        <v>711750</v>
      </c>
      <c r="R819">
        <v>0</v>
      </c>
      <c r="S819">
        <v>0</v>
      </c>
      <c r="T819" t="str">
        <f t="shared" si="24"/>
        <v>23832.43.4302.85.0-101024.2.3.3.08.06.</v>
      </c>
      <c r="U819" t="e" cm="1">
        <f t="array" aca="1" ref="U819" ca="1">+IF(COMPROMISOS_2025[[#This Row],[P]]="20","41080111",_xlfn.XLOOKUP(COMPROMISOS_2025[[#This Row],[concatenado]],PAA[[#All],[RCP-RUBRO]],PAA[[#All],[INDICADOR]],"",0))</f>
        <v>#NAME?</v>
      </c>
      <c r="V819" s="144" t="str">
        <f t="shared" si="25"/>
        <v>85</v>
      </c>
      <c r="W819" s="136">
        <f>+COMPROMISOS_2025[[#This Row],[valor_total]]-COMPROMISOS_2025[[#This Row],[total_cancelado]]</f>
        <v>711750</v>
      </c>
      <c r="X819" s="136">
        <f>COMPROMISOS_2025[[#This Row],[total_ordenes]]</f>
        <v>711750</v>
      </c>
      <c r="Y819" t="str" cm="1">
        <f t="array" aca="1" ref="Y819" ca="1">IFERROR(_xlfn.XLOOKUP(COMPROMISOS_2025[[#This Row],[concatenado]],PAA[[#All],[RCP-RUBRO]],PAA[[#All],[Actividad3]],VLOOKUP(COMPROMISOS_2025[[#This Row],[Indicador Principal]],$AC$2:$AD$17,2,0),0),"")</f>
        <v/>
      </c>
    </row>
    <row r="820" spans="1:25" hidden="1" x14ac:dyDescent="0.25">
      <c r="A820">
        <v>2384</v>
      </c>
      <c r="B820" t="s">
        <v>2491</v>
      </c>
      <c r="C820" t="s">
        <v>1936</v>
      </c>
      <c r="D820" t="s">
        <v>3575</v>
      </c>
      <c r="F820">
        <v>405</v>
      </c>
      <c r="G820">
        <v>96</v>
      </c>
      <c r="H820" t="s">
        <v>789</v>
      </c>
      <c r="I820" t="s">
        <v>2257</v>
      </c>
      <c r="J820">
        <v>1067625</v>
      </c>
      <c r="K820">
        <v>2025</v>
      </c>
      <c r="L820">
        <v>1025769984</v>
      </c>
      <c r="M820" t="s">
        <v>3701</v>
      </c>
      <c r="N820" t="s">
        <v>1688</v>
      </c>
      <c r="O820" t="s">
        <v>1686</v>
      </c>
      <c r="P820">
        <v>0</v>
      </c>
      <c r="Q820">
        <v>1067625</v>
      </c>
      <c r="R820">
        <v>0</v>
      </c>
      <c r="S820">
        <v>0</v>
      </c>
      <c r="T820" t="str">
        <f t="shared" si="24"/>
        <v>23842.43.4302.85.0-101024.2.3.3.08.06.</v>
      </c>
      <c r="U820" t="e" cm="1">
        <f t="array" aca="1" ref="U820" ca="1">+IF(COMPROMISOS_2025[[#This Row],[P]]="20","41080111",_xlfn.XLOOKUP(COMPROMISOS_2025[[#This Row],[concatenado]],PAA[[#All],[RCP-RUBRO]],PAA[[#All],[INDICADOR]],"",0))</f>
        <v>#NAME?</v>
      </c>
      <c r="V820" s="144" t="str">
        <f t="shared" si="25"/>
        <v>85</v>
      </c>
      <c r="W820" s="136">
        <f>+COMPROMISOS_2025[[#This Row],[valor_total]]-COMPROMISOS_2025[[#This Row],[total_cancelado]]</f>
        <v>1067625</v>
      </c>
      <c r="X820" s="136">
        <f>COMPROMISOS_2025[[#This Row],[total_ordenes]]</f>
        <v>1067625</v>
      </c>
      <c r="Y820" t="str" cm="1">
        <f t="array" aca="1" ref="Y820" ca="1">IFERROR(_xlfn.XLOOKUP(COMPROMISOS_2025[[#This Row],[concatenado]],PAA[[#All],[RCP-RUBRO]],PAA[[#All],[Actividad3]],VLOOKUP(COMPROMISOS_2025[[#This Row],[Indicador Principal]],$AC$2:$AD$17,2,0),0),"")</f>
        <v/>
      </c>
    </row>
    <row r="821" spans="1:25" hidden="1" x14ac:dyDescent="0.25">
      <c r="A821">
        <v>2390</v>
      </c>
      <c r="B821" t="s">
        <v>2491</v>
      </c>
      <c r="C821" t="s">
        <v>1936</v>
      </c>
      <c r="D821" t="s">
        <v>3575</v>
      </c>
      <c r="F821">
        <v>405</v>
      </c>
      <c r="G821">
        <v>96</v>
      </c>
      <c r="H821" t="s">
        <v>789</v>
      </c>
      <c r="I821" t="s">
        <v>2257</v>
      </c>
      <c r="J821">
        <v>711750</v>
      </c>
      <c r="K821">
        <v>2025</v>
      </c>
      <c r="L821">
        <v>1025890055</v>
      </c>
      <c r="M821" t="s">
        <v>3702</v>
      </c>
      <c r="N821" t="s">
        <v>1688</v>
      </c>
      <c r="O821" t="s">
        <v>1686</v>
      </c>
      <c r="P821">
        <v>0</v>
      </c>
      <c r="Q821">
        <v>711750</v>
      </c>
      <c r="R821">
        <v>0</v>
      </c>
      <c r="S821">
        <v>0</v>
      </c>
      <c r="T821" t="str">
        <f t="shared" si="24"/>
        <v>23902.43.4302.85.0-101024.2.3.3.08.06.</v>
      </c>
      <c r="U821" t="e" cm="1">
        <f t="array" aca="1" ref="U821" ca="1">+IF(COMPROMISOS_2025[[#This Row],[P]]="20","41080111",_xlfn.XLOOKUP(COMPROMISOS_2025[[#This Row],[concatenado]],PAA[[#All],[RCP-RUBRO]],PAA[[#All],[INDICADOR]],"",0))</f>
        <v>#NAME?</v>
      </c>
      <c r="V821" s="144" t="str">
        <f t="shared" si="25"/>
        <v>85</v>
      </c>
      <c r="W821" s="136">
        <f>+COMPROMISOS_2025[[#This Row],[valor_total]]-COMPROMISOS_2025[[#This Row],[total_cancelado]]</f>
        <v>711750</v>
      </c>
      <c r="X821" s="136">
        <f>COMPROMISOS_2025[[#This Row],[total_ordenes]]</f>
        <v>711750</v>
      </c>
      <c r="Y821" t="str" cm="1">
        <f t="array" aca="1" ref="Y821" ca="1">IFERROR(_xlfn.XLOOKUP(COMPROMISOS_2025[[#This Row],[concatenado]],PAA[[#All],[RCP-RUBRO]],PAA[[#All],[Actividad3]],VLOOKUP(COMPROMISOS_2025[[#This Row],[Indicador Principal]],$AC$2:$AD$17,2,0),0),"")</f>
        <v/>
      </c>
    </row>
    <row r="822" spans="1:25" hidden="1" x14ac:dyDescent="0.25">
      <c r="A822">
        <v>2391</v>
      </c>
      <c r="B822" t="s">
        <v>2491</v>
      </c>
      <c r="C822" t="s">
        <v>1936</v>
      </c>
      <c r="D822" t="s">
        <v>3575</v>
      </c>
      <c r="F822">
        <v>405</v>
      </c>
      <c r="G822">
        <v>96</v>
      </c>
      <c r="H822" t="s">
        <v>789</v>
      </c>
      <c r="I822" t="s">
        <v>2257</v>
      </c>
      <c r="J822">
        <v>711750</v>
      </c>
      <c r="K822">
        <v>2025</v>
      </c>
      <c r="L822">
        <v>1025892033</v>
      </c>
      <c r="M822" t="s">
        <v>3703</v>
      </c>
      <c r="N822" t="s">
        <v>1688</v>
      </c>
      <c r="O822" t="s">
        <v>1686</v>
      </c>
      <c r="P822">
        <v>0</v>
      </c>
      <c r="Q822">
        <v>711750</v>
      </c>
      <c r="R822">
        <v>0</v>
      </c>
      <c r="S822">
        <v>0</v>
      </c>
      <c r="T822" t="str">
        <f t="shared" si="24"/>
        <v>23912.43.4302.85.0-101024.2.3.3.08.06.</v>
      </c>
      <c r="U822" t="e" cm="1">
        <f t="array" aca="1" ref="U822" ca="1">+IF(COMPROMISOS_2025[[#This Row],[P]]="20","41080111",_xlfn.XLOOKUP(COMPROMISOS_2025[[#This Row],[concatenado]],PAA[[#All],[RCP-RUBRO]],PAA[[#All],[INDICADOR]],"",0))</f>
        <v>#NAME?</v>
      </c>
      <c r="V822" s="144" t="str">
        <f t="shared" si="25"/>
        <v>85</v>
      </c>
      <c r="W822" s="136">
        <f>+COMPROMISOS_2025[[#This Row],[valor_total]]-COMPROMISOS_2025[[#This Row],[total_cancelado]]</f>
        <v>711750</v>
      </c>
      <c r="X822" s="136">
        <f>COMPROMISOS_2025[[#This Row],[total_ordenes]]</f>
        <v>711750</v>
      </c>
      <c r="Y822" t="str" cm="1">
        <f t="array" aca="1" ref="Y822" ca="1">IFERROR(_xlfn.XLOOKUP(COMPROMISOS_2025[[#This Row],[concatenado]],PAA[[#All],[RCP-RUBRO]],PAA[[#All],[Actividad3]],VLOOKUP(COMPROMISOS_2025[[#This Row],[Indicador Principal]],$AC$2:$AD$17,2,0),0),"")</f>
        <v/>
      </c>
    </row>
    <row r="823" spans="1:25" hidden="1" x14ac:dyDescent="0.25">
      <c r="A823">
        <v>2392</v>
      </c>
      <c r="B823" t="s">
        <v>2491</v>
      </c>
      <c r="C823" t="s">
        <v>1936</v>
      </c>
      <c r="D823" t="s">
        <v>3575</v>
      </c>
      <c r="F823">
        <v>405</v>
      </c>
      <c r="G823">
        <v>96</v>
      </c>
      <c r="H823" t="s">
        <v>789</v>
      </c>
      <c r="I823" t="s">
        <v>2257</v>
      </c>
      <c r="J823">
        <v>711750</v>
      </c>
      <c r="K823">
        <v>2025</v>
      </c>
      <c r="L823">
        <v>1025893313</v>
      </c>
      <c r="M823" t="s">
        <v>3704</v>
      </c>
      <c r="N823" t="s">
        <v>1688</v>
      </c>
      <c r="O823" t="s">
        <v>1686</v>
      </c>
      <c r="P823">
        <v>0</v>
      </c>
      <c r="Q823">
        <v>711750</v>
      </c>
      <c r="R823">
        <v>0</v>
      </c>
      <c r="S823">
        <v>0</v>
      </c>
      <c r="T823" t="str">
        <f t="shared" si="24"/>
        <v>23922.43.4302.85.0-101024.2.3.3.08.06.</v>
      </c>
      <c r="U823" t="e" cm="1">
        <f t="array" aca="1" ref="U823" ca="1">+IF(COMPROMISOS_2025[[#This Row],[P]]="20","41080111",_xlfn.XLOOKUP(COMPROMISOS_2025[[#This Row],[concatenado]],PAA[[#All],[RCP-RUBRO]],PAA[[#All],[INDICADOR]],"",0))</f>
        <v>#NAME?</v>
      </c>
      <c r="V823" s="144" t="str">
        <f t="shared" si="25"/>
        <v>85</v>
      </c>
      <c r="W823" s="136">
        <f>+COMPROMISOS_2025[[#This Row],[valor_total]]-COMPROMISOS_2025[[#This Row],[total_cancelado]]</f>
        <v>711750</v>
      </c>
      <c r="X823" s="136">
        <f>COMPROMISOS_2025[[#This Row],[total_ordenes]]</f>
        <v>711750</v>
      </c>
      <c r="Y823" t="str" cm="1">
        <f t="array" aca="1" ref="Y823" ca="1">IFERROR(_xlfn.XLOOKUP(COMPROMISOS_2025[[#This Row],[concatenado]],PAA[[#All],[RCP-RUBRO]],PAA[[#All],[Actividad3]],VLOOKUP(COMPROMISOS_2025[[#This Row],[Indicador Principal]],$AC$2:$AD$17,2,0),0),"")</f>
        <v/>
      </c>
    </row>
    <row r="824" spans="1:25" hidden="1" x14ac:dyDescent="0.25">
      <c r="A824">
        <v>2393</v>
      </c>
      <c r="B824" t="s">
        <v>2491</v>
      </c>
      <c r="C824" t="s">
        <v>1936</v>
      </c>
      <c r="D824" t="s">
        <v>3575</v>
      </c>
      <c r="F824">
        <v>405</v>
      </c>
      <c r="G824">
        <v>96</v>
      </c>
      <c r="H824" t="s">
        <v>789</v>
      </c>
      <c r="I824" t="s">
        <v>2257</v>
      </c>
      <c r="J824">
        <v>711750</v>
      </c>
      <c r="K824">
        <v>2025</v>
      </c>
      <c r="L824">
        <v>1025897941</v>
      </c>
      <c r="M824" t="s">
        <v>3705</v>
      </c>
      <c r="N824" t="s">
        <v>1688</v>
      </c>
      <c r="O824" t="s">
        <v>1686</v>
      </c>
      <c r="P824">
        <v>0</v>
      </c>
      <c r="Q824">
        <v>711750</v>
      </c>
      <c r="R824">
        <v>0</v>
      </c>
      <c r="S824">
        <v>0</v>
      </c>
      <c r="T824" t="str">
        <f t="shared" si="24"/>
        <v>23932.43.4302.85.0-101024.2.3.3.08.06.</v>
      </c>
      <c r="U824" t="e" cm="1">
        <f t="array" aca="1" ref="U824" ca="1">+IF(COMPROMISOS_2025[[#This Row],[P]]="20","41080111",_xlfn.XLOOKUP(COMPROMISOS_2025[[#This Row],[concatenado]],PAA[[#All],[RCP-RUBRO]],PAA[[#All],[INDICADOR]],"",0))</f>
        <v>#NAME?</v>
      </c>
      <c r="V824" s="144" t="str">
        <f t="shared" si="25"/>
        <v>85</v>
      </c>
      <c r="W824" s="136">
        <f>+COMPROMISOS_2025[[#This Row],[valor_total]]-COMPROMISOS_2025[[#This Row],[total_cancelado]]</f>
        <v>711750</v>
      </c>
      <c r="X824" s="136">
        <f>COMPROMISOS_2025[[#This Row],[total_ordenes]]</f>
        <v>711750</v>
      </c>
      <c r="Y824" t="str" cm="1">
        <f t="array" aca="1" ref="Y824" ca="1">IFERROR(_xlfn.XLOOKUP(COMPROMISOS_2025[[#This Row],[concatenado]],PAA[[#All],[RCP-RUBRO]],PAA[[#All],[Actividad3]],VLOOKUP(COMPROMISOS_2025[[#This Row],[Indicador Principal]],$AC$2:$AD$17,2,0),0),"")</f>
        <v/>
      </c>
    </row>
    <row r="825" spans="1:25" hidden="1" x14ac:dyDescent="0.25">
      <c r="A825">
        <v>2394</v>
      </c>
      <c r="B825" t="s">
        <v>2491</v>
      </c>
      <c r="C825" t="s">
        <v>1936</v>
      </c>
      <c r="D825" t="s">
        <v>3575</v>
      </c>
      <c r="F825">
        <v>405</v>
      </c>
      <c r="G825">
        <v>96</v>
      </c>
      <c r="H825" t="s">
        <v>789</v>
      </c>
      <c r="I825" t="s">
        <v>2257</v>
      </c>
      <c r="J825">
        <v>1067625</v>
      </c>
      <c r="K825">
        <v>2025</v>
      </c>
      <c r="L825">
        <v>1026143753</v>
      </c>
      <c r="M825" t="s">
        <v>3706</v>
      </c>
      <c r="N825" t="s">
        <v>1688</v>
      </c>
      <c r="O825" t="s">
        <v>1686</v>
      </c>
      <c r="P825">
        <v>0</v>
      </c>
      <c r="Q825">
        <v>1067625</v>
      </c>
      <c r="R825">
        <v>0</v>
      </c>
      <c r="S825">
        <v>0</v>
      </c>
      <c r="T825" t="str">
        <f t="shared" si="24"/>
        <v>23942.43.4302.85.0-101024.2.3.3.08.06.</v>
      </c>
      <c r="U825" t="e" cm="1">
        <f t="array" aca="1" ref="U825" ca="1">+IF(COMPROMISOS_2025[[#This Row],[P]]="20","41080111",_xlfn.XLOOKUP(COMPROMISOS_2025[[#This Row],[concatenado]],PAA[[#All],[RCP-RUBRO]],PAA[[#All],[INDICADOR]],"",0))</f>
        <v>#NAME?</v>
      </c>
      <c r="V825" s="144" t="str">
        <f t="shared" si="25"/>
        <v>85</v>
      </c>
      <c r="W825" s="136">
        <f>+COMPROMISOS_2025[[#This Row],[valor_total]]-COMPROMISOS_2025[[#This Row],[total_cancelado]]</f>
        <v>1067625</v>
      </c>
      <c r="X825" s="136">
        <f>COMPROMISOS_2025[[#This Row],[total_ordenes]]</f>
        <v>1067625</v>
      </c>
      <c r="Y825" t="str" cm="1">
        <f t="array" aca="1" ref="Y825" ca="1">IFERROR(_xlfn.XLOOKUP(COMPROMISOS_2025[[#This Row],[concatenado]],PAA[[#All],[RCP-RUBRO]],PAA[[#All],[Actividad3]],VLOOKUP(COMPROMISOS_2025[[#This Row],[Indicador Principal]],$AC$2:$AD$17,2,0),0),"")</f>
        <v/>
      </c>
    </row>
    <row r="826" spans="1:25" hidden="1" x14ac:dyDescent="0.25">
      <c r="A826">
        <v>2397</v>
      </c>
      <c r="B826" t="s">
        <v>2491</v>
      </c>
      <c r="C826" t="s">
        <v>1936</v>
      </c>
      <c r="D826" t="s">
        <v>3575</v>
      </c>
      <c r="F826">
        <v>405</v>
      </c>
      <c r="G826">
        <v>96</v>
      </c>
      <c r="H826" t="s">
        <v>789</v>
      </c>
      <c r="I826" t="s">
        <v>2257</v>
      </c>
      <c r="J826">
        <v>711750</v>
      </c>
      <c r="K826">
        <v>2025</v>
      </c>
      <c r="L826">
        <v>1027660812</v>
      </c>
      <c r="M826" t="s">
        <v>3707</v>
      </c>
      <c r="N826" t="s">
        <v>1688</v>
      </c>
      <c r="O826" t="s">
        <v>1686</v>
      </c>
      <c r="P826">
        <v>0</v>
      </c>
      <c r="Q826">
        <v>711750</v>
      </c>
      <c r="R826">
        <v>0</v>
      </c>
      <c r="S826">
        <v>0</v>
      </c>
      <c r="T826" t="str">
        <f t="shared" si="24"/>
        <v>23972.43.4302.85.0-101024.2.3.3.08.06.</v>
      </c>
      <c r="U826" t="e" cm="1">
        <f t="array" aca="1" ref="U826" ca="1">+IF(COMPROMISOS_2025[[#This Row],[P]]="20","41080111",_xlfn.XLOOKUP(COMPROMISOS_2025[[#This Row],[concatenado]],PAA[[#All],[RCP-RUBRO]],PAA[[#All],[INDICADOR]],"",0))</f>
        <v>#NAME?</v>
      </c>
      <c r="V826" s="144" t="str">
        <f t="shared" si="25"/>
        <v>85</v>
      </c>
      <c r="W826" s="136">
        <f>+COMPROMISOS_2025[[#This Row],[valor_total]]-COMPROMISOS_2025[[#This Row],[total_cancelado]]</f>
        <v>711750</v>
      </c>
      <c r="X826" s="136">
        <f>COMPROMISOS_2025[[#This Row],[total_ordenes]]</f>
        <v>711750</v>
      </c>
      <c r="Y826" t="str" cm="1">
        <f t="array" aca="1" ref="Y826" ca="1">IFERROR(_xlfn.XLOOKUP(COMPROMISOS_2025[[#This Row],[concatenado]],PAA[[#All],[RCP-RUBRO]],PAA[[#All],[Actividad3]],VLOOKUP(COMPROMISOS_2025[[#This Row],[Indicador Principal]],$AC$2:$AD$17,2,0),0),"")</f>
        <v/>
      </c>
    </row>
    <row r="827" spans="1:25" hidden="1" x14ac:dyDescent="0.25">
      <c r="A827">
        <v>2398</v>
      </c>
      <c r="B827" t="s">
        <v>2491</v>
      </c>
      <c r="C827" t="s">
        <v>1936</v>
      </c>
      <c r="D827" t="s">
        <v>3575</v>
      </c>
      <c r="F827">
        <v>405</v>
      </c>
      <c r="G827">
        <v>96</v>
      </c>
      <c r="H827" t="s">
        <v>789</v>
      </c>
      <c r="I827" t="s">
        <v>2257</v>
      </c>
      <c r="J827">
        <v>1067625</v>
      </c>
      <c r="K827">
        <v>2025</v>
      </c>
      <c r="L827">
        <v>1027661588</v>
      </c>
      <c r="M827" t="s">
        <v>3708</v>
      </c>
      <c r="N827" t="s">
        <v>1688</v>
      </c>
      <c r="O827" t="s">
        <v>1686</v>
      </c>
      <c r="P827">
        <v>0</v>
      </c>
      <c r="Q827">
        <v>1067625</v>
      </c>
      <c r="R827">
        <v>0</v>
      </c>
      <c r="S827">
        <v>0</v>
      </c>
      <c r="T827" t="str">
        <f t="shared" si="24"/>
        <v>23982.43.4302.85.0-101024.2.3.3.08.06.</v>
      </c>
      <c r="U827" t="e" cm="1">
        <f t="array" aca="1" ref="U827" ca="1">+IF(COMPROMISOS_2025[[#This Row],[P]]="20","41080111",_xlfn.XLOOKUP(COMPROMISOS_2025[[#This Row],[concatenado]],PAA[[#All],[RCP-RUBRO]],PAA[[#All],[INDICADOR]],"",0))</f>
        <v>#NAME?</v>
      </c>
      <c r="V827" s="144" t="str">
        <f t="shared" si="25"/>
        <v>85</v>
      </c>
      <c r="W827" s="136">
        <f>+COMPROMISOS_2025[[#This Row],[valor_total]]-COMPROMISOS_2025[[#This Row],[total_cancelado]]</f>
        <v>1067625</v>
      </c>
      <c r="X827" s="136">
        <f>COMPROMISOS_2025[[#This Row],[total_ordenes]]</f>
        <v>1067625</v>
      </c>
      <c r="Y827" t="str" cm="1">
        <f t="array" aca="1" ref="Y827" ca="1">IFERROR(_xlfn.XLOOKUP(COMPROMISOS_2025[[#This Row],[concatenado]],PAA[[#All],[RCP-RUBRO]],PAA[[#All],[Actividad3]],VLOOKUP(COMPROMISOS_2025[[#This Row],[Indicador Principal]],$AC$2:$AD$17,2,0),0),"")</f>
        <v/>
      </c>
    </row>
    <row r="828" spans="1:25" hidden="1" x14ac:dyDescent="0.25">
      <c r="A828">
        <v>2399</v>
      </c>
      <c r="B828" t="s">
        <v>2491</v>
      </c>
      <c r="C828" t="s">
        <v>1936</v>
      </c>
      <c r="D828" t="s">
        <v>3575</v>
      </c>
      <c r="F828">
        <v>405</v>
      </c>
      <c r="G828">
        <v>96</v>
      </c>
      <c r="H828" t="s">
        <v>789</v>
      </c>
      <c r="I828" t="s">
        <v>2257</v>
      </c>
      <c r="J828">
        <v>711750</v>
      </c>
      <c r="K828">
        <v>2025</v>
      </c>
      <c r="L828">
        <v>1027661719</v>
      </c>
      <c r="M828" t="s">
        <v>3709</v>
      </c>
      <c r="N828" t="s">
        <v>1688</v>
      </c>
      <c r="O828" t="s">
        <v>1686</v>
      </c>
      <c r="P828">
        <v>0</v>
      </c>
      <c r="Q828">
        <v>711750</v>
      </c>
      <c r="R828">
        <v>0</v>
      </c>
      <c r="S828">
        <v>0</v>
      </c>
      <c r="T828" t="str">
        <f t="shared" si="24"/>
        <v>23992.43.4302.85.0-101024.2.3.3.08.06.</v>
      </c>
      <c r="U828" t="e" cm="1">
        <f t="array" aca="1" ref="U828" ca="1">+IF(COMPROMISOS_2025[[#This Row],[P]]="20","41080111",_xlfn.XLOOKUP(COMPROMISOS_2025[[#This Row],[concatenado]],PAA[[#All],[RCP-RUBRO]],PAA[[#All],[INDICADOR]],"",0))</f>
        <v>#NAME?</v>
      </c>
      <c r="V828" s="144" t="str">
        <f t="shared" si="25"/>
        <v>85</v>
      </c>
      <c r="W828" s="136">
        <f>+COMPROMISOS_2025[[#This Row],[valor_total]]-COMPROMISOS_2025[[#This Row],[total_cancelado]]</f>
        <v>711750</v>
      </c>
      <c r="X828" s="136">
        <f>COMPROMISOS_2025[[#This Row],[total_ordenes]]</f>
        <v>711750</v>
      </c>
      <c r="Y828" t="str" cm="1">
        <f t="array" aca="1" ref="Y828" ca="1">IFERROR(_xlfn.XLOOKUP(COMPROMISOS_2025[[#This Row],[concatenado]],PAA[[#All],[RCP-RUBRO]],PAA[[#All],[Actividad3]],VLOOKUP(COMPROMISOS_2025[[#This Row],[Indicador Principal]],$AC$2:$AD$17,2,0),0),"")</f>
        <v/>
      </c>
    </row>
    <row r="829" spans="1:25" hidden="1" x14ac:dyDescent="0.25">
      <c r="A829">
        <v>2400</v>
      </c>
      <c r="B829" t="s">
        <v>2491</v>
      </c>
      <c r="C829" t="s">
        <v>1936</v>
      </c>
      <c r="D829" t="s">
        <v>3575</v>
      </c>
      <c r="F829">
        <v>405</v>
      </c>
      <c r="G829">
        <v>96</v>
      </c>
      <c r="H829" t="s">
        <v>789</v>
      </c>
      <c r="I829" t="s">
        <v>2257</v>
      </c>
      <c r="J829">
        <v>1423500</v>
      </c>
      <c r="K829">
        <v>2025</v>
      </c>
      <c r="L829">
        <v>1027662395</v>
      </c>
      <c r="M829" t="s">
        <v>3710</v>
      </c>
      <c r="N829" t="s">
        <v>1688</v>
      </c>
      <c r="O829" t="s">
        <v>1686</v>
      </c>
      <c r="P829">
        <v>0</v>
      </c>
      <c r="Q829">
        <v>1423500</v>
      </c>
      <c r="R829">
        <v>0</v>
      </c>
      <c r="S829">
        <v>0</v>
      </c>
      <c r="T829" t="str">
        <f t="shared" si="24"/>
        <v>24002.43.4302.85.0-101024.2.3.3.08.06.</v>
      </c>
      <c r="U829" t="e" cm="1">
        <f t="array" aca="1" ref="U829" ca="1">+IF(COMPROMISOS_2025[[#This Row],[P]]="20","41080111",_xlfn.XLOOKUP(COMPROMISOS_2025[[#This Row],[concatenado]],PAA[[#All],[RCP-RUBRO]],PAA[[#All],[INDICADOR]],"",0))</f>
        <v>#NAME?</v>
      </c>
      <c r="V829" s="144" t="str">
        <f t="shared" si="25"/>
        <v>85</v>
      </c>
      <c r="W829" s="136">
        <f>+COMPROMISOS_2025[[#This Row],[valor_total]]-COMPROMISOS_2025[[#This Row],[total_cancelado]]</f>
        <v>1423500</v>
      </c>
      <c r="X829" s="136">
        <f>COMPROMISOS_2025[[#This Row],[total_ordenes]]</f>
        <v>1423500</v>
      </c>
      <c r="Y829" t="str" cm="1">
        <f t="array" aca="1" ref="Y829" ca="1">IFERROR(_xlfn.XLOOKUP(COMPROMISOS_2025[[#This Row],[concatenado]],PAA[[#All],[RCP-RUBRO]],PAA[[#All],[Actividad3]],VLOOKUP(COMPROMISOS_2025[[#This Row],[Indicador Principal]],$AC$2:$AD$17,2,0),0),"")</f>
        <v/>
      </c>
    </row>
    <row r="830" spans="1:25" hidden="1" x14ac:dyDescent="0.25">
      <c r="A830">
        <v>2403</v>
      </c>
      <c r="B830" t="s">
        <v>2491</v>
      </c>
      <c r="C830" t="s">
        <v>1936</v>
      </c>
      <c r="D830" t="s">
        <v>3575</v>
      </c>
      <c r="F830">
        <v>405</v>
      </c>
      <c r="G830">
        <v>96</v>
      </c>
      <c r="H830" t="s">
        <v>789</v>
      </c>
      <c r="I830" t="s">
        <v>2257</v>
      </c>
      <c r="J830">
        <v>711750</v>
      </c>
      <c r="K830">
        <v>2025</v>
      </c>
      <c r="L830">
        <v>1027803523</v>
      </c>
      <c r="M830" t="s">
        <v>3711</v>
      </c>
      <c r="N830" t="s">
        <v>1688</v>
      </c>
      <c r="O830" t="s">
        <v>1686</v>
      </c>
      <c r="P830">
        <v>0</v>
      </c>
      <c r="Q830">
        <v>711750</v>
      </c>
      <c r="R830">
        <v>0</v>
      </c>
      <c r="S830">
        <v>0</v>
      </c>
      <c r="T830" t="str">
        <f t="shared" si="24"/>
        <v>24032.43.4302.85.0-101024.2.3.3.08.06.</v>
      </c>
      <c r="U830" t="e" cm="1">
        <f t="array" aca="1" ref="U830" ca="1">+IF(COMPROMISOS_2025[[#This Row],[P]]="20","41080111",_xlfn.XLOOKUP(COMPROMISOS_2025[[#This Row],[concatenado]],PAA[[#All],[RCP-RUBRO]],PAA[[#All],[INDICADOR]],"",0))</f>
        <v>#NAME?</v>
      </c>
      <c r="V830" s="144" t="str">
        <f t="shared" si="25"/>
        <v>85</v>
      </c>
      <c r="W830" s="136">
        <f>+COMPROMISOS_2025[[#This Row],[valor_total]]-COMPROMISOS_2025[[#This Row],[total_cancelado]]</f>
        <v>711750</v>
      </c>
      <c r="X830" s="136">
        <f>COMPROMISOS_2025[[#This Row],[total_ordenes]]</f>
        <v>711750</v>
      </c>
      <c r="Y830" t="str" cm="1">
        <f t="array" aca="1" ref="Y830" ca="1">IFERROR(_xlfn.XLOOKUP(COMPROMISOS_2025[[#This Row],[concatenado]],PAA[[#All],[RCP-RUBRO]],PAA[[#All],[Actividad3]],VLOOKUP(COMPROMISOS_2025[[#This Row],[Indicador Principal]],$AC$2:$AD$17,2,0),0),"")</f>
        <v/>
      </c>
    </row>
    <row r="831" spans="1:25" hidden="1" x14ac:dyDescent="0.25">
      <c r="A831">
        <v>2405</v>
      </c>
      <c r="B831" t="s">
        <v>2491</v>
      </c>
      <c r="C831" t="s">
        <v>1936</v>
      </c>
      <c r="D831" t="s">
        <v>3575</v>
      </c>
      <c r="F831">
        <v>405</v>
      </c>
      <c r="G831">
        <v>96</v>
      </c>
      <c r="H831" t="s">
        <v>789</v>
      </c>
      <c r="I831" t="s">
        <v>2257</v>
      </c>
      <c r="J831">
        <v>711750</v>
      </c>
      <c r="K831">
        <v>2025</v>
      </c>
      <c r="L831">
        <v>1027808238</v>
      </c>
      <c r="M831" t="s">
        <v>3712</v>
      </c>
      <c r="N831" t="s">
        <v>1688</v>
      </c>
      <c r="O831" t="s">
        <v>1686</v>
      </c>
      <c r="P831">
        <v>0</v>
      </c>
      <c r="Q831">
        <v>711750</v>
      </c>
      <c r="R831">
        <v>0</v>
      </c>
      <c r="S831">
        <v>0</v>
      </c>
      <c r="T831" t="str">
        <f t="shared" si="24"/>
        <v>24052.43.4302.85.0-101024.2.3.3.08.06.</v>
      </c>
      <c r="U831" t="e" cm="1">
        <f t="array" aca="1" ref="U831" ca="1">+IF(COMPROMISOS_2025[[#This Row],[P]]="20","41080111",_xlfn.XLOOKUP(COMPROMISOS_2025[[#This Row],[concatenado]],PAA[[#All],[RCP-RUBRO]],PAA[[#All],[INDICADOR]],"",0))</f>
        <v>#NAME?</v>
      </c>
      <c r="V831" s="144" t="str">
        <f t="shared" si="25"/>
        <v>85</v>
      </c>
      <c r="W831" s="136">
        <f>+COMPROMISOS_2025[[#This Row],[valor_total]]-COMPROMISOS_2025[[#This Row],[total_cancelado]]</f>
        <v>711750</v>
      </c>
      <c r="X831" s="136">
        <f>COMPROMISOS_2025[[#This Row],[total_ordenes]]</f>
        <v>711750</v>
      </c>
      <c r="Y831" t="str" cm="1">
        <f t="array" aca="1" ref="Y831" ca="1">IFERROR(_xlfn.XLOOKUP(COMPROMISOS_2025[[#This Row],[concatenado]],PAA[[#All],[RCP-RUBRO]],PAA[[#All],[Actividad3]],VLOOKUP(COMPROMISOS_2025[[#This Row],[Indicador Principal]],$AC$2:$AD$17,2,0),0),"")</f>
        <v/>
      </c>
    </row>
    <row r="832" spans="1:25" hidden="1" x14ac:dyDescent="0.25">
      <c r="A832">
        <v>2407</v>
      </c>
      <c r="B832" t="s">
        <v>2491</v>
      </c>
      <c r="C832" t="s">
        <v>1936</v>
      </c>
      <c r="D832" t="s">
        <v>3575</v>
      </c>
      <c r="F832">
        <v>405</v>
      </c>
      <c r="G832">
        <v>96</v>
      </c>
      <c r="H832" t="s">
        <v>789</v>
      </c>
      <c r="I832" t="s">
        <v>2257</v>
      </c>
      <c r="J832">
        <v>711750</v>
      </c>
      <c r="K832">
        <v>2025</v>
      </c>
      <c r="L832">
        <v>1027946487</v>
      </c>
      <c r="M832" t="s">
        <v>3713</v>
      </c>
      <c r="N832" t="s">
        <v>1688</v>
      </c>
      <c r="O832" t="s">
        <v>1686</v>
      </c>
      <c r="P832">
        <v>0</v>
      </c>
      <c r="Q832">
        <v>711750</v>
      </c>
      <c r="R832">
        <v>0</v>
      </c>
      <c r="S832">
        <v>0</v>
      </c>
      <c r="T832" t="str">
        <f t="shared" si="24"/>
        <v>24072.43.4302.85.0-101024.2.3.3.08.06.</v>
      </c>
      <c r="U832" t="e" cm="1">
        <f t="array" aca="1" ref="U832" ca="1">+IF(COMPROMISOS_2025[[#This Row],[P]]="20","41080111",_xlfn.XLOOKUP(COMPROMISOS_2025[[#This Row],[concatenado]],PAA[[#All],[RCP-RUBRO]],PAA[[#All],[INDICADOR]],"",0))</f>
        <v>#NAME?</v>
      </c>
      <c r="V832" s="144" t="str">
        <f t="shared" si="25"/>
        <v>85</v>
      </c>
      <c r="W832" s="136">
        <f>+COMPROMISOS_2025[[#This Row],[valor_total]]-COMPROMISOS_2025[[#This Row],[total_cancelado]]</f>
        <v>711750</v>
      </c>
      <c r="X832" s="136">
        <f>COMPROMISOS_2025[[#This Row],[total_ordenes]]</f>
        <v>711750</v>
      </c>
      <c r="Y832" t="str" cm="1">
        <f t="array" aca="1" ref="Y832" ca="1">IFERROR(_xlfn.XLOOKUP(COMPROMISOS_2025[[#This Row],[concatenado]],PAA[[#All],[RCP-RUBRO]],PAA[[#All],[Actividad3]],VLOOKUP(COMPROMISOS_2025[[#This Row],[Indicador Principal]],$AC$2:$AD$17,2,0),0),"")</f>
        <v/>
      </c>
    </row>
    <row r="833" spans="1:25" hidden="1" x14ac:dyDescent="0.25">
      <c r="A833">
        <v>2409</v>
      </c>
      <c r="B833" t="s">
        <v>2491</v>
      </c>
      <c r="C833" t="s">
        <v>1936</v>
      </c>
      <c r="D833" t="s">
        <v>3575</v>
      </c>
      <c r="F833">
        <v>405</v>
      </c>
      <c r="G833">
        <v>96</v>
      </c>
      <c r="H833" t="s">
        <v>789</v>
      </c>
      <c r="I833" t="s">
        <v>2257</v>
      </c>
      <c r="J833">
        <v>1067625</v>
      </c>
      <c r="K833">
        <v>2025</v>
      </c>
      <c r="L833">
        <v>1027947439</v>
      </c>
      <c r="M833" t="s">
        <v>3714</v>
      </c>
      <c r="N833" t="s">
        <v>1688</v>
      </c>
      <c r="O833" t="s">
        <v>1686</v>
      </c>
      <c r="P833">
        <v>0</v>
      </c>
      <c r="Q833">
        <v>1067625</v>
      </c>
      <c r="R833">
        <v>0</v>
      </c>
      <c r="S833">
        <v>0</v>
      </c>
      <c r="T833" t="str">
        <f t="shared" si="24"/>
        <v>24092.43.4302.85.0-101024.2.3.3.08.06.</v>
      </c>
      <c r="U833" t="e" cm="1">
        <f t="array" aca="1" ref="U833" ca="1">+IF(COMPROMISOS_2025[[#This Row],[P]]="20","41080111",_xlfn.XLOOKUP(COMPROMISOS_2025[[#This Row],[concatenado]],PAA[[#All],[RCP-RUBRO]],PAA[[#All],[INDICADOR]],"",0))</f>
        <v>#NAME?</v>
      </c>
      <c r="V833" s="144" t="str">
        <f t="shared" si="25"/>
        <v>85</v>
      </c>
      <c r="W833" s="136">
        <f>+COMPROMISOS_2025[[#This Row],[valor_total]]-COMPROMISOS_2025[[#This Row],[total_cancelado]]</f>
        <v>1067625</v>
      </c>
      <c r="X833" s="136">
        <f>COMPROMISOS_2025[[#This Row],[total_ordenes]]</f>
        <v>1067625</v>
      </c>
      <c r="Y833" t="str" cm="1">
        <f t="array" aca="1" ref="Y833" ca="1">IFERROR(_xlfn.XLOOKUP(COMPROMISOS_2025[[#This Row],[concatenado]],PAA[[#All],[RCP-RUBRO]],PAA[[#All],[Actividad3]],VLOOKUP(COMPROMISOS_2025[[#This Row],[Indicador Principal]],$AC$2:$AD$17,2,0),0),"")</f>
        <v/>
      </c>
    </row>
    <row r="834" spans="1:25" hidden="1" x14ac:dyDescent="0.25">
      <c r="A834">
        <v>2410</v>
      </c>
      <c r="B834" t="s">
        <v>2491</v>
      </c>
      <c r="C834" t="s">
        <v>1936</v>
      </c>
      <c r="D834" t="s">
        <v>3575</v>
      </c>
      <c r="F834">
        <v>405</v>
      </c>
      <c r="G834">
        <v>96</v>
      </c>
      <c r="H834" t="s">
        <v>789</v>
      </c>
      <c r="I834" t="s">
        <v>2257</v>
      </c>
      <c r="J834">
        <v>711750</v>
      </c>
      <c r="K834">
        <v>2025</v>
      </c>
      <c r="L834">
        <v>1027948308</v>
      </c>
      <c r="M834" t="s">
        <v>3715</v>
      </c>
      <c r="N834" t="s">
        <v>1688</v>
      </c>
      <c r="O834" t="s">
        <v>1686</v>
      </c>
      <c r="P834">
        <v>0</v>
      </c>
      <c r="Q834">
        <v>711750</v>
      </c>
      <c r="R834">
        <v>0</v>
      </c>
      <c r="S834">
        <v>0</v>
      </c>
      <c r="T834" t="str">
        <f t="shared" ref="T834:T897" si="26">IF(A834&gt;=0,CONCATENATE(A834,H834),"")</f>
        <v>24102.43.4302.85.0-101024.2.3.3.08.06.</v>
      </c>
      <c r="U834" t="e" cm="1">
        <f t="array" aca="1" ref="U834" ca="1">+IF(COMPROMISOS_2025[[#This Row],[P]]="20","41080111",_xlfn.XLOOKUP(COMPROMISOS_2025[[#This Row],[concatenado]],PAA[[#All],[RCP-RUBRO]],PAA[[#All],[INDICADOR]],"",0))</f>
        <v>#NAME?</v>
      </c>
      <c r="V834" s="144" t="str">
        <f t="shared" ref="V834:V897" si="27">+MID(H834,11,2)</f>
        <v>85</v>
      </c>
      <c r="W834" s="136">
        <f>+COMPROMISOS_2025[[#This Row],[valor_total]]-COMPROMISOS_2025[[#This Row],[total_cancelado]]</f>
        <v>711750</v>
      </c>
      <c r="X834" s="136">
        <f>COMPROMISOS_2025[[#This Row],[total_ordenes]]</f>
        <v>711750</v>
      </c>
      <c r="Y834" t="str" cm="1">
        <f t="array" aca="1" ref="Y834" ca="1">IFERROR(_xlfn.XLOOKUP(COMPROMISOS_2025[[#This Row],[concatenado]],PAA[[#All],[RCP-RUBRO]],PAA[[#All],[Actividad3]],VLOOKUP(COMPROMISOS_2025[[#This Row],[Indicador Principal]],$AC$2:$AD$17,2,0),0),"")</f>
        <v/>
      </c>
    </row>
    <row r="835" spans="1:25" hidden="1" x14ac:dyDescent="0.25">
      <c r="A835">
        <v>2411</v>
      </c>
      <c r="B835" t="s">
        <v>2491</v>
      </c>
      <c r="C835" t="s">
        <v>1936</v>
      </c>
      <c r="D835" t="s">
        <v>3575</v>
      </c>
      <c r="F835">
        <v>405</v>
      </c>
      <c r="G835">
        <v>96</v>
      </c>
      <c r="H835" t="s">
        <v>789</v>
      </c>
      <c r="I835" t="s">
        <v>2257</v>
      </c>
      <c r="J835">
        <v>711750</v>
      </c>
      <c r="K835">
        <v>2025</v>
      </c>
      <c r="L835">
        <v>1027948479</v>
      </c>
      <c r="M835" t="s">
        <v>3716</v>
      </c>
      <c r="N835" t="s">
        <v>1688</v>
      </c>
      <c r="O835" t="s">
        <v>1686</v>
      </c>
      <c r="P835">
        <v>0</v>
      </c>
      <c r="Q835">
        <v>711750</v>
      </c>
      <c r="R835">
        <v>0</v>
      </c>
      <c r="S835">
        <v>0</v>
      </c>
      <c r="T835" t="str">
        <f t="shared" si="26"/>
        <v>24112.43.4302.85.0-101024.2.3.3.08.06.</v>
      </c>
      <c r="U835" t="e" cm="1">
        <f t="array" aca="1" ref="U835" ca="1">+IF(COMPROMISOS_2025[[#This Row],[P]]="20","41080111",_xlfn.XLOOKUP(COMPROMISOS_2025[[#This Row],[concatenado]],PAA[[#All],[RCP-RUBRO]],PAA[[#All],[INDICADOR]],"",0))</f>
        <v>#NAME?</v>
      </c>
      <c r="V835" s="144" t="str">
        <f t="shared" si="27"/>
        <v>85</v>
      </c>
      <c r="W835" s="136">
        <f>+COMPROMISOS_2025[[#This Row],[valor_total]]-COMPROMISOS_2025[[#This Row],[total_cancelado]]</f>
        <v>711750</v>
      </c>
      <c r="X835" s="136">
        <f>COMPROMISOS_2025[[#This Row],[total_ordenes]]</f>
        <v>711750</v>
      </c>
      <c r="Y835" t="str" cm="1">
        <f t="array" aca="1" ref="Y835" ca="1">IFERROR(_xlfn.XLOOKUP(COMPROMISOS_2025[[#This Row],[concatenado]],PAA[[#All],[RCP-RUBRO]],PAA[[#All],[Actividad3]],VLOOKUP(COMPROMISOS_2025[[#This Row],[Indicador Principal]],$AC$2:$AD$17,2,0),0),"")</f>
        <v/>
      </c>
    </row>
    <row r="836" spans="1:25" hidden="1" x14ac:dyDescent="0.25">
      <c r="A836">
        <v>2412</v>
      </c>
      <c r="B836" t="s">
        <v>2491</v>
      </c>
      <c r="C836" t="s">
        <v>1936</v>
      </c>
      <c r="D836" t="s">
        <v>3575</v>
      </c>
      <c r="F836">
        <v>405</v>
      </c>
      <c r="G836">
        <v>96</v>
      </c>
      <c r="H836" t="s">
        <v>789</v>
      </c>
      <c r="I836" t="s">
        <v>2257</v>
      </c>
      <c r="J836">
        <v>1067625</v>
      </c>
      <c r="K836">
        <v>2025</v>
      </c>
      <c r="L836">
        <v>1027949289</v>
      </c>
      <c r="M836" t="s">
        <v>3717</v>
      </c>
      <c r="N836" t="s">
        <v>1688</v>
      </c>
      <c r="O836" t="s">
        <v>1686</v>
      </c>
      <c r="P836">
        <v>0</v>
      </c>
      <c r="Q836">
        <v>1067625</v>
      </c>
      <c r="R836">
        <v>0</v>
      </c>
      <c r="S836">
        <v>0</v>
      </c>
      <c r="T836" t="str">
        <f t="shared" si="26"/>
        <v>24122.43.4302.85.0-101024.2.3.3.08.06.</v>
      </c>
      <c r="U836" t="e" cm="1">
        <f t="array" aca="1" ref="U836" ca="1">+IF(COMPROMISOS_2025[[#This Row],[P]]="20","41080111",_xlfn.XLOOKUP(COMPROMISOS_2025[[#This Row],[concatenado]],PAA[[#All],[RCP-RUBRO]],PAA[[#All],[INDICADOR]],"",0))</f>
        <v>#NAME?</v>
      </c>
      <c r="V836" s="144" t="str">
        <f t="shared" si="27"/>
        <v>85</v>
      </c>
      <c r="W836" s="136">
        <f>+COMPROMISOS_2025[[#This Row],[valor_total]]-COMPROMISOS_2025[[#This Row],[total_cancelado]]</f>
        <v>1067625</v>
      </c>
      <c r="X836" s="136">
        <f>COMPROMISOS_2025[[#This Row],[total_ordenes]]</f>
        <v>1067625</v>
      </c>
      <c r="Y836" t="str" cm="1">
        <f t="array" aca="1" ref="Y836" ca="1">IFERROR(_xlfn.XLOOKUP(COMPROMISOS_2025[[#This Row],[concatenado]],PAA[[#All],[RCP-RUBRO]],PAA[[#All],[Actividad3]],VLOOKUP(COMPROMISOS_2025[[#This Row],[Indicador Principal]],$AC$2:$AD$17,2,0),0),"")</f>
        <v/>
      </c>
    </row>
    <row r="837" spans="1:25" hidden="1" x14ac:dyDescent="0.25">
      <c r="A837">
        <v>2414</v>
      </c>
      <c r="B837" t="s">
        <v>2491</v>
      </c>
      <c r="C837" t="s">
        <v>1936</v>
      </c>
      <c r="D837" t="s">
        <v>3575</v>
      </c>
      <c r="F837">
        <v>405</v>
      </c>
      <c r="G837">
        <v>96</v>
      </c>
      <c r="H837" t="s">
        <v>789</v>
      </c>
      <c r="I837" t="s">
        <v>2257</v>
      </c>
      <c r="J837">
        <v>711750</v>
      </c>
      <c r="K837">
        <v>2025</v>
      </c>
      <c r="L837">
        <v>1027950068</v>
      </c>
      <c r="M837" t="s">
        <v>3718</v>
      </c>
      <c r="N837" t="s">
        <v>1688</v>
      </c>
      <c r="O837" t="s">
        <v>1686</v>
      </c>
      <c r="P837">
        <v>0</v>
      </c>
      <c r="Q837">
        <v>711750</v>
      </c>
      <c r="R837">
        <v>0</v>
      </c>
      <c r="S837">
        <v>0</v>
      </c>
      <c r="T837" t="str">
        <f t="shared" si="26"/>
        <v>24142.43.4302.85.0-101024.2.3.3.08.06.</v>
      </c>
      <c r="U837" t="e" cm="1">
        <f t="array" aca="1" ref="U837" ca="1">+IF(COMPROMISOS_2025[[#This Row],[P]]="20","41080111",_xlfn.XLOOKUP(COMPROMISOS_2025[[#This Row],[concatenado]],PAA[[#All],[RCP-RUBRO]],PAA[[#All],[INDICADOR]],"",0))</f>
        <v>#NAME?</v>
      </c>
      <c r="V837" s="144" t="str">
        <f t="shared" si="27"/>
        <v>85</v>
      </c>
      <c r="W837" s="136">
        <f>+COMPROMISOS_2025[[#This Row],[valor_total]]-COMPROMISOS_2025[[#This Row],[total_cancelado]]</f>
        <v>711750</v>
      </c>
      <c r="X837" s="136">
        <f>COMPROMISOS_2025[[#This Row],[total_ordenes]]</f>
        <v>711750</v>
      </c>
      <c r="Y837" t="str" cm="1">
        <f t="array" aca="1" ref="Y837" ca="1">IFERROR(_xlfn.XLOOKUP(COMPROMISOS_2025[[#This Row],[concatenado]],PAA[[#All],[RCP-RUBRO]],PAA[[#All],[Actividad3]],VLOOKUP(COMPROMISOS_2025[[#This Row],[Indicador Principal]],$AC$2:$AD$17,2,0),0),"")</f>
        <v/>
      </c>
    </row>
    <row r="838" spans="1:25" hidden="1" x14ac:dyDescent="0.25">
      <c r="A838">
        <v>2416</v>
      </c>
      <c r="B838" t="s">
        <v>2491</v>
      </c>
      <c r="C838" t="s">
        <v>1936</v>
      </c>
      <c r="D838" t="s">
        <v>3575</v>
      </c>
      <c r="F838">
        <v>405</v>
      </c>
      <c r="G838">
        <v>96</v>
      </c>
      <c r="H838" t="s">
        <v>789</v>
      </c>
      <c r="I838" t="s">
        <v>2257</v>
      </c>
      <c r="J838">
        <v>711750</v>
      </c>
      <c r="K838">
        <v>2025</v>
      </c>
      <c r="L838">
        <v>1027951989</v>
      </c>
      <c r="M838" t="s">
        <v>3719</v>
      </c>
      <c r="N838" t="s">
        <v>1688</v>
      </c>
      <c r="O838" t="s">
        <v>1686</v>
      </c>
      <c r="P838">
        <v>0</v>
      </c>
      <c r="Q838">
        <v>711750</v>
      </c>
      <c r="R838">
        <v>0</v>
      </c>
      <c r="S838">
        <v>0</v>
      </c>
      <c r="T838" t="str">
        <f t="shared" si="26"/>
        <v>24162.43.4302.85.0-101024.2.3.3.08.06.</v>
      </c>
      <c r="U838" t="e" cm="1">
        <f t="array" aca="1" ref="U838" ca="1">+IF(COMPROMISOS_2025[[#This Row],[P]]="20","41080111",_xlfn.XLOOKUP(COMPROMISOS_2025[[#This Row],[concatenado]],PAA[[#All],[RCP-RUBRO]],PAA[[#All],[INDICADOR]],"",0))</f>
        <v>#NAME?</v>
      </c>
      <c r="V838" s="144" t="str">
        <f t="shared" si="27"/>
        <v>85</v>
      </c>
      <c r="W838" s="136">
        <f>+COMPROMISOS_2025[[#This Row],[valor_total]]-COMPROMISOS_2025[[#This Row],[total_cancelado]]</f>
        <v>711750</v>
      </c>
      <c r="X838" s="136">
        <f>COMPROMISOS_2025[[#This Row],[total_ordenes]]</f>
        <v>711750</v>
      </c>
      <c r="Y838" t="str" cm="1">
        <f t="array" aca="1" ref="Y838" ca="1">IFERROR(_xlfn.XLOOKUP(COMPROMISOS_2025[[#This Row],[concatenado]],PAA[[#All],[RCP-RUBRO]],PAA[[#All],[Actividad3]],VLOOKUP(COMPROMISOS_2025[[#This Row],[Indicador Principal]],$AC$2:$AD$17,2,0),0),"")</f>
        <v/>
      </c>
    </row>
    <row r="839" spans="1:25" hidden="1" x14ac:dyDescent="0.25">
      <c r="A839">
        <v>2417</v>
      </c>
      <c r="B839" t="s">
        <v>2491</v>
      </c>
      <c r="C839" t="s">
        <v>1936</v>
      </c>
      <c r="D839" t="s">
        <v>3575</v>
      </c>
      <c r="F839">
        <v>405</v>
      </c>
      <c r="G839">
        <v>96</v>
      </c>
      <c r="H839" t="s">
        <v>789</v>
      </c>
      <c r="I839" t="s">
        <v>2257</v>
      </c>
      <c r="J839">
        <v>1067625</v>
      </c>
      <c r="K839">
        <v>2025</v>
      </c>
      <c r="L839">
        <v>1027952406</v>
      </c>
      <c r="M839" t="s">
        <v>3720</v>
      </c>
      <c r="N839" t="s">
        <v>1688</v>
      </c>
      <c r="O839" t="s">
        <v>1686</v>
      </c>
      <c r="P839">
        <v>0</v>
      </c>
      <c r="Q839">
        <v>1067625</v>
      </c>
      <c r="R839">
        <v>0</v>
      </c>
      <c r="S839">
        <v>0</v>
      </c>
      <c r="T839" t="str">
        <f t="shared" si="26"/>
        <v>24172.43.4302.85.0-101024.2.3.3.08.06.</v>
      </c>
      <c r="U839" t="e" cm="1">
        <f t="array" aca="1" ref="U839" ca="1">+IF(COMPROMISOS_2025[[#This Row],[P]]="20","41080111",_xlfn.XLOOKUP(COMPROMISOS_2025[[#This Row],[concatenado]],PAA[[#All],[RCP-RUBRO]],PAA[[#All],[INDICADOR]],"",0))</f>
        <v>#NAME?</v>
      </c>
      <c r="V839" s="144" t="str">
        <f t="shared" si="27"/>
        <v>85</v>
      </c>
      <c r="W839" s="136">
        <f>+COMPROMISOS_2025[[#This Row],[valor_total]]-COMPROMISOS_2025[[#This Row],[total_cancelado]]</f>
        <v>1067625</v>
      </c>
      <c r="X839" s="136">
        <f>COMPROMISOS_2025[[#This Row],[total_ordenes]]</f>
        <v>1067625</v>
      </c>
      <c r="Y839" t="str" cm="1">
        <f t="array" aca="1" ref="Y839" ca="1">IFERROR(_xlfn.XLOOKUP(COMPROMISOS_2025[[#This Row],[concatenado]],PAA[[#All],[RCP-RUBRO]],PAA[[#All],[Actividad3]],VLOOKUP(COMPROMISOS_2025[[#This Row],[Indicador Principal]],$AC$2:$AD$17,2,0),0),"")</f>
        <v/>
      </c>
    </row>
    <row r="840" spans="1:25" hidden="1" x14ac:dyDescent="0.25">
      <c r="A840">
        <v>2418</v>
      </c>
      <c r="B840" t="s">
        <v>2491</v>
      </c>
      <c r="C840" t="s">
        <v>1936</v>
      </c>
      <c r="D840" t="s">
        <v>3575</v>
      </c>
      <c r="F840">
        <v>405</v>
      </c>
      <c r="G840">
        <v>96</v>
      </c>
      <c r="H840" t="s">
        <v>789</v>
      </c>
      <c r="I840" t="s">
        <v>2257</v>
      </c>
      <c r="J840">
        <v>711750</v>
      </c>
      <c r="K840">
        <v>2025</v>
      </c>
      <c r="L840">
        <v>1027953650</v>
      </c>
      <c r="M840" t="s">
        <v>3721</v>
      </c>
      <c r="N840" t="s">
        <v>1688</v>
      </c>
      <c r="O840" t="s">
        <v>1686</v>
      </c>
      <c r="P840">
        <v>0</v>
      </c>
      <c r="Q840">
        <v>711750</v>
      </c>
      <c r="R840">
        <v>0</v>
      </c>
      <c r="S840">
        <v>0</v>
      </c>
      <c r="T840" t="str">
        <f t="shared" si="26"/>
        <v>24182.43.4302.85.0-101024.2.3.3.08.06.</v>
      </c>
      <c r="U840" t="e" cm="1">
        <f t="array" aca="1" ref="U840" ca="1">+IF(COMPROMISOS_2025[[#This Row],[P]]="20","41080111",_xlfn.XLOOKUP(COMPROMISOS_2025[[#This Row],[concatenado]],PAA[[#All],[RCP-RUBRO]],PAA[[#All],[INDICADOR]],"",0))</f>
        <v>#NAME?</v>
      </c>
      <c r="V840" s="144" t="str">
        <f t="shared" si="27"/>
        <v>85</v>
      </c>
      <c r="W840" s="136">
        <f>+COMPROMISOS_2025[[#This Row],[valor_total]]-COMPROMISOS_2025[[#This Row],[total_cancelado]]</f>
        <v>711750</v>
      </c>
      <c r="X840" s="136">
        <f>COMPROMISOS_2025[[#This Row],[total_ordenes]]</f>
        <v>711750</v>
      </c>
      <c r="Y840" t="str" cm="1">
        <f t="array" aca="1" ref="Y840" ca="1">IFERROR(_xlfn.XLOOKUP(COMPROMISOS_2025[[#This Row],[concatenado]],PAA[[#All],[RCP-RUBRO]],PAA[[#All],[Actividad3]],VLOOKUP(COMPROMISOS_2025[[#This Row],[Indicador Principal]],$AC$2:$AD$17,2,0),0),"")</f>
        <v/>
      </c>
    </row>
    <row r="841" spans="1:25" hidden="1" x14ac:dyDescent="0.25">
      <c r="A841">
        <v>2419</v>
      </c>
      <c r="B841" t="s">
        <v>2491</v>
      </c>
      <c r="C841" t="s">
        <v>1936</v>
      </c>
      <c r="D841" t="s">
        <v>3575</v>
      </c>
      <c r="F841">
        <v>405</v>
      </c>
      <c r="G841">
        <v>96</v>
      </c>
      <c r="H841" t="s">
        <v>789</v>
      </c>
      <c r="I841" t="s">
        <v>2257</v>
      </c>
      <c r="J841">
        <v>1067625</v>
      </c>
      <c r="K841">
        <v>2025</v>
      </c>
      <c r="L841">
        <v>1027955036</v>
      </c>
      <c r="M841" t="s">
        <v>3722</v>
      </c>
      <c r="N841" t="s">
        <v>1688</v>
      </c>
      <c r="O841" t="s">
        <v>1686</v>
      </c>
      <c r="P841">
        <v>0</v>
      </c>
      <c r="Q841">
        <v>1067625</v>
      </c>
      <c r="R841">
        <v>0</v>
      </c>
      <c r="S841">
        <v>0</v>
      </c>
      <c r="T841" t="str">
        <f t="shared" si="26"/>
        <v>24192.43.4302.85.0-101024.2.3.3.08.06.</v>
      </c>
      <c r="U841" t="e" cm="1">
        <f t="array" aca="1" ref="U841" ca="1">+IF(COMPROMISOS_2025[[#This Row],[P]]="20","41080111",_xlfn.XLOOKUP(COMPROMISOS_2025[[#This Row],[concatenado]],PAA[[#All],[RCP-RUBRO]],PAA[[#All],[INDICADOR]],"",0))</f>
        <v>#NAME?</v>
      </c>
      <c r="V841" s="144" t="str">
        <f t="shared" si="27"/>
        <v>85</v>
      </c>
      <c r="W841" s="136">
        <f>+COMPROMISOS_2025[[#This Row],[valor_total]]-COMPROMISOS_2025[[#This Row],[total_cancelado]]</f>
        <v>1067625</v>
      </c>
      <c r="X841" s="136">
        <f>COMPROMISOS_2025[[#This Row],[total_ordenes]]</f>
        <v>1067625</v>
      </c>
      <c r="Y841" t="str" cm="1">
        <f t="array" aca="1" ref="Y841" ca="1">IFERROR(_xlfn.XLOOKUP(COMPROMISOS_2025[[#This Row],[concatenado]],PAA[[#All],[RCP-RUBRO]],PAA[[#All],[Actividad3]],VLOOKUP(COMPROMISOS_2025[[#This Row],[Indicador Principal]],$AC$2:$AD$17,2,0),0),"")</f>
        <v/>
      </c>
    </row>
    <row r="842" spans="1:25" hidden="1" x14ac:dyDescent="0.25">
      <c r="A842">
        <v>2420</v>
      </c>
      <c r="B842" t="s">
        <v>2491</v>
      </c>
      <c r="C842" t="s">
        <v>1936</v>
      </c>
      <c r="D842" t="s">
        <v>3575</v>
      </c>
      <c r="F842">
        <v>405</v>
      </c>
      <c r="G842">
        <v>96</v>
      </c>
      <c r="H842" t="s">
        <v>789</v>
      </c>
      <c r="I842" t="s">
        <v>2257</v>
      </c>
      <c r="J842">
        <v>711750</v>
      </c>
      <c r="K842">
        <v>2025</v>
      </c>
      <c r="L842">
        <v>1027956059</v>
      </c>
      <c r="M842" t="s">
        <v>3723</v>
      </c>
      <c r="N842" t="s">
        <v>1688</v>
      </c>
      <c r="O842" t="s">
        <v>1686</v>
      </c>
      <c r="P842">
        <v>0</v>
      </c>
      <c r="Q842">
        <v>711750</v>
      </c>
      <c r="R842">
        <v>0</v>
      </c>
      <c r="S842">
        <v>0</v>
      </c>
      <c r="T842" t="str">
        <f t="shared" si="26"/>
        <v>24202.43.4302.85.0-101024.2.3.3.08.06.</v>
      </c>
      <c r="U842" t="e" cm="1">
        <f t="array" aca="1" ref="U842" ca="1">+IF(COMPROMISOS_2025[[#This Row],[P]]="20","41080111",_xlfn.XLOOKUP(COMPROMISOS_2025[[#This Row],[concatenado]],PAA[[#All],[RCP-RUBRO]],PAA[[#All],[INDICADOR]],"",0))</f>
        <v>#NAME?</v>
      </c>
      <c r="V842" s="144" t="str">
        <f t="shared" si="27"/>
        <v>85</v>
      </c>
      <c r="W842" s="136">
        <f>+COMPROMISOS_2025[[#This Row],[valor_total]]-COMPROMISOS_2025[[#This Row],[total_cancelado]]</f>
        <v>711750</v>
      </c>
      <c r="X842" s="136">
        <f>COMPROMISOS_2025[[#This Row],[total_ordenes]]</f>
        <v>711750</v>
      </c>
      <c r="Y842" t="str" cm="1">
        <f t="array" aca="1" ref="Y842" ca="1">IFERROR(_xlfn.XLOOKUP(COMPROMISOS_2025[[#This Row],[concatenado]],PAA[[#All],[RCP-RUBRO]],PAA[[#All],[Actividad3]],VLOOKUP(COMPROMISOS_2025[[#This Row],[Indicador Principal]],$AC$2:$AD$17,2,0),0),"")</f>
        <v/>
      </c>
    </row>
    <row r="843" spans="1:25" hidden="1" x14ac:dyDescent="0.25">
      <c r="A843">
        <v>2422</v>
      </c>
      <c r="B843" t="s">
        <v>2491</v>
      </c>
      <c r="C843" t="s">
        <v>1936</v>
      </c>
      <c r="D843" t="s">
        <v>3575</v>
      </c>
      <c r="F843">
        <v>405</v>
      </c>
      <c r="G843">
        <v>96</v>
      </c>
      <c r="H843" t="s">
        <v>789</v>
      </c>
      <c r="I843" t="s">
        <v>2257</v>
      </c>
      <c r="J843">
        <v>711750</v>
      </c>
      <c r="K843">
        <v>2025</v>
      </c>
      <c r="L843">
        <v>1027958537</v>
      </c>
      <c r="M843" t="s">
        <v>3724</v>
      </c>
      <c r="N843" t="s">
        <v>1688</v>
      </c>
      <c r="O843" t="s">
        <v>1686</v>
      </c>
      <c r="P843">
        <v>0</v>
      </c>
      <c r="Q843">
        <v>711750</v>
      </c>
      <c r="R843">
        <v>0</v>
      </c>
      <c r="S843">
        <v>0</v>
      </c>
      <c r="T843" t="str">
        <f t="shared" si="26"/>
        <v>24222.43.4302.85.0-101024.2.3.3.08.06.</v>
      </c>
      <c r="U843" t="e" cm="1">
        <f t="array" aca="1" ref="U843" ca="1">+IF(COMPROMISOS_2025[[#This Row],[P]]="20","41080111",_xlfn.XLOOKUP(COMPROMISOS_2025[[#This Row],[concatenado]],PAA[[#All],[RCP-RUBRO]],PAA[[#All],[INDICADOR]],"",0))</f>
        <v>#NAME?</v>
      </c>
      <c r="V843" s="144" t="str">
        <f t="shared" si="27"/>
        <v>85</v>
      </c>
      <c r="W843" s="136">
        <f>+COMPROMISOS_2025[[#This Row],[valor_total]]-COMPROMISOS_2025[[#This Row],[total_cancelado]]</f>
        <v>711750</v>
      </c>
      <c r="X843" s="136">
        <f>COMPROMISOS_2025[[#This Row],[total_ordenes]]</f>
        <v>711750</v>
      </c>
      <c r="Y843" t="str" cm="1">
        <f t="array" aca="1" ref="Y843" ca="1">IFERROR(_xlfn.XLOOKUP(COMPROMISOS_2025[[#This Row],[concatenado]],PAA[[#All],[RCP-RUBRO]],PAA[[#All],[Actividad3]],VLOOKUP(COMPROMISOS_2025[[#This Row],[Indicador Principal]],$AC$2:$AD$17,2,0),0),"")</f>
        <v/>
      </c>
    </row>
    <row r="844" spans="1:25" hidden="1" x14ac:dyDescent="0.25">
      <c r="A844">
        <v>2423</v>
      </c>
      <c r="B844" t="s">
        <v>2491</v>
      </c>
      <c r="C844" t="s">
        <v>1936</v>
      </c>
      <c r="D844" t="s">
        <v>3575</v>
      </c>
      <c r="F844">
        <v>405</v>
      </c>
      <c r="G844">
        <v>96</v>
      </c>
      <c r="H844" t="s">
        <v>789</v>
      </c>
      <c r="I844" t="s">
        <v>2257</v>
      </c>
      <c r="J844">
        <v>1067625</v>
      </c>
      <c r="K844">
        <v>2025</v>
      </c>
      <c r="L844">
        <v>1027963235</v>
      </c>
      <c r="M844" t="s">
        <v>3725</v>
      </c>
      <c r="N844" t="s">
        <v>1688</v>
      </c>
      <c r="O844" t="s">
        <v>1686</v>
      </c>
      <c r="P844">
        <v>0</v>
      </c>
      <c r="Q844">
        <v>1067625</v>
      </c>
      <c r="R844">
        <v>0</v>
      </c>
      <c r="S844">
        <v>0</v>
      </c>
      <c r="T844" t="str">
        <f t="shared" si="26"/>
        <v>24232.43.4302.85.0-101024.2.3.3.08.06.</v>
      </c>
      <c r="U844" t="e" cm="1">
        <f t="array" aca="1" ref="U844" ca="1">+IF(COMPROMISOS_2025[[#This Row],[P]]="20","41080111",_xlfn.XLOOKUP(COMPROMISOS_2025[[#This Row],[concatenado]],PAA[[#All],[RCP-RUBRO]],PAA[[#All],[INDICADOR]],"",0))</f>
        <v>#NAME?</v>
      </c>
      <c r="V844" s="144" t="str">
        <f t="shared" si="27"/>
        <v>85</v>
      </c>
      <c r="W844" s="136">
        <f>+COMPROMISOS_2025[[#This Row],[valor_total]]-COMPROMISOS_2025[[#This Row],[total_cancelado]]</f>
        <v>1067625</v>
      </c>
      <c r="X844" s="136">
        <f>COMPROMISOS_2025[[#This Row],[total_ordenes]]</f>
        <v>1067625</v>
      </c>
      <c r="Y844" t="str" cm="1">
        <f t="array" aca="1" ref="Y844" ca="1">IFERROR(_xlfn.XLOOKUP(COMPROMISOS_2025[[#This Row],[concatenado]],PAA[[#All],[RCP-RUBRO]],PAA[[#All],[Actividad3]],VLOOKUP(COMPROMISOS_2025[[#This Row],[Indicador Principal]],$AC$2:$AD$17,2,0),0),"")</f>
        <v/>
      </c>
    </row>
    <row r="845" spans="1:25" hidden="1" x14ac:dyDescent="0.25">
      <c r="A845">
        <v>2426</v>
      </c>
      <c r="B845" t="s">
        <v>2491</v>
      </c>
      <c r="C845" t="s">
        <v>1936</v>
      </c>
      <c r="D845" t="s">
        <v>3575</v>
      </c>
      <c r="F845">
        <v>405</v>
      </c>
      <c r="G845">
        <v>96</v>
      </c>
      <c r="H845" t="s">
        <v>789</v>
      </c>
      <c r="I845" t="s">
        <v>2257</v>
      </c>
      <c r="J845">
        <v>711750</v>
      </c>
      <c r="K845">
        <v>2025</v>
      </c>
      <c r="L845">
        <v>1028008390</v>
      </c>
      <c r="M845" t="s">
        <v>3726</v>
      </c>
      <c r="N845" t="s">
        <v>1688</v>
      </c>
      <c r="O845" t="s">
        <v>1686</v>
      </c>
      <c r="P845">
        <v>0</v>
      </c>
      <c r="Q845">
        <v>711750</v>
      </c>
      <c r="R845">
        <v>0</v>
      </c>
      <c r="S845">
        <v>0</v>
      </c>
      <c r="T845" t="str">
        <f t="shared" si="26"/>
        <v>24262.43.4302.85.0-101024.2.3.3.08.06.</v>
      </c>
      <c r="U845" t="e" cm="1">
        <f t="array" aca="1" ref="U845" ca="1">+IF(COMPROMISOS_2025[[#This Row],[P]]="20","41080111",_xlfn.XLOOKUP(COMPROMISOS_2025[[#This Row],[concatenado]],PAA[[#All],[RCP-RUBRO]],PAA[[#All],[INDICADOR]],"",0))</f>
        <v>#NAME?</v>
      </c>
      <c r="V845" s="144" t="str">
        <f t="shared" si="27"/>
        <v>85</v>
      </c>
      <c r="W845" s="136">
        <f>+COMPROMISOS_2025[[#This Row],[valor_total]]-COMPROMISOS_2025[[#This Row],[total_cancelado]]</f>
        <v>711750</v>
      </c>
      <c r="X845" s="136">
        <f>COMPROMISOS_2025[[#This Row],[total_ordenes]]</f>
        <v>711750</v>
      </c>
      <c r="Y845" t="str" cm="1">
        <f t="array" aca="1" ref="Y845" ca="1">IFERROR(_xlfn.XLOOKUP(COMPROMISOS_2025[[#This Row],[concatenado]],PAA[[#All],[RCP-RUBRO]],PAA[[#All],[Actividad3]],VLOOKUP(COMPROMISOS_2025[[#This Row],[Indicador Principal]],$AC$2:$AD$17,2,0),0),"")</f>
        <v/>
      </c>
    </row>
    <row r="846" spans="1:25" hidden="1" x14ac:dyDescent="0.25">
      <c r="A846">
        <v>2429</v>
      </c>
      <c r="B846" t="s">
        <v>2491</v>
      </c>
      <c r="C846" t="s">
        <v>1936</v>
      </c>
      <c r="D846" t="s">
        <v>3575</v>
      </c>
      <c r="F846">
        <v>405</v>
      </c>
      <c r="G846">
        <v>96</v>
      </c>
      <c r="H846" t="s">
        <v>789</v>
      </c>
      <c r="I846" t="s">
        <v>2257</v>
      </c>
      <c r="J846">
        <v>711750</v>
      </c>
      <c r="K846">
        <v>2025</v>
      </c>
      <c r="L846">
        <v>1028033738</v>
      </c>
      <c r="M846" t="s">
        <v>3727</v>
      </c>
      <c r="N846" t="s">
        <v>1688</v>
      </c>
      <c r="O846" t="s">
        <v>1686</v>
      </c>
      <c r="P846">
        <v>0</v>
      </c>
      <c r="Q846">
        <v>711750</v>
      </c>
      <c r="R846">
        <v>0</v>
      </c>
      <c r="S846">
        <v>0</v>
      </c>
      <c r="T846" t="str">
        <f t="shared" si="26"/>
        <v>24292.43.4302.85.0-101024.2.3.3.08.06.</v>
      </c>
      <c r="U846" t="e" cm="1">
        <f t="array" aca="1" ref="U846" ca="1">+IF(COMPROMISOS_2025[[#This Row],[P]]="20","41080111",_xlfn.XLOOKUP(COMPROMISOS_2025[[#This Row],[concatenado]],PAA[[#All],[RCP-RUBRO]],PAA[[#All],[INDICADOR]],"",0))</f>
        <v>#NAME?</v>
      </c>
      <c r="V846" s="144" t="str">
        <f t="shared" si="27"/>
        <v>85</v>
      </c>
      <c r="W846" s="136">
        <f>+COMPROMISOS_2025[[#This Row],[valor_total]]-COMPROMISOS_2025[[#This Row],[total_cancelado]]</f>
        <v>711750</v>
      </c>
      <c r="X846" s="136">
        <f>COMPROMISOS_2025[[#This Row],[total_ordenes]]</f>
        <v>711750</v>
      </c>
      <c r="Y846" t="str" cm="1">
        <f t="array" aca="1" ref="Y846" ca="1">IFERROR(_xlfn.XLOOKUP(COMPROMISOS_2025[[#This Row],[concatenado]],PAA[[#All],[RCP-RUBRO]],PAA[[#All],[Actividad3]],VLOOKUP(COMPROMISOS_2025[[#This Row],[Indicador Principal]],$AC$2:$AD$17,2,0),0),"")</f>
        <v/>
      </c>
    </row>
    <row r="847" spans="1:25" hidden="1" x14ac:dyDescent="0.25">
      <c r="A847">
        <v>2432</v>
      </c>
      <c r="B847" t="s">
        <v>2491</v>
      </c>
      <c r="C847" t="s">
        <v>1936</v>
      </c>
      <c r="D847" t="s">
        <v>3575</v>
      </c>
      <c r="F847">
        <v>405</v>
      </c>
      <c r="G847">
        <v>96</v>
      </c>
      <c r="H847" t="s">
        <v>789</v>
      </c>
      <c r="I847" t="s">
        <v>2257</v>
      </c>
      <c r="J847">
        <v>1067625</v>
      </c>
      <c r="K847">
        <v>2025</v>
      </c>
      <c r="L847">
        <v>1029300329</v>
      </c>
      <c r="M847" t="s">
        <v>3728</v>
      </c>
      <c r="N847" t="s">
        <v>1688</v>
      </c>
      <c r="O847" t="s">
        <v>1686</v>
      </c>
      <c r="P847">
        <v>0</v>
      </c>
      <c r="Q847">
        <v>1067625</v>
      </c>
      <c r="R847">
        <v>0</v>
      </c>
      <c r="S847">
        <v>0</v>
      </c>
      <c r="T847" t="str">
        <f t="shared" si="26"/>
        <v>24322.43.4302.85.0-101024.2.3.3.08.06.</v>
      </c>
      <c r="U847" t="e" cm="1">
        <f t="array" aca="1" ref="U847" ca="1">+IF(COMPROMISOS_2025[[#This Row],[P]]="20","41080111",_xlfn.XLOOKUP(COMPROMISOS_2025[[#This Row],[concatenado]],PAA[[#All],[RCP-RUBRO]],PAA[[#All],[INDICADOR]],"",0))</f>
        <v>#NAME?</v>
      </c>
      <c r="V847" s="144" t="str">
        <f t="shared" si="27"/>
        <v>85</v>
      </c>
      <c r="W847" s="136">
        <f>+COMPROMISOS_2025[[#This Row],[valor_total]]-COMPROMISOS_2025[[#This Row],[total_cancelado]]</f>
        <v>1067625</v>
      </c>
      <c r="X847" s="136">
        <f>COMPROMISOS_2025[[#This Row],[total_ordenes]]</f>
        <v>1067625</v>
      </c>
      <c r="Y847" t="str" cm="1">
        <f t="array" aca="1" ref="Y847" ca="1">IFERROR(_xlfn.XLOOKUP(COMPROMISOS_2025[[#This Row],[concatenado]],PAA[[#All],[RCP-RUBRO]],PAA[[#All],[Actividad3]],VLOOKUP(COMPROMISOS_2025[[#This Row],[Indicador Principal]],$AC$2:$AD$17,2,0),0),"")</f>
        <v/>
      </c>
    </row>
    <row r="848" spans="1:25" hidden="1" x14ac:dyDescent="0.25">
      <c r="A848">
        <v>2433</v>
      </c>
      <c r="B848" t="s">
        <v>2491</v>
      </c>
      <c r="C848" t="s">
        <v>1936</v>
      </c>
      <c r="D848" t="s">
        <v>3575</v>
      </c>
      <c r="F848">
        <v>405</v>
      </c>
      <c r="G848">
        <v>96</v>
      </c>
      <c r="H848" t="s">
        <v>789</v>
      </c>
      <c r="I848" t="s">
        <v>2257</v>
      </c>
      <c r="J848">
        <v>1067625</v>
      </c>
      <c r="K848">
        <v>2025</v>
      </c>
      <c r="L848">
        <v>1029721776</v>
      </c>
      <c r="M848" t="s">
        <v>3729</v>
      </c>
      <c r="N848" t="s">
        <v>1688</v>
      </c>
      <c r="O848" t="s">
        <v>1686</v>
      </c>
      <c r="P848">
        <v>0</v>
      </c>
      <c r="Q848">
        <v>1067625</v>
      </c>
      <c r="R848">
        <v>0</v>
      </c>
      <c r="S848">
        <v>0</v>
      </c>
      <c r="T848" t="str">
        <f t="shared" si="26"/>
        <v>24332.43.4302.85.0-101024.2.3.3.08.06.</v>
      </c>
      <c r="U848" t="e" cm="1">
        <f t="array" aca="1" ref="U848" ca="1">+IF(COMPROMISOS_2025[[#This Row],[P]]="20","41080111",_xlfn.XLOOKUP(COMPROMISOS_2025[[#This Row],[concatenado]],PAA[[#All],[RCP-RUBRO]],PAA[[#All],[INDICADOR]],"",0))</f>
        <v>#NAME?</v>
      </c>
      <c r="V848" s="144" t="str">
        <f t="shared" si="27"/>
        <v>85</v>
      </c>
      <c r="W848" s="136">
        <f>+COMPROMISOS_2025[[#This Row],[valor_total]]-COMPROMISOS_2025[[#This Row],[total_cancelado]]</f>
        <v>1067625</v>
      </c>
      <c r="X848" s="136">
        <f>COMPROMISOS_2025[[#This Row],[total_ordenes]]</f>
        <v>1067625</v>
      </c>
      <c r="Y848" t="str" cm="1">
        <f t="array" aca="1" ref="Y848" ca="1">IFERROR(_xlfn.XLOOKUP(COMPROMISOS_2025[[#This Row],[concatenado]],PAA[[#All],[RCP-RUBRO]],PAA[[#All],[Actividad3]],VLOOKUP(COMPROMISOS_2025[[#This Row],[Indicador Principal]],$AC$2:$AD$17,2,0),0),"")</f>
        <v/>
      </c>
    </row>
    <row r="849" spans="1:25" hidden="1" x14ac:dyDescent="0.25">
      <c r="A849">
        <v>2436</v>
      </c>
      <c r="B849" t="s">
        <v>2491</v>
      </c>
      <c r="C849" t="s">
        <v>1936</v>
      </c>
      <c r="D849" t="s">
        <v>3575</v>
      </c>
      <c r="F849">
        <v>405</v>
      </c>
      <c r="G849">
        <v>96</v>
      </c>
      <c r="H849" t="s">
        <v>789</v>
      </c>
      <c r="I849" t="s">
        <v>2257</v>
      </c>
      <c r="J849">
        <v>711750</v>
      </c>
      <c r="K849">
        <v>2025</v>
      </c>
      <c r="L849">
        <v>1031940766</v>
      </c>
      <c r="M849" t="s">
        <v>3730</v>
      </c>
      <c r="N849" t="s">
        <v>1688</v>
      </c>
      <c r="O849" t="s">
        <v>1686</v>
      </c>
      <c r="P849">
        <v>0</v>
      </c>
      <c r="Q849">
        <v>711750</v>
      </c>
      <c r="R849">
        <v>0</v>
      </c>
      <c r="S849">
        <v>0</v>
      </c>
      <c r="T849" t="str">
        <f t="shared" si="26"/>
        <v>24362.43.4302.85.0-101024.2.3.3.08.06.</v>
      </c>
      <c r="U849" t="e" cm="1">
        <f t="array" aca="1" ref="U849" ca="1">+IF(COMPROMISOS_2025[[#This Row],[P]]="20","41080111",_xlfn.XLOOKUP(COMPROMISOS_2025[[#This Row],[concatenado]],PAA[[#All],[RCP-RUBRO]],PAA[[#All],[INDICADOR]],"",0))</f>
        <v>#NAME?</v>
      </c>
      <c r="V849" s="144" t="str">
        <f t="shared" si="27"/>
        <v>85</v>
      </c>
      <c r="W849" s="136">
        <f>+COMPROMISOS_2025[[#This Row],[valor_total]]-COMPROMISOS_2025[[#This Row],[total_cancelado]]</f>
        <v>711750</v>
      </c>
      <c r="X849" s="136">
        <f>COMPROMISOS_2025[[#This Row],[total_ordenes]]</f>
        <v>711750</v>
      </c>
      <c r="Y849" t="str" cm="1">
        <f t="array" aca="1" ref="Y849" ca="1">IFERROR(_xlfn.XLOOKUP(COMPROMISOS_2025[[#This Row],[concatenado]],PAA[[#All],[RCP-RUBRO]],PAA[[#All],[Actividad3]],VLOOKUP(COMPROMISOS_2025[[#This Row],[Indicador Principal]],$AC$2:$AD$17,2,0),0),"")</f>
        <v/>
      </c>
    </row>
    <row r="850" spans="1:25" hidden="1" x14ac:dyDescent="0.25">
      <c r="A850">
        <v>2437</v>
      </c>
      <c r="B850" t="s">
        <v>2491</v>
      </c>
      <c r="C850" t="s">
        <v>1936</v>
      </c>
      <c r="D850" t="s">
        <v>3575</v>
      </c>
      <c r="F850">
        <v>405</v>
      </c>
      <c r="G850">
        <v>96</v>
      </c>
      <c r="H850" t="s">
        <v>789</v>
      </c>
      <c r="I850" t="s">
        <v>2257</v>
      </c>
      <c r="J850">
        <v>711750</v>
      </c>
      <c r="K850">
        <v>2025</v>
      </c>
      <c r="L850">
        <v>1031941157</v>
      </c>
      <c r="M850" t="s">
        <v>3731</v>
      </c>
      <c r="N850" t="s">
        <v>1688</v>
      </c>
      <c r="O850" t="s">
        <v>1686</v>
      </c>
      <c r="P850">
        <v>0</v>
      </c>
      <c r="Q850">
        <v>711750</v>
      </c>
      <c r="R850">
        <v>0</v>
      </c>
      <c r="S850">
        <v>0</v>
      </c>
      <c r="T850" t="str">
        <f t="shared" si="26"/>
        <v>24372.43.4302.85.0-101024.2.3.3.08.06.</v>
      </c>
      <c r="U850" t="e" cm="1">
        <f t="array" aca="1" ref="U850" ca="1">+IF(COMPROMISOS_2025[[#This Row],[P]]="20","41080111",_xlfn.XLOOKUP(COMPROMISOS_2025[[#This Row],[concatenado]],PAA[[#All],[RCP-RUBRO]],PAA[[#All],[INDICADOR]],"",0))</f>
        <v>#NAME?</v>
      </c>
      <c r="V850" s="144" t="str">
        <f t="shared" si="27"/>
        <v>85</v>
      </c>
      <c r="W850" s="136">
        <f>+COMPROMISOS_2025[[#This Row],[valor_total]]-COMPROMISOS_2025[[#This Row],[total_cancelado]]</f>
        <v>711750</v>
      </c>
      <c r="X850" s="136">
        <f>COMPROMISOS_2025[[#This Row],[total_ordenes]]</f>
        <v>711750</v>
      </c>
      <c r="Y850" t="str" cm="1">
        <f t="array" aca="1" ref="Y850" ca="1">IFERROR(_xlfn.XLOOKUP(COMPROMISOS_2025[[#This Row],[concatenado]],PAA[[#All],[RCP-RUBRO]],PAA[[#All],[Actividad3]],VLOOKUP(COMPROMISOS_2025[[#This Row],[Indicador Principal]],$AC$2:$AD$17,2,0),0),"")</f>
        <v/>
      </c>
    </row>
    <row r="851" spans="1:25" hidden="1" x14ac:dyDescent="0.25">
      <c r="A851">
        <v>2438</v>
      </c>
      <c r="B851" t="s">
        <v>2491</v>
      </c>
      <c r="C851" t="s">
        <v>1936</v>
      </c>
      <c r="D851" t="s">
        <v>3575</v>
      </c>
      <c r="F851">
        <v>405</v>
      </c>
      <c r="G851">
        <v>96</v>
      </c>
      <c r="H851" t="s">
        <v>789</v>
      </c>
      <c r="I851" t="s">
        <v>2257</v>
      </c>
      <c r="J851">
        <v>711750</v>
      </c>
      <c r="K851">
        <v>2025</v>
      </c>
      <c r="L851">
        <v>1031941500</v>
      </c>
      <c r="M851" t="s">
        <v>3732</v>
      </c>
      <c r="N851" t="s">
        <v>1688</v>
      </c>
      <c r="O851" t="s">
        <v>1686</v>
      </c>
      <c r="P851">
        <v>0</v>
      </c>
      <c r="Q851">
        <v>711750</v>
      </c>
      <c r="R851">
        <v>0</v>
      </c>
      <c r="S851">
        <v>0</v>
      </c>
      <c r="T851" t="str">
        <f t="shared" si="26"/>
        <v>24382.43.4302.85.0-101024.2.3.3.08.06.</v>
      </c>
      <c r="U851" t="e" cm="1">
        <f t="array" aca="1" ref="U851" ca="1">+IF(COMPROMISOS_2025[[#This Row],[P]]="20","41080111",_xlfn.XLOOKUP(COMPROMISOS_2025[[#This Row],[concatenado]],PAA[[#All],[RCP-RUBRO]],PAA[[#All],[INDICADOR]],"",0))</f>
        <v>#NAME?</v>
      </c>
      <c r="V851" s="144" t="str">
        <f t="shared" si="27"/>
        <v>85</v>
      </c>
      <c r="W851" s="136">
        <f>+COMPROMISOS_2025[[#This Row],[valor_total]]-COMPROMISOS_2025[[#This Row],[total_cancelado]]</f>
        <v>711750</v>
      </c>
      <c r="X851" s="136">
        <f>COMPROMISOS_2025[[#This Row],[total_ordenes]]</f>
        <v>711750</v>
      </c>
      <c r="Y851" t="str" cm="1">
        <f t="array" aca="1" ref="Y851" ca="1">IFERROR(_xlfn.XLOOKUP(COMPROMISOS_2025[[#This Row],[concatenado]],PAA[[#All],[RCP-RUBRO]],PAA[[#All],[Actividad3]],VLOOKUP(COMPROMISOS_2025[[#This Row],[Indicador Principal]],$AC$2:$AD$17,2,0),0),"")</f>
        <v/>
      </c>
    </row>
    <row r="852" spans="1:25" hidden="1" x14ac:dyDescent="0.25">
      <c r="A852">
        <v>2439</v>
      </c>
      <c r="B852" t="s">
        <v>2491</v>
      </c>
      <c r="C852" t="s">
        <v>1936</v>
      </c>
      <c r="D852" t="s">
        <v>3575</v>
      </c>
      <c r="F852">
        <v>405</v>
      </c>
      <c r="G852">
        <v>96</v>
      </c>
      <c r="H852" t="s">
        <v>789</v>
      </c>
      <c r="I852" t="s">
        <v>2257</v>
      </c>
      <c r="J852">
        <v>1067625</v>
      </c>
      <c r="K852">
        <v>2025</v>
      </c>
      <c r="L852">
        <v>1031941991</v>
      </c>
      <c r="M852" t="s">
        <v>3733</v>
      </c>
      <c r="N852" t="s">
        <v>1688</v>
      </c>
      <c r="O852" t="s">
        <v>1686</v>
      </c>
      <c r="P852">
        <v>0</v>
      </c>
      <c r="Q852">
        <v>1067625</v>
      </c>
      <c r="R852">
        <v>0</v>
      </c>
      <c r="S852">
        <v>0</v>
      </c>
      <c r="T852" t="str">
        <f t="shared" si="26"/>
        <v>24392.43.4302.85.0-101024.2.3.3.08.06.</v>
      </c>
      <c r="U852" t="e" cm="1">
        <f t="array" aca="1" ref="U852" ca="1">+IF(COMPROMISOS_2025[[#This Row],[P]]="20","41080111",_xlfn.XLOOKUP(COMPROMISOS_2025[[#This Row],[concatenado]],PAA[[#All],[RCP-RUBRO]],PAA[[#All],[INDICADOR]],"",0))</f>
        <v>#NAME?</v>
      </c>
      <c r="V852" s="144" t="str">
        <f t="shared" si="27"/>
        <v>85</v>
      </c>
      <c r="W852" s="136">
        <f>+COMPROMISOS_2025[[#This Row],[valor_total]]-COMPROMISOS_2025[[#This Row],[total_cancelado]]</f>
        <v>1067625</v>
      </c>
      <c r="X852" s="136">
        <f>COMPROMISOS_2025[[#This Row],[total_ordenes]]</f>
        <v>1067625</v>
      </c>
      <c r="Y852" t="str" cm="1">
        <f t="array" aca="1" ref="Y852" ca="1">IFERROR(_xlfn.XLOOKUP(COMPROMISOS_2025[[#This Row],[concatenado]],PAA[[#All],[RCP-RUBRO]],PAA[[#All],[Actividad3]],VLOOKUP(COMPROMISOS_2025[[#This Row],[Indicador Principal]],$AC$2:$AD$17,2,0),0),"")</f>
        <v/>
      </c>
    </row>
    <row r="853" spans="1:25" hidden="1" x14ac:dyDescent="0.25">
      <c r="A853">
        <v>2440</v>
      </c>
      <c r="B853" t="s">
        <v>2491</v>
      </c>
      <c r="C853" t="s">
        <v>1936</v>
      </c>
      <c r="D853" t="s">
        <v>3575</v>
      </c>
      <c r="F853">
        <v>405</v>
      </c>
      <c r="G853">
        <v>96</v>
      </c>
      <c r="H853" t="s">
        <v>789</v>
      </c>
      <c r="I853" t="s">
        <v>2257</v>
      </c>
      <c r="J853">
        <v>1067625</v>
      </c>
      <c r="K853">
        <v>2025</v>
      </c>
      <c r="L853">
        <v>1032011013</v>
      </c>
      <c r="M853" t="s">
        <v>3734</v>
      </c>
      <c r="N853" t="s">
        <v>1688</v>
      </c>
      <c r="O853" t="s">
        <v>1686</v>
      </c>
      <c r="P853">
        <v>0</v>
      </c>
      <c r="Q853">
        <v>1067625</v>
      </c>
      <c r="R853">
        <v>0</v>
      </c>
      <c r="S853">
        <v>0</v>
      </c>
      <c r="T853" t="str">
        <f t="shared" si="26"/>
        <v>24402.43.4302.85.0-101024.2.3.3.08.06.</v>
      </c>
      <c r="U853" t="e" cm="1">
        <f t="array" aca="1" ref="U853" ca="1">+IF(COMPROMISOS_2025[[#This Row],[P]]="20","41080111",_xlfn.XLOOKUP(COMPROMISOS_2025[[#This Row],[concatenado]],PAA[[#All],[RCP-RUBRO]],PAA[[#All],[INDICADOR]],"",0))</f>
        <v>#NAME?</v>
      </c>
      <c r="V853" s="144" t="str">
        <f t="shared" si="27"/>
        <v>85</v>
      </c>
      <c r="W853" s="136">
        <f>+COMPROMISOS_2025[[#This Row],[valor_total]]-COMPROMISOS_2025[[#This Row],[total_cancelado]]</f>
        <v>1067625</v>
      </c>
      <c r="X853" s="136">
        <f>COMPROMISOS_2025[[#This Row],[total_ordenes]]</f>
        <v>1067625</v>
      </c>
      <c r="Y853" t="str" cm="1">
        <f t="array" aca="1" ref="Y853" ca="1">IFERROR(_xlfn.XLOOKUP(COMPROMISOS_2025[[#This Row],[concatenado]],PAA[[#All],[RCP-RUBRO]],PAA[[#All],[Actividad3]],VLOOKUP(COMPROMISOS_2025[[#This Row],[Indicador Principal]],$AC$2:$AD$17,2,0),0),"")</f>
        <v/>
      </c>
    </row>
    <row r="854" spans="1:25" hidden="1" x14ac:dyDescent="0.25">
      <c r="A854">
        <v>2443</v>
      </c>
      <c r="B854" t="s">
        <v>2491</v>
      </c>
      <c r="C854" t="s">
        <v>1936</v>
      </c>
      <c r="D854" t="s">
        <v>3575</v>
      </c>
      <c r="F854">
        <v>405</v>
      </c>
      <c r="G854">
        <v>96</v>
      </c>
      <c r="H854" t="s">
        <v>789</v>
      </c>
      <c r="I854" t="s">
        <v>2257</v>
      </c>
      <c r="J854">
        <v>711750</v>
      </c>
      <c r="K854">
        <v>2025</v>
      </c>
      <c r="L854">
        <v>1032011644</v>
      </c>
      <c r="M854" t="s">
        <v>3735</v>
      </c>
      <c r="N854" t="s">
        <v>1688</v>
      </c>
      <c r="O854" t="s">
        <v>1686</v>
      </c>
      <c r="P854">
        <v>0</v>
      </c>
      <c r="Q854">
        <v>711750</v>
      </c>
      <c r="R854">
        <v>0</v>
      </c>
      <c r="S854">
        <v>0</v>
      </c>
      <c r="T854" t="str">
        <f t="shared" si="26"/>
        <v>24432.43.4302.85.0-101024.2.3.3.08.06.</v>
      </c>
      <c r="U854" t="e" cm="1">
        <f t="array" aca="1" ref="U854" ca="1">+IF(COMPROMISOS_2025[[#This Row],[P]]="20","41080111",_xlfn.XLOOKUP(COMPROMISOS_2025[[#This Row],[concatenado]],PAA[[#All],[RCP-RUBRO]],PAA[[#All],[INDICADOR]],"",0))</f>
        <v>#NAME?</v>
      </c>
      <c r="V854" s="144" t="str">
        <f t="shared" si="27"/>
        <v>85</v>
      </c>
      <c r="W854" s="136">
        <f>+COMPROMISOS_2025[[#This Row],[valor_total]]-COMPROMISOS_2025[[#This Row],[total_cancelado]]</f>
        <v>711750</v>
      </c>
      <c r="X854" s="136">
        <f>COMPROMISOS_2025[[#This Row],[total_ordenes]]</f>
        <v>711750</v>
      </c>
      <c r="Y854" t="str" cm="1">
        <f t="array" aca="1" ref="Y854" ca="1">IFERROR(_xlfn.XLOOKUP(COMPROMISOS_2025[[#This Row],[concatenado]],PAA[[#All],[RCP-RUBRO]],PAA[[#All],[Actividad3]],VLOOKUP(COMPROMISOS_2025[[#This Row],[Indicador Principal]],$AC$2:$AD$17,2,0),0),"")</f>
        <v/>
      </c>
    </row>
    <row r="855" spans="1:25" hidden="1" x14ac:dyDescent="0.25">
      <c r="A855">
        <v>2444</v>
      </c>
      <c r="B855" t="s">
        <v>2491</v>
      </c>
      <c r="C855" t="s">
        <v>1936</v>
      </c>
      <c r="D855" t="s">
        <v>3575</v>
      </c>
      <c r="F855">
        <v>405</v>
      </c>
      <c r="G855">
        <v>96</v>
      </c>
      <c r="H855" t="s">
        <v>789</v>
      </c>
      <c r="I855" t="s">
        <v>2257</v>
      </c>
      <c r="J855">
        <v>711750</v>
      </c>
      <c r="K855">
        <v>2025</v>
      </c>
      <c r="L855">
        <v>1032017528</v>
      </c>
      <c r="M855" t="s">
        <v>3736</v>
      </c>
      <c r="N855" t="s">
        <v>1688</v>
      </c>
      <c r="O855" t="s">
        <v>1686</v>
      </c>
      <c r="P855">
        <v>0</v>
      </c>
      <c r="Q855">
        <v>711750</v>
      </c>
      <c r="R855">
        <v>0</v>
      </c>
      <c r="S855">
        <v>0</v>
      </c>
      <c r="T855" t="str">
        <f t="shared" si="26"/>
        <v>24442.43.4302.85.0-101024.2.3.3.08.06.</v>
      </c>
      <c r="U855" t="e" cm="1">
        <f t="array" aca="1" ref="U855" ca="1">+IF(COMPROMISOS_2025[[#This Row],[P]]="20","41080111",_xlfn.XLOOKUP(COMPROMISOS_2025[[#This Row],[concatenado]],PAA[[#All],[RCP-RUBRO]],PAA[[#All],[INDICADOR]],"",0))</f>
        <v>#NAME?</v>
      </c>
      <c r="V855" s="144" t="str">
        <f t="shared" si="27"/>
        <v>85</v>
      </c>
      <c r="W855" s="136">
        <f>+COMPROMISOS_2025[[#This Row],[valor_total]]-COMPROMISOS_2025[[#This Row],[total_cancelado]]</f>
        <v>711750</v>
      </c>
      <c r="X855" s="136">
        <f>COMPROMISOS_2025[[#This Row],[total_ordenes]]</f>
        <v>711750</v>
      </c>
      <c r="Y855" t="str" cm="1">
        <f t="array" aca="1" ref="Y855" ca="1">IFERROR(_xlfn.XLOOKUP(COMPROMISOS_2025[[#This Row],[concatenado]],PAA[[#All],[RCP-RUBRO]],PAA[[#All],[Actividad3]],VLOOKUP(COMPROMISOS_2025[[#This Row],[Indicador Principal]],$AC$2:$AD$17,2,0),0),"")</f>
        <v/>
      </c>
    </row>
    <row r="856" spans="1:25" hidden="1" x14ac:dyDescent="0.25">
      <c r="A856">
        <v>2448</v>
      </c>
      <c r="B856" t="s">
        <v>2491</v>
      </c>
      <c r="C856" t="s">
        <v>1936</v>
      </c>
      <c r="D856" t="s">
        <v>3575</v>
      </c>
      <c r="F856">
        <v>405</v>
      </c>
      <c r="G856">
        <v>96</v>
      </c>
      <c r="H856" t="s">
        <v>789</v>
      </c>
      <c r="I856" t="s">
        <v>2257</v>
      </c>
      <c r="J856">
        <v>711750</v>
      </c>
      <c r="K856">
        <v>2025</v>
      </c>
      <c r="L856">
        <v>1032182703</v>
      </c>
      <c r="M856" t="s">
        <v>3737</v>
      </c>
      <c r="N856" t="s">
        <v>1688</v>
      </c>
      <c r="O856" t="s">
        <v>1686</v>
      </c>
      <c r="P856">
        <v>0</v>
      </c>
      <c r="Q856">
        <v>711750</v>
      </c>
      <c r="R856">
        <v>0</v>
      </c>
      <c r="S856">
        <v>0</v>
      </c>
      <c r="T856" t="str">
        <f t="shared" si="26"/>
        <v>24482.43.4302.85.0-101024.2.3.3.08.06.</v>
      </c>
      <c r="U856" t="e" cm="1">
        <f t="array" aca="1" ref="U856" ca="1">+IF(COMPROMISOS_2025[[#This Row],[P]]="20","41080111",_xlfn.XLOOKUP(COMPROMISOS_2025[[#This Row],[concatenado]],PAA[[#All],[RCP-RUBRO]],PAA[[#All],[INDICADOR]],"",0))</f>
        <v>#NAME?</v>
      </c>
      <c r="V856" s="144" t="str">
        <f t="shared" si="27"/>
        <v>85</v>
      </c>
      <c r="W856" s="136">
        <f>+COMPROMISOS_2025[[#This Row],[valor_total]]-COMPROMISOS_2025[[#This Row],[total_cancelado]]</f>
        <v>711750</v>
      </c>
      <c r="X856" s="136">
        <f>COMPROMISOS_2025[[#This Row],[total_ordenes]]</f>
        <v>711750</v>
      </c>
      <c r="Y856" t="str" cm="1">
        <f t="array" aca="1" ref="Y856" ca="1">IFERROR(_xlfn.XLOOKUP(COMPROMISOS_2025[[#This Row],[concatenado]],PAA[[#All],[RCP-RUBRO]],PAA[[#All],[Actividad3]],VLOOKUP(COMPROMISOS_2025[[#This Row],[Indicador Principal]],$AC$2:$AD$17,2,0),0),"")</f>
        <v/>
      </c>
    </row>
    <row r="857" spans="1:25" hidden="1" x14ac:dyDescent="0.25">
      <c r="A857">
        <v>2450</v>
      </c>
      <c r="B857" t="s">
        <v>2491</v>
      </c>
      <c r="C857" t="s">
        <v>1936</v>
      </c>
      <c r="D857" t="s">
        <v>3575</v>
      </c>
      <c r="F857">
        <v>405</v>
      </c>
      <c r="G857">
        <v>96</v>
      </c>
      <c r="H857" t="s">
        <v>789</v>
      </c>
      <c r="I857" t="s">
        <v>2257</v>
      </c>
      <c r="J857">
        <v>1067625</v>
      </c>
      <c r="K857">
        <v>2025</v>
      </c>
      <c r="L857">
        <v>1032184130</v>
      </c>
      <c r="M857" t="s">
        <v>3738</v>
      </c>
      <c r="N857" t="s">
        <v>1688</v>
      </c>
      <c r="O857" t="s">
        <v>1686</v>
      </c>
      <c r="P857">
        <v>0</v>
      </c>
      <c r="Q857">
        <v>1067625</v>
      </c>
      <c r="R857">
        <v>0</v>
      </c>
      <c r="S857">
        <v>0</v>
      </c>
      <c r="T857" t="str">
        <f t="shared" si="26"/>
        <v>24502.43.4302.85.0-101024.2.3.3.08.06.</v>
      </c>
      <c r="U857" t="e" cm="1">
        <f t="array" aca="1" ref="U857" ca="1">+IF(COMPROMISOS_2025[[#This Row],[P]]="20","41080111",_xlfn.XLOOKUP(COMPROMISOS_2025[[#This Row],[concatenado]],PAA[[#All],[RCP-RUBRO]],PAA[[#All],[INDICADOR]],"",0))</f>
        <v>#NAME?</v>
      </c>
      <c r="V857" s="144" t="str">
        <f t="shared" si="27"/>
        <v>85</v>
      </c>
      <c r="W857" s="136">
        <f>+COMPROMISOS_2025[[#This Row],[valor_total]]-COMPROMISOS_2025[[#This Row],[total_cancelado]]</f>
        <v>1067625</v>
      </c>
      <c r="X857" s="136">
        <f>COMPROMISOS_2025[[#This Row],[total_ordenes]]</f>
        <v>1067625</v>
      </c>
      <c r="Y857" t="str" cm="1">
        <f t="array" aca="1" ref="Y857" ca="1">IFERROR(_xlfn.XLOOKUP(COMPROMISOS_2025[[#This Row],[concatenado]],PAA[[#All],[RCP-RUBRO]],PAA[[#All],[Actividad3]],VLOOKUP(COMPROMISOS_2025[[#This Row],[Indicador Principal]],$AC$2:$AD$17,2,0),0),"")</f>
        <v/>
      </c>
    </row>
    <row r="858" spans="1:25" hidden="1" x14ac:dyDescent="0.25">
      <c r="A858">
        <v>2451</v>
      </c>
      <c r="B858" t="s">
        <v>2491</v>
      </c>
      <c r="C858" t="s">
        <v>1936</v>
      </c>
      <c r="D858" t="s">
        <v>3575</v>
      </c>
      <c r="F858">
        <v>405</v>
      </c>
      <c r="G858">
        <v>96</v>
      </c>
      <c r="H858" t="s">
        <v>789</v>
      </c>
      <c r="I858" t="s">
        <v>2257</v>
      </c>
      <c r="J858">
        <v>711750</v>
      </c>
      <c r="K858">
        <v>2025</v>
      </c>
      <c r="L858">
        <v>1032184213</v>
      </c>
      <c r="M858" t="s">
        <v>3739</v>
      </c>
      <c r="N858" t="s">
        <v>1688</v>
      </c>
      <c r="O858" t="s">
        <v>1686</v>
      </c>
      <c r="P858">
        <v>0</v>
      </c>
      <c r="Q858">
        <v>711750</v>
      </c>
      <c r="R858">
        <v>0</v>
      </c>
      <c r="S858">
        <v>0</v>
      </c>
      <c r="T858" t="str">
        <f t="shared" si="26"/>
        <v>24512.43.4302.85.0-101024.2.3.3.08.06.</v>
      </c>
      <c r="U858" t="e" cm="1">
        <f t="array" aca="1" ref="U858" ca="1">+IF(COMPROMISOS_2025[[#This Row],[P]]="20","41080111",_xlfn.XLOOKUP(COMPROMISOS_2025[[#This Row],[concatenado]],PAA[[#All],[RCP-RUBRO]],PAA[[#All],[INDICADOR]],"",0))</f>
        <v>#NAME?</v>
      </c>
      <c r="V858" s="144" t="str">
        <f t="shared" si="27"/>
        <v>85</v>
      </c>
      <c r="W858" s="136">
        <f>+COMPROMISOS_2025[[#This Row],[valor_total]]-COMPROMISOS_2025[[#This Row],[total_cancelado]]</f>
        <v>711750</v>
      </c>
      <c r="X858" s="136">
        <f>COMPROMISOS_2025[[#This Row],[total_ordenes]]</f>
        <v>711750</v>
      </c>
      <c r="Y858" t="str" cm="1">
        <f t="array" aca="1" ref="Y858" ca="1">IFERROR(_xlfn.XLOOKUP(COMPROMISOS_2025[[#This Row],[concatenado]],PAA[[#All],[RCP-RUBRO]],PAA[[#All],[Actividad3]],VLOOKUP(COMPROMISOS_2025[[#This Row],[Indicador Principal]],$AC$2:$AD$17,2,0),0),"")</f>
        <v/>
      </c>
    </row>
    <row r="859" spans="1:25" hidden="1" x14ac:dyDescent="0.25">
      <c r="A859">
        <v>2453</v>
      </c>
      <c r="B859" t="s">
        <v>2491</v>
      </c>
      <c r="C859" t="s">
        <v>1936</v>
      </c>
      <c r="D859" t="s">
        <v>3575</v>
      </c>
      <c r="F859">
        <v>405</v>
      </c>
      <c r="G859">
        <v>96</v>
      </c>
      <c r="H859" t="s">
        <v>789</v>
      </c>
      <c r="I859" t="s">
        <v>2257</v>
      </c>
      <c r="J859">
        <v>1067625</v>
      </c>
      <c r="K859">
        <v>2025</v>
      </c>
      <c r="L859">
        <v>1033178916</v>
      </c>
      <c r="M859" t="s">
        <v>3740</v>
      </c>
      <c r="N859" t="s">
        <v>1688</v>
      </c>
      <c r="O859" t="s">
        <v>1686</v>
      </c>
      <c r="P859">
        <v>0</v>
      </c>
      <c r="Q859">
        <v>1067625</v>
      </c>
      <c r="R859">
        <v>0</v>
      </c>
      <c r="S859">
        <v>0</v>
      </c>
      <c r="T859" t="str">
        <f t="shared" si="26"/>
        <v>24532.43.4302.85.0-101024.2.3.3.08.06.</v>
      </c>
      <c r="U859" t="e" cm="1">
        <f t="array" aca="1" ref="U859" ca="1">+IF(COMPROMISOS_2025[[#This Row],[P]]="20","41080111",_xlfn.XLOOKUP(COMPROMISOS_2025[[#This Row],[concatenado]],PAA[[#All],[RCP-RUBRO]],PAA[[#All],[INDICADOR]],"",0))</f>
        <v>#NAME?</v>
      </c>
      <c r="V859" s="144" t="str">
        <f t="shared" si="27"/>
        <v>85</v>
      </c>
      <c r="W859" s="136">
        <f>+COMPROMISOS_2025[[#This Row],[valor_total]]-COMPROMISOS_2025[[#This Row],[total_cancelado]]</f>
        <v>1067625</v>
      </c>
      <c r="X859" s="136">
        <f>COMPROMISOS_2025[[#This Row],[total_ordenes]]</f>
        <v>1067625</v>
      </c>
      <c r="Y859" t="str" cm="1">
        <f t="array" aca="1" ref="Y859" ca="1">IFERROR(_xlfn.XLOOKUP(COMPROMISOS_2025[[#This Row],[concatenado]],PAA[[#All],[RCP-RUBRO]],PAA[[#All],[Actividad3]],VLOOKUP(COMPROMISOS_2025[[#This Row],[Indicador Principal]],$AC$2:$AD$17,2,0),0),"")</f>
        <v/>
      </c>
    </row>
    <row r="860" spans="1:25" hidden="1" x14ac:dyDescent="0.25">
      <c r="A860">
        <v>2455</v>
      </c>
      <c r="B860" t="s">
        <v>2491</v>
      </c>
      <c r="C860" t="s">
        <v>1936</v>
      </c>
      <c r="D860" t="s">
        <v>3575</v>
      </c>
      <c r="F860">
        <v>405</v>
      </c>
      <c r="G860">
        <v>96</v>
      </c>
      <c r="H860" t="s">
        <v>789</v>
      </c>
      <c r="I860" t="s">
        <v>2257</v>
      </c>
      <c r="J860">
        <v>711750</v>
      </c>
      <c r="K860">
        <v>2025</v>
      </c>
      <c r="L860">
        <v>1033180779</v>
      </c>
      <c r="M860" t="s">
        <v>3741</v>
      </c>
      <c r="N860" t="s">
        <v>1688</v>
      </c>
      <c r="O860" t="s">
        <v>1686</v>
      </c>
      <c r="P860">
        <v>0</v>
      </c>
      <c r="Q860">
        <v>711750</v>
      </c>
      <c r="R860">
        <v>0</v>
      </c>
      <c r="S860">
        <v>0</v>
      </c>
      <c r="T860" t="str">
        <f t="shared" si="26"/>
        <v>24552.43.4302.85.0-101024.2.3.3.08.06.</v>
      </c>
      <c r="U860" t="e" cm="1">
        <f t="array" aca="1" ref="U860" ca="1">+IF(COMPROMISOS_2025[[#This Row],[P]]="20","41080111",_xlfn.XLOOKUP(COMPROMISOS_2025[[#This Row],[concatenado]],PAA[[#All],[RCP-RUBRO]],PAA[[#All],[INDICADOR]],"",0))</f>
        <v>#NAME?</v>
      </c>
      <c r="V860" s="144" t="str">
        <f t="shared" si="27"/>
        <v>85</v>
      </c>
      <c r="W860" s="136">
        <f>+COMPROMISOS_2025[[#This Row],[valor_total]]-COMPROMISOS_2025[[#This Row],[total_cancelado]]</f>
        <v>711750</v>
      </c>
      <c r="X860" s="136">
        <f>COMPROMISOS_2025[[#This Row],[total_ordenes]]</f>
        <v>711750</v>
      </c>
      <c r="Y860" t="str" cm="1">
        <f t="array" aca="1" ref="Y860" ca="1">IFERROR(_xlfn.XLOOKUP(COMPROMISOS_2025[[#This Row],[concatenado]],PAA[[#All],[RCP-RUBRO]],PAA[[#All],[Actividad3]],VLOOKUP(COMPROMISOS_2025[[#This Row],[Indicador Principal]],$AC$2:$AD$17,2,0),0),"")</f>
        <v/>
      </c>
    </row>
    <row r="861" spans="1:25" hidden="1" x14ac:dyDescent="0.25">
      <c r="A861">
        <v>2456</v>
      </c>
      <c r="B861" t="s">
        <v>2491</v>
      </c>
      <c r="C861" t="s">
        <v>1936</v>
      </c>
      <c r="D861" t="s">
        <v>3575</v>
      </c>
      <c r="F861">
        <v>405</v>
      </c>
      <c r="G861">
        <v>96</v>
      </c>
      <c r="H861" t="s">
        <v>789</v>
      </c>
      <c r="I861" t="s">
        <v>2257</v>
      </c>
      <c r="J861">
        <v>1067625</v>
      </c>
      <c r="K861">
        <v>2025</v>
      </c>
      <c r="L861">
        <v>1033180980</v>
      </c>
      <c r="M861" t="s">
        <v>3742</v>
      </c>
      <c r="N861" t="s">
        <v>1688</v>
      </c>
      <c r="O861" t="s">
        <v>1686</v>
      </c>
      <c r="P861">
        <v>0</v>
      </c>
      <c r="Q861">
        <v>1067625</v>
      </c>
      <c r="R861">
        <v>0</v>
      </c>
      <c r="S861">
        <v>0</v>
      </c>
      <c r="T861" t="str">
        <f t="shared" si="26"/>
        <v>24562.43.4302.85.0-101024.2.3.3.08.06.</v>
      </c>
      <c r="U861" t="e" cm="1">
        <f t="array" aca="1" ref="U861" ca="1">+IF(COMPROMISOS_2025[[#This Row],[P]]="20","41080111",_xlfn.XLOOKUP(COMPROMISOS_2025[[#This Row],[concatenado]],PAA[[#All],[RCP-RUBRO]],PAA[[#All],[INDICADOR]],"",0))</f>
        <v>#NAME?</v>
      </c>
      <c r="V861" s="144" t="str">
        <f t="shared" si="27"/>
        <v>85</v>
      </c>
      <c r="W861" s="136">
        <f>+COMPROMISOS_2025[[#This Row],[valor_total]]-COMPROMISOS_2025[[#This Row],[total_cancelado]]</f>
        <v>1067625</v>
      </c>
      <c r="X861" s="136">
        <f>COMPROMISOS_2025[[#This Row],[total_ordenes]]</f>
        <v>1067625</v>
      </c>
      <c r="Y861" t="str" cm="1">
        <f t="array" aca="1" ref="Y861" ca="1">IFERROR(_xlfn.XLOOKUP(COMPROMISOS_2025[[#This Row],[concatenado]],PAA[[#All],[RCP-RUBRO]],PAA[[#All],[Actividad3]],VLOOKUP(COMPROMISOS_2025[[#This Row],[Indicador Principal]],$AC$2:$AD$17,2,0),0),"")</f>
        <v/>
      </c>
    </row>
    <row r="862" spans="1:25" hidden="1" x14ac:dyDescent="0.25">
      <c r="A862">
        <v>2457</v>
      </c>
      <c r="B862" t="s">
        <v>2491</v>
      </c>
      <c r="C862" t="s">
        <v>1936</v>
      </c>
      <c r="D862" t="s">
        <v>3575</v>
      </c>
      <c r="F862">
        <v>405</v>
      </c>
      <c r="G862">
        <v>96</v>
      </c>
      <c r="H862" t="s">
        <v>789</v>
      </c>
      <c r="I862" t="s">
        <v>2257</v>
      </c>
      <c r="J862">
        <v>711750</v>
      </c>
      <c r="K862">
        <v>2025</v>
      </c>
      <c r="L862">
        <v>1033181662</v>
      </c>
      <c r="M862" t="s">
        <v>3743</v>
      </c>
      <c r="N862" t="s">
        <v>1688</v>
      </c>
      <c r="O862" t="s">
        <v>1686</v>
      </c>
      <c r="P862">
        <v>0</v>
      </c>
      <c r="Q862">
        <v>711750</v>
      </c>
      <c r="R862">
        <v>0</v>
      </c>
      <c r="S862">
        <v>0</v>
      </c>
      <c r="T862" t="str">
        <f t="shared" si="26"/>
        <v>24572.43.4302.85.0-101024.2.3.3.08.06.</v>
      </c>
      <c r="U862" t="e" cm="1">
        <f t="array" aca="1" ref="U862" ca="1">+IF(COMPROMISOS_2025[[#This Row],[P]]="20","41080111",_xlfn.XLOOKUP(COMPROMISOS_2025[[#This Row],[concatenado]],PAA[[#All],[RCP-RUBRO]],PAA[[#All],[INDICADOR]],"",0))</f>
        <v>#NAME?</v>
      </c>
      <c r="V862" s="144" t="str">
        <f t="shared" si="27"/>
        <v>85</v>
      </c>
      <c r="W862" s="136">
        <f>+COMPROMISOS_2025[[#This Row],[valor_total]]-COMPROMISOS_2025[[#This Row],[total_cancelado]]</f>
        <v>711750</v>
      </c>
      <c r="X862" s="136">
        <f>COMPROMISOS_2025[[#This Row],[total_ordenes]]</f>
        <v>711750</v>
      </c>
      <c r="Y862" t="str" cm="1">
        <f t="array" aca="1" ref="Y862" ca="1">IFERROR(_xlfn.XLOOKUP(COMPROMISOS_2025[[#This Row],[concatenado]],PAA[[#All],[RCP-RUBRO]],PAA[[#All],[Actividad3]],VLOOKUP(COMPROMISOS_2025[[#This Row],[Indicador Principal]],$AC$2:$AD$17,2,0),0),"")</f>
        <v/>
      </c>
    </row>
    <row r="863" spans="1:25" hidden="1" x14ac:dyDescent="0.25">
      <c r="A863">
        <v>2459</v>
      </c>
      <c r="B863" t="s">
        <v>2491</v>
      </c>
      <c r="C863" t="s">
        <v>1936</v>
      </c>
      <c r="D863" t="s">
        <v>3575</v>
      </c>
      <c r="F863">
        <v>405</v>
      </c>
      <c r="G863">
        <v>96</v>
      </c>
      <c r="H863" t="s">
        <v>789</v>
      </c>
      <c r="I863" t="s">
        <v>2257</v>
      </c>
      <c r="J863">
        <v>711750</v>
      </c>
      <c r="K863">
        <v>2025</v>
      </c>
      <c r="L863">
        <v>1033183586</v>
      </c>
      <c r="M863" t="s">
        <v>3744</v>
      </c>
      <c r="N863" t="s">
        <v>1688</v>
      </c>
      <c r="O863" t="s">
        <v>1686</v>
      </c>
      <c r="P863">
        <v>0</v>
      </c>
      <c r="Q863">
        <v>711750</v>
      </c>
      <c r="R863">
        <v>0</v>
      </c>
      <c r="S863">
        <v>0</v>
      </c>
      <c r="T863" t="str">
        <f t="shared" si="26"/>
        <v>24592.43.4302.85.0-101024.2.3.3.08.06.</v>
      </c>
      <c r="U863" t="e" cm="1">
        <f t="array" aca="1" ref="U863" ca="1">+IF(COMPROMISOS_2025[[#This Row],[P]]="20","41080111",_xlfn.XLOOKUP(COMPROMISOS_2025[[#This Row],[concatenado]],PAA[[#All],[RCP-RUBRO]],PAA[[#All],[INDICADOR]],"",0))</f>
        <v>#NAME?</v>
      </c>
      <c r="V863" s="144" t="str">
        <f t="shared" si="27"/>
        <v>85</v>
      </c>
      <c r="W863" s="136">
        <f>+COMPROMISOS_2025[[#This Row],[valor_total]]-COMPROMISOS_2025[[#This Row],[total_cancelado]]</f>
        <v>711750</v>
      </c>
      <c r="X863" s="136">
        <f>COMPROMISOS_2025[[#This Row],[total_ordenes]]</f>
        <v>711750</v>
      </c>
      <c r="Y863" t="str" cm="1">
        <f t="array" aca="1" ref="Y863" ca="1">IFERROR(_xlfn.XLOOKUP(COMPROMISOS_2025[[#This Row],[concatenado]],PAA[[#All],[RCP-RUBRO]],PAA[[#All],[Actividad3]],VLOOKUP(COMPROMISOS_2025[[#This Row],[Indicador Principal]],$AC$2:$AD$17,2,0),0),"")</f>
        <v/>
      </c>
    </row>
    <row r="864" spans="1:25" hidden="1" x14ac:dyDescent="0.25">
      <c r="A864">
        <v>2460</v>
      </c>
      <c r="B864" t="s">
        <v>2491</v>
      </c>
      <c r="C864" t="s">
        <v>1936</v>
      </c>
      <c r="D864" t="s">
        <v>3575</v>
      </c>
      <c r="F864">
        <v>405</v>
      </c>
      <c r="G864">
        <v>96</v>
      </c>
      <c r="H864" t="s">
        <v>789</v>
      </c>
      <c r="I864" t="s">
        <v>2257</v>
      </c>
      <c r="J864">
        <v>711750</v>
      </c>
      <c r="K864">
        <v>2025</v>
      </c>
      <c r="L864">
        <v>1033184234</v>
      </c>
      <c r="M864" t="s">
        <v>3745</v>
      </c>
      <c r="N864" t="s">
        <v>1688</v>
      </c>
      <c r="O864" t="s">
        <v>1686</v>
      </c>
      <c r="P864">
        <v>0</v>
      </c>
      <c r="Q864">
        <v>711750</v>
      </c>
      <c r="R864">
        <v>0</v>
      </c>
      <c r="S864">
        <v>0</v>
      </c>
      <c r="T864" t="str">
        <f t="shared" si="26"/>
        <v>24602.43.4302.85.0-101024.2.3.3.08.06.</v>
      </c>
      <c r="U864" t="e" cm="1">
        <f t="array" aca="1" ref="U864" ca="1">+IF(COMPROMISOS_2025[[#This Row],[P]]="20","41080111",_xlfn.XLOOKUP(COMPROMISOS_2025[[#This Row],[concatenado]],PAA[[#All],[RCP-RUBRO]],PAA[[#All],[INDICADOR]],"",0))</f>
        <v>#NAME?</v>
      </c>
      <c r="V864" s="144" t="str">
        <f t="shared" si="27"/>
        <v>85</v>
      </c>
      <c r="W864" s="136">
        <f>+COMPROMISOS_2025[[#This Row],[valor_total]]-COMPROMISOS_2025[[#This Row],[total_cancelado]]</f>
        <v>711750</v>
      </c>
      <c r="X864" s="136">
        <f>COMPROMISOS_2025[[#This Row],[total_ordenes]]</f>
        <v>711750</v>
      </c>
      <c r="Y864" t="str" cm="1">
        <f t="array" aca="1" ref="Y864" ca="1">IFERROR(_xlfn.XLOOKUP(COMPROMISOS_2025[[#This Row],[concatenado]],PAA[[#All],[RCP-RUBRO]],PAA[[#All],[Actividad3]],VLOOKUP(COMPROMISOS_2025[[#This Row],[Indicador Principal]],$AC$2:$AD$17,2,0),0),"")</f>
        <v/>
      </c>
    </row>
    <row r="865" spans="1:25" hidden="1" x14ac:dyDescent="0.25">
      <c r="A865">
        <v>2461</v>
      </c>
      <c r="B865" t="s">
        <v>2491</v>
      </c>
      <c r="C865" t="s">
        <v>1936</v>
      </c>
      <c r="D865" t="s">
        <v>3575</v>
      </c>
      <c r="F865">
        <v>405</v>
      </c>
      <c r="G865">
        <v>96</v>
      </c>
      <c r="H865" t="s">
        <v>789</v>
      </c>
      <c r="I865" t="s">
        <v>2257</v>
      </c>
      <c r="J865">
        <v>1067625</v>
      </c>
      <c r="K865">
        <v>2025</v>
      </c>
      <c r="L865">
        <v>1033184738</v>
      </c>
      <c r="M865" t="s">
        <v>3746</v>
      </c>
      <c r="N865" t="s">
        <v>1688</v>
      </c>
      <c r="O865" t="s">
        <v>1686</v>
      </c>
      <c r="P865">
        <v>0</v>
      </c>
      <c r="Q865">
        <v>1067625</v>
      </c>
      <c r="R865">
        <v>0</v>
      </c>
      <c r="S865">
        <v>0</v>
      </c>
      <c r="T865" t="str">
        <f t="shared" si="26"/>
        <v>24612.43.4302.85.0-101024.2.3.3.08.06.</v>
      </c>
      <c r="U865" t="e" cm="1">
        <f t="array" aca="1" ref="U865" ca="1">+IF(COMPROMISOS_2025[[#This Row],[P]]="20","41080111",_xlfn.XLOOKUP(COMPROMISOS_2025[[#This Row],[concatenado]],PAA[[#All],[RCP-RUBRO]],PAA[[#All],[INDICADOR]],"",0))</f>
        <v>#NAME?</v>
      </c>
      <c r="V865" s="144" t="str">
        <f t="shared" si="27"/>
        <v>85</v>
      </c>
      <c r="W865" s="136">
        <f>+COMPROMISOS_2025[[#This Row],[valor_total]]-COMPROMISOS_2025[[#This Row],[total_cancelado]]</f>
        <v>1067625</v>
      </c>
      <c r="X865" s="136">
        <f>COMPROMISOS_2025[[#This Row],[total_ordenes]]</f>
        <v>1067625</v>
      </c>
      <c r="Y865" t="str" cm="1">
        <f t="array" aca="1" ref="Y865" ca="1">IFERROR(_xlfn.XLOOKUP(COMPROMISOS_2025[[#This Row],[concatenado]],PAA[[#All],[RCP-RUBRO]],PAA[[#All],[Actividad3]],VLOOKUP(COMPROMISOS_2025[[#This Row],[Indicador Principal]],$AC$2:$AD$17,2,0),0),"")</f>
        <v/>
      </c>
    </row>
    <row r="866" spans="1:25" hidden="1" x14ac:dyDescent="0.25">
      <c r="A866">
        <v>2466</v>
      </c>
      <c r="B866" t="s">
        <v>2491</v>
      </c>
      <c r="C866" t="s">
        <v>1936</v>
      </c>
      <c r="D866" t="s">
        <v>3575</v>
      </c>
      <c r="F866">
        <v>405</v>
      </c>
      <c r="G866">
        <v>96</v>
      </c>
      <c r="H866" t="s">
        <v>789</v>
      </c>
      <c r="I866" t="s">
        <v>2257</v>
      </c>
      <c r="J866">
        <v>711750</v>
      </c>
      <c r="K866">
        <v>2025</v>
      </c>
      <c r="L866">
        <v>1033490856</v>
      </c>
      <c r="M866" t="s">
        <v>3747</v>
      </c>
      <c r="N866" t="s">
        <v>1688</v>
      </c>
      <c r="O866" t="s">
        <v>1686</v>
      </c>
      <c r="P866">
        <v>0</v>
      </c>
      <c r="Q866">
        <v>711750</v>
      </c>
      <c r="R866">
        <v>0</v>
      </c>
      <c r="S866">
        <v>0</v>
      </c>
      <c r="T866" t="str">
        <f t="shared" si="26"/>
        <v>24662.43.4302.85.0-101024.2.3.3.08.06.</v>
      </c>
      <c r="U866" t="e" cm="1">
        <f t="array" aca="1" ref="U866" ca="1">+IF(COMPROMISOS_2025[[#This Row],[P]]="20","41080111",_xlfn.XLOOKUP(COMPROMISOS_2025[[#This Row],[concatenado]],PAA[[#All],[RCP-RUBRO]],PAA[[#All],[INDICADOR]],"",0))</f>
        <v>#NAME?</v>
      </c>
      <c r="V866" s="144" t="str">
        <f t="shared" si="27"/>
        <v>85</v>
      </c>
      <c r="W866" s="136">
        <f>+COMPROMISOS_2025[[#This Row],[valor_total]]-COMPROMISOS_2025[[#This Row],[total_cancelado]]</f>
        <v>711750</v>
      </c>
      <c r="X866" s="136">
        <f>COMPROMISOS_2025[[#This Row],[total_ordenes]]</f>
        <v>711750</v>
      </c>
      <c r="Y866" t="str" cm="1">
        <f t="array" aca="1" ref="Y866" ca="1">IFERROR(_xlfn.XLOOKUP(COMPROMISOS_2025[[#This Row],[concatenado]],PAA[[#All],[RCP-RUBRO]],PAA[[#All],[Actividad3]],VLOOKUP(COMPROMISOS_2025[[#This Row],[Indicador Principal]],$AC$2:$AD$17,2,0),0),"")</f>
        <v/>
      </c>
    </row>
    <row r="867" spans="1:25" hidden="1" x14ac:dyDescent="0.25">
      <c r="A867">
        <v>2469</v>
      </c>
      <c r="B867" t="s">
        <v>2491</v>
      </c>
      <c r="C867" t="s">
        <v>1936</v>
      </c>
      <c r="D867" t="s">
        <v>3575</v>
      </c>
      <c r="F867">
        <v>405</v>
      </c>
      <c r="G867">
        <v>96</v>
      </c>
      <c r="H867" t="s">
        <v>789</v>
      </c>
      <c r="I867" t="s">
        <v>2257</v>
      </c>
      <c r="J867">
        <v>711750</v>
      </c>
      <c r="K867">
        <v>2025</v>
      </c>
      <c r="L867">
        <v>1034921394</v>
      </c>
      <c r="M867" t="s">
        <v>3748</v>
      </c>
      <c r="N867" t="s">
        <v>1688</v>
      </c>
      <c r="O867" t="s">
        <v>1686</v>
      </c>
      <c r="P867">
        <v>0</v>
      </c>
      <c r="Q867">
        <v>711750</v>
      </c>
      <c r="R867">
        <v>0</v>
      </c>
      <c r="S867">
        <v>0</v>
      </c>
      <c r="T867" t="str">
        <f t="shared" si="26"/>
        <v>24692.43.4302.85.0-101024.2.3.3.08.06.</v>
      </c>
      <c r="U867" t="e" cm="1">
        <f t="array" aca="1" ref="U867" ca="1">+IF(COMPROMISOS_2025[[#This Row],[P]]="20","41080111",_xlfn.XLOOKUP(COMPROMISOS_2025[[#This Row],[concatenado]],PAA[[#All],[RCP-RUBRO]],PAA[[#All],[INDICADOR]],"",0))</f>
        <v>#NAME?</v>
      </c>
      <c r="V867" s="144" t="str">
        <f t="shared" si="27"/>
        <v>85</v>
      </c>
      <c r="W867" s="136">
        <f>+COMPROMISOS_2025[[#This Row],[valor_total]]-COMPROMISOS_2025[[#This Row],[total_cancelado]]</f>
        <v>711750</v>
      </c>
      <c r="X867" s="136">
        <f>COMPROMISOS_2025[[#This Row],[total_ordenes]]</f>
        <v>711750</v>
      </c>
      <c r="Y867" t="str" cm="1">
        <f t="array" aca="1" ref="Y867" ca="1">IFERROR(_xlfn.XLOOKUP(COMPROMISOS_2025[[#This Row],[concatenado]],PAA[[#All],[RCP-RUBRO]],PAA[[#All],[Actividad3]],VLOOKUP(COMPROMISOS_2025[[#This Row],[Indicador Principal]],$AC$2:$AD$17,2,0),0),"")</f>
        <v/>
      </c>
    </row>
    <row r="868" spans="1:25" hidden="1" x14ac:dyDescent="0.25">
      <c r="A868">
        <v>2473</v>
      </c>
      <c r="B868" t="s">
        <v>2491</v>
      </c>
      <c r="C868" t="s">
        <v>1936</v>
      </c>
      <c r="D868" t="s">
        <v>3575</v>
      </c>
      <c r="F868">
        <v>405</v>
      </c>
      <c r="G868">
        <v>96</v>
      </c>
      <c r="H868" t="s">
        <v>789</v>
      </c>
      <c r="I868" t="s">
        <v>2257</v>
      </c>
      <c r="J868">
        <v>711750</v>
      </c>
      <c r="K868">
        <v>2025</v>
      </c>
      <c r="L868">
        <v>1034987578</v>
      </c>
      <c r="M868" t="s">
        <v>3749</v>
      </c>
      <c r="N868" t="s">
        <v>1688</v>
      </c>
      <c r="O868" t="s">
        <v>1686</v>
      </c>
      <c r="P868">
        <v>0</v>
      </c>
      <c r="Q868">
        <v>711750</v>
      </c>
      <c r="R868">
        <v>0</v>
      </c>
      <c r="S868">
        <v>0</v>
      </c>
      <c r="T868" t="str">
        <f t="shared" si="26"/>
        <v>24732.43.4302.85.0-101024.2.3.3.08.06.</v>
      </c>
      <c r="U868" t="e" cm="1">
        <f t="array" aca="1" ref="U868" ca="1">+IF(COMPROMISOS_2025[[#This Row],[P]]="20","41080111",_xlfn.XLOOKUP(COMPROMISOS_2025[[#This Row],[concatenado]],PAA[[#All],[RCP-RUBRO]],PAA[[#All],[INDICADOR]],"",0))</f>
        <v>#NAME?</v>
      </c>
      <c r="V868" s="144" t="str">
        <f t="shared" si="27"/>
        <v>85</v>
      </c>
      <c r="W868" s="136">
        <f>+COMPROMISOS_2025[[#This Row],[valor_total]]-COMPROMISOS_2025[[#This Row],[total_cancelado]]</f>
        <v>711750</v>
      </c>
      <c r="X868" s="136">
        <f>COMPROMISOS_2025[[#This Row],[total_ordenes]]</f>
        <v>711750</v>
      </c>
      <c r="Y868" t="str" cm="1">
        <f t="array" aca="1" ref="Y868" ca="1">IFERROR(_xlfn.XLOOKUP(COMPROMISOS_2025[[#This Row],[concatenado]],PAA[[#All],[RCP-RUBRO]],PAA[[#All],[Actividad3]],VLOOKUP(COMPROMISOS_2025[[#This Row],[Indicador Principal]],$AC$2:$AD$17,2,0),0),"")</f>
        <v/>
      </c>
    </row>
    <row r="869" spans="1:25" hidden="1" x14ac:dyDescent="0.25">
      <c r="A869">
        <v>2474</v>
      </c>
      <c r="B869" t="s">
        <v>2491</v>
      </c>
      <c r="C869" t="s">
        <v>1936</v>
      </c>
      <c r="D869" t="s">
        <v>3575</v>
      </c>
      <c r="F869">
        <v>405</v>
      </c>
      <c r="G869">
        <v>96</v>
      </c>
      <c r="H869" t="s">
        <v>789</v>
      </c>
      <c r="I869" t="s">
        <v>2257</v>
      </c>
      <c r="J869">
        <v>1067625</v>
      </c>
      <c r="K869">
        <v>2025</v>
      </c>
      <c r="L869">
        <v>1034989348</v>
      </c>
      <c r="M869" t="s">
        <v>3750</v>
      </c>
      <c r="N869" t="s">
        <v>1688</v>
      </c>
      <c r="O869" t="s">
        <v>1686</v>
      </c>
      <c r="P869">
        <v>0</v>
      </c>
      <c r="Q869">
        <v>1067625</v>
      </c>
      <c r="R869">
        <v>0</v>
      </c>
      <c r="S869">
        <v>0</v>
      </c>
      <c r="T869" t="str">
        <f t="shared" si="26"/>
        <v>24742.43.4302.85.0-101024.2.3.3.08.06.</v>
      </c>
      <c r="U869" t="e" cm="1">
        <f t="array" aca="1" ref="U869" ca="1">+IF(COMPROMISOS_2025[[#This Row],[P]]="20","41080111",_xlfn.XLOOKUP(COMPROMISOS_2025[[#This Row],[concatenado]],PAA[[#All],[RCP-RUBRO]],PAA[[#All],[INDICADOR]],"",0))</f>
        <v>#NAME?</v>
      </c>
      <c r="V869" s="144" t="str">
        <f t="shared" si="27"/>
        <v>85</v>
      </c>
      <c r="W869" s="136">
        <f>+COMPROMISOS_2025[[#This Row],[valor_total]]-COMPROMISOS_2025[[#This Row],[total_cancelado]]</f>
        <v>1067625</v>
      </c>
      <c r="X869" s="136">
        <f>COMPROMISOS_2025[[#This Row],[total_ordenes]]</f>
        <v>1067625</v>
      </c>
      <c r="Y869" t="str" cm="1">
        <f t="array" aca="1" ref="Y869" ca="1">IFERROR(_xlfn.XLOOKUP(COMPROMISOS_2025[[#This Row],[concatenado]],PAA[[#All],[RCP-RUBRO]],PAA[[#All],[Actividad3]],VLOOKUP(COMPROMISOS_2025[[#This Row],[Indicador Principal]],$AC$2:$AD$17,2,0),0),"")</f>
        <v/>
      </c>
    </row>
    <row r="870" spans="1:25" hidden="1" x14ac:dyDescent="0.25">
      <c r="A870">
        <v>2475</v>
      </c>
      <c r="B870" t="s">
        <v>2491</v>
      </c>
      <c r="C870" t="s">
        <v>1936</v>
      </c>
      <c r="D870" t="s">
        <v>3575</v>
      </c>
      <c r="F870">
        <v>405</v>
      </c>
      <c r="G870">
        <v>96</v>
      </c>
      <c r="H870" t="s">
        <v>789</v>
      </c>
      <c r="I870" t="s">
        <v>2257</v>
      </c>
      <c r="J870">
        <v>1423500</v>
      </c>
      <c r="K870">
        <v>2025</v>
      </c>
      <c r="L870">
        <v>1034989506</v>
      </c>
      <c r="M870" t="s">
        <v>3751</v>
      </c>
      <c r="N870" t="s">
        <v>1688</v>
      </c>
      <c r="O870" t="s">
        <v>1686</v>
      </c>
      <c r="P870">
        <v>0</v>
      </c>
      <c r="Q870">
        <v>1423500</v>
      </c>
      <c r="R870">
        <v>0</v>
      </c>
      <c r="S870">
        <v>0</v>
      </c>
      <c r="T870" t="str">
        <f t="shared" si="26"/>
        <v>24752.43.4302.85.0-101024.2.3.3.08.06.</v>
      </c>
      <c r="U870" t="e" cm="1">
        <f t="array" aca="1" ref="U870" ca="1">+IF(COMPROMISOS_2025[[#This Row],[P]]="20","41080111",_xlfn.XLOOKUP(COMPROMISOS_2025[[#This Row],[concatenado]],PAA[[#All],[RCP-RUBRO]],PAA[[#All],[INDICADOR]],"",0))</f>
        <v>#NAME?</v>
      </c>
      <c r="V870" s="144" t="str">
        <f t="shared" si="27"/>
        <v>85</v>
      </c>
      <c r="W870" s="136">
        <f>+COMPROMISOS_2025[[#This Row],[valor_total]]-COMPROMISOS_2025[[#This Row],[total_cancelado]]</f>
        <v>1423500</v>
      </c>
      <c r="X870" s="136">
        <f>COMPROMISOS_2025[[#This Row],[total_ordenes]]</f>
        <v>1423500</v>
      </c>
      <c r="Y870" t="str" cm="1">
        <f t="array" aca="1" ref="Y870" ca="1">IFERROR(_xlfn.XLOOKUP(COMPROMISOS_2025[[#This Row],[concatenado]],PAA[[#All],[RCP-RUBRO]],PAA[[#All],[Actividad3]],VLOOKUP(COMPROMISOS_2025[[#This Row],[Indicador Principal]],$AC$2:$AD$17,2,0),0),"")</f>
        <v/>
      </c>
    </row>
    <row r="871" spans="1:25" hidden="1" x14ac:dyDescent="0.25">
      <c r="A871">
        <v>2476</v>
      </c>
      <c r="B871" t="s">
        <v>2491</v>
      </c>
      <c r="C871" t="s">
        <v>1936</v>
      </c>
      <c r="D871" t="s">
        <v>3575</v>
      </c>
      <c r="F871">
        <v>405</v>
      </c>
      <c r="G871">
        <v>96</v>
      </c>
      <c r="H871" t="s">
        <v>789</v>
      </c>
      <c r="I871" t="s">
        <v>2257</v>
      </c>
      <c r="J871">
        <v>711750</v>
      </c>
      <c r="K871">
        <v>2025</v>
      </c>
      <c r="L871">
        <v>1034989950</v>
      </c>
      <c r="M871" t="s">
        <v>3752</v>
      </c>
      <c r="N871" t="s">
        <v>1688</v>
      </c>
      <c r="O871" t="s">
        <v>1686</v>
      </c>
      <c r="P871">
        <v>0</v>
      </c>
      <c r="Q871">
        <v>711750</v>
      </c>
      <c r="R871">
        <v>0</v>
      </c>
      <c r="S871">
        <v>0</v>
      </c>
      <c r="T871" t="str">
        <f t="shared" si="26"/>
        <v>24762.43.4302.85.0-101024.2.3.3.08.06.</v>
      </c>
      <c r="U871" t="e" cm="1">
        <f t="array" aca="1" ref="U871" ca="1">+IF(COMPROMISOS_2025[[#This Row],[P]]="20","41080111",_xlfn.XLOOKUP(COMPROMISOS_2025[[#This Row],[concatenado]],PAA[[#All],[RCP-RUBRO]],PAA[[#All],[INDICADOR]],"",0))</f>
        <v>#NAME?</v>
      </c>
      <c r="V871" s="144" t="str">
        <f t="shared" si="27"/>
        <v>85</v>
      </c>
      <c r="W871" s="136">
        <f>+COMPROMISOS_2025[[#This Row],[valor_total]]-COMPROMISOS_2025[[#This Row],[total_cancelado]]</f>
        <v>711750</v>
      </c>
      <c r="X871" s="136">
        <f>COMPROMISOS_2025[[#This Row],[total_ordenes]]</f>
        <v>711750</v>
      </c>
      <c r="Y871" t="str" cm="1">
        <f t="array" aca="1" ref="Y871" ca="1">IFERROR(_xlfn.XLOOKUP(COMPROMISOS_2025[[#This Row],[concatenado]],PAA[[#All],[RCP-RUBRO]],PAA[[#All],[Actividad3]],VLOOKUP(COMPROMISOS_2025[[#This Row],[Indicador Principal]],$AC$2:$AD$17,2,0),0),"")</f>
        <v/>
      </c>
    </row>
    <row r="872" spans="1:25" hidden="1" x14ac:dyDescent="0.25">
      <c r="A872">
        <v>2477</v>
      </c>
      <c r="B872" t="s">
        <v>2491</v>
      </c>
      <c r="C872" t="s">
        <v>1936</v>
      </c>
      <c r="D872" t="s">
        <v>3575</v>
      </c>
      <c r="F872">
        <v>405</v>
      </c>
      <c r="G872">
        <v>96</v>
      </c>
      <c r="H872" t="s">
        <v>789</v>
      </c>
      <c r="I872" t="s">
        <v>2257</v>
      </c>
      <c r="J872">
        <v>711750</v>
      </c>
      <c r="K872">
        <v>2025</v>
      </c>
      <c r="L872">
        <v>1034990879</v>
      </c>
      <c r="M872" t="s">
        <v>3753</v>
      </c>
      <c r="N872" t="s">
        <v>1688</v>
      </c>
      <c r="O872" t="s">
        <v>1686</v>
      </c>
      <c r="P872">
        <v>0</v>
      </c>
      <c r="Q872">
        <v>711750</v>
      </c>
      <c r="R872">
        <v>0</v>
      </c>
      <c r="S872">
        <v>0</v>
      </c>
      <c r="T872" t="str">
        <f t="shared" si="26"/>
        <v>24772.43.4302.85.0-101024.2.3.3.08.06.</v>
      </c>
      <c r="U872" t="e" cm="1">
        <f t="array" aca="1" ref="U872" ca="1">+IF(COMPROMISOS_2025[[#This Row],[P]]="20","41080111",_xlfn.XLOOKUP(COMPROMISOS_2025[[#This Row],[concatenado]],PAA[[#All],[RCP-RUBRO]],PAA[[#All],[INDICADOR]],"",0))</f>
        <v>#NAME?</v>
      </c>
      <c r="V872" s="144" t="str">
        <f t="shared" si="27"/>
        <v>85</v>
      </c>
      <c r="W872" s="136">
        <f>+COMPROMISOS_2025[[#This Row],[valor_total]]-COMPROMISOS_2025[[#This Row],[total_cancelado]]</f>
        <v>711750</v>
      </c>
      <c r="X872" s="136">
        <f>COMPROMISOS_2025[[#This Row],[total_ordenes]]</f>
        <v>711750</v>
      </c>
      <c r="Y872" t="str" cm="1">
        <f t="array" aca="1" ref="Y872" ca="1">IFERROR(_xlfn.XLOOKUP(COMPROMISOS_2025[[#This Row],[concatenado]],PAA[[#All],[RCP-RUBRO]],PAA[[#All],[Actividad3]],VLOOKUP(COMPROMISOS_2025[[#This Row],[Indicador Principal]],$AC$2:$AD$17,2,0),0),"")</f>
        <v/>
      </c>
    </row>
    <row r="873" spans="1:25" hidden="1" x14ac:dyDescent="0.25">
      <c r="A873">
        <v>2479</v>
      </c>
      <c r="B873" t="s">
        <v>2491</v>
      </c>
      <c r="C873" t="s">
        <v>1936</v>
      </c>
      <c r="D873" t="s">
        <v>3575</v>
      </c>
      <c r="F873">
        <v>405</v>
      </c>
      <c r="G873">
        <v>96</v>
      </c>
      <c r="H873" t="s">
        <v>789</v>
      </c>
      <c r="I873" t="s">
        <v>2257</v>
      </c>
      <c r="J873">
        <v>711750</v>
      </c>
      <c r="K873">
        <v>2025</v>
      </c>
      <c r="L873">
        <v>1034991124</v>
      </c>
      <c r="M873" t="s">
        <v>3754</v>
      </c>
      <c r="N873" t="s">
        <v>1688</v>
      </c>
      <c r="O873" t="s">
        <v>1686</v>
      </c>
      <c r="P873">
        <v>0</v>
      </c>
      <c r="Q873">
        <v>711750</v>
      </c>
      <c r="R873">
        <v>0</v>
      </c>
      <c r="S873">
        <v>0</v>
      </c>
      <c r="T873" t="str">
        <f t="shared" si="26"/>
        <v>24792.43.4302.85.0-101024.2.3.3.08.06.</v>
      </c>
      <c r="U873" t="e" cm="1">
        <f t="array" aca="1" ref="U873" ca="1">+IF(COMPROMISOS_2025[[#This Row],[P]]="20","41080111",_xlfn.XLOOKUP(COMPROMISOS_2025[[#This Row],[concatenado]],PAA[[#All],[RCP-RUBRO]],PAA[[#All],[INDICADOR]],"",0))</f>
        <v>#NAME?</v>
      </c>
      <c r="V873" s="144" t="str">
        <f t="shared" si="27"/>
        <v>85</v>
      </c>
      <c r="W873" s="136">
        <f>+COMPROMISOS_2025[[#This Row],[valor_total]]-COMPROMISOS_2025[[#This Row],[total_cancelado]]</f>
        <v>711750</v>
      </c>
      <c r="X873" s="136">
        <f>COMPROMISOS_2025[[#This Row],[total_ordenes]]</f>
        <v>711750</v>
      </c>
      <c r="Y873" t="str" cm="1">
        <f t="array" aca="1" ref="Y873" ca="1">IFERROR(_xlfn.XLOOKUP(COMPROMISOS_2025[[#This Row],[concatenado]],PAA[[#All],[RCP-RUBRO]],PAA[[#All],[Actividad3]],VLOOKUP(COMPROMISOS_2025[[#This Row],[Indicador Principal]],$AC$2:$AD$17,2,0),0),"")</f>
        <v/>
      </c>
    </row>
    <row r="874" spans="1:25" hidden="1" x14ac:dyDescent="0.25">
      <c r="A874">
        <v>2480</v>
      </c>
      <c r="B874" t="s">
        <v>2491</v>
      </c>
      <c r="C874" t="s">
        <v>1936</v>
      </c>
      <c r="D874" t="s">
        <v>3575</v>
      </c>
      <c r="F874">
        <v>405</v>
      </c>
      <c r="G874">
        <v>96</v>
      </c>
      <c r="H874" t="s">
        <v>789</v>
      </c>
      <c r="I874" t="s">
        <v>2257</v>
      </c>
      <c r="J874">
        <v>1067625</v>
      </c>
      <c r="K874">
        <v>2025</v>
      </c>
      <c r="L874">
        <v>1034992419</v>
      </c>
      <c r="M874" t="s">
        <v>3755</v>
      </c>
      <c r="N874" t="s">
        <v>1688</v>
      </c>
      <c r="O874" t="s">
        <v>1686</v>
      </c>
      <c r="P874">
        <v>0</v>
      </c>
      <c r="Q874">
        <v>1067625</v>
      </c>
      <c r="R874">
        <v>0</v>
      </c>
      <c r="S874">
        <v>0</v>
      </c>
      <c r="T874" t="str">
        <f t="shared" si="26"/>
        <v>24802.43.4302.85.0-101024.2.3.3.08.06.</v>
      </c>
      <c r="U874" t="e" cm="1">
        <f t="array" aca="1" ref="U874" ca="1">+IF(COMPROMISOS_2025[[#This Row],[P]]="20","41080111",_xlfn.XLOOKUP(COMPROMISOS_2025[[#This Row],[concatenado]],PAA[[#All],[RCP-RUBRO]],PAA[[#All],[INDICADOR]],"",0))</f>
        <v>#NAME?</v>
      </c>
      <c r="V874" s="144" t="str">
        <f t="shared" si="27"/>
        <v>85</v>
      </c>
      <c r="W874" s="136">
        <f>+COMPROMISOS_2025[[#This Row],[valor_total]]-COMPROMISOS_2025[[#This Row],[total_cancelado]]</f>
        <v>1067625</v>
      </c>
      <c r="X874" s="136">
        <f>COMPROMISOS_2025[[#This Row],[total_ordenes]]</f>
        <v>1067625</v>
      </c>
      <c r="Y874" t="str" cm="1">
        <f t="array" aca="1" ref="Y874" ca="1">IFERROR(_xlfn.XLOOKUP(COMPROMISOS_2025[[#This Row],[concatenado]],PAA[[#All],[RCP-RUBRO]],PAA[[#All],[Actividad3]],VLOOKUP(COMPROMISOS_2025[[#This Row],[Indicador Principal]],$AC$2:$AD$17,2,0),0),"")</f>
        <v/>
      </c>
    </row>
    <row r="875" spans="1:25" hidden="1" x14ac:dyDescent="0.25">
      <c r="A875">
        <v>2481</v>
      </c>
      <c r="B875" t="s">
        <v>2491</v>
      </c>
      <c r="C875" t="s">
        <v>1936</v>
      </c>
      <c r="D875" t="s">
        <v>3575</v>
      </c>
      <c r="F875">
        <v>405</v>
      </c>
      <c r="G875">
        <v>96</v>
      </c>
      <c r="H875" t="s">
        <v>789</v>
      </c>
      <c r="I875" t="s">
        <v>2257</v>
      </c>
      <c r="J875">
        <v>711750</v>
      </c>
      <c r="K875">
        <v>2025</v>
      </c>
      <c r="L875">
        <v>1034993134</v>
      </c>
      <c r="M875" t="s">
        <v>3756</v>
      </c>
      <c r="N875" t="s">
        <v>1688</v>
      </c>
      <c r="O875" t="s">
        <v>1686</v>
      </c>
      <c r="P875">
        <v>0</v>
      </c>
      <c r="Q875">
        <v>711750</v>
      </c>
      <c r="R875">
        <v>0</v>
      </c>
      <c r="S875">
        <v>0</v>
      </c>
      <c r="T875" t="str">
        <f t="shared" si="26"/>
        <v>24812.43.4302.85.0-101024.2.3.3.08.06.</v>
      </c>
      <c r="U875" t="e" cm="1">
        <f t="array" aca="1" ref="U875" ca="1">+IF(COMPROMISOS_2025[[#This Row],[P]]="20","41080111",_xlfn.XLOOKUP(COMPROMISOS_2025[[#This Row],[concatenado]],PAA[[#All],[RCP-RUBRO]],PAA[[#All],[INDICADOR]],"",0))</f>
        <v>#NAME?</v>
      </c>
      <c r="V875" s="144" t="str">
        <f t="shared" si="27"/>
        <v>85</v>
      </c>
      <c r="W875" s="136">
        <f>+COMPROMISOS_2025[[#This Row],[valor_total]]-COMPROMISOS_2025[[#This Row],[total_cancelado]]</f>
        <v>711750</v>
      </c>
      <c r="X875" s="136">
        <f>COMPROMISOS_2025[[#This Row],[total_ordenes]]</f>
        <v>711750</v>
      </c>
      <c r="Y875" t="str" cm="1">
        <f t="array" aca="1" ref="Y875" ca="1">IFERROR(_xlfn.XLOOKUP(COMPROMISOS_2025[[#This Row],[concatenado]],PAA[[#All],[RCP-RUBRO]],PAA[[#All],[Actividad3]],VLOOKUP(COMPROMISOS_2025[[#This Row],[Indicador Principal]],$AC$2:$AD$17,2,0),0),"")</f>
        <v/>
      </c>
    </row>
    <row r="876" spans="1:25" hidden="1" x14ac:dyDescent="0.25">
      <c r="A876">
        <v>2483</v>
      </c>
      <c r="B876" t="s">
        <v>2491</v>
      </c>
      <c r="C876" t="s">
        <v>1936</v>
      </c>
      <c r="D876" t="s">
        <v>3575</v>
      </c>
      <c r="F876">
        <v>405</v>
      </c>
      <c r="G876">
        <v>96</v>
      </c>
      <c r="H876" t="s">
        <v>789</v>
      </c>
      <c r="I876" t="s">
        <v>2257</v>
      </c>
      <c r="J876">
        <v>711750</v>
      </c>
      <c r="K876">
        <v>2025</v>
      </c>
      <c r="L876">
        <v>1034995540</v>
      </c>
      <c r="M876" t="s">
        <v>3757</v>
      </c>
      <c r="N876" t="s">
        <v>1688</v>
      </c>
      <c r="O876" t="s">
        <v>1686</v>
      </c>
      <c r="P876">
        <v>0</v>
      </c>
      <c r="Q876">
        <v>711750</v>
      </c>
      <c r="R876">
        <v>0</v>
      </c>
      <c r="S876">
        <v>0</v>
      </c>
      <c r="T876" t="str">
        <f t="shared" si="26"/>
        <v>24832.43.4302.85.0-101024.2.3.3.08.06.</v>
      </c>
      <c r="U876" t="e" cm="1">
        <f t="array" aca="1" ref="U876" ca="1">+IF(COMPROMISOS_2025[[#This Row],[P]]="20","41080111",_xlfn.XLOOKUP(COMPROMISOS_2025[[#This Row],[concatenado]],PAA[[#All],[RCP-RUBRO]],PAA[[#All],[INDICADOR]],"",0))</f>
        <v>#NAME?</v>
      </c>
      <c r="V876" s="144" t="str">
        <f t="shared" si="27"/>
        <v>85</v>
      </c>
      <c r="W876" s="136">
        <f>+COMPROMISOS_2025[[#This Row],[valor_total]]-COMPROMISOS_2025[[#This Row],[total_cancelado]]</f>
        <v>711750</v>
      </c>
      <c r="X876" s="136">
        <f>COMPROMISOS_2025[[#This Row],[total_ordenes]]</f>
        <v>711750</v>
      </c>
      <c r="Y876" t="str" cm="1">
        <f t="array" aca="1" ref="Y876" ca="1">IFERROR(_xlfn.XLOOKUP(COMPROMISOS_2025[[#This Row],[concatenado]],PAA[[#All],[RCP-RUBRO]],PAA[[#All],[Actividad3]],VLOOKUP(COMPROMISOS_2025[[#This Row],[Indicador Principal]],$AC$2:$AD$17,2,0),0),"")</f>
        <v/>
      </c>
    </row>
    <row r="877" spans="1:25" hidden="1" x14ac:dyDescent="0.25">
      <c r="A877">
        <v>2484</v>
      </c>
      <c r="B877" t="s">
        <v>2491</v>
      </c>
      <c r="C877" t="s">
        <v>1936</v>
      </c>
      <c r="D877" t="s">
        <v>3575</v>
      </c>
      <c r="F877">
        <v>405</v>
      </c>
      <c r="G877">
        <v>96</v>
      </c>
      <c r="H877" t="s">
        <v>789</v>
      </c>
      <c r="I877" t="s">
        <v>2257</v>
      </c>
      <c r="J877">
        <v>711750</v>
      </c>
      <c r="K877">
        <v>2025</v>
      </c>
      <c r="L877">
        <v>1034995799</v>
      </c>
      <c r="M877" t="s">
        <v>3758</v>
      </c>
      <c r="N877" t="s">
        <v>1688</v>
      </c>
      <c r="O877" t="s">
        <v>1686</v>
      </c>
      <c r="P877">
        <v>0</v>
      </c>
      <c r="Q877">
        <v>711750</v>
      </c>
      <c r="R877">
        <v>0</v>
      </c>
      <c r="S877">
        <v>0</v>
      </c>
      <c r="T877" t="str">
        <f t="shared" si="26"/>
        <v>24842.43.4302.85.0-101024.2.3.3.08.06.</v>
      </c>
      <c r="U877" t="e" cm="1">
        <f t="array" aca="1" ref="U877" ca="1">+IF(COMPROMISOS_2025[[#This Row],[P]]="20","41080111",_xlfn.XLOOKUP(COMPROMISOS_2025[[#This Row],[concatenado]],PAA[[#All],[RCP-RUBRO]],PAA[[#All],[INDICADOR]],"",0))</f>
        <v>#NAME?</v>
      </c>
      <c r="V877" s="144" t="str">
        <f t="shared" si="27"/>
        <v>85</v>
      </c>
      <c r="W877" s="136">
        <f>+COMPROMISOS_2025[[#This Row],[valor_total]]-COMPROMISOS_2025[[#This Row],[total_cancelado]]</f>
        <v>711750</v>
      </c>
      <c r="X877" s="136">
        <f>COMPROMISOS_2025[[#This Row],[total_ordenes]]</f>
        <v>711750</v>
      </c>
      <c r="Y877" t="str" cm="1">
        <f t="array" aca="1" ref="Y877" ca="1">IFERROR(_xlfn.XLOOKUP(COMPROMISOS_2025[[#This Row],[concatenado]],PAA[[#All],[RCP-RUBRO]],PAA[[#All],[Actividad3]],VLOOKUP(COMPROMISOS_2025[[#This Row],[Indicador Principal]],$AC$2:$AD$17,2,0),0),"")</f>
        <v/>
      </c>
    </row>
    <row r="878" spans="1:25" hidden="1" x14ac:dyDescent="0.25">
      <c r="A878">
        <v>2485</v>
      </c>
      <c r="B878" t="s">
        <v>2491</v>
      </c>
      <c r="C878" t="s">
        <v>1936</v>
      </c>
      <c r="D878" t="s">
        <v>3575</v>
      </c>
      <c r="F878">
        <v>405</v>
      </c>
      <c r="G878">
        <v>96</v>
      </c>
      <c r="H878" t="s">
        <v>789</v>
      </c>
      <c r="I878" t="s">
        <v>2257</v>
      </c>
      <c r="J878">
        <v>711750</v>
      </c>
      <c r="K878">
        <v>2025</v>
      </c>
      <c r="L878">
        <v>1034995963</v>
      </c>
      <c r="M878" t="s">
        <v>3759</v>
      </c>
      <c r="N878" t="s">
        <v>1688</v>
      </c>
      <c r="O878" t="s">
        <v>1686</v>
      </c>
      <c r="P878">
        <v>0</v>
      </c>
      <c r="Q878">
        <v>711750</v>
      </c>
      <c r="R878">
        <v>0</v>
      </c>
      <c r="S878">
        <v>0</v>
      </c>
      <c r="T878" t="str">
        <f t="shared" si="26"/>
        <v>24852.43.4302.85.0-101024.2.3.3.08.06.</v>
      </c>
      <c r="U878" t="e" cm="1">
        <f t="array" aca="1" ref="U878" ca="1">+IF(COMPROMISOS_2025[[#This Row],[P]]="20","41080111",_xlfn.XLOOKUP(COMPROMISOS_2025[[#This Row],[concatenado]],PAA[[#All],[RCP-RUBRO]],PAA[[#All],[INDICADOR]],"",0))</f>
        <v>#NAME?</v>
      </c>
      <c r="V878" s="144" t="str">
        <f t="shared" si="27"/>
        <v>85</v>
      </c>
      <c r="W878" s="136">
        <f>+COMPROMISOS_2025[[#This Row],[valor_total]]-COMPROMISOS_2025[[#This Row],[total_cancelado]]</f>
        <v>711750</v>
      </c>
      <c r="X878" s="136">
        <f>COMPROMISOS_2025[[#This Row],[total_ordenes]]</f>
        <v>711750</v>
      </c>
      <c r="Y878" t="str" cm="1">
        <f t="array" aca="1" ref="Y878" ca="1">IFERROR(_xlfn.XLOOKUP(COMPROMISOS_2025[[#This Row],[concatenado]],PAA[[#All],[RCP-RUBRO]],PAA[[#All],[Actividad3]],VLOOKUP(COMPROMISOS_2025[[#This Row],[Indicador Principal]],$AC$2:$AD$17,2,0),0),"")</f>
        <v/>
      </c>
    </row>
    <row r="879" spans="1:25" hidden="1" x14ac:dyDescent="0.25">
      <c r="A879">
        <v>2486</v>
      </c>
      <c r="B879" t="s">
        <v>2491</v>
      </c>
      <c r="C879" t="s">
        <v>1936</v>
      </c>
      <c r="D879" t="s">
        <v>3575</v>
      </c>
      <c r="F879">
        <v>405</v>
      </c>
      <c r="G879">
        <v>96</v>
      </c>
      <c r="H879" t="s">
        <v>789</v>
      </c>
      <c r="I879" t="s">
        <v>2257</v>
      </c>
      <c r="J879">
        <v>1067625</v>
      </c>
      <c r="K879">
        <v>2025</v>
      </c>
      <c r="L879">
        <v>1035066840</v>
      </c>
      <c r="M879" t="s">
        <v>3760</v>
      </c>
      <c r="N879" t="s">
        <v>1688</v>
      </c>
      <c r="O879" t="s">
        <v>1686</v>
      </c>
      <c r="P879">
        <v>0</v>
      </c>
      <c r="Q879">
        <v>1067625</v>
      </c>
      <c r="R879">
        <v>0</v>
      </c>
      <c r="S879">
        <v>0</v>
      </c>
      <c r="T879" t="str">
        <f t="shared" si="26"/>
        <v>24862.43.4302.85.0-101024.2.3.3.08.06.</v>
      </c>
      <c r="U879" t="e" cm="1">
        <f t="array" aca="1" ref="U879" ca="1">+IF(COMPROMISOS_2025[[#This Row],[P]]="20","41080111",_xlfn.XLOOKUP(COMPROMISOS_2025[[#This Row],[concatenado]],PAA[[#All],[RCP-RUBRO]],PAA[[#All],[INDICADOR]],"",0))</f>
        <v>#NAME?</v>
      </c>
      <c r="V879" s="144" t="str">
        <f t="shared" si="27"/>
        <v>85</v>
      </c>
      <c r="W879" s="136">
        <f>+COMPROMISOS_2025[[#This Row],[valor_total]]-COMPROMISOS_2025[[#This Row],[total_cancelado]]</f>
        <v>1067625</v>
      </c>
      <c r="X879" s="136">
        <f>COMPROMISOS_2025[[#This Row],[total_ordenes]]</f>
        <v>1067625</v>
      </c>
      <c r="Y879" t="str" cm="1">
        <f t="array" aca="1" ref="Y879" ca="1">IFERROR(_xlfn.XLOOKUP(COMPROMISOS_2025[[#This Row],[concatenado]],PAA[[#All],[RCP-RUBRO]],PAA[[#All],[Actividad3]],VLOOKUP(COMPROMISOS_2025[[#This Row],[Indicador Principal]],$AC$2:$AD$17,2,0),0),"")</f>
        <v/>
      </c>
    </row>
    <row r="880" spans="1:25" hidden="1" x14ac:dyDescent="0.25">
      <c r="A880">
        <v>2487</v>
      </c>
      <c r="B880" t="s">
        <v>2491</v>
      </c>
      <c r="C880" t="s">
        <v>1936</v>
      </c>
      <c r="D880" t="s">
        <v>3575</v>
      </c>
      <c r="F880">
        <v>405</v>
      </c>
      <c r="G880">
        <v>96</v>
      </c>
      <c r="H880" t="s">
        <v>789</v>
      </c>
      <c r="I880" t="s">
        <v>2257</v>
      </c>
      <c r="J880">
        <v>1067625</v>
      </c>
      <c r="K880">
        <v>2025</v>
      </c>
      <c r="L880">
        <v>1035067300</v>
      </c>
      <c r="M880" t="s">
        <v>3761</v>
      </c>
      <c r="N880" t="s">
        <v>1688</v>
      </c>
      <c r="O880" t="s">
        <v>1686</v>
      </c>
      <c r="P880">
        <v>0</v>
      </c>
      <c r="Q880">
        <v>1067625</v>
      </c>
      <c r="R880">
        <v>0</v>
      </c>
      <c r="S880">
        <v>0</v>
      </c>
      <c r="T880" t="str">
        <f t="shared" si="26"/>
        <v>24872.43.4302.85.0-101024.2.3.3.08.06.</v>
      </c>
      <c r="U880" t="e" cm="1">
        <f t="array" aca="1" ref="U880" ca="1">+IF(COMPROMISOS_2025[[#This Row],[P]]="20","41080111",_xlfn.XLOOKUP(COMPROMISOS_2025[[#This Row],[concatenado]],PAA[[#All],[RCP-RUBRO]],PAA[[#All],[INDICADOR]],"",0))</f>
        <v>#NAME?</v>
      </c>
      <c r="V880" s="144" t="str">
        <f t="shared" si="27"/>
        <v>85</v>
      </c>
      <c r="W880" s="136">
        <f>+COMPROMISOS_2025[[#This Row],[valor_total]]-COMPROMISOS_2025[[#This Row],[total_cancelado]]</f>
        <v>1067625</v>
      </c>
      <c r="X880" s="136">
        <f>COMPROMISOS_2025[[#This Row],[total_ordenes]]</f>
        <v>1067625</v>
      </c>
      <c r="Y880" t="str" cm="1">
        <f t="array" aca="1" ref="Y880" ca="1">IFERROR(_xlfn.XLOOKUP(COMPROMISOS_2025[[#This Row],[concatenado]],PAA[[#All],[RCP-RUBRO]],PAA[[#All],[Actividad3]],VLOOKUP(COMPROMISOS_2025[[#This Row],[Indicador Principal]],$AC$2:$AD$17,2,0),0),"")</f>
        <v/>
      </c>
    </row>
    <row r="881" spans="1:25" hidden="1" x14ac:dyDescent="0.25">
      <c r="A881">
        <v>2489</v>
      </c>
      <c r="B881" t="s">
        <v>2491</v>
      </c>
      <c r="C881" t="s">
        <v>1936</v>
      </c>
      <c r="D881" t="s">
        <v>3575</v>
      </c>
      <c r="F881">
        <v>405</v>
      </c>
      <c r="G881">
        <v>96</v>
      </c>
      <c r="H881" t="s">
        <v>789</v>
      </c>
      <c r="I881" t="s">
        <v>2257</v>
      </c>
      <c r="J881">
        <v>1067625</v>
      </c>
      <c r="K881">
        <v>2025</v>
      </c>
      <c r="L881">
        <v>1035329060</v>
      </c>
      <c r="M881" t="s">
        <v>3762</v>
      </c>
      <c r="N881" t="s">
        <v>1688</v>
      </c>
      <c r="O881" t="s">
        <v>1686</v>
      </c>
      <c r="P881">
        <v>0</v>
      </c>
      <c r="Q881">
        <v>1067625</v>
      </c>
      <c r="R881">
        <v>0</v>
      </c>
      <c r="S881">
        <v>0</v>
      </c>
      <c r="T881" t="str">
        <f t="shared" si="26"/>
        <v>24892.43.4302.85.0-101024.2.3.3.08.06.</v>
      </c>
      <c r="U881" t="e" cm="1">
        <f t="array" aca="1" ref="U881" ca="1">+IF(COMPROMISOS_2025[[#This Row],[P]]="20","41080111",_xlfn.XLOOKUP(COMPROMISOS_2025[[#This Row],[concatenado]],PAA[[#All],[RCP-RUBRO]],PAA[[#All],[INDICADOR]],"",0))</f>
        <v>#NAME?</v>
      </c>
      <c r="V881" s="144" t="str">
        <f t="shared" si="27"/>
        <v>85</v>
      </c>
      <c r="W881" s="136">
        <f>+COMPROMISOS_2025[[#This Row],[valor_total]]-COMPROMISOS_2025[[#This Row],[total_cancelado]]</f>
        <v>1067625</v>
      </c>
      <c r="X881" s="136">
        <f>COMPROMISOS_2025[[#This Row],[total_ordenes]]</f>
        <v>1067625</v>
      </c>
      <c r="Y881" t="str" cm="1">
        <f t="array" aca="1" ref="Y881" ca="1">IFERROR(_xlfn.XLOOKUP(COMPROMISOS_2025[[#This Row],[concatenado]],PAA[[#All],[RCP-RUBRO]],PAA[[#All],[Actividad3]],VLOOKUP(COMPROMISOS_2025[[#This Row],[Indicador Principal]],$AC$2:$AD$17,2,0),0),"")</f>
        <v/>
      </c>
    </row>
    <row r="882" spans="1:25" hidden="1" x14ac:dyDescent="0.25">
      <c r="A882">
        <v>2492</v>
      </c>
      <c r="B882" t="s">
        <v>2491</v>
      </c>
      <c r="C882" t="s">
        <v>1936</v>
      </c>
      <c r="D882" t="s">
        <v>3575</v>
      </c>
      <c r="F882">
        <v>405</v>
      </c>
      <c r="G882">
        <v>96</v>
      </c>
      <c r="H882" t="s">
        <v>789</v>
      </c>
      <c r="I882" t="s">
        <v>2257</v>
      </c>
      <c r="J882">
        <v>1423500</v>
      </c>
      <c r="K882">
        <v>2025</v>
      </c>
      <c r="L882">
        <v>1035418528</v>
      </c>
      <c r="M882" t="s">
        <v>3763</v>
      </c>
      <c r="N882" t="s">
        <v>1688</v>
      </c>
      <c r="O882" t="s">
        <v>1686</v>
      </c>
      <c r="P882">
        <v>0</v>
      </c>
      <c r="Q882">
        <v>1423500</v>
      </c>
      <c r="R882">
        <v>0</v>
      </c>
      <c r="S882">
        <v>0</v>
      </c>
      <c r="T882" t="str">
        <f t="shared" si="26"/>
        <v>24922.43.4302.85.0-101024.2.3.3.08.06.</v>
      </c>
      <c r="U882" t="e" cm="1">
        <f t="array" aca="1" ref="U882" ca="1">+IF(COMPROMISOS_2025[[#This Row],[P]]="20","41080111",_xlfn.XLOOKUP(COMPROMISOS_2025[[#This Row],[concatenado]],PAA[[#All],[RCP-RUBRO]],PAA[[#All],[INDICADOR]],"",0))</f>
        <v>#NAME?</v>
      </c>
      <c r="V882" s="144" t="str">
        <f t="shared" si="27"/>
        <v>85</v>
      </c>
      <c r="W882" s="136">
        <f>+COMPROMISOS_2025[[#This Row],[valor_total]]-COMPROMISOS_2025[[#This Row],[total_cancelado]]</f>
        <v>1423500</v>
      </c>
      <c r="X882" s="136">
        <f>COMPROMISOS_2025[[#This Row],[total_ordenes]]</f>
        <v>1423500</v>
      </c>
      <c r="Y882" t="str" cm="1">
        <f t="array" aca="1" ref="Y882" ca="1">IFERROR(_xlfn.XLOOKUP(COMPROMISOS_2025[[#This Row],[concatenado]],PAA[[#All],[RCP-RUBRO]],PAA[[#All],[Actividad3]],VLOOKUP(COMPROMISOS_2025[[#This Row],[Indicador Principal]],$AC$2:$AD$17,2,0),0),"")</f>
        <v/>
      </c>
    </row>
    <row r="883" spans="1:25" hidden="1" x14ac:dyDescent="0.25">
      <c r="A883">
        <v>2493</v>
      </c>
      <c r="B883" t="s">
        <v>2491</v>
      </c>
      <c r="C883" t="s">
        <v>1936</v>
      </c>
      <c r="D883" t="s">
        <v>3575</v>
      </c>
      <c r="F883">
        <v>405</v>
      </c>
      <c r="G883">
        <v>96</v>
      </c>
      <c r="H883" t="s">
        <v>789</v>
      </c>
      <c r="I883" t="s">
        <v>2257</v>
      </c>
      <c r="J883">
        <v>1067625</v>
      </c>
      <c r="K883">
        <v>2025</v>
      </c>
      <c r="L883">
        <v>1035419233</v>
      </c>
      <c r="M883" t="s">
        <v>3764</v>
      </c>
      <c r="N883" t="s">
        <v>1688</v>
      </c>
      <c r="O883" t="s">
        <v>1686</v>
      </c>
      <c r="P883">
        <v>0</v>
      </c>
      <c r="Q883">
        <v>1067625</v>
      </c>
      <c r="R883">
        <v>0</v>
      </c>
      <c r="S883">
        <v>0</v>
      </c>
      <c r="T883" t="str">
        <f t="shared" si="26"/>
        <v>24932.43.4302.85.0-101024.2.3.3.08.06.</v>
      </c>
      <c r="U883" t="e" cm="1">
        <f t="array" aca="1" ref="U883" ca="1">+IF(COMPROMISOS_2025[[#This Row],[P]]="20","41080111",_xlfn.XLOOKUP(COMPROMISOS_2025[[#This Row],[concatenado]],PAA[[#All],[RCP-RUBRO]],PAA[[#All],[INDICADOR]],"",0))</f>
        <v>#NAME?</v>
      </c>
      <c r="V883" s="144" t="str">
        <f t="shared" si="27"/>
        <v>85</v>
      </c>
      <c r="W883" s="136">
        <f>+COMPROMISOS_2025[[#This Row],[valor_total]]-COMPROMISOS_2025[[#This Row],[total_cancelado]]</f>
        <v>1067625</v>
      </c>
      <c r="X883" s="136">
        <f>COMPROMISOS_2025[[#This Row],[total_ordenes]]</f>
        <v>1067625</v>
      </c>
      <c r="Y883" t="str" cm="1">
        <f t="array" aca="1" ref="Y883" ca="1">IFERROR(_xlfn.XLOOKUP(COMPROMISOS_2025[[#This Row],[concatenado]],PAA[[#All],[RCP-RUBRO]],PAA[[#All],[Actividad3]],VLOOKUP(COMPROMISOS_2025[[#This Row],[Indicador Principal]],$AC$2:$AD$17,2,0),0),"")</f>
        <v/>
      </c>
    </row>
    <row r="884" spans="1:25" hidden="1" x14ac:dyDescent="0.25">
      <c r="A884">
        <v>2494</v>
      </c>
      <c r="B884" t="s">
        <v>2491</v>
      </c>
      <c r="C884" t="s">
        <v>1936</v>
      </c>
      <c r="D884" t="s">
        <v>3575</v>
      </c>
      <c r="F884">
        <v>405</v>
      </c>
      <c r="G884">
        <v>96</v>
      </c>
      <c r="H884" t="s">
        <v>789</v>
      </c>
      <c r="I884" t="s">
        <v>2257</v>
      </c>
      <c r="J884">
        <v>711750</v>
      </c>
      <c r="K884">
        <v>2025</v>
      </c>
      <c r="L884">
        <v>1035425085</v>
      </c>
      <c r="M884" t="s">
        <v>3765</v>
      </c>
      <c r="N884" t="s">
        <v>1688</v>
      </c>
      <c r="O884" t="s">
        <v>1686</v>
      </c>
      <c r="P884">
        <v>0</v>
      </c>
      <c r="Q884">
        <v>711750</v>
      </c>
      <c r="R884">
        <v>0</v>
      </c>
      <c r="S884">
        <v>0</v>
      </c>
      <c r="T884" t="str">
        <f t="shared" si="26"/>
        <v>24942.43.4302.85.0-101024.2.3.3.08.06.</v>
      </c>
      <c r="U884" t="e" cm="1">
        <f t="array" aca="1" ref="U884" ca="1">+IF(COMPROMISOS_2025[[#This Row],[P]]="20","41080111",_xlfn.XLOOKUP(COMPROMISOS_2025[[#This Row],[concatenado]],PAA[[#All],[RCP-RUBRO]],PAA[[#All],[INDICADOR]],"",0))</f>
        <v>#NAME?</v>
      </c>
      <c r="V884" s="144" t="str">
        <f t="shared" si="27"/>
        <v>85</v>
      </c>
      <c r="W884" s="136">
        <f>+COMPROMISOS_2025[[#This Row],[valor_total]]-COMPROMISOS_2025[[#This Row],[total_cancelado]]</f>
        <v>711750</v>
      </c>
      <c r="X884" s="136">
        <f>COMPROMISOS_2025[[#This Row],[total_ordenes]]</f>
        <v>711750</v>
      </c>
      <c r="Y884" t="str" cm="1">
        <f t="array" aca="1" ref="Y884" ca="1">IFERROR(_xlfn.XLOOKUP(COMPROMISOS_2025[[#This Row],[concatenado]],PAA[[#All],[RCP-RUBRO]],PAA[[#All],[Actividad3]],VLOOKUP(COMPROMISOS_2025[[#This Row],[Indicador Principal]],$AC$2:$AD$17,2,0),0),"")</f>
        <v/>
      </c>
    </row>
    <row r="885" spans="1:25" hidden="1" x14ac:dyDescent="0.25">
      <c r="A885">
        <v>2496</v>
      </c>
      <c r="B885" t="s">
        <v>2491</v>
      </c>
      <c r="C885" t="s">
        <v>1936</v>
      </c>
      <c r="D885" t="s">
        <v>3575</v>
      </c>
      <c r="F885">
        <v>405</v>
      </c>
      <c r="G885">
        <v>96</v>
      </c>
      <c r="H885" t="s">
        <v>789</v>
      </c>
      <c r="I885" t="s">
        <v>2257</v>
      </c>
      <c r="J885">
        <v>711750</v>
      </c>
      <c r="K885">
        <v>2025</v>
      </c>
      <c r="L885">
        <v>1035550460</v>
      </c>
      <c r="M885" t="s">
        <v>3766</v>
      </c>
      <c r="N885" t="s">
        <v>1688</v>
      </c>
      <c r="O885" t="s">
        <v>1686</v>
      </c>
      <c r="P885">
        <v>0</v>
      </c>
      <c r="Q885">
        <v>711750</v>
      </c>
      <c r="R885">
        <v>0</v>
      </c>
      <c r="S885">
        <v>0</v>
      </c>
      <c r="T885" t="str">
        <f t="shared" si="26"/>
        <v>24962.43.4302.85.0-101024.2.3.3.08.06.</v>
      </c>
      <c r="U885" t="e" cm="1">
        <f t="array" aca="1" ref="U885" ca="1">+IF(COMPROMISOS_2025[[#This Row],[P]]="20","41080111",_xlfn.XLOOKUP(COMPROMISOS_2025[[#This Row],[concatenado]],PAA[[#All],[RCP-RUBRO]],PAA[[#All],[INDICADOR]],"",0))</f>
        <v>#NAME?</v>
      </c>
      <c r="V885" s="144" t="str">
        <f t="shared" si="27"/>
        <v>85</v>
      </c>
      <c r="W885" s="136">
        <f>+COMPROMISOS_2025[[#This Row],[valor_total]]-COMPROMISOS_2025[[#This Row],[total_cancelado]]</f>
        <v>711750</v>
      </c>
      <c r="X885" s="136">
        <f>COMPROMISOS_2025[[#This Row],[total_ordenes]]</f>
        <v>711750</v>
      </c>
      <c r="Y885" t="str" cm="1">
        <f t="array" aca="1" ref="Y885" ca="1">IFERROR(_xlfn.XLOOKUP(COMPROMISOS_2025[[#This Row],[concatenado]],PAA[[#All],[RCP-RUBRO]],PAA[[#All],[Actividad3]],VLOOKUP(COMPROMISOS_2025[[#This Row],[Indicador Principal]],$AC$2:$AD$17,2,0),0),"")</f>
        <v/>
      </c>
    </row>
    <row r="886" spans="1:25" hidden="1" x14ac:dyDescent="0.25">
      <c r="A886">
        <v>2499</v>
      </c>
      <c r="B886" t="s">
        <v>2491</v>
      </c>
      <c r="C886" t="s">
        <v>1936</v>
      </c>
      <c r="D886" t="s">
        <v>3575</v>
      </c>
      <c r="F886">
        <v>405</v>
      </c>
      <c r="G886">
        <v>96</v>
      </c>
      <c r="H886" t="s">
        <v>789</v>
      </c>
      <c r="I886" t="s">
        <v>2257</v>
      </c>
      <c r="J886">
        <v>711750</v>
      </c>
      <c r="K886">
        <v>2025</v>
      </c>
      <c r="L886">
        <v>1035800406</v>
      </c>
      <c r="M886" t="s">
        <v>3767</v>
      </c>
      <c r="N886" t="s">
        <v>1688</v>
      </c>
      <c r="O886" t="s">
        <v>1686</v>
      </c>
      <c r="P886">
        <v>0</v>
      </c>
      <c r="Q886">
        <v>711750</v>
      </c>
      <c r="R886">
        <v>0</v>
      </c>
      <c r="S886">
        <v>0</v>
      </c>
      <c r="T886" t="str">
        <f t="shared" si="26"/>
        <v>24992.43.4302.85.0-101024.2.3.3.08.06.</v>
      </c>
      <c r="U886" t="e" cm="1">
        <f t="array" aca="1" ref="U886" ca="1">+IF(COMPROMISOS_2025[[#This Row],[P]]="20","41080111",_xlfn.XLOOKUP(COMPROMISOS_2025[[#This Row],[concatenado]],PAA[[#All],[RCP-RUBRO]],PAA[[#All],[INDICADOR]],"",0))</f>
        <v>#NAME?</v>
      </c>
      <c r="V886" s="144" t="str">
        <f t="shared" si="27"/>
        <v>85</v>
      </c>
      <c r="W886" s="136">
        <f>+COMPROMISOS_2025[[#This Row],[valor_total]]-COMPROMISOS_2025[[#This Row],[total_cancelado]]</f>
        <v>711750</v>
      </c>
      <c r="X886" s="136">
        <f>COMPROMISOS_2025[[#This Row],[total_ordenes]]</f>
        <v>711750</v>
      </c>
      <c r="Y886" t="str" cm="1">
        <f t="array" aca="1" ref="Y886" ca="1">IFERROR(_xlfn.XLOOKUP(COMPROMISOS_2025[[#This Row],[concatenado]],PAA[[#All],[RCP-RUBRO]],PAA[[#All],[Actividad3]],VLOOKUP(COMPROMISOS_2025[[#This Row],[Indicador Principal]],$AC$2:$AD$17,2,0),0),"")</f>
        <v/>
      </c>
    </row>
    <row r="887" spans="1:25" hidden="1" x14ac:dyDescent="0.25">
      <c r="A887">
        <v>2503</v>
      </c>
      <c r="B887" t="s">
        <v>2491</v>
      </c>
      <c r="C887" t="s">
        <v>1936</v>
      </c>
      <c r="D887" t="s">
        <v>3575</v>
      </c>
      <c r="F887">
        <v>405</v>
      </c>
      <c r="G887">
        <v>96</v>
      </c>
      <c r="H887" t="s">
        <v>789</v>
      </c>
      <c r="I887" t="s">
        <v>2257</v>
      </c>
      <c r="J887">
        <v>1423500</v>
      </c>
      <c r="K887">
        <v>2025</v>
      </c>
      <c r="L887">
        <v>1035970226</v>
      </c>
      <c r="M887" t="s">
        <v>3768</v>
      </c>
      <c r="N887" t="s">
        <v>1688</v>
      </c>
      <c r="O887" t="s">
        <v>1686</v>
      </c>
      <c r="P887">
        <v>0</v>
      </c>
      <c r="Q887">
        <v>1423500</v>
      </c>
      <c r="R887">
        <v>0</v>
      </c>
      <c r="S887">
        <v>0</v>
      </c>
      <c r="T887" t="str">
        <f t="shared" si="26"/>
        <v>25032.43.4302.85.0-101024.2.3.3.08.06.</v>
      </c>
      <c r="U887" t="e" cm="1">
        <f t="array" aca="1" ref="U887" ca="1">+IF(COMPROMISOS_2025[[#This Row],[P]]="20","41080111",_xlfn.XLOOKUP(COMPROMISOS_2025[[#This Row],[concatenado]],PAA[[#All],[RCP-RUBRO]],PAA[[#All],[INDICADOR]],"",0))</f>
        <v>#NAME?</v>
      </c>
      <c r="V887" s="144" t="str">
        <f t="shared" si="27"/>
        <v>85</v>
      </c>
      <c r="W887" s="136">
        <f>+COMPROMISOS_2025[[#This Row],[valor_total]]-COMPROMISOS_2025[[#This Row],[total_cancelado]]</f>
        <v>1423500</v>
      </c>
      <c r="X887" s="136">
        <f>COMPROMISOS_2025[[#This Row],[total_ordenes]]</f>
        <v>1423500</v>
      </c>
      <c r="Y887" t="str" cm="1">
        <f t="array" aca="1" ref="Y887" ca="1">IFERROR(_xlfn.XLOOKUP(COMPROMISOS_2025[[#This Row],[concatenado]],PAA[[#All],[RCP-RUBRO]],PAA[[#All],[Actividad3]],VLOOKUP(COMPROMISOS_2025[[#This Row],[Indicador Principal]],$AC$2:$AD$17,2,0),0),"")</f>
        <v/>
      </c>
    </row>
    <row r="888" spans="1:25" hidden="1" x14ac:dyDescent="0.25">
      <c r="A888">
        <v>2504</v>
      </c>
      <c r="B888" t="s">
        <v>2491</v>
      </c>
      <c r="C888" t="s">
        <v>1936</v>
      </c>
      <c r="D888" t="s">
        <v>3575</v>
      </c>
      <c r="F888">
        <v>405</v>
      </c>
      <c r="G888">
        <v>96</v>
      </c>
      <c r="H888" t="s">
        <v>789</v>
      </c>
      <c r="I888" t="s">
        <v>2257</v>
      </c>
      <c r="J888">
        <v>711750</v>
      </c>
      <c r="K888">
        <v>2025</v>
      </c>
      <c r="L888">
        <v>1035973601</v>
      </c>
      <c r="M888" t="s">
        <v>3769</v>
      </c>
      <c r="N888" t="s">
        <v>1688</v>
      </c>
      <c r="O888" t="s">
        <v>1686</v>
      </c>
      <c r="P888">
        <v>0</v>
      </c>
      <c r="Q888">
        <v>711750</v>
      </c>
      <c r="R888">
        <v>0</v>
      </c>
      <c r="S888">
        <v>0</v>
      </c>
      <c r="T888" t="str">
        <f t="shared" si="26"/>
        <v>25042.43.4302.85.0-101024.2.3.3.08.06.</v>
      </c>
      <c r="U888" t="e" cm="1">
        <f t="array" aca="1" ref="U888" ca="1">+IF(COMPROMISOS_2025[[#This Row],[P]]="20","41080111",_xlfn.XLOOKUP(COMPROMISOS_2025[[#This Row],[concatenado]],PAA[[#All],[RCP-RUBRO]],PAA[[#All],[INDICADOR]],"",0))</f>
        <v>#NAME?</v>
      </c>
      <c r="V888" s="144" t="str">
        <f t="shared" si="27"/>
        <v>85</v>
      </c>
      <c r="W888" s="136">
        <f>+COMPROMISOS_2025[[#This Row],[valor_total]]-COMPROMISOS_2025[[#This Row],[total_cancelado]]</f>
        <v>711750</v>
      </c>
      <c r="X888" s="136">
        <f>COMPROMISOS_2025[[#This Row],[total_ordenes]]</f>
        <v>711750</v>
      </c>
      <c r="Y888" t="str" cm="1">
        <f t="array" aca="1" ref="Y888" ca="1">IFERROR(_xlfn.XLOOKUP(COMPROMISOS_2025[[#This Row],[concatenado]],PAA[[#All],[RCP-RUBRO]],PAA[[#All],[Actividad3]],VLOOKUP(COMPROMISOS_2025[[#This Row],[Indicador Principal]],$AC$2:$AD$17,2,0),0),"")</f>
        <v/>
      </c>
    </row>
    <row r="889" spans="1:25" hidden="1" x14ac:dyDescent="0.25">
      <c r="A889">
        <v>2505</v>
      </c>
      <c r="B889" t="s">
        <v>2491</v>
      </c>
      <c r="C889" t="s">
        <v>1936</v>
      </c>
      <c r="D889" t="s">
        <v>3575</v>
      </c>
      <c r="F889">
        <v>405</v>
      </c>
      <c r="G889">
        <v>96</v>
      </c>
      <c r="H889" t="s">
        <v>789</v>
      </c>
      <c r="I889" t="s">
        <v>2257</v>
      </c>
      <c r="J889">
        <v>711750</v>
      </c>
      <c r="K889">
        <v>2025</v>
      </c>
      <c r="L889">
        <v>1035975156</v>
      </c>
      <c r="M889" t="s">
        <v>3770</v>
      </c>
      <c r="N889" t="s">
        <v>1688</v>
      </c>
      <c r="O889" t="s">
        <v>1686</v>
      </c>
      <c r="P889">
        <v>0</v>
      </c>
      <c r="Q889">
        <v>711750</v>
      </c>
      <c r="R889">
        <v>0</v>
      </c>
      <c r="S889">
        <v>0</v>
      </c>
      <c r="T889" t="str">
        <f t="shared" si="26"/>
        <v>25052.43.4302.85.0-101024.2.3.3.08.06.</v>
      </c>
      <c r="U889" t="e" cm="1">
        <f t="array" aca="1" ref="U889" ca="1">+IF(COMPROMISOS_2025[[#This Row],[P]]="20","41080111",_xlfn.XLOOKUP(COMPROMISOS_2025[[#This Row],[concatenado]],PAA[[#All],[RCP-RUBRO]],PAA[[#All],[INDICADOR]],"",0))</f>
        <v>#NAME?</v>
      </c>
      <c r="V889" s="144" t="str">
        <f t="shared" si="27"/>
        <v>85</v>
      </c>
      <c r="W889" s="136">
        <f>+COMPROMISOS_2025[[#This Row],[valor_total]]-COMPROMISOS_2025[[#This Row],[total_cancelado]]</f>
        <v>711750</v>
      </c>
      <c r="X889" s="136">
        <f>COMPROMISOS_2025[[#This Row],[total_ordenes]]</f>
        <v>711750</v>
      </c>
      <c r="Y889" t="str" cm="1">
        <f t="array" aca="1" ref="Y889" ca="1">IFERROR(_xlfn.XLOOKUP(COMPROMISOS_2025[[#This Row],[concatenado]],PAA[[#All],[RCP-RUBRO]],PAA[[#All],[Actividad3]],VLOOKUP(COMPROMISOS_2025[[#This Row],[Indicador Principal]],$AC$2:$AD$17,2,0),0),"")</f>
        <v/>
      </c>
    </row>
    <row r="890" spans="1:25" hidden="1" x14ac:dyDescent="0.25">
      <c r="A890">
        <v>2507</v>
      </c>
      <c r="B890" t="s">
        <v>2491</v>
      </c>
      <c r="C890" t="s">
        <v>1936</v>
      </c>
      <c r="D890" t="s">
        <v>3575</v>
      </c>
      <c r="F890">
        <v>405</v>
      </c>
      <c r="G890">
        <v>96</v>
      </c>
      <c r="H890" t="s">
        <v>789</v>
      </c>
      <c r="I890" t="s">
        <v>2257</v>
      </c>
      <c r="J890">
        <v>711750</v>
      </c>
      <c r="K890">
        <v>2025</v>
      </c>
      <c r="L890">
        <v>1035976294</v>
      </c>
      <c r="M890" t="s">
        <v>3771</v>
      </c>
      <c r="N890" t="s">
        <v>1688</v>
      </c>
      <c r="O890" t="s">
        <v>1686</v>
      </c>
      <c r="P890">
        <v>0</v>
      </c>
      <c r="Q890">
        <v>711750</v>
      </c>
      <c r="R890">
        <v>0</v>
      </c>
      <c r="S890">
        <v>0</v>
      </c>
      <c r="T890" t="str">
        <f t="shared" si="26"/>
        <v>25072.43.4302.85.0-101024.2.3.3.08.06.</v>
      </c>
      <c r="U890" t="e" cm="1">
        <f t="array" aca="1" ref="U890" ca="1">+IF(COMPROMISOS_2025[[#This Row],[P]]="20","41080111",_xlfn.XLOOKUP(COMPROMISOS_2025[[#This Row],[concatenado]],PAA[[#All],[RCP-RUBRO]],PAA[[#All],[INDICADOR]],"",0))</f>
        <v>#NAME?</v>
      </c>
      <c r="V890" s="144" t="str">
        <f t="shared" si="27"/>
        <v>85</v>
      </c>
      <c r="W890" s="136">
        <f>+COMPROMISOS_2025[[#This Row],[valor_total]]-COMPROMISOS_2025[[#This Row],[total_cancelado]]</f>
        <v>711750</v>
      </c>
      <c r="X890" s="136">
        <f>COMPROMISOS_2025[[#This Row],[total_ordenes]]</f>
        <v>711750</v>
      </c>
      <c r="Y890" t="str" cm="1">
        <f t="array" aca="1" ref="Y890" ca="1">IFERROR(_xlfn.XLOOKUP(COMPROMISOS_2025[[#This Row],[concatenado]],PAA[[#All],[RCP-RUBRO]],PAA[[#All],[Actividad3]],VLOOKUP(COMPROMISOS_2025[[#This Row],[Indicador Principal]],$AC$2:$AD$17,2,0),0),"")</f>
        <v/>
      </c>
    </row>
    <row r="891" spans="1:25" hidden="1" x14ac:dyDescent="0.25">
      <c r="A891">
        <v>2508</v>
      </c>
      <c r="B891" t="s">
        <v>2491</v>
      </c>
      <c r="C891" t="s">
        <v>1936</v>
      </c>
      <c r="D891" t="s">
        <v>3575</v>
      </c>
      <c r="F891">
        <v>405</v>
      </c>
      <c r="G891">
        <v>96</v>
      </c>
      <c r="H891" t="s">
        <v>789</v>
      </c>
      <c r="I891" t="s">
        <v>2257</v>
      </c>
      <c r="J891">
        <v>1423500</v>
      </c>
      <c r="K891">
        <v>2025</v>
      </c>
      <c r="L891">
        <v>1035976981</v>
      </c>
      <c r="M891" t="s">
        <v>3772</v>
      </c>
      <c r="N891" t="s">
        <v>1688</v>
      </c>
      <c r="O891" t="s">
        <v>1686</v>
      </c>
      <c r="P891">
        <v>0</v>
      </c>
      <c r="Q891">
        <v>1423500</v>
      </c>
      <c r="R891">
        <v>0</v>
      </c>
      <c r="S891">
        <v>0</v>
      </c>
      <c r="T891" t="str">
        <f t="shared" si="26"/>
        <v>25082.43.4302.85.0-101024.2.3.3.08.06.</v>
      </c>
      <c r="U891" t="e" cm="1">
        <f t="array" aca="1" ref="U891" ca="1">+IF(COMPROMISOS_2025[[#This Row],[P]]="20","41080111",_xlfn.XLOOKUP(COMPROMISOS_2025[[#This Row],[concatenado]],PAA[[#All],[RCP-RUBRO]],PAA[[#All],[INDICADOR]],"",0))</f>
        <v>#NAME?</v>
      </c>
      <c r="V891" s="144" t="str">
        <f t="shared" si="27"/>
        <v>85</v>
      </c>
      <c r="W891" s="136">
        <f>+COMPROMISOS_2025[[#This Row],[valor_total]]-COMPROMISOS_2025[[#This Row],[total_cancelado]]</f>
        <v>1423500</v>
      </c>
      <c r="X891" s="136">
        <f>COMPROMISOS_2025[[#This Row],[total_ordenes]]</f>
        <v>1423500</v>
      </c>
      <c r="Y891" t="str" cm="1">
        <f t="array" aca="1" ref="Y891" ca="1">IFERROR(_xlfn.XLOOKUP(COMPROMISOS_2025[[#This Row],[concatenado]],PAA[[#All],[RCP-RUBRO]],PAA[[#All],[Actividad3]],VLOOKUP(COMPROMISOS_2025[[#This Row],[Indicador Principal]],$AC$2:$AD$17,2,0),0),"")</f>
        <v/>
      </c>
    </row>
    <row r="892" spans="1:25" hidden="1" x14ac:dyDescent="0.25">
      <c r="A892">
        <v>2509</v>
      </c>
      <c r="B892" t="s">
        <v>2491</v>
      </c>
      <c r="C892" t="s">
        <v>1936</v>
      </c>
      <c r="D892" t="s">
        <v>3575</v>
      </c>
      <c r="F892">
        <v>405</v>
      </c>
      <c r="G892">
        <v>96</v>
      </c>
      <c r="H892" t="s">
        <v>789</v>
      </c>
      <c r="I892" t="s">
        <v>2257</v>
      </c>
      <c r="J892">
        <v>711750</v>
      </c>
      <c r="K892">
        <v>2025</v>
      </c>
      <c r="L892">
        <v>1035978125</v>
      </c>
      <c r="M892" t="s">
        <v>3773</v>
      </c>
      <c r="N892" t="s">
        <v>1688</v>
      </c>
      <c r="O892" t="s">
        <v>1686</v>
      </c>
      <c r="P892">
        <v>0</v>
      </c>
      <c r="Q892">
        <v>711750</v>
      </c>
      <c r="R892">
        <v>0</v>
      </c>
      <c r="S892">
        <v>0</v>
      </c>
      <c r="T892" t="str">
        <f t="shared" si="26"/>
        <v>25092.43.4302.85.0-101024.2.3.3.08.06.</v>
      </c>
      <c r="U892" t="e" cm="1">
        <f t="array" aca="1" ref="U892" ca="1">+IF(COMPROMISOS_2025[[#This Row],[P]]="20","41080111",_xlfn.XLOOKUP(COMPROMISOS_2025[[#This Row],[concatenado]],PAA[[#All],[RCP-RUBRO]],PAA[[#All],[INDICADOR]],"",0))</f>
        <v>#NAME?</v>
      </c>
      <c r="V892" s="144" t="str">
        <f t="shared" si="27"/>
        <v>85</v>
      </c>
      <c r="W892" s="136">
        <f>+COMPROMISOS_2025[[#This Row],[valor_total]]-COMPROMISOS_2025[[#This Row],[total_cancelado]]</f>
        <v>711750</v>
      </c>
      <c r="X892" s="136">
        <f>COMPROMISOS_2025[[#This Row],[total_ordenes]]</f>
        <v>711750</v>
      </c>
      <c r="Y892" t="str" cm="1">
        <f t="array" aca="1" ref="Y892" ca="1">IFERROR(_xlfn.XLOOKUP(COMPROMISOS_2025[[#This Row],[concatenado]],PAA[[#All],[RCP-RUBRO]],PAA[[#All],[Actividad3]],VLOOKUP(COMPROMISOS_2025[[#This Row],[Indicador Principal]],$AC$2:$AD$17,2,0),0),"")</f>
        <v/>
      </c>
    </row>
    <row r="893" spans="1:25" hidden="1" x14ac:dyDescent="0.25">
      <c r="A893">
        <v>2510</v>
      </c>
      <c r="B893" t="s">
        <v>2491</v>
      </c>
      <c r="C893" t="s">
        <v>1936</v>
      </c>
      <c r="D893" t="s">
        <v>3575</v>
      </c>
      <c r="F893">
        <v>405</v>
      </c>
      <c r="G893">
        <v>96</v>
      </c>
      <c r="H893" t="s">
        <v>789</v>
      </c>
      <c r="I893" t="s">
        <v>2257</v>
      </c>
      <c r="J893">
        <v>711750</v>
      </c>
      <c r="K893">
        <v>2025</v>
      </c>
      <c r="L893">
        <v>1036252397</v>
      </c>
      <c r="M893" t="s">
        <v>3774</v>
      </c>
      <c r="N893" t="s">
        <v>1688</v>
      </c>
      <c r="O893" t="s">
        <v>1686</v>
      </c>
      <c r="P893">
        <v>0</v>
      </c>
      <c r="Q893">
        <v>711750</v>
      </c>
      <c r="R893">
        <v>0</v>
      </c>
      <c r="S893">
        <v>0</v>
      </c>
      <c r="T893" t="str">
        <f t="shared" si="26"/>
        <v>25102.43.4302.85.0-101024.2.3.3.08.06.</v>
      </c>
      <c r="U893" t="e" cm="1">
        <f t="array" aca="1" ref="U893" ca="1">+IF(COMPROMISOS_2025[[#This Row],[P]]="20","41080111",_xlfn.XLOOKUP(COMPROMISOS_2025[[#This Row],[concatenado]],PAA[[#All],[RCP-RUBRO]],PAA[[#All],[INDICADOR]],"",0))</f>
        <v>#NAME?</v>
      </c>
      <c r="V893" s="144" t="str">
        <f t="shared" si="27"/>
        <v>85</v>
      </c>
      <c r="W893" s="136">
        <f>+COMPROMISOS_2025[[#This Row],[valor_total]]-COMPROMISOS_2025[[#This Row],[total_cancelado]]</f>
        <v>711750</v>
      </c>
      <c r="X893" s="136">
        <f>COMPROMISOS_2025[[#This Row],[total_ordenes]]</f>
        <v>711750</v>
      </c>
      <c r="Y893" t="str" cm="1">
        <f t="array" aca="1" ref="Y893" ca="1">IFERROR(_xlfn.XLOOKUP(COMPROMISOS_2025[[#This Row],[concatenado]],PAA[[#All],[RCP-RUBRO]],PAA[[#All],[Actividad3]],VLOOKUP(COMPROMISOS_2025[[#This Row],[Indicador Principal]],$AC$2:$AD$17,2,0),0),"")</f>
        <v/>
      </c>
    </row>
    <row r="894" spans="1:25" hidden="1" x14ac:dyDescent="0.25">
      <c r="A894">
        <v>2513</v>
      </c>
      <c r="B894" t="s">
        <v>2491</v>
      </c>
      <c r="C894" t="s">
        <v>1936</v>
      </c>
      <c r="D894" t="s">
        <v>3575</v>
      </c>
      <c r="F894">
        <v>405</v>
      </c>
      <c r="G894">
        <v>96</v>
      </c>
      <c r="H894" t="s">
        <v>789</v>
      </c>
      <c r="I894" t="s">
        <v>2257</v>
      </c>
      <c r="J894">
        <v>711750</v>
      </c>
      <c r="K894">
        <v>2025</v>
      </c>
      <c r="L894">
        <v>1036252945</v>
      </c>
      <c r="M894" t="s">
        <v>3775</v>
      </c>
      <c r="N894" t="s">
        <v>1688</v>
      </c>
      <c r="O894" t="s">
        <v>1686</v>
      </c>
      <c r="P894">
        <v>0</v>
      </c>
      <c r="Q894">
        <v>711750</v>
      </c>
      <c r="R894">
        <v>0</v>
      </c>
      <c r="S894">
        <v>0</v>
      </c>
      <c r="T894" t="str">
        <f t="shared" si="26"/>
        <v>25132.43.4302.85.0-101024.2.3.3.08.06.</v>
      </c>
      <c r="U894" t="e" cm="1">
        <f t="array" aca="1" ref="U894" ca="1">+IF(COMPROMISOS_2025[[#This Row],[P]]="20","41080111",_xlfn.XLOOKUP(COMPROMISOS_2025[[#This Row],[concatenado]],PAA[[#All],[RCP-RUBRO]],PAA[[#All],[INDICADOR]],"",0))</f>
        <v>#NAME?</v>
      </c>
      <c r="V894" s="144" t="str">
        <f t="shared" si="27"/>
        <v>85</v>
      </c>
      <c r="W894" s="136">
        <f>+COMPROMISOS_2025[[#This Row],[valor_total]]-COMPROMISOS_2025[[#This Row],[total_cancelado]]</f>
        <v>711750</v>
      </c>
      <c r="X894" s="136">
        <f>COMPROMISOS_2025[[#This Row],[total_ordenes]]</f>
        <v>711750</v>
      </c>
      <c r="Y894" t="str" cm="1">
        <f t="array" aca="1" ref="Y894" ca="1">IFERROR(_xlfn.XLOOKUP(COMPROMISOS_2025[[#This Row],[concatenado]],PAA[[#All],[RCP-RUBRO]],PAA[[#All],[Actividad3]],VLOOKUP(COMPROMISOS_2025[[#This Row],[Indicador Principal]],$AC$2:$AD$17,2,0),0),"")</f>
        <v/>
      </c>
    </row>
    <row r="895" spans="1:25" hidden="1" x14ac:dyDescent="0.25">
      <c r="A895">
        <v>2514</v>
      </c>
      <c r="B895" t="s">
        <v>2491</v>
      </c>
      <c r="C895" t="s">
        <v>1936</v>
      </c>
      <c r="D895" t="s">
        <v>3575</v>
      </c>
      <c r="F895">
        <v>405</v>
      </c>
      <c r="G895">
        <v>96</v>
      </c>
      <c r="H895" t="s">
        <v>789</v>
      </c>
      <c r="I895" t="s">
        <v>2257</v>
      </c>
      <c r="J895">
        <v>1067625</v>
      </c>
      <c r="K895">
        <v>2025</v>
      </c>
      <c r="L895">
        <v>1036253052</v>
      </c>
      <c r="M895" t="s">
        <v>3776</v>
      </c>
      <c r="N895" t="s">
        <v>1688</v>
      </c>
      <c r="O895" t="s">
        <v>1686</v>
      </c>
      <c r="P895">
        <v>0</v>
      </c>
      <c r="Q895">
        <v>1067625</v>
      </c>
      <c r="R895">
        <v>0</v>
      </c>
      <c r="S895">
        <v>0</v>
      </c>
      <c r="T895" t="str">
        <f t="shared" si="26"/>
        <v>25142.43.4302.85.0-101024.2.3.3.08.06.</v>
      </c>
      <c r="U895" t="e" cm="1">
        <f t="array" aca="1" ref="U895" ca="1">+IF(COMPROMISOS_2025[[#This Row],[P]]="20","41080111",_xlfn.XLOOKUP(COMPROMISOS_2025[[#This Row],[concatenado]],PAA[[#All],[RCP-RUBRO]],PAA[[#All],[INDICADOR]],"",0))</f>
        <v>#NAME?</v>
      </c>
      <c r="V895" s="144" t="str">
        <f t="shared" si="27"/>
        <v>85</v>
      </c>
      <c r="W895" s="136">
        <f>+COMPROMISOS_2025[[#This Row],[valor_total]]-COMPROMISOS_2025[[#This Row],[total_cancelado]]</f>
        <v>1067625</v>
      </c>
      <c r="X895" s="136">
        <f>COMPROMISOS_2025[[#This Row],[total_ordenes]]</f>
        <v>1067625</v>
      </c>
      <c r="Y895" t="str" cm="1">
        <f t="array" aca="1" ref="Y895" ca="1">IFERROR(_xlfn.XLOOKUP(COMPROMISOS_2025[[#This Row],[concatenado]],PAA[[#All],[RCP-RUBRO]],PAA[[#All],[Actividad3]],VLOOKUP(COMPROMISOS_2025[[#This Row],[Indicador Principal]],$AC$2:$AD$17,2,0),0),"")</f>
        <v/>
      </c>
    </row>
    <row r="896" spans="1:25" hidden="1" x14ac:dyDescent="0.25">
      <c r="A896">
        <v>2515</v>
      </c>
      <c r="B896" t="s">
        <v>2491</v>
      </c>
      <c r="C896" t="s">
        <v>1936</v>
      </c>
      <c r="D896" t="s">
        <v>3575</v>
      </c>
      <c r="F896">
        <v>405</v>
      </c>
      <c r="G896">
        <v>96</v>
      </c>
      <c r="H896" t="s">
        <v>789</v>
      </c>
      <c r="I896" t="s">
        <v>2257</v>
      </c>
      <c r="J896">
        <v>1067625</v>
      </c>
      <c r="K896">
        <v>2025</v>
      </c>
      <c r="L896">
        <v>1036255671</v>
      </c>
      <c r="M896" t="s">
        <v>3777</v>
      </c>
      <c r="N896" t="s">
        <v>1688</v>
      </c>
      <c r="O896" t="s">
        <v>1686</v>
      </c>
      <c r="P896">
        <v>0</v>
      </c>
      <c r="Q896">
        <v>1067625</v>
      </c>
      <c r="R896">
        <v>0</v>
      </c>
      <c r="S896">
        <v>0</v>
      </c>
      <c r="T896" t="str">
        <f t="shared" si="26"/>
        <v>25152.43.4302.85.0-101024.2.3.3.08.06.</v>
      </c>
      <c r="U896" t="e" cm="1">
        <f t="array" aca="1" ref="U896" ca="1">+IF(COMPROMISOS_2025[[#This Row],[P]]="20","41080111",_xlfn.XLOOKUP(COMPROMISOS_2025[[#This Row],[concatenado]],PAA[[#All],[RCP-RUBRO]],PAA[[#All],[INDICADOR]],"",0))</f>
        <v>#NAME?</v>
      </c>
      <c r="V896" s="144" t="str">
        <f t="shared" si="27"/>
        <v>85</v>
      </c>
      <c r="W896" s="136">
        <f>+COMPROMISOS_2025[[#This Row],[valor_total]]-COMPROMISOS_2025[[#This Row],[total_cancelado]]</f>
        <v>1067625</v>
      </c>
      <c r="X896" s="136">
        <f>COMPROMISOS_2025[[#This Row],[total_ordenes]]</f>
        <v>1067625</v>
      </c>
      <c r="Y896" t="str" cm="1">
        <f t="array" aca="1" ref="Y896" ca="1">IFERROR(_xlfn.XLOOKUP(COMPROMISOS_2025[[#This Row],[concatenado]],PAA[[#All],[RCP-RUBRO]],PAA[[#All],[Actividad3]],VLOOKUP(COMPROMISOS_2025[[#This Row],[Indicador Principal]],$AC$2:$AD$17,2,0),0),"")</f>
        <v/>
      </c>
    </row>
    <row r="897" spans="1:25" hidden="1" x14ac:dyDescent="0.25">
      <c r="A897">
        <v>2516</v>
      </c>
      <c r="B897" t="s">
        <v>2491</v>
      </c>
      <c r="C897" t="s">
        <v>1936</v>
      </c>
      <c r="D897" t="s">
        <v>3575</v>
      </c>
      <c r="F897">
        <v>405</v>
      </c>
      <c r="G897">
        <v>96</v>
      </c>
      <c r="H897" t="s">
        <v>789</v>
      </c>
      <c r="I897" t="s">
        <v>2257</v>
      </c>
      <c r="J897">
        <v>711750</v>
      </c>
      <c r="K897">
        <v>2025</v>
      </c>
      <c r="L897">
        <v>1036256380</v>
      </c>
      <c r="M897" t="s">
        <v>3778</v>
      </c>
      <c r="N897" t="s">
        <v>1688</v>
      </c>
      <c r="O897" t="s">
        <v>1686</v>
      </c>
      <c r="P897">
        <v>0</v>
      </c>
      <c r="Q897">
        <v>711750</v>
      </c>
      <c r="R897">
        <v>0</v>
      </c>
      <c r="S897">
        <v>0</v>
      </c>
      <c r="T897" t="str">
        <f t="shared" si="26"/>
        <v>25162.43.4302.85.0-101024.2.3.3.08.06.</v>
      </c>
      <c r="U897" t="e" cm="1">
        <f t="array" aca="1" ref="U897" ca="1">+IF(COMPROMISOS_2025[[#This Row],[P]]="20","41080111",_xlfn.XLOOKUP(COMPROMISOS_2025[[#This Row],[concatenado]],PAA[[#All],[RCP-RUBRO]],PAA[[#All],[INDICADOR]],"",0))</f>
        <v>#NAME?</v>
      </c>
      <c r="V897" s="144" t="str">
        <f t="shared" si="27"/>
        <v>85</v>
      </c>
      <c r="W897" s="136">
        <f>+COMPROMISOS_2025[[#This Row],[valor_total]]-COMPROMISOS_2025[[#This Row],[total_cancelado]]</f>
        <v>711750</v>
      </c>
      <c r="X897" s="136">
        <f>COMPROMISOS_2025[[#This Row],[total_ordenes]]</f>
        <v>711750</v>
      </c>
      <c r="Y897" t="str" cm="1">
        <f t="array" aca="1" ref="Y897" ca="1">IFERROR(_xlfn.XLOOKUP(COMPROMISOS_2025[[#This Row],[concatenado]],PAA[[#All],[RCP-RUBRO]],PAA[[#All],[Actividad3]],VLOOKUP(COMPROMISOS_2025[[#This Row],[Indicador Principal]],$AC$2:$AD$17,2,0),0),"")</f>
        <v/>
      </c>
    </row>
    <row r="898" spans="1:25" hidden="1" x14ac:dyDescent="0.25">
      <c r="A898">
        <v>2517</v>
      </c>
      <c r="B898" t="s">
        <v>2491</v>
      </c>
      <c r="C898" t="s">
        <v>1936</v>
      </c>
      <c r="D898" t="s">
        <v>3575</v>
      </c>
      <c r="F898">
        <v>405</v>
      </c>
      <c r="G898">
        <v>96</v>
      </c>
      <c r="H898" t="s">
        <v>789</v>
      </c>
      <c r="I898" t="s">
        <v>2257</v>
      </c>
      <c r="J898">
        <v>2847000</v>
      </c>
      <c r="K898">
        <v>2025</v>
      </c>
      <c r="L898">
        <v>1036397207</v>
      </c>
      <c r="M898" t="s">
        <v>3779</v>
      </c>
      <c r="N898" t="s">
        <v>1688</v>
      </c>
      <c r="O898" t="s">
        <v>1686</v>
      </c>
      <c r="P898">
        <v>0</v>
      </c>
      <c r="Q898">
        <v>2847000</v>
      </c>
      <c r="R898">
        <v>0</v>
      </c>
      <c r="S898">
        <v>0</v>
      </c>
      <c r="T898" t="str">
        <f t="shared" ref="T898:T961" si="28">IF(A898&gt;=0,CONCATENATE(A898,H898),"")</f>
        <v>25172.43.4302.85.0-101024.2.3.3.08.06.</v>
      </c>
      <c r="U898" t="e" cm="1">
        <f t="array" aca="1" ref="U898" ca="1">+IF(COMPROMISOS_2025[[#This Row],[P]]="20","41080111",_xlfn.XLOOKUP(COMPROMISOS_2025[[#This Row],[concatenado]],PAA[[#All],[RCP-RUBRO]],PAA[[#All],[INDICADOR]],"",0))</f>
        <v>#NAME?</v>
      </c>
      <c r="V898" s="144" t="str">
        <f t="shared" ref="V898:V961" si="29">+MID(H898,11,2)</f>
        <v>85</v>
      </c>
      <c r="W898" s="136">
        <f>+COMPROMISOS_2025[[#This Row],[valor_total]]-COMPROMISOS_2025[[#This Row],[total_cancelado]]</f>
        <v>2847000</v>
      </c>
      <c r="X898" s="136">
        <f>COMPROMISOS_2025[[#This Row],[total_ordenes]]</f>
        <v>2847000</v>
      </c>
      <c r="Y898" t="str" cm="1">
        <f t="array" aca="1" ref="Y898" ca="1">IFERROR(_xlfn.XLOOKUP(COMPROMISOS_2025[[#This Row],[concatenado]],PAA[[#All],[RCP-RUBRO]],PAA[[#All],[Actividad3]],VLOOKUP(COMPROMISOS_2025[[#This Row],[Indicador Principal]],$AC$2:$AD$17,2,0),0),"")</f>
        <v/>
      </c>
    </row>
    <row r="899" spans="1:25" hidden="1" x14ac:dyDescent="0.25">
      <c r="A899">
        <v>2519</v>
      </c>
      <c r="B899" t="s">
        <v>2491</v>
      </c>
      <c r="C899" t="s">
        <v>1936</v>
      </c>
      <c r="D899" t="s">
        <v>3575</v>
      </c>
      <c r="F899">
        <v>405</v>
      </c>
      <c r="G899">
        <v>96</v>
      </c>
      <c r="H899" t="s">
        <v>789</v>
      </c>
      <c r="I899" t="s">
        <v>2257</v>
      </c>
      <c r="J899">
        <v>1423500</v>
      </c>
      <c r="K899">
        <v>2025</v>
      </c>
      <c r="L899">
        <v>1036403491</v>
      </c>
      <c r="M899" t="s">
        <v>3780</v>
      </c>
      <c r="N899" t="s">
        <v>1688</v>
      </c>
      <c r="O899" t="s">
        <v>1686</v>
      </c>
      <c r="P899">
        <v>0</v>
      </c>
      <c r="Q899">
        <v>1423500</v>
      </c>
      <c r="R899">
        <v>0</v>
      </c>
      <c r="S899">
        <v>0</v>
      </c>
      <c r="T899" t="str">
        <f t="shared" si="28"/>
        <v>25192.43.4302.85.0-101024.2.3.3.08.06.</v>
      </c>
      <c r="U899" t="e" cm="1">
        <f t="array" aca="1" ref="U899" ca="1">+IF(COMPROMISOS_2025[[#This Row],[P]]="20","41080111",_xlfn.XLOOKUP(COMPROMISOS_2025[[#This Row],[concatenado]],PAA[[#All],[RCP-RUBRO]],PAA[[#All],[INDICADOR]],"",0))</f>
        <v>#NAME?</v>
      </c>
      <c r="V899" s="144" t="str">
        <f t="shared" si="29"/>
        <v>85</v>
      </c>
      <c r="W899" s="136">
        <f>+COMPROMISOS_2025[[#This Row],[valor_total]]-COMPROMISOS_2025[[#This Row],[total_cancelado]]</f>
        <v>1423500</v>
      </c>
      <c r="X899" s="136">
        <f>COMPROMISOS_2025[[#This Row],[total_ordenes]]</f>
        <v>1423500</v>
      </c>
      <c r="Y899" t="str" cm="1">
        <f t="array" aca="1" ref="Y899" ca="1">IFERROR(_xlfn.XLOOKUP(COMPROMISOS_2025[[#This Row],[concatenado]],PAA[[#All],[RCP-RUBRO]],PAA[[#All],[Actividad3]],VLOOKUP(COMPROMISOS_2025[[#This Row],[Indicador Principal]],$AC$2:$AD$17,2,0),0),"")</f>
        <v/>
      </c>
    </row>
    <row r="900" spans="1:25" hidden="1" x14ac:dyDescent="0.25">
      <c r="A900">
        <v>2522</v>
      </c>
      <c r="B900" t="s">
        <v>2491</v>
      </c>
      <c r="C900" t="s">
        <v>1936</v>
      </c>
      <c r="D900" t="s">
        <v>3575</v>
      </c>
      <c r="F900">
        <v>405</v>
      </c>
      <c r="G900">
        <v>96</v>
      </c>
      <c r="H900" t="s">
        <v>789</v>
      </c>
      <c r="I900" t="s">
        <v>2257</v>
      </c>
      <c r="J900">
        <v>1067625</v>
      </c>
      <c r="K900">
        <v>2025</v>
      </c>
      <c r="L900">
        <v>1036452388</v>
      </c>
      <c r="M900" t="s">
        <v>3781</v>
      </c>
      <c r="N900" t="s">
        <v>1688</v>
      </c>
      <c r="O900" t="s">
        <v>1686</v>
      </c>
      <c r="P900">
        <v>0</v>
      </c>
      <c r="Q900">
        <v>1067625</v>
      </c>
      <c r="R900">
        <v>0</v>
      </c>
      <c r="S900">
        <v>0</v>
      </c>
      <c r="T900" t="str">
        <f t="shared" si="28"/>
        <v>25222.43.4302.85.0-101024.2.3.3.08.06.</v>
      </c>
      <c r="U900" t="e" cm="1">
        <f t="array" aca="1" ref="U900" ca="1">+IF(COMPROMISOS_2025[[#This Row],[P]]="20","41080111",_xlfn.XLOOKUP(COMPROMISOS_2025[[#This Row],[concatenado]],PAA[[#All],[RCP-RUBRO]],PAA[[#All],[INDICADOR]],"",0))</f>
        <v>#NAME?</v>
      </c>
      <c r="V900" s="144" t="str">
        <f t="shared" si="29"/>
        <v>85</v>
      </c>
      <c r="W900" s="136">
        <f>+COMPROMISOS_2025[[#This Row],[valor_total]]-COMPROMISOS_2025[[#This Row],[total_cancelado]]</f>
        <v>1067625</v>
      </c>
      <c r="X900" s="136">
        <f>COMPROMISOS_2025[[#This Row],[total_ordenes]]</f>
        <v>1067625</v>
      </c>
      <c r="Y900" t="str" cm="1">
        <f t="array" aca="1" ref="Y900" ca="1">IFERROR(_xlfn.XLOOKUP(COMPROMISOS_2025[[#This Row],[concatenado]],PAA[[#All],[RCP-RUBRO]],PAA[[#All],[Actividad3]],VLOOKUP(COMPROMISOS_2025[[#This Row],[Indicador Principal]],$AC$2:$AD$17,2,0),0),"")</f>
        <v/>
      </c>
    </row>
    <row r="901" spans="1:25" hidden="1" x14ac:dyDescent="0.25">
      <c r="A901">
        <v>2525</v>
      </c>
      <c r="B901" t="s">
        <v>2491</v>
      </c>
      <c r="C901" t="s">
        <v>1936</v>
      </c>
      <c r="D901" t="s">
        <v>3575</v>
      </c>
      <c r="F901">
        <v>405</v>
      </c>
      <c r="G901">
        <v>96</v>
      </c>
      <c r="H901" t="s">
        <v>789</v>
      </c>
      <c r="I901" t="s">
        <v>2257</v>
      </c>
      <c r="J901">
        <v>711750</v>
      </c>
      <c r="K901">
        <v>2025</v>
      </c>
      <c r="L901">
        <v>1036631617</v>
      </c>
      <c r="M901" t="s">
        <v>3782</v>
      </c>
      <c r="N901" t="s">
        <v>1688</v>
      </c>
      <c r="O901" t="s">
        <v>1686</v>
      </c>
      <c r="P901">
        <v>0</v>
      </c>
      <c r="Q901">
        <v>711750</v>
      </c>
      <c r="R901">
        <v>0</v>
      </c>
      <c r="S901">
        <v>0</v>
      </c>
      <c r="T901" t="str">
        <f t="shared" si="28"/>
        <v>25252.43.4302.85.0-101024.2.3.3.08.06.</v>
      </c>
      <c r="U901" t="e" cm="1">
        <f t="array" aca="1" ref="U901" ca="1">+IF(COMPROMISOS_2025[[#This Row],[P]]="20","41080111",_xlfn.XLOOKUP(COMPROMISOS_2025[[#This Row],[concatenado]],PAA[[#All],[RCP-RUBRO]],PAA[[#All],[INDICADOR]],"",0))</f>
        <v>#NAME?</v>
      </c>
      <c r="V901" s="144" t="str">
        <f t="shared" si="29"/>
        <v>85</v>
      </c>
      <c r="W901" s="136">
        <f>+COMPROMISOS_2025[[#This Row],[valor_total]]-COMPROMISOS_2025[[#This Row],[total_cancelado]]</f>
        <v>711750</v>
      </c>
      <c r="X901" s="136">
        <f>COMPROMISOS_2025[[#This Row],[total_ordenes]]</f>
        <v>711750</v>
      </c>
      <c r="Y901" t="str" cm="1">
        <f t="array" aca="1" ref="Y901" ca="1">IFERROR(_xlfn.XLOOKUP(COMPROMISOS_2025[[#This Row],[concatenado]],PAA[[#All],[RCP-RUBRO]],PAA[[#All],[Actividad3]],VLOOKUP(COMPROMISOS_2025[[#This Row],[Indicador Principal]],$AC$2:$AD$17,2,0),0),"")</f>
        <v/>
      </c>
    </row>
    <row r="902" spans="1:25" hidden="1" x14ac:dyDescent="0.25">
      <c r="A902">
        <v>2528</v>
      </c>
      <c r="B902" t="s">
        <v>2491</v>
      </c>
      <c r="C902" t="s">
        <v>1936</v>
      </c>
      <c r="D902" t="s">
        <v>3575</v>
      </c>
      <c r="F902">
        <v>405</v>
      </c>
      <c r="G902">
        <v>96</v>
      </c>
      <c r="H902" t="s">
        <v>789</v>
      </c>
      <c r="I902" t="s">
        <v>2257</v>
      </c>
      <c r="J902">
        <v>695472</v>
      </c>
      <c r="K902">
        <v>2025</v>
      </c>
      <c r="L902">
        <v>1036660005</v>
      </c>
      <c r="M902" t="s">
        <v>3783</v>
      </c>
      <c r="N902" t="s">
        <v>1688</v>
      </c>
      <c r="O902" t="s">
        <v>1686</v>
      </c>
      <c r="P902">
        <v>0</v>
      </c>
      <c r="Q902">
        <v>695472</v>
      </c>
      <c r="R902">
        <v>0</v>
      </c>
      <c r="S902">
        <v>0</v>
      </c>
      <c r="T902" t="str">
        <f t="shared" si="28"/>
        <v>25282.43.4302.85.0-101024.2.3.3.08.06.</v>
      </c>
      <c r="U902" t="e" cm="1">
        <f t="array" aca="1" ref="U902" ca="1">+IF(COMPROMISOS_2025[[#This Row],[P]]="20","41080111",_xlfn.XLOOKUP(COMPROMISOS_2025[[#This Row],[concatenado]],PAA[[#All],[RCP-RUBRO]],PAA[[#All],[INDICADOR]],"",0))</f>
        <v>#NAME?</v>
      </c>
      <c r="V902" s="144" t="str">
        <f t="shared" si="29"/>
        <v>85</v>
      </c>
      <c r="W902" s="136">
        <f>+COMPROMISOS_2025[[#This Row],[valor_total]]-COMPROMISOS_2025[[#This Row],[total_cancelado]]</f>
        <v>695472</v>
      </c>
      <c r="X902" s="136">
        <f>COMPROMISOS_2025[[#This Row],[total_ordenes]]</f>
        <v>695472</v>
      </c>
      <c r="Y902" t="str" cm="1">
        <f t="array" aca="1" ref="Y902" ca="1">IFERROR(_xlfn.XLOOKUP(COMPROMISOS_2025[[#This Row],[concatenado]],PAA[[#All],[RCP-RUBRO]],PAA[[#All],[Actividad3]],VLOOKUP(COMPROMISOS_2025[[#This Row],[Indicador Principal]],$AC$2:$AD$17,2,0),0),"")</f>
        <v/>
      </c>
    </row>
    <row r="903" spans="1:25" hidden="1" x14ac:dyDescent="0.25">
      <c r="A903">
        <v>2529</v>
      </c>
      <c r="B903" t="s">
        <v>2491</v>
      </c>
      <c r="C903" t="s">
        <v>1936</v>
      </c>
      <c r="D903" t="s">
        <v>3575</v>
      </c>
      <c r="F903">
        <v>405</v>
      </c>
      <c r="G903">
        <v>96</v>
      </c>
      <c r="H903" t="s">
        <v>789</v>
      </c>
      <c r="I903" t="s">
        <v>2257</v>
      </c>
      <c r="J903">
        <v>711750</v>
      </c>
      <c r="K903">
        <v>2025</v>
      </c>
      <c r="L903">
        <v>1036663651</v>
      </c>
      <c r="M903" t="s">
        <v>3784</v>
      </c>
      <c r="N903" t="s">
        <v>1688</v>
      </c>
      <c r="O903" t="s">
        <v>1686</v>
      </c>
      <c r="P903">
        <v>0</v>
      </c>
      <c r="Q903">
        <v>711750</v>
      </c>
      <c r="R903">
        <v>0</v>
      </c>
      <c r="S903">
        <v>0</v>
      </c>
      <c r="T903" t="str">
        <f t="shared" si="28"/>
        <v>25292.43.4302.85.0-101024.2.3.3.08.06.</v>
      </c>
      <c r="U903" t="e" cm="1">
        <f t="array" aca="1" ref="U903" ca="1">+IF(COMPROMISOS_2025[[#This Row],[P]]="20","41080111",_xlfn.XLOOKUP(COMPROMISOS_2025[[#This Row],[concatenado]],PAA[[#All],[RCP-RUBRO]],PAA[[#All],[INDICADOR]],"",0))</f>
        <v>#NAME?</v>
      </c>
      <c r="V903" s="144" t="str">
        <f t="shared" si="29"/>
        <v>85</v>
      </c>
      <c r="W903" s="136">
        <f>+COMPROMISOS_2025[[#This Row],[valor_total]]-COMPROMISOS_2025[[#This Row],[total_cancelado]]</f>
        <v>711750</v>
      </c>
      <c r="X903" s="136">
        <f>COMPROMISOS_2025[[#This Row],[total_ordenes]]</f>
        <v>711750</v>
      </c>
      <c r="Y903" t="str" cm="1">
        <f t="array" aca="1" ref="Y903" ca="1">IFERROR(_xlfn.XLOOKUP(COMPROMISOS_2025[[#This Row],[concatenado]],PAA[[#All],[RCP-RUBRO]],PAA[[#All],[Actividad3]],VLOOKUP(COMPROMISOS_2025[[#This Row],[Indicador Principal]],$AC$2:$AD$17,2,0),0),"")</f>
        <v/>
      </c>
    </row>
    <row r="904" spans="1:25" hidden="1" x14ac:dyDescent="0.25">
      <c r="A904">
        <v>2541</v>
      </c>
      <c r="B904" t="s">
        <v>2491</v>
      </c>
      <c r="C904" t="s">
        <v>1936</v>
      </c>
      <c r="D904" t="s">
        <v>3575</v>
      </c>
      <c r="F904">
        <v>405</v>
      </c>
      <c r="G904">
        <v>96</v>
      </c>
      <c r="H904" t="s">
        <v>789</v>
      </c>
      <c r="I904" t="s">
        <v>2257</v>
      </c>
      <c r="J904">
        <v>711750</v>
      </c>
      <c r="K904">
        <v>2025</v>
      </c>
      <c r="L904">
        <v>1036931924</v>
      </c>
      <c r="M904" t="s">
        <v>3785</v>
      </c>
      <c r="N904" t="s">
        <v>1688</v>
      </c>
      <c r="O904" t="s">
        <v>1686</v>
      </c>
      <c r="P904">
        <v>0</v>
      </c>
      <c r="Q904">
        <v>711750</v>
      </c>
      <c r="R904">
        <v>0</v>
      </c>
      <c r="S904">
        <v>0</v>
      </c>
      <c r="T904" t="str">
        <f t="shared" si="28"/>
        <v>25412.43.4302.85.0-101024.2.3.3.08.06.</v>
      </c>
      <c r="U904" t="e" cm="1">
        <f t="array" aca="1" ref="U904" ca="1">+IF(COMPROMISOS_2025[[#This Row],[P]]="20","41080111",_xlfn.XLOOKUP(COMPROMISOS_2025[[#This Row],[concatenado]],PAA[[#All],[RCP-RUBRO]],PAA[[#All],[INDICADOR]],"",0))</f>
        <v>#NAME?</v>
      </c>
      <c r="V904" s="144" t="str">
        <f t="shared" si="29"/>
        <v>85</v>
      </c>
      <c r="W904" s="136">
        <f>+COMPROMISOS_2025[[#This Row],[valor_total]]-COMPROMISOS_2025[[#This Row],[total_cancelado]]</f>
        <v>711750</v>
      </c>
      <c r="X904" s="136">
        <f>COMPROMISOS_2025[[#This Row],[total_ordenes]]</f>
        <v>711750</v>
      </c>
      <c r="Y904" t="str" cm="1">
        <f t="array" aca="1" ref="Y904" ca="1">IFERROR(_xlfn.XLOOKUP(COMPROMISOS_2025[[#This Row],[concatenado]],PAA[[#All],[RCP-RUBRO]],PAA[[#All],[Actividad3]],VLOOKUP(COMPROMISOS_2025[[#This Row],[Indicador Principal]],$AC$2:$AD$17,2,0),0),"")</f>
        <v/>
      </c>
    </row>
    <row r="905" spans="1:25" hidden="1" x14ac:dyDescent="0.25">
      <c r="A905">
        <v>2542</v>
      </c>
      <c r="B905" t="s">
        <v>2491</v>
      </c>
      <c r="C905" t="s">
        <v>1936</v>
      </c>
      <c r="D905" t="s">
        <v>3575</v>
      </c>
      <c r="F905">
        <v>405</v>
      </c>
      <c r="G905">
        <v>96</v>
      </c>
      <c r="H905" t="s">
        <v>789</v>
      </c>
      <c r="I905" t="s">
        <v>2257</v>
      </c>
      <c r="J905">
        <v>711750</v>
      </c>
      <c r="K905">
        <v>2025</v>
      </c>
      <c r="L905">
        <v>1036934809</v>
      </c>
      <c r="M905" t="s">
        <v>3786</v>
      </c>
      <c r="N905" t="s">
        <v>1688</v>
      </c>
      <c r="O905" t="s">
        <v>1686</v>
      </c>
      <c r="P905">
        <v>0</v>
      </c>
      <c r="Q905">
        <v>711750</v>
      </c>
      <c r="R905">
        <v>0</v>
      </c>
      <c r="S905">
        <v>0</v>
      </c>
      <c r="T905" t="str">
        <f t="shared" si="28"/>
        <v>25422.43.4302.85.0-101024.2.3.3.08.06.</v>
      </c>
      <c r="U905" t="e" cm="1">
        <f t="array" aca="1" ref="U905" ca="1">+IF(COMPROMISOS_2025[[#This Row],[P]]="20","41080111",_xlfn.XLOOKUP(COMPROMISOS_2025[[#This Row],[concatenado]],PAA[[#All],[RCP-RUBRO]],PAA[[#All],[INDICADOR]],"",0))</f>
        <v>#NAME?</v>
      </c>
      <c r="V905" s="144" t="str">
        <f t="shared" si="29"/>
        <v>85</v>
      </c>
      <c r="W905" s="136">
        <f>+COMPROMISOS_2025[[#This Row],[valor_total]]-COMPROMISOS_2025[[#This Row],[total_cancelado]]</f>
        <v>711750</v>
      </c>
      <c r="X905" s="136">
        <f>COMPROMISOS_2025[[#This Row],[total_ordenes]]</f>
        <v>711750</v>
      </c>
      <c r="Y905" t="str" cm="1">
        <f t="array" aca="1" ref="Y905" ca="1">IFERROR(_xlfn.XLOOKUP(COMPROMISOS_2025[[#This Row],[concatenado]],PAA[[#All],[RCP-RUBRO]],PAA[[#All],[Actividad3]],VLOOKUP(COMPROMISOS_2025[[#This Row],[Indicador Principal]],$AC$2:$AD$17,2,0),0),"")</f>
        <v/>
      </c>
    </row>
    <row r="906" spans="1:25" hidden="1" x14ac:dyDescent="0.25">
      <c r="A906">
        <v>2543</v>
      </c>
      <c r="B906" t="s">
        <v>2491</v>
      </c>
      <c r="C906" t="s">
        <v>1936</v>
      </c>
      <c r="D906" t="s">
        <v>3575</v>
      </c>
      <c r="F906">
        <v>405</v>
      </c>
      <c r="G906">
        <v>96</v>
      </c>
      <c r="H906" t="s">
        <v>789</v>
      </c>
      <c r="I906" t="s">
        <v>2257</v>
      </c>
      <c r="J906">
        <v>711750</v>
      </c>
      <c r="K906">
        <v>2025</v>
      </c>
      <c r="L906">
        <v>1036939815</v>
      </c>
      <c r="M906" t="s">
        <v>3787</v>
      </c>
      <c r="N906" t="s">
        <v>1688</v>
      </c>
      <c r="O906" t="s">
        <v>1686</v>
      </c>
      <c r="P906">
        <v>0</v>
      </c>
      <c r="Q906">
        <v>711750</v>
      </c>
      <c r="R906">
        <v>0</v>
      </c>
      <c r="S906">
        <v>0</v>
      </c>
      <c r="T906" t="str">
        <f t="shared" si="28"/>
        <v>25432.43.4302.85.0-101024.2.3.3.08.06.</v>
      </c>
      <c r="U906" t="e" cm="1">
        <f t="array" aca="1" ref="U906" ca="1">+IF(COMPROMISOS_2025[[#This Row],[P]]="20","41080111",_xlfn.XLOOKUP(COMPROMISOS_2025[[#This Row],[concatenado]],PAA[[#All],[RCP-RUBRO]],PAA[[#All],[INDICADOR]],"",0))</f>
        <v>#NAME?</v>
      </c>
      <c r="V906" s="144" t="str">
        <f t="shared" si="29"/>
        <v>85</v>
      </c>
      <c r="W906" s="136">
        <f>+COMPROMISOS_2025[[#This Row],[valor_total]]-COMPROMISOS_2025[[#This Row],[total_cancelado]]</f>
        <v>711750</v>
      </c>
      <c r="X906" s="136">
        <f>COMPROMISOS_2025[[#This Row],[total_ordenes]]</f>
        <v>711750</v>
      </c>
      <c r="Y906" t="str" cm="1">
        <f t="array" aca="1" ref="Y906" ca="1">IFERROR(_xlfn.XLOOKUP(COMPROMISOS_2025[[#This Row],[concatenado]],PAA[[#All],[RCP-RUBRO]],PAA[[#All],[Actividad3]],VLOOKUP(COMPROMISOS_2025[[#This Row],[Indicador Principal]],$AC$2:$AD$17,2,0),0),"")</f>
        <v/>
      </c>
    </row>
    <row r="907" spans="1:25" hidden="1" x14ac:dyDescent="0.25">
      <c r="A907">
        <v>2544</v>
      </c>
      <c r="B907" t="s">
        <v>2491</v>
      </c>
      <c r="C907" t="s">
        <v>1936</v>
      </c>
      <c r="D907" t="s">
        <v>3575</v>
      </c>
      <c r="F907">
        <v>405</v>
      </c>
      <c r="G907">
        <v>96</v>
      </c>
      <c r="H907" t="s">
        <v>789</v>
      </c>
      <c r="I907" t="s">
        <v>2257</v>
      </c>
      <c r="J907">
        <v>711750</v>
      </c>
      <c r="K907">
        <v>2025</v>
      </c>
      <c r="L907">
        <v>1036944154</v>
      </c>
      <c r="M907" t="s">
        <v>3788</v>
      </c>
      <c r="N907" t="s">
        <v>1688</v>
      </c>
      <c r="O907" t="s">
        <v>1686</v>
      </c>
      <c r="P907">
        <v>0</v>
      </c>
      <c r="Q907">
        <v>711750</v>
      </c>
      <c r="R907">
        <v>0</v>
      </c>
      <c r="S907">
        <v>0</v>
      </c>
      <c r="T907" t="str">
        <f t="shared" si="28"/>
        <v>25442.43.4302.85.0-101024.2.3.3.08.06.</v>
      </c>
      <c r="U907" t="e" cm="1">
        <f t="array" aca="1" ref="U907" ca="1">+IF(COMPROMISOS_2025[[#This Row],[P]]="20","41080111",_xlfn.XLOOKUP(COMPROMISOS_2025[[#This Row],[concatenado]],PAA[[#All],[RCP-RUBRO]],PAA[[#All],[INDICADOR]],"",0))</f>
        <v>#NAME?</v>
      </c>
      <c r="V907" s="144" t="str">
        <f t="shared" si="29"/>
        <v>85</v>
      </c>
      <c r="W907" s="136">
        <f>+COMPROMISOS_2025[[#This Row],[valor_total]]-COMPROMISOS_2025[[#This Row],[total_cancelado]]</f>
        <v>711750</v>
      </c>
      <c r="X907" s="136">
        <f>COMPROMISOS_2025[[#This Row],[total_ordenes]]</f>
        <v>711750</v>
      </c>
      <c r="Y907" t="str" cm="1">
        <f t="array" aca="1" ref="Y907" ca="1">IFERROR(_xlfn.XLOOKUP(COMPROMISOS_2025[[#This Row],[concatenado]],PAA[[#All],[RCP-RUBRO]],PAA[[#All],[Actividad3]],VLOOKUP(COMPROMISOS_2025[[#This Row],[Indicador Principal]],$AC$2:$AD$17,2,0),0),"")</f>
        <v/>
      </c>
    </row>
    <row r="908" spans="1:25" hidden="1" x14ac:dyDescent="0.25">
      <c r="A908">
        <v>2547</v>
      </c>
      <c r="B908" t="s">
        <v>2491</v>
      </c>
      <c r="C908" t="s">
        <v>1936</v>
      </c>
      <c r="D908" t="s">
        <v>3575</v>
      </c>
      <c r="F908">
        <v>405</v>
      </c>
      <c r="G908">
        <v>96</v>
      </c>
      <c r="H908" t="s">
        <v>789</v>
      </c>
      <c r="I908" t="s">
        <v>2257</v>
      </c>
      <c r="J908">
        <v>2847000</v>
      </c>
      <c r="K908">
        <v>2025</v>
      </c>
      <c r="L908">
        <v>1036960447</v>
      </c>
      <c r="M908" t="s">
        <v>3789</v>
      </c>
      <c r="N908" t="s">
        <v>1688</v>
      </c>
      <c r="O908" t="s">
        <v>1686</v>
      </c>
      <c r="P908">
        <v>0</v>
      </c>
      <c r="Q908">
        <v>2847000</v>
      </c>
      <c r="R908">
        <v>0</v>
      </c>
      <c r="S908">
        <v>0</v>
      </c>
      <c r="T908" t="str">
        <f t="shared" si="28"/>
        <v>25472.43.4302.85.0-101024.2.3.3.08.06.</v>
      </c>
      <c r="U908" t="e" cm="1">
        <f t="array" aca="1" ref="U908" ca="1">+IF(COMPROMISOS_2025[[#This Row],[P]]="20","41080111",_xlfn.XLOOKUP(COMPROMISOS_2025[[#This Row],[concatenado]],PAA[[#All],[RCP-RUBRO]],PAA[[#All],[INDICADOR]],"",0))</f>
        <v>#NAME?</v>
      </c>
      <c r="V908" s="144" t="str">
        <f t="shared" si="29"/>
        <v>85</v>
      </c>
      <c r="W908" s="136">
        <f>+COMPROMISOS_2025[[#This Row],[valor_total]]-COMPROMISOS_2025[[#This Row],[total_cancelado]]</f>
        <v>2847000</v>
      </c>
      <c r="X908" s="136">
        <f>COMPROMISOS_2025[[#This Row],[total_ordenes]]</f>
        <v>2847000</v>
      </c>
      <c r="Y908" t="str" cm="1">
        <f t="array" aca="1" ref="Y908" ca="1">IFERROR(_xlfn.XLOOKUP(COMPROMISOS_2025[[#This Row],[concatenado]],PAA[[#All],[RCP-RUBRO]],PAA[[#All],[Actividad3]],VLOOKUP(COMPROMISOS_2025[[#This Row],[Indicador Principal]],$AC$2:$AD$17,2,0),0),"")</f>
        <v/>
      </c>
    </row>
    <row r="909" spans="1:25" hidden="1" x14ac:dyDescent="0.25">
      <c r="A909">
        <v>2551</v>
      </c>
      <c r="B909" t="s">
        <v>2491</v>
      </c>
      <c r="C909" t="s">
        <v>1936</v>
      </c>
      <c r="D909" t="s">
        <v>3575</v>
      </c>
      <c r="F909">
        <v>405</v>
      </c>
      <c r="G909">
        <v>96</v>
      </c>
      <c r="H909" t="s">
        <v>789</v>
      </c>
      <c r="I909" t="s">
        <v>2257</v>
      </c>
      <c r="J909">
        <v>1067625</v>
      </c>
      <c r="K909">
        <v>2025</v>
      </c>
      <c r="L909">
        <v>1037123958</v>
      </c>
      <c r="M909" t="s">
        <v>3790</v>
      </c>
      <c r="N909" t="s">
        <v>1688</v>
      </c>
      <c r="O909" t="s">
        <v>1686</v>
      </c>
      <c r="P909">
        <v>0</v>
      </c>
      <c r="Q909">
        <v>1067625</v>
      </c>
      <c r="R909">
        <v>0</v>
      </c>
      <c r="S909">
        <v>0</v>
      </c>
      <c r="T909" t="str">
        <f t="shared" si="28"/>
        <v>25512.43.4302.85.0-101024.2.3.3.08.06.</v>
      </c>
      <c r="U909" t="e" cm="1">
        <f t="array" aca="1" ref="U909" ca="1">+IF(COMPROMISOS_2025[[#This Row],[P]]="20","41080111",_xlfn.XLOOKUP(COMPROMISOS_2025[[#This Row],[concatenado]],PAA[[#All],[RCP-RUBRO]],PAA[[#All],[INDICADOR]],"",0))</f>
        <v>#NAME?</v>
      </c>
      <c r="V909" s="144" t="str">
        <f t="shared" si="29"/>
        <v>85</v>
      </c>
      <c r="W909" s="136">
        <f>+COMPROMISOS_2025[[#This Row],[valor_total]]-COMPROMISOS_2025[[#This Row],[total_cancelado]]</f>
        <v>1067625</v>
      </c>
      <c r="X909" s="136">
        <f>COMPROMISOS_2025[[#This Row],[total_ordenes]]</f>
        <v>1067625</v>
      </c>
      <c r="Y909" t="str" cm="1">
        <f t="array" aca="1" ref="Y909" ca="1">IFERROR(_xlfn.XLOOKUP(COMPROMISOS_2025[[#This Row],[concatenado]],PAA[[#All],[RCP-RUBRO]],PAA[[#All],[Actividad3]],VLOOKUP(COMPROMISOS_2025[[#This Row],[Indicador Principal]],$AC$2:$AD$17,2,0),0),"")</f>
        <v/>
      </c>
    </row>
    <row r="910" spans="1:25" hidden="1" x14ac:dyDescent="0.25">
      <c r="A910">
        <v>2552</v>
      </c>
      <c r="B910" t="s">
        <v>2491</v>
      </c>
      <c r="C910" t="s">
        <v>1936</v>
      </c>
      <c r="D910" t="s">
        <v>3575</v>
      </c>
      <c r="F910">
        <v>405</v>
      </c>
      <c r="G910">
        <v>96</v>
      </c>
      <c r="H910" t="s">
        <v>789</v>
      </c>
      <c r="I910" t="s">
        <v>2257</v>
      </c>
      <c r="J910">
        <v>6405750</v>
      </c>
      <c r="K910">
        <v>2025</v>
      </c>
      <c r="L910">
        <v>1037237413</v>
      </c>
      <c r="M910" t="s">
        <v>3791</v>
      </c>
      <c r="N910" t="s">
        <v>1688</v>
      </c>
      <c r="O910" t="s">
        <v>1686</v>
      </c>
      <c r="P910">
        <v>0</v>
      </c>
      <c r="Q910">
        <v>6405750</v>
      </c>
      <c r="R910">
        <v>0</v>
      </c>
      <c r="S910">
        <v>0</v>
      </c>
      <c r="T910" t="str">
        <f t="shared" si="28"/>
        <v>25522.43.4302.85.0-101024.2.3.3.08.06.</v>
      </c>
      <c r="U910" t="e" cm="1">
        <f t="array" aca="1" ref="U910" ca="1">+IF(COMPROMISOS_2025[[#This Row],[P]]="20","41080111",_xlfn.XLOOKUP(COMPROMISOS_2025[[#This Row],[concatenado]],PAA[[#All],[RCP-RUBRO]],PAA[[#All],[INDICADOR]],"",0))</f>
        <v>#NAME?</v>
      </c>
      <c r="V910" s="144" t="str">
        <f t="shared" si="29"/>
        <v>85</v>
      </c>
      <c r="W910" s="136">
        <f>+COMPROMISOS_2025[[#This Row],[valor_total]]-COMPROMISOS_2025[[#This Row],[total_cancelado]]</f>
        <v>6405750</v>
      </c>
      <c r="X910" s="136">
        <f>COMPROMISOS_2025[[#This Row],[total_ordenes]]</f>
        <v>6405750</v>
      </c>
      <c r="Y910" t="str" cm="1">
        <f t="array" aca="1" ref="Y910" ca="1">IFERROR(_xlfn.XLOOKUP(COMPROMISOS_2025[[#This Row],[concatenado]],PAA[[#All],[RCP-RUBRO]],PAA[[#All],[Actividad3]],VLOOKUP(COMPROMISOS_2025[[#This Row],[Indicador Principal]],$AC$2:$AD$17,2,0),0),"")</f>
        <v/>
      </c>
    </row>
    <row r="911" spans="1:25" hidden="1" x14ac:dyDescent="0.25">
      <c r="A911">
        <v>2553</v>
      </c>
      <c r="B911" t="s">
        <v>2491</v>
      </c>
      <c r="C911" t="s">
        <v>1936</v>
      </c>
      <c r="D911" t="s">
        <v>3575</v>
      </c>
      <c r="F911">
        <v>405</v>
      </c>
      <c r="G911">
        <v>96</v>
      </c>
      <c r="H911" t="s">
        <v>789</v>
      </c>
      <c r="I911" t="s">
        <v>2257</v>
      </c>
      <c r="J911">
        <v>1067625</v>
      </c>
      <c r="K911">
        <v>2025</v>
      </c>
      <c r="L911">
        <v>1037237460</v>
      </c>
      <c r="M911" t="s">
        <v>3792</v>
      </c>
      <c r="N911" t="s">
        <v>1688</v>
      </c>
      <c r="O911" t="s">
        <v>1686</v>
      </c>
      <c r="P911">
        <v>0</v>
      </c>
      <c r="Q911">
        <v>1067625</v>
      </c>
      <c r="R911">
        <v>0</v>
      </c>
      <c r="S911">
        <v>0</v>
      </c>
      <c r="T911" t="str">
        <f t="shared" si="28"/>
        <v>25532.43.4302.85.0-101024.2.3.3.08.06.</v>
      </c>
      <c r="U911" t="e" cm="1">
        <f t="array" aca="1" ref="U911" ca="1">+IF(COMPROMISOS_2025[[#This Row],[P]]="20","41080111",_xlfn.XLOOKUP(COMPROMISOS_2025[[#This Row],[concatenado]],PAA[[#All],[RCP-RUBRO]],PAA[[#All],[INDICADOR]],"",0))</f>
        <v>#NAME?</v>
      </c>
      <c r="V911" s="144" t="str">
        <f t="shared" si="29"/>
        <v>85</v>
      </c>
      <c r="W911" s="136">
        <f>+COMPROMISOS_2025[[#This Row],[valor_total]]-COMPROMISOS_2025[[#This Row],[total_cancelado]]</f>
        <v>1067625</v>
      </c>
      <c r="X911" s="136">
        <f>COMPROMISOS_2025[[#This Row],[total_ordenes]]</f>
        <v>1067625</v>
      </c>
      <c r="Y911" t="str" cm="1">
        <f t="array" aca="1" ref="Y911" ca="1">IFERROR(_xlfn.XLOOKUP(COMPROMISOS_2025[[#This Row],[concatenado]],PAA[[#All],[RCP-RUBRO]],PAA[[#All],[Actividad3]],VLOOKUP(COMPROMISOS_2025[[#This Row],[Indicador Principal]],$AC$2:$AD$17,2,0),0),"")</f>
        <v/>
      </c>
    </row>
    <row r="912" spans="1:25" hidden="1" x14ac:dyDescent="0.25">
      <c r="A912">
        <v>2554</v>
      </c>
      <c r="B912" t="s">
        <v>2491</v>
      </c>
      <c r="C912" t="s">
        <v>1936</v>
      </c>
      <c r="D912" t="s">
        <v>3575</v>
      </c>
      <c r="F912">
        <v>405</v>
      </c>
      <c r="G912">
        <v>96</v>
      </c>
      <c r="H912" t="s">
        <v>789</v>
      </c>
      <c r="I912" t="s">
        <v>2257</v>
      </c>
      <c r="J912">
        <v>1067625</v>
      </c>
      <c r="K912">
        <v>2025</v>
      </c>
      <c r="L912">
        <v>1037238390</v>
      </c>
      <c r="M912" t="s">
        <v>3793</v>
      </c>
      <c r="N912" t="s">
        <v>1688</v>
      </c>
      <c r="O912" t="s">
        <v>1686</v>
      </c>
      <c r="P912">
        <v>0</v>
      </c>
      <c r="Q912">
        <v>1067625</v>
      </c>
      <c r="R912">
        <v>0</v>
      </c>
      <c r="S912">
        <v>0</v>
      </c>
      <c r="T912" t="str">
        <f t="shared" si="28"/>
        <v>25542.43.4302.85.0-101024.2.3.3.08.06.</v>
      </c>
      <c r="U912" t="e" cm="1">
        <f t="array" aca="1" ref="U912" ca="1">+IF(COMPROMISOS_2025[[#This Row],[P]]="20","41080111",_xlfn.XLOOKUP(COMPROMISOS_2025[[#This Row],[concatenado]],PAA[[#All],[RCP-RUBRO]],PAA[[#All],[INDICADOR]],"",0))</f>
        <v>#NAME?</v>
      </c>
      <c r="V912" s="144" t="str">
        <f t="shared" si="29"/>
        <v>85</v>
      </c>
      <c r="W912" s="136">
        <f>+COMPROMISOS_2025[[#This Row],[valor_total]]-COMPROMISOS_2025[[#This Row],[total_cancelado]]</f>
        <v>1067625</v>
      </c>
      <c r="X912" s="136">
        <f>COMPROMISOS_2025[[#This Row],[total_ordenes]]</f>
        <v>1067625</v>
      </c>
      <c r="Y912" t="str" cm="1">
        <f t="array" aca="1" ref="Y912" ca="1">IFERROR(_xlfn.XLOOKUP(COMPROMISOS_2025[[#This Row],[concatenado]],PAA[[#All],[RCP-RUBRO]],PAA[[#All],[Actividad3]],VLOOKUP(COMPROMISOS_2025[[#This Row],[Indicador Principal]],$AC$2:$AD$17,2,0),0),"")</f>
        <v/>
      </c>
    </row>
    <row r="913" spans="1:25" hidden="1" x14ac:dyDescent="0.25">
      <c r="A913">
        <v>2555</v>
      </c>
      <c r="B913" t="s">
        <v>2491</v>
      </c>
      <c r="C913" t="s">
        <v>1936</v>
      </c>
      <c r="D913" t="s">
        <v>3575</v>
      </c>
      <c r="F913">
        <v>405</v>
      </c>
      <c r="G913">
        <v>96</v>
      </c>
      <c r="H913" t="s">
        <v>789</v>
      </c>
      <c r="I913" t="s">
        <v>2257</v>
      </c>
      <c r="J913">
        <v>1067625</v>
      </c>
      <c r="K913">
        <v>2025</v>
      </c>
      <c r="L913">
        <v>1037469368</v>
      </c>
      <c r="M913" t="s">
        <v>3794</v>
      </c>
      <c r="N913" t="s">
        <v>1688</v>
      </c>
      <c r="O913" t="s">
        <v>1686</v>
      </c>
      <c r="P913">
        <v>0</v>
      </c>
      <c r="Q913">
        <v>1067625</v>
      </c>
      <c r="R913">
        <v>0</v>
      </c>
      <c r="S913">
        <v>0</v>
      </c>
      <c r="T913" t="str">
        <f t="shared" si="28"/>
        <v>25552.43.4302.85.0-101024.2.3.3.08.06.</v>
      </c>
      <c r="U913" t="e" cm="1">
        <f t="array" aca="1" ref="U913" ca="1">+IF(COMPROMISOS_2025[[#This Row],[P]]="20","41080111",_xlfn.XLOOKUP(COMPROMISOS_2025[[#This Row],[concatenado]],PAA[[#All],[RCP-RUBRO]],PAA[[#All],[INDICADOR]],"",0))</f>
        <v>#NAME?</v>
      </c>
      <c r="V913" s="144" t="str">
        <f t="shared" si="29"/>
        <v>85</v>
      </c>
      <c r="W913" s="136">
        <f>+COMPROMISOS_2025[[#This Row],[valor_total]]-COMPROMISOS_2025[[#This Row],[total_cancelado]]</f>
        <v>1067625</v>
      </c>
      <c r="X913" s="136">
        <f>COMPROMISOS_2025[[#This Row],[total_ordenes]]</f>
        <v>1067625</v>
      </c>
      <c r="Y913" t="str" cm="1">
        <f t="array" aca="1" ref="Y913" ca="1">IFERROR(_xlfn.XLOOKUP(COMPROMISOS_2025[[#This Row],[concatenado]],PAA[[#All],[RCP-RUBRO]],PAA[[#All],[Actividad3]],VLOOKUP(COMPROMISOS_2025[[#This Row],[Indicador Principal]],$AC$2:$AD$17,2,0),0),"")</f>
        <v/>
      </c>
    </row>
    <row r="914" spans="1:25" hidden="1" x14ac:dyDescent="0.25">
      <c r="A914">
        <v>2556</v>
      </c>
      <c r="B914" t="s">
        <v>2491</v>
      </c>
      <c r="C914" t="s">
        <v>1936</v>
      </c>
      <c r="D914" t="s">
        <v>3575</v>
      </c>
      <c r="F914">
        <v>405</v>
      </c>
      <c r="G914">
        <v>96</v>
      </c>
      <c r="H914" t="s">
        <v>789</v>
      </c>
      <c r="I914" t="s">
        <v>2257</v>
      </c>
      <c r="J914">
        <v>711750</v>
      </c>
      <c r="K914">
        <v>2025</v>
      </c>
      <c r="L914">
        <v>1037469938</v>
      </c>
      <c r="M914" t="s">
        <v>3795</v>
      </c>
      <c r="N914" t="s">
        <v>1688</v>
      </c>
      <c r="O914" t="s">
        <v>1686</v>
      </c>
      <c r="P914">
        <v>0</v>
      </c>
      <c r="Q914">
        <v>711750</v>
      </c>
      <c r="R914">
        <v>0</v>
      </c>
      <c r="S914">
        <v>0</v>
      </c>
      <c r="T914" t="str">
        <f t="shared" si="28"/>
        <v>25562.43.4302.85.0-101024.2.3.3.08.06.</v>
      </c>
      <c r="U914" t="e" cm="1">
        <f t="array" aca="1" ref="U914" ca="1">+IF(COMPROMISOS_2025[[#This Row],[P]]="20","41080111",_xlfn.XLOOKUP(COMPROMISOS_2025[[#This Row],[concatenado]],PAA[[#All],[RCP-RUBRO]],PAA[[#All],[INDICADOR]],"",0))</f>
        <v>#NAME?</v>
      </c>
      <c r="V914" s="144" t="str">
        <f t="shared" si="29"/>
        <v>85</v>
      </c>
      <c r="W914" s="136">
        <f>+COMPROMISOS_2025[[#This Row],[valor_total]]-COMPROMISOS_2025[[#This Row],[total_cancelado]]</f>
        <v>711750</v>
      </c>
      <c r="X914" s="136">
        <f>COMPROMISOS_2025[[#This Row],[total_ordenes]]</f>
        <v>711750</v>
      </c>
      <c r="Y914" t="str" cm="1">
        <f t="array" aca="1" ref="Y914" ca="1">IFERROR(_xlfn.XLOOKUP(COMPROMISOS_2025[[#This Row],[concatenado]],PAA[[#All],[RCP-RUBRO]],PAA[[#All],[Actividad3]],VLOOKUP(COMPROMISOS_2025[[#This Row],[Indicador Principal]],$AC$2:$AD$17,2,0),0),"")</f>
        <v/>
      </c>
    </row>
    <row r="915" spans="1:25" hidden="1" x14ac:dyDescent="0.25">
      <c r="A915">
        <v>2557</v>
      </c>
      <c r="B915" t="s">
        <v>2491</v>
      </c>
      <c r="C915" t="s">
        <v>1936</v>
      </c>
      <c r="D915" t="s">
        <v>3575</v>
      </c>
      <c r="F915">
        <v>405</v>
      </c>
      <c r="G915">
        <v>96</v>
      </c>
      <c r="H915" t="s">
        <v>789</v>
      </c>
      <c r="I915" t="s">
        <v>2257</v>
      </c>
      <c r="J915">
        <v>711750</v>
      </c>
      <c r="K915">
        <v>2025</v>
      </c>
      <c r="L915">
        <v>1037470069</v>
      </c>
      <c r="M915" t="s">
        <v>3796</v>
      </c>
      <c r="N915" t="s">
        <v>1688</v>
      </c>
      <c r="O915" t="s">
        <v>1686</v>
      </c>
      <c r="P915">
        <v>0</v>
      </c>
      <c r="Q915">
        <v>711750</v>
      </c>
      <c r="R915">
        <v>0</v>
      </c>
      <c r="S915">
        <v>0</v>
      </c>
      <c r="T915" t="str">
        <f t="shared" si="28"/>
        <v>25572.43.4302.85.0-101024.2.3.3.08.06.</v>
      </c>
      <c r="U915" t="e" cm="1">
        <f t="array" aca="1" ref="U915" ca="1">+IF(COMPROMISOS_2025[[#This Row],[P]]="20","41080111",_xlfn.XLOOKUP(COMPROMISOS_2025[[#This Row],[concatenado]],PAA[[#All],[RCP-RUBRO]],PAA[[#All],[INDICADOR]],"",0))</f>
        <v>#NAME?</v>
      </c>
      <c r="V915" s="144" t="str">
        <f t="shared" si="29"/>
        <v>85</v>
      </c>
      <c r="W915" s="136">
        <f>+COMPROMISOS_2025[[#This Row],[valor_total]]-COMPROMISOS_2025[[#This Row],[total_cancelado]]</f>
        <v>711750</v>
      </c>
      <c r="X915" s="136">
        <f>COMPROMISOS_2025[[#This Row],[total_ordenes]]</f>
        <v>711750</v>
      </c>
      <c r="Y915" t="str" cm="1">
        <f t="array" aca="1" ref="Y915" ca="1">IFERROR(_xlfn.XLOOKUP(COMPROMISOS_2025[[#This Row],[concatenado]],PAA[[#All],[RCP-RUBRO]],PAA[[#All],[Actividad3]],VLOOKUP(COMPROMISOS_2025[[#This Row],[Indicador Principal]],$AC$2:$AD$17,2,0),0),"")</f>
        <v/>
      </c>
    </row>
    <row r="916" spans="1:25" hidden="1" x14ac:dyDescent="0.25">
      <c r="A916">
        <v>2560</v>
      </c>
      <c r="B916" t="s">
        <v>2491</v>
      </c>
      <c r="C916" t="s">
        <v>1936</v>
      </c>
      <c r="D916" t="s">
        <v>3575</v>
      </c>
      <c r="F916">
        <v>405</v>
      </c>
      <c r="G916">
        <v>96</v>
      </c>
      <c r="H916" t="s">
        <v>789</v>
      </c>
      <c r="I916" t="s">
        <v>2257</v>
      </c>
      <c r="J916">
        <v>4270500</v>
      </c>
      <c r="K916">
        <v>2025</v>
      </c>
      <c r="L916">
        <v>1037616117</v>
      </c>
      <c r="M916" t="s">
        <v>3797</v>
      </c>
      <c r="N916" t="s">
        <v>1688</v>
      </c>
      <c r="O916" t="s">
        <v>1686</v>
      </c>
      <c r="P916">
        <v>0</v>
      </c>
      <c r="Q916">
        <v>4270500</v>
      </c>
      <c r="R916">
        <v>0</v>
      </c>
      <c r="S916">
        <v>0</v>
      </c>
      <c r="T916" t="str">
        <f t="shared" si="28"/>
        <v>25602.43.4302.85.0-101024.2.3.3.08.06.</v>
      </c>
      <c r="U916" t="e" cm="1">
        <f t="array" aca="1" ref="U916" ca="1">+IF(COMPROMISOS_2025[[#This Row],[P]]="20","41080111",_xlfn.XLOOKUP(COMPROMISOS_2025[[#This Row],[concatenado]],PAA[[#All],[RCP-RUBRO]],PAA[[#All],[INDICADOR]],"",0))</f>
        <v>#NAME?</v>
      </c>
      <c r="V916" s="144" t="str">
        <f t="shared" si="29"/>
        <v>85</v>
      </c>
      <c r="W916" s="136">
        <f>+COMPROMISOS_2025[[#This Row],[valor_total]]-COMPROMISOS_2025[[#This Row],[total_cancelado]]</f>
        <v>4270500</v>
      </c>
      <c r="X916" s="136">
        <f>COMPROMISOS_2025[[#This Row],[total_ordenes]]</f>
        <v>4270500</v>
      </c>
      <c r="Y916" t="str" cm="1">
        <f t="array" aca="1" ref="Y916" ca="1">IFERROR(_xlfn.XLOOKUP(COMPROMISOS_2025[[#This Row],[concatenado]],PAA[[#All],[RCP-RUBRO]],PAA[[#All],[Actividad3]],VLOOKUP(COMPROMISOS_2025[[#This Row],[Indicador Principal]],$AC$2:$AD$17,2,0),0),"")</f>
        <v/>
      </c>
    </row>
    <row r="917" spans="1:25" hidden="1" x14ac:dyDescent="0.25">
      <c r="A917">
        <v>2562</v>
      </c>
      <c r="B917" t="s">
        <v>2491</v>
      </c>
      <c r="C917" t="s">
        <v>1936</v>
      </c>
      <c r="D917" t="s">
        <v>3575</v>
      </c>
      <c r="F917">
        <v>405</v>
      </c>
      <c r="G917">
        <v>96</v>
      </c>
      <c r="H917" t="s">
        <v>789</v>
      </c>
      <c r="I917" t="s">
        <v>2257</v>
      </c>
      <c r="J917">
        <v>2847000</v>
      </c>
      <c r="K917">
        <v>2025</v>
      </c>
      <c r="L917">
        <v>1037618345</v>
      </c>
      <c r="M917" t="s">
        <v>3798</v>
      </c>
      <c r="N917" t="s">
        <v>1688</v>
      </c>
      <c r="O917" t="s">
        <v>1686</v>
      </c>
      <c r="P917">
        <v>0</v>
      </c>
      <c r="Q917">
        <v>2847000</v>
      </c>
      <c r="R917">
        <v>0</v>
      </c>
      <c r="S917">
        <v>0</v>
      </c>
      <c r="T917" t="str">
        <f t="shared" si="28"/>
        <v>25622.43.4302.85.0-101024.2.3.3.08.06.</v>
      </c>
      <c r="U917" t="e" cm="1">
        <f t="array" aca="1" ref="U917" ca="1">+IF(COMPROMISOS_2025[[#This Row],[P]]="20","41080111",_xlfn.XLOOKUP(COMPROMISOS_2025[[#This Row],[concatenado]],PAA[[#All],[RCP-RUBRO]],PAA[[#All],[INDICADOR]],"",0))</f>
        <v>#NAME?</v>
      </c>
      <c r="V917" s="144" t="str">
        <f t="shared" si="29"/>
        <v>85</v>
      </c>
      <c r="W917" s="136">
        <f>+COMPROMISOS_2025[[#This Row],[valor_total]]-COMPROMISOS_2025[[#This Row],[total_cancelado]]</f>
        <v>2847000</v>
      </c>
      <c r="X917" s="136">
        <f>COMPROMISOS_2025[[#This Row],[total_ordenes]]</f>
        <v>2847000</v>
      </c>
      <c r="Y917" t="str" cm="1">
        <f t="array" aca="1" ref="Y917" ca="1">IFERROR(_xlfn.XLOOKUP(COMPROMISOS_2025[[#This Row],[concatenado]],PAA[[#All],[RCP-RUBRO]],PAA[[#All],[Actividad3]],VLOOKUP(COMPROMISOS_2025[[#This Row],[Indicador Principal]],$AC$2:$AD$17,2,0),0),"")</f>
        <v/>
      </c>
    </row>
    <row r="918" spans="1:25" hidden="1" x14ac:dyDescent="0.25">
      <c r="A918">
        <v>2576</v>
      </c>
      <c r="B918" t="s">
        <v>2491</v>
      </c>
      <c r="C918" t="s">
        <v>1936</v>
      </c>
      <c r="D918" t="s">
        <v>3575</v>
      </c>
      <c r="F918">
        <v>405</v>
      </c>
      <c r="G918">
        <v>96</v>
      </c>
      <c r="H918" t="s">
        <v>789</v>
      </c>
      <c r="I918" t="s">
        <v>2257</v>
      </c>
      <c r="J918">
        <v>17082000</v>
      </c>
      <c r="K918">
        <v>2025</v>
      </c>
      <c r="L918">
        <v>1037667511</v>
      </c>
      <c r="M918" t="s">
        <v>3799</v>
      </c>
      <c r="N918" t="s">
        <v>1688</v>
      </c>
      <c r="O918" t="s">
        <v>1686</v>
      </c>
      <c r="P918">
        <v>0</v>
      </c>
      <c r="Q918">
        <v>17082000</v>
      </c>
      <c r="R918">
        <v>0</v>
      </c>
      <c r="S918">
        <v>0</v>
      </c>
      <c r="T918" t="str">
        <f t="shared" si="28"/>
        <v>25762.43.4302.85.0-101024.2.3.3.08.06.</v>
      </c>
      <c r="U918" t="e" cm="1">
        <f t="array" aca="1" ref="U918" ca="1">+IF(COMPROMISOS_2025[[#This Row],[P]]="20","41080111",_xlfn.XLOOKUP(COMPROMISOS_2025[[#This Row],[concatenado]],PAA[[#All],[RCP-RUBRO]],PAA[[#All],[INDICADOR]],"",0))</f>
        <v>#NAME?</v>
      </c>
      <c r="V918" s="144" t="str">
        <f t="shared" si="29"/>
        <v>85</v>
      </c>
      <c r="W918" s="136">
        <f>+COMPROMISOS_2025[[#This Row],[valor_total]]-COMPROMISOS_2025[[#This Row],[total_cancelado]]</f>
        <v>17082000</v>
      </c>
      <c r="X918" s="136">
        <f>COMPROMISOS_2025[[#This Row],[total_ordenes]]</f>
        <v>17082000</v>
      </c>
      <c r="Y918" t="str" cm="1">
        <f t="array" aca="1" ref="Y918" ca="1">IFERROR(_xlfn.XLOOKUP(COMPROMISOS_2025[[#This Row],[concatenado]],PAA[[#All],[RCP-RUBRO]],PAA[[#All],[Actividad3]],VLOOKUP(COMPROMISOS_2025[[#This Row],[Indicador Principal]],$AC$2:$AD$17,2,0),0),"")</f>
        <v/>
      </c>
    </row>
    <row r="919" spans="1:25" hidden="1" x14ac:dyDescent="0.25">
      <c r="A919">
        <v>2580</v>
      </c>
      <c r="B919" t="s">
        <v>2491</v>
      </c>
      <c r="C919" t="s">
        <v>1936</v>
      </c>
      <c r="D919" t="s">
        <v>3575</v>
      </c>
      <c r="F919">
        <v>405</v>
      </c>
      <c r="G919">
        <v>96</v>
      </c>
      <c r="H919" t="s">
        <v>789</v>
      </c>
      <c r="I919" t="s">
        <v>2257</v>
      </c>
      <c r="J919">
        <v>711750</v>
      </c>
      <c r="K919">
        <v>2025</v>
      </c>
      <c r="L919">
        <v>1037886705</v>
      </c>
      <c r="M919" t="s">
        <v>3800</v>
      </c>
      <c r="N919" t="s">
        <v>1688</v>
      </c>
      <c r="O919" t="s">
        <v>1686</v>
      </c>
      <c r="P919">
        <v>0</v>
      </c>
      <c r="Q919">
        <v>711750</v>
      </c>
      <c r="R919">
        <v>0</v>
      </c>
      <c r="S919">
        <v>0</v>
      </c>
      <c r="T919" t="str">
        <f t="shared" si="28"/>
        <v>25802.43.4302.85.0-101024.2.3.3.08.06.</v>
      </c>
      <c r="U919" t="e" cm="1">
        <f t="array" aca="1" ref="U919" ca="1">+IF(COMPROMISOS_2025[[#This Row],[P]]="20","41080111",_xlfn.XLOOKUP(COMPROMISOS_2025[[#This Row],[concatenado]],PAA[[#All],[RCP-RUBRO]],PAA[[#All],[INDICADOR]],"",0))</f>
        <v>#NAME?</v>
      </c>
      <c r="V919" s="144" t="str">
        <f t="shared" si="29"/>
        <v>85</v>
      </c>
      <c r="W919" s="136">
        <f>+COMPROMISOS_2025[[#This Row],[valor_total]]-COMPROMISOS_2025[[#This Row],[total_cancelado]]</f>
        <v>711750</v>
      </c>
      <c r="X919" s="136">
        <f>COMPROMISOS_2025[[#This Row],[total_ordenes]]</f>
        <v>711750</v>
      </c>
      <c r="Y919" t="str" cm="1">
        <f t="array" aca="1" ref="Y919" ca="1">IFERROR(_xlfn.XLOOKUP(COMPROMISOS_2025[[#This Row],[concatenado]],PAA[[#All],[RCP-RUBRO]],PAA[[#All],[Actividad3]],VLOOKUP(COMPROMISOS_2025[[#This Row],[Indicador Principal]],$AC$2:$AD$17,2,0),0),"")</f>
        <v/>
      </c>
    </row>
    <row r="920" spans="1:25" hidden="1" x14ac:dyDescent="0.25">
      <c r="A920">
        <v>2584</v>
      </c>
      <c r="B920" t="s">
        <v>2491</v>
      </c>
      <c r="C920" t="s">
        <v>1936</v>
      </c>
      <c r="D920" t="s">
        <v>3575</v>
      </c>
      <c r="F920">
        <v>405</v>
      </c>
      <c r="G920">
        <v>96</v>
      </c>
      <c r="H920" t="s">
        <v>789</v>
      </c>
      <c r="I920" t="s">
        <v>2257</v>
      </c>
      <c r="J920">
        <v>711750</v>
      </c>
      <c r="K920">
        <v>2025</v>
      </c>
      <c r="L920">
        <v>1038263153</v>
      </c>
      <c r="M920" t="s">
        <v>3801</v>
      </c>
      <c r="N920" t="s">
        <v>1688</v>
      </c>
      <c r="O920" t="s">
        <v>1686</v>
      </c>
      <c r="P920">
        <v>0</v>
      </c>
      <c r="Q920">
        <v>711750</v>
      </c>
      <c r="R920">
        <v>0</v>
      </c>
      <c r="S920">
        <v>0</v>
      </c>
      <c r="T920" t="str">
        <f t="shared" si="28"/>
        <v>25842.43.4302.85.0-101024.2.3.3.08.06.</v>
      </c>
      <c r="U920" t="e" cm="1">
        <f t="array" aca="1" ref="U920" ca="1">+IF(COMPROMISOS_2025[[#This Row],[P]]="20","41080111",_xlfn.XLOOKUP(COMPROMISOS_2025[[#This Row],[concatenado]],PAA[[#All],[RCP-RUBRO]],PAA[[#All],[INDICADOR]],"",0))</f>
        <v>#NAME?</v>
      </c>
      <c r="V920" s="144" t="str">
        <f t="shared" si="29"/>
        <v>85</v>
      </c>
      <c r="W920" s="136">
        <f>+COMPROMISOS_2025[[#This Row],[valor_total]]-COMPROMISOS_2025[[#This Row],[total_cancelado]]</f>
        <v>711750</v>
      </c>
      <c r="X920" s="136">
        <f>COMPROMISOS_2025[[#This Row],[total_ordenes]]</f>
        <v>711750</v>
      </c>
      <c r="Y920" t="str" cm="1">
        <f t="array" aca="1" ref="Y920" ca="1">IFERROR(_xlfn.XLOOKUP(COMPROMISOS_2025[[#This Row],[concatenado]],PAA[[#All],[RCP-RUBRO]],PAA[[#All],[Actividad3]],VLOOKUP(COMPROMISOS_2025[[#This Row],[Indicador Principal]],$AC$2:$AD$17,2,0),0),"")</f>
        <v/>
      </c>
    </row>
    <row r="921" spans="1:25" hidden="1" x14ac:dyDescent="0.25">
      <c r="A921">
        <v>2585</v>
      </c>
      <c r="B921" t="s">
        <v>2491</v>
      </c>
      <c r="C921" t="s">
        <v>1936</v>
      </c>
      <c r="D921" t="s">
        <v>3575</v>
      </c>
      <c r="F921">
        <v>405</v>
      </c>
      <c r="G921">
        <v>96</v>
      </c>
      <c r="H921" t="s">
        <v>789</v>
      </c>
      <c r="I921" t="s">
        <v>2257</v>
      </c>
      <c r="J921">
        <v>711750</v>
      </c>
      <c r="K921">
        <v>2025</v>
      </c>
      <c r="L921">
        <v>1038358859</v>
      </c>
      <c r="M921" t="s">
        <v>3802</v>
      </c>
      <c r="N921" t="s">
        <v>1688</v>
      </c>
      <c r="O921" t="s">
        <v>1686</v>
      </c>
      <c r="P921">
        <v>0</v>
      </c>
      <c r="Q921">
        <v>711750</v>
      </c>
      <c r="R921">
        <v>0</v>
      </c>
      <c r="S921">
        <v>0</v>
      </c>
      <c r="T921" t="str">
        <f t="shared" si="28"/>
        <v>25852.43.4302.85.0-101024.2.3.3.08.06.</v>
      </c>
      <c r="U921" t="e" cm="1">
        <f t="array" aca="1" ref="U921" ca="1">+IF(COMPROMISOS_2025[[#This Row],[P]]="20","41080111",_xlfn.XLOOKUP(COMPROMISOS_2025[[#This Row],[concatenado]],PAA[[#All],[RCP-RUBRO]],PAA[[#All],[INDICADOR]],"",0))</f>
        <v>#NAME?</v>
      </c>
      <c r="V921" s="144" t="str">
        <f t="shared" si="29"/>
        <v>85</v>
      </c>
      <c r="W921" s="136">
        <f>+COMPROMISOS_2025[[#This Row],[valor_total]]-COMPROMISOS_2025[[#This Row],[total_cancelado]]</f>
        <v>711750</v>
      </c>
      <c r="X921" s="136">
        <f>COMPROMISOS_2025[[#This Row],[total_ordenes]]</f>
        <v>711750</v>
      </c>
      <c r="Y921" t="str" cm="1">
        <f t="array" aca="1" ref="Y921" ca="1">IFERROR(_xlfn.XLOOKUP(COMPROMISOS_2025[[#This Row],[concatenado]],PAA[[#All],[RCP-RUBRO]],PAA[[#All],[Actividad3]],VLOOKUP(COMPROMISOS_2025[[#This Row],[Indicador Principal]],$AC$2:$AD$17,2,0),0),"")</f>
        <v/>
      </c>
    </row>
    <row r="922" spans="1:25" hidden="1" x14ac:dyDescent="0.25">
      <c r="A922">
        <v>2587</v>
      </c>
      <c r="B922" t="s">
        <v>2491</v>
      </c>
      <c r="C922" t="s">
        <v>1936</v>
      </c>
      <c r="D922" t="s">
        <v>3575</v>
      </c>
      <c r="F922">
        <v>405</v>
      </c>
      <c r="G922">
        <v>96</v>
      </c>
      <c r="H922" t="s">
        <v>789</v>
      </c>
      <c r="I922" t="s">
        <v>2257</v>
      </c>
      <c r="J922">
        <v>1423500</v>
      </c>
      <c r="K922">
        <v>2025</v>
      </c>
      <c r="L922">
        <v>1038417113</v>
      </c>
      <c r="M922" t="s">
        <v>3803</v>
      </c>
      <c r="N922" t="s">
        <v>1688</v>
      </c>
      <c r="O922" t="s">
        <v>1686</v>
      </c>
      <c r="P922">
        <v>0</v>
      </c>
      <c r="Q922">
        <v>1423500</v>
      </c>
      <c r="R922">
        <v>0</v>
      </c>
      <c r="S922">
        <v>0</v>
      </c>
      <c r="T922" t="str">
        <f t="shared" si="28"/>
        <v>25872.43.4302.85.0-101024.2.3.3.08.06.</v>
      </c>
      <c r="U922" t="e" cm="1">
        <f t="array" aca="1" ref="U922" ca="1">+IF(COMPROMISOS_2025[[#This Row],[P]]="20","41080111",_xlfn.XLOOKUP(COMPROMISOS_2025[[#This Row],[concatenado]],PAA[[#All],[RCP-RUBRO]],PAA[[#All],[INDICADOR]],"",0))</f>
        <v>#NAME?</v>
      </c>
      <c r="V922" s="144" t="str">
        <f t="shared" si="29"/>
        <v>85</v>
      </c>
      <c r="W922" s="136">
        <f>+COMPROMISOS_2025[[#This Row],[valor_total]]-COMPROMISOS_2025[[#This Row],[total_cancelado]]</f>
        <v>1423500</v>
      </c>
      <c r="X922" s="136">
        <f>COMPROMISOS_2025[[#This Row],[total_ordenes]]</f>
        <v>1423500</v>
      </c>
      <c r="Y922" t="str" cm="1">
        <f t="array" aca="1" ref="Y922" ca="1">IFERROR(_xlfn.XLOOKUP(COMPROMISOS_2025[[#This Row],[concatenado]],PAA[[#All],[RCP-RUBRO]],PAA[[#All],[Actividad3]],VLOOKUP(COMPROMISOS_2025[[#This Row],[Indicador Principal]],$AC$2:$AD$17,2,0),0),"")</f>
        <v/>
      </c>
    </row>
    <row r="923" spans="1:25" hidden="1" x14ac:dyDescent="0.25">
      <c r="A923">
        <v>2590</v>
      </c>
      <c r="B923" t="s">
        <v>2491</v>
      </c>
      <c r="C923" t="s">
        <v>1936</v>
      </c>
      <c r="D923" t="s">
        <v>3575</v>
      </c>
      <c r="F923">
        <v>405</v>
      </c>
      <c r="G923">
        <v>96</v>
      </c>
      <c r="H923" t="s">
        <v>789</v>
      </c>
      <c r="I923" t="s">
        <v>2257</v>
      </c>
      <c r="J923">
        <v>711750</v>
      </c>
      <c r="K923">
        <v>2025</v>
      </c>
      <c r="L923">
        <v>1038647619</v>
      </c>
      <c r="M923" t="s">
        <v>3804</v>
      </c>
      <c r="N923" t="s">
        <v>1688</v>
      </c>
      <c r="O923" t="s">
        <v>1686</v>
      </c>
      <c r="P923">
        <v>0</v>
      </c>
      <c r="Q923">
        <v>711750</v>
      </c>
      <c r="R923">
        <v>0</v>
      </c>
      <c r="S923">
        <v>0</v>
      </c>
      <c r="T923" t="str">
        <f t="shared" si="28"/>
        <v>25902.43.4302.85.0-101024.2.3.3.08.06.</v>
      </c>
      <c r="U923" t="e" cm="1">
        <f t="array" aca="1" ref="U923" ca="1">+IF(COMPROMISOS_2025[[#This Row],[P]]="20","41080111",_xlfn.XLOOKUP(COMPROMISOS_2025[[#This Row],[concatenado]],PAA[[#All],[RCP-RUBRO]],PAA[[#All],[INDICADOR]],"",0))</f>
        <v>#NAME?</v>
      </c>
      <c r="V923" s="144" t="str">
        <f t="shared" si="29"/>
        <v>85</v>
      </c>
      <c r="W923" s="136">
        <f>+COMPROMISOS_2025[[#This Row],[valor_total]]-COMPROMISOS_2025[[#This Row],[total_cancelado]]</f>
        <v>711750</v>
      </c>
      <c r="X923" s="136">
        <f>COMPROMISOS_2025[[#This Row],[total_ordenes]]</f>
        <v>711750</v>
      </c>
      <c r="Y923" t="str" cm="1">
        <f t="array" aca="1" ref="Y923" ca="1">IFERROR(_xlfn.XLOOKUP(COMPROMISOS_2025[[#This Row],[concatenado]],PAA[[#All],[RCP-RUBRO]],PAA[[#All],[Actividad3]],VLOOKUP(COMPROMISOS_2025[[#This Row],[Indicador Principal]],$AC$2:$AD$17,2,0),0),"")</f>
        <v/>
      </c>
    </row>
    <row r="924" spans="1:25" hidden="1" x14ac:dyDescent="0.25">
      <c r="A924">
        <v>2592</v>
      </c>
      <c r="B924" t="s">
        <v>2491</v>
      </c>
      <c r="C924" t="s">
        <v>1936</v>
      </c>
      <c r="D924" t="s">
        <v>3575</v>
      </c>
      <c r="F924">
        <v>405</v>
      </c>
      <c r="G924">
        <v>96</v>
      </c>
      <c r="H924" t="s">
        <v>789</v>
      </c>
      <c r="I924" t="s">
        <v>2257</v>
      </c>
      <c r="J924">
        <v>711750</v>
      </c>
      <c r="K924">
        <v>2025</v>
      </c>
      <c r="L924">
        <v>1038800625</v>
      </c>
      <c r="M924" t="s">
        <v>3805</v>
      </c>
      <c r="N924" t="s">
        <v>1688</v>
      </c>
      <c r="O924" t="s">
        <v>1686</v>
      </c>
      <c r="P924">
        <v>0</v>
      </c>
      <c r="Q924">
        <v>711750</v>
      </c>
      <c r="R924">
        <v>0</v>
      </c>
      <c r="S924">
        <v>0</v>
      </c>
      <c r="T924" t="str">
        <f t="shared" si="28"/>
        <v>25922.43.4302.85.0-101024.2.3.3.08.06.</v>
      </c>
      <c r="U924" t="e" cm="1">
        <f t="array" aca="1" ref="U924" ca="1">+IF(COMPROMISOS_2025[[#This Row],[P]]="20","41080111",_xlfn.XLOOKUP(COMPROMISOS_2025[[#This Row],[concatenado]],PAA[[#All],[RCP-RUBRO]],PAA[[#All],[INDICADOR]],"",0))</f>
        <v>#NAME?</v>
      </c>
      <c r="V924" s="144" t="str">
        <f t="shared" si="29"/>
        <v>85</v>
      </c>
      <c r="W924" s="136">
        <f>+COMPROMISOS_2025[[#This Row],[valor_total]]-COMPROMISOS_2025[[#This Row],[total_cancelado]]</f>
        <v>711750</v>
      </c>
      <c r="X924" s="136">
        <f>COMPROMISOS_2025[[#This Row],[total_ordenes]]</f>
        <v>711750</v>
      </c>
      <c r="Y924" t="str" cm="1">
        <f t="array" aca="1" ref="Y924" ca="1">IFERROR(_xlfn.XLOOKUP(COMPROMISOS_2025[[#This Row],[concatenado]],PAA[[#All],[RCP-RUBRO]],PAA[[#All],[Actividad3]],VLOOKUP(COMPROMISOS_2025[[#This Row],[Indicador Principal]],$AC$2:$AD$17,2,0),0),"")</f>
        <v/>
      </c>
    </row>
    <row r="925" spans="1:25" hidden="1" x14ac:dyDescent="0.25">
      <c r="A925">
        <v>2595</v>
      </c>
      <c r="B925" t="s">
        <v>2491</v>
      </c>
      <c r="C925" t="s">
        <v>1936</v>
      </c>
      <c r="D925" t="s">
        <v>3575</v>
      </c>
      <c r="F925">
        <v>405</v>
      </c>
      <c r="G925">
        <v>96</v>
      </c>
      <c r="H925" t="s">
        <v>789</v>
      </c>
      <c r="I925" t="s">
        <v>2257</v>
      </c>
      <c r="J925">
        <v>711750</v>
      </c>
      <c r="K925">
        <v>2025</v>
      </c>
      <c r="L925">
        <v>1038808520</v>
      </c>
      <c r="M925" t="s">
        <v>3806</v>
      </c>
      <c r="N925" t="s">
        <v>1688</v>
      </c>
      <c r="O925" t="s">
        <v>1686</v>
      </c>
      <c r="P925">
        <v>0</v>
      </c>
      <c r="Q925">
        <v>711750</v>
      </c>
      <c r="R925">
        <v>0</v>
      </c>
      <c r="S925">
        <v>0</v>
      </c>
      <c r="T925" t="str">
        <f t="shared" si="28"/>
        <v>25952.43.4302.85.0-101024.2.3.3.08.06.</v>
      </c>
      <c r="U925" t="e" cm="1">
        <f t="array" aca="1" ref="U925" ca="1">+IF(COMPROMISOS_2025[[#This Row],[P]]="20","41080111",_xlfn.XLOOKUP(COMPROMISOS_2025[[#This Row],[concatenado]],PAA[[#All],[RCP-RUBRO]],PAA[[#All],[INDICADOR]],"",0))</f>
        <v>#NAME?</v>
      </c>
      <c r="V925" s="144" t="str">
        <f t="shared" si="29"/>
        <v>85</v>
      </c>
      <c r="W925" s="136">
        <f>+COMPROMISOS_2025[[#This Row],[valor_total]]-COMPROMISOS_2025[[#This Row],[total_cancelado]]</f>
        <v>711750</v>
      </c>
      <c r="X925" s="136">
        <f>COMPROMISOS_2025[[#This Row],[total_ordenes]]</f>
        <v>711750</v>
      </c>
      <c r="Y925" t="str" cm="1">
        <f t="array" aca="1" ref="Y925" ca="1">IFERROR(_xlfn.XLOOKUP(COMPROMISOS_2025[[#This Row],[concatenado]],PAA[[#All],[RCP-RUBRO]],PAA[[#All],[Actividad3]],VLOOKUP(COMPROMISOS_2025[[#This Row],[Indicador Principal]],$AC$2:$AD$17,2,0),0),"")</f>
        <v/>
      </c>
    </row>
    <row r="926" spans="1:25" hidden="1" x14ac:dyDescent="0.25">
      <c r="A926">
        <v>2596</v>
      </c>
      <c r="B926" t="s">
        <v>2491</v>
      </c>
      <c r="C926" t="s">
        <v>1936</v>
      </c>
      <c r="D926" t="s">
        <v>3575</v>
      </c>
      <c r="F926">
        <v>405</v>
      </c>
      <c r="G926">
        <v>96</v>
      </c>
      <c r="H926" t="s">
        <v>789</v>
      </c>
      <c r="I926" t="s">
        <v>2257</v>
      </c>
      <c r="J926">
        <v>1067625</v>
      </c>
      <c r="K926">
        <v>2025</v>
      </c>
      <c r="L926">
        <v>1038808823</v>
      </c>
      <c r="M926" t="s">
        <v>3807</v>
      </c>
      <c r="N926" t="s">
        <v>1688</v>
      </c>
      <c r="O926" t="s">
        <v>1686</v>
      </c>
      <c r="P926">
        <v>0</v>
      </c>
      <c r="Q926">
        <v>1067625</v>
      </c>
      <c r="R926">
        <v>0</v>
      </c>
      <c r="S926">
        <v>0</v>
      </c>
      <c r="T926" t="str">
        <f t="shared" si="28"/>
        <v>25962.43.4302.85.0-101024.2.3.3.08.06.</v>
      </c>
      <c r="U926" t="e" cm="1">
        <f t="array" aca="1" ref="U926" ca="1">+IF(COMPROMISOS_2025[[#This Row],[P]]="20","41080111",_xlfn.XLOOKUP(COMPROMISOS_2025[[#This Row],[concatenado]],PAA[[#All],[RCP-RUBRO]],PAA[[#All],[INDICADOR]],"",0))</f>
        <v>#NAME?</v>
      </c>
      <c r="V926" s="144" t="str">
        <f t="shared" si="29"/>
        <v>85</v>
      </c>
      <c r="W926" s="136">
        <f>+COMPROMISOS_2025[[#This Row],[valor_total]]-COMPROMISOS_2025[[#This Row],[total_cancelado]]</f>
        <v>1067625</v>
      </c>
      <c r="X926" s="136">
        <f>COMPROMISOS_2025[[#This Row],[total_ordenes]]</f>
        <v>1067625</v>
      </c>
      <c r="Y926" t="str" cm="1">
        <f t="array" aca="1" ref="Y926" ca="1">IFERROR(_xlfn.XLOOKUP(COMPROMISOS_2025[[#This Row],[concatenado]],PAA[[#All],[RCP-RUBRO]],PAA[[#All],[Actividad3]],VLOOKUP(COMPROMISOS_2025[[#This Row],[Indicador Principal]],$AC$2:$AD$17,2,0),0),"")</f>
        <v/>
      </c>
    </row>
    <row r="927" spans="1:25" hidden="1" x14ac:dyDescent="0.25">
      <c r="A927">
        <v>2601</v>
      </c>
      <c r="B927" t="s">
        <v>2491</v>
      </c>
      <c r="C927" t="s">
        <v>1936</v>
      </c>
      <c r="D927" t="s">
        <v>3575</v>
      </c>
      <c r="F927">
        <v>405</v>
      </c>
      <c r="G927">
        <v>96</v>
      </c>
      <c r="H927" t="s">
        <v>789</v>
      </c>
      <c r="I927" t="s">
        <v>2257</v>
      </c>
      <c r="J927">
        <v>711750</v>
      </c>
      <c r="K927">
        <v>2025</v>
      </c>
      <c r="L927">
        <v>1038866895</v>
      </c>
      <c r="M927" t="s">
        <v>3808</v>
      </c>
      <c r="N927" t="s">
        <v>1688</v>
      </c>
      <c r="O927" t="s">
        <v>1686</v>
      </c>
      <c r="P927">
        <v>0</v>
      </c>
      <c r="Q927">
        <v>711750</v>
      </c>
      <c r="R927">
        <v>0</v>
      </c>
      <c r="S927">
        <v>0</v>
      </c>
      <c r="T927" t="str">
        <f t="shared" si="28"/>
        <v>26012.43.4302.85.0-101024.2.3.3.08.06.</v>
      </c>
      <c r="U927" t="e" cm="1">
        <f t="array" aca="1" ref="U927" ca="1">+IF(COMPROMISOS_2025[[#This Row],[P]]="20","41080111",_xlfn.XLOOKUP(COMPROMISOS_2025[[#This Row],[concatenado]],PAA[[#All],[RCP-RUBRO]],PAA[[#All],[INDICADOR]],"",0))</f>
        <v>#NAME?</v>
      </c>
      <c r="V927" s="144" t="str">
        <f t="shared" si="29"/>
        <v>85</v>
      </c>
      <c r="W927" s="136">
        <f>+COMPROMISOS_2025[[#This Row],[valor_total]]-COMPROMISOS_2025[[#This Row],[total_cancelado]]</f>
        <v>711750</v>
      </c>
      <c r="X927" s="136">
        <f>COMPROMISOS_2025[[#This Row],[total_ordenes]]</f>
        <v>711750</v>
      </c>
      <c r="Y927" t="str" cm="1">
        <f t="array" aca="1" ref="Y927" ca="1">IFERROR(_xlfn.XLOOKUP(COMPROMISOS_2025[[#This Row],[concatenado]],PAA[[#All],[RCP-RUBRO]],PAA[[#All],[Actividad3]],VLOOKUP(COMPROMISOS_2025[[#This Row],[Indicador Principal]],$AC$2:$AD$17,2,0),0),"")</f>
        <v/>
      </c>
    </row>
    <row r="928" spans="1:25" hidden="1" x14ac:dyDescent="0.25">
      <c r="A928">
        <v>2603</v>
      </c>
      <c r="B928" t="s">
        <v>2491</v>
      </c>
      <c r="C928" t="s">
        <v>1936</v>
      </c>
      <c r="D928" t="s">
        <v>3575</v>
      </c>
      <c r="F928">
        <v>405</v>
      </c>
      <c r="G928">
        <v>96</v>
      </c>
      <c r="H928" t="s">
        <v>789</v>
      </c>
      <c r="I928" t="s">
        <v>2257</v>
      </c>
      <c r="J928">
        <v>711750</v>
      </c>
      <c r="K928">
        <v>2025</v>
      </c>
      <c r="L928">
        <v>1038870685</v>
      </c>
      <c r="M928" t="s">
        <v>3809</v>
      </c>
      <c r="N928" t="s">
        <v>1688</v>
      </c>
      <c r="O928" t="s">
        <v>1686</v>
      </c>
      <c r="P928">
        <v>0</v>
      </c>
      <c r="Q928">
        <v>711750</v>
      </c>
      <c r="R928">
        <v>0</v>
      </c>
      <c r="S928">
        <v>0</v>
      </c>
      <c r="T928" t="str">
        <f t="shared" si="28"/>
        <v>26032.43.4302.85.0-101024.2.3.3.08.06.</v>
      </c>
      <c r="U928" t="e" cm="1">
        <f t="array" aca="1" ref="U928" ca="1">+IF(COMPROMISOS_2025[[#This Row],[P]]="20","41080111",_xlfn.XLOOKUP(COMPROMISOS_2025[[#This Row],[concatenado]],PAA[[#All],[RCP-RUBRO]],PAA[[#All],[INDICADOR]],"",0))</f>
        <v>#NAME?</v>
      </c>
      <c r="V928" s="144" t="str">
        <f t="shared" si="29"/>
        <v>85</v>
      </c>
      <c r="W928" s="136">
        <f>+COMPROMISOS_2025[[#This Row],[valor_total]]-COMPROMISOS_2025[[#This Row],[total_cancelado]]</f>
        <v>711750</v>
      </c>
      <c r="X928" s="136">
        <f>COMPROMISOS_2025[[#This Row],[total_ordenes]]</f>
        <v>711750</v>
      </c>
      <c r="Y928" t="str" cm="1">
        <f t="array" aca="1" ref="Y928" ca="1">IFERROR(_xlfn.XLOOKUP(COMPROMISOS_2025[[#This Row],[concatenado]],PAA[[#All],[RCP-RUBRO]],PAA[[#All],[Actividad3]],VLOOKUP(COMPROMISOS_2025[[#This Row],[Indicador Principal]],$AC$2:$AD$17,2,0),0),"")</f>
        <v/>
      </c>
    </row>
    <row r="929" spans="1:25" hidden="1" x14ac:dyDescent="0.25">
      <c r="A929">
        <v>2604</v>
      </c>
      <c r="B929" t="s">
        <v>2491</v>
      </c>
      <c r="C929" t="s">
        <v>1936</v>
      </c>
      <c r="D929" t="s">
        <v>3575</v>
      </c>
      <c r="F929">
        <v>405</v>
      </c>
      <c r="G929">
        <v>96</v>
      </c>
      <c r="H929" t="s">
        <v>789</v>
      </c>
      <c r="I929" t="s">
        <v>2257</v>
      </c>
      <c r="J929">
        <v>1067625</v>
      </c>
      <c r="K929">
        <v>2025</v>
      </c>
      <c r="L929">
        <v>1038926502</v>
      </c>
      <c r="M929" t="s">
        <v>3810</v>
      </c>
      <c r="N929" t="s">
        <v>1688</v>
      </c>
      <c r="O929" t="s">
        <v>1686</v>
      </c>
      <c r="P929">
        <v>0</v>
      </c>
      <c r="Q929">
        <v>1067625</v>
      </c>
      <c r="R929">
        <v>0</v>
      </c>
      <c r="S929">
        <v>0</v>
      </c>
      <c r="T929" t="str">
        <f t="shared" si="28"/>
        <v>26042.43.4302.85.0-101024.2.3.3.08.06.</v>
      </c>
      <c r="U929" t="e" cm="1">
        <f t="array" aca="1" ref="U929" ca="1">+IF(COMPROMISOS_2025[[#This Row],[P]]="20","41080111",_xlfn.XLOOKUP(COMPROMISOS_2025[[#This Row],[concatenado]],PAA[[#All],[RCP-RUBRO]],PAA[[#All],[INDICADOR]],"",0))</f>
        <v>#NAME?</v>
      </c>
      <c r="V929" s="144" t="str">
        <f t="shared" si="29"/>
        <v>85</v>
      </c>
      <c r="W929" s="136">
        <f>+COMPROMISOS_2025[[#This Row],[valor_total]]-COMPROMISOS_2025[[#This Row],[total_cancelado]]</f>
        <v>1067625</v>
      </c>
      <c r="X929" s="136">
        <f>COMPROMISOS_2025[[#This Row],[total_ordenes]]</f>
        <v>1067625</v>
      </c>
      <c r="Y929" t="str" cm="1">
        <f t="array" aca="1" ref="Y929" ca="1">IFERROR(_xlfn.XLOOKUP(COMPROMISOS_2025[[#This Row],[concatenado]],PAA[[#All],[RCP-RUBRO]],PAA[[#All],[Actividad3]],VLOOKUP(COMPROMISOS_2025[[#This Row],[Indicador Principal]],$AC$2:$AD$17,2,0),0),"")</f>
        <v/>
      </c>
    </row>
    <row r="930" spans="1:25" hidden="1" x14ac:dyDescent="0.25">
      <c r="A930">
        <v>2605</v>
      </c>
      <c r="B930" t="s">
        <v>2491</v>
      </c>
      <c r="C930" t="s">
        <v>1936</v>
      </c>
      <c r="D930" t="s">
        <v>3575</v>
      </c>
      <c r="F930">
        <v>405</v>
      </c>
      <c r="G930">
        <v>96</v>
      </c>
      <c r="H930" t="s">
        <v>789</v>
      </c>
      <c r="I930" t="s">
        <v>2257</v>
      </c>
      <c r="J930">
        <v>1423500</v>
      </c>
      <c r="K930">
        <v>2025</v>
      </c>
      <c r="L930">
        <v>1039024518</v>
      </c>
      <c r="M930" t="s">
        <v>3811</v>
      </c>
      <c r="N930" t="s">
        <v>1688</v>
      </c>
      <c r="O930" t="s">
        <v>1686</v>
      </c>
      <c r="P930">
        <v>0</v>
      </c>
      <c r="Q930">
        <v>1423500</v>
      </c>
      <c r="R930">
        <v>0</v>
      </c>
      <c r="S930">
        <v>0</v>
      </c>
      <c r="T930" t="str">
        <f t="shared" si="28"/>
        <v>26052.43.4302.85.0-101024.2.3.3.08.06.</v>
      </c>
      <c r="U930" t="e" cm="1">
        <f t="array" aca="1" ref="U930" ca="1">+IF(COMPROMISOS_2025[[#This Row],[P]]="20","41080111",_xlfn.XLOOKUP(COMPROMISOS_2025[[#This Row],[concatenado]],PAA[[#All],[RCP-RUBRO]],PAA[[#All],[INDICADOR]],"",0))</f>
        <v>#NAME?</v>
      </c>
      <c r="V930" s="144" t="str">
        <f t="shared" si="29"/>
        <v>85</v>
      </c>
      <c r="W930" s="136">
        <f>+COMPROMISOS_2025[[#This Row],[valor_total]]-COMPROMISOS_2025[[#This Row],[total_cancelado]]</f>
        <v>1423500</v>
      </c>
      <c r="X930" s="136">
        <f>COMPROMISOS_2025[[#This Row],[total_ordenes]]</f>
        <v>1423500</v>
      </c>
      <c r="Y930" t="str" cm="1">
        <f t="array" aca="1" ref="Y930" ca="1">IFERROR(_xlfn.XLOOKUP(COMPROMISOS_2025[[#This Row],[concatenado]],PAA[[#All],[RCP-RUBRO]],PAA[[#All],[Actividad3]],VLOOKUP(COMPROMISOS_2025[[#This Row],[Indicador Principal]],$AC$2:$AD$17,2,0),0),"")</f>
        <v/>
      </c>
    </row>
    <row r="931" spans="1:25" hidden="1" x14ac:dyDescent="0.25">
      <c r="A931">
        <v>2609</v>
      </c>
      <c r="B931" t="s">
        <v>2491</v>
      </c>
      <c r="C931" t="s">
        <v>1936</v>
      </c>
      <c r="D931" t="s">
        <v>3575</v>
      </c>
      <c r="F931">
        <v>405</v>
      </c>
      <c r="G931">
        <v>96</v>
      </c>
      <c r="H931" t="s">
        <v>789</v>
      </c>
      <c r="I931" t="s">
        <v>2257</v>
      </c>
      <c r="J931">
        <v>1067625</v>
      </c>
      <c r="K931">
        <v>2025</v>
      </c>
      <c r="L931">
        <v>1039465819</v>
      </c>
      <c r="M931" t="s">
        <v>3812</v>
      </c>
      <c r="N931" t="s">
        <v>1688</v>
      </c>
      <c r="O931" t="s">
        <v>1686</v>
      </c>
      <c r="P931">
        <v>0</v>
      </c>
      <c r="Q931">
        <v>1067625</v>
      </c>
      <c r="R931">
        <v>0</v>
      </c>
      <c r="S931">
        <v>0</v>
      </c>
      <c r="T931" t="str">
        <f t="shared" si="28"/>
        <v>26092.43.4302.85.0-101024.2.3.3.08.06.</v>
      </c>
      <c r="U931" t="e" cm="1">
        <f t="array" aca="1" ref="U931" ca="1">+IF(COMPROMISOS_2025[[#This Row],[P]]="20","41080111",_xlfn.XLOOKUP(COMPROMISOS_2025[[#This Row],[concatenado]],PAA[[#All],[RCP-RUBRO]],PAA[[#All],[INDICADOR]],"",0))</f>
        <v>#NAME?</v>
      </c>
      <c r="V931" s="144" t="str">
        <f t="shared" si="29"/>
        <v>85</v>
      </c>
      <c r="W931" s="136">
        <f>+COMPROMISOS_2025[[#This Row],[valor_total]]-COMPROMISOS_2025[[#This Row],[total_cancelado]]</f>
        <v>1067625</v>
      </c>
      <c r="X931" s="136">
        <f>COMPROMISOS_2025[[#This Row],[total_ordenes]]</f>
        <v>1067625</v>
      </c>
      <c r="Y931" t="str" cm="1">
        <f t="array" aca="1" ref="Y931" ca="1">IFERROR(_xlfn.XLOOKUP(COMPROMISOS_2025[[#This Row],[concatenado]],PAA[[#All],[RCP-RUBRO]],PAA[[#All],[Actividad3]],VLOOKUP(COMPROMISOS_2025[[#This Row],[Indicador Principal]],$AC$2:$AD$17,2,0),0),"")</f>
        <v/>
      </c>
    </row>
    <row r="932" spans="1:25" hidden="1" x14ac:dyDescent="0.25">
      <c r="A932">
        <v>2615</v>
      </c>
      <c r="B932" t="s">
        <v>2491</v>
      </c>
      <c r="C932" t="s">
        <v>1936</v>
      </c>
      <c r="D932" t="s">
        <v>3575</v>
      </c>
      <c r="F932">
        <v>405</v>
      </c>
      <c r="G932">
        <v>96</v>
      </c>
      <c r="H932" t="s">
        <v>789</v>
      </c>
      <c r="I932" t="s">
        <v>2257</v>
      </c>
      <c r="J932">
        <v>711750</v>
      </c>
      <c r="K932">
        <v>2025</v>
      </c>
      <c r="L932">
        <v>1040034818</v>
      </c>
      <c r="M932" t="s">
        <v>3813</v>
      </c>
      <c r="N932" t="s">
        <v>1688</v>
      </c>
      <c r="O932" t="s">
        <v>1686</v>
      </c>
      <c r="P932">
        <v>0</v>
      </c>
      <c r="Q932">
        <v>711750</v>
      </c>
      <c r="R932">
        <v>0</v>
      </c>
      <c r="S932">
        <v>0</v>
      </c>
      <c r="T932" t="str">
        <f t="shared" si="28"/>
        <v>26152.43.4302.85.0-101024.2.3.3.08.06.</v>
      </c>
      <c r="U932" t="e" cm="1">
        <f t="array" aca="1" ref="U932" ca="1">+IF(COMPROMISOS_2025[[#This Row],[P]]="20","41080111",_xlfn.XLOOKUP(COMPROMISOS_2025[[#This Row],[concatenado]],PAA[[#All],[RCP-RUBRO]],PAA[[#All],[INDICADOR]],"",0))</f>
        <v>#NAME?</v>
      </c>
      <c r="V932" s="144" t="str">
        <f t="shared" si="29"/>
        <v>85</v>
      </c>
      <c r="W932" s="136">
        <f>+COMPROMISOS_2025[[#This Row],[valor_total]]-COMPROMISOS_2025[[#This Row],[total_cancelado]]</f>
        <v>711750</v>
      </c>
      <c r="X932" s="136">
        <f>COMPROMISOS_2025[[#This Row],[total_ordenes]]</f>
        <v>711750</v>
      </c>
      <c r="Y932" t="str" cm="1">
        <f t="array" aca="1" ref="Y932" ca="1">IFERROR(_xlfn.XLOOKUP(COMPROMISOS_2025[[#This Row],[concatenado]],PAA[[#All],[RCP-RUBRO]],PAA[[#All],[Actividad3]],VLOOKUP(COMPROMISOS_2025[[#This Row],[Indicador Principal]],$AC$2:$AD$17,2,0),0),"")</f>
        <v/>
      </c>
    </row>
    <row r="933" spans="1:25" hidden="1" x14ac:dyDescent="0.25">
      <c r="A933">
        <v>2616</v>
      </c>
      <c r="B933" t="s">
        <v>2491</v>
      </c>
      <c r="C933" t="s">
        <v>1936</v>
      </c>
      <c r="D933" t="s">
        <v>3575</v>
      </c>
      <c r="F933">
        <v>405</v>
      </c>
      <c r="G933">
        <v>96</v>
      </c>
      <c r="H933" t="s">
        <v>789</v>
      </c>
      <c r="I933" t="s">
        <v>2257</v>
      </c>
      <c r="J933">
        <v>711750</v>
      </c>
      <c r="K933">
        <v>2025</v>
      </c>
      <c r="L933">
        <v>1040036156</v>
      </c>
      <c r="M933" t="s">
        <v>3814</v>
      </c>
      <c r="N933" t="s">
        <v>1688</v>
      </c>
      <c r="O933" t="s">
        <v>1686</v>
      </c>
      <c r="P933">
        <v>0</v>
      </c>
      <c r="Q933">
        <v>711750</v>
      </c>
      <c r="R933">
        <v>0</v>
      </c>
      <c r="S933">
        <v>0</v>
      </c>
      <c r="T933" t="str">
        <f t="shared" si="28"/>
        <v>26162.43.4302.85.0-101024.2.3.3.08.06.</v>
      </c>
      <c r="U933" t="e" cm="1">
        <f t="array" aca="1" ref="U933" ca="1">+IF(COMPROMISOS_2025[[#This Row],[P]]="20","41080111",_xlfn.XLOOKUP(COMPROMISOS_2025[[#This Row],[concatenado]],PAA[[#All],[RCP-RUBRO]],PAA[[#All],[INDICADOR]],"",0))</f>
        <v>#NAME?</v>
      </c>
      <c r="V933" s="144" t="str">
        <f t="shared" si="29"/>
        <v>85</v>
      </c>
      <c r="W933" s="136">
        <f>+COMPROMISOS_2025[[#This Row],[valor_total]]-COMPROMISOS_2025[[#This Row],[total_cancelado]]</f>
        <v>711750</v>
      </c>
      <c r="X933" s="136">
        <f>COMPROMISOS_2025[[#This Row],[total_ordenes]]</f>
        <v>711750</v>
      </c>
      <c r="Y933" t="str" cm="1">
        <f t="array" aca="1" ref="Y933" ca="1">IFERROR(_xlfn.XLOOKUP(COMPROMISOS_2025[[#This Row],[concatenado]],PAA[[#All],[RCP-RUBRO]],PAA[[#All],[Actividad3]],VLOOKUP(COMPROMISOS_2025[[#This Row],[Indicador Principal]],$AC$2:$AD$17,2,0),0),"")</f>
        <v/>
      </c>
    </row>
    <row r="934" spans="1:25" hidden="1" x14ac:dyDescent="0.25">
      <c r="A934">
        <v>2620</v>
      </c>
      <c r="B934" t="s">
        <v>2491</v>
      </c>
      <c r="C934" t="s">
        <v>1936</v>
      </c>
      <c r="D934" t="s">
        <v>3575</v>
      </c>
      <c r="F934">
        <v>405</v>
      </c>
      <c r="G934">
        <v>96</v>
      </c>
      <c r="H934" t="s">
        <v>789</v>
      </c>
      <c r="I934" t="s">
        <v>2257</v>
      </c>
      <c r="J934">
        <v>711750</v>
      </c>
      <c r="K934">
        <v>2025</v>
      </c>
      <c r="L934">
        <v>1040181256</v>
      </c>
      <c r="M934" t="s">
        <v>3815</v>
      </c>
      <c r="N934" t="s">
        <v>1688</v>
      </c>
      <c r="O934" t="s">
        <v>1686</v>
      </c>
      <c r="P934">
        <v>0</v>
      </c>
      <c r="Q934">
        <v>711750</v>
      </c>
      <c r="R934">
        <v>0</v>
      </c>
      <c r="S934">
        <v>0</v>
      </c>
      <c r="T934" t="str">
        <f t="shared" si="28"/>
        <v>26202.43.4302.85.0-101024.2.3.3.08.06.</v>
      </c>
      <c r="U934" t="e" cm="1">
        <f t="array" aca="1" ref="U934" ca="1">+IF(COMPROMISOS_2025[[#This Row],[P]]="20","41080111",_xlfn.XLOOKUP(COMPROMISOS_2025[[#This Row],[concatenado]],PAA[[#All],[RCP-RUBRO]],PAA[[#All],[INDICADOR]],"",0))</f>
        <v>#NAME?</v>
      </c>
      <c r="V934" s="144" t="str">
        <f t="shared" si="29"/>
        <v>85</v>
      </c>
      <c r="W934" s="136">
        <f>+COMPROMISOS_2025[[#This Row],[valor_total]]-COMPROMISOS_2025[[#This Row],[total_cancelado]]</f>
        <v>711750</v>
      </c>
      <c r="X934" s="136">
        <f>COMPROMISOS_2025[[#This Row],[total_ordenes]]</f>
        <v>711750</v>
      </c>
      <c r="Y934" t="str" cm="1">
        <f t="array" aca="1" ref="Y934" ca="1">IFERROR(_xlfn.XLOOKUP(COMPROMISOS_2025[[#This Row],[concatenado]],PAA[[#All],[RCP-RUBRO]],PAA[[#All],[Actividad3]],VLOOKUP(COMPROMISOS_2025[[#This Row],[Indicador Principal]],$AC$2:$AD$17,2,0),0),"")</f>
        <v/>
      </c>
    </row>
    <row r="935" spans="1:25" hidden="1" x14ac:dyDescent="0.25">
      <c r="A935">
        <v>2624</v>
      </c>
      <c r="B935" t="s">
        <v>2491</v>
      </c>
      <c r="C935" t="s">
        <v>1936</v>
      </c>
      <c r="D935" t="s">
        <v>3575</v>
      </c>
      <c r="F935">
        <v>405</v>
      </c>
      <c r="G935">
        <v>96</v>
      </c>
      <c r="H935" t="s">
        <v>789</v>
      </c>
      <c r="I935" t="s">
        <v>2257</v>
      </c>
      <c r="J935">
        <v>1067625</v>
      </c>
      <c r="K935">
        <v>2025</v>
      </c>
      <c r="L935">
        <v>1040358334</v>
      </c>
      <c r="M935" t="s">
        <v>3816</v>
      </c>
      <c r="N935" t="s">
        <v>1688</v>
      </c>
      <c r="O935" t="s">
        <v>1686</v>
      </c>
      <c r="P935">
        <v>0</v>
      </c>
      <c r="Q935">
        <v>1067625</v>
      </c>
      <c r="R935">
        <v>0</v>
      </c>
      <c r="S935">
        <v>0</v>
      </c>
      <c r="T935" t="str">
        <f t="shared" si="28"/>
        <v>26242.43.4302.85.0-101024.2.3.3.08.06.</v>
      </c>
      <c r="U935" t="e" cm="1">
        <f t="array" aca="1" ref="U935" ca="1">+IF(COMPROMISOS_2025[[#This Row],[P]]="20","41080111",_xlfn.XLOOKUP(COMPROMISOS_2025[[#This Row],[concatenado]],PAA[[#All],[RCP-RUBRO]],PAA[[#All],[INDICADOR]],"",0))</f>
        <v>#NAME?</v>
      </c>
      <c r="V935" s="144" t="str">
        <f t="shared" si="29"/>
        <v>85</v>
      </c>
      <c r="W935" s="136">
        <f>+COMPROMISOS_2025[[#This Row],[valor_total]]-COMPROMISOS_2025[[#This Row],[total_cancelado]]</f>
        <v>1067625</v>
      </c>
      <c r="X935" s="136">
        <f>COMPROMISOS_2025[[#This Row],[total_ordenes]]</f>
        <v>1067625</v>
      </c>
      <c r="Y935" t="str" cm="1">
        <f t="array" aca="1" ref="Y935" ca="1">IFERROR(_xlfn.XLOOKUP(COMPROMISOS_2025[[#This Row],[concatenado]],PAA[[#All],[RCP-RUBRO]],PAA[[#All],[Actividad3]],VLOOKUP(COMPROMISOS_2025[[#This Row],[Indicador Principal]],$AC$2:$AD$17,2,0),0),"")</f>
        <v/>
      </c>
    </row>
    <row r="936" spans="1:25" hidden="1" x14ac:dyDescent="0.25">
      <c r="A936">
        <v>2625</v>
      </c>
      <c r="B936" t="s">
        <v>2491</v>
      </c>
      <c r="C936" t="s">
        <v>1936</v>
      </c>
      <c r="D936" t="s">
        <v>3575</v>
      </c>
      <c r="F936">
        <v>405</v>
      </c>
      <c r="G936">
        <v>96</v>
      </c>
      <c r="H936" t="s">
        <v>789</v>
      </c>
      <c r="I936" t="s">
        <v>2257</v>
      </c>
      <c r="J936">
        <v>711750</v>
      </c>
      <c r="K936">
        <v>2025</v>
      </c>
      <c r="L936">
        <v>1040359328</v>
      </c>
      <c r="M936" t="s">
        <v>3817</v>
      </c>
      <c r="N936" t="s">
        <v>1688</v>
      </c>
      <c r="O936" t="s">
        <v>1686</v>
      </c>
      <c r="P936">
        <v>0</v>
      </c>
      <c r="Q936">
        <v>711750</v>
      </c>
      <c r="R936">
        <v>0</v>
      </c>
      <c r="S936">
        <v>0</v>
      </c>
      <c r="T936" t="str">
        <f t="shared" si="28"/>
        <v>26252.43.4302.85.0-101024.2.3.3.08.06.</v>
      </c>
      <c r="U936" t="e" cm="1">
        <f t="array" aca="1" ref="U936" ca="1">+IF(COMPROMISOS_2025[[#This Row],[P]]="20","41080111",_xlfn.XLOOKUP(COMPROMISOS_2025[[#This Row],[concatenado]],PAA[[#All],[RCP-RUBRO]],PAA[[#All],[INDICADOR]],"",0))</f>
        <v>#NAME?</v>
      </c>
      <c r="V936" s="144" t="str">
        <f t="shared" si="29"/>
        <v>85</v>
      </c>
      <c r="W936" s="136">
        <f>+COMPROMISOS_2025[[#This Row],[valor_total]]-COMPROMISOS_2025[[#This Row],[total_cancelado]]</f>
        <v>711750</v>
      </c>
      <c r="X936" s="136">
        <f>COMPROMISOS_2025[[#This Row],[total_ordenes]]</f>
        <v>711750</v>
      </c>
      <c r="Y936" t="str" cm="1">
        <f t="array" aca="1" ref="Y936" ca="1">IFERROR(_xlfn.XLOOKUP(COMPROMISOS_2025[[#This Row],[concatenado]],PAA[[#All],[RCP-RUBRO]],PAA[[#All],[Actividad3]],VLOOKUP(COMPROMISOS_2025[[#This Row],[Indicador Principal]],$AC$2:$AD$17,2,0),0),"")</f>
        <v/>
      </c>
    </row>
    <row r="937" spans="1:25" hidden="1" x14ac:dyDescent="0.25">
      <c r="A937">
        <v>2626</v>
      </c>
      <c r="B937" t="s">
        <v>2491</v>
      </c>
      <c r="C937" t="s">
        <v>1936</v>
      </c>
      <c r="D937" t="s">
        <v>3575</v>
      </c>
      <c r="F937">
        <v>405</v>
      </c>
      <c r="G937">
        <v>96</v>
      </c>
      <c r="H937" t="s">
        <v>789</v>
      </c>
      <c r="I937" t="s">
        <v>2257</v>
      </c>
      <c r="J937">
        <v>711750</v>
      </c>
      <c r="K937">
        <v>2025</v>
      </c>
      <c r="L937">
        <v>1040362732</v>
      </c>
      <c r="M937" t="s">
        <v>3818</v>
      </c>
      <c r="N937" t="s">
        <v>1688</v>
      </c>
      <c r="O937" t="s">
        <v>1686</v>
      </c>
      <c r="P937">
        <v>0</v>
      </c>
      <c r="Q937">
        <v>711750</v>
      </c>
      <c r="R937">
        <v>0</v>
      </c>
      <c r="S937">
        <v>0</v>
      </c>
      <c r="T937" t="str">
        <f t="shared" si="28"/>
        <v>26262.43.4302.85.0-101024.2.3.3.08.06.</v>
      </c>
      <c r="U937" t="e" cm="1">
        <f t="array" aca="1" ref="U937" ca="1">+IF(COMPROMISOS_2025[[#This Row],[P]]="20","41080111",_xlfn.XLOOKUP(COMPROMISOS_2025[[#This Row],[concatenado]],PAA[[#All],[RCP-RUBRO]],PAA[[#All],[INDICADOR]],"",0))</f>
        <v>#NAME?</v>
      </c>
      <c r="V937" s="144" t="str">
        <f t="shared" si="29"/>
        <v>85</v>
      </c>
      <c r="W937" s="136">
        <f>+COMPROMISOS_2025[[#This Row],[valor_total]]-COMPROMISOS_2025[[#This Row],[total_cancelado]]</f>
        <v>711750</v>
      </c>
      <c r="X937" s="136">
        <f>COMPROMISOS_2025[[#This Row],[total_ordenes]]</f>
        <v>711750</v>
      </c>
      <c r="Y937" t="str" cm="1">
        <f t="array" aca="1" ref="Y937" ca="1">IFERROR(_xlfn.XLOOKUP(COMPROMISOS_2025[[#This Row],[concatenado]],PAA[[#All],[RCP-RUBRO]],PAA[[#All],[Actividad3]],VLOOKUP(COMPROMISOS_2025[[#This Row],[Indicador Principal]],$AC$2:$AD$17,2,0),0),"")</f>
        <v/>
      </c>
    </row>
    <row r="938" spans="1:25" hidden="1" x14ac:dyDescent="0.25">
      <c r="A938">
        <v>2628</v>
      </c>
      <c r="B938" t="s">
        <v>2491</v>
      </c>
      <c r="C938" t="s">
        <v>1936</v>
      </c>
      <c r="D938" t="s">
        <v>3575</v>
      </c>
      <c r="F938">
        <v>405</v>
      </c>
      <c r="G938">
        <v>96</v>
      </c>
      <c r="H938" t="s">
        <v>789</v>
      </c>
      <c r="I938" t="s">
        <v>2257</v>
      </c>
      <c r="J938">
        <v>1067625</v>
      </c>
      <c r="K938">
        <v>2025</v>
      </c>
      <c r="L938">
        <v>1040368312</v>
      </c>
      <c r="M938" t="s">
        <v>3819</v>
      </c>
      <c r="N938" t="s">
        <v>1688</v>
      </c>
      <c r="O938" t="s">
        <v>1686</v>
      </c>
      <c r="P938">
        <v>0</v>
      </c>
      <c r="Q938">
        <v>1067625</v>
      </c>
      <c r="R938">
        <v>0</v>
      </c>
      <c r="S938">
        <v>0</v>
      </c>
      <c r="T938" t="str">
        <f t="shared" si="28"/>
        <v>26282.43.4302.85.0-101024.2.3.3.08.06.</v>
      </c>
      <c r="U938" t="e" cm="1">
        <f t="array" aca="1" ref="U938" ca="1">+IF(COMPROMISOS_2025[[#This Row],[P]]="20","41080111",_xlfn.XLOOKUP(COMPROMISOS_2025[[#This Row],[concatenado]],PAA[[#All],[RCP-RUBRO]],PAA[[#All],[INDICADOR]],"",0))</f>
        <v>#NAME?</v>
      </c>
      <c r="V938" s="144" t="str">
        <f t="shared" si="29"/>
        <v>85</v>
      </c>
      <c r="W938" s="136">
        <f>+COMPROMISOS_2025[[#This Row],[valor_total]]-COMPROMISOS_2025[[#This Row],[total_cancelado]]</f>
        <v>1067625</v>
      </c>
      <c r="X938" s="136">
        <f>COMPROMISOS_2025[[#This Row],[total_ordenes]]</f>
        <v>1067625</v>
      </c>
      <c r="Y938" t="str" cm="1">
        <f t="array" aca="1" ref="Y938" ca="1">IFERROR(_xlfn.XLOOKUP(COMPROMISOS_2025[[#This Row],[concatenado]],PAA[[#All],[RCP-RUBRO]],PAA[[#All],[Actividad3]],VLOOKUP(COMPROMISOS_2025[[#This Row],[Indicador Principal]],$AC$2:$AD$17,2,0),0),"")</f>
        <v/>
      </c>
    </row>
    <row r="939" spans="1:25" hidden="1" x14ac:dyDescent="0.25">
      <c r="A939">
        <v>2629</v>
      </c>
      <c r="B939" t="s">
        <v>2491</v>
      </c>
      <c r="C939" t="s">
        <v>1936</v>
      </c>
      <c r="D939" t="s">
        <v>3575</v>
      </c>
      <c r="F939">
        <v>405</v>
      </c>
      <c r="G939">
        <v>96</v>
      </c>
      <c r="H939" t="s">
        <v>789</v>
      </c>
      <c r="I939" t="s">
        <v>2257</v>
      </c>
      <c r="J939">
        <v>711750</v>
      </c>
      <c r="K939">
        <v>2025</v>
      </c>
      <c r="L939">
        <v>1040494163</v>
      </c>
      <c r="M939" t="s">
        <v>3820</v>
      </c>
      <c r="N939" t="s">
        <v>1688</v>
      </c>
      <c r="O939" t="s">
        <v>1686</v>
      </c>
      <c r="P939">
        <v>0</v>
      </c>
      <c r="Q939">
        <v>711750</v>
      </c>
      <c r="R939">
        <v>0</v>
      </c>
      <c r="S939">
        <v>0</v>
      </c>
      <c r="T939" t="str">
        <f t="shared" si="28"/>
        <v>26292.43.4302.85.0-101024.2.3.3.08.06.</v>
      </c>
      <c r="U939" t="e" cm="1">
        <f t="array" aca="1" ref="U939" ca="1">+IF(COMPROMISOS_2025[[#This Row],[P]]="20","41080111",_xlfn.XLOOKUP(COMPROMISOS_2025[[#This Row],[concatenado]],PAA[[#All],[RCP-RUBRO]],PAA[[#All],[INDICADOR]],"",0))</f>
        <v>#NAME?</v>
      </c>
      <c r="V939" s="144" t="str">
        <f t="shared" si="29"/>
        <v>85</v>
      </c>
      <c r="W939" s="136">
        <f>+COMPROMISOS_2025[[#This Row],[valor_total]]-COMPROMISOS_2025[[#This Row],[total_cancelado]]</f>
        <v>711750</v>
      </c>
      <c r="X939" s="136">
        <f>COMPROMISOS_2025[[#This Row],[total_ordenes]]</f>
        <v>711750</v>
      </c>
      <c r="Y939" t="str" cm="1">
        <f t="array" aca="1" ref="Y939" ca="1">IFERROR(_xlfn.XLOOKUP(COMPROMISOS_2025[[#This Row],[concatenado]],PAA[[#All],[RCP-RUBRO]],PAA[[#All],[Actividad3]],VLOOKUP(COMPROMISOS_2025[[#This Row],[Indicador Principal]],$AC$2:$AD$17,2,0),0),"")</f>
        <v/>
      </c>
    </row>
    <row r="940" spans="1:25" hidden="1" x14ac:dyDescent="0.25">
      <c r="A940">
        <v>2632</v>
      </c>
      <c r="B940" t="s">
        <v>2491</v>
      </c>
      <c r="C940" t="s">
        <v>1936</v>
      </c>
      <c r="D940" t="s">
        <v>3575</v>
      </c>
      <c r="F940">
        <v>405</v>
      </c>
      <c r="G940">
        <v>96</v>
      </c>
      <c r="H940" t="s">
        <v>789</v>
      </c>
      <c r="I940" t="s">
        <v>2257</v>
      </c>
      <c r="J940">
        <v>711750</v>
      </c>
      <c r="K940">
        <v>2025</v>
      </c>
      <c r="L940">
        <v>1040572488</v>
      </c>
      <c r="M940" t="s">
        <v>3821</v>
      </c>
      <c r="N940" t="s">
        <v>1688</v>
      </c>
      <c r="O940" t="s">
        <v>1686</v>
      </c>
      <c r="P940">
        <v>0</v>
      </c>
      <c r="Q940">
        <v>711750</v>
      </c>
      <c r="R940">
        <v>0</v>
      </c>
      <c r="S940">
        <v>0</v>
      </c>
      <c r="T940" t="str">
        <f t="shared" si="28"/>
        <v>26322.43.4302.85.0-101024.2.3.3.08.06.</v>
      </c>
      <c r="U940" t="e" cm="1">
        <f t="array" aca="1" ref="U940" ca="1">+IF(COMPROMISOS_2025[[#This Row],[P]]="20","41080111",_xlfn.XLOOKUP(COMPROMISOS_2025[[#This Row],[concatenado]],PAA[[#All],[RCP-RUBRO]],PAA[[#All],[INDICADOR]],"",0))</f>
        <v>#NAME?</v>
      </c>
      <c r="V940" s="144" t="str">
        <f t="shared" si="29"/>
        <v>85</v>
      </c>
      <c r="W940" s="136">
        <f>+COMPROMISOS_2025[[#This Row],[valor_total]]-COMPROMISOS_2025[[#This Row],[total_cancelado]]</f>
        <v>711750</v>
      </c>
      <c r="X940" s="136">
        <f>COMPROMISOS_2025[[#This Row],[total_ordenes]]</f>
        <v>711750</v>
      </c>
      <c r="Y940" t="str" cm="1">
        <f t="array" aca="1" ref="Y940" ca="1">IFERROR(_xlfn.XLOOKUP(COMPROMISOS_2025[[#This Row],[concatenado]],PAA[[#All],[RCP-RUBRO]],PAA[[#All],[Actividad3]],VLOOKUP(COMPROMISOS_2025[[#This Row],[Indicador Principal]],$AC$2:$AD$17,2,0),0),"")</f>
        <v/>
      </c>
    </row>
    <row r="941" spans="1:25" hidden="1" x14ac:dyDescent="0.25">
      <c r="A941">
        <v>2633</v>
      </c>
      <c r="B941" t="s">
        <v>2491</v>
      </c>
      <c r="C941" t="s">
        <v>1936</v>
      </c>
      <c r="D941" t="s">
        <v>3575</v>
      </c>
      <c r="F941">
        <v>405</v>
      </c>
      <c r="G941">
        <v>96</v>
      </c>
      <c r="H941" t="s">
        <v>789</v>
      </c>
      <c r="I941" t="s">
        <v>2257</v>
      </c>
      <c r="J941">
        <v>2847000</v>
      </c>
      <c r="K941">
        <v>2025</v>
      </c>
      <c r="L941">
        <v>1040750941</v>
      </c>
      <c r="M941" t="s">
        <v>3822</v>
      </c>
      <c r="N941" t="s">
        <v>1688</v>
      </c>
      <c r="O941" t="s">
        <v>1686</v>
      </c>
      <c r="P941">
        <v>0</v>
      </c>
      <c r="Q941">
        <v>2847000</v>
      </c>
      <c r="R941">
        <v>0</v>
      </c>
      <c r="S941">
        <v>0</v>
      </c>
      <c r="T941" t="str">
        <f t="shared" si="28"/>
        <v>26332.43.4302.85.0-101024.2.3.3.08.06.</v>
      </c>
      <c r="U941" t="e" cm="1">
        <f t="array" aca="1" ref="U941" ca="1">+IF(COMPROMISOS_2025[[#This Row],[P]]="20","41080111",_xlfn.XLOOKUP(COMPROMISOS_2025[[#This Row],[concatenado]],PAA[[#All],[RCP-RUBRO]],PAA[[#All],[INDICADOR]],"",0))</f>
        <v>#NAME?</v>
      </c>
      <c r="V941" s="144" t="str">
        <f t="shared" si="29"/>
        <v>85</v>
      </c>
      <c r="W941" s="136">
        <f>+COMPROMISOS_2025[[#This Row],[valor_total]]-COMPROMISOS_2025[[#This Row],[total_cancelado]]</f>
        <v>2847000</v>
      </c>
      <c r="X941" s="136">
        <f>COMPROMISOS_2025[[#This Row],[total_ordenes]]</f>
        <v>2847000</v>
      </c>
      <c r="Y941" t="str" cm="1">
        <f t="array" aca="1" ref="Y941" ca="1">IFERROR(_xlfn.XLOOKUP(COMPROMISOS_2025[[#This Row],[concatenado]],PAA[[#All],[RCP-RUBRO]],PAA[[#All],[Actividad3]],VLOOKUP(COMPROMISOS_2025[[#This Row],[Indicador Principal]],$AC$2:$AD$17,2,0),0),"")</f>
        <v/>
      </c>
    </row>
    <row r="942" spans="1:25" hidden="1" x14ac:dyDescent="0.25">
      <c r="A942">
        <v>2637</v>
      </c>
      <c r="B942" t="s">
        <v>2491</v>
      </c>
      <c r="C942" t="s">
        <v>1936</v>
      </c>
      <c r="D942" t="s">
        <v>3575</v>
      </c>
      <c r="F942">
        <v>405</v>
      </c>
      <c r="G942">
        <v>96</v>
      </c>
      <c r="H942" t="s">
        <v>789</v>
      </c>
      <c r="I942" t="s">
        <v>2257</v>
      </c>
      <c r="J942">
        <v>711750</v>
      </c>
      <c r="K942">
        <v>2025</v>
      </c>
      <c r="L942">
        <v>1040873177</v>
      </c>
      <c r="M942" t="s">
        <v>3823</v>
      </c>
      <c r="N942" t="s">
        <v>1688</v>
      </c>
      <c r="O942" t="s">
        <v>1686</v>
      </c>
      <c r="P942">
        <v>0</v>
      </c>
      <c r="Q942">
        <v>711750</v>
      </c>
      <c r="R942">
        <v>0</v>
      </c>
      <c r="S942">
        <v>0</v>
      </c>
      <c r="T942" t="str">
        <f t="shared" si="28"/>
        <v>26372.43.4302.85.0-101024.2.3.3.08.06.</v>
      </c>
      <c r="U942" t="e" cm="1">
        <f t="array" aca="1" ref="U942" ca="1">+IF(COMPROMISOS_2025[[#This Row],[P]]="20","41080111",_xlfn.XLOOKUP(COMPROMISOS_2025[[#This Row],[concatenado]],PAA[[#All],[RCP-RUBRO]],PAA[[#All],[INDICADOR]],"",0))</f>
        <v>#NAME?</v>
      </c>
      <c r="V942" s="144" t="str">
        <f t="shared" si="29"/>
        <v>85</v>
      </c>
      <c r="W942" s="136">
        <f>+COMPROMISOS_2025[[#This Row],[valor_total]]-COMPROMISOS_2025[[#This Row],[total_cancelado]]</f>
        <v>711750</v>
      </c>
      <c r="X942" s="136">
        <f>COMPROMISOS_2025[[#This Row],[total_ordenes]]</f>
        <v>711750</v>
      </c>
      <c r="Y942" t="str" cm="1">
        <f t="array" aca="1" ref="Y942" ca="1">IFERROR(_xlfn.XLOOKUP(COMPROMISOS_2025[[#This Row],[concatenado]],PAA[[#All],[RCP-RUBRO]],PAA[[#All],[Actividad3]],VLOOKUP(COMPROMISOS_2025[[#This Row],[Indicador Principal]],$AC$2:$AD$17,2,0),0),"")</f>
        <v/>
      </c>
    </row>
    <row r="943" spans="1:25" hidden="1" x14ac:dyDescent="0.25">
      <c r="A943">
        <v>2640</v>
      </c>
      <c r="B943" t="s">
        <v>2491</v>
      </c>
      <c r="C943" t="s">
        <v>1936</v>
      </c>
      <c r="D943" t="s">
        <v>3575</v>
      </c>
      <c r="F943">
        <v>405</v>
      </c>
      <c r="G943">
        <v>96</v>
      </c>
      <c r="H943" t="s">
        <v>789</v>
      </c>
      <c r="I943" t="s">
        <v>2257</v>
      </c>
      <c r="J943">
        <v>711750</v>
      </c>
      <c r="K943">
        <v>2025</v>
      </c>
      <c r="L943">
        <v>1040976282</v>
      </c>
      <c r="M943" t="s">
        <v>3824</v>
      </c>
      <c r="N943" t="s">
        <v>1688</v>
      </c>
      <c r="O943" t="s">
        <v>1686</v>
      </c>
      <c r="P943">
        <v>0</v>
      </c>
      <c r="Q943">
        <v>711750</v>
      </c>
      <c r="R943">
        <v>0</v>
      </c>
      <c r="S943">
        <v>0</v>
      </c>
      <c r="T943" t="str">
        <f t="shared" si="28"/>
        <v>26402.43.4302.85.0-101024.2.3.3.08.06.</v>
      </c>
      <c r="U943" t="e" cm="1">
        <f t="array" aca="1" ref="U943" ca="1">+IF(COMPROMISOS_2025[[#This Row],[P]]="20","41080111",_xlfn.XLOOKUP(COMPROMISOS_2025[[#This Row],[concatenado]],PAA[[#All],[RCP-RUBRO]],PAA[[#All],[INDICADOR]],"",0))</f>
        <v>#NAME?</v>
      </c>
      <c r="V943" s="144" t="str">
        <f t="shared" si="29"/>
        <v>85</v>
      </c>
      <c r="W943" s="136">
        <f>+COMPROMISOS_2025[[#This Row],[valor_total]]-COMPROMISOS_2025[[#This Row],[total_cancelado]]</f>
        <v>711750</v>
      </c>
      <c r="X943" s="136">
        <f>COMPROMISOS_2025[[#This Row],[total_ordenes]]</f>
        <v>711750</v>
      </c>
      <c r="Y943" t="str" cm="1">
        <f t="array" aca="1" ref="Y943" ca="1">IFERROR(_xlfn.XLOOKUP(COMPROMISOS_2025[[#This Row],[concatenado]],PAA[[#All],[RCP-RUBRO]],PAA[[#All],[Actividad3]],VLOOKUP(COMPROMISOS_2025[[#This Row],[Indicador Principal]],$AC$2:$AD$17,2,0),0),"")</f>
        <v/>
      </c>
    </row>
    <row r="944" spans="1:25" hidden="1" x14ac:dyDescent="0.25">
      <c r="A944">
        <v>2641</v>
      </c>
      <c r="B944" t="s">
        <v>2491</v>
      </c>
      <c r="C944" t="s">
        <v>1936</v>
      </c>
      <c r="D944" t="s">
        <v>3575</v>
      </c>
      <c r="F944">
        <v>405</v>
      </c>
      <c r="G944">
        <v>96</v>
      </c>
      <c r="H944" t="s">
        <v>789</v>
      </c>
      <c r="I944" t="s">
        <v>2257</v>
      </c>
      <c r="J944">
        <v>1423500</v>
      </c>
      <c r="K944">
        <v>2025</v>
      </c>
      <c r="L944">
        <v>1041229877</v>
      </c>
      <c r="M944" t="s">
        <v>3825</v>
      </c>
      <c r="N944" t="s">
        <v>1688</v>
      </c>
      <c r="O944" t="s">
        <v>1686</v>
      </c>
      <c r="P944">
        <v>0</v>
      </c>
      <c r="Q944">
        <v>1423500</v>
      </c>
      <c r="R944">
        <v>0</v>
      </c>
      <c r="S944">
        <v>0</v>
      </c>
      <c r="T944" t="str">
        <f t="shared" si="28"/>
        <v>26412.43.4302.85.0-101024.2.3.3.08.06.</v>
      </c>
      <c r="U944" t="e" cm="1">
        <f t="array" aca="1" ref="U944" ca="1">+IF(COMPROMISOS_2025[[#This Row],[P]]="20","41080111",_xlfn.XLOOKUP(COMPROMISOS_2025[[#This Row],[concatenado]],PAA[[#All],[RCP-RUBRO]],PAA[[#All],[INDICADOR]],"",0))</f>
        <v>#NAME?</v>
      </c>
      <c r="V944" s="144" t="str">
        <f t="shared" si="29"/>
        <v>85</v>
      </c>
      <c r="W944" s="136">
        <f>+COMPROMISOS_2025[[#This Row],[valor_total]]-COMPROMISOS_2025[[#This Row],[total_cancelado]]</f>
        <v>1423500</v>
      </c>
      <c r="X944" s="136">
        <f>COMPROMISOS_2025[[#This Row],[total_ordenes]]</f>
        <v>1423500</v>
      </c>
      <c r="Y944" t="str" cm="1">
        <f t="array" aca="1" ref="Y944" ca="1">IFERROR(_xlfn.XLOOKUP(COMPROMISOS_2025[[#This Row],[concatenado]],PAA[[#All],[RCP-RUBRO]],PAA[[#All],[Actividad3]],VLOOKUP(COMPROMISOS_2025[[#This Row],[Indicador Principal]],$AC$2:$AD$17,2,0),0),"")</f>
        <v/>
      </c>
    </row>
    <row r="945" spans="1:25" hidden="1" x14ac:dyDescent="0.25">
      <c r="A945">
        <v>2643</v>
      </c>
      <c r="B945" t="s">
        <v>2491</v>
      </c>
      <c r="C945" t="s">
        <v>1936</v>
      </c>
      <c r="D945" t="s">
        <v>3575</v>
      </c>
      <c r="F945">
        <v>405</v>
      </c>
      <c r="G945">
        <v>96</v>
      </c>
      <c r="H945" t="s">
        <v>789</v>
      </c>
      <c r="I945" t="s">
        <v>2257</v>
      </c>
      <c r="J945">
        <v>711750</v>
      </c>
      <c r="K945">
        <v>2025</v>
      </c>
      <c r="L945">
        <v>1041530843</v>
      </c>
      <c r="M945" t="s">
        <v>3826</v>
      </c>
      <c r="N945" t="s">
        <v>1688</v>
      </c>
      <c r="O945" t="s">
        <v>1686</v>
      </c>
      <c r="P945">
        <v>0</v>
      </c>
      <c r="Q945">
        <v>711750</v>
      </c>
      <c r="R945">
        <v>0</v>
      </c>
      <c r="S945">
        <v>0</v>
      </c>
      <c r="T945" t="str">
        <f t="shared" si="28"/>
        <v>26432.43.4302.85.0-101024.2.3.3.08.06.</v>
      </c>
      <c r="U945" t="e" cm="1">
        <f t="array" aca="1" ref="U945" ca="1">+IF(COMPROMISOS_2025[[#This Row],[P]]="20","41080111",_xlfn.XLOOKUP(COMPROMISOS_2025[[#This Row],[concatenado]],PAA[[#All],[RCP-RUBRO]],PAA[[#All],[INDICADOR]],"",0))</f>
        <v>#NAME?</v>
      </c>
      <c r="V945" s="144" t="str">
        <f t="shared" si="29"/>
        <v>85</v>
      </c>
      <c r="W945" s="136">
        <f>+COMPROMISOS_2025[[#This Row],[valor_total]]-COMPROMISOS_2025[[#This Row],[total_cancelado]]</f>
        <v>711750</v>
      </c>
      <c r="X945" s="136">
        <f>COMPROMISOS_2025[[#This Row],[total_ordenes]]</f>
        <v>711750</v>
      </c>
      <c r="Y945" t="str" cm="1">
        <f t="array" aca="1" ref="Y945" ca="1">IFERROR(_xlfn.XLOOKUP(COMPROMISOS_2025[[#This Row],[concatenado]],PAA[[#All],[RCP-RUBRO]],PAA[[#All],[Actividad3]],VLOOKUP(COMPROMISOS_2025[[#This Row],[Indicador Principal]],$AC$2:$AD$17,2,0),0),"")</f>
        <v/>
      </c>
    </row>
    <row r="946" spans="1:25" hidden="1" x14ac:dyDescent="0.25">
      <c r="A946">
        <v>2645</v>
      </c>
      <c r="B946" t="s">
        <v>2491</v>
      </c>
      <c r="C946" t="s">
        <v>1936</v>
      </c>
      <c r="D946" t="s">
        <v>3575</v>
      </c>
      <c r="F946">
        <v>405</v>
      </c>
      <c r="G946">
        <v>96</v>
      </c>
      <c r="H946" t="s">
        <v>789</v>
      </c>
      <c r="I946" t="s">
        <v>2257</v>
      </c>
      <c r="J946">
        <v>1067625</v>
      </c>
      <c r="K946">
        <v>2025</v>
      </c>
      <c r="L946">
        <v>1042151492</v>
      </c>
      <c r="M946" t="s">
        <v>3827</v>
      </c>
      <c r="N946" t="s">
        <v>1688</v>
      </c>
      <c r="O946" t="s">
        <v>1686</v>
      </c>
      <c r="P946">
        <v>0</v>
      </c>
      <c r="Q946">
        <v>1067625</v>
      </c>
      <c r="R946">
        <v>0</v>
      </c>
      <c r="S946">
        <v>0</v>
      </c>
      <c r="T946" t="str">
        <f t="shared" si="28"/>
        <v>26452.43.4302.85.0-101024.2.3.3.08.06.</v>
      </c>
      <c r="U946" t="e" cm="1">
        <f t="array" aca="1" ref="U946" ca="1">+IF(COMPROMISOS_2025[[#This Row],[P]]="20","41080111",_xlfn.XLOOKUP(COMPROMISOS_2025[[#This Row],[concatenado]],PAA[[#All],[RCP-RUBRO]],PAA[[#All],[INDICADOR]],"",0))</f>
        <v>#NAME?</v>
      </c>
      <c r="V946" s="144" t="str">
        <f t="shared" si="29"/>
        <v>85</v>
      </c>
      <c r="W946" s="136">
        <f>+COMPROMISOS_2025[[#This Row],[valor_total]]-COMPROMISOS_2025[[#This Row],[total_cancelado]]</f>
        <v>1067625</v>
      </c>
      <c r="X946" s="136">
        <f>COMPROMISOS_2025[[#This Row],[total_ordenes]]</f>
        <v>1067625</v>
      </c>
      <c r="Y946" t="str" cm="1">
        <f t="array" aca="1" ref="Y946" ca="1">IFERROR(_xlfn.XLOOKUP(COMPROMISOS_2025[[#This Row],[concatenado]],PAA[[#All],[RCP-RUBRO]],PAA[[#All],[Actividad3]],VLOOKUP(COMPROMISOS_2025[[#This Row],[Indicador Principal]],$AC$2:$AD$17,2,0),0),"")</f>
        <v/>
      </c>
    </row>
    <row r="947" spans="1:25" hidden="1" x14ac:dyDescent="0.25">
      <c r="A947">
        <v>2647</v>
      </c>
      <c r="B947" t="s">
        <v>2491</v>
      </c>
      <c r="C947" t="s">
        <v>1936</v>
      </c>
      <c r="D947" t="s">
        <v>3575</v>
      </c>
      <c r="F947">
        <v>405</v>
      </c>
      <c r="G947">
        <v>96</v>
      </c>
      <c r="H947" t="s">
        <v>789</v>
      </c>
      <c r="I947" t="s">
        <v>2257</v>
      </c>
      <c r="J947">
        <v>711750</v>
      </c>
      <c r="K947">
        <v>2025</v>
      </c>
      <c r="L947">
        <v>1042775483</v>
      </c>
      <c r="M947" t="s">
        <v>3828</v>
      </c>
      <c r="N947" t="s">
        <v>1688</v>
      </c>
      <c r="O947" t="s">
        <v>1686</v>
      </c>
      <c r="P947">
        <v>0</v>
      </c>
      <c r="Q947">
        <v>711750</v>
      </c>
      <c r="R947">
        <v>0</v>
      </c>
      <c r="S947">
        <v>0</v>
      </c>
      <c r="T947" t="str">
        <f t="shared" si="28"/>
        <v>26472.43.4302.85.0-101024.2.3.3.08.06.</v>
      </c>
      <c r="U947" t="e" cm="1">
        <f t="array" aca="1" ref="U947" ca="1">+IF(COMPROMISOS_2025[[#This Row],[P]]="20","41080111",_xlfn.XLOOKUP(COMPROMISOS_2025[[#This Row],[concatenado]],PAA[[#All],[RCP-RUBRO]],PAA[[#All],[INDICADOR]],"",0))</f>
        <v>#NAME?</v>
      </c>
      <c r="V947" s="144" t="str">
        <f t="shared" si="29"/>
        <v>85</v>
      </c>
      <c r="W947" s="136">
        <f>+COMPROMISOS_2025[[#This Row],[valor_total]]-COMPROMISOS_2025[[#This Row],[total_cancelado]]</f>
        <v>711750</v>
      </c>
      <c r="X947" s="136">
        <f>COMPROMISOS_2025[[#This Row],[total_ordenes]]</f>
        <v>711750</v>
      </c>
      <c r="Y947" t="str" cm="1">
        <f t="array" aca="1" ref="Y947" ca="1">IFERROR(_xlfn.XLOOKUP(COMPROMISOS_2025[[#This Row],[concatenado]],PAA[[#All],[RCP-RUBRO]],PAA[[#All],[Actividad3]],VLOOKUP(COMPROMISOS_2025[[#This Row],[Indicador Principal]],$AC$2:$AD$17,2,0),0),"")</f>
        <v/>
      </c>
    </row>
    <row r="948" spans="1:25" hidden="1" x14ac:dyDescent="0.25">
      <c r="A948">
        <v>2650</v>
      </c>
      <c r="B948" t="s">
        <v>2491</v>
      </c>
      <c r="C948" t="s">
        <v>1936</v>
      </c>
      <c r="D948" t="s">
        <v>3575</v>
      </c>
      <c r="F948">
        <v>405</v>
      </c>
      <c r="G948">
        <v>96</v>
      </c>
      <c r="H948" t="s">
        <v>789</v>
      </c>
      <c r="I948" t="s">
        <v>2257</v>
      </c>
      <c r="J948">
        <v>711750</v>
      </c>
      <c r="K948">
        <v>2025</v>
      </c>
      <c r="L948">
        <v>1043660921</v>
      </c>
      <c r="M948" t="s">
        <v>3829</v>
      </c>
      <c r="N948" t="s">
        <v>1688</v>
      </c>
      <c r="O948" t="s">
        <v>1686</v>
      </c>
      <c r="P948">
        <v>0</v>
      </c>
      <c r="Q948">
        <v>711750</v>
      </c>
      <c r="R948">
        <v>0</v>
      </c>
      <c r="S948">
        <v>0</v>
      </c>
      <c r="T948" t="str">
        <f t="shared" si="28"/>
        <v>26502.43.4302.85.0-101024.2.3.3.08.06.</v>
      </c>
      <c r="U948" t="e" cm="1">
        <f t="array" aca="1" ref="U948" ca="1">+IF(COMPROMISOS_2025[[#This Row],[P]]="20","41080111",_xlfn.XLOOKUP(COMPROMISOS_2025[[#This Row],[concatenado]],PAA[[#All],[RCP-RUBRO]],PAA[[#All],[INDICADOR]],"",0))</f>
        <v>#NAME?</v>
      </c>
      <c r="V948" s="144" t="str">
        <f t="shared" si="29"/>
        <v>85</v>
      </c>
      <c r="W948" s="136">
        <f>+COMPROMISOS_2025[[#This Row],[valor_total]]-COMPROMISOS_2025[[#This Row],[total_cancelado]]</f>
        <v>711750</v>
      </c>
      <c r="X948" s="136">
        <f>COMPROMISOS_2025[[#This Row],[total_ordenes]]</f>
        <v>711750</v>
      </c>
      <c r="Y948" t="str" cm="1">
        <f t="array" aca="1" ref="Y948" ca="1">IFERROR(_xlfn.XLOOKUP(COMPROMISOS_2025[[#This Row],[concatenado]],PAA[[#All],[RCP-RUBRO]],PAA[[#All],[Actividad3]],VLOOKUP(COMPROMISOS_2025[[#This Row],[Indicador Principal]],$AC$2:$AD$17,2,0),0),"")</f>
        <v/>
      </c>
    </row>
    <row r="949" spans="1:25" hidden="1" x14ac:dyDescent="0.25">
      <c r="A949">
        <v>2653</v>
      </c>
      <c r="B949" t="s">
        <v>2491</v>
      </c>
      <c r="C949" t="s">
        <v>1936</v>
      </c>
      <c r="D949" t="s">
        <v>3575</v>
      </c>
      <c r="F949">
        <v>405</v>
      </c>
      <c r="G949">
        <v>96</v>
      </c>
      <c r="H949" t="s">
        <v>789</v>
      </c>
      <c r="I949" t="s">
        <v>2257</v>
      </c>
      <c r="J949">
        <v>711750</v>
      </c>
      <c r="K949">
        <v>2025</v>
      </c>
      <c r="L949">
        <v>1044502908</v>
      </c>
      <c r="M949" t="s">
        <v>3830</v>
      </c>
      <c r="N949" t="s">
        <v>1688</v>
      </c>
      <c r="O949" t="s">
        <v>1686</v>
      </c>
      <c r="P949">
        <v>0</v>
      </c>
      <c r="Q949">
        <v>711750</v>
      </c>
      <c r="R949">
        <v>0</v>
      </c>
      <c r="S949">
        <v>0</v>
      </c>
      <c r="T949" t="str">
        <f t="shared" si="28"/>
        <v>26532.43.4302.85.0-101024.2.3.3.08.06.</v>
      </c>
      <c r="U949" t="e" cm="1">
        <f t="array" aca="1" ref="U949" ca="1">+IF(COMPROMISOS_2025[[#This Row],[P]]="20","41080111",_xlfn.XLOOKUP(COMPROMISOS_2025[[#This Row],[concatenado]],PAA[[#All],[RCP-RUBRO]],PAA[[#All],[INDICADOR]],"",0))</f>
        <v>#NAME?</v>
      </c>
      <c r="V949" s="144" t="str">
        <f t="shared" si="29"/>
        <v>85</v>
      </c>
      <c r="W949" s="136">
        <f>+COMPROMISOS_2025[[#This Row],[valor_total]]-COMPROMISOS_2025[[#This Row],[total_cancelado]]</f>
        <v>711750</v>
      </c>
      <c r="X949" s="136">
        <f>COMPROMISOS_2025[[#This Row],[total_ordenes]]</f>
        <v>711750</v>
      </c>
      <c r="Y949" t="str" cm="1">
        <f t="array" aca="1" ref="Y949" ca="1">IFERROR(_xlfn.XLOOKUP(COMPROMISOS_2025[[#This Row],[concatenado]],PAA[[#All],[RCP-RUBRO]],PAA[[#All],[Actividad3]],VLOOKUP(COMPROMISOS_2025[[#This Row],[Indicador Principal]],$AC$2:$AD$17,2,0),0),"")</f>
        <v/>
      </c>
    </row>
    <row r="950" spans="1:25" hidden="1" x14ac:dyDescent="0.25">
      <c r="A950">
        <v>2654</v>
      </c>
      <c r="B950" t="s">
        <v>2491</v>
      </c>
      <c r="C950" t="s">
        <v>1936</v>
      </c>
      <c r="D950" t="s">
        <v>3575</v>
      </c>
      <c r="F950">
        <v>405</v>
      </c>
      <c r="G950">
        <v>96</v>
      </c>
      <c r="H950" t="s">
        <v>789</v>
      </c>
      <c r="I950" t="s">
        <v>2257</v>
      </c>
      <c r="J950">
        <v>1067625</v>
      </c>
      <c r="K950">
        <v>2025</v>
      </c>
      <c r="L950">
        <v>1044986878</v>
      </c>
      <c r="M950" t="s">
        <v>3831</v>
      </c>
      <c r="N950" t="s">
        <v>1688</v>
      </c>
      <c r="O950" t="s">
        <v>1686</v>
      </c>
      <c r="P950">
        <v>0</v>
      </c>
      <c r="Q950">
        <v>1067625</v>
      </c>
      <c r="R950">
        <v>0</v>
      </c>
      <c r="S950">
        <v>0</v>
      </c>
      <c r="T950" t="str">
        <f t="shared" si="28"/>
        <v>26542.43.4302.85.0-101024.2.3.3.08.06.</v>
      </c>
      <c r="U950" t="e" cm="1">
        <f t="array" aca="1" ref="U950" ca="1">+IF(COMPROMISOS_2025[[#This Row],[P]]="20","41080111",_xlfn.XLOOKUP(COMPROMISOS_2025[[#This Row],[concatenado]],PAA[[#All],[RCP-RUBRO]],PAA[[#All],[INDICADOR]],"",0))</f>
        <v>#NAME?</v>
      </c>
      <c r="V950" s="144" t="str">
        <f t="shared" si="29"/>
        <v>85</v>
      </c>
      <c r="W950" s="136">
        <f>+COMPROMISOS_2025[[#This Row],[valor_total]]-COMPROMISOS_2025[[#This Row],[total_cancelado]]</f>
        <v>1067625</v>
      </c>
      <c r="X950" s="136">
        <f>COMPROMISOS_2025[[#This Row],[total_ordenes]]</f>
        <v>1067625</v>
      </c>
      <c r="Y950" t="str" cm="1">
        <f t="array" aca="1" ref="Y950" ca="1">IFERROR(_xlfn.XLOOKUP(COMPROMISOS_2025[[#This Row],[concatenado]],PAA[[#All],[RCP-RUBRO]],PAA[[#All],[Actividad3]],VLOOKUP(COMPROMISOS_2025[[#This Row],[Indicador Principal]],$AC$2:$AD$17,2,0),0),"")</f>
        <v/>
      </c>
    </row>
    <row r="951" spans="1:25" hidden="1" x14ac:dyDescent="0.25">
      <c r="A951">
        <v>2655</v>
      </c>
      <c r="B951" t="s">
        <v>2491</v>
      </c>
      <c r="C951" t="s">
        <v>1936</v>
      </c>
      <c r="D951" t="s">
        <v>3575</v>
      </c>
      <c r="F951">
        <v>405</v>
      </c>
      <c r="G951">
        <v>96</v>
      </c>
      <c r="H951" t="s">
        <v>789</v>
      </c>
      <c r="I951" t="s">
        <v>2257</v>
      </c>
      <c r="J951">
        <v>711750</v>
      </c>
      <c r="K951">
        <v>2025</v>
      </c>
      <c r="L951">
        <v>1044986905</v>
      </c>
      <c r="M951" t="s">
        <v>3832</v>
      </c>
      <c r="N951" t="s">
        <v>1688</v>
      </c>
      <c r="O951" t="s">
        <v>1686</v>
      </c>
      <c r="P951">
        <v>0</v>
      </c>
      <c r="Q951">
        <v>711750</v>
      </c>
      <c r="R951">
        <v>0</v>
      </c>
      <c r="S951">
        <v>0</v>
      </c>
      <c r="T951" t="str">
        <f t="shared" si="28"/>
        <v>26552.43.4302.85.0-101024.2.3.3.08.06.</v>
      </c>
      <c r="U951" t="e" cm="1">
        <f t="array" aca="1" ref="U951" ca="1">+IF(COMPROMISOS_2025[[#This Row],[P]]="20","41080111",_xlfn.XLOOKUP(COMPROMISOS_2025[[#This Row],[concatenado]],PAA[[#All],[RCP-RUBRO]],PAA[[#All],[INDICADOR]],"",0))</f>
        <v>#NAME?</v>
      </c>
      <c r="V951" s="144" t="str">
        <f t="shared" si="29"/>
        <v>85</v>
      </c>
      <c r="W951" s="136">
        <f>+COMPROMISOS_2025[[#This Row],[valor_total]]-COMPROMISOS_2025[[#This Row],[total_cancelado]]</f>
        <v>711750</v>
      </c>
      <c r="X951" s="136">
        <f>COMPROMISOS_2025[[#This Row],[total_ordenes]]</f>
        <v>711750</v>
      </c>
      <c r="Y951" t="str" cm="1">
        <f t="array" aca="1" ref="Y951" ca="1">IFERROR(_xlfn.XLOOKUP(COMPROMISOS_2025[[#This Row],[concatenado]],PAA[[#All],[RCP-RUBRO]],PAA[[#All],[Actividad3]],VLOOKUP(COMPROMISOS_2025[[#This Row],[Indicador Principal]],$AC$2:$AD$17,2,0),0),"")</f>
        <v/>
      </c>
    </row>
    <row r="952" spans="1:25" hidden="1" x14ac:dyDescent="0.25">
      <c r="A952">
        <v>2656</v>
      </c>
      <c r="B952" t="s">
        <v>2491</v>
      </c>
      <c r="C952" t="s">
        <v>1936</v>
      </c>
      <c r="D952" t="s">
        <v>3575</v>
      </c>
      <c r="F952">
        <v>405</v>
      </c>
      <c r="G952">
        <v>96</v>
      </c>
      <c r="H952" t="s">
        <v>789</v>
      </c>
      <c r="I952" t="s">
        <v>2257</v>
      </c>
      <c r="J952">
        <v>711750</v>
      </c>
      <c r="K952">
        <v>2025</v>
      </c>
      <c r="L952">
        <v>1044987994</v>
      </c>
      <c r="M952" t="s">
        <v>3833</v>
      </c>
      <c r="N952" t="s">
        <v>1688</v>
      </c>
      <c r="O952" t="s">
        <v>1686</v>
      </c>
      <c r="P952">
        <v>0</v>
      </c>
      <c r="Q952">
        <v>711750</v>
      </c>
      <c r="R952">
        <v>0</v>
      </c>
      <c r="S952">
        <v>0</v>
      </c>
      <c r="T952" t="str">
        <f t="shared" si="28"/>
        <v>26562.43.4302.85.0-101024.2.3.3.08.06.</v>
      </c>
      <c r="U952" t="e" cm="1">
        <f t="array" aca="1" ref="U952" ca="1">+IF(COMPROMISOS_2025[[#This Row],[P]]="20","41080111",_xlfn.XLOOKUP(COMPROMISOS_2025[[#This Row],[concatenado]],PAA[[#All],[RCP-RUBRO]],PAA[[#All],[INDICADOR]],"",0))</f>
        <v>#NAME?</v>
      </c>
      <c r="V952" s="144" t="str">
        <f t="shared" si="29"/>
        <v>85</v>
      </c>
      <c r="W952" s="136">
        <f>+COMPROMISOS_2025[[#This Row],[valor_total]]-COMPROMISOS_2025[[#This Row],[total_cancelado]]</f>
        <v>711750</v>
      </c>
      <c r="X952" s="136">
        <f>COMPROMISOS_2025[[#This Row],[total_ordenes]]</f>
        <v>711750</v>
      </c>
      <c r="Y952" t="str" cm="1">
        <f t="array" aca="1" ref="Y952" ca="1">IFERROR(_xlfn.XLOOKUP(COMPROMISOS_2025[[#This Row],[concatenado]],PAA[[#All],[RCP-RUBRO]],PAA[[#All],[Actividad3]],VLOOKUP(COMPROMISOS_2025[[#This Row],[Indicador Principal]],$AC$2:$AD$17,2,0),0),"")</f>
        <v/>
      </c>
    </row>
    <row r="953" spans="1:25" hidden="1" x14ac:dyDescent="0.25">
      <c r="A953">
        <v>2657</v>
      </c>
      <c r="B953" t="s">
        <v>2491</v>
      </c>
      <c r="C953" t="s">
        <v>1936</v>
      </c>
      <c r="D953" t="s">
        <v>3575</v>
      </c>
      <c r="F953">
        <v>405</v>
      </c>
      <c r="G953">
        <v>96</v>
      </c>
      <c r="H953" t="s">
        <v>789</v>
      </c>
      <c r="I953" t="s">
        <v>2257</v>
      </c>
      <c r="J953">
        <v>711750</v>
      </c>
      <c r="K953">
        <v>2025</v>
      </c>
      <c r="L953">
        <v>1045422684</v>
      </c>
      <c r="M953" t="s">
        <v>3834</v>
      </c>
      <c r="N953" t="s">
        <v>1688</v>
      </c>
      <c r="O953" t="s">
        <v>1686</v>
      </c>
      <c r="P953">
        <v>0</v>
      </c>
      <c r="Q953">
        <v>711750</v>
      </c>
      <c r="R953">
        <v>0</v>
      </c>
      <c r="S953">
        <v>0</v>
      </c>
      <c r="T953" t="str">
        <f t="shared" si="28"/>
        <v>26572.43.4302.85.0-101024.2.3.3.08.06.</v>
      </c>
      <c r="U953" t="e" cm="1">
        <f t="array" aca="1" ref="U953" ca="1">+IF(COMPROMISOS_2025[[#This Row],[P]]="20","41080111",_xlfn.XLOOKUP(COMPROMISOS_2025[[#This Row],[concatenado]],PAA[[#All],[RCP-RUBRO]],PAA[[#All],[INDICADOR]],"",0))</f>
        <v>#NAME?</v>
      </c>
      <c r="V953" s="144" t="str">
        <f t="shared" si="29"/>
        <v>85</v>
      </c>
      <c r="W953" s="136">
        <f>+COMPROMISOS_2025[[#This Row],[valor_total]]-COMPROMISOS_2025[[#This Row],[total_cancelado]]</f>
        <v>711750</v>
      </c>
      <c r="X953" s="136">
        <f>COMPROMISOS_2025[[#This Row],[total_ordenes]]</f>
        <v>711750</v>
      </c>
      <c r="Y953" t="str" cm="1">
        <f t="array" aca="1" ref="Y953" ca="1">IFERROR(_xlfn.XLOOKUP(COMPROMISOS_2025[[#This Row],[concatenado]],PAA[[#All],[RCP-RUBRO]],PAA[[#All],[Actividad3]],VLOOKUP(COMPROMISOS_2025[[#This Row],[Indicador Principal]],$AC$2:$AD$17,2,0),0),"")</f>
        <v/>
      </c>
    </row>
    <row r="954" spans="1:25" hidden="1" x14ac:dyDescent="0.25">
      <c r="A954">
        <v>2659</v>
      </c>
      <c r="B954" t="s">
        <v>2491</v>
      </c>
      <c r="C954" t="s">
        <v>1936</v>
      </c>
      <c r="D954" t="s">
        <v>3575</v>
      </c>
      <c r="F954">
        <v>405</v>
      </c>
      <c r="G954">
        <v>96</v>
      </c>
      <c r="H954" t="s">
        <v>789</v>
      </c>
      <c r="I954" t="s">
        <v>2257</v>
      </c>
      <c r="J954">
        <v>711750</v>
      </c>
      <c r="K954">
        <v>2025</v>
      </c>
      <c r="L954">
        <v>1045493703</v>
      </c>
      <c r="M954" t="s">
        <v>3835</v>
      </c>
      <c r="N954" t="s">
        <v>1688</v>
      </c>
      <c r="O954" t="s">
        <v>1686</v>
      </c>
      <c r="P954">
        <v>0</v>
      </c>
      <c r="Q954">
        <v>711750</v>
      </c>
      <c r="R954">
        <v>0</v>
      </c>
      <c r="S954">
        <v>0</v>
      </c>
      <c r="T954" t="str">
        <f t="shared" si="28"/>
        <v>26592.43.4302.85.0-101024.2.3.3.08.06.</v>
      </c>
      <c r="U954" t="e" cm="1">
        <f t="array" aca="1" ref="U954" ca="1">+IF(COMPROMISOS_2025[[#This Row],[P]]="20","41080111",_xlfn.XLOOKUP(COMPROMISOS_2025[[#This Row],[concatenado]],PAA[[#All],[RCP-RUBRO]],PAA[[#All],[INDICADOR]],"",0))</f>
        <v>#NAME?</v>
      </c>
      <c r="V954" s="144" t="str">
        <f t="shared" si="29"/>
        <v>85</v>
      </c>
      <c r="W954" s="136">
        <f>+COMPROMISOS_2025[[#This Row],[valor_total]]-COMPROMISOS_2025[[#This Row],[total_cancelado]]</f>
        <v>711750</v>
      </c>
      <c r="X954" s="136">
        <f>COMPROMISOS_2025[[#This Row],[total_ordenes]]</f>
        <v>711750</v>
      </c>
      <c r="Y954" t="str" cm="1">
        <f t="array" aca="1" ref="Y954" ca="1">IFERROR(_xlfn.XLOOKUP(COMPROMISOS_2025[[#This Row],[concatenado]],PAA[[#All],[RCP-RUBRO]],PAA[[#All],[Actividad3]],VLOOKUP(COMPROMISOS_2025[[#This Row],[Indicador Principal]],$AC$2:$AD$17,2,0),0),"")</f>
        <v/>
      </c>
    </row>
    <row r="955" spans="1:25" hidden="1" x14ac:dyDescent="0.25">
      <c r="A955">
        <v>2660</v>
      </c>
      <c r="B955" t="s">
        <v>2491</v>
      </c>
      <c r="C955" t="s">
        <v>1936</v>
      </c>
      <c r="D955" t="s">
        <v>3575</v>
      </c>
      <c r="F955">
        <v>405</v>
      </c>
      <c r="G955">
        <v>96</v>
      </c>
      <c r="H955" t="s">
        <v>789</v>
      </c>
      <c r="I955" t="s">
        <v>2257</v>
      </c>
      <c r="J955">
        <v>1067625</v>
      </c>
      <c r="K955">
        <v>2025</v>
      </c>
      <c r="L955">
        <v>1045501086</v>
      </c>
      <c r="M955" t="s">
        <v>3836</v>
      </c>
      <c r="N955" t="s">
        <v>1688</v>
      </c>
      <c r="O955" t="s">
        <v>1686</v>
      </c>
      <c r="P955">
        <v>0</v>
      </c>
      <c r="Q955">
        <v>1067625</v>
      </c>
      <c r="R955">
        <v>0</v>
      </c>
      <c r="S955">
        <v>0</v>
      </c>
      <c r="T955" t="str">
        <f t="shared" si="28"/>
        <v>26602.43.4302.85.0-101024.2.3.3.08.06.</v>
      </c>
      <c r="U955" t="e" cm="1">
        <f t="array" aca="1" ref="U955" ca="1">+IF(COMPROMISOS_2025[[#This Row],[P]]="20","41080111",_xlfn.XLOOKUP(COMPROMISOS_2025[[#This Row],[concatenado]],PAA[[#All],[RCP-RUBRO]],PAA[[#All],[INDICADOR]],"",0))</f>
        <v>#NAME?</v>
      </c>
      <c r="V955" s="144" t="str">
        <f t="shared" si="29"/>
        <v>85</v>
      </c>
      <c r="W955" s="136">
        <f>+COMPROMISOS_2025[[#This Row],[valor_total]]-COMPROMISOS_2025[[#This Row],[total_cancelado]]</f>
        <v>1067625</v>
      </c>
      <c r="X955" s="136">
        <f>COMPROMISOS_2025[[#This Row],[total_ordenes]]</f>
        <v>1067625</v>
      </c>
      <c r="Y955" t="str" cm="1">
        <f t="array" aca="1" ref="Y955" ca="1">IFERROR(_xlfn.XLOOKUP(COMPROMISOS_2025[[#This Row],[concatenado]],PAA[[#All],[RCP-RUBRO]],PAA[[#All],[Actividad3]],VLOOKUP(COMPROMISOS_2025[[#This Row],[Indicador Principal]],$AC$2:$AD$17,2,0),0),"")</f>
        <v/>
      </c>
    </row>
    <row r="956" spans="1:25" hidden="1" x14ac:dyDescent="0.25">
      <c r="A956">
        <v>2661</v>
      </c>
      <c r="B956" t="s">
        <v>2491</v>
      </c>
      <c r="C956" t="s">
        <v>1936</v>
      </c>
      <c r="D956" t="s">
        <v>3575</v>
      </c>
      <c r="F956">
        <v>405</v>
      </c>
      <c r="G956">
        <v>96</v>
      </c>
      <c r="H956" t="s">
        <v>789</v>
      </c>
      <c r="I956" t="s">
        <v>2257</v>
      </c>
      <c r="J956">
        <v>711750</v>
      </c>
      <c r="K956">
        <v>2025</v>
      </c>
      <c r="L956">
        <v>1045504570</v>
      </c>
      <c r="M956" t="s">
        <v>3837</v>
      </c>
      <c r="N956" t="s">
        <v>1688</v>
      </c>
      <c r="O956" t="s">
        <v>1686</v>
      </c>
      <c r="P956">
        <v>0</v>
      </c>
      <c r="Q956">
        <v>711750</v>
      </c>
      <c r="R956">
        <v>0</v>
      </c>
      <c r="S956">
        <v>0</v>
      </c>
      <c r="T956" t="str">
        <f t="shared" si="28"/>
        <v>26612.43.4302.85.0-101024.2.3.3.08.06.</v>
      </c>
      <c r="U956" t="e" cm="1">
        <f t="array" aca="1" ref="U956" ca="1">+IF(COMPROMISOS_2025[[#This Row],[P]]="20","41080111",_xlfn.XLOOKUP(COMPROMISOS_2025[[#This Row],[concatenado]],PAA[[#All],[RCP-RUBRO]],PAA[[#All],[INDICADOR]],"",0))</f>
        <v>#NAME?</v>
      </c>
      <c r="V956" s="144" t="str">
        <f t="shared" si="29"/>
        <v>85</v>
      </c>
      <c r="W956" s="136">
        <f>+COMPROMISOS_2025[[#This Row],[valor_total]]-COMPROMISOS_2025[[#This Row],[total_cancelado]]</f>
        <v>711750</v>
      </c>
      <c r="X956" s="136">
        <f>COMPROMISOS_2025[[#This Row],[total_ordenes]]</f>
        <v>711750</v>
      </c>
      <c r="Y956" t="str" cm="1">
        <f t="array" aca="1" ref="Y956" ca="1">IFERROR(_xlfn.XLOOKUP(COMPROMISOS_2025[[#This Row],[concatenado]],PAA[[#All],[RCP-RUBRO]],PAA[[#All],[Actividad3]],VLOOKUP(COMPROMISOS_2025[[#This Row],[Indicador Principal]],$AC$2:$AD$17,2,0),0),"")</f>
        <v/>
      </c>
    </row>
    <row r="957" spans="1:25" hidden="1" x14ac:dyDescent="0.25">
      <c r="A957">
        <v>2664</v>
      </c>
      <c r="B957" t="s">
        <v>2491</v>
      </c>
      <c r="C957" t="s">
        <v>1936</v>
      </c>
      <c r="D957" t="s">
        <v>3575</v>
      </c>
      <c r="F957">
        <v>405</v>
      </c>
      <c r="G957">
        <v>96</v>
      </c>
      <c r="H957" t="s">
        <v>789</v>
      </c>
      <c r="I957" t="s">
        <v>2257</v>
      </c>
      <c r="J957">
        <v>711750</v>
      </c>
      <c r="K957">
        <v>2025</v>
      </c>
      <c r="L957">
        <v>1045523893</v>
      </c>
      <c r="M957" t="s">
        <v>3838</v>
      </c>
      <c r="N957" t="s">
        <v>1688</v>
      </c>
      <c r="O957" t="s">
        <v>1686</v>
      </c>
      <c r="P957">
        <v>0</v>
      </c>
      <c r="Q957">
        <v>711750</v>
      </c>
      <c r="R957">
        <v>0</v>
      </c>
      <c r="S957">
        <v>0</v>
      </c>
      <c r="T957" t="str">
        <f t="shared" si="28"/>
        <v>26642.43.4302.85.0-101024.2.3.3.08.06.</v>
      </c>
      <c r="U957" t="e" cm="1">
        <f t="array" aca="1" ref="U957" ca="1">+IF(COMPROMISOS_2025[[#This Row],[P]]="20","41080111",_xlfn.XLOOKUP(COMPROMISOS_2025[[#This Row],[concatenado]],PAA[[#All],[RCP-RUBRO]],PAA[[#All],[INDICADOR]],"",0))</f>
        <v>#NAME?</v>
      </c>
      <c r="V957" s="144" t="str">
        <f t="shared" si="29"/>
        <v>85</v>
      </c>
      <c r="W957" s="136">
        <f>+COMPROMISOS_2025[[#This Row],[valor_total]]-COMPROMISOS_2025[[#This Row],[total_cancelado]]</f>
        <v>711750</v>
      </c>
      <c r="X957" s="136">
        <f>COMPROMISOS_2025[[#This Row],[total_ordenes]]</f>
        <v>711750</v>
      </c>
      <c r="Y957" t="str" cm="1">
        <f t="array" aca="1" ref="Y957" ca="1">IFERROR(_xlfn.XLOOKUP(COMPROMISOS_2025[[#This Row],[concatenado]],PAA[[#All],[RCP-RUBRO]],PAA[[#All],[Actividad3]],VLOOKUP(COMPROMISOS_2025[[#This Row],[Indicador Principal]],$AC$2:$AD$17,2,0),0),"")</f>
        <v/>
      </c>
    </row>
    <row r="958" spans="1:25" hidden="1" x14ac:dyDescent="0.25">
      <c r="A958">
        <v>2665</v>
      </c>
      <c r="B958" t="s">
        <v>2491</v>
      </c>
      <c r="C958" t="s">
        <v>1936</v>
      </c>
      <c r="D958" t="s">
        <v>3575</v>
      </c>
      <c r="F958">
        <v>405</v>
      </c>
      <c r="G958">
        <v>96</v>
      </c>
      <c r="H958" t="s">
        <v>789</v>
      </c>
      <c r="I958" t="s">
        <v>2257</v>
      </c>
      <c r="J958">
        <v>4270500</v>
      </c>
      <c r="K958">
        <v>2025</v>
      </c>
      <c r="L958">
        <v>1045524538</v>
      </c>
      <c r="M958" t="s">
        <v>3839</v>
      </c>
      <c r="N958" t="s">
        <v>1688</v>
      </c>
      <c r="O958" t="s">
        <v>1686</v>
      </c>
      <c r="P958">
        <v>0</v>
      </c>
      <c r="Q958">
        <v>4270500</v>
      </c>
      <c r="R958">
        <v>0</v>
      </c>
      <c r="S958">
        <v>0</v>
      </c>
      <c r="T958" t="str">
        <f t="shared" si="28"/>
        <v>26652.43.4302.85.0-101024.2.3.3.08.06.</v>
      </c>
      <c r="U958" t="e" cm="1">
        <f t="array" aca="1" ref="U958" ca="1">+IF(COMPROMISOS_2025[[#This Row],[P]]="20","41080111",_xlfn.XLOOKUP(COMPROMISOS_2025[[#This Row],[concatenado]],PAA[[#All],[RCP-RUBRO]],PAA[[#All],[INDICADOR]],"",0))</f>
        <v>#NAME?</v>
      </c>
      <c r="V958" s="144" t="str">
        <f t="shared" si="29"/>
        <v>85</v>
      </c>
      <c r="W958" s="136">
        <f>+COMPROMISOS_2025[[#This Row],[valor_total]]-COMPROMISOS_2025[[#This Row],[total_cancelado]]</f>
        <v>4270500</v>
      </c>
      <c r="X958" s="136">
        <f>COMPROMISOS_2025[[#This Row],[total_ordenes]]</f>
        <v>4270500</v>
      </c>
      <c r="Y958" t="str" cm="1">
        <f t="array" aca="1" ref="Y958" ca="1">IFERROR(_xlfn.XLOOKUP(COMPROMISOS_2025[[#This Row],[concatenado]],PAA[[#All],[RCP-RUBRO]],PAA[[#All],[Actividad3]],VLOOKUP(COMPROMISOS_2025[[#This Row],[Indicador Principal]],$AC$2:$AD$17,2,0),0),"")</f>
        <v/>
      </c>
    </row>
    <row r="959" spans="1:25" hidden="1" x14ac:dyDescent="0.25">
      <c r="A959">
        <v>2668</v>
      </c>
      <c r="B959" t="s">
        <v>2491</v>
      </c>
      <c r="C959" t="s">
        <v>1936</v>
      </c>
      <c r="D959" t="s">
        <v>3575</v>
      </c>
      <c r="F959">
        <v>405</v>
      </c>
      <c r="G959">
        <v>96</v>
      </c>
      <c r="H959" t="s">
        <v>789</v>
      </c>
      <c r="I959" t="s">
        <v>2257</v>
      </c>
      <c r="J959">
        <v>711750</v>
      </c>
      <c r="K959">
        <v>2025</v>
      </c>
      <c r="L959">
        <v>1045527955</v>
      </c>
      <c r="M959" t="s">
        <v>3840</v>
      </c>
      <c r="N959" t="s">
        <v>1688</v>
      </c>
      <c r="O959" t="s">
        <v>1686</v>
      </c>
      <c r="P959">
        <v>0</v>
      </c>
      <c r="Q959">
        <v>711750</v>
      </c>
      <c r="R959">
        <v>0</v>
      </c>
      <c r="S959">
        <v>0</v>
      </c>
      <c r="T959" t="str">
        <f t="shared" si="28"/>
        <v>26682.43.4302.85.0-101024.2.3.3.08.06.</v>
      </c>
      <c r="U959" t="e" cm="1">
        <f t="array" aca="1" ref="U959" ca="1">+IF(COMPROMISOS_2025[[#This Row],[P]]="20","41080111",_xlfn.XLOOKUP(COMPROMISOS_2025[[#This Row],[concatenado]],PAA[[#All],[RCP-RUBRO]],PAA[[#All],[INDICADOR]],"",0))</f>
        <v>#NAME?</v>
      </c>
      <c r="V959" s="144" t="str">
        <f t="shared" si="29"/>
        <v>85</v>
      </c>
      <c r="W959" s="136">
        <f>+COMPROMISOS_2025[[#This Row],[valor_total]]-COMPROMISOS_2025[[#This Row],[total_cancelado]]</f>
        <v>711750</v>
      </c>
      <c r="X959" s="136">
        <f>COMPROMISOS_2025[[#This Row],[total_ordenes]]</f>
        <v>711750</v>
      </c>
      <c r="Y959" t="str" cm="1">
        <f t="array" aca="1" ref="Y959" ca="1">IFERROR(_xlfn.XLOOKUP(COMPROMISOS_2025[[#This Row],[concatenado]],PAA[[#All],[RCP-RUBRO]],PAA[[#All],[Actividad3]],VLOOKUP(COMPROMISOS_2025[[#This Row],[Indicador Principal]],$AC$2:$AD$17,2,0),0),"")</f>
        <v/>
      </c>
    </row>
    <row r="960" spans="1:25" hidden="1" x14ac:dyDescent="0.25">
      <c r="A960">
        <v>2671</v>
      </c>
      <c r="B960" t="s">
        <v>2491</v>
      </c>
      <c r="C960" t="s">
        <v>1936</v>
      </c>
      <c r="D960" t="s">
        <v>3575</v>
      </c>
      <c r="F960">
        <v>405</v>
      </c>
      <c r="G960">
        <v>96</v>
      </c>
      <c r="H960" t="s">
        <v>789</v>
      </c>
      <c r="I960" t="s">
        <v>2257</v>
      </c>
      <c r="J960">
        <v>1067625</v>
      </c>
      <c r="K960">
        <v>2025</v>
      </c>
      <c r="L960">
        <v>1046527204</v>
      </c>
      <c r="M960" t="s">
        <v>3841</v>
      </c>
      <c r="N960" t="s">
        <v>1688</v>
      </c>
      <c r="O960" t="s">
        <v>1686</v>
      </c>
      <c r="P960">
        <v>0</v>
      </c>
      <c r="Q960">
        <v>1067625</v>
      </c>
      <c r="R960">
        <v>0</v>
      </c>
      <c r="S960">
        <v>0</v>
      </c>
      <c r="T960" t="str">
        <f t="shared" si="28"/>
        <v>26712.43.4302.85.0-101024.2.3.3.08.06.</v>
      </c>
      <c r="U960" t="e" cm="1">
        <f t="array" aca="1" ref="U960" ca="1">+IF(COMPROMISOS_2025[[#This Row],[P]]="20","41080111",_xlfn.XLOOKUP(COMPROMISOS_2025[[#This Row],[concatenado]],PAA[[#All],[RCP-RUBRO]],PAA[[#All],[INDICADOR]],"",0))</f>
        <v>#NAME?</v>
      </c>
      <c r="V960" s="144" t="str">
        <f t="shared" si="29"/>
        <v>85</v>
      </c>
      <c r="W960" s="136">
        <f>+COMPROMISOS_2025[[#This Row],[valor_total]]-COMPROMISOS_2025[[#This Row],[total_cancelado]]</f>
        <v>1067625</v>
      </c>
      <c r="X960" s="136">
        <f>COMPROMISOS_2025[[#This Row],[total_ordenes]]</f>
        <v>1067625</v>
      </c>
      <c r="Y960" t="str" cm="1">
        <f t="array" aca="1" ref="Y960" ca="1">IFERROR(_xlfn.XLOOKUP(COMPROMISOS_2025[[#This Row],[concatenado]],PAA[[#All],[RCP-RUBRO]],PAA[[#All],[Actividad3]],VLOOKUP(COMPROMISOS_2025[[#This Row],[Indicador Principal]],$AC$2:$AD$17,2,0),0),"")</f>
        <v/>
      </c>
    </row>
    <row r="961" spans="1:25" hidden="1" x14ac:dyDescent="0.25">
      <c r="A961">
        <v>2672</v>
      </c>
      <c r="B961" t="s">
        <v>2491</v>
      </c>
      <c r="C961" t="s">
        <v>1936</v>
      </c>
      <c r="D961" t="s">
        <v>3575</v>
      </c>
      <c r="F961">
        <v>405</v>
      </c>
      <c r="G961">
        <v>96</v>
      </c>
      <c r="H961" t="s">
        <v>789</v>
      </c>
      <c r="I961" t="s">
        <v>2257</v>
      </c>
      <c r="J961">
        <v>4270500</v>
      </c>
      <c r="K961">
        <v>2025</v>
      </c>
      <c r="L961">
        <v>1046527532</v>
      </c>
      <c r="M961" t="s">
        <v>3842</v>
      </c>
      <c r="N961" t="s">
        <v>1688</v>
      </c>
      <c r="O961" t="s">
        <v>1686</v>
      </c>
      <c r="P961">
        <v>0</v>
      </c>
      <c r="Q961">
        <v>4270500</v>
      </c>
      <c r="R961">
        <v>0</v>
      </c>
      <c r="S961">
        <v>0</v>
      </c>
      <c r="T961" t="str">
        <f t="shared" si="28"/>
        <v>26722.43.4302.85.0-101024.2.3.3.08.06.</v>
      </c>
      <c r="U961" t="e" cm="1">
        <f t="array" aca="1" ref="U961" ca="1">+IF(COMPROMISOS_2025[[#This Row],[P]]="20","41080111",_xlfn.XLOOKUP(COMPROMISOS_2025[[#This Row],[concatenado]],PAA[[#All],[RCP-RUBRO]],PAA[[#All],[INDICADOR]],"",0))</f>
        <v>#NAME?</v>
      </c>
      <c r="V961" s="144" t="str">
        <f t="shared" si="29"/>
        <v>85</v>
      </c>
      <c r="W961" s="136">
        <f>+COMPROMISOS_2025[[#This Row],[valor_total]]-COMPROMISOS_2025[[#This Row],[total_cancelado]]</f>
        <v>4270500</v>
      </c>
      <c r="X961" s="136">
        <f>COMPROMISOS_2025[[#This Row],[total_ordenes]]</f>
        <v>4270500</v>
      </c>
      <c r="Y961" t="str" cm="1">
        <f t="array" aca="1" ref="Y961" ca="1">IFERROR(_xlfn.XLOOKUP(COMPROMISOS_2025[[#This Row],[concatenado]],PAA[[#All],[RCP-RUBRO]],PAA[[#All],[Actividad3]],VLOOKUP(COMPROMISOS_2025[[#This Row],[Indicador Principal]],$AC$2:$AD$17,2,0),0),"")</f>
        <v/>
      </c>
    </row>
    <row r="962" spans="1:25" hidden="1" x14ac:dyDescent="0.25">
      <c r="A962">
        <v>2673</v>
      </c>
      <c r="B962" t="s">
        <v>2491</v>
      </c>
      <c r="C962" t="s">
        <v>1936</v>
      </c>
      <c r="D962" t="s">
        <v>3575</v>
      </c>
      <c r="F962">
        <v>405</v>
      </c>
      <c r="G962">
        <v>96</v>
      </c>
      <c r="H962" t="s">
        <v>789</v>
      </c>
      <c r="I962" t="s">
        <v>2257</v>
      </c>
      <c r="J962">
        <v>1067625</v>
      </c>
      <c r="K962">
        <v>2025</v>
      </c>
      <c r="L962">
        <v>1046528276</v>
      </c>
      <c r="M962" t="s">
        <v>3843</v>
      </c>
      <c r="N962" t="s">
        <v>1688</v>
      </c>
      <c r="O962" t="s">
        <v>1686</v>
      </c>
      <c r="P962">
        <v>0</v>
      </c>
      <c r="Q962">
        <v>1067625</v>
      </c>
      <c r="R962">
        <v>0</v>
      </c>
      <c r="S962">
        <v>0</v>
      </c>
      <c r="T962" t="str">
        <f t="shared" ref="T962:T1025" si="30">IF(A962&gt;=0,CONCATENATE(A962,H962),"")</f>
        <v>26732.43.4302.85.0-101024.2.3.3.08.06.</v>
      </c>
      <c r="U962" t="e" cm="1">
        <f t="array" aca="1" ref="U962" ca="1">+IF(COMPROMISOS_2025[[#This Row],[P]]="20","41080111",_xlfn.XLOOKUP(COMPROMISOS_2025[[#This Row],[concatenado]],PAA[[#All],[RCP-RUBRO]],PAA[[#All],[INDICADOR]],"",0))</f>
        <v>#NAME?</v>
      </c>
      <c r="V962" s="144" t="str">
        <f t="shared" ref="V962:V1025" si="31">+MID(H962,11,2)</f>
        <v>85</v>
      </c>
      <c r="W962" s="136">
        <f>+COMPROMISOS_2025[[#This Row],[valor_total]]-COMPROMISOS_2025[[#This Row],[total_cancelado]]</f>
        <v>1067625</v>
      </c>
      <c r="X962" s="136">
        <f>COMPROMISOS_2025[[#This Row],[total_ordenes]]</f>
        <v>1067625</v>
      </c>
      <c r="Y962" t="str" cm="1">
        <f t="array" aca="1" ref="Y962" ca="1">IFERROR(_xlfn.XLOOKUP(COMPROMISOS_2025[[#This Row],[concatenado]],PAA[[#All],[RCP-RUBRO]],PAA[[#All],[Actividad3]],VLOOKUP(COMPROMISOS_2025[[#This Row],[Indicador Principal]],$AC$2:$AD$17,2,0),0),"")</f>
        <v/>
      </c>
    </row>
    <row r="963" spans="1:25" hidden="1" x14ac:dyDescent="0.25">
      <c r="A963">
        <v>2674</v>
      </c>
      <c r="B963" t="s">
        <v>2491</v>
      </c>
      <c r="C963" t="s">
        <v>1936</v>
      </c>
      <c r="D963" t="s">
        <v>3575</v>
      </c>
      <c r="F963">
        <v>405</v>
      </c>
      <c r="G963">
        <v>96</v>
      </c>
      <c r="H963" t="s">
        <v>789</v>
      </c>
      <c r="I963" t="s">
        <v>2257</v>
      </c>
      <c r="J963">
        <v>711750</v>
      </c>
      <c r="K963">
        <v>2025</v>
      </c>
      <c r="L963">
        <v>1046528436</v>
      </c>
      <c r="M963" t="s">
        <v>3844</v>
      </c>
      <c r="N963" t="s">
        <v>1688</v>
      </c>
      <c r="O963" t="s">
        <v>1686</v>
      </c>
      <c r="P963">
        <v>0</v>
      </c>
      <c r="Q963">
        <v>711750</v>
      </c>
      <c r="R963">
        <v>0</v>
      </c>
      <c r="S963">
        <v>0</v>
      </c>
      <c r="T963" t="str">
        <f t="shared" si="30"/>
        <v>26742.43.4302.85.0-101024.2.3.3.08.06.</v>
      </c>
      <c r="U963" t="e" cm="1">
        <f t="array" aca="1" ref="U963" ca="1">+IF(COMPROMISOS_2025[[#This Row],[P]]="20","41080111",_xlfn.XLOOKUP(COMPROMISOS_2025[[#This Row],[concatenado]],PAA[[#All],[RCP-RUBRO]],PAA[[#All],[INDICADOR]],"",0))</f>
        <v>#NAME?</v>
      </c>
      <c r="V963" s="144" t="str">
        <f t="shared" si="31"/>
        <v>85</v>
      </c>
      <c r="W963" s="136">
        <f>+COMPROMISOS_2025[[#This Row],[valor_total]]-COMPROMISOS_2025[[#This Row],[total_cancelado]]</f>
        <v>711750</v>
      </c>
      <c r="X963" s="136">
        <f>COMPROMISOS_2025[[#This Row],[total_ordenes]]</f>
        <v>711750</v>
      </c>
      <c r="Y963" t="str" cm="1">
        <f t="array" aca="1" ref="Y963" ca="1">IFERROR(_xlfn.XLOOKUP(COMPROMISOS_2025[[#This Row],[concatenado]],PAA[[#All],[RCP-RUBRO]],PAA[[#All],[Actividad3]],VLOOKUP(COMPROMISOS_2025[[#This Row],[Indicador Principal]],$AC$2:$AD$17,2,0),0),"")</f>
        <v/>
      </c>
    </row>
    <row r="964" spans="1:25" hidden="1" x14ac:dyDescent="0.25">
      <c r="A964">
        <v>2675</v>
      </c>
      <c r="B964" t="s">
        <v>2491</v>
      </c>
      <c r="C964" t="s">
        <v>1936</v>
      </c>
      <c r="D964" t="s">
        <v>3575</v>
      </c>
      <c r="F964">
        <v>405</v>
      </c>
      <c r="G964">
        <v>96</v>
      </c>
      <c r="H964" t="s">
        <v>789</v>
      </c>
      <c r="I964" t="s">
        <v>2257</v>
      </c>
      <c r="J964">
        <v>711750</v>
      </c>
      <c r="K964">
        <v>2025</v>
      </c>
      <c r="L964">
        <v>1046529330</v>
      </c>
      <c r="M964" t="s">
        <v>3845</v>
      </c>
      <c r="N964" t="s">
        <v>1688</v>
      </c>
      <c r="O964" t="s">
        <v>1686</v>
      </c>
      <c r="P964">
        <v>0</v>
      </c>
      <c r="Q964">
        <v>711750</v>
      </c>
      <c r="R964">
        <v>0</v>
      </c>
      <c r="S964">
        <v>0</v>
      </c>
      <c r="T964" t="str">
        <f t="shared" si="30"/>
        <v>26752.43.4302.85.0-101024.2.3.3.08.06.</v>
      </c>
      <c r="U964" t="e" cm="1">
        <f t="array" aca="1" ref="U964" ca="1">+IF(COMPROMISOS_2025[[#This Row],[P]]="20","41080111",_xlfn.XLOOKUP(COMPROMISOS_2025[[#This Row],[concatenado]],PAA[[#All],[RCP-RUBRO]],PAA[[#All],[INDICADOR]],"",0))</f>
        <v>#NAME?</v>
      </c>
      <c r="V964" s="144" t="str">
        <f t="shared" si="31"/>
        <v>85</v>
      </c>
      <c r="W964" s="136">
        <f>+COMPROMISOS_2025[[#This Row],[valor_total]]-COMPROMISOS_2025[[#This Row],[total_cancelado]]</f>
        <v>711750</v>
      </c>
      <c r="X964" s="136">
        <f>COMPROMISOS_2025[[#This Row],[total_ordenes]]</f>
        <v>711750</v>
      </c>
      <c r="Y964" t="str" cm="1">
        <f t="array" aca="1" ref="Y964" ca="1">IFERROR(_xlfn.XLOOKUP(COMPROMISOS_2025[[#This Row],[concatenado]],PAA[[#All],[RCP-RUBRO]],PAA[[#All],[Actividad3]],VLOOKUP(COMPROMISOS_2025[[#This Row],[Indicador Principal]],$AC$2:$AD$17,2,0),0),"")</f>
        <v/>
      </c>
    </row>
    <row r="965" spans="1:25" hidden="1" x14ac:dyDescent="0.25">
      <c r="A965">
        <v>2676</v>
      </c>
      <c r="B965" t="s">
        <v>2491</v>
      </c>
      <c r="C965" t="s">
        <v>1936</v>
      </c>
      <c r="D965" t="s">
        <v>3575</v>
      </c>
      <c r="F965">
        <v>405</v>
      </c>
      <c r="G965">
        <v>96</v>
      </c>
      <c r="H965" t="s">
        <v>789</v>
      </c>
      <c r="I965" t="s">
        <v>2257</v>
      </c>
      <c r="J965">
        <v>711750</v>
      </c>
      <c r="K965">
        <v>2025</v>
      </c>
      <c r="L965">
        <v>1046529577</v>
      </c>
      <c r="M965" t="s">
        <v>3846</v>
      </c>
      <c r="N965" t="s">
        <v>1688</v>
      </c>
      <c r="O965" t="s">
        <v>1686</v>
      </c>
      <c r="P965">
        <v>0</v>
      </c>
      <c r="Q965">
        <v>711750</v>
      </c>
      <c r="R965">
        <v>0</v>
      </c>
      <c r="S965">
        <v>0</v>
      </c>
      <c r="T965" t="str">
        <f t="shared" si="30"/>
        <v>26762.43.4302.85.0-101024.2.3.3.08.06.</v>
      </c>
      <c r="U965" t="e" cm="1">
        <f t="array" aca="1" ref="U965" ca="1">+IF(COMPROMISOS_2025[[#This Row],[P]]="20","41080111",_xlfn.XLOOKUP(COMPROMISOS_2025[[#This Row],[concatenado]],PAA[[#All],[RCP-RUBRO]],PAA[[#All],[INDICADOR]],"",0))</f>
        <v>#NAME?</v>
      </c>
      <c r="V965" s="144" t="str">
        <f t="shared" si="31"/>
        <v>85</v>
      </c>
      <c r="W965" s="136">
        <f>+COMPROMISOS_2025[[#This Row],[valor_total]]-COMPROMISOS_2025[[#This Row],[total_cancelado]]</f>
        <v>711750</v>
      </c>
      <c r="X965" s="136">
        <f>COMPROMISOS_2025[[#This Row],[total_ordenes]]</f>
        <v>711750</v>
      </c>
      <c r="Y965" t="str" cm="1">
        <f t="array" aca="1" ref="Y965" ca="1">IFERROR(_xlfn.XLOOKUP(COMPROMISOS_2025[[#This Row],[concatenado]],PAA[[#All],[RCP-RUBRO]],PAA[[#All],[Actividad3]],VLOOKUP(COMPROMISOS_2025[[#This Row],[Indicador Principal]],$AC$2:$AD$17,2,0),0),"")</f>
        <v/>
      </c>
    </row>
    <row r="966" spans="1:25" hidden="1" x14ac:dyDescent="0.25">
      <c r="A966">
        <v>2678</v>
      </c>
      <c r="B966" t="s">
        <v>2491</v>
      </c>
      <c r="C966" t="s">
        <v>1936</v>
      </c>
      <c r="D966" t="s">
        <v>3575</v>
      </c>
      <c r="F966">
        <v>405</v>
      </c>
      <c r="G966">
        <v>96</v>
      </c>
      <c r="H966" t="s">
        <v>789</v>
      </c>
      <c r="I966" t="s">
        <v>2257</v>
      </c>
      <c r="J966">
        <v>711750</v>
      </c>
      <c r="K966">
        <v>2025</v>
      </c>
      <c r="L966">
        <v>1046696814</v>
      </c>
      <c r="M966" t="s">
        <v>3847</v>
      </c>
      <c r="N966" t="s">
        <v>1688</v>
      </c>
      <c r="O966" t="s">
        <v>1686</v>
      </c>
      <c r="P966">
        <v>0</v>
      </c>
      <c r="Q966">
        <v>711750</v>
      </c>
      <c r="R966">
        <v>0</v>
      </c>
      <c r="S966">
        <v>0</v>
      </c>
      <c r="T966" t="str">
        <f t="shared" si="30"/>
        <v>26782.43.4302.85.0-101024.2.3.3.08.06.</v>
      </c>
      <c r="U966" t="e" cm="1">
        <f t="array" aca="1" ref="U966" ca="1">+IF(COMPROMISOS_2025[[#This Row],[P]]="20","41080111",_xlfn.XLOOKUP(COMPROMISOS_2025[[#This Row],[concatenado]],PAA[[#All],[RCP-RUBRO]],PAA[[#All],[INDICADOR]],"",0))</f>
        <v>#NAME?</v>
      </c>
      <c r="V966" s="144" t="str">
        <f t="shared" si="31"/>
        <v>85</v>
      </c>
      <c r="W966" s="136">
        <f>+COMPROMISOS_2025[[#This Row],[valor_total]]-COMPROMISOS_2025[[#This Row],[total_cancelado]]</f>
        <v>711750</v>
      </c>
      <c r="X966" s="136">
        <f>COMPROMISOS_2025[[#This Row],[total_ordenes]]</f>
        <v>711750</v>
      </c>
      <c r="Y966" t="str" cm="1">
        <f t="array" aca="1" ref="Y966" ca="1">IFERROR(_xlfn.XLOOKUP(COMPROMISOS_2025[[#This Row],[concatenado]],PAA[[#All],[RCP-RUBRO]],PAA[[#All],[Actividad3]],VLOOKUP(COMPROMISOS_2025[[#This Row],[Indicador Principal]],$AC$2:$AD$17,2,0),0),"")</f>
        <v/>
      </c>
    </row>
    <row r="967" spans="1:25" hidden="1" x14ac:dyDescent="0.25">
      <c r="A967">
        <v>2682</v>
      </c>
      <c r="B967" t="s">
        <v>2491</v>
      </c>
      <c r="C967" t="s">
        <v>1936</v>
      </c>
      <c r="D967" t="s">
        <v>3575</v>
      </c>
      <c r="F967">
        <v>405</v>
      </c>
      <c r="G967">
        <v>96</v>
      </c>
      <c r="H967" t="s">
        <v>789</v>
      </c>
      <c r="I967" t="s">
        <v>2257</v>
      </c>
      <c r="J967">
        <v>711750</v>
      </c>
      <c r="K967">
        <v>2025</v>
      </c>
      <c r="L967">
        <v>1057980258</v>
      </c>
      <c r="M967" t="s">
        <v>3848</v>
      </c>
      <c r="N967" t="s">
        <v>1688</v>
      </c>
      <c r="O967" t="s">
        <v>1686</v>
      </c>
      <c r="P967">
        <v>0</v>
      </c>
      <c r="Q967">
        <v>711750</v>
      </c>
      <c r="R967">
        <v>0</v>
      </c>
      <c r="S967">
        <v>0</v>
      </c>
      <c r="T967" t="str">
        <f t="shared" si="30"/>
        <v>26822.43.4302.85.0-101024.2.3.3.08.06.</v>
      </c>
      <c r="U967" t="e" cm="1">
        <f t="array" aca="1" ref="U967" ca="1">+IF(COMPROMISOS_2025[[#This Row],[P]]="20","41080111",_xlfn.XLOOKUP(COMPROMISOS_2025[[#This Row],[concatenado]],PAA[[#All],[RCP-RUBRO]],PAA[[#All],[INDICADOR]],"",0))</f>
        <v>#NAME?</v>
      </c>
      <c r="V967" s="144" t="str">
        <f t="shared" si="31"/>
        <v>85</v>
      </c>
      <c r="W967" s="136">
        <f>+COMPROMISOS_2025[[#This Row],[valor_total]]-COMPROMISOS_2025[[#This Row],[total_cancelado]]</f>
        <v>711750</v>
      </c>
      <c r="X967" s="136">
        <f>COMPROMISOS_2025[[#This Row],[total_ordenes]]</f>
        <v>711750</v>
      </c>
      <c r="Y967" t="str" cm="1">
        <f t="array" aca="1" ref="Y967" ca="1">IFERROR(_xlfn.XLOOKUP(COMPROMISOS_2025[[#This Row],[concatenado]],PAA[[#All],[RCP-RUBRO]],PAA[[#All],[Actividad3]],VLOOKUP(COMPROMISOS_2025[[#This Row],[Indicador Principal]],$AC$2:$AD$17,2,0),0),"")</f>
        <v/>
      </c>
    </row>
    <row r="968" spans="1:25" hidden="1" x14ac:dyDescent="0.25">
      <c r="A968">
        <v>2685</v>
      </c>
      <c r="B968" t="s">
        <v>2491</v>
      </c>
      <c r="C968" t="s">
        <v>1936</v>
      </c>
      <c r="D968" t="s">
        <v>3575</v>
      </c>
      <c r="F968">
        <v>405</v>
      </c>
      <c r="G968">
        <v>96</v>
      </c>
      <c r="H968" t="s">
        <v>789</v>
      </c>
      <c r="I968" t="s">
        <v>2257</v>
      </c>
      <c r="J968">
        <v>711750</v>
      </c>
      <c r="K968">
        <v>2025</v>
      </c>
      <c r="L968">
        <v>1062428868</v>
      </c>
      <c r="M968" t="s">
        <v>3849</v>
      </c>
      <c r="N968" t="s">
        <v>1688</v>
      </c>
      <c r="O968" t="s">
        <v>1686</v>
      </c>
      <c r="P968">
        <v>0</v>
      </c>
      <c r="Q968">
        <v>711750</v>
      </c>
      <c r="R968">
        <v>0</v>
      </c>
      <c r="S968">
        <v>0</v>
      </c>
      <c r="T968" t="str">
        <f t="shared" si="30"/>
        <v>26852.43.4302.85.0-101024.2.3.3.08.06.</v>
      </c>
      <c r="U968" t="e" cm="1">
        <f t="array" aca="1" ref="U968" ca="1">+IF(COMPROMISOS_2025[[#This Row],[P]]="20","41080111",_xlfn.XLOOKUP(COMPROMISOS_2025[[#This Row],[concatenado]],PAA[[#All],[RCP-RUBRO]],PAA[[#All],[INDICADOR]],"",0))</f>
        <v>#NAME?</v>
      </c>
      <c r="V968" s="144" t="str">
        <f t="shared" si="31"/>
        <v>85</v>
      </c>
      <c r="W968" s="136">
        <f>+COMPROMISOS_2025[[#This Row],[valor_total]]-COMPROMISOS_2025[[#This Row],[total_cancelado]]</f>
        <v>711750</v>
      </c>
      <c r="X968" s="136">
        <f>COMPROMISOS_2025[[#This Row],[total_ordenes]]</f>
        <v>711750</v>
      </c>
      <c r="Y968" t="str" cm="1">
        <f t="array" aca="1" ref="Y968" ca="1">IFERROR(_xlfn.XLOOKUP(COMPROMISOS_2025[[#This Row],[concatenado]],PAA[[#All],[RCP-RUBRO]],PAA[[#All],[Actividad3]],VLOOKUP(COMPROMISOS_2025[[#This Row],[Indicador Principal]],$AC$2:$AD$17,2,0),0),"")</f>
        <v/>
      </c>
    </row>
    <row r="969" spans="1:25" hidden="1" x14ac:dyDescent="0.25">
      <c r="A969">
        <v>2686</v>
      </c>
      <c r="B969" t="s">
        <v>2491</v>
      </c>
      <c r="C969" t="s">
        <v>1936</v>
      </c>
      <c r="D969" t="s">
        <v>3575</v>
      </c>
      <c r="F969">
        <v>405</v>
      </c>
      <c r="G969">
        <v>96</v>
      </c>
      <c r="H969" t="s">
        <v>789</v>
      </c>
      <c r="I969" t="s">
        <v>2257</v>
      </c>
      <c r="J969">
        <v>1067625</v>
      </c>
      <c r="K969">
        <v>2025</v>
      </c>
      <c r="L969">
        <v>1062428930</v>
      </c>
      <c r="M969" t="s">
        <v>3850</v>
      </c>
      <c r="N969" t="s">
        <v>1688</v>
      </c>
      <c r="O969" t="s">
        <v>1686</v>
      </c>
      <c r="P969">
        <v>0</v>
      </c>
      <c r="Q969">
        <v>1067625</v>
      </c>
      <c r="R969">
        <v>0</v>
      </c>
      <c r="S969">
        <v>0</v>
      </c>
      <c r="T969" t="str">
        <f t="shared" si="30"/>
        <v>26862.43.4302.85.0-101024.2.3.3.08.06.</v>
      </c>
      <c r="U969" t="e" cm="1">
        <f t="array" aca="1" ref="U969" ca="1">+IF(COMPROMISOS_2025[[#This Row],[P]]="20","41080111",_xlfn.XLOOKUP(COMPROMISOS_2025[[#This Row],[concatenado]],PAA[[#All],[RCP-RUBRO]],PAA[[#All],[INDICADOR]],"",0))</f>
        <v>#NAME?</v>
      </c>
      <c r="V969" s="144" t="str">
        <f t="shared" si="31"/>
        <v>85</v>
      </c>
      <c r="W969" s="136">
        <f>+COMPROMISOS_2025[[#This Row],[valor_total]]-COMPROMISOS_2025[[#This Row],[total_cancelado]]</f>
        <v>1067625</v>
      </c>
      <c r="X969" s="136">
        <f>COMPROMISOS_2025[[#This Row],[total_ordenes]]</f>
        <v>1067625</v>
      </c>
      <c r="Y969" t="str" cm="1">
        <f t="array" aca="1" ref="Y969" ca="1">IFERROR(_xlfn.XLOOKUP(COMPROMISOS_2025[[#This Row],[concatenado]],PAA[[#All],[RCP-RUBRO]],PAA[[#All],[Actividad3]],VLOOKUP(COMPROMISOS_2025[[#This Row],[Indicador Principal]],$AC$2:$AD$17,2,0),0),"")</f>
        <v/>
      </c>
    </row>
    <row r="970" spans="1:25" hidden="1" x14ac:dyDescent="0.25">
      <c r="A970">
        <v>2687</v>
      </c>
      <c r="B970" t="s">
        <v>2491</v>
      </c>
      <c r="C970" t="s">
        <v>1936</v>
      </c>
      <c r="D970" t="s">
        <v>3575</v>
      </c>
      <c r="F970">
        <v>405</v>
      </c>
      <c r="G970">
        <v>96</v>
      </c>
      <c r="H970" t="s">
        <v>789</v>
      </c>
      <c r="I970" t="s">
        <v>2257</v>
      </c>
      <c r="J970">
        <v>711750</v>
      </c>
      <c r="K970">
        <v>2025</v>
      </c>
      <c r="L970">
        <v>1062606601</v>
      </c>
      <c r="M970" t="s">
        <v>3851</v>
      </c>
      <c r="N970" t="s">
        <v>1688</v>
      </c>
      <c r="O970" t="s">
        <v>1686</v>
      </c>
      <c r="P970">
        <v>0</v>
      </c>
      <c r="Q970">
        <v>711750</v>
      </c>
      <c r="R970">
        <v>0</v>
      </c>
      <c r="S970">
        <v>0</v>
      </c>
      <c r="T970" t="str">
        <f t="shared" si="30"/>
        <v>26872.43.4302.85.0-101024.2.3.3.08.06.</v>
      </c>
      <c r="U970" t="e" cm="1">
        <f t="array" aca="1" ref="U970" ca="1">+IF(COMPROMISOS_2025[[#This Row],[P]]="20","41080111",_xlfn.XLOOKUP(COMPROMISOS_2025[[#This Row],[concatenado]],PAA[[#All],[RCP-RUBRO]],PAA[[#All],[INDICADOR]],"",0))</f>
        <v>#NAME?</v>
      </c>
      <c r="V970" s="144" t="str">
        <f t="shared" si="31"/>
        <v>85</v>
      </c>
      <c r="W970" s="136">
        <f>+COMPROMISOS_2025[[#This Row],[valor_total]]-COMPROMISOS_2025[[#This Row],[total_cancelado]]</f>
        <v>711750</v>
      </c>
      <c r="X970" s="136">
        <f>COMPROMISOS_2025[[#This Row],[total_ordenes]]</f>
        <v>711750</v>
      </c>
      <c r="Y970" t="str" cm="1">
        <f t="array" aca="1" ref="Y970" ca="1">IFERROR(_xlfn.XLOOKUP(COMPROMISOS_2025[[#This Row],[concatenado]],PAA[[#All],[RCP-RUBRO]],PAA[[#All],[Actividad3]],VLOOKUP(COMPROMISOS_2025[[#This Row],[Indicador Principal]],$AC$2:$AD$17,2,0),0),"")</f>
        <v/>
      </c>
    </row>
    <row r="971" spans="1:25" hidden="1" x14ac:dyDescent="0.25">
      <c r="A971">
        <v>2688</v>
      </c>
      <c r="B971" t="s">
        <v>2491</v>
      </c>
      <c r="C971" t="s">
        <v>1936</v>
      </c>
      <c r="D971" t="s">
        <v>3575</v>
      </c>
      <c r="F971">
        <v>405</v>
      </c>
      <c r="G971">
        <v>96</v>
      </c>
      <c r="H971" t="s">
        <v>789</v>
      </c>
      <c r="I971" t="s">
        <v>2257</v>
      </c>
      <c r="J971">
        <v>711750</v>
      </c>
      <c r="K971">
        <v>2025</v>
      </c>
      <c r="L971">
        <v>1064187599</v>
      </c>
      <c r="M971" t="s">
        <v>3852</v>
      </c>
      <c r="N971" t="s">
        <v>1688</v>
      </c>
      <c r="O971" t="s">
        <v>1686</v>
      </c>
      <c r="P971">
        <v>0</v>
      </c>
      <c r="Q971">
        <v>711750</v>
      </c>
      <c r="R971">
        <v>0</v>
      </c>
      <c r="S971">
        <v>0</v>
      </c>
      <c r="T971" t="str">
        <f t="shared" si="30"/>
        <v>26882.43.4302.85.0-101024.2.3.3.08.06.</v>
      </c>
      <c r="U971" t="e" cm="1">
        <f t="array" aca="1" ref="U971" ca="1">+IF(COMPROMISOS_2025[[#This Row],[P]]="20","41080111",_xlfn.XLOOKUP(COMPROMISOS_2025[[#This Row],[concatenado]],PAA[[#All],[RCP-RUBRO]],PAA[[#All],[INDICADOR]],"",0))</f>
        <v>#NAME?</v>
      </c>
      <c r="V971" s="144" t="str">
        <f t="shared" si="31"/>
        <v>85</v>
      </c>
      <c r="W971" s="136">
        <f>+COMPROMISOS_2025[[#This Row],[valor_total]]-COMPROMISOS_2025[[#This Row],[total_cancelado]]</f>
        <v>711750</v>
      </c>
      <c r="X971" s="136">
        <f>COMPROMISOS_2025[[#This Row],[total_ordenes]]</f>
        <v>711750</v>
      </c>
      <c r="Y971" t="str" cm="1">
        <f t="array" aca="1" ref="Y971" ca="1">IFERROR(_xlfn.XLOOKUP(COMPROMISOS_2025[[#This Row],[concatenado]],PAA[[#All],[RCP-RUBRO]],PAA[[#All],[Actividad3]],VLOOKUP(COMPROMISOS_2025[[#This Row],[Indicador Principal]],$AC$2:$AD$17,2,0),0),"")</f>
        <v/>
      </c>
    </row>
    <row r="972" spans="1:25" hidden="1" x14ac:dyDescent="0.25">
      <c r="A972">
        <v>2691</v>
      </c>
      <c r="B972" t="s">
        <v>2491</v>
      </c>
      <c r="C972" t="s">
        <v>1936</v>
      </c>
      <c r="D972" t="s">
        <v>3575</v>
      </c>
      <c r="F972">
        <v>405</v>
      </c>
      <c r="G972">
        <v>96</v>
      </c>
      <c r="H972" t="s">
        <v>789</v>
      </c>
      <c r="I972" t="s">
        <v>2257</v>
      </c>
      <c r="J972">
        <v>711750</v>
      </c>
      <c r="K972">
        <v>2025</v>
      </c>
      <c r="L972">
        <v>1067879191</v>
      </c>
      <c r="M972" t="s">
        <v>3853</v>
      </c>
      <c r="N972" t="s">
        <v>1688</v>
      </c>
      <c r="O972" t="s">
        <v>1686</v>
      </c>
      <c r="P972">
        <v>0</v>
      </c>
      <c r="Q972">
        <v>711750</v>
      </c>
      <c r="R972">
        <v>0</v>
      </c>
      <c r="S972">
        <v>0</v>
      </c>
      <c r="T972" t="str">
        <f t="shared" si="30"/>
        <v>26912.43.4302.85.0-101024.2.3.3.08.06.</v>
      </c>
      <c r="U972" t="e" cm="1">
        <f t="array" aca="1" ref="U972" ca="1">+IF(COMPROMISOS_2025[[#This Row],[P]]="20","41080111",_xlfn.XLOOKUP(COMPROMISOS_2025[[#This Row],[concatenado]],PAA[[#All],[RCP-RUBRO]],PAA[[#All],[INDICADOR]],"",0))</f>
        <v>#NAME?</v>
      </c>
      <c r="V972" s="144" t="str">
        <f t="shared" si="31"/>
        <v>85</v>
      </c>
      <c r="W972" s="136">
        <f>+COMPROMISOS_2025[[#This Row],[valor_total]]-COMPROMISOS_2025[[#This Row],[total_cancelado]]</f>
        <v>711750</v>
      </c>
      <c r="X972" s="136">
        <f>COMPROMISOS_2025[[#This Row],[total_ordenes]]</f>
        <v>711750</v>
      </c>
      <c r="Y972" t="str" cm="1">
        <f t="array" aca="1" ref="Y972" ca="1">IFERROR(_xlfn.XLOOKUP(COMPROMISOS_2025[[#This Row],[concatenado]],PAA[[#All],[RCP-RUBRO]],PAA[[#All],[Actividad3]],VLOOKUP(COMPROMISOS_2025[[#This Row],[Indicador Principal]],$AC$2:$AD$17,2,0),0),"")</f>
        <v/>
      </c>
    </row>
    <row r="973" spans="1:25" hidden="1" x14ac:dyDescent="0.25">
      <c r="A973">
        <v>2692</v>
      </c>
      <c r="B973" t="s">
        <v>2491</v>
      </c>
      <c r="C973" t="s">
        <v>1936</v>
      </c>
      <c r="D973" t="s">
        <v>3575</v>
      </c>
      <c r="F973">
        <v>405</v>
      </c>
      <c r="G973">
        <v>96</v>
      </c>
      <c r="H973" t="s">
        <v>789</v>
      </c>
      <c r="I973" t="s">
        <v>2257</v>
      </c>
      <c r="J973">
        <v>711750</v>
      </c>
      <c r="K973">
        <v>2025</v>
      </c>
      <c r="L973">
        <v>1072642358</v>
      </c>
      <c r="M973" t="s">
        <v>3854</v>
      </c>
      <c r="N973" t="s">
        <v>1688</v>
      </c>
      <c r="O973" t="s">
        <v>1686</v>
      </c>
      <c r="P973">
        <v>0</v>
      </c>
      <c r="Q973">
        <v>711750</v>
      </c>
      <c r="R973">
        <v>0</v>
      </c>
      <c r="S973">
        <v>0</v>
      </c>
      <c r="T973" t="str">
        <f t="shared" si="30"/>
        <v>26922.43.4302.85.0-101024.2.3.3.08.06.</v>
      </c>
      <c r="U973" t="e" cm="1">
        <f t="array" aca="1" ref="U973" ca="1">+IF(COMPROMISOS_2025[[#This Row],[P]]="20","41080111",_xlfn.XLOOKUP(COMPROMISOS_2025[[#This Row],[concatenado]],PAA[[#All],[RCP-RUBRO]],PAA[[#All],[INDICADOR]],"",0))</f>
        <v>#NAME?</v>
      </c>
      <c r="V973" s="144" t="str">
        <f t="shared" si="31"/>
        <v>85</v>
      </c>
      <c r="W973" s="136">
        <f>+COMPROMISOS_2025[[#This Row],[valor_total]]-COMPROMISOS_2025[[#This Row],[total_cancelado]]</f>
        <v>711750</v>
      </c>
      <c r="X973" s="136">
        <f>COMPROMISOS_2025[[#This Row],[total_ordenes]]</f>
        <v>711750</v>
      </c>
      <c r="Y973" t="str" cm="1">
        <f t="array" aca="1" ref="Y973" ca="1">IFERROR(_xlfn.XLOOKUP(COMPROMISOS_2025[[#This Row],[concatenado]],PAA[[#All],[RCP-RUBRO]],PAA[[#All],[Actividad3]],VLOOKUP(COMPROMISOS_2025[[#This Row],[Indicador Principal]],$AC$2:$AD$17,2,0),0),"")</f>
        <v/>
      </c>
    </row>
    <row r="974" spans="1:25" hidden="1" x14ac:dyDescent="0.25">
      <c r="A974">
        <v>2693</v>
      </c>
      <c r="B974" t="s">
        <v>2491</v>
      </c>
      <c r="C974" t="s">
        <v>1936</v>
      </c>
      <c r="D974" t="s">
        <v>3575</v>
      </c>
      <c r="F974">
        <v>405</v>
      </c>
      <c r="G974">
        <v>96</v>
      </c>
      <c r="H974" t="s">
        <v>789</v>
      </c>
      <c r="I974" t="s">
        <v>2257</v>
      </c>
      <c r="J974">
        <v>711750</v>
      </c>
      <c r="K974">
        <v>2025</v>
      </c>
      <c r="L974">
        <v>1073970917</v>
      </c>
      <c r="M974" t="s">
        <v>3855</v>
      </c>
      <c r="N974" t="s">
        <v>1688</v>
      </c>
      <c r="O974" t="s">
        <v>1686</v>
      </c>
      <c r="P974">
        <v>0</v>
      </c>
      <c r="Q974">
        <v>711750</v>
      </c>
      <c r="R974">
        <v>0</v>
      </c>
      <c r="S974">
        <v>0</v>
      </c>
      <c r="T974" t="str">
        <f t="shared" si="30"/>
        <v>26932.43.4302.85.0-101024.2.3.3.08.06.</v>
      </c>
      <c r="U974" t="e" cm="1">
        <f t="array" aca="1" ref="U974" ca="1">+IF(COMPROMISOS_2025[[#This Row],[P]]="20","41080111",_xlfn.XLOOKUP(COMPROMISOS_2025[[#This Row],[concatenado]],PAA[[#All],[RCP-RUBRO]],PAA[[#All],[INDICADOR]],"",0))</f>
        <v>#NAME?</v>
      </c>
      <c r="V974" s="144" t="str">
        <f t="shared" si="31"/>
        <v>85</v>
      </c>
      <c r="W974" s="136">
        <f>+COMPROMISOS_2025[[#This Row],[valor_total]]-COMPROMISOS_2025[[#This Row],[total_cancelado]]</f>
        <v>711750</v>
      </c>
      <c r="X974" s="136">
        <f>COMPROMISOS_2025[[#This Row],[total_ordenes]]</f>
        <v>711750</v>
      </c>
      <c r="Y974" t="str" cm="1">
        <f t="array" aca="1" ref="Y974" ca="1">IFERROR(_xlfn.XLOOKUP(COMPROMISOS_2025[[#This Row],[concatenado]],PAA[[#All],[RCP-RUBRO]],PAA[[#All],[Actividad3]],VLOOKUP(COMPROMISOS_2025[[#This Row],[Indicador Principal]],$AC$2:$AD$17,2,0),0),"")</f>
        <v/>
      </c>
    </row>
    <row r="975" spans="1:25" hidden="1" x14ac:dyDescent="0.25">
      <c r="A975">
        <v>2697</v>
      </c>
      <c r="B975" t="s">
        <v>2491</v>
      </c>
      <c r="C975" t="s">
        <v>1936</v>
      </c>
      <c r="D975" t="s">
        <v>3575</v>
      </c>
      <c r="F975">
        <v>405</v>
      </c>
      <c r="G975">
        <v>96</v>
      </c>
      <c r="H975" t="s">
        <v>789</v>
      </c>
      <c r="I975" t="s">
        <v>2257</v>
      </c>
      <c r="J975">
        <v>1423500</v>
      </c>
      <c r="K975">
        <v>2025</v>
      </c>
      <c r="L975">
        <v>1077175447</v>
      </c>
      <c r="M975" t="s">
        <v>3856</v>
      </c>
      <c r="N975" t="s">
        <v>1688</v>
      </c>
      <c r="O975" t="s">
        <v>1686</v>
      </c>
      <c r="P975">
        <v>0</v>
      </c>
      <c r="Q975">
        <v>1423500</v>
      </c>
      <c r="R975">
        <v>0</v>
      </c>
      <c r="S975">
        <v>0</v>
      </c>
      <c r="T975" t="str">
        <f t="shared" si="30"/>
        <v>26972.43.4302.85.0-101024.2.3.3.08.06.</v>
      </c>
      <c r="U975" t="e" cm="1">
        <f t="array" aca="1" ref="U975" ca="1">+IF(COMPROMISOS_2025[[#This Row],[P]]="20","41080111",_xlfn.XLOOKUP(COMPROMISOS_2025[[#This Row],[concatenado]],PAA[[#All],[RCP-RUBRO]],PAA[[#All],[INDICADOR]],"",0))</f>
        <v>#NAME?</v>
      </c>
      <c r="V975" s="144" t="str">
        <f t="shared" si="31"/>
        <v>85</v>
      </c>
      <c r="W975" s="136">
        <f>+COMPROMISOS_2025[[#This Row],[valor_total]]-COMPROMISOS_2025[[#This Row],[total_cancelado]]</f>
        <v>1423500</v>
      </c>
      <c r="X975" s="136">
        <f>COMPROMISOS_2025[[#This Row],[total_ordenes]]</f>
        <v>1423500</v>
      </c>
      <c r="Y975" t="str" cm="1">
        <f t="array" aca="1" ref="Y975" ca="1">IFERROR(_xlfn.XLOOKUP(COMPROMISOS_2025[[#This Row],[concatenado]],PAA[[#All],[RCP-RUBRO]],PAA[[#All],[Actividad3]],VLOOKUP(COMPROMISOS_2025[[#This Row],[Indicador Principal]],$AC$2:$AD$17,2,0),0),"")</f>
        <v/>
      </c>
    </row>
    <row r="976" spans="1:25" hidden="1" x14ac:dyDescent="0.25">
      <c r="A976">
        <v>2700</v>
      </c>
      <c r="B976" t="s">
        <v>2491</v>
      </c>
      <c r="C976" t="s">
        <v>1936</v>
      </c>
      <c r="D976" t="s">
        <v>3575</v>
      </c>
      <c r="F976">
        <v>405</v>
      </c>
      <c r="G976">
        <v>96</v>
      </c>
      <c r="H976" t="s">
        <v>789</v>
      </c>
      <c r="I976" t="s">
        <v>2257</v>
      </c>
      <c r="J976">
        <v>711750</v>
      </c>
      <c r="K976">
        <v>2025</v>
      </c>
      <c r="L976">
        <v>1077438357</v>
      </c>
      <c r="M976" t="s">
        <v>3857</v>
      </c>
      <c r="N976" t="s">
        <v>1688</v>
      </c>
      <c r="O976" t="s">
        <v>1686</v>
      </c>
      <c r="P976">
        <v>0</v>
      </c>
      <c r="Q976">
        <v>711750</v>
      </c>
      <c r="R976">
        <v>0</v>
      </c>
      <c r="S976">
        <v>0</v>
      </c>
      <c r="T976" t="str">
        <f t="shared" si="30"/>
        <v>27002.43.4302.85.0-101024.2.3.3.08.06.</v>
      </c>
      <c r="U976" t="e" cm="1">
        <f t="array" aca="1" ref="U976" ca="1">+IF(COMPROMISOS_2025[[#This Row],[P]]="20","41080111",_xlfn.XLOOKUP(COMPROMISOS_2025[[#This Row],[concatenado]],PAA[[#All],[RCP-RUBRO]],PAA[[#All],[INDICADOR]],"",0))</f>
        <v>#NAME?</v>
      </c>
      <c r="V976" s="144" t="str">
        <f t="shared" si="31"/>
        <v>85</v>
      </c>
      <c r="W976" s="136">
        <f>+COMPROMISOS_2025[[#This Row],[valor_total]]-COMPROMISOS_2025[[#This Row],[total_cancelado]]</f>
        <v>711750</v>
      </c>
      <c r="X976" s="136">
        <f>COMPROMISOS_2025[[#This Row],[total_ordenes]]</f>
        <v>711750</v>
      </c>
      <c r="Y976" t="str" cm="1">
        <f t="array" aca="1" ref="Y976" ca="1">IFERROR(_xlfn.XLOOKUP(COMPROMISOS_2025[[#This Row],[concatenado]],PAA[[#All],[RCP-RUBRO]],PAA[[#All],[Actividad3]],VLOOKUP(COMPROMISOS_2025[[#This Row],[Indicador Principal]],$AC$2:$AD$17,2,0),0),"")</f>
        <v/>
      </c>
    </row>
    <row r="977" spans="1:25" hidden="1" x14ac:dyDescent="0.25">
      <c r="A977">
        <v>2703</v>
      </c>
      <c r="B977" t="s">
        <v>2491</v>
      </c>
      <c r="C977" t="s">
        <v>1936</v>
      </c>
      <c r="D977" t="s">
        <v>3575</v>
      </c>
      <c r="F977">
        <v>405</v>
      </c>
      <c r="G977">
        <v>96</v>
      </c>
      <c r="H977" t="s">
        <v>789</v>
      </c>
      <c r="I977" t="s">
        <v>2257</v>
      </c>
      <c r="J977">
        <v>711750</v>
      </c>
      <c r="K977">
        <v>2025</v>
      </c>
      <c r="L977">
        <v>1077999141</v>
      </c>
      <c r="M977" t="s">
        <v>3858</v>
      </c>
      <c r="N977" t="s">
        <v>1688</v>
      </c>
      <c r="O977" t="s">
        <v>1686</v>
      </c>
      <c r="P977">
        <v>0</v>
      </c>
      <c r="Q977">
        <v>711750</v>
      </c>
      <c r="R977">
        <v>0</v>
      </c>
      <c r="S977">
        <v>0</v>
      </c>
      <c r="T977" t="str">
        <f t="shared" si="30"/>
        <v>27032.43.4302.85.0-101024.2.3.3.08.06.</v>
      </c>
      <c r="U977" t="e" cm="1">
        <f t="array" aca="1" ref="U977" ca="1">+IF(COMPROMISOS_2025[[#This Row],[P]]="20","41080111",_xlfn.XLOOKUP(COMPROMISOS_2025[[#This Row],[concatenado]],PAA[[#All],[RCP-RUBRO]],PAA[[#All],[INDICADOR]],"",0))</f>
        <v>#NAME?</v>
      </c>
      <c r="V977" s="144" t="str">
        <f t="shared" si="31"/>
        <v>85</v>
      </c>
      <c r="W977" s="136">
        <f>+COMPROMISOS_2025[[#This Row],[valor_total]]-COMPROMISOS_2025[[#This Row],[total_cancelado]]</f>
        <v>711750</v>
      </c>
      <c r="X977" s="136">
        <f>COMPROMISOS_2025[[#This Row],[total_ordenes]]</f>
        <v>711750</v>
      </c>
      <c r="Y977" t="str" cm="1">
        <f t="array" aca="1" ref="Y977" ca="1">IFERROR(_xlfn.XLOOKUP(COMPROMISOS_2025[[#This Row],[concatenado]],PAA[[#All],[RCP-RUBRO]],PAA[[#All],[Actividad3]],VLOOKUP(COMPROMISOS_2025[[#This Row],[Indicador Principal]],$AC$2:$AD$17,2,0),0),"")</f>
        <v/>
      </c>
    </row>
    <row r="978" spans="1:25" hidden="1" x14ac:dyDescent="0.25">
      <c r="A978">
        <v>2704</v>
      </c>
      <c r="B978" t="s">
        <v>2491</v>
      </c>
      <c r="C978" t="s">
        <v>1936</v>
      </c>
      <c r="D978" t="s">
        <v>3575</v>
      </c>
      <c r="F978">
        <v>405</v>
      </c>
      <c r="G978">
        <v>96</v>
      </c>
      <c r="H978" t="s">
        <v>789</v>
      </c>
      <c r="I978" t="s">
        <v>2257</v>
      </c>
      <c r="J978">
        <v>711750</v>
      </c>
      <c r="K978">
        <v>2025</v>
      </c>
      <c r="L978">
        <v>1078014623</v>
      </c>
      <c r="M978" t="s">
        <v>3859</v>
      </c>
      <c r="N978" t="s">
        <v>1688</v>
      </c>
      <c r="O978" t="s">
        <v>1686</v>
      </c>
      <c r="P978">
        <v>0</v>
      </c>
      <c r="Q978">
        <v>711750</v>
      </c>
      <c r="R978">
        <v>0</v>
      </c>
      <c r="S978">
        <v>0</v>
      </c>
      <c r="T978" t="str">
        <f t="shared" si="30"/>
        <v>27042.43.4302.85.0-101024.2.3.3.08.06.</v>
      </c>
      <c r="U978" t="e" cm="1">
        <f t="array" aca="1" ref="U978" ca="1">+IF(COMPROMISOS_2025[[#This Row],[P]]="20","41080111",_xlfn.XLOOKUP(COMPROMISOS_2025[[#This Row],[concatenado]],PAA[[#All],[RCP-RUBRO]],PAA[[#All],[INDICADOR]],"",0))</f>
        <v>#NAME?</v>
      </c>
      <c r="V978" s="144" t="str">
        <f t="shared" si="31"/>
        <v>85</v>
      </c>
      <c r="W978" s="136">
        <f>+COMPROMISOS_2025[[#This Row],[valor_total]]-COMPROMISOS_2025[[#This Row],[total_cancelado]]</f>
        <v>711750</v>
      </c>
      <c r="X978" s="136">
        <f>COMPROMISOS_2025[[#This Row],[total_ordenes]]</f>
        <v>711750</v>
      </c>
      <c r="Y978" t="str" cm="1">
        <f t="array" aca="1" ref="Y978" ca="1">IFERROR(_xlfn.XLOOKUP(COMPROMISOS_2025[[#This Row],[concatenado]],PAA[[#All],[RCP-RUBRO]],PAA[[#All],[Actividad3]],VLOOKUP(COMPROMISOS_2025[[#This Row],[Indicador Principal]],$AC$2:$AD$17,2,0),0),"")</f>
        <v/>
      </c>
    </row>
    <row r="979" spans="1:25" hidden="1" x14ac:dyDescent="0.25">
      <c r="A979">
        <v>2707</v>
      </c>
      <c r="B979" t="s">
        <v>2491</v>
      </c>
      <c r="C979" t="s">
        <v>1936</v>
      </c>
      <c r="D979" t="s">
        <v>3575</v>
      </c>
      <c r="F979">
        <v>405</v>
      </c>
      <c r="G979">
        <v>96</v>
      </c>
      <c r="H979" t="s">
        <v>789</v>
      </c>
      <c r="I979" t="s">
        <v>2257</v>
      </c>
      <c r="J979">
        <v>1423500</v>
      </c>
      <c r="K979">
        <v>2025</v>
      </c>
      <c r="L979">
        <v>1079290073</v>
      </c>
      <c r="M979" t="s">
        <v>3860</v>
      </c>
      <c r="N979" t="s">
        <v>1688</v>
      </c>
      <c r="O979" t="s">
        <v>1686</v>
      </c>
      <c r="P979">
        <v>0</v>
      </c>
      <c r="Q979">
        <v>1423500</v>
      </c>
      <c r="R979">
        <v>0</v>
      </c>
      <c r="S979">
        <v>0</v>
      </c>
      <c r="T979" t="str">
        <f t="shared" si="30"/>
        <v>27072.43.4302.85.0-101024.2.3.3.08.06.</v>
      </c>
      <c r="U979" t="e" cm="1">
        <f t="array" aca="1" ref="U979" ca="1">+IF(COMPROMISOS_2025[[#This Row],[P]]="20","41080111",_xlfn.XLOOKUP(COMPROMISOS_2025[[#This Row],[concatenado]],PAA[[#All],[RCP-RUBRO]],PAA[[#All],[INDICADOR]],"",0))</f>
        <v>#NAME?</v>
      </c>
      <c r="V979" s="144" t="str">
        <f t="shared" si="31"/>
        <v>85</v>
      </c>
      <c r="W979" s="136">
        <f>+COMPROMISOS_2025[[#This Row],[valor_total]]-COMPROMISOS_2025[[#This Row],[total_cancelado]]</f>
        <v>1423500</v>
      </c>
      <c r="X979" s="136">
        <f>COMPROMISOS_2025[[#This Row],[total_ordenes]]</f>
        <v>1423500</v>
      </c>
      <c r="Y979" t="str" cm="1">
        <f t="array" aca="1" ref="Y979" ca="1">IFERROR(_xlfn.XLOOKUP(COMPROMISOS_2025[[#This Row],[concatenado]],PAA[[#All],[RCP-RUBRO]],PAA[[#All],[Actividad3]],VLOOKUP(COMPROMISOS_2025[[#This Row],[Indicador Principal]],$AC$2:$AD$17,2,0),0),"")</f>
        <v/>
      </c>
    </row>
    <row r="980" spans="1:25" hidden="1" x14ac:dyDescent="0.25">
      <c r="A980">
        <v>2708</v>
      </c>
      <c r="B980" t="s">
        <v>2491</v>
      </c>
      <c r="C980" t="s">
        <v>1936</v>
      </c>
      <c r="D980" t="s">
        <v>3575</v>
      </c>
      <c r="F980">
        <v>405</v>
      </c>
      <c r="G980">
        <v>96</v>
      </c>
      <c r="H980" t="s">
        <v>789</v>
      </c>
      <c r="I980" t="s">
        <v>2257</v>
      </c>
      <c r="J980">
        <v>711750</v>
      </c>
      <c r="K980">
        <v>2025</v>
      </c>
      <c r="L980">
        <v>1081056597</v>
      </c>
      <c r="M980" t="s">
        <v>3861</v>
      </c>
      <c r="N980" t="s">
        <v>1688</v>
      </c>
      <c r="O980" t="s">
        <v>1686</v>
      </c>
      <c r="P980">
        <v>0</v>
      </c>
      <c r="Q980">
        <v>711750</v>
      </c>
      <c r="R980">
        <v>0</v>
      </c>
      <c r="S980">
        <v>0</v>
      </c>
      <c r="T980" t="str">
        <f t="shared" si="30"/>
        <v>27082.43.4302.85.0-101024.2.3.3.08.06.</v>
      </c>
      <c r="U980" t="e" cm="1">
        <f t="array" aca="1" ref="U980" ca="1">+IF(COMPROMISOS_2025[[#This Row],[P]]="20","41080111",_xlfn.XLOOKUP(COMPROMISOS_2025[[#This Row],[concatenado]],PAA[[#All],[RCP-RUBRO]],PAA[[#All],[INDICADOR]],"",0))</f>
        <v>#NAME?</v>
      </c>
      <c r="V980" s="144" t="str">
        <f t="shared" si="31"/>
        <v>85</v>
      </c>
      <c r="W980" s="136">
        <f>+COMPROMISOS_2025[[#This Row],[valor_total]]-COMPROMISOS_2025[[#This Row],[total_cancelado]]</f>
        <v>711750</v>
      </c>
      <c r="X980" s="136">
        <f>COMPROMISOS_2025[[#This Row],[total_ordenes]]</f>
        <v>711750</v>
      </c>
      <c r="Y980" t="str" cm="1">
        <f t="array" aca="1" ref="Y980" ca="1">IFERROR(_xlfn.XLOOKUP(COMPROMISOS_2025[[#This Row],[concatenado]],PAA[[#All],[RCP-RUBRO]],PAA[[#All],[Actividad3]],VLOOKUP(COMPROMISOS_2025[[#This Row],[Indicador Principal]],$AC$2:$AD$17,2,0),0),"")</f>
        <v/>
      </c>
    </row>
    <row r="981" spans="1:25" hidden="1" x14ac:dyDescent="0.25">
      <c r="A981">
        <v>2716</v>
      </c>
      <c r="B981" t="s">
        <v>2491</v>
      </c>
      <c r="C981" t="s">
        <v>1936</v>
      </c>
      <c r="D981" t="s">
        <v>3575</v>
      </c>
      <c r="F981">
        <v>405</v>
      </c>
      <c r="G981">
        <v>96</v>
      </c>
      <c r="H981" t="s">
        <v>789</v>
      </c>
      <c r="I981" t="s">
        <v>2257</v>
      </c>
      <c r="J981">
        <v>711750</v>
      </c>
      <c r="K981">
        <v>2025</v>
      </c>
      <c r="L981">
        <v>1093597983</v>
      </c>
      <c r="M981" t="s">
        <v>3862</v>
      </c>
      <c r="N981" t="s">
        <v>1688</v>
      </c>
      <c r="O981" t="s">
        <v>1686</v>
      </c>
      <c r="P981">
        <v>0</v>
      </c>
      <c r="Q981">
        <v>711750</v>
      </c>
      <c r="R981">
        <v>0</v>
      </c>
      <c r="S981">
        <v>0</v>
      </c>
      <c r="T981" t="str">
        <f t="shared" si="30"/>
        <v>27162.43.4302.85.0-101024.2.3.3.08.06.</v>
      </c>
      <c r="U981" t="e" cm="1">
        <f t="array" aca="1" ref="U981" ca="1">+IF(COMPROMISOS_2025[[#This Row],[P]]="20","41080111",_xlfn.XLOOKUP(COMPROMISOS_2025[[#This Row],[concatenado]],PAA[[#All],[RCP-RUBRO]],PAA[[#All],[INDICADOR]],"",0))</f>
        <v>#NAME?</v>
      </c>
      <c r="V981" s="144" t="str">
        <f t="shared" si="31"/>
        <v>85</v>
      </c>
      <c r="W981" s="136">
        <f>+COMPROMISOS_2025[[#This Row],[valor_total]]-COMPROMISOS_2025[[#This Row],[total_cancelado]]</f>
        <v>711750</v>
      </c>
      <c r="X981" s="136">
        <f>COMPROMISOS_2025[[#This Row],[total_ordenes]]</f>
        <v>711750</v>
      </c>
      <c r="Y981" t="str" cm="1">
        <f t="array" aca="1" ref="Y981" ca="1">IFERROR(_xlfn.XLOOKUP(COMPROMISOS_2025[[#This Row],[concatenado]],PAA[[#All],[RCP-RUBRO]],PAA[[#All],[Actividad3]],VLOOKUP(COMPROMISOS_2025[[#This Row],[Indicador Principal]],$AC$2:$AD$17,2,0),0),"")</f>
        <v/>
      </c>
    </row>
    <row r="982" spans="1:25" hidden="1" x14ac:dyDescent="0.25">
      <c r="A982">
        <v>2717</v>
      </c>
      <c r="B982" t="s">
        <v>2491</v>
      </c>
      <c r="C982" t="s">
        <v>1936</v>
      </c>
      <c r="D982" t="s">
        <v>3575</v>
      </c>
      <c r="F982">
        <v>405</v>
      </c>
      <c r="G982">
        <v>96</v>
      </c>
      <c r="H982" t="s">
        <v>789</v>
      </c>
      <c r="I982" t="s">
        <v>2257</v>
      </c>
      <c r="J982">
        <v>711750</v>
      </c>
      <c r="K982">
        <v>2025</v>
      </c>
      <c r="L982">
        <v>1095305793</v>
      </c>
      <c r="M982" t="s">
        <v>3863</v>
      </c>
      <c r="N982" t="s">
        <v>1688</v>
      </c>
      <c r="O982" t="s">
        <v>1686</v>
      </c>
      <c r="P982">
        <v>0</v>
      </c>
      <c r="Q982">
        <v>711750</v>
      </c>
      <c r="R982">
        <v>0</v>
      </c>
      <c r="S982">
        <v>0</v>
      </c>
      <c r="T982" t="str">
        <f t="shared" si="30"/>
        <v>27172.43.4302.85.0-101024.2.3.3.08.06.</v>
      </c>
      <c r="U982" t="e" cm="1">
        <f t="array" aca="1" ref="U982" ca="1">+IF(COMPROMISOS_2025[[#This Row],[P]]="20","41080111",_xlfn.XLOOKUP(COMPROMISOS_2025[[#This Row],[concatenado]],PAA[[#All],[RCP-RUBRO]],PAA[[#All],[INDICADOR]],"",0))</f>
        <v>#NAME?</v>
      </c>
      <c r="V982" s="144" t="str">
        <f t="shared" si="31"/>
        <v>85</v>
      </c>
      <c r="W982" s="136">
        <f>+COMPROMISOS_2025[[#This Row],[valor_total]]-COMPROMISOS_2025[[#This Row],[total_cancelado]]</f>
        <v>711750</v>
      </c>
      <c r="X982" s="136">
        <f>COMPROMISOS_2025[[#This Row],[total_ordenes]]</f>
        <v>711750</v>
      </c>
      <c r="Y982" t="str" cm="1">
        <f t="array" aca="1" ref="Y982" ca="1">IFERROR(_xlfn.XLOOKUP(COMPROMISOS_2025[[#This Row],[concatenado]],PAA[[#All],[RCP-RUBRO]],PAA[[#All],[Actividad3]],VLOOKUP(COMPROMISOS_2025[[#This Row],[Indicador Principal]],$AC$2:$AD$17,2,0),0),"")</f>
        <v/>
      </c>
    </row>
    <row r="983" spans="1:25" hidden="1" x14ac:dyDescent="0.25">
      <c r="A983">
        <v>2720</v>
      </c>
      <c r="B983" t="s">
        <v>2491</v>
      </c>
      <c r="C983" t="s">
        <v>1936</v>
      </c>
      <c r="D983" t="s">
        <v>3575</v>
      </c>
      <c r="F983">
        <v>405</v>
      </c>
      <c r="G983">
        <v>96</v>
      </c>
      <c r="H983" t="s">
        <v>789</v>
      </c>
      <c r="I983" t="s">
        <v>2257</v>
      </c>
      <c r="J983">
        <v>2847000</v>
      </c>
      <c r="K983">
        <v>2025</v>
      </c>
      <c r="L983">
        <v>1098746792</v>
      </c>
      <c r="M983" t="s">
        <v>3864</v>
      </c>
      <c r="N983" t="s">
        <v>1688</v>
      </c>
      <c r="O983" t="s">
        <v>1686</v>
      </c>
      <c r="P983">
        <v>0</v>
      </c>
      <c r="Q983">
        <v>2847000</v>
      </c>
      <c r="R983">
        <v>0</v>
      </c>
      <c r="S983">
        <v>0</v>
      </c>
      <c r="T983" t="str">
        <f t="shared" si="30"/>
        <v>27202.43.4302.85.0-101024.2.3.3.08.06.</v>
      </c>
      <c r="U983" t="e" cm="1">
        <f t="array" aca="1" ref="U983" ca="1">+IF(COMPROMISOS_2025[[#This Row],[P]]="20","41080111",_xlfn.XLOOKUP(COMPROMISOS_2025[[#This Row],[concatenado]],PAA[[#All],[RCP-RUBRO]],PAA[[#All],[INDICADOR]],"",0))</f>
        <v>#NAME?</v>
      </c>
      <c r="V983" s="144" t="str">
        <f t="shared" si="31"/>
        <v>85</v>
      </c>
      <c r="W983" s="136">
        <f>+COMPROMISOS_2025[[#This Row],[valor_total]]-COMPROMISOS_2025[[#This Row],[total_cancelado]]</f>
        <v>2847000</v>
      </c>
      <c r="X983" s="136">
        <f>COMPROMISOS_2025[[#This Row],[total_ordenes]]</f>
        <v>2847000</v>
      </c>
      <c r="Y983" t="str" cm="1">
        <f t="array" aca="1" ref="Y983" ca="1">IFERROR(_xlfn.XLOOKUP(COMPROMISOS_2025[[#This Row],[concatenado]],PAA[[#All],[RCP-RUBRO]],PAA[[#All],[Actividad3]],VLOOKUP(COMPROMISOS_2025[[#This Row],[Indicador Principal]],$AC$2:$AD$17,2,0),0),"")</f>
        <v/>
      </c>
    </row>
    <row r="984" spans="1:25" hidden="1" x14ac:dyDescent="0.25">
      <c r="A984">
        <v>2723</v>
      </c>
      <c r="B984" t="s">
        <v>2491</v>
      </c>
      <c r="C984" t="s">
        <v>1936</v>
      </c>
      <c r="D984" t="s">
        <v>3575</v>
      </c>
      <c r="F984">
        <v>405</v>
      </c>
      <c r="G984">
        <v>96</v>
      </c>
      <c r="H984" t="s">
        <v>789</v>
      </c>
      <c r="I984" t="s">
        <v>2257</v>
      </c>
      <c r="J984">
        <v>711750</v>
      </c>
      <c r="K984">
        <v>2025</v>
      </c>
      <c r="L984">
        <v>1100812963</v>
      </c>
      <c r="M984" t="s">
        <v>3865</v>
      </c>
      <c r="N984" t="s">
        <v>1688</v>
      </c>
      <c r="O984" t="s">
        <v>1686</v>
      </c>
      <c r="P984">
        <v>0</v>
      </c>
      <c r="Q984">
        <v>711750</v>
      </c>
      <c r="R984">
        <v>0</v>
      </c>
      <c r="S984">
        <v>0</v>
      </c>
      <c r="T984" t="str">
        <f t="shared" si="30"/>
        <v>27232.43.4302.85.0-101024.2.3.3.08.06.</v>
      </c>
      <c r="U984" t="e" cm="1">
        <f t="array" aca="1" ref="U984" ca="1">+IF(COMPROMISOS_2025[[#This Row],[P]]="20","41080111",_xlfn.XLOOKUP(COMPROMISOS_2025[[#This Row],[concatenado]],PAA[[#All],[RCP-RUBRO]],PAA[[#All],[INDICADOR]],"",0))</f>
        <v>#NAME?</v>
      </c>
      <c r="V984" s="144" t="str">
        <f t="shared" si="31"/>
        <v>85</v>
      </c>
      <c r="W984" s="136">
        <f>+COMPROMISOS_2025[[#This Row],[valor_total]]-COMPROMISOS_2025[[#This Row],[total_cancelado]]</f>
        <v>711750</v>
      </c>
      <c r="X984" s="136">
        <f>COMPROMISOS_2025[[#This Row],[total_ordenes]]</f>
        <v>711750</v>
      </c>
      <c r="Y984" t="str" cm="1">
        <f t="array" aca="1" ref="Y984" ca="1">IFERROR(_xlfn.XLOOKUP(COMPROMISOS_2025[[#This Row],[concatenado]],PAA[[#All],[RCP-RUBRO]],PAA[[#All],[Actividad3]],VLOOKUP(COMPROMISOS_2025[[#This Row],[Indicador Principal]],$AC$2:$AD$17,2,0),0),"")</f>
        <v/>
      </c>
    </row>
    <row r="985" spans="1:25" hidden="1" x14ac:dyDescent="0.25">
      <c r="A985">
        <v>2725</v>
      </c>
      <c r="B985" t="s">
        <v>2491</v>
      </c>
      <c r="C985" t="s">
        <v>1936</v>
      </c>
      <c r="D985" t="s">
        <v>3575</v>
      </c>
      <c r="F985">
        <v>405</v>
      </c>
      <c r="G985">
        <v>96</v>
      </c>
      <c r="H985" t="s">
        <v>789</v>
      </c>
      <c r="I985" t="s">
        <v>2257</v>
      </c>
      <c r="J985">
        <v>711750</v>
      </c>
      <c r="K985">
        <v>2025</v>
      </c>
      <c r="L985">
        <v>1103507561</v>
      </c>
      <c r="M985" t="s">
        <v>3866</v>
      </c>
      <c r="N985" t="s">
        <v>1688</v>
      </c>
      <c r="O985" t="s">
        <v>1686</v>
      </c>
      <c r="P985">
        <v>0</v>
      </c>
      <c r="Q985">
        <v>711750</v>
      </c>
      <c r="R985">
        <v>0</v>
      </c>
      <c r="S985">
        <v>0</v>
      </c>
      <c r="T985" t="str">
        <f t="shared" si="30"/>
        <v>27252.43.4302.85.0-101024.2.3.3.08.06.</v>
      </c>
      <c r="U985" t="e" cm="1">
        <f t="array" aca="1" ref="U985" ca="1">+IF(COMPROMISOS_2025[[#This Row],[P]]="20","41080111",_xlfn.XLOOKUP(COMPROMISOS_2025[[#This Row],[concatenado]],PAA[[#All],[RCP-RUBRO]],PAA[[#All],[INDICADOR]],"",0))</f>
        <v>#NAME?</v>
      </c>
      <c r="V985" s="144" t="str">
        <f t="shared" si="31"/>
        <v>85</v>
      </c>
      <c r="W985" s="136">
        <f>+COMPROMISOS_2025[[#This Row],[valor_total]]-COMPROMISOS_2025[[#This Row],[total_cancelado]]</f>
        <v>711750</v>
      </c>
      <c r="X985" s="136">
        <f>COMPROMISOS_2025[[#This Row],[total_ordenes]]</f>
        <v>711750</v>
      </c>
      <c r="Y985" t="str" cm="1">
        <f t="array" aca="1" ref="Y985" ca="1">IFERROR(_xlfn.XLOOKUP(COMPROMISOS_2025[[#This Row],[concatenado]],PAA[[#All],[RCP-RUBRO]],PAA[[#All],[Actividad3]],VLOOKUP(COMPROMISOS_2025[[#This Row],[Indicador Principal]],$AC$2:$AD$17,2,0),0),"")</f>
        <v/>
      </c>
    </row>
    <row r="986" spans="1:25" hidden="1" x14ac:dyDescent="0.25">
      <c r="A986">
        <v>2726</v>
      </c>
      <c r="B986" t="s">
        <v>2491</v>
      </c>
      <c r="C986" t="s">
        <v>1936</v>
      </c>
      <c r="D986" t="s">
        <v>3575</v>
      </c>
      <c r="F986">
        <v>405</v>
      </c>
      <c r="G986">
        <v>96</v>
      </c>
      <c r="H986" t="s">
        <v>789</v>
      </c>
      <c r="I986" t="s">
        <v>2257</v>
      </c>
      <c r="J986">
        <v>711750</v>
      </c>
      <c r="K986">
        <v>2025</v>
      </c>
      <c r="L986">
        <v>1103741433</v>
      </c>
      <c r="M986" t="s">
        <v>3867</v>
      </c>
      <c r="N986" t="s">
        <v>1688</v>
      </c>
      <c r="O986" t="s">
        <v>1686</v>
      </c>
      <c r="P986">
        <v>0</v>
      </c>
      <c r="Q986">
        <v>711750</v>
      </c>
      <c r="R986">
        <v>0</v>
      </c>
      <c r="S986">
        <v>0</v>
      </c>
      <c r="T986" t="str">
        <f t="shared" si="30"/>
        <v>27262.43.4302.85.0-101024.2.3.3.08.06.</v>
      </c>
      <c r="U986" t="e" cm="1">
        <f t="array" aca="1" ref="U986" ca="1">+IF(COMPROMISOS_2025[[#This Row],[P]]="20","41080111",_xlfn.XLOOKUP(COMPROMISOS_2025[[#This Row],[concatenado]],PAA[[#All],[RCP-RUBRO]],PAA[[#All],[INDICADOR]],"",0))</f>
        <v>#NAME?</v>
      </c>
      <c r="V986" s="144" t="str">
        <f t="shared" si="31"/>
        <v>85</v>
      </c>
      <c r="W986" s="136">
        <f>+COMPROMISOS_2025[[#This Row],[valor_total]]-COMPROMISOS_2025[[#This Row],[total_cancelado]]</f>
        <v>711750</v>
      </c>
      <c r="X986" s="136">
        <f>COMPROMISOS_2025[[#This Row],[total_ordenes]]</f>
        <v>711750</v>
      </c>
      <c r="Y986" t="str" cm="1">
        <f t="array" aca="1" ref="Y986" ca="1">IFERROR(_xlfn.XLOOKUP(COMPROMISOS_2025[[#This Row],[concatenado]],PAA[[#All],[RCP-RUBRO]],PAA[[#All],[Actividad3]],VLOOKUP(COMPROMISOS_2025[[#This Row],[Indicador Principal]],$AC$2:$AD$17,2,0),0),"")</f>
        <v/>
      </c>
    </row>
    <row r="987" spans="1:25" hidden="1" x14ac:dyDescent="0.25">
      <c r="A987">
        <v>2728</v>
      </c>
      <c r="B987" t="s">
        <v>2491</v>
      </c>
      <c r="C987" t="s">
        <v>1936</v>
      </c>
      <c r="D987" t="s">
        <v>3575</v>
      </c>
      <c r="F987">
        <v>405</v>
      </c>
      <c r="G987">
        <v>96</v>
      </c>
      <c r="H987" t="s">
        <v>789</v>
      </c>
      <c r="I987" t="s">
        <v>2257</v>
      </c>
      <c r="J987">
        <v>1067625</v>
      </c>
      <c r="K987">
        <v>2025</v>
      </c>
      <c r="L987">
        <v>1104546333</v>
      </c>
      <c r="M987" t="s">
        <v>3868</v>
      </c>
      <c r="N987" t="s">
        <v>1688</v>
      </c>
      <c r="O987" t="s">
        <v>1686</v>
      </c>
      <c r="P987">
        <v>0</v>
      </c>
      <c r="Q987">
        <v>1067625</v>
      </c>
      <c r="R987">
        <v>0</v>
      </c>
      <c r="S987">
        <v>0</v>
      </c>
      <c r="T987" t="str">
        <f t="shared" si="30"/>
        <v>27282.43.4302.85.0-101024.2.3.3.08.06.</v>
      </c>
      <c r="U987" t="e" cm="1">
        <f t="array" aca="1" ref="U987" ca="1">+IF(COMPROMISOS_2025[[#This Row],[P]]="20","41080111",_xlfn.XLOOKUP(COMPROMISOS_2025[[#This Row],[concatenado]],PAA[[#All],[RCP-RUBRO]],PAA[[#All],[INDICADOR]],"",0))</f>
        <v>#NAME?</v>
      </c>
      <c r="V987" s="144" t="str">
        <f t="shared" si="31"/>
        <v>85</v>
      </c>
      <c r="W987" s="136">
        <f>+COMPROMISOS_2025[[#This Row],[valor_total]]-COMPROMISOS_2025[[#This Row],[total_cancelado]]</f>
        <v>1067625</v>
      </c>
      <c r="X987" s="136">
        <f>COMPROMISOS_2025[[#This Row],[total_ordenes]]</f>
        <v>1067625</v>
      </c>
      <c r="Y987" t="str" cm="1">
        <f t="array" aca="1" ref="Y987" ca="1">IFERROR(_xlfn.XLOOKUP(COMPROMISOS_2025[[#This Row],[concatenado]],PAA[[#All],[RCP-RUBRO]],PAA[[#All],[Actividad3]],VLOOKUP(COMPROMISOS_2025[[#This Row],[Indicador Principal]],$AC$2:$AD$17,2,0),0),"")</f>
        <v/>
      </c>
    </row>
    <row r="988" spans="1:25" hidden="1" x14ac:dyDescent="0.25">
      <c r="A988">
        <v>2729</v>
      </c>
      <c r="B988" t="s">
        <v>2491</v>
      </c>
      <c r="C988" t="s">
        <v>1936</v>
      </c>
      <c r="D988" t="s">
        <v>3575</v>
      </c>
      <c r="F988">
        <v>405</v>
      </c>
      <c r="G988">
        <v>96</v>
      </c>
      <c r="H988" t="s">
        <v>789</v>
      </c>
      <c r="I988" t="s">
        <v>2257</v>
      </c>
      <c r="J988">
        <v>711750</v>
      </c>
      <c r="K988">
        <v>2025</v>
      </c>
      <c r="L988">
        <v>1105376449</v>
      </c>
      <c r="M988" t="s">
        <v>3869</v>
      </c>
      <c r="N988" t="s">
        <v>1688</v>
      </c>
      <c r="O988" t="s">
        <v>1686</v>
      </c>
      <c r="P988">
        <v>0</v>
      </c>
      <c r="Q988">
        <v>711750</v>
      </c>
      <c r="R988">
        <v>0</v>
      </c>
      <c r="S988">
        <v>0</v>
      </c>
      <c r="T988" t="str">
        <f t="shared" si="30"/>
        <v>27292.43.4302.85.0-101024.2.3.3.08.06.</v>
      </c>
      <c r="U988" t="e" cm="1">
        <f t="array" aca="1" ref="U988" ca="1">+IF(COMPROMISOS_2025[[#This Row],[P]]="20","41080111",_xlfn.XLOOKUP(COMPROMISOS_2025[[#This Row],[concatenado]],PAA[[#All],[RCP-RUBRO]],PAA[[#All],[INDICADOR]],"",0))</f>
        <v>#NAME?</v>
      </c>
      <c r="V988" s="144" t="str">
        <f t="shared" si="31"/>
        <v>85</v>
      </c>
      <c r="W988" s="136">
        <f>+COMPROMISOS_2025[[#This Row],[valor_total]]-COMPROMISOS_2025[[#This Row],[total_cancelado]]</f>
        <v>711750</v>
      </c>
      <c r="X988" s="136">
        <f>COMPROMISOS_2025[[#This Row],[total_ordenes]]</f>
        <v>711750</v>
      </c>
      <c r="Y988" t="str" cm="1">
        <f t="array" aca="1" ref="Y988" ca="1">IFERROR(_xlfn.XLOOKUP(COMPROMISOS_2025[[#This Row],[concatenado]],PAA[[#All],[RCP-RUBRO]],PAA[[#All],[Actividad3]],VLOOKUP(COMPROMISOS_2025[[#This Row],[Indicador Principal]],$AC$2:$AD$17,2,0),0),"")</f>
        <v/>
      </c>
    </row>
    <row r="989" spans="1:25" hidden="1" x14ac:dyDescent="0.25">
      <c r="A989">
        <v>2731</v>
      </c>
      <c r="B989" t="s">
        <v>2491</v>
      </c>
      <c r="C989" t="s">
        <v>1936</v>
      </c>
      <c r="D989" t="s">
        <v>3575</v>
      </c>
      <c r="F989">
        <v>405</v>
      </c>
      <c r="G989">
        <v>96</v>
      </c>
      <c r="H989" t="s">
        <v>789</v>
      </c>
      <c r="I989" t="s">
        <v>2257</v>
      </c>
      <c r="J989">
        <v>711750</v>
      </c>
      <c r="K989">
        <v>2025</v>
      </c>
      <c r="L989">
        <v>1107846399</v>
      </c>
      <c r="M989" t="s">
        <v>3870</v>
      </c>
      <c r="N989" t="s">
        <v>1688</v>
      </c>
      <c r="O989" t="s">
        <v>1686</v>
      </c>
      <c r="P989">
        <v>0</v>
      </c>
      <c r="Q989">
        <v>711750</v>
      </c>
      <c r="R989">
        <v>0</v>
      </c>
      <c r="S989">
        <v>0</v>
      </c>
      <c r="T989" t="str">
        <f t="shared" si="30"/>
        <v>27312.43.4302.85.0-101024.2.3.3.08.06.</v>
      </c>
      <c r="U989" t="e" cm="1">
        <f t="array" aca="1" ref="U989" ca="1">+IF(COMPROMISOS_2025[[#This Row],[P]]="20","41080111",_xlfn.XLOOKUP(COMPROMISOS_2025[[#This Row],[concatenado]],PAA[[#All],[RCP-RUBRO]],PAA[[#All],[INDICADOR]],"",0))</f>
        <v>#NAME?</v>
      </c>
      <c r="V989" s="144" t="str">
        <f t="shared" si="31"/>
        <v>85</v>
      </c>
      <c r="W989" s="136">
        <f>+COMPROMISOS_2025[[#This Row],[valor_total]]-COMPROMISOS_2025[[#This Row],[total_cancelado]]</f>
        <v>711750</v>
      </c>
      <c r="X989" s="136">
        <f>COMPROMISOS_2025[[#This Row],[total_ordenes]]</f>
        <v>711750</v>
      </c>
      <c r="Y989" t="str" cm="1">
        <f t="array" aca="1" ref="Y989" ca="1">IFERROR(_xlfn.XLOOKUP(COMPROMISOS_2025[[#This Row],[concatenado]],PAA[[#All],[RCP-RUBRO]],PAA[[#All],[Actividad3]],VLOOKUP(COMPROMISOS_2025[[#This Row],[Indicador Principal]],$AC$2:$AD$17,2,0),0),"")</f>
        <v/>
      </c>
    </row>
    <row r="990" spans="1:25" hidden="1" x14ac:dyDescent="0.25">
      <c r="A990">
        <v>2732</v>
      </c>
      <c r="B990" t="s">
        <v>2491</v>
      </c>
      <c r="C990" t="s">
        <v>1936</v>
      </c>
      <c r="D990" t="s">
        <v>3575</v>
      </c>
      <c r="F990">
        <v>405</v>
      </c>
      <c r="G990">
        <v>96</v>
      </c>
      <c r="H990" t="s">
        <v>789</v>
      </c>
      <c r="I990" t="s">
        <v>2257</v>
      </c>
      <c r="J990">
        <v>711750</v>
      </c>
      <c r="K990">
        <v>2025</v>
      </c>
      <c r="L990">
        <v>1109290803</v>
      </c>
      <c r="M990" t="s">
        <v>3871</v>
      </c>
      <c r="N990" t="s">
        <v>1688</v>
      </c>
      <c r="O990" t="s">
        <v>1686</v>
      </c>
      <c r="P990">
        <v>0</v>
      </c>
      <c r="Q990">
        <v>711750</v>
      </c>
      <c r="R990">
        <v>0</v>
      </c>
      <c r="S990">
        <v>0</v>
      </c>
      <c r="T990" t="str">
        <f t="shared" si="30"/>
        <v>27322.43.4302.85.0-101024.2.3.3.08.06.</v>
      </c>
      <c r="U990" t="e" cm="1">
        <f t="array" aca="1" ref="U990" ca="1">+IF(COMPROMISOS_2025[[#This Row],[P]]="20","41080111",_xlfn.XLOOKUP(COMPROMISOS_2025[[#This Row],[concatenado]],PAA[[#All],[RCP-RUBRO]],PAA[[#All],[INDICADOR]],"",0))</f>
        <v>#NAME?</v>
      </c>
      <c r="V990" s="144" t="str">
        <f t="shared" si="31"/>
        <v>85</v>
      </c>
      <c r="W990" s="136">
        <f>+COMPROMISOS_2025[[#This Row],[valor_total]]-COMPROMISOS_2025[[#This Row],[total_cancelado]]</f>
        <v>711750</v>
      </c>
      <c r="X990" s="136">
        <f>COMPROMISOS_2025[[#This Row],[total_ordenes]]</f>
        <v>711750</v>
      </c>
      <c r="Y990" t="str" cm="1">
        <f t="array" aca="1" ref="Y990" ca="1">IFERROR(_xlfn.XLOOKUP(COMPROMISOS_2025[[#This Row],[concatenado]],PAA[[#All],[RCP-RUBRO]],PAA[[#All],[Actividad3]],VLOOKUP(COMPROMISOS_2025[[#This Row],[Indicador Principal]],$AC$2:$AD$17,2,0),0),"")</f>
        <v/>
      </c>
    </row>
    <row r="991" spans="1:25" hidden="1" x14ac:dyDescent="0.25">
      <c r="A991">
        <v>2737</v>
      </c>
      <c r="B991" t="s">
        <v>2491</v>
      </c>
      <c r="C991" t="s">
        <v>1936</v>
      </c>
      <c r="D991" t="s">
        <v>3575</v>
      </c>
      <c r="F991">
        <v>405</v>
      </c>
      <c r="G991">
        <v>96</v>
      </c>
      <c r="H991" t="s">
        <v>789</v>
      </c>
      <c r="I991" t="s">
        <v>2257</v>
      </c>
      <c r="J991">
        <v>711750</v>
      </c>
      <c r="K991">
        <v>2025</v>
      </c>
      <c r="L991">
        <v>1113779786</v>
      </c>
      <c r="M991" t="s">
        <v>3872</v>
      </c>
      <c r="N991" t="s">
        <v>1688</v>
      </c>
      <c r="O991" t="s">
        <v>1686</v>
      </c>
      <c r="P991">
        <v>0</v>
      </c>
      <c r="Q991">
        <v>711750</v>
      </c>
      <c r="R991">
        <v>0</v>
      </c>
      <c r="S991">
        <v>0</v>
      </c>
      <c r="T991" t="str">
        <f t="shared" si="30"/>
        <v>27372.43.4302.85.0-101024.2.3.3.08.06.</v>
      </c>
      <c r="U991" t="e" cm="1">
        <f t="array" aca="1" ref="U991" ca="1">+IF(COMPROMISOS_2025[[#This Row],[P]]="20","41080111",_xlfn.XLOOKUP(COMPROMISOS_2025[[#This Row],[concatenado]],PAA[[#All],[RCP-RUBRO]],PAA[[#All],[INDICADOR]],"",0))</f>
        <v>#NAME?</v>
      </c>
      <c r="V991" s="144" t="str">
        <f t="shared" si="31"/>
        <v>85</v>
      </c>
      <c r="W991" s="136">
        <f>+COMPROMISOS_2025[[#This Row],[valor_total]]-COMPROMISOS_2025[[#This Row],[total_cancelado]]</f>
        <v>711750</v>
      </c>
      <c r="X991" s="136">
        <f>COMPROMISOS_2025[[#This Row],[total_ordenes]]</f>
        <v>711750</v>
      </c>
      <c r="Y991" t="str" cm="1">
        <f t="array" aca="1" ref="Y991" ca="1">IFERROR(_xlfn.XLOOKUP(COMPROMISOS_2025[[#This Row],[concatenado]],PAA[[#All],[RCP-RUBRO]],PAA[[#All],[Actividad3]],VLOOKUP(COMPROMISOS_2025[[#This Row],[Indicador Principal]],$AC$2:$AD$17,2,0),0),"")</f>
        <v/>
      </c>
    </row>
    <row r="992" spans="1:25" hidden="1" x14ac:dyDescent="0.25">
      <c r="A992">
        <v>2738</v>
      </c>
      <c r="B992" t="s">
        <v>2491</v>
      </c>
      <c r="C992" t="s">
        <v>1936</v>
      </c>
      <c r="D992" t="s">
        <v>3575</v>
      </c>
      <c r="F992">
        <v>405</v>
      </c>
      <c r="G992">
        <v>96</v>
      </c>
      <c r="H992" t="s">
        <v>789</v>
      </c>
      <c r="I992" t="s">
        <v>2257</v>
      </c>
      <c r="J992">
        <v>711750</v>
      </c>
      <c r="K992">
        <v>2025</v>
      </c>
      <c r="L992">
        <v>1113864199</v>
      </c>
      <c r="M992" t="s">
        <v>3873</v>
      </c>
      <c r="N992" t="s">
        <v>1688</v>
      </c>
      <c r="O992" t="s">
        <v>1686</v>
      </c>
      <c r="P992">
        <v>0</v>
      </c>
      <c r="Q992">
        <v>711750</v>
      </c>
      <c r="R992">
        <v>0</v>
      </c>
      <c r="S992">
        <v>0</v>
      </c>
      <c r="T992" t="str">
        <f t="shared" si="30"/>
        <v>27382.43.4302.85.0-101024.2.3.3.08.06.</v>
      </c>
      <c r="U992" t="e" cm="1">
        <f t="array" aca="1" ref="U992" ca="1">+IF(COMPROMISOS_2025[[#This Row],[P]]="20","41080111",_xlfn.XLOOKUP(COMPROMISOS_2025[[#This Row],[concatenado]],PAA[[#All],[RCP-RUBRO]],PAA[[#All],[INDICADOR]],"",0))</f>
        <v>#NAME?</v>
      </c>
      <c r="V992" s="144" t="str">
        <f t="shared" si="31"/>
        <v>85</v>
      </c>
      <c r="W992" s="136">
        <f>+COMPROMISOS_2025[[#This Row],[valor_total]]-COMPROMISOS_2025[[#This Row],[total_cancelado]]</f>
        <v>711750</v>
      </c>
      <c r="X992" s="136">
        <f>COMPROMISOS_2025[[#This Row],[total_ordenes]]</f>
        <v>711750</v>
      </c>
      <c r="Y992" t="str" cm="1">
        <f t="array" aca="1" ref="Y992" ca="1">IFERROR(_xlfn.XLOOKUP(COMPROMISOS_2025[[#This Row],[concatenado]],PAA[[#All],[RCP-RUBRO]],PAA[[#All],[Actividad3]],VLOOKUP(COMPROMISOS_2025[[#This Row],[Indicador Principal]],$AC$2:$AD$17,2,0),0),"")</f>
        <v/>
      </c>
    </row>
    <row r="993" spans="1:25" hidden="1" x14ac:dyDescent="0.25">
      <c r="A993">
        <v>2739</v>
      </c>
      <c r="B993" t="s">
        <v>2491</v>
      </c>
      <c r="C993" t="s">
        <v>1936</v>
      </c>
      <c r="D993" t="s">
        <v>3575</v>
      </c>
      <c r="F993">
        <v>405</v>
      </c>
      <c r="G993">
        <v>96</v>
      </c>
      <c r="H993" t="s">
        <v>789</v>
      </c>
      <c r="I993" t="s">
        <v>2257</v>
      </c>
      <c r="J993">
        <v>711750</v>
      </c>
      <c r="K993">
        <v>2025</v>
      </c>
      <c r="L993">
        <v>1114000026</v>
      </c>
      <c r="M993" t="s">
        <v>3874</v>
      </c>
      <c r="N993" t="s">
        <v>1688</v>
      </c>
      <c r="O993" t="s">
        <v>1686</v>
      </c>
      <c r="P993">
        <v>0</v>
      </c>
      <c r="Q993">
        <v>711750</v>
      </c>
      <c r="R993">
        <v>0</v>
      </c>
      <c r="S993">
        <v>0</v>
      </c>
      <c r="T993" t="str">
        <f t="shared" si="30"/>
        <v>27392.43.4302.85.0-101024.2.3.3.08.06.</v>
      </c>
      <c r="U993" t="e" cm="1">
        <f t="array" aca="1" ref="U993" ca="1">+IF(COMPROMISOS_2025[[#This Row],[P]]="20","41080111",_xlfn.XLOOKUP(COMPROMISOS_2025[[#This Row],[concatenado]],PAA[[#All],[RCP-RUBRO]],PAA[[#All],[INDICADOR]],"",0))</f>
        <v>#NAME?</v>
      </c>
      <c r="V993" s="144" t="str">
        <f t="shared" si="31"/>
        <v>85</v>
      </c>
      <c r="W993" s="136">
        <f>+COMPROMISOS_2025[[#This Row],[valor_total]]-COMPROMISOS_2025[[#This Row],[total_cancelado]]</f>
        <v>711750</v>
      </c>
      <c r="X993" s="136">
        <f>COMPROMISOS_2025[[#This Row],[total_ordenes]]</f>
        <v>711750</v>
      </c>
      <c r="Y993" t="str" cm="1">
        <f t="array" aca="1" ref="Y993" ca="1">IFERROR(_xlfn.XLOOKUP(COMPROMISOS_2025[[#This Row],[concatenado]],PAA[[#All],[RCP-RUBRO]],PAA[[#All],[Actividad3]],VLOOKUP(COMPROMISOS_2025[[#This Row],[Indicador Principal]],$AC$2:$AD$17,2,0),0),"")</f>
        <v/>
      </c>
    </row>
    <row r="994" spans="1:25" hidden="1" x14ac:dyDescent="0.25">
      <c r="A994">
        <v>2741</v>
      </c>
      <c r="B994" t="s">
        <v>2491</v>
      </c>
      <c r="C994" t="s">
        <v>1936</v>
      </c>
      <c r="D994" t="s">
        <v>3575</v>
      </c>
      <c r="F994">
        <v>405</v>
      </c>
      <c r="G994">
        <v>96</v>
      </c>
      <c r="H994" t="s">
        <v>789</v>
      </c>
      <c r="I994" t="s">
        <v>2257</v>
      </c>
      <c r="J994">
        <v>711750</v>
      </c>
      <c r="K994">
        <v>2025</v>
      </c>
      <c r="L994">
        <v>1114154008</v>
      </c>
      <c r="M994" t="s">
        <v>3875</v>
      </c>
      <c r="N994" t="s">
        <v>1688</v>
      </c>
      <c r="O994" t="s">
        <v>1686</v>
      </c>
      <c r="P994">
        <v>0</v>
      </c>
      <c r="Q994">
        <v>711750</v>
      </c>
      <c r="R994">
        <v>0</v>
      </c>
      <c r="S994">
        <v>0</v>
      </c>
      <c r="T994" t="str">
        <f t="shared" si="30"/>
        <v>27412.43.4302.85.0-101024.2.3.3.08.06.</v>
      </c>
      <c r="U994" t="e" cm="1">
        <f t="array" aca="1" ref="U994" ca="1">+IF(COMPROMISOS_2025[[#This Row],[P]]="20","41080111",_xlfn.XLOOKUP(COMPROMISOS_2025[[#This Row],[concatenado]],PAA[[#All],[RCP-RUBRO]],PAA[[#All],[INDICADOR]],"",0))</f>
        <v>#NAME?</v>
      </c>
      <c r="V994" s="144" t="str">
        <f t="shared" si="31"/>
        <v>85</v>
      </c>
      <c r="W994" s="136">
        <f>+COMPROMISOS_2025[[#This Row],[valor_total]]-COMPROMISOS_2025[[#This Row],[total_cancelado]]</f>
        <v>711750</v>
      </c>
      <c r="X994" s="136">
        <f>COMPROMISOS_2025[[#This Row],[total_ordenes]]</f>
        <v>711750</v>
      </c>
      <c r="Y994" t="str" cm="1">
        <f t="array" aca="1" ref="Y994" ca="1">IFERROR(_xlfn.XLOOKUP(COMPROMISOS_2025[[#This Row],[concatenado]],PAA[[#All],[RCP-RUBRO]],PAA[[#All],[Actividad3]],VLOOKUP(COMPROMISOS_2025[[#This Row],[Indicador Principal]],$AC$2:$AD$17,2,0),0),"")</f>
        <v/>
      </c>
    </row>
    <row r="995" spans="1:25" hidden="1" x14ac:dyDescent="0.25">
      <c r="A995">
        <v>2742</v>
      </c>
      <c r="B995" t="s">
        <v>2491</v>
      </c>
      <c r="C995" t="s">
        <v>1936</v>
      </c>
      <c r="D995" t="s">
        <v>3575</v>
      </c>
      <c r="F995">
        <v>405</v>
      </c>
      <c r="G995">
        <v>96</v>
      </c>
      <c r="H995" t="s">
        <v>789</v>
      </c>
      <c r="I995" t="s">
        <v>2257</v>
      </c>
      <c r="J995">
        <v>711750</v>
      </c>
      <c r="K995">
        <v>2025</v>
      </c>
      <c r="L995">
        <v>1114823559</v>
      </c>
      <c r="M995" t="s">
        <v>3876</v>
      </c>
      <c r="N995" t="s">
        <v>1688</v>
      </c>
      <c r="O995" t="s">
        <v>1686</v>
      </c>
      <c r="P995">
        <v>0</v>
      </c>
      <c r="Q995">
        <v>711750</v>
      </c>
      <c r="R995">
        <v>0</v>
      </c>
      <c r="S995">
        <v>0</v>
      </c>
      <c r="T995" t="str">
        <f t="shared" si="30"/>
        <v>27422.43.4302.85.0-101024.2.3.3.08.06.</v>
      </c>
      <c r="U995" t="e" cm="1">
        <f t="array" aca="1" ref="U995" ca="1">+IF(COMPROMISOS_2025[[#This Row],[P]]="20","41080111",_xlfn.XLOOKUP(COMPROMISOS_2025[[#This Row],[concatenado]],PAA[[#All],[RCP-RUBRO]],PAA[[#All],[INDICADOR]],"",0))</f>
        <v>#NAME?</v>
      </c>
      <c r="V995" s="144" t="str">
        <f t="shared" si="31"/>
        <v>85</v>
      </c>
      <c r="W995" s="136">
        <f>+COMPROMISOS_2025[[#This Row],[valor_total]]-COMPROMISOS_2025[[#This Row],[total_cancelado]]</f>
        <v>711750</v>
      </c>
      <c r="X995" s="136">
        <f>COMPROMISOS_2025[[#This Row],[total_ordenes]]</f>
        <v>711750</v>
      </c>
      <c r="Y995" t="str" cm="1">
        <f t="array" aca="1" ref="Y995" ca="1">IFERROR(_xlfn.XLOOKUP(COMPROMISOS_2025[[#This Row],[concatenado]],PAA[[#All],[RCP-RUBRO]],PAA[[#All],[Actividad3]],VLOOKUP(COMPROMISOS_2025[[#This Row],[Indicador Principal]],$AC$2:$AD$17,2,0),0),"")</f>
        <v/>
      </c>
    </row>
    <row r="996" spans="1:25" hidden="1" x14ac:dyDescent="0.25">
      <c r="A996">
        <v>2747</v>
      </c>
      <c r="B996" t="s">
        <v>2491</v>
      </c>
      <c r="C996" t="s">
        <v>1936</v>
      </c>
      <c r="D996" t="s">
        <v>3575</v>
      </c>
      <c r="F996">
        <v>405</v>
      </c>
      <c r="G996">
        <v>96</v>
      </c>
      <c r="H996" t="s">
        <v>789</v>
      </c>
      <c r="I996" t="s">
        <v>2257</v>
      </c>
      <c r="J996">
        <v>1067625</v>
      </c>
      <c r="K996">
        <v>2025</v>
      </c>
      <c r="L996">
        <v>1122509415</v>
      </c>
      <c r="M996" t="s">
        <v>3877</v>
      </c>
      <c r="N996" t="s">
        <v>1688</v>
      </c>
      <c r="O996" t="s">
        <v>1686</v>
      </c>
      <c r="P996">
        <v>0</v>
      </c>
      <c r="Q996">
        <v>1067625</v>
      </c>
      <c r="R996">
        <v>0</v>
      </c>
      <c r="S996">
        <v>0</v>
      </c>
      <c r="T996" t="str">
        <f t="shared" si="30"/>
        <v>27472.43.4302.85.0-101024.2.3.3.08.06.</v>
      </c>
      <c r="U996" t="e" cm="1">
        <f t="array" aca="1" ref="U996" ca="1">+IF(COMPROMISOS_2025[[#This Row],[P]]="20","41080111",_xlfn.XLOOKUP(COMPROMISOS_2025[[#This Row],[concatenado]],PAA[[#All],[RCP-RUBRO]],PAA[[#All],[INDICADOR]],"",0))</f>
        <v>#NAME?</v>
      </c>
      <c r="V996" s="144" t="str">
        <f t="shared" si="31"/>
        <v>85</v>
      </c>
      <c r="W996" s="136">
        <f>+COMPROMISOS_2025[[#This Row],[valor_total]]-COMPROMISOS_2025[[#This Row],[total_cancelado]]</f>
        <v>1067625</v>
      </c>
      <c r="X996" s="136">
        <f>COMPROMISOS_2025[[#This Row],[total_ordenes]]</f>
        <v>1067625</v>
      </c>
      <c r="Y996" t="str" cm="1">
        <f t="array" aca="1" ref="Y996" ca="1">IFERROR(_xlfn.XLOOKUP(COMPROMISOS_2025[[#This Row],[concatenado]],PAA[[#All],[RCP-RUBRO]],PAA[[#All],[Actividad3]],VLOOKUP(COMPROMISOS_2025[[#This Row],[Indicador Principal]],$AC$2:$AD$17,2,0),0),"")</f>
        <v/>
      </c>
    </row>
    <row r="997" spans="1:25" hidden="1" x14ac:dyDescent="0.25">
      <c r="A997">
        <v>2754</v>
      </c>
      <c r="B997" t="s">
        <v>2491</v>
      </c>
      <c r="C997" t="s">
        <v>1936</v>
      </c>
      <c r="D997" t="s">
        <v>3575</v>
      </c>
      <c r="F997">
        <v>405</v>
      </c>
      <c r="G997">
        <v>96</v>
      </c>
      <c r="H997" t="s">
        <v>789</v>
      </c>
      <c r="I997" t="s">
        <v>2257</v>
      </c>
      <c r="J997">
        <v>711750</v>
      </c>
      <c r="K997">
        <v>2025</v>
      </c>
      <c r="L997">
        <v>1127533766</v>
      </c>
      <c r="M997" t="s">
        <v>3878</v>
      </c>
      <c r="N997" t="s">
        <v>1688</v>
      </c>
      <c r="O997" t="s">
        <v>1686</v>
      </c>
      <c r="P997">
        <v>0</v>
      </c>
      <c r="Q997">
        <v>711750</v>
      </c>
      <c r="R997">
        <v>0</v>
      </c>
      <c r="S997">
        <v>0</v>
      </c>
      <c r="T997" t="str">
        <f t="shared" si="30"/>
        <v>27542.43.4302.85.0-101024.2.3.3.08.06.</v>
      </c>
      <c r="U997" t="e" cm="1">
        <f t="array" aca="1" ref="U997" ca="1">+IF(COMPROMISOS_2025[[#This Row],[P]]="20","41080111",_xlfn.XLOOKUP(COMPROMISOS_2025[[#This Row],[concatenado]],PAA[[#All],[RCP-RUBRO]],PAA[[#All],[INDICADOR]],"",0))</f>
        <v>#NAME?</v>
      </c>
      <c r="V997" s="144" t="str">
        <f t="shared" si="31"/>
        <v>85</v>
      </c>
      <c r="W997" s="136">
        <f>+COMPROMISOS_2025[[#This Row],[valor_total]]-COMPROMISOS_2025[[#This Row],[total_cancelado]]</f>
        <v>711750</v>
      </c>
      <c r="X997" s="136">
        <f>COMPROMISOS_2025[[#This Row],[total_ordenes]]</f>
        <v>711750</v>
      </c>
      <c r="Y997" t="str" cm="1">
        <f t="array" aca="1" ref="Y997" ca="1">IFERROR(_xlfn.XLOOKUP(COMPROMISOS_2025[[#This Row],[concatenado]],PAA[[#All],[RCP-RUBRO]],PAA[[#All],[Actividad3]],VLOOKUP(COMPROMISOS_2025[[#This Row],[Indicador Principal]],$AC$2:$AD$17,2,0),0),"")</f>
        <v/>
      </c>
    </row>
    <row r="998" spans="1:25" hidden="1" x14ac:dyDescent="0.25">
      <c r="A998">
        <v>2756</v>
      </c>
      <c r="B998" t="s">
        <v>2491</v>
      </c>
      <c r="C998" t="s">
        <v>1936</v>
      </c>
      <c r="D998" t="s">
        <v>3575</v>
      </c>
      <c r="F998">
        <v>405</v>
      </c>
      <c r="G998">
        <v>96</v>
      </c>
      <c r="H998" t="s">
        <v>789</v>
      </c>
      <c r="I998" t="s">
        <v>2257</v>
      </c>
      <c r="J998">
        <v>711750</v>
      </c>
      <c r="K998">
        <v>2025</v>
      </c>
      <c r="L998">
        <v>1127946190</v>
      </c>
      <c r="M998" t="s">
        <v>3879</v>
      </c>
      <c r="N998" t="s">
        <v>1688</v>
      </c>
      <c r="O998" t="s">
        <v>1686</v>
      </c>
      <c r="P998">
        <v>0</v>
      </c>
      <c r="Q998">
        <v>711750</v>
      </c>
      <c r="R998">
        <v>0</v>
      </c>
      <c r="S998">
        <v>0</v>
      </c>
      <c r="T998" t="str">
        <f t="shared" si="30"/>
        <v>27562.43.4302.85.0-101024.2.3.3.08.06.</v>
      </c>
      <c r="U998" t="e" cm="1">
        <f t="array" aca="1" ref="U998" ca="1">+IF(COMPROMISOS_2025[[#This Row],[P]]="20","41080111",_xlfn.XLOOKUP(COMPROMISOS_2025[[#This Row],[concatenado]],PAA[[#All],[RCP-RUBRO]],PAA[[#All],[INDICADOR]],"",0))</f>
        <v>#NAME?</v>
      </c>
      <c r="V998" s="144" t="str">
        <f t="shared" si="31"/>
        <v>85</v>
      </c>
      <c r="W998" s="136">
        <f>+COMPROMISOS_2025[[#This Row],[valor_total]]-COMPROMISOS_2025[[#This Row],[total_cancelado]]</f>
        <v>711750</v>
      </c>
      <c r="X998" s="136">
        <f>COMPROMISOS_2025[[#This Row],[total_ordenes]]</f>
        <v>711750</v>
      </c>
      <c r="Y998" t="str" cm="1">
        <f t="array" aca="1" ref="Y998" ca="1">IFERROR(_xlfn.XLOOKUP(COMPROMISOS_2025[[#This Row],[concatenado]],PAA[[#All],[RCP-RUBRO]],PAA[[#All],[Actividad3]],VLOOKUP(COMPROMISOS_2025[[#This Row],[Indicador Principal]],$AC$2:$AD$17,2,0),0),"")</f>
        <v/>
      </c>
    </row>
    <row r="999" spans="1:25" hidden="1" x14ac:dyDescent="0.25">
      <c r="A999">
        <v>2760</v>
      </c>
      <c r="B999" t="s">
        <v>2491</v>
      </c>
      <c r="C999" t="s">
        <v>1936</v>
      </c>
      <c r="D999" t="s">
        <v>3575</v>
      </c>
      <c r="F999">
        <v>405</v>
      </c>
      <c r="G999">
        <v>96</v>
      </c>
      <c r="H999" t="s">
        <v>789</v>
      </c>
      <c r="I999" t="s">
        <v>2257</v>
      </c>
      <c r="J999">
        <v>711750</v>
      </c>
      <c r="K999">
        <v>2025</v>
      </c>
      <c r="L999">
        <v>1128385540</v>
      </c>
      <c r="M999" t="s">
        <v>3880</v>
      </c>
      <c r="N999" t="s">
        <v>1688</v>
      </c>
      <c r="O999" t="s">
        <v>1686</v>
      </c>
      <c r="P999">
        <v>0</v>
      </c>
      <c r="Q999">
        <v>711750</v>
      </c>
      <c r="R999">
        <v>0</v>
      </c>
      <c r="S999">
        <v>0</v>
      </c>
      <c r="T999" t="str">
        <f t="shared" si="30"/>
        <v>27602.43.4302.85.0-101024.2.3.3.08.06.</v>
      </c>
      <c r="U999" t="e" cm="1">
        <f t="array" aca="1" ref="U999" ca="1">+IF(COMPROMISOS_2025[[#This Row],[P]]="20","41080111",_xlfn.XLOOKUP(COMPROMISOS_2025[[#This Row],[concatenado]],PAA[[#All],[RCP-RUBRO]],PAA[[#All],[INDICADOR]],"",0))</f>
        <v>#NAME?</v>
      </c>
      <c r="V999" s="144" t="str">
        <f t="shared" si="31"/>
        <v>85</v>
      </c>
      <c r="W999" s="136">
        <f>+COMPROMISOS_2025[[#This Row],[valor_total]]-COMPROMISOS_2025[[#This Row],[total_cancelado]]</f>
        <v>711750</v>
      </c>
      <c r="X999" s="136">
        <f>COMPROMISOS_2025[[#This Row],[total_ordenes]]</f>
        <v>711750</v>
      </c>
      <c r="Y999" t="str" cm="1">
        <f t="array" aca="1" ref="Y999" ca="1">IFERROR(_xlfn.XLOOKUP(COMPROMISOS_2025[[#This Row],[concatenado]],PAA[[#All],[RCP-RUBRO]],PAA[[#All],[Actividad3]],VLOOKUP(COMPROMISOS_2025[[#This Row],[Indicador Principal]],$AC$2:$AD$17,2,0),0),"")</f>
        <v/>
      </c>
    </row>
    <row r="1000" spans="1:25" hidden="1" x14ac:dyDescent="0.25">
      <c r="A1000">
        <v>2775</v>
      </c>
      <c r="B1000" t="s">
        <v>2491</v>
      </c>
      <c r="C1000" t="s">
        <v>1936</v>
      </c>
      <c r="D1000" t="s">
        <v>3575</v>
      </c>
      <c r="F1000">
        <v>405</v>
      </c>
      <c r="G1000">
        <v>96</v>
      </c>
      <c r="H1000" t="s">
        <v>789</v>
      </c>
      <c r="I1000" t="s">
        <v>2257</v>
      </c>
      <c r="J1000">
        <v>711750</v>
      </c>
      <c r="K1000">
        <v>2025</v>
      </c>
      <c r="L1000">
        <v>1129584626</v>
      </c>
      <c r="M1000" t="s">
        <v>3881</v>
      </c>
      <c r="N1000" t="s">
        <v>1688</v>
      </c>
      <c r="O1000" t="s">
        <v>1686</v>
      </c>
      <c r="P1000">
        <v>0</v>
      </c>
      <c r="Q1000">
        <v>711750</v>
      </c>
      <c r="R1000">
        <v>0</v>
      </c>
      <c r="S1000">
        <v>0</v>
      </c>
      <c r="T1000" t="str">
        <f t="shared" si="30"/>
        <v>27752.43.4302.85.0-101024.2.3.3.08.06.</v>
      </c>
      <c r="U1000" t="e" cm="1">
        <f t="array" aca="1" ref="U1000" ca="1">+IF(COMPROMISOS_2025[[#This Row],[P]]="20","41080111",_xlfn.XLOOKUP(COMPROMISOS_2025[[#This Row],[concatenado]],PAA[[#All],[RCP-RUBRO]],PAA[[#All],[INDICADOR]],"",0))</f>
        <v>#NAME?</v>
      </c>
      <c r="V1000" s="144" t="str">
        <f t="shared" si="31"/>
        <v>85</v>
      </c>
      <c r="W1000" s="136">
        <f>+COMPROMISOS_2025[[#This Row],[valor_total]]-COMPROMISOS_2025[[#This Row],[total_cancelado]]</f>
        <v>711750</v>
      </c>
      <c r="X1000" s="136">
        <f>COMPROMISOS_2025[[#This Row],[total_ordenes]]</f>
        <v>711750</v>
      </c>
      <c r="Y1000" t="str" cm="1">
        <f t="array" aca="1" ref="Y1000" ca="1">IFERROR(_xlfn.XLOOKUP(COMPROMISOS_2025[[#This Row],[concatenado]],PAA[[#All],[RCP-RUBRO]],PAA[[#All],[Actividad3]],VLOOKUP(COMPROMISOS_2025[[#This Row],[Indicador Principal]],$AC$2:$AD$17,2,0),0),"")</f>
        <v/>
      </c>
    </row>
    <row r="1001" spans="1:25" hidden="1" x14ac:dyDescent="0.25">
      <c r="A1001">
        <v>2776</v>
      </c>
      <c r="B1001" t="s">
        <v>2491</v>
      </c>
      <c r="C1001" t="s">
        <v>1936</v>
      </c>
      <c r="D1001" t="s">
        <v>3575</v>
      </c>
      <c r="F1001">
        <v>405</v>
      </c>
      <c r="G1001">
        <v>96</v>
      </c>
      <c r="H1001" t="s">
        <v>789</v>
      </c>
      <c r="I1001" t="s">
        <v>2257</v>
      </c>
      <c r="J1001">
        <v>711750</v>
      </c>
      <c r="K1001">
        <v>2025</v>
      </c>
      <c r="L1001">
        <v>1140425476</v>
      </c>
      <c r="M1001" t="s">
        <v>3882</v>
      </c>
      <c r="N1001" t="s">
        <v>1688</v>
      </c>
      <c r="O1001" t="s">
        <v>1686</v>
      </c>
      <c r="P1001">
        <v>0</v>
      </c>
      <c r="Q1001">
        <v>711750</v>
      </c>
      <c r="R1001">
        <v>0</v>
      </c>
      <c r="S1001">
        <v>0</v>
      </c>
      <c r="T1001" t="str">
        <f t="shared" si="30"/>
        <v>27762.43.4302.85.0-101024.2.3.3.08.06.</v>
      </c>
      <c r="U1001" t="e" cm="1">
        <f t="array" aca="1" ref="U1001" ca="1">+IF(COMPROMISOS_2025[[#This Row],[P]]="20","41080111",_xlfn.XLOOKUP(COMPROMISOS_2025[[#This Row],[concatenado]],PAA[[#All],[RCP-RUBRO]],PAA[[#All],[INDICADOR]],"",0))</f>
        <v>#NAME?</v>
      </c>
      <c r="V1001" s="144" t="str">
        <f t="shared" si="31"/>
        <v>85</v>
      </c>
      <c r="W1001" s="136">
        <f>+COMPROMISOS_2025[[#This Row],[valor_total]]-COMPROMISOS_2025[[#This Row],[total_cancelado]]</f>
        <v>711750</v>
      </c>
      <c r="X1001" s="136">
        <f>COMPROMISOS_2025[[#This Row],[total_ordenes]]</f>
        <v>711750</v>
      </c>
      <c r="Y1001" t="str" cm="1">
        <f t="array" aca="1" ref="Y1001" ca="1">IFERROR(_xlfn.XLOOKUP(COMPROMISOS_2025[[#This Row],[concatenado]],PAA[[#All],[RCP-RUBRO]],PAA[[#All],[Actividad3]],VLOOKUP(COMPROMISOS_2025[[#This Row],[Indicador Principal]],$AC$2:$AD$17,2,0),0),"")</f>
        <v/>
      </c>
    </row>
    <row r="1002" spans="1:25" hidden="1" x14ac:dyDescent="0.25">
      <c r="A1002">
        <v>2779</v>
      </c>
      <c r="B1002" t="s">
        <v>2491</v>
      </c>
      <c r="C1002" t="s">
        <v>1936</v>
      </c>
      <c r="D1002" t="s">
        <v>3575</v>
      </c>
      <c r="F1002">
        <v>405</v>
      </c>
      <c r="G1002">
        <v>96</v>
      </c>
      <c r="H1002" t="s">
        <v>789</v>
      </c>
      <c r="I1002" t="s">
        <v>2257</v>
      </c>
      <c r="J1002">
        <v>711750</v>
      </c>
      <c r="K1002">
        <v>2025</v>
      </c>
      <c r="L1002">
        <v>1141516584</v>
      </c>
      <c r="M1002" t="s">
        <v>3883</v>
      </c>
      <c r="N1002" t="s">
        <v>1688</v>
      </c>
      <c r="O1002" t="s">
        <v>1686</v>
      </c>
      <c r="P1002">
        <v>0</v>
      </c>
      <c r="Q1002">
        <v>711750</v>
      </c>
      <c r="R1002">
        <v>0</v>
      </c>
      <c r="S1002">
        <v>0</v>
      </c>
      <c r="T1002" t="str">
        <f t="shared" si="30"/>
        <v>27792.43.4302.85.0-101024.2.3.3.08.06.</v>
      </c>
      <c r="U1002" t="e" cm="1">
        <f t="array" aca="1" ref="U1002" ca="1">+IF(COMPROMISOS_2025[[#This Row],[P]]="20","41080111",_xlfn.XLOOKUP(COMPROMISOS_2025[[#This Row],[concatenado]],PAA[[#All],[RCP-RUBRO]],PAA[[#All],[INDICADOR]],"",0))</f>
        <v>#NAME?</v>
      </c>
      <c r="V1002" s="144" t="str">
        <f t="shared" si="31"/>
        <v>85</v>
      </c>
      <c r="W1002" s="136">
        <f>+COMPROMISOS_2025[[#This Row],[valor_total]]-COMPROMISOS_2025[[#This Row],[total_cancelado]]</f>
        <v>711750</v>
      </c>
      <c r="X1002" s="136">
        <f>COMPROMISOS_2025[[#This Row],[total_ordenes]]</f>
        <v>711750</v>
      </c>
      <c r="Y1002" t="str" cm="1">
        <f t="array" aca="1" ref="Y1002" ca="1">IFERROR(_xlfn.XLOOKUP(COMPROMISOS_2025[[#This Row],[concatenado]],PAA[[#All],[RCP-RUBRO]],PAA[[#All],[Actividad3]],VLOOKUP(COMPROMISOS_2025[[#This Row],[Indicador Principal]],$AC$2:$AD$17,2,0),0),"")</f>
        <v/>
      </c>
    </row>
    <row r="1003" spans="1:25" hidden="1" x14ac:dyDescent="0.25">
      <c r="A1003">
        <v>2782</v>
      </c>
      <c r="B1003" t="s">
        <v>2491</v>
      </c>
      <c r="C1003" t="s">
        <v>1936</v>
      </c>
      <c r="D1003" t="s">
        <v>3575</v>
      </c>
      <c r="F1003">
        <v>405</v>
      </c>
      <c r="G1003">
        <v>96</v>
      </c>
      <c r="H1003" t="s">
        <v>789</v>
      </c>
      <c r="I1003" t="s">
        <v>2257</v>
      </c>
      <c r="J1003">
        <v>711750</v>
      </c>
      <c r="K1003">
        <v>2025</v>
      </c>
      <c r="L1003">
        <v>1142924954</v>
      </c>
      <c r="M1003" t="s">
        <v>3884</v>
      </c>
      <c r="N1003" t="s">
        <v>1688</v>
      </c>
      <c r="O1003" t="s">
        <v>1686</v>
      </c>
      <c r="P1003">
        <v>0</v>
      </c>
      <c r="Q1003">
        <v>711750</v>
      </c>
      <c r="R1003">
        <v>0</v>
      </c>
      <c r="S1003">
        <v>0</v>
      </c>
      <c r="T1003" t="str">
        <f t="shared" si="30"/>
        <v>27822.43.4302.85.0-101024.2.3.3.08.06.</v>
      </c>
      <c r="U1003" t="e" cm="1">
        <f t="array" aca="1" ref="U1003" ca="1">+IF(COMPROMISOS_2025[[#This Row],[P]]="20","41080111",_xlfn.XLOOKUP(COMPROMISOS_2025[[#This Row],[concatenado]],PAA[[#All],[RCP-RUBRO]],PAA[[#All],[INDICADOR]],"",0))</f>
        <v>#NAME?</v>
      </c>
      <c r="V1003" s="144" t="str">
        <f t="shared" si="31"/>
        <v>85</v>
      </c>
      <c r="W1003" s="136">
        <f>+COMPROMISOS_2025[[#This Row],[valor_total]]-COMPROMISOS_2025[[#This Row],[total_cancelado]]</f>
        <v>711750</v>
      </c>
      <c r="X1003" s="136">
        <f>COMPROMISOS_2025[[#This Row],[total_ordenes]]</f>
        <v>711750</v>
      </c>
      <c r="Y1003" t="str" cm="1">
        <f t="array" aca="1" ref="Y1003" ca="1">IFERROR(_xlfn.XLOOKUP(COMPROMISOS_2025[[#This Row],[concatenado]],PAA[[#All],[RCP-RUBRO]],PAA[[#All],[Actividad3]],VLOOKUP(COMPROMISOS_2025[[#This Row],[Indicador Principal]],$AC$2:$AD$17,2,0),0),"")</f>
        <v/>
      </c>
    </row>
    <row r="1004" spans="1:25" hidden="1" x14ac:dyDescent="0.25">
      <c r="A1004">
        <v>2786</v>
      </c>
      <c r="B1004" t="s">
        <v>2491</v>
      </c>
      <c r="C1004" t="s">
        <v>1936</v>
      </c>
      <c r="D1004" t="s">
        <v>3575</v>
      </c>
      <c r="F1004">
        <v>405</v>
      </c>
      <c r="G1004">
        <v>96</v>
      </c>
      <c r="H1004" t="s">
        <v>789</v>
      </c>
      <c r="I1004" t="s">
        <v>2257</v>
      </c>
      <c r="J1004">
        <v>2847000</v>
      </c>
      <c r="K1004">
        <v>2025</v>
      </c>
      <c r="L1004">
        <v>1144179074</v>
      </c>
      <c r="M1004" t="s">
        <v>3885</v>
      </c>
      <c r="N1004" t="s">
        <v>1688</v>
      </c>
      <c r="O1004" t="s">
        <v>1686</v>
      </c>
      <c r="P1004">
        <v>0</v>
      </c>
      <c r="Q1004">
        <v>2847000</v>
      </c>
      <c r="R1004">
        <v>0</v>
      </c>
      <c r="S1004">
        <v>0</v>
      </c>
      <c r="T1004" t="str">
        <f t="shared" si="30"/>
        <v>27862.43.4302.85.0-101024.2.3.3.08.06.</v>
      </c>
      <c r="U1004" t="e" cm="1">
        <f t="array" aca="1" ref="U1004" ca="1">+IF(COMPROMISOS_2025[[#This Row],[P]]="20","41080111",_xlfn.XLOOKUP(COMPROMISOS_2025[[#This Row],[concatenado]],PAA[[#All],[RCP-RUBRO]],PAA[[#All],[INDICADOR]],"",0))</f>
        <v>#NAME?</v>
      </c>
      <c r="V1004" s="144" t="str">
        <f t="shared" si="31"/>
        <v>85</v>
      </c>
      <c r="W1004" s="136">
        <f>+COMPROMISOS_2025[[#This Row],[valor_total]]-COMPROMISOS_2025[[#This Row],[total_cancelado]]</f>
        <v>2847000</v>
      </c>
      <c r="X1004" s="136">
        <f>COMPROMISOS_2025[[#This Row],[total_ordenes]]</f>
        <v>2847000</v>
      </c>
      <c r="Y1004" t="str" cm="1">
        <f t="array" aca="1" ref="Y1004" ca="1">IFERROR(_xlfn.XLOOKUP(COMPROMISOS_2025[[#This Row],[concatenado]],PAA[[#All],[RCP-RUBRO]],PAA[[#All],[Actividad3]],VLOOKUP(COMPROMISOS_2025[[#This Row],[Indicador Principal]],$AC$2:$AD$17,2,0),0),"")</f>
        <v/>
      </c>
    </row>
    <row r="1005" spans="1:25" hidden="1" x14ac:dyDescent="0.25">
      <c r="A1005">
        <v>2789</v>
      </c>
      <c r="B1005" t="s">
        <v>2491</v>
      </c>
      <c r="C1005" t="s">
        <v>1936</v>
      </c>
      <c r="D1005" t="s">
        <v>3575</v>
      </c>
      <c r="F1005">
        <v>405</v>
      </c>
      <c r="G1005">
        <v>96</v>
      </c>
      <c r="H1005" t="s">
        <v>789</v>
      </c>
      <c r="I1005" t="s">
        <v>2257</v>
      </c>
      <c r="J1005">
        <v>1067625</v>
      </c>
      <c r="K1005">
        <v>2025</v>
      </c>
      <c r="L1005">
        <v>1148435152</v>
      </c>
      <c r="M1005" t="s">
        <v>3886</v>
      </c>
      <c r="N1005" t="s">
        <v>1688</v>
      </c>
      <c r="O1005" t="s">
        <v>1686</v>
      </c>
      <c r="P1005">
        <v>0</v>
      </c>
      <c r="Q1005">
        <v>1067625</v>
      </c>
      <c r="R1005">
        <v>0</v>
      </c>
      <c r="S1005">
        <v>0</v>
      </c>
      <c r="T1005" t="str">
        <f t="shared" si="30"/>
        <v>27892.43.4302.85.0-101024.2.3.3.08.06.</v>
      </c>
      <c r="U1005" t="e" cm="1">
        <f t="array" aca="1" ref="U1005" ca="1">+IF(COMPROMISOS_2025[[#This Row],[P]]="20","41080111",_xlfn.XLOOKUP(COMPROMISOS_2025[[#This Row],[concatenado]],PAA[[#All],[RCP-RUBRO]],PAA[[#All],[INDICADOR]],"",0))</f>
        <v>#NAME?</v>
      </c>
      <c r="V1005" s="144" t="str">
        <f t="shared" si="31"/>
        <v>85</v>
      </c>
      <c r="W1005" s="136">
        <f>+COMPROMISOS_2025[[#This Row],[valor_total]]-COMPROMISOS_2025[[#This Row],[total_cancelado]]</f>
        <v>1067625</v>
      </c>
      <c r="X1005" s="136">
        <f>COMPROMISOS_2025[[#This Row],[total_ordenes]]</f>
        <v>1067625</v>
      </c>
      <c r="Y1005" t="str" cm="1">
        <f t="array" aca="1" ref="Y1005" ca="1">IFERROR(_xlfn.XLOOKUP(COMPROMISOS_2025[[#This Row],[concatenado]],PAA[[#All],[RCP-RUBRO]],PAA[[#All],[Actividad3]],VLOOKUP(COMPROMISOS_2025[[#This Row],[Indicador Principal]],$AC$2:$AD$17,2,0),0),"")</f>
        <v/>
      </c>
    </row>
    <row r="1006" spans="1:25" hidden="1" x14ac:dyDescent="0.25">
      <c r="A1006">
        <v>2791</v>
      </c>
      <c r="B1006" t="s">
        <v>2491</v>
      </c>
      <c r="C1006" t="s">
        <v>1936</v>
      </c>
      <c r="D1006" t="s">
        <v>3575</v>
      </c>
      <c r="F1006">
        <v>405</v>
      </c>
      <c r="G1006">
        <v>96</v>
      </c>
      <c r="H1006" t="s">
        <v>789</v>
      </c>
      <c r="I1006" t="s">
        <v>2257</v>
      </c>
      <c r="J1006">
        <v>5694000</v>
      </c>
      <c r="K1006">
        <v>2025</v>
      </c>
      <c r="L1006">
        <v>1152187644</v>
      </c>
      <c r="M1006" t="s">
        <v>3887</v>
      </c>
      <c r="N1006" t="s">
        <v>1688</v>
      </c>
      <c r="O1006" t="s">
        <v>1686</v>
      </c>
      <c r="P1006">
        <v>0</v>
      </c>
      <c r="Q1006">
        <v>5694000</v>
      </c>
      <c r="R1006">
        <v>0</v>
      </c>
      <c r="S1006">
        <v>0</v>
      </c>
      <c r="T1006" t="str">
        <f t="shared" si="30"/>
        <v>27912.43.4302.85.0-101024.2.3.3.08.06.</v>
      </c>
      <c r="U1006" t="e" cm="1">
        <f t="array" aca="1" ref="U1006" ca="1">+IF(COMPROMISOS_2025[[#This Row],[P]]="20","41080111",_xlfn.XLOOKUP(COMPROMISOS_2025[[#This Row],[concatenado]],PAA[[#All],[RCP-RUBRO]],PAA[[#All],[INDICADOR]],"",0))</f>
        <v>#NAME?</v>
      </c>
      <c r="V1006" s="144" t="str">
        <f t="shared" si="31"/>
        <v>85</v>
      </c>
      <c r="W1006" s="136">
        <f>+COMPROMISOS_2025[[#This Row],[valor_total]]-COMPROMISOS_2025[[#This Row],[total_cancelado]]</f>
        <v>5694000</v>
      </c>
      <c r="X1006" s="136">
        <f>COMPROMISOS_2025[[#This Row],[total_ordenes]]</f>
        <v>5694000</v>
      </c>
      <c r="Y1006" t="str" cm="1">
        <f t="array" aca="1" ref="Y1006" ca="1">IFERROR(_xlfn.XLOOKUP(COMPROMISOS_2025[[#This Row],[concatenado]],PAA[[#All],[RCP-RUBRO]],PAA[[#All],[Actividad3]],VLOOKUP(COMPROMISOS_2025[[#This Row],[Indicador Principal]],$AC$2:$AD$17,2,0),0),"")</f>
        <v/>
      </c>
    </row>
    <row r="1007" spans="1:25" hidden="1" x14ac:dyDescent="0.25">
      <c r="A1007">
        <v>2793</v>
      </c>
      <c r="B1007" t="s">
        <v>2491</v>
      </c>
      <c r="C1007" t="s">
        <v>1936</v>
      </c>
      <c r="D1007" t="s">
        <v>3575</v>
      </c>
      <c r="F1007">
        <v>405</v>
      </c>
      <c r="G1007">
        <v>96</v>
      </c>
      <c r="H1007" t="s">
        <v>789</v>
      </c>
      <c r="I1007" t="s">
        <v>2257</v>
      </c>
      <c r="J1007">
        <v>711750</v>
      </c>
      <c r="K1007">
        <v>2025</v>
      </c>
      <c r="L1007">
        <v>1152190131</v>
      </c>
      <c r="M1007" t="s">
        <v>3888</v>
      </c>
      <c r="N1007" t="s">
        <v>1688</v>
      </c>
      <c r="O1007" t="s">
        <v>1686</v>
      </c>
      <c r="P1007">
        <v>0</v>
      </c>
      <c r="Q1007">
        <v>711750</v>
      </c>
      <c r="R1007">
        <v>0</v>
      </c>
      <c r="S1007">
        <v>0</v>
      </c>
      <c r="T1007" t="str">
        <f t="shared" si="30"/>
        <v>27932.43.4302.85.0-101024.2.3.3.08.06.</v>
      </c>
      <c r="U1007" t="e" cm="1">
        <f t="array" aca="1" ref="U1007" ca="1">+IF(COMPROMISOS_2025[[#This Row],[P]]="20","41080111",_xlfn.XLOOKUP(COMPROMISOS_2025[[#This Row],[concatenado]],PAA[[#All],[RCP-RUBRO]],PAA[[#All],[INDICADOR]],"",0))</f>
        <v>#NAME?</v>
      </c>
      <c r="V1007" s="144" t="str">
        <f t="shared" si="31"/>
        <v>85</v>
      </c>
      <c r="W1007" s="136">
        <f>+COMPROMISOS_2025[[#This Row],[valor_total]]-COMPROMISOS_2025[[#This Row],[total_cancelado]]</f>
        <v>711750</v>
      </c>
      <c r="X1007" s="136">
        <f>COMPROMISOS_2025[[#This Row],[total_ordenes]]</f>
        <v>711750</v>
      </c>
      <c r="Y1007" t="str" cm="1">
        <f t="array" aca="1" ref="Y1007" ca="1">IFERROR(_xlfn.XLOOKUP(COMPROMISOS_2025[[#This Row],[concatenado]],PAA[[#All],[RCP-RUBRO]],PAA[[#All],[Actividad3]],VLOOKUP(COMPROMISOS_2025[[#This Row],[Indicador Principal]],$AC$2:$AD$17,2,0),0),"")</f>
        <v/>
      </c>
    </row>
    <row r="1008" spans="1:25" hidden="1" x14ac:dyDescent="0.25">
      <c r="A1008">
        <v>2794</v>
      </c>
      <c r="B1008" t="s">
        <v>2491</v>
      </c>
      <c r="C1008" t="s">
        <v>1936</v>
      </c>
      <c r="D1008" t="s">
        <v>3575</v>
      </c>
      <c r="F1008">
        <v>405</v>
      </c>
      <c r="G1008">
        <v>96</v>
      </c>
      <c r="H1008" t="s">
        <v>789</v>
      </c>
      <c r="I1008" t="s">
        <v>2257</v>
      </c>
      <c r="J1008">
        <v>5694000</v>
      </c>
      <c r="K1008">
        <v>2025</v>
      </c>
      <c r="L1008">
        <v>1152193072</v>
      </c>
      <c r="M1008" t="s">
        <v>3889</v>
      </c>
      <c r="N1008" t="s">
        <v>1688</v>
      </c>
      <c r="O1008" t="s">
        <v>1686</v>
      </c>
      <c r="P1008">
        <v>0</v>
      </c>
      <c r="Q1008">
        <v>5694000</v>
      </c>
      <c r="R1008">
        <v>0</v>
      </c>
      <c r="S1008">
        <v>0</v>
      </c>
      <c r="T1008" t="str">
        <f t="shared" si="30"/>
        <v>27942.43.4302.85.0-101024.2.3.3.08.06.</v>
      </c>
      <c r="U1008" t="e" cm="1">
        <f t="array" aca="1" ref="U1008" ca="1">+IF(COMPROMISOS_2025[[#This Row],[P]]="20","41080111",_xlfn.XLOOKUP(COMPROMISOS_2025[[#This Row],[concatenado]],PAA[[#All],[RCP-RUBRO]],PAA[[#All],[INDICADOR]],"",0))</f>
        <v>#NAME?</v>
      </c>
      <c r="V1008" s="144" t="str">
        <f t="shared" si="31"/>
        <v>85</v>
      </c>
      <c r="W1008" s="136">
        <f>+COMPROMISOS_2025[[#This Row],[valor_total]]-COMPROMISOS_2025[[#This Row],[total_cancelado]]</f>
        <v>5694000</v>
      </c>
      <c r="X1008" s="136">
        <f>COMPROMISOS_2025[[#This Row],[total_ordenes]]</f>
        <v>5694000</v>
      </c>
      <c r="Y1008" t="str" cm="1">
        <f t="array" aca="1" ref="Y1008" ca="1">IFERROR(_xlfn.XLOOKUP(COMPROMISOS_2025[[#This Row],[concatenado]],PAA[[#All],[RCP-RUBRO]],PAA[[#All],[Actividad3]],VLOOKUP(COMPROMISOS_2025[[#This Row],[Indicador Principal]],$AC$2:$AD$17,2,0),0),"")</f>
        <v/>
      </c>
    </row>
    <row r="1009" spans="1:25" hidden="1" x14ac:dyDescent="0.25">
      <c r="A1009">
        <v>2795</v>
      </c>
      <c r="B1009" t="s">
        <v>2491</v>
      </c>
      <c r="C1009" t="s">
        <v>1936</v>
      </c>
      <c r="D1009" t="s">
        <v>3575</v>
      </c>
      <c r="F1009">
        <v>405</v>
      </c>
      <c r="G1009">
        <v>96</v>
      </c>
      <c r="H1009" t="s">
        <v>789</v>
      </c>
      <c r="I1009" t="s">
        <v>2257</v>
      </c>
      <c r="J1009">
        <v>4270500</v>
      </c>
      <c r="K1009">
        <v>2025</v>
      </c>
      <c r="L1009">
        <v>1152193422</v>
      </c>
      <c r="M1009" t="s">
        <v>3890</v>
      </c>
      <c r="N1009" t="s">
        <v>1688</v>
      </c>
      <c r="O1009" t="s">
        <v>1686</v>
      </c>
      <c r="P1009">
        <v>0</v>
      </c>
      <c r="Q1009">
        <v>4270500</v>
      </c>
      <c r="R1009">
        <v>0</v>
      </c>
      <c r="S1009">
        <v>0</v>
      </c>
      <c r="T1009" t="str">
        <f t="shared" si="30"/>
        <v>27952.43.4302.85.0-101024.2.3.3.08.06.</v>
      </c>
      <c r="U1009" t="e" cm="1">
        <f t="array" aca="1" ref="U1009" ca="1">+IF(COMPROMISOS_2025[[#This Row],[P]]="20","41080111",_xlfn.XLOOKUP(COMPROMISOS_2025[[#This Row],[concatenado]],PAA[[#All],[RCP-RUBRO]],PAA[[#All],[INDICADOR]],"",0))</f>
        <v>#NAME?</v>
      </c>
      <c r="V1009" s="144" t="str">
        <f t="shared" si="31"/>
        <v>85</v>
      </c>
      <c r="W1009" s="136">
        <f>+COMPROMISOS_2025[[#This Row],[valor_total]]-COMPROMISOS_2025[[#This Row],[total_cancelado]]</f>
        <v>4270500</v>
      </c>
      <c r="X1009" s="136">
        <f>COMPROMISOS_2025[[#This Row],[total_ordenes]]</f>
        <v>4270500</v>
      </c>
      <c r="Y1009" t="str" cm="1">
        <f t="array" aca="1" ref="Y1009" ca="1">IFERROR(_xlfn.XLOOKUP(COMPROMISOS_2025[[#This Row],[concatenado]],PAA[[#All],[RCP-RUBRO]],PAA[[#All],[Actividad3]],VLOOKUP(COMPROMISOS_2025[[#This Row],[Indicador Principal]],$AC$2:$AD$17,2,0),0),"")</f>
        <v/>
      </c>
    </row>
    <row r="1010" spans="1:25" hidden="1" x14ac:dyDescent="0.25">
      <c r="A1010">
        <v>2796</v>
      </c>
      <c r="B1010" t="s">
        <v>2491</v>
      </c>
      <c r="C1010" t="s">
        <v>1936</v>
      </c>
      <c r="D1010" t="s">
        <v>3575</v>
      </c>
      <c r="F1010">
        <v>405</v>
      </c>
      <c r="G1010">
        <v>96</v>
      </c>
      <c r="H1010" t="s">
        <v>789</v>
      </c>
      <c r="I1010" t="s">
        <v>2257</v>
      </c>
      <c r="J1010">
        <v>711750</v>
      </c>
      <c r="K1010">
        <v>2025</v>
      </c>
      <c r="L1010">
        <v>1152200858</v>
      </c>
      <c r="M1010" t="s">
        <v>3891</v>
      </c>
      <c r="N1010" t="s">
        <v>1688</v>
      </c>
      <c r="O1010" t="s">
        <v>1686</v>
      </c>
      <c r="P1010">
        <v>0</v>
      </c>
      <c r="Q1010">
        <v>711750</v>
      </c>
      <c r="R1010">
        <v>0</v>
      </c>
      <c r="S1010">
        <v>0</v>
      </c>
      <c r="T1010" t="str">
        <f t="shared" si="30"/>
        <v>27962.43.4302.85.0-101024.2.3.3.08.06.</v>
      </c>
      <c r="U1010" t="e" cm="1">
        <f t="array" aca="1" ref="U1010" ca="1">+IF(COMPROMISOS_2025[[#This Row],[P]]="20","41080111",_xlfn.XLOOKUP(COMPROMISOS_2025[[#This Row],[concatenado]],PAA[[#All],[RCP-RUBRO]],PAA[[#All],[INDICADOR]],"",0))</f>
        <v>#NAME?</v>
      </c>
      <c r="V1010" s="144" t="str">
        <f t="shared" si="31"/>
        <v>85</v>
      </c>
      <c r="W1010" s="136">
        <f>+COMPROMISOS_2025[[#This Row],[valor_total]]-COMPROMISOS_2025[[#This Row],[total_cancelado]]</f>
        <v>711750</v>
      </c>
      <c r="X1010" s="136">
        <f>COMPROMISOS_2025[[#This Row],[total_ordenes]]</f>
        <v>711750</v>
      </c>
      <c r="Y1010" t="str" cm="1">
        <f t="array" aca="1" ref="Y1010" ca="1">IFERROR(_xlfn.XLOOKUP(COMPROMISOS_2025[[#This Row],[concatenado]],PAA[[#All],[RCP-RUBRO]],PAA[[#All],[Actividad3]],VLOOKUP(COMPROMISOS_2025[[#This Row],[Indicador Principal]],$AC$2:$AD$17,2,0),0),"")</f>
        <v/>
      </c>
    </row>
    <row r="1011" spans="1:25" hidden="1" x14ac:dyDescent="0.25">
      <c r="A1011">
        <v>2801</v>
      </c>
      <c r="B1011" t="s">
        <v>2491</v>
      </c>
      <c r="C1011" t="s">
        <v>1936</v>
      </c>
      <c r="D1011" t="s">
        <v>3575</v>
      </c>
      <c r="F1011">
        <v>405</v>
      </c>
      <c r="G1011">
        <v>96</v>
      </c>
      <c r="H1011" t="s">
        <v>789</v>
      </c>
      <c r="I1011" t="s">
        <v>2257</v>
      </c>
      <c r="J1011">
        <v>1423500</v>
      </c>
      <c r="K1011">
        <v>2025</v>
      </c>
      <c r="L1011">
        <v>1152219487</v>
      </c>
      <c r="M1011" t="s">
        <v>3892</v>
      </c>
      <c r="N1011" t="s">
        <v>1688</v>
      </c>
      <c r="O1011" t="s">
        <v>1686</v>
      </c>
      <c r="P1011">
        <v>0</v>
      </c>
      <c r="Q1011">
        <v>1423500</v>
      </c>
      <c r="R1011">
        <v>0</v>
      </c>
      <c r="S1011">
        <v>0</v>
      </c>
      <c r="T1011" t="str">
        <f t="shared" si="30"/>
        <v>28012.43.4302.85.0-101024.2.3.3.08.06.</v>
      </c>
      <c r="U1011" t="e" cm="1">
        <f t="array" aca="1" ref="U1011" ca="1">+IF(COMPROMISOS_2025[[#This Row],[P]]="20","41080111",_xlfn.XLOOKUP(COMPROMISOS_2025[[#This Row],[concatenado]],PAA[[#All],[RCP-RUBRO]],PAA[[#All],[INDICADOR]],"",0))</f>
        <v>#NAME?</v>
      </c>
      <c r="V1011" s="144" t="str">
        <f t="shared" si="31"/>
        <v>85</v>
      </c>
      <c r="W1011" s="136">
        <f>+COMPROMISOS_2025[[#This Row],[valor_total]]-COMPROMISOS_2025[[#This Row],[total_cancelado]]</f>
        <v>1423500</v>
      </c>
      <c r="X1011" s="136">
        <f>COMPROMISOS_2025[[#This Row],[total_ordenes]]</f>
        <v>1423500</v>
      </c>
      <c r="Y1011" t="str" cm="1">
        <f t="array" aca="1" ref="Y1011" ca="1">IFERROR(_xlfn.XLOOKUP(COMPROMISOS_2025[[#This Row],[concatenado]],PAA[[#All],[RCP-RUBRO]],PAA[[#All],[Actividad3]],VLOOKUP(COMPROMISOS_2025[[#This Row],[Indicador Principal]],$AC$2:$AD$17,2,0),0),"")</f>
        <v/>
      </c>
    </row>
    <row r="1012" spans="1:25" hidden="1" x14ac:dyDescent="0.25">
      <c r="A1012">
        <v>2808</v>
      </c>
      <c r="B1012" t="s">
        <v>2491</v>
      </c>
      <c r="C1012" t="s">
        <v>1936</v>
      </c>
      <c r="D1012" t="s">
        <v>3575</v>
      </c>
      <c r="F1012">
        <v>405</v>
      </c>
      <c r="G1012">
        <v>96</v>
      </c>
      <c r="H1012" t="s">
        <v>789</v>
      </c>
      <c r="I1012" t="s">
        <v>2257</v>
      </c>
      <c r="J1012">
        <v>2847000</v>
      </c>
      <c r="K1012">
        <v>2025</v>
      </c>
      <c r="L1012">
        <v>1152450943</v>
      </c>
      <c r="M1012" t="s">
        <v>3893</v>
      </c>
      <c r="N1012" t="s">
        <v>1688</v>
      </c>
      <c r="O1012" t="s">
        <v>1686</v>
      </c>
      <c r="P1012">
        <v>0</v>
      </c>
      <c r="Q1012">
        <v>2847000</v>
      </c>
      <c r="R1012">
        <v>0</v>
      </c>
      <c r="S1012">
        <v>0</v>
      </c>
      <c r="T1012" t="str">
        <f t="shared" si="30"/>
        <v>28082.43.4302.85.0-101024.2.3.3.08.06.</v>
      </c>
      <c r="U1012" t="e" cm="1">
        <f t="array" aca="1" ref="U1012" ca="1">+IF(COMPROMISOS_2025[[#This Row],[P]]="20","41080111",_xlfn.XLOOKUP(COMPROMISOS_2025[[#This Row],[concatenado]],PAA[[#All],[RCP-RUBRO]],PAA[[#All],[INDICADOR]],"",0))</f>
        <v>#NAME?</v>
      </c>
      <c r="V1012" s="144" t="str">
        <f t="shared" si="31"/>
        <v>85</v>
      </c>
      <c r="W1012" s="136">
        <f>+COMPROMISOS_2025[[#This Row],[valor_total]]-COMPROMISOS_2025[[#This Row],[total_cancelado]]</f>
        <v>2847000</v>
      </c>
      <c r="X1012" s="136">
        <f>COMPROMISOS_2025[[#This Row],[total_ordenes]]</f>
        <v>2847000</v>
      </c>
      <c r="Y1012" t="str" cm="1">
        <f t="array" aca="1" ref="Y1012" ca="1">IFERROR(_xlfn.XLOOKUP(COMPROMISOS_2025[[#This Row],[concatenado]],PAA[[#All],[RCP-RUBRO]],PAA[[#All],[Actividad3]],VLOOKUP(COMPROMISOS_2025[[#This Row],[Indicador Principal]],$AC$2:$AD$17,2,0),0),"")</f>
        <v/>
      </c>
    </row>
    <row r="1013" spans="1:25" hidden="1" x14ac:dyDescent="0.25">
      <c r="A1013">
        <v>2821</v>
      </c>
      <c r="B1013" t="s">
        <v>2491</v>
      </c>
      <c r="C1013" t="s">
        <v>1936</v>
      </c>
      <c r="D1013" t="s">
        <v>3575</v>
      </c>
      <c r="F1013">
        <v>405</v>
      </c>
      <c r="G1013">
        <v>96</v>
      </c>
      <c r="H1013" t="s">
        <v>789</v>
      </c>
      <c r="I1013" t="s">
        <v>2257</v>
      </c>
      <c r="J1013">
        <v>1423500</v>
      </c>
      <c r="K1013">
        <v>2025</v>
      </c>
      <c r="L1013">
        <v>1152710769</v>
      </c>
      <c r="M1013" t="s">
        <v>3894</v>
      </c>
      <c r="N1013" t="s">
        <v>1688</v>
      </c>
      <c r="O1013" t="s">
        <v>1686</v>
      </c>
      <c r="P1013">
        <v>0</v>
      </c>
      <c r="Q1013">
        <v>1423500</v>
      </c>
      <c r="R1013">
        <v>0</v>
      </c>
      <c r="S1013">
        <v>0</v>
      </c>
      <c r="T1013" t="str">
        <f t="shared" si="30"/>
        <v>28212.43.4302.85.0-101024.2.3.3.08.06.</v>
      </c>
      <c r="U1013" t="e" cm="1">
        <f t="array" aca="1" ref="U1013" ca="1">+IF(COMPROMISOS_2025[[#This Row],[P]]="20","41080111",_xlfn.XLOOKUP(COMPROMISOS_2025[[#This Row],[concatenado]],PAA[[#All],[RCP-RUBRO]],PAA[[#All],[INDICADOR]],"",0))</f>
        <v>#NAME?</v>
      </c>
      <c r="V1013" s="144" t="str">
        <f t="shared" si="31"/>
        <v>85</v>
      </c>
      <c r="W1013" s="136">
        <f>+COMPROMISOS_2025[[#This Row],[valor_total]]-COMPROMISOS_2025[[#This Row],[total_cancelado]]</f>
        <v>1423500</v>
      </c>
      <c r="X1013" s="136">
        <f>COMPROMISOS_2025[[#This Row],[total_ordenes]]</f>
        <v>1423500</v>
      </c>
      <c r="Y1013" t="str" cm="1">
        <f t="array" aca="1" ref="Y1013" ca="1">IFERROR(_xlfn.XLOOKUP(COMPROMISOS_2025[[#This Row],[concatenado]],PAA[[#All],[RCP-RUBRO]],PAA[[#All],[Actividad3]],VLOOKUP(COMPROMISOS_2025[[#This Row],[Indicador Principal]],$AC$2:$AD$17,2,0),0),"")</f>
        <v/>
      </c>
    </row>
    <row r="1014" spans="1:25" hidden="1" x14ac:dyDescent="0.25">
      <c r="A1014">
        <v>2823</v>
      </c>
      <c r="B1014" t="s">
        <v>2491</v>
      </c>
      <c r="C1014" t="s">
        <v>1936</v>
      </c>
      <c r="D1014" t="s">
        <v>3575</v>
      </c>
      <c r="F1014">
        <v>405</v>
      </c>
      <c r="G1014">
        <v>96</v>
      </c>
      <c r="H1014" t="s">
        <v>789</v>
      </c>
      <c r="I1014" t="s">
        <v>2257</v>
      </c>
      <c r="J1014">
        <v>1067625</v>
      </c>
      <c r="K1014">
        <v>2025</v>
      </c>
      <c r="L1014">
        <v>1152717404</v>
      </c>
      <c r="M1014" t="s">
        <v>3895</v>
      </c>
      <c r="N1014" t="s">
        <v>1688</v>
      </c>
      <c r="O1014" t="s">
        <v>1686</v>
      </c>
      <c r="P1014">
        <v>0</v>
      </c>
      <c r="Q1014">
        <v>1067625</v>
      </c>
      <c r="R1014">
        <v>0</v>
      </c>
      <c r="S1014">
        <v>0</v>
      </c>
      <c r="T1014" t="str">
        <f t="shared" si="30"/>
        <v>28232.43.4302.85.0-101024.2.3.3.08.06.</v>
      </c>
      <c r="U1014" t="e" cm="1">
        <f t="array" aca="1" ref="U1014" ca="1">+IF(COMPROMISOS_2025[[#This Row],[P]]="20","41080111",_xlfn.XLOOKUP(COMPROMISOS_2025[[#This Row],[concatenado]],PAA[[#All],[RCP-RUBRO]],PAA[[#All],[INDICADOR]],"",0))</f>
        <v>#NAME?</v>
      </c>
      <c r="V1014" s="144" t="str">
        <f t="shared" si="31"/>
        <v>85</v>
      </c>
      <c r="W1014" s="136">
        <f>+COMPROMISOS_2025[[#This Row],[valor_total]]-COMPROMISOS_2025[[#This Row],[total_cancelado]]</f>
        <v>1067625</v>
      </c>
      <c r="X1014" s="136">
        <f>COMPROMISOS_2025[[#This Row],[total_ordenes]]</f>
        <v>1067625</v>
      </c>
      <c r="Y1014" t="str" cm="1">
        <f t="array" aca="1" ref="Y1014" ca="1">IFERROR(_xlfn.XLOOKUP(COMPROMISOS_2025[[#This Row],[concatenado]],PAA[[#All],[RCP-RUBRO]],PAA[[#All],[Actividad3]],VLOOKUP(COMPROMISOS_2025[[#This Row],[Indicador Principal]],$AC$2:$AD$17,2,0),0),"")</f>
        <v/>
      </c>
    </row>
    <row r="1015" spans="1:25" hidden="1" x14ac:dyDescent="0.25">
      <c r="A1015">
        <v>2825</v>
      </c>
      <c r="B1015" t="s">
        <v>2491</v>
      </c>
      <c r="C1015" t="s">
        <v>1936</v>
      </c>
      <c r="D1015" t="s">
        <v>3575</v>
      </c>
      <c r="F1015">
        <v>405</v>
      </c>
      <c r="G1015">
        <v>96</v>
      </c>
      <c r="H1015" t="s">
        <v>789</v>
      </c>
      <c r="I1015" t="s">
        <v>2257</v>
      </c>
      <c r="J1015">
        <v>1067625</v>
      </c>
      <c r="K1015">
        <v>2025</v>
      </c>
      <c r="L1015">
        <v>1155214316</v>
      </c>
      <c r="M1015" t="s">
        <v>3896</v>
      </c>
      <c r="N1015" t="s">
        <v>1688</v>
      </c>
      <c r="O1015" t="s">
        <v>1686</v>
      </c>
      <c r="P1015">
        <v>0</v>
      </c>
      <c r="Q1015">
        <v>1067625</v>
      </c>
      <c r="R1015">
        <v>0</v>
      </c>
      <c r="S1015">
        <v>0</v>
      </c>
      <c r="T1015" t="str">
        <f t="shared" si="30"/>
        <v>28252.43.4302.85.0-101024.2.3.3.08.06.</v>
      </c>
      <c r="U1015" t="e" cm="1">
        <f t="array" aca="1" ref="U1015" ca="1">+IF(COMPROMISOS_2025[[#This Row],[P]]="20","41080111",_xlfn.XLOOKUP(COMPROMISOS_2025[[#This Row],[concatenado]],PAA[[#All],[RCP-RUBRO]],PAA[[#All],[INDICADOR]],"",0))</f>
        <v>#NAME?</v>
      </c>
      <c r="V1015" s="144" t="str">
        <f t="shared" si="31"/>
        <v>85</v>
      </c>
      <c r="W1015" s="136">
        <f>+COMPROMISOS_2025[[#This Row],[valor_total]]-COMPROMISOS_2025[[#This Row],[total_cancelado]]</f>
        <v>1067625</v>
      </c>
      <c r="X1015" s="136">
        <f>COMPROMISOS_2025[[#This Row],[total_ordenes]]</f>
        <v>1067625</v>
      </c>
      <c r="Y1015" t="str" cm="1">
        <f t="array" aca="1" ref="Y1015" ca="1">IFERROR(_xlfn.XLOOKUP(COMPROMISOS_2025[[#This Row],[concatenado]],PAA[[#All],[RCP-RUBRO]],PAA[[#All],[Actividad3]],VLOOKUP(COMPROMISOS_2025[[#This Row],[Indicador Principal]],$AC$2:$AD$17,2,0),0),"")</f>
        <v/>
      </c>
    </row>
    <row r="1016" spans="1:25" hidden="1" x14ac:dyDescent="0.25">
      <c r="A1016">
        <v>2826</v>
      </c>
      <c r="B1016" t="s">
        <v>2491</v>
      </c>
      <c r="C1016" t="s">
        <v>1936</v>
      </c>
      <c r="D1016" t="s">
        <v>3575</v>
      </c>
      <c r="F1016">
        <v>405</v>
      </c>
      <c r="G1016">
        <v>96</v>
      </c>
      <c r="H1016" t="s">
        <v>789</v>
      </c>
      <c r="I1016" t="s">
        <v>2257</v>
      </c>
      <c r="J1016">
        <v>711750</v>
      </c>
      <c r="K1016">
        <v>2025</v>
      </c>
      <c r="L1016">
        <v>1192463064</v>
      </c>
      <c r="M1016" t="s">
        <v>3897</v>
      </c>
      <c r="N1016" t="s">
        <v>1688</v>
      </c>
      <c r="O1016" t="s">
        <v>1686</v>
      </c>
      <c r="P1016">
        <v>0</v>
      </c>
      <c r="Q1016">
        <v>711750</v>
      </c>
      <c r="R1016">
        <v>0</v>
      </c>
      <c r="S1016">
        <v>0</v>
      </c>
      <c r="T1016" t="str">
        <f t="shared" si="30"/>
        <v>28262.43.4302.85.0-101024.2.3.3.08.06.</v>
      </c>
      <c r="U1016" t="e" cm="1">
        <f t="array" aca="1" ref="U1016" ca="1">+IF(COMPROMISOS_2025[[#This Row],[P]]="20","41080111",_xlfn.XLOOKUP(COMPROMISOS_2025[[#This Row],[concatenado]],PAA[[#All],[RCP-RUBRO]],PAA[[#All],[INDICADOR]],"",0))</f>
        <v>#NAME?</v>
      </c>
      <c r="V1016" s="144" t="str">
        <f t="shared" si="31"/>
        <v>85</v>
      </c>
      <c r="W1016" s="136">
        <f>+COMPROMISOS_2025[[#This Row],[valor_total]]-COMPROMISOS_2025[[#This Row],[total_cancelado]]</f>
        <v>711750</v>
      </c>
      <c r="X1016" s="136">
        <f>COMPROMISOS_2025[[#This Row],[total_ordenes]]</f>
        <v>711750</v>
      </c>
      <c r="Y1016" t="str" cm="1">
        <f t="array" aca="1" ref="Y1016" ca="1">IFERROR(_xlfn.XLOOKUP(COMPROMISOS_2025[[#This Row],[concatenado]],PAA[[#All],[RCP-RUBRO]],PAA[[#All],[Actividad3]],VLOOKUP(COMPROMISOS_2025[[#This Row],[Indicador Principal]],$AC$2:$AD$17,2,0),0),"")</f>
        <v/>
      </c>
    </row>
    <row r="1017" spans="1:25" hidden="1" x14ac:dyDescent="0.25">
      <c r="A1017">
        <v>2831</v>
      </c>
      <c r="B1017" t="s">
        <v>2491</v>
      </c>
      <c r="C1017" t="s">
        <v>1936</v>
      </c>
      <c r="D1017" t="s">
        <v>3575</v>
      </c>
      <c r="F1017">
        <v>405</v>
      </c>
      <c r="G1017">
        <v>96</v>
      </c>
      <c r="H1017" t="s">
        <v>789</v>
      </c>
      <c r="I1017" t="s">
        <v>2257</v>
      </c>
      <c r="J1017">
        <v>1423500</v>
      </c>
      <c r="K1017">
        <v>2025</v>
      </c>
      <c r="L1017">
        <v>1193369529</v>
      </c>
      <c r="M1017" t="s">
        <v>3898</v>
      </c>
      <c r="N1017" t="s">
        <v>1688</v>
      </c>
      <c r="O1017" t="s">
        <v>1686</v>
      </c>
      <c r="P1017">
        <v>0</v>
      </c>
      <c r="Q1017">
        <v>1423500</v>
      </c>
      <c r="R1017">
        <v>0</v>
      </c>
      <c r="S1017">
        <v>0</v>
      </c>
      <c r="T1017" t="str">
        <f t="shared" si="30"/>
        <v>28312.43.4302.85.0-101024.2.3.3.08.06.</v>
      </c>
      <c r="U1017" t="e" cm="1">
        <f t="array" aca="1" ref="U1017" ca="1">+IF(COMPROMISOS_2025[[#This Row],[P]]="20","41080111",_xlfn.XLOOKUP(COMPROMISOS_2025[[#This Row],[concatenado]],PAA[[#All],[RCP-RUBRO]],PAA[[#All],[INDICADOR]],"",0))</f>
        <v>#NAME?</v>
      </c>
      <c r="V1017" s="144" t="str">
        <f t="shared" si="31"/>
        <v>85</v>
      </c>
      <c r="W1017" s="136">
        <f>+COMPROMISOS_2025[[#This Row],[valor_total]]-COMPROMISOS_2025[[#This Row],[total_cancelado]]</f>
        <v>1423500</v>
      </c>
      <c r="X1017" s="136">
        <f>COMPROMISOS_2025[[#This Row],[total_ordenes]]</f>
        <v>1423500</v>
      </c>
      <c r="Y1017" t="str" cm="1">
        <f t="array" aca="1" ref="Y1017" ca="1">IFERROR(_xlfn.XLOOKUP(COMPROMISOS_2025[[#This Row],[concatenado]],PAA[[#All],[RCP-RUBRO]],PAA[[#All],[Actividad3]],VLOOKUP(COMPROMISOS_2025[[#This Row],[Indicador Principal]],$AC$2:$AD$17,2,0),0),"")</f>
        <v/>
      </c>
    </row>
    <row r="1018" spans="1:25" hidden="1" x14ac:dyDescent="0.25">
      <c r="A1018">
        <v>2835</v>
      </c>
      <c r="B1018" t="s">
        <v>2491</v>
      </c>
      <c r="C1018" t="s">
        <v>1936</v>
      </c>
      <c r="D1018" t="s">
        <v>3575</v>
      </c>
      <c r="F1018">
        <v>405</v>
      </c>
      <c r="G1018">
        <v>96</v>
      </c>
      <c r="H1018" t="s">
        <v>789</v>
      </c>
      <c r="I1018" t="s">
        <v>2257</v>
      </c>
      <c r="J1018">
        <v>4270500</v>
      </c>
      <c r="K1018">
        <v>2025</v>
      </c>
      <c r="L1018">
        <v>1193588400</v>
      </c>
      <c r="M1018" t="s">
        <v>3899</v>
      </c>
      <c r="N1018" t="s">
        <v>1688</v>
      </c>
      <c r="O1018" t="s">
        <v>1686</v>
      </c>
      <c r="P1018">
        <v>0</v>
      </c>
      <c r="Q1018">
        <v>4270500</v>
      </c>
      <c r="R1018">
        <v>0</v>
      </c>
      <c r="S1018">
        <v>0</v>
      </c>
      <c r="T1018" t="str">
        <f t="shared" si="30"/>
        <v>28352.43.4302.85.0-101024.2.3.3.08.06.</v>
      </c>
      <c r="U1018" t="e" cm="1">
        <f t="array" aca="1" ref="U1018" ca="1">+IF(COMPROMISOS_2025[[#This Row],[P]]="20","41080111",_xlfn.XLOOKUP(COMPROMISOS_2025[[#This Row],[concatenado]],PAA[[#All],[RCP-RUBRO]],PAA[[#All],[INDICADOR]],"",0))</f>
        <v>#NAME?</v>
      </c>
      <c r="V1018" s="144" t="str">
        <f t="shared" si="31"/>
        <v>85</v>
      </c>
      <c r="W1018" s="136">
        <f>+COMPROMISOS_2025[[#This Row],[valor_total]]-COMPROMISOS_2025[[#This Row],[total_cancelado]]</f>
        <v>4270500</v>
      </c>
      <c r="X1018" s="136">
        <f>COMPROMISOS_2025[[#This Row],[total_ordenes]]</f>
        <v>4270500</v>
      </c>
      <c r="Y1018" t="str" cm="1">
        <f t="array" aca="1" ref="Y1018" ca="1">IFERROR(_xlfn.XLOOKUP(COMPROMISOS_2025[[#This Row],[concatenado]],PAA[[#All],[RCP-RUBRO]],PAA[[#All],[Actividad3]],VLOOKUP(COMPROMISOS_2025[[#This Row],[Indicador Principal]],$AC$2:$AD$17,2,0),0),"")</f>
        <v/>
      </c>
    </row>
    <row r="1019" spans="1:25" hidden="1" x14ac:dyDescent="0.25">
      <c r="A1019">
        <v>2847</v>
      </c>
      <c r="B1019" t="s">
        <v>2491</v>
      </c>
      <c r="C1019" t="s">
        <v>1936</v>
      </c>
      <c r="D1019" t="s">
        <v>3575</v>
      </c>
      <c r="F1019">
        <v>405</v>
      </c>
      <c r="G1019">
        <v>96</v>
      </c>
      <c r="H1019" t="s">
        <v>789</v>
      </c>
      <c r="I1019" t="s">
        <v>2257</v>
      </c>
      <c r="J1019">
        <v>6405750</v>
      </c>
      <c r="K1019">
        <v>2025</v>
      </c>
      <c r="L1019">
        <v>1238938651</v>
      </c>
      <c r="M1019" t="s">
        <v>3900</v>
      </c>
      <c r="N1019" t="s">
        <v>1688</v>
      </c>
      <c r="O1019" t="s">
        <v>1686</v>
      </c>
      <c r="P1019">
        <v>0</v>
      </c>
      <c r="Q1019">
        <v>6405750</v>
      </c>
      <c r="R1019">
        <v>0</v>
      </c>
      <c r="S1019">
        <v>0</v>
      </c>
      <c r="T1019" t="str">
        <f t="shared" si="30"/>
        <v>28472.43.4302.85.0-101024.2.3.3.08.06.</v>
      </c>
      <c r="U1019" t="e" cm="1">
        <f t="array" aca="1" ref="U1019" ca="1">+IF(COMPROMISOS_2025[[#This Row],[P]]="20","41080111",_xlfn.XLOOKUP(COMPROMISOS_2025[[#This Row],[concatenado]],PAA[[#All],[RCP-RUBRO]],PAA[[#All],[INDICADOR]],"",0))</f>
        <v>#NAME?</v>
      </c>
      <c r="V1019" s="144" t="str">
        <f t="shared" si="31"/>
        <v>85</v>
      </c>
      <c r="W1019" s="136">
        <f>+COMPROMISOS_2025[[#This Row],[valor_total]]-COMPROMISOS_2025[[#This Row],[total_cancelado]]</f>
        <v>6405750</v>
      </c>
      <c r="X1019" s="136">
        <f>COMPROMISOS_2025[[#This Row],[total_ordenes]]</f>
        <v>6405750</v>
      </c>
      <c r="Y1019" t="str" cm="1">
        <f t="array" aca="1" ref="Y1019" ca="1">IFERROR(_xlfn.XLOOKUP(COMPROMISOS_2025[[#This Row],[concatenado]],PAA[[#All],[RCP-RUBRO]],PAA[[#All],[Actividad3]],VLOOKUP(COMPROMISOS_2025[[#This Row],[Indicador Principal]],$AC$2:$AD$17,2,0),0),"")</f>
        <v/>
      </c>
    </row>
    <row r="1020" spans="1:25" hidden="1" x14ac:dyDescent="0.25">
      <c r="A1020">
        <v>95</v>
      </c>
      <c r="B1020" t="s">
        <v>3901</v>
      </c>
      <c r="C1020" t="s">
        <v>1936</v>
      </c>
      <c r="D1020" t="s">
        <v>2261</v>
      </c>
      <c r="E1020" t="s">
        <v>3902</v>
      </c>
      <c r="F1020">
        <v>70</v>
      </c>
      <c r="G1020">
        <v>63</v>
      </c>
      <c r="H1020" t="s">
        <v>668</v>
      </c>
      <c r="I1020" t="s">
        <v>2260</v>
      </c>
      <c r="J1020">
        <v>41028000</v>
      </c>
      <c r="K1020">
        <v>2025</v>
      </c>
      <c r="L1020">
        <v>10014789967</v>
      </c>
      <c r="M1020" t="s">
        <v>3903</v>
      </c>
      <c r="N1020" t="s">
        <v>1688</v>
      </c>
      <c r="O1020" t="s">
        <v>1686</v>
      </c>
      <c r="P1020">
        <v>0</v>
      </c>
      <c r="Q1020">
        <v>7385040</v>
      </c>
      <c r="R1020">
        <v>0</v>
      </c>
      <c r="S1020">
        <v>33642960</v>
      </c>
      <c r="T1020" t="str">
        <f t="shared" si="30"/>
        <v>952.43.4302.85.0-205128.2.3.2.02.02.008.11.</v>
      </c>
      <c r="U1020" t="e" cm="1">
        <f t="array" aca="1" ref="U1020" ca="1">+IF(COMPROMISOS_2025[[#This Row],[P]]="20","41080111",_xlfn.XLOOKUP(COMPROMISOS_2025[[#This Row],[concatenado]],PAA[[#All],[RCP-RUBRO]],PAA[[#All],[INDICADOR]],"",0))</f>
        <v>#NAME?</v>
      </c>
      <c r="V1020" s="144" t="str">
        <f t="shared" si="31"/>
        <v>85</v>
      </c>
      <c r="W1020" s="136">
        <f>+COMPROMISOS_2025[[#This Row],[valor_total]]-COMPROMISOS_2025[[#This Row],[total_cancelado]]</f>
        <v>41028000</v>
      </c>
      <c r="X1020" s="136">
        <f>COMPROMISOS_2025[[#This Row],[total_ordenes]]</f>
        <v>7385040</v>
      </c>
      <c r="Y1020" t="str" cm="1">
        <f t="array" aca="1" ref="Y1020" ca="1">IFERROR(_xlfn.XLOOKUP(COMPROMISOS_2025[[#This Row],[concatenado]],PAA[[#All],[RCP-RUBRO]],PAA[[#All],[Actividad3]],VLOOKUP(COMPROMISOS_2025[[#This Row],[Indicador Principal]],$AC$2:$AD$17,2,0),0),"")</f>
        <v/>
      </c>
    </row>
    <row r="1021" spans="1:25" hidden="1" x14ac:dyDescent="0.25">
      <c r="A1021">
        <v>111</v>
      </c>
      <c r="B1021" t="s">
        <v>3904</v>
      </c>
      <c r="C1021" t="s">
        <v>1936</v>
      </c>
      <c r="D1021" t="s">
        <v>2259</v>
      </c>
      <c r="E1021" t="s">
        <v>3905</v>
      </c>
      <c r="F1021">
        <v>69</v>
      </c>
      <c r="G1021">
        <v>63</v>
      </c>
      <c r="H1021" t="s">
        <v>668</v>
      </c>
      <c r="I1021" t="s">
        <v>2260</v>
      </c>
      <c r="J1021">
        <v>47706447</v>
      </c>
      <c r="K1021">
        <v>2025</v>
      </c>
      <c r="L1021">
        <v>1017126471</v>
      </c>
      <c r="M1021" t="s">
        <v>3906</v>
      </c>
      <c r="N1021" t="s">
        <v>1688</v>
      </c>
      <c r="O1021" t="s">
        <v>1686</v>
      </c>
      <c r="P1021">
        <v>0</v>
      </c>
      <c r="Q1021">
        <v>7658560</v>
      </c>
      <c r="R1021">
        <v>0</v>
      </c>
      <c r="S1021">
        <v>40047887</v>
      </c>
      <c r="T1021" t="str">
        <f t="shared" si="30"/>
        <v>1112.43.4302.85.0-205128.2.3.2.02.02.008.11.</v>
      </c>
      <c r="U1021" t="e" cm="1">
        <f t="array" aca="1" ref="U1021" ca="1">+IF(COMPROMISOS_2025[[#This Row],[P]]="20","41080111",_xlfn.XLOOKUP(COMPROMISOS_2025[[#This Row],[concatenado]],PAA[[#All],[RCP-RUBRO]],PAA[[#All],[INDICADOR]],"",0))</f>
        <v>#NAME?</v>
      </c>
      <c r="V1021" s="144" t="str">
        <f t="shared" si="31"/>
        <v>85</v>
      </c>
      <c r="W1021" s="136">
        <f>+COMPROMISOS_2025[[#This Row],[valor_total]]-COMPROMISOS_2025[[#This Row],[total_cancelado]]</f>
        <v>47706447</v>
      </c>
      <c r="X1021" s="136">
        <f>COMPROMISOS_2025[[#This Row],[total_ordenes]]</f>
        <v>7658560</v>
      </c>
      <c r="Y1021" t="str" cm="1">
        <f t="array" aca="1" ref="Y1021" ca="1">IFERROR(_xlfn.XLOOKUP(COMPROMISOS_2025[[#This Row],[concatenado]],PAA[[#All],[RCP-RUBRO]],PAA[[#All],[Actividad3]],VLOOKUP(COMPROMISOS_2025[[#This Row],[Indicador Principal]],$AC$2:$AD$17,2,0),0),"")</f>
        <v/>
      </c>
    </row>
    <row r="1022" spans="1:25" hidden="1" x14ac:dyDescent="0.25">
      <c r="A1022">
        <v>2851</v>
      </c>
      <c r="B1022" t="s">
        <v>3907</v>
      </c>
      <c r="C1022" t="s">
        <v>1936</v>
      </c>
      <c r="D1022" t="s">
        <v>2263</v>
      </c>
      <c r="E1022" t="s">
        <v>3908</v>
      </c>
      <c r="F1022">
        <v>326</v>
      </c>
      <c r="G1022">
        <v>63</v>
      </c>
      <c r="H1022" t="s">
        <v>668</v>
      </c>
      <c r="I1022" t="s">
        <v>2260</v>
      </c>
      <c r="J1022">
        <v>32366533</v>
      </c>
      <c r="K1022">
        <v>2025</v>
      </c>
      <c r="L1022">
        <v>701139082</v>
      </c>
      <c r="M1022" t="s">
        <v>3909</v>
      </c>
      <c r="N1022" t="s">
        <v>1688</v>
      </c>
      <c r="O1022" t="s">
        <v>1686</v>
      </c>
      <c r="P1022">
        <v>0</v>
      </c>
      <c r="Q1022">
        <v>1595533</v>
      </c>
      <c r="R1022">
        <v>0</v>
      </c>
      <c r="S1022">
        <v>30771000</v>
      </c>
      <c r="T1022" t="str">
        <f t="shared" si="30"/>
        <v>28512.43.4302.85.0-205128.2.3.2.02.02.008.11.</v>
      </c>
      <c r="U1022" t="e" cm="1">
        <f t="array" aca="1" ref="U1022" ca="1">+IF(COMPROMISOS_2025[[#This Row],[P]]="20","41080111",_xlfn.XLOOKUP(COMPROMISOS_2025[[#This Row],[concatenado]],PAA[[#All],[RCP-RUBRO]],PAA[[#All],[INDICADOR]],"",0))</f>
        <v>#NAME?</v>
      </c>
      <c r="V1022" s="144" t="str">
        <f t="shared" si="31"/>
        <v>85</v>
      </c>
      <c r="W1022" s="136">
        <f>+COMPROMISOS_2025[[#This Row],[valor_total]]-COMPROMISOS_2025[[#This Row],[total_cancelado]]</f>
        <v>32366533</v>
      </c>
      <c r="X1022" s="136">
        <f>COMPROMISOS_2025[[#This Row],[total_ordenes]]</f>
        <v>1595533</v>
      </c>
      <c r="Y1022" t="str" cm="1">
        <f t="array" aca="1" ref="Y1022" ca="1">IFERROR(_xlfn.XLOOKUP(COMPROMISOS_2025[[#This Row],[concatenado]],PAA[[#All],[RCP-RUBRO]],PAA[[#All],[Actividad3]],VLOOKUP(COMPROMISOS_2025[[#This Row],[Indicador Principal]],$AC$2:$AD$17,2,0),0),"")</f>
        <v/>
      </c>
    </row>
    <row r="1023" spans="1:25" hidden="1" x14ac:dyDescent="0.25">
      <c r="A1023">
        <v>2988</v>
      </c>
      <c r="B1023" t="s">
        <v>3910</v>
      </c>
      <c r="C1023" t="s">
        <v>1936</v>
      </c>
      <c r="D1023" t="s">
        <v>2265</v>
      </c>
      <c r="E1023" t="s">
        <v>3911</v>
      </c>
      <c r="F1023">
        <v>417</v>
      </c>
      <c r="G1023">
        <v>63</v>
      </c>
      <c r="H1023" t="s">
        <v>668</v>
      </c>
      <c r="I1023" t="s">
        <v>2260</v>
      </c>
      <c r="J1023">
        <v>14245834</v>
      </c>
      <c r="K1023">
        <v>2025</v>
      </c>
      <c r="L1023">
        <v>11284699408</v>
      </c>
      <c r="M1023" t="s">
        <v>3912</v>
      </c>
      <c r="N1023" t="s">
        <v>1688</v>
      </c>
      <c r="O1023" t="s">
        <v>1686</v>
      </c>
      <c r="P1023">
        <v>0</v>
      </c>
      <c r="Q1023">
        <v>0</v>
      </c>
      <c r="R1023">
        <v>0</v>
      </c>
      <c r="S1023">
        <v>14245834</v>
      </c>
      <c r="T1023" t="str">
        <f t="shared" si="30"/>
        <v>29882.43.4302.85.0-205128.2.3.2.02.02.008.11.</v>
      </c>
      <c r="U1023" t="e" cm="1">
        <f t="array" aca="1" ref="U1023" ca="1">+IF(COMPROMISOS_2025[[#This Row],[P]]="20","41080111",_xlfn.XLOOKUP(COMPROMISOS_2025[[#This Row],[concatenado]],PAA[[#All],[RCP-RUBRO]],PAA[[#All],[INDICADOR]],"",0))</f>
        <v>#NAME?</v>
      </c>
      <c r="V1023" s="144" t="str">
        <f t="shared" si="31"/>
        <v>85</v>
      </c>
      <c r="W1023" s="136">
        <f>+COMPROMISOS_2025[[#This Row],[valor_total]]-COMPROMISOS_2025[[#This Row],[total_cancelado]]</f>
        <v>14245834</v>
      </c>
      <c r="X1023" s="136">
        <f>COMPROMISOS_2025[[#This Row],[total_ordenes]]</f>
        <v>0</v>
      </c>
      <c r="Y1023" t="str" cm="1">
        <f t="array" aca="1" ref="Y1023" ca="1">IFERROR(_xlfn.XLOOKUP(COMPROMISOS_2025[[#This Row],[concatenado]],PAA[[#All],[RCP-RUBRO]],PAA[[#All],[Actividad3]],VLOOKUP(COMPROMISOS_2025[[#This Row],[Indicador Principal]],$AC$2:$AD$17,2,0),0),"")</f>
        <v/>
      </c>
    </row>
    <row r="1024" spans="1:25" hidden="1" x14ac:dyDescent="0.25">
      <c r="A1024">
        <v>131</v>
      </c>
      <c r="B1024" t="s">
        <v>3913</v>
      </c>
      <c r="C1024" t="s">
        <v>1936</v>
      </c>
      <c r="D1024" t="s">
        <v>2267</v>
      </c>
      <c r="E1024" t="s">
        <v>3914</v>
      </c>
      <c r="F1024">
        <v>306</v>
      </c>
      <c r="G1024">
        <v>64</v>
      </c>
      <c r="H1024" t="s">
        <v>672</v>
      </c>
      <c r="I1024" t="s">
        <v>2268</v>
      </c>
      <c r="J1024">
        <v>75218000</v>
      </c>
      <c r="K1024">
        <v>2025</v>
      </c>
      <c r="L1024">
        <v>378646628</v>
      </c>
      <c r="M1024" t="s">
        <v>3915</v>
      </c>
      <c r="N1024" t="s">
        <v>1688</v>
      </c>
      <c r="O1024" t="s">
        <v>1686</v>
      </c>
      <c r="P1024">
        <v>0</v>
      </c>
      <c r="Q1024">
        <v>3510173</v>
      </c>
      <c r="R1024">
        <v>0</v>
      </c>
      <c r="S1024">
        <v>71707827</v>
      </c>
      <c r="T1024" t="str">
        <f t="shared" si="30"/>
        <v>1312.43.4302.85.0-205128.2.3.2.02.02.009.05.</v>
      </c>
      <c r="U1024" t="e" cm="1">
        <f t="array" aca="1" ref="U1024" ca="1">+IF(COMPROMISOS_2025[[#This Row],[P]]="20","41080111",_xlfn.XLOOKUP(COMPROMISOS_2025[[#This Row],[concatenado]],PAA[[#All],[RCP-RUBRO]],PAA[[#All],[INDICADOR]],"",0))</f>
        <v>#NAME?</v>
      </c>
      <c r="V1024" s="144" t="str">
        <f t="shared" si="31"/>
        <v>85</v>
      </c>
      <c r="W1024" s="136">
        <f>+COMPROMISOS_2025[[#This Row],[valor_total]]-COMPROMISOS_2025[[#This Row],[total_cancelado]]</f>
        <v>75218000</v>
      </c>
      <c r="X1024" s="136">
        <f>COMPROMISOS_2025[[#This Row],[total_ordenes]]</f>
        <v>3510173</v>
      </c>
      <c r="Y1024" t="str" cm="1">
        <f t="array" aca="1" ref="Y1024" ca="1">IFERROR(_xlfn.XLOOKUP(COMPROMISOS_2025[[#This Row],[concatenado]],PAA[[#All],[RCP-RUBRO]],PAA[[#All],[Actividad3]],VLOOKUP(COMPROMISOS_2025[[#This Row],[Indicador Principal]],$AC$2:$AD$17,2,0),0),"")</f>
        <v/>
      </c>
    </row>
    <row r="1025" spans="1:25" hidden="1" x14ac:dyDescent="0.25">
      <c r="A1025">
        <v>454</v>
      </c>
      <c r="B1025" t="s">
        <v>3916</v>
      </c>
      <c r="C1025" t="s">
        <v>1936</v>
      </c>
      <c r="D1025" t="s">
        <v>3917</v>
      </c>
      <c r="F1025">
        <v>358</v>
      </c>
      <c r="G1025">
        <v>65</v>
      </c>
      <c r="H1025" t="s">
        <v>662</v>
      </c>
      <c r="I1025" t="s">
        <v>2271</v>
      </c>
      <c r="J1025">
        <v>500000</v>
      </c>
      <c r="K1025">
        <v>2025</v>
      </c>
      <c r="L1025">
        <v>570487</v>
      </c>
      <c r="M1025" t="s">
        <v>3576</v>
      </c>
      <c r="N1025" t="s">
        <v>1688</v>
      </c>
      <c r="O1025" t="s">
        <v>1686</v>
      </c>
      <c r="P1025">
        <v>0</v>
      </c>
      <c r="Q1025">
        <v>500000</v>
      </c>
      <c r="R1025">
        <v>0</v>
      </c>
      <c r="S1025">
        <v>0</v>
      </c>
      <c r="T1025" t="str">
        <f t="shared" si="30"/>
        <v>4542.43.4302.85.0-205128.2.3.3.08.06.</v>
      </c>
      <c r="U1025" t="e" cm="1">
        <f t="array" aca="1" ref="U1025" ca="1">+IF(COMPROMISOS_2025[[#This Row],[P]]="20","41080111",_xlfn.XLOOKUP(COMPROMISOS_2025[[#This Row],[concatenado]],PAA[[#All],[RCP-RUBRO]],PAA[[#All],[INDICADOR]],"",0))</f>
        <v>#NAME?</v>
      </c>
      <c r="V1025" s="144" t="str">
        <f t="shared" si="31"/>
        <v>85</v>
      </c>
      <c r="W1025" s="136">
        <f>+COMPROMISOS_2025[[#This Row],[valor_total]]-COMPROMISOS_2025[[#This Row],[total_cancelado]]</f>
        <v>500000</v>
      </c>
      <c r="X1025" s="136">
        <f>COMPROMISOS_2025[[#This Row],[total_ordenes]]</f>
        <v>500000</v>
      </c>
      <c r="Y1025" t="str" cm="1">
        <f t="array" aca="1" ref="Y1025" ca="1">IFERROR(_xlfn.XLOOKUP(COMPROMISOS_2025[[#This Row],[concatenado]],PAA[[#All],[RCP-RUBRO]],PAA[[#All],[Actividad3]],VLOOKUP(COMPROMISOS_2025[[#This Row],[Indicador Principal]],$AC$2:$AD$17,2,0),0),"")</f>
        <v/>
      </c>
    </row>
    <row r="1026" spans="1:25" hidden="1" x14ac:dyDescent="0.25">
      <c r="A1026">
        <v>455</v>
      </c>
      <c r="B1026" t="s">
        <v>3916</v>
      </c>
      <c r="C1026" t="s">
        <v>1936</v>
      </c>
      <c r="D1026" t="s">
        <v>3917</v>
      </c>
      <c r="F1026">
        <v>358</v>
      </c>
      <c r="G1026">
        <v>65</v>
      </c>
      <c r="H1026" t="s">
        <v>662</v>
      </c>
      <c r="I1026" t="s">
        <v>2271</v>
      </c>
      <c r="J1026">
        <v>500000</v>
      </c>
      <c r="K1026">
        <v>2025</v>
      </c>
      <c r="L1026">
        <v>4907627</v>
      </c>
      <c r="M1026" t="s">
        <v>3578</v>
      </c>
      <c r="N1026" t="s">
        <v>1688</v>
      </c>
      <c r="O1026" t="s">
        <v>1686</v>
      </c>
      <c r="P1026">
        <v>0</v>
      </c>
      <c r="Q1026">
        <v>500000</v>
      </c>
      <c r="R1026">
        <v>0</v>
      </c>
      <c r="S1026">
        <v>0</v>
      </c>
      <c r="T1026" t="str">
        <f t="shared" ref="T1026:T1089" si="32">IF(A1026&gt;=0,CONCATENATE(A1026,H1026),"")</f>
        <v>4552.43.4302.85.0-205128.2.3.3.08.06.</v>
      </c>
      <c r="U1026" t="e" cm="1">
        <f t="array" aca="1" ref="U1026" ca="1">+IF(COMPROMISOS_2025[[#This Row],[P]]="20","41080111",_xlfn.XLOOKUP(COMPROMISOS_2025[[#This Row],[concatenado]],PAA[[#All],[RCP-RUBRO]],PAA[[#All],[INDICADOR]],"",0))</f>
        <v>#NAME?</v>
      </c>
      <c r="V1026" s="144" t="str">
        <f t="shared" ref="V1026:V1089" si="33">+MID(H1026,11,2)</f>
        <v>85</v>
      </c>
      <c r="W1026" s="136">
        <f>+COMPROMISOS_2025[[#This Row],[valor_total]]-COMPROMISOS_2025[[#This Row],[total_cancelado]]</f>
        <v>500000</v>
      </c>
      <c r="X1026" s="136">
        <f>COMPROMISOS_2025[[#This Row],[total_ordenes]]</f>
        <v>500000</v>
      </c>
      <c r="Y1026" t="str" cm="1">
        <f t="array" aca="1" ref="Y1026" ca="1">IFERROR(_xlfn.XLOOKUP(COMPROMISOS_2025[[#This Row],[concatenado]],PAA[[#All],[RCP-RUBRO]],PAA[[#All],[Actividad3]],VLOOKUP(COMPROMISOS_2025[[#This Row],[Indicador Principal]],$AC$2:$AD$17,2,0),0),"")</f>
        <v/>
      </c>
    </row>
    <row r="1027" spans="1:25" hidden="1" x14ac:dyDescent="0.25">
      <c r="A1027">
        <v>456</v>
      </c>
      <c r="B1027" t="s">
        <v>3916</v>
      </c>
      <c r="C1027" t="s">
        <v>1936</v>
      </c>
      <c r="D1027" t="s">
        <v>3917</v>
      </c>
      <c r="F1027">
        <v>358</v>
      </c>
      <c r="G1027">
        <v>65</v>
      </c>
      <c r="H1027" t="s">
        <v>662</v>
      </c>
      <c r="I1027" t="s">
        <v>2271</v>
      </c>
      <c r="J1027">
        <v>500000</v>
      </c>
      <c r="K1027">
        <v>2025</v>
      </c>
      <c r="L1027">
        <v>5333598</v>
      </c>
      <c r="M1027" t="s">
        <v>3579</v>
      </c>
      <c r="N1027" t="s">
        <v>1688</v>
      </c>
      <c r="O1027" t="s">
        <v>1686</v>
      </c>
      <c r="P1027">
        <v>0</v>
      </c>
      <c r="Q1027">
        <v>500000</v>
      </c>
      <c r="R1027">
        <v>0</v>
      </c>
      <c r="S1027">
        <v>0</v>
      </c>
      <c r="T1027" t="str">
        <f t="shared" si="32"/>
        <v>4562.43.4302.85.0-205128.2.3.3.08.06.</v>
      </c>
      <c r="U1027" t="e" cm="1">
        <f t="array" aca="1" ref="U1027" ca="1">+IF(COMPROMISOS_2025[[#This Row],[P]]="20","41080111",_xlfn.XLOOKUP(COMPROMISOS_2025[[#This Row],[concatenado]],PAA[[#All],[RCP-RUBRO]],PAA[[#All],[INDICADOR]],"",0))</f>
        <v>#NAME?</v>
      </c>
      <c r="V1027" s="144" t="str">
        <f t="shared" si="33"/>
        <v>85</v>
      </c>
      <c r="W1027" s="136">
        <f>+COMPROMISOS_2025[[#This Row],[valor_total]]-COMPROMISOS_2025[[#This Row],[total_cancelado]]</f>
        <v>500000</v>
      </c>
      <c r="X1027" s="136">
        <f>COMPROMISOS_2025[[#This Row],[total_ordenes]]</f>
        <v>500000</v>
      </c>
      <c r="Y1027" t="str" cm="1">
        <f t="array" aca="1" ref="Y1027" ca="1">IFERROR(_xlfn.XLOOKUP(COMPROMISOS_2025[[#This Row],[concatenado]],PAA[[#All],[RCP-RUBRO]],PAA[[#All],[Actividad3]],VLOOKUP(COMPROMISOS_2025[[#This Row],[Indicador Principal]],$AC$2:$AD$17,2,0),0),"")</f>
        <v/>
      </c>
    </row>
    <row r="1028" spans="1:25" hidden="1" x14ac:dyDescent="0.25">
      <c r="A1028">
        <v>457</v>
      </c>
      <c r="B1028" t="s">
        <v>3916</v>
      </c>
      <c r="C1028" t="s">
        <v>1936</v>
      </c>
      <c r="D1028" t="s">
        <v>3917</v>
      </c>
      <c r="F1028">
        <v>358</v>
      </c>
      <c r="G1028">
        <v>65</v>
      </c>
      <c r="H1028" t="s">
        <v>662</v>
      </c>
      <c r="I1028" t="s">
        <v>2271</v>
      </c>
      <c r="J1028">
        <v>500000</v>
      </c>
      <c r="K1028">
        <v>2025</v>
      </c>
      <c r="L1028">
        <v>8027439</v>
      </c>
      <c r="M1028" t="s">
        <v>3918</v>
      </c>
      <c r="N1028" t="s">
        <v>1688</v>
      </c>
      <c r="O1028" t="s">
        <v>1686</v>
      </c>
      <c r="P1028">
        <v>0</v>
      </c>
      <c r="Q1028">
        <v>500000</v>
      </c>
      <c r="R1028">
        <v>0</v>
      </c>
      <c r="S1028">
        <v>0</v>
      </c>
      <c r="T1028" t="str">
        <f t="shared" si="32"/>
        <v>4572.43.4302.85.0-205128.2.3.3.08.06.</v>
      </c>
      <c r="U1028" t="e" cm="1">
        <f t="array" aca="1" ref="U1028" ca="1">+IF(COMPROMISOS_2025[[#This Row],[P]]="20","41080111",_xlfn.XLOOKUP(COMPROMISOS_2025[[#This Row],[concatenado]],PAA[[#All],[RCP-RUBRO]],PAA[[#All],[INDICADOR]],"",0))</f>
        <v>#NAME?</v>
      </c>
      <c r="V1028" s="144" t="str">
        <f t="shared" si="33"/>
        <v>85</v>
      </c>
      <c r="W1028" s="136">
        <f>+COMPROMISOS_2025[[#This Row],[valor_total]]-COMPROMISOS_2025[[#This Row],[total_cancelado]]</f>
        <v>500000</v>
      </c>
      <c r="X1028" s="136">
        <f>COMPROMISOS_2025[[#This Row],[total_ordenes]]</f>
        <v>500000</v>
      </c>
      <c r="Y1028" t="str" cm="1">
        <f t="array" aca="1" ref="Y1028" ca="1">IFERROR(_xlfn.XLOOKUP(COMPROMISOS_2025[[#This Row],[concatenado]],PAA[[#All],[RCP-RUBRO]],PAA[[#All],[Actividad3]],VLOOKUP(COMPROMISOS_2025[[#This Row],[Indicador Principal]],$AC$2:$AD$17,2,0),0),"")</f>
        <v/>
      </c>
    </row>
    <row r="1029" spans="1:25" hidden="1" x14ac:dyDescent="0.25">
      <c r="A1029">
        <v>458</v>
      </c>
      <c r="B1029" t="s">
        <v>3916</v>
      </c>
      <c r="C1029" t="s">
        <v>1936</v>
      </c>
      <c r="D1029" t="s">
        <v>3917</v>
      </c>
      <c r="F1029">
        <v>358</v>
      </c>
      <c r="G1029">
        <v>65</v>
      </c>
      <c r="H1029" t="s">
        <v>662</v>
      </c>
      <c r="I1029" t="s">
        <v>2271</v>
      </c>
      <c r="J1029">
        <v>500000</v>
      </c>
      <c r="K1029">
        <v>2025</v>
      </c>
      <c r="L1029">
        <v>8466228</v>
      </c>
      <c r="M1029" t="s">
        <v>3919</v>
      </c>
      <c r="N1029" t="s">
        <v>1688</v>
      </c>
      <c r="O1029" t="s">
        <v>1686</v>
      </c>
      <c r="P1029">
        <v>0</v>
      </c>
      <c r="Q1029">
        <v>500000</v>
      </c>
      <c r="R1029">
        <v>0</v>
      </c>
      <c r="S1029">
        <v>0</v>
      </c>
      <c r="T1029" t="str">
        <f t="shared" si="32"/>
        <v>4582.43.4302.85.0-205128.2.3.3.08.06.</v>
      </c>
      <c r="U1029" t="e" cm="1">
        <f t="array" aca="1" ref="U1029" ca="1">+IF(COMPROMISOS_2025[[#This Row],[P]]="20","41080111",_xlfn.XLOOKUP(COMPROMISOS_2025[[#This Row],[concatenado]],PAA[[#All],[RCP-RUBRO]],PAA[[#All],[INDICADOR]],"",0))</f>
        <v>#NAME?</v>
      </c>
      <c r="V1029" s="144" t="str">
        <f t="shared" si="33"/>
        <v>85</v>
      </c>
      <c r="W1029" s="136">
        <f>+COMPROMISOS_2025[[#This Row],[valor_total]]-COMPROMISOS_2025[[#This Row],[total_cancelado]]</f>
        <v>500000</v>
      </c>
      <c r="X1029" s="136">
        <f>COMPROMISOS_2025[[#This Row],[total_ordenes]]</f>
        <v>500000</v>
      </c>
      <c r="Y1029" t="str" cm="1">
        <f t="array" aca="1" ref="Y1029" ca="1">IFERROR(_xlfn.XLOOKUP(COMPROMISOS_2025[[#This Row],[concatenado]],PAA[[#All],[RCP-RUBRO]],PAA[[#All],[Actividad3]],VLOOKUP(COMPROMISOS_2025[[#This Row],[Indicador Principal]],$AC$2:$AD$17,2,0),0),"")</f>
        <v/>
      </c>
    </row>
    <row r="1030" spans="1:25" hidden="1" x14ac:dyDescent="0.25">
      <c r="A1030">
        <v>459</v>
      </c>
      <c r="B1030" t="s">
        <v>3916</v>
      </c>
      <c r="C1030" t="s">
        <v>1936</v>
      </c>
      <c r="D1030" t="s">
        <v>3917</v>
      </c>
      <c r="F1030">
        <v>358</v>
      </c>
      <c r="G1030">
        <v>65</v>
      </c>
      <c r="H1030" t="s">
        <v>662</v>
      </c>
      <c r="I1030" t="s">
        <v>2271</v>
      </c>
      <c r="J1030">
        <v>500000</v>
      </c>
      <c r="K1030">
        <v>2025</v>
      </c>
      <c r="L1030">
        <v>15371328</v>
      </c>
      <c r="M1030" t="s">
        <v>3920</v>
      </c>
      <c r="N1030" t="s">
        <v>1688</v>
      </c>
      <c r="O1030" t="s">
        <v>1686</v>
      </c>
      <c r="P1030">
        <v>0</v>
      </c>
      <c r="Q1030">
        <v>500000</v>
      </c>
      <c r="R1030">
        <v>0</v>
      </c>
      <c r="S1030">
        <v>0</v>
      </c>
      <c r="T1030" t="str">
        <f t="shared" si="32"/>
        <v>4592.43.4302.85.0-205128.2.3.3.08.06.</v>
      </c>
      <c r="U1030" t="e" cm="1">
        <f t="array" aca="1" ref="U1030" ca="1">+IF(COMPROMISOS_2025[[#This Row],[P]]="20","41080111",_xlfn.XLOOKUP(COMPROMISOS_2025[[#This Row],[concatenado]],PAA[[#All],[RCP-RUBRO]],PAA[[#All],[INDICADOR]],"",0))</f>
        <v>#NAME?</v>
      </c>
      <c r="V1030" s="144" t="str">
        <f t="shared" si="33"/>
        <v>85</v>
      </c>
      <c r="W1030" s="136">
        <f>+COMPROMISOS_2025[[#This Row],[valor_total]]-COMPROMISOS_2025[[#This Row],[total_cancelado]]</f>
        <v>500000</v>
      </c>
      <c r="X1030" s="136">
        <f>COMPROMISOS_2025[[#This Row],[total_ordenes]]</f>
        <v>500000</v>
      </c>
      <c r="Y1030" t="str" cm="1">
        <f t="array" aca="1" ref="Y1030" ca="1">IFERROR(_xlfn.XLOOKUP(COMPROMISOS_2025[[#This Row],[concatenado]],PAA[[#All],[RCP-RUBRO]],PAA[[#All],[Actividad3]],VLOOKUP(COMPROMISOS_2025[[#This Row],[Indicador Principal]],$AC$2:$AD$17,2,0),0),"")</f>
        <v/>
      </c>
    </row>
    <row r="1031" spans="1:25" hidden="1" x14ac:dyDescent="0.25">
      <c r="A1031">
        <v>460</v>
      </c>
      <c r="B1031" t="s">
        <v>3916</v>
      </c>
      <c r="C1031" t="s">
        <v>1936</v>
      </c>
      <c r="D1031" t="s">
        <v>3917</v>
      </c>
      <c r="F1031">
        <v>358</v>
      </c>
      <c r="G1031">
        <v>65</v>
      </c>
      <c r="H1031" t="s">
        <v>662</v>
      </c>
      <c r="I1031" t="s">
        <v>2271</v>
      </c>
      <c r="J1031">
        <v>500000</v>
      </c>
      <c r="K1031">
        <v>2025</v>
      </c>
      <c r="L1031">
        <v>15537308</v>
      </c>
      <c r="M1031" t="s">
        <v>3921</v>
      </c>
      <c r="N1031" t="s">
        <v>1688</v>
      </c>
      <c r="O1031" t="s">
        <v>1686</v>
      </c>
      <c r="P1031">
        <v>0</v>
      </c>
      <c r="Q1031">
        <v>500000</v>
      </c>
      <c r="R1031">
        <v>0</v>
      </c>
      <c r="S1031">
        <v>0</v>
      </c>
      <c r="T1031" t="str">
        <f t="shared" si="32"/>
        <v>4602.43.4302.85.0-205128.2.3.3.08.06.</v>
      </c>
      <c r="U1031" t="e" cm="1">
        <f t="array" aca="1" ref="U1031" ca="1">+IF(COMPROMISOS_2025[[#This Row],[P]]="20","41080111",_xlfn.XLOOKUP(COMPROMISOS_2025[[#This Row],[concatenado]],PAA[[#All],[RCP-RUBRO]],PAA[[#All],[INDICADOR]],"",0))</f>
        <v>#NAME?</v>
      </c>
      <c r="V1031" s="144" t="str">
        <f t="shared" si="33"/>
        <v>85</v>
      </c>
      <c r="W1031" s="136">
        <f>+COMPROMISOS_2025[[#This Row],[valor_total]]-COMPROMISOS_2025[[#This Row],[total_cancelado]]</f>
        <v>500000</v>
      </c>
      <c r="X1031" s="136">
        <f>COMPROMISOS_2025[[#This Row],[total_ordenes]]</f>
        <v>500000</v>
      </c>
      <c r="Y1031" t="str" cm="1">
        <f t="array" aca="1" ref="Y1031" ca="1">IFERROR(_xlfn.XLOOKUP(COMPROMISOS_2025[[#This Row],[concatenado]],PAA[[#All],[RCP-RUBRO]],PAA[[#All],[Actividad3]],VLOOKUP(COMPROMISOS_2025[[#This Row],[Indicador Principal]],$AC$2:$AD$17,2,0),0),"")</f>
        <v/>
      </c>
    </row>
    <row r="1032" spans="1:25" hidden="1" x14ac:dyDescent="0.25">
      <c r="A1032">
        <v>461</v>
      </c>
      <c r="B1032" t="s">
        <v>3916</v>
      </c>
      <c r="C1032" t="s">
        <v>1936</v>
      </c>
      <c r="D1032" t="s">
        <v>3917</v>
      </c>
      <c r="F1032">
        <v>358</v>
      </c>
      <c r="G1032">
        <v>65</v>
      </c>
      <c r="H1032" t="s">
        <v>662</v>
      </c>
      <c r="I1032" t="s">
        <v>2271</v>
      </c>
      <c r="J1032">
        <v>500000</v>
      </c>
      <c r="K1032">
        <v>2025</v>
      </c>
      <c r="L1032">
        <v>32258328</v>
      </c>
      <c r="M1032" t="s">
        <v>3922</v>
      </c>
      <c r="N1032" t="s">
        <v>1688</v>
      </c>
      <c r="O1032" t="s">
        <v>1686</v>
      </c>
      <c r="P1032">
        <v>0</v>
      </c>
      <c r="Q1032">
        <v>500000</v>
      </c>
      <c r="R1032">
        <v>0</v>
      </c>
      <c r="S1032">
        <v>0</v>
      </c>
      <c r="T1032" t="str">
        <f t="shared" si="32"/>
        <v>4612.43.4302.85.0-205128.2.3.3.08.06.</v>
      </c>
      <c r="U1032" t="e" cm="1">
        <f t="array" aca="1" ref="U1032" ca="1">+IF(COMPROMISOS_2025[[#This Row],[P]]="20","41080111",_xlfn.XLOOKUP(COMPROMISOS_2025[[#This Row],[concatenado]],PAA[[#All],[RCP-RUBRO]],PAA[[#All],[INDICADOR]],"",0))</f>
        <v>#NAME?</v>
      </c>
      <c r="V1032" s="144" t="str">
        <f t="shared" si="33"/>
        <v>85</v>
      </c>
      <c r="W1032" s="136">
        <f>+COMPROMISOS_2025[[#This Row],[valor_total]]-COMPROMISOS_2025[[#This Row],[total_cancelado]]</f>
        <v>500000</v>
      </c>
      <c r="X1032" s="136">
        <f>COMPROMISOS_2025[[#This Row],[total_ordenes]]</f>
        <v>500000</v>
      </c>
      <c r="Y1032" t="str" cm="1">
        <f t="array" aca="1" ref="Y1032" ca="1">IFERROR(_xlfn.XLOOKUP(COMPROMISOS_2025[[#This Row],[concatenado]],PAA[[#All],[RCP-RUBRO]],PAA[[#All],[Actividad3]],VLOOKUP(COMPROMISOS_2025[[#This Row],[Indicador Principal]],$AC$2:$AD$17,2,0),0),"")</f>
        <v/>
      </c>
    </row>
    <row r="1033" spans="1:25" hidden="1" x14ac:dyDescent="0.25">
      <c r="A1033">
        <v>462</v>
      </c>
      <c r="B1033" t="s">
        <v>3916</v>
      </c>
      <c r="C1033" t="s">
        <v>1936</v>
      </c>
      <c r="D1033" t="s">
        <v>3917</v>
      </c>
      <c r="F1033">
        <v>358</v>
      </c>
      <c r="G1033">
        <v>65</v>
      </c>
      <c r="H1033" t="s">
        <v>662</v>
      </c>
      <c r="I1033" t="s">
        <v>2271</v>
      </c>
      <c r="J1033">
        <v>500000</v>
      </c>
      <c r="K1033">
        <v>2025</v>
      </c>
      <c r="L1033">
        <v>43847269</v>
      </c>
      <c r="M1033" t="s">
        <v>3923</v>
      </c>
      <c r="N1033" t="s">
        <v>1688</v>
      </c>
      <c r="O1033" t="s">
        <v>1686</v>
      </c>
      <c r="P1033">
        <v>0</v>
      </c>
      <c r="Q1033">
        <v>500000</v>
      </c>
      <c r="R1033">
        <v>0</v>
      </c>
      <c r="S1033">
        <v>0</v>
      </c>
      <c r="T1033" t="str">
        <f t="shared" si="32"/>
        <v>4622.43.4302.85.0-205128.2.3.3.08.06.</v>
      </c>
      <c r="U1033" t="e" cm="1">
        <f t="array" aca="1" ref="U1033" ca="1">+IF(COMPROMISOS_2025[[#This Row],[P]]="20","41080111",_xlfn.XLOOKUP(COMPROMISOS_2025[[#This Row],[concatenado]],PAA[[#All],[RCP-RUBRO]],PAA[[#All],[INDICADOR]],"",0))</f>
        <v>#NAME?</v>
      </c>
      <c r="V1033" s="144" t="str">
        <f t="shared" si="33"/>
        <v>85</v>
      </c>
      <c r="W1033" s="136">
        <f>+COMPROMISOS_2025[[#This Row],[valor_total]]-COMPROMISOS_2025[[#This Row],[total_cancelado]]</f>
        <v>500000</v>
      </c>
      <c r="X1033" s="136">
        <f>COMPROMISOS_2025[[#This Row],[total_ordenes]]</f>
        <v>500000</v>
      </c>
      <c r="Y1033" t="str" cm="1">
        <f t="array" aca="1" ref="Y1033" ca="1">IFERROR(_xlfn.XLOOKUP(COMPROMISOS_2025[[#This Row],[concatenado]],PAA[[#All],[RCP-RUBRO]],PAA[[#All],[Actividad3]],VLOOKUP(COMPROMISOS_2025[[#This Row],[Indicador Principal]],$AC$2:$AD$17,2,0),0),"")</f>
        <v/>
      </c>
    </row>
    <row r="1034" spans="1:25" hidden="1" x14ac:dyDescent="0.25">
      <c r="A1034">
        <v>463</v>
      </c>
      <c r="B1034" t="s">
        <v>3916</v>
      </c>
      <c r="C1034" t="s">
        <v>1936</v>
      </c>
      <c r="D1034" t="s">
        <v>3917</v>
      </c>
      <c r="F1034">
        <v>358</v>
      </c>
      <c r="G1034">
        <v>65</v>
      </c>
      <c r="H1034" t="s">
        <v>662</v>
      </c>
      <c r="I1034" t="s">
        <v>2271</v>
      </c>
      <c r="J1034">
        <v>500000</v>
      </c>
      <c r="K1034">
        <v>2025</v>
      </c>
      <c r="L1034">
        <v>71290655</v>
      </c>
      <c r="M1034" t="s">
        <v>3924</v>
      </c>
      <c r="N1034" t="s">
        <v>1688</v>
      </c>
      <c r="O1034" t="s">
        <v>1686</v>
      </c>
      <c r="P1034">
        <v>0</v>
      </c>
      <c r="Q1034">
        <v>500000</v>
      </c>
      <c r="R1034">
        <v>0</v>
      </c>
      <c r="S1034">
        <v>0</v>
      </c>
      <c r="T1034" t="str">
        <f t="shared" si="32"/>
        <v>4632.43.4302.85.0-205128.2.3.3.08.06.</v>
      </c>
      <c r="U1034" t="e" cm="1">
        <f t="array" aca="1" ref="U1034" ca="1">+IF(COMPROMISOS_2025[[#This Row],[P]]="20","41080111",_xlfn.XLOOKUP(COMPROMISOS_2025[[#This Row],[concatenado]],PAA[[#All],[RCP-RUBRO]],PAA[[#All],[INDICADOR]],"",0))</f>
        <v>#NAME?</v>
      </c>
      <c r="V1034" s="144" t="str">
        <f t="shared" si="33"/>
        <v>85</v>
      </c>
      <c r="W1034" s="136">
        <f>+COMPROMISOS_2025[[#This Row],[valor_total]]-COMPROMISOS_2025[[#This Row],[total_cancelado]]</f>
        <v>500000</v>
      </c>
      <c r="X1034" s="136">
        <f>COMPROMISOS_2025[[#This Row],[total_ordenes]]</f>
        <v>500000</v>
      </c>
      <c r="Y1034" t="str" cm="1">
        <f t="array" aca="1" ref="Y1034" ca="1">IFERROR(_xlfn.XLOOKUP(COMPROMISOS_2025[[#This Row],[concatenado]],PAA[[#All],[RCP-RUBRO]],PAA[[#All],[Actividad3]],VLOOKUP(COMPROMISOS_2025[[#This Row],[Indicador Principal]],$AC$2:$AD$17,2,0),0),"")</f>
        <v/>
      </c>
    </row>
    <row r="1035" spans="1:25" hidden="1" x14ac:dyDescent="0.25">
      <c r="A1035">
        <v>464</v>
      </c>
      <c r="B1035" t="s">
        <v>3916</v>
      </c>
      <c r="C1035" t="s">
        <v>1936</v>
      </c>
      <c r="D1035" t="s">
        <v>3917</v>
      </c>
      <c r="F1035">
        <v>358</v>
      </c>
      <c r="G1035">
        <v>65</v>
      </c>
      <c r="H1035" t="s">
        <v>662</v>
      </c>
      <c r="I1035" t="s">
        <v>2271</v>
      </c>
      <c r="J1035">
        <v>500000</v>
      </c>
      <c r="K1035">
        <v>2025</v>
      </c>
      <c r="L1035">
        <v>71389585</v>
      </c>
      <c r="M1035" t="s">
        <v>3925</v>
      </c>
      <c r="N1035" t="s">
        <v>1688</v>
      </c>
      <c r="O1035" t="s">
        <v>1686</v>
      </c>
      <c r="P1035">
        <v>0</v>
      </c>
      <c r="Q1035">
        <v>500000</v>
      </c>
      <c r="R1035">
        <v>0</v>
      </c>
      <c r="S1035">
        <v>0</v>
      </c>
      <c r="T1035" t="str">
        <f t="shared" si="32"/>
        <v>4642.43.4302.85.0-205128.2.3.3.08.06.</v>
      </c>
      <c r="U1035" t="e" cm="1">
        <f t="array" aca="1" ref="U1035" ca="1">+IF(COMPROMISOS_2025[[#This Row],[P]]="20","41080111",_xlfn.XLOOKUP(COMPROMISOS_2025[[#This Row],[concatenado]],PAA[[#All],[RCP-RUBRO]],PAA[[#All],[INDICADOR]],"",0))</f>
        <v>#NAME?</v>
      </c>
      <c r="V1035" s="144" t="str">
        <f t="shared" si="33"/>
        <v>85</v>
      </c>
      <c r="W1035" s="136">
        <f>+COMPROMISOS_2025[[#This Row],[valor_total]]-COMPROMISOS_2025[[#This Row],[total_cancelado]]</f>
        <v>500000</v>
      </c>
      <c r="X1035" s="136">
        <f>COMPROMISOS_2025[[#This Row],[total_ordenes]]</f>
        <v>500000</v>
      </c>
      <c r="Y1035" t="str" cm="1">
        <f t="array" aca="1" ref="Y1035" ca="1">IFERROR(_xlfn.XLOOKUP(COMPROMISOS_2025[[#This Row],[concatenado]],PAA[[#All],[RCP-RUBRO]],PAA[[#All],[Actividad3]],VLOOKUP(COMPROMISOS_2025[[#This Row],[Indicador Principal]],$AC$2:$AD$17,2,0),0),"")</f>
        <v/>
      </c>
    </row>
    <row r="1036" spans="1:25" hidden="1" x14ac:dyDescent="0.25">
      <c r="A1036">
        <v>465</v>
      </c>
      <c r="B1036" t="s">
        <v>3916</v>
      </c>
      <c r="C1036" t="s">
        <v>1936</v>
      </c>
      <c r="D1036" t="s">
        <v>3917</v>
      </c>
      <c r="F1036">
        <v>358</v>
      </c>
      <c r="G1036">
        <v>65</v>
      </c>
      <c r="H1036" t="s">
        <v>662</v>
      </c>
      <c r="I1036" t="s">
        <v>2271</v>
      </c>
      <c r="J1036">
        <v>500000</v>
      </c>
      <c r="K1036">
        <v>2025</v>
      </c>
      <c r="L1036">
        <v>71759760</v>
      </c>
      <c r="M1036" t="s">
        <v>3926</v>
      </c>
      <c r="N1036" t="s">
        <v>1688</v>
      </c>
      <c r="O1036" t="s">
        <v>1686</v>
      </c>
      <c r="P1036">
        <v>0</v>
      </c>
      <c r="Q1036">
        <v>500000</v>
      </c>
      <c r="R1036">
        <v>0</v>
      </c>
      <c r="S1036">
        <v>0</v>
      </c>
      <c r="T1036" t="str">
        <f t="shared" si="32"/>
        <v>4652.43.4302.85.0-205128.2.3.3.08.06.</v>
      </c>
      <c r="U1036" t="e" cm="1">
        <f t="array" aca="1" ref="U1036" ca="1">+IF(COMPROMISOS_2025[[#This Row],[P]]="20","41080111",_xlfn.XLOOKUP(COMPROMISOS_2025[[#This Row],[concatenado]],PAA[[#All],[RCP-RUBRO]],PAA[[#All],[INDICADOR]],"",0))</f>
        <v>#NAME?</v>
      </c>
      <c r="V1036" s="144" t="str">
        <f t="shared" si="33"/>
        <v>85</v>
      </c>
      <c r="W1036" s="136">
        <f>+COMPROMISOS_2025[[#This Row],[valor_total]]-COMPROMISOS_2025[[#This Row],[total_cancelado]]</f>
        <v>500000</v>
      </c>
      <c r="X1036" s="136">
        <f>COMPROMISOS_2025[[#This Row],[total_ordenes]]</f>
        <v>500000</v>
      </c>
      <c r="Y1036" t="str" cm="1">
        <f t="array" aca="1" ref="Y1036" ca="1">IFERROR(_xlfn.XLOOKUP(COMPROMISOS_2025[[#This Row],[concatenado]],PAA[[#All],[RCP-RUBRO]],PAA[[#All],[Actividad3]],VLOOKUP(COMPROMISOS_2025[[#This Row],[Indicador Principal]],$AC$2:$AD$17,2,0),0),"")</f>
        <v/>
      </c>
    </row>
    <row r="1037" spans="1:25" hidden="1" x14ac:dyDescent="0.25">
      <c r="A1037">
        <v>466</v>
      </c>
      <c r="B1037" t="s">
        <v>3916</v>
      </c>
      <c r="C1037" t="s">
        <v>1936</v>
      </c>
      <c r="D1037" t="s">
        <v>3917</v>
      </c>
      <c r="F1037">
        <v>358</v>
      </c>
      <c r="G1037">
        <v>65</v>
      </c>
      <c r="H1037" t="s">
        <v>662</v>
      </c>
      <c r="I1037" t="s">
        <v>2271</v>
      </c>
      <c r="J1037">
        <v>500000</v>
      </c>
      <c r="K1037">
        <v>2025</v>
      </c>
      <c r="L1037">
        <v>98603973</v>
      </c>
      <c r="M1037" t="s">
        <v>3927</v>
      </c>
      <c r="N1037" t="s">
        <v>1688</v>
      </c>
      <c r="O1037" t="s">
        <v>1686</v>
      </c>
      <c r="P1037">
        <v>0</v>
      </c>
      <c r="Q1037">
        <v>500000</v>
      </c>
      <c r="R1037">
        <v>0</v>
      </c>
      <c r="S1037">
        <v>0</v>
      </c>
      <c r="T1037" t="str">
        <f t="shared" si="32"/>
        <v>4662.43.4302.85.0-205128.2.3.3.08.06.</v>
      </c>
      <c r="U1037" t="e" cm="1">
        <f t="array" aca="1" ref="U1037" ca="1">+IF(COMPROMISOS_2025[[#This Row],[P]]="20","41080111",_xlfn.XLOOKUP(COMPROMISOS_2025[[#This Row],[concatenado]],PAA[[#All],[RCP-RUBRO]],PAA[[#All],[INDICADOR]],"",0))</f>
        <v>#NAME?</v>
      </c>
      <c r="V1037" s="144" t="str">
        <f t="shared" si="33"/>
        <v>85</v>
      </c>
      <c r="W1037" s="136">
        <f>+COMPROMISOS_2025[[#This Row],[valor_total]]-COMPROMISOS_2025[[#This Row],[total_cancelado]]</f>
        <v>500000</v>
      </c>
      <c r="X1037" s="136">
        <f>COMPROMISOS_2025[[#This Row],[total_ordenes]]</f>
        <v>500000</v>
      </c>
      <c r="Y1037" t="str" cm="1">
        <f t="array" aca="1" ref="Y1037" ca="1">IFERROR(_xlfn.XLOOKUP(COMPROMISOS_2025[[#This Row],[concatenado]],PAA[[#All],[RCP-RUBRO]],PAA[[#All],[Actividad3]],VLOOKUP(COMPROMISOS_2025[[#This Row],[Indicador Principal]],$AC$2:$AD$17,2,0),0),"")</f>
        <v/>
      </c>
    </row>
    <row r="1038" spans="1:25" hidden="1" x14ac:dyDescent="0.25">
      <c r="A1038">
        <v>467</v>
      </c>
      <c r="B1038" t="s">
        <v>3916</v>
      </c>
      <c r="C1038" t="s">
        <v>1936</v>
      </c>
      <c r="D1038" t="s">
        <v>3917</v>
      </c>
      <c r="F1038">
        <v>358</v>
      </c>
      <c r="G1038">
        <v>65</v>
      </c>
      <c r="H1038" t="s">
        <v>662</v>
      </c>
      <c r="I1038" t="s">
        <v>2271</v>
      </c>
      <c r="J1038">
        <v>500000</v>
      </c>
      <c r="K1038">
        <v>2025</v>
      </c>
      <c r="L1038">
        <v>1000085770</v>
      </c>
      <c r="M1038" t="s">
        <v>3928</v>
      </c>
      <c r="N1038" t="s">
        <v>1688</v>
      </c>
      <c r="O1038" t="s">
        <v>1686</v>
      </c>
      <c r="P1038">
        <v>0</v>
      </c>
      <c r="Q1038">
        <v>500000</v>
      </c>
      <c r="R1038">
        <v>0</v>
      </c>
      <c r="S1038">
        <v>0</v>
      </c>
      <c r="T1038" t="str">
        <f t="shared" si="32"/>
        <v>4672.43.4302.85.0-205128.2.3.3.08.06.</v>
      </c>
      <c r="U1038" t="e" cm="1">
        <f t="array" aca="1" ref="U1038" ca="1">+IF(COMPROMISOS_2025[[#This Row],[P]]="20","41080111",_xlfn.XLOOKUP(COMPROMISOS_2025[[#This Row],[concatenado]],PAA[[#All],[RCP-RUBRO]],PAA[[#All],[INDICADOR]],"",0))</f>
        <v>#NAME?</v>
      </c>
      <c r="V1038" s="144" t="str">
        <f t="shared" si="33"/>
        <v>85</v>
      </c>
      <c r="W1038" s="136">
        <f>+COMPROMISOS_2025[[#This Row],[valor_total]]-COMPROMISOS_2025[[#This Row],[total_cancelado]]</f>
        <v>500000</v>
      </c>
      <c r="X1038" s="136">
        <f>COMPROMISOS_2025[[#This Row],[total_ordenes]]</f>
        <v>500000</v>
      </c>
      <c r="Y1038" t="str" cm="1">
        <f t="array" aca="1" ref="Y1038" ca="1">IFERROR(_xlfn.XLOOKUP(COMPROMISOS_2025[[#This Row],[concatenado]],PAA[[#All],[RCP-RUBRO]],PAA[[#All],[Actividad3]],VLOOKUP(COMPROMISOS_2025[[#This Row],[Indicador Principal]],$AC$2:$AD$17,2,0),0),"")</f>
        <v/>
      </c>
    </row>
    <row r="1039" spans="1:25" hidden="1" x14ac:dyDescent="0.25">
      <c r="A1039">
        <v>468</v>
      </c>
      <c r="B1039" t="s">
        <v>3916</v>
      </c>
      <c r="C1039" t="s">
        <v>1936</v>
      </c>
      <c r="D1039" t="s">
        <v>3917</v>
      </c>
      <c r="F1039">
        <v>358</v>
      </c>
      <c r="G1039">
        <v>65</v>
      </c>
      <c r="H1039" t="s">
        <v>662</v>
      </c>
      <c r="I1039" t="s">
        <v>2271</v>
      </c>
      <c r="J1039">
        <v>500000</v>
      </c>
      <c r="K1039">
        <v>2025</v>
      </c>
      <c r="L1039">
        <v>1000087228</v>
      </c>
      <c r="M1039" t="s">
        <v>3929</v>
      </c>
      <c r="N1039" t="s">
        <v>1688</v>
      </c>
      <c r="O1039" t="s">
        <v>1686</v>
      </c>
      <c r="P1039">
        <v>0</v>
      </c>
      <c r="Q1039">
        <v>500000</v>
      </c>
      <c r="R1039">
        <v>0</v>
      </c>
      <c r="S1039">
        <v>0</v>
      </c>
      <c r="T1039" t="str">
        <f t="shared" si="32"/>
        <v>4682.43.4302.85.0-205128.2.3.3.08.06.</v>
      </c>
      <c r="U1039" t="e" cm="1">
        <f t="array" aca="1" ref="U1039" ca="1">+IF(COMPROMISOS_2025[[#This Row],[P]]="20","41080111",_xlfn.XLOOKUP(COMPROMISOS_2025[[#This Row],[concatenado]],PAA[[#All],[RCP-RUBRO]],PAA[[#All],[INDICADOR]],"",0))</f>
        <v>#NAME?</v>
      </c>
      <c r="V1039" s="144" t="str">
        <f t="shared" si="33"/>
        <v>85</v>
      </c>
      <c r="W1039" s="136">
        <f>+COMPROMISOS_2025[[#This Row],[valor_total]]-COMPROMISOS_2025[[#This Row],[total_cancelado]]</f>
        <v>500000</v>
      </c>
      <c r="X1039" s="136">
        <f>COMPROMISOS_2025[[#This Row],[total_ordenes]]</f>
        <v>500000</v>
      </c>
      <c r="Y1039" t="str" cm="1">
        <f t="array" aca="1" ref="Y1039" ca="1">IFERROR(_xlfn.XLOOKUP(COMPROMISOS_2025[[#This Row],[concatenado]],PAA[[#All],[RCP-RUBRO]],PAA[[#All],[Actividad3]],VLOOKUP(COMPROMISOS_2025[[#This Row],[Indicador Principal]],$AC$2:$AD$17,2,0),0),"")</f>
        <v/>
      </c>
    </row>
    <row r="1040" spans="1:25" hidden="1" x14ac:dyDescent="0.25">
      <c r="A1040">
        <v>469</v>
      </c>
      <c r="B1040" t="s">
        <v>3916</v>
      </c>
      <c r="C1040" t="s">
        <v>1936</v>
      </c>
      <c r="D1040" t="s">
        <v>3917</v>
      </c>
      <c r="F1040">
        <v>358</v>
      </c>
      <c r="G1040">
        <v>65</v>
      </c>
      <c r="H1040" t="s">
        <v>662</v>
      </c>
      <c r="I1040" t="s">
        <v>2271</v>
      </c>
      <c r="J1040">
        <v>500000</v>
      </c>
      <c r="K1040">
        <v>2025</v>
      </c>
      <c r="L1040">
        <v>1000090494</v>
      </c>
      <c r="M1040" t="s">
        <v>3585</v>
      </c>
      <c r="N1040" t="s">
        <v>1688</v>
      </c>
      <c r="O1040" t="s">
        <v>1686</v>
      </c>
      <c r="P1040">
        <v>0</v>
      </c>
      <c r="Q1040">
        <v>500000</v>
      </c>
      <c r="R1040">
        <v>0</v>
      </c>
      <c r="S1040">
        <v>0</v>
      </c>
      <c r="T1040" t="str">
        <f t="shared" si="32"/>
        <v>4692.43.4302.85.0-205128.2.3.3.08.06.</v>
      </c>
      <c r="U1040" t="e" cm="1">
        <f t="array" aca="1" ref="U1040" ca="1">+IF(COMPROMISOS_2025[[#This Row],[P]]="20","41080111",_xlfn.XLOOKUP(COMPROMISOS_2025[[#This Row],[concatenado]],PAA[[#All],[RCP-RUBRO]],PAA[[#All],[INDICADOR]],"",0))</f>
        <v>#NAME?</v>
      </c>
      <c r="V1040" s="144" t="str">
        <f t="shared" si="33"/>
        <v>85</v>
      </c>
      <c r="W1040" s="136">
        <f>+COMPROMISOS_2025[[#This Row],[valor_total]]-COMPROMISOS_2025[[#This Row],[total_cancelado]]</f>
        <v>500000</v>
      </c>
      <c r="X1040" s="136">
        <f>COMPROMISOS_2025[[#This Row],[total_ordenes]]</f>
        <v>500000</v>
      </c>
      <c r="Y1040" t="str" cm="1">
        <f t="array" aca="1" ref="Y1040" ca="1">IFERROR(_xlfn.XLOOKUP(COMPROMISOS_2025[[#This Row],[concatenado]],PAA[[#All],[RCP-RUBRO]],PAA[[#All],[Actividad3]],VLOOKUP(COMPROMISOS_2025[[#This Row],[Indicador Principal]],$AC$2:$AD$17,2,0),0),"")</f>
        <v/>
      </c>
    </row>
    <row r="1041" spans="1:25" hidden="1" x14ac:dyDescent="0.25">
      <c r="A1041">
        <v>470</v>
      </c>
      <c r="B1041" t="s">
        <v>3916</v>
      </c>
      <c r="C1041" t="s">
        <v>1936</v>
      </c>
      <c r="D1041" t="s">
        <v>3917</v>
      </c>
      <c r="F1041">
        <v>358</v>
      </c>
      <c r="G1041">
        <v>65</v>
      </c>
      <c r="H1041" t="s">
        <v>662</v>
      </c>
      <c r="I1041" t="s">
        <v>2271</v>
      </c>
      <c r="J1041">
        <v>500000</v>
      </c>
      <c r="K1041">
        <v>2025</v>
      </c>
      <c r="L1041">
        <v>1000188667</v>
      </c>
      <c r="M1041" t="s">
        <v>3930</v>
      </c>
      <c r="N1041" t="s">
        <v>1688</v>
      </c>
      <c r="O1041" t="s">
        <v>1686</v>
      </c>
      <c r="P1041">
        <v>0</v>
      </c>
      <c r="Q1041">
        <v>500000</v>
      </c>
      <c r="R1041">
        <v>0</v>
      </c>
      <c r="S1041">
        <v>0</v>
      </c>
      <c r="T1041" t="str">
        <f t="shared" si="32"/>
        <v>4702.43.4302.85.0-205128.2.3.3.08.06.</v>
      </c>
      <c r="U1041" t="e" cm="1">
        <f t="array" aca="1" ref="U1041" ca="1">+IF(COMPROMISOS_2025[[#This Row],[P]]="20","41080111",_xlfn.XLOOKUP(COMPROMISOS_2025[[#This Row],[concatenado]],PAA[[#All],[RCP-RUBRO]],PAA[[#All],[INDICADOR]],"",0))</f>
        <v>#NAME?</v>
      </c>
      <c r="V1041" s="144" t="str">
        <f t="shared" si="33"/>
        <v>85</v>
      </c>
      <c r="W1041" s="136">
        <f>+COMPROMISOS_2025[[#This Row],[valor_total]]-COMPROMISOS_2025[[#This Row],[total_cancelado]]</f>
        <v>500000</v>
      </c>
      <c r="X1041" s="136">
        <f>COMPROMISOS_2025[[#This Row],[total_ordenes]]</f>
        <v>500000</v>
      </c>
      <c r="Y1041" t="str" cm="1">
        <f t="array" aca="1" ref="Y1041" ca="1">IFERROR(_xlfn.XLOOKUP(COMPROMISOS_2025[[#This Row],[concatenado]],PAA[[#All],[RCP-RUBRO]],PAA[[#All],[Actividad3]],VLOOKUP(COMPROMISOS_2025[[#This Row],[Indicador Principal]],$AC$2:$AD$17,2,0),0),"")</f>
        <v/>
      </c>
    </row>
    <row r="1042" spans="1:25" hidden="1" x14ac:dyDescent="0.25">
      <c r="A1042">
        <v>471</v>
      </c>
      <c r="B1042" t="s">
        <v>3916</v>
      </c>
      <c r="C1042" t="s">
        <v>1936</v>
      </c>
      <c r="D1042" t="s">
        <v>3917</v>
      </c>
      <c r="F1042">
        <v>358</v>
      </c>
      <c r="G1042">
        <v>65</v>
      </c>
      <c r="H1042" t="s">
        <v>662</v>
      </c>
      <c r="I1042" t="s">
        <v>2271</v>
      </c>
      <c r="J1042">
        <v>500000</v>
      </c>
      <c r="K1042">
        <v>2025</v>
      </c>
      <c r="L1042">
        <v>1000188912</v>
      </c>
      <c r="M1042" t="s">
        <v>3931</v>
      </c>
      <c r="N1042" t="s">
        <v>1688</v>
      </c>
      <c r="O1042" t="s">
        <v>1686</v>
      </c>
      <c r="P1042">
        <v>0</v>
      </c>
      <c r="Q1042">
        <v>500000</v>
      </c>
      <c r="R1042">
        <v>0</v>
      </c>
      <c r="S1042">
        <v>0</v>
      </c>
      <c r="T1042" t="str">
        <f t="shared" si="32"/>
        <v>4712.43.4302.85.0-205128.2.3.3.08.06.</v>
      </c>
      <c r="U1042" t="e" cm="1">
        <f t="array" aca="1" ref="U1042" ca="1">+IF(COMPROMISOS_2025[[#This Row],[P]]="20","41080111",_xlfn.XLOOKUP(COMPROMISOS_2025[[#This Row],[concatenado]],PAA[[#All],[RCP-RUBRO]],PAA[[#All],[INDICADOR]],"",0))</f>
        <v>#NAME?</v>
      </c>
      <c r="V1042" s="144" t="str">
        <f t="shared" si="33"/>
        <v>85</v>
      </c>
      <c r="W1042" s="136">
        <f>+COMPROMISOS_2025[[#This Row],[valor_total]]-COMPROMISOS_2025[[#This Row],[total_cancelado]]</f>
        <v>500000</v>
      </c>
      <c r="X1042" s="136">
        <f>COMPROMISOS_2025[[#This Row],[total_ordenes]]</f>
        <v>500000</v>
      </c>
      <c r="Y1042" t="str" cm="1">
        <f t="array" aca="1" ref="Y1042" ca="1">IFERROR(_xlfn.XLOOKUP(COMPROMISOS_2025[[#This Row],[concatenado]],PAA[[#All],[RCP-RUBRO]],PAA[[#All],[Actividad3]],VLOOKUP(COMPROMISOS_2025[[#This Row],[Indicador Principal]],$AC$2:$AD$17,2,0),0),"")</f>
        <v/>
      </c>
    </row>
    <row r="1043" spans="1:25" hidden="1" x14ac:dyDescent="0.25">
      <c r="A1043">
        <v>472</v>
      </c>
      <c r="B1043" t="s">
        <v>3916</v>
      </c>
      <c r="C1043" t="s">
        <v>1936</v>
      </c>
      <c r="D1043" t="s">
        <v>3917</v>
      </c>
      <c r="F1043">
        <v>358</v>
      </c>
      <c r="G1043">
        <v>65</v>
      </c>
      <c r="H1043" t="s">
        <v>662</v>
      </c>
      <c r="I1043" t="s">
        <v>2271</v>
      </c>
      <c r="J1043">
        <v>500000</v>
      </c>
      <c r="K1043">
        <v>2025</v>
      </c>
      <c r="L1043">
        <v>1000293305</v>
      </c>
      <c r="M1043" t="s">
        <v>3932</v>
      </c>
      <c r="N1043" t="s">
        <v>1688</v>
      </c>
      <c r="O1043" t="s">
        <v>1686</v>
      </c>
      <c r="P1043">
        <v>0</v>
      </c>
      <c r="Q1043">
        <v>500000</v>
      </c>
      <c r="R1043">
        <v>0</v>
      </c>
      <c r="S1043">
        <v>0</v>
      </c>
      <c r="T1043" t="str">
        <f t="shared" si="32"/>
        <v>4722.43.4302.85.0-205128.2.3.3.08.06.</v>
      </c>
      <c r="U1043" t="e" cm="1">
        <f t="array" aca="1" ref="U1043" ca="1">+IF(COMPROMISOS_2025[[#This Row],[P]]="20","41080111",_xlfn.XLOOKUP(COMPROMISOS_2025[[#This Row],[concatenado]],PAA[[#All],[RCP-RUBRO]],PAA[[#All],[INDICADOR]],"",0))</f>
        <v>#NAME?</v>
      </c>
      <c r="V1043" s="144" t="str">
        <f t="shared" si="33"/>
        <v>85</v>
      </c>
      <c r="W1043" s="136">
        <f>+COMPROMISOS_2025[[#This Row],[valor_total]]-COMPROMISOS_2025[[#This Row],[total_cancelado]]</f>
        <v>500000</v>
      </c>
      <c r="X1043" s="136">
        <f>COMPROMISOS_2025[[#This Row],[total_ordenes]]</f>
        <v>500000</v>
      </c>
      <c r="Y1043" t="str" cm="1">
        <f t="array" aca="1" ref="Y1043" ca="1">IFERROR(_xlfn.XLOOKUP(COMPROMISOS_2025[[#This Row],[concatenado]],PAA[[#All],[RCP-RUBRO]],PAA[[#All],[Actividad3]],VLOOKUP(COMPROMISOS_2025[[#This Row],[Indicador Principal]],$AC$2:$AD$17,2,0),0),"")</f>
        <v/>
      </c>
    </row>
    <row r="1044" spans="1:25" hidden="1" x14ac:dyDescent="0.25">
      <c r="A1044">
        <v>473</v>
      </c>
      <c r="B1044" t="s">
        <v>3916</v>
      </c>
      <c r="C1044" t="s">
        <v>1936</v>
      </c>
      <c r="D1044" t="s">
        <v>3917</v>
      </c>
      <c r="F1044">
        <v>358</v>
      </c>
      <c r="G1044">
        <v>65</v>
      </c>
      <c r="H1044" t="s">
        <v>662</v>
      </c>
      <c r="I1044" t="s">
        <v>2271</v>
      </c>
      <c r="J1044">
        <v>1300000</v>
      </c>
      <c r="K1044">
        <v>2025</v>
      </c>
      <c r="L1044">
        <v>1000295491</v>
      </c>
      <c r="M1044" t="s">
        <v>3586</v>
      </c>
      <c r="N1044" t="s">
        <v>1688</v>
      </c>
      <c r="O1044" t="s">
        <v>1686</v>
      </c>
      <c r="P1044">
        <v>0</v>
      </c>
      <c r="Q1044">
        <v>1300000</v>
      </c>
      <c r="R1044">
        <v>0</v>
      </c>
      <c r="S1044">
        <v>0</v>
      </c>
      <c r="T1044" t="str">
        <f t="shared" si="32"/>
        <v>4732.43.4302.85.0-205128.2.3.3.08.06.</v>
      </c>
      <c r="U1044" t="e" cm="1">
        <f t="array" aca="1" ref="U1044" ca="1">+IF(COMPROMISOS_2025[[#This Row],[P]]="20","41080111",_xlfn.XLOOKUP(COMPROMISOS_2025[[#This Row],[concatenado]],PAA[[#All],[RCP-RUBRO]],PAA[[#All],[INDICADOR]],"",0))</f>
        <v>#NAME?</v>
      </c>
      <c r="V1044" s="144" t="str">
        <f t="shared" si="33"/>
        <v>85</v>
      </c>
      <c r="W1044" s="136">
        <f>+COMPROMISOS_2025[[#This Row],[valor_total]]-COMPROMISOS_2025[[#This Row],[total_cancelado]]</f>
        <v>1300000</v>
      </c>
      <c r="X1044" s="136">
        <f>COMPROMISOS_2025[[#This Row],[total_ordenes]]</f>
        <v>1300000</v>
      </c>
      <c r="Y1044" t="str" cm="1">
        <f t="array" aca="1" ref="Y1044" ca="1">IFERROR(_xlfn.XLOOKUP(COMPROMISOS_2025[[#This Row],[concatenado]],PAA[[#All],[RCP-RUBRO]],PAA[[#All],[Actividad3]],VLOOKUP(COMPROMISOS_2025[[#This Row],[Indicador Principal]],$AC$2:$AD$17,2,0),0),"")</f>
        <v/>
      </c>
    </row>
    <row r="1045" spans="1:25" hidden="1" x14ac:dyDescent="0.25">
      <c r="A1045">
        <v>474</v>
      </c>
      <c r="B1045" t="s">
        <v>3916</v>
      </c>
      <c r="C1045" t="s">
        <v>1936</v>
      </c>
      <c r="D1045" t="s">
        <v>3917</v>
      </c>
      <c r="F1045">
        <v>358</v>
      </c>
      <c r="G1045">
        <v>65</v>
      </c>
      <c r="H1045" t="s">
        <v>662</v>
      </c>
      <c r="I1045" t="s">
        <v>2271</v>
      </c>
      <c r="J1045">
        <v>1300000</v>
      </c>
      <c r="K1045">
        <v>2025</v>
      </c>
      <c r="L1045">
        <v>1000393173</v>
      </c>
      <c r="M1045" t="s">
        <v>3933</v>
      </c>
      <c r="N1045" t="s">
        <v>1688</v>
      </c>
      <c r="O1045" t="s">
        <v>1686</v>
      </c>
      <c r="P1045">
        <v>0</v>
      </c>
      <c r="Q1045">
        <v>1300000</v>
      </c>
      <c r="R1045">
        <v>0</v>
      </c>
      <c r="S1045">
        <v>0</v>
      </c>
      <c r="T1045" t="str">
        <f t="shared" si="32"/>
        <v>4742.43.4302.85.0-205128.2.3.3.08.06.</v>
      </c>
      <c r="U1045" t="e" cm="1">
        <f t="array" aca="1" ref="U1045" ca="1">+IF(COMPROMISOS_2025[[#This Row],[P]]="20","41080111",_xlfn.XLOOKUP(COMPROMISOS_2025[[#This Row],[concatenado]],PAA[[#All],[RCP-RUBRO]],PAA[[#All],[INDICADOR]],"",0))</f>
        <v>#NAME?</v>
      </c>
      <c r="V1045" s="144" t="str">
        <f t="shared" si="33"/>
        <v>85</v>
      </c>
      <c r="W1045" s="136">
        <f>+COMPROMISOS_2025[[#This Row],[valor_total]]-COMPROMISOS_2025[[#This Row],[total_cancelado]]</f>
        <v>1300000</v>
      </c>
      <c r="X1045" s="136">
        <f>COMPROMISOS_2025[[#This Row],[total_ordenes]]</f>
        <v>1300000</v>
      </c>
      <c r="Y1045" t="str" cm="1">
        <f t="array" aca="1" ref="Y1045" ca="1">IFERROR(_xlfn.XLOOKUP(COMPROMISOS_2025[[#This Row],[concatenado]],PAA[[#All],[RCP-RUBRO]],PAA[[#All],[Actividad3]],VLOOKUP(COMPROMISOS_2025[[#This Row],[Indicador Principal]],$AC$2:$AD$17,2,0),0),"")</f>
        <v/>
      </c>
    </row>
    <row r="1046" spans="1:25" hidden="1" x14ac:dyDescent="0.25">
      <c r="A1046">
        <v>475</v>
      </c>
      <c r="B1046" t="s">
        <v>3916</v>
      </c>
      <c r="C1046" t="s">
        <v>1936</v>
      </c>
      <c r="D1046" t="s">
        <v>3917</v>
      </c>
      <c r="F1046">
        <v>358</v>
      </c>
      <c r="G1046">
        <v>65</v>
      </c>
      <c r="H1046" t="s">
        <v>662</v>
      </c>
      <c r="I1046" t="s">
        <v>2271</v>
      </c>
      <c r="J1046">
        <v>500000</v>
      </c>
      <c r="K1046">
        <v>2025</v>
      </c>
      <c r="L1046">
        <v>1000410188</v>
      </c>
      <c r="M1046" t="s">
        <v>3934</v>
      </c>
      <c r="N1046" t="s">
        <v>1688</v>
      </c>
      <c r="O1046" t="s">
        <v>1686</v>
      </c>
      <c r="P1046">
        <v>0</v>
      </c>
      <c r="Q1046">
        <v>500000</v>
      </c>
      <c r="R1046">
        <v>0</v>
      </c>
      <c r="S1046">
        <v>0</v>
      </c>
      <c r="T1046" t="str">
        <f t="shared" si="32"/>
        <v>4752.43.4302.85.0-205128.2.3.3.08.06.</v>
      </c>
      <c r="U1046" t="e" cm="1">
        <f t="array" aca="1" ref="U1046" ca="1">+IF(COMPROMISOS_2025[[#This Row],[P]]="20","41080111",_xlfn.XLOOKUP(COMPROMISOS_2025[[#This Row],[concatenado]],PAA[[#All],[RCP-RUBRO]],PAA[[#All],[INDICADOR]],"",0))</f>
        <v>#NAME?</v>
      </c>
      <c r="V1046" s="144" t="str">
        <f t="shared" si="33"/>
        <v>85</v>
      </c>
      <c r="W1046" s="136">
        <f>+COMPROMISOS_2025[[#This Row],[valor_total]]-COMPROMISOS_2025[[#This Row],[total_cancelado]]</f>
        <v>500000</v>
      </c>
      <c r="X1046" s="136">
        <f>COMPROMISOS_2025[[#This Row],[total_ordenes]]</f>
        <v>500000</v>
      </c>
      <c r="Y1046" t="str" cm="1">
        <f t="array" aca="1" ref="Y1046" ca="1">IFERROR(_xlfn.XLOOKUP(COMPROMISOS_2025[[#This Row],[concatenado]],PAA[[#All],[RCP-RUBRO]],PAA[[#All],[Actividad3]],VLOOKUP(COMPROMISOS_2025[[#This Row],[Indicador Principal]],$AC$2:$AD$17,2,0),0),"")</f>
        <v/>
      </c>
    </row>
    <row r="1047" spans="1:25" hidden="1" x14ac:dyDescent="0.25">
      <c r="A1047">
        <v>476</v>
      </c>
      <c r="B1047" t="s">
        <v>3916</v>
      </c>
      <c r="C1047" t="s">
        <v>1936</v>
      </c>
      <c r="D1047" t="s">
        <v>3917</v>
      </c>
      <c r="F1047">
        <v>358</v>
      </c>
      <c r="G1047">
        <v>65</v>
      </c>
      <c r="H1047" t="s">
        <v>662</v>
      </c>
      <c r="I1047" t="s">
        <v>2271</v>
      </c>
      <c r="J1047">
        <v>500000</v>
      </c>
      <c r="K1047">
        <v>2025</v>
      </c>
      <c r="L1047">
        <v>1000412615</v>
      </c>
      <c r="M1047" t="s">
        <v>3935</v>
      </c>
      <c r="N1047" t="s">
        <v>1688</v>
      </c>
      <c r="O1047" t="s">
        <v>1686</v>
      </c>
      <c r="P1047">
        <v>0</v>
      </c>
      <c r="Q1047">
        <v>500000</v>
      </c>
      <c r="R1047">
        <v>0</v>
      </c>
      <c r="S1047">
        <v>0</v>
      </c>
      <c r="T1047" t="str">
        <f t="shared" si="32"/>
        <v>4762.43.4302.85.0-205128.2.3.3.08.06.</v>
      </c>
      <c r="U1047" t="e" cm="1">
        <f t="array" aca="1" ref="U1047" ca="1">+IF(COMPROMISOS_2025[[#This Row],[P]]="20","41080111",_xlfn.XLOOKUP(COMPROMISOS_2025[[#This Row],[concatenado]],PAA[[#All],[RCP-RUBRO]],PAA[[#All],[INDICADOR]],"",0))</f>
        <v>#NAME?</v>
      </c>
      <c r="V1047" s="144" t="str">
        <f t="shared" si="33"/>
        <v>85</v>
      </c>
      <c r="W1047" s="136">
        <f>+COMPROMISOS_2025[[#This Row],[valor_total]]-COMPROMISOS_2025[[#This Row],[total_cancelado]]</f>
        <v>500000</v>
      </c>
      <c r="X1047" s="136">
        <f>COMPROMISOS_2025[[#This Row],[total_ordenes]]</f>
        <v>500000</v>
      </c>
      <c r="Y1047" t="str" cm="1">
        <f t="array" aca="1" ref="Y1047" ca="1">IFERROR(_xlfn.XLOOKUP(COMPROMISOS_2025[[#This Row],[concatenado]],PAA[[#All],[RCP-RUBRO]],PAA[[#All],[Actividad3]],VLOOKUP(COMPROMISOS_2025[[#This Row],[Indicador Principal]],$AC$2:$AD$17,2,0),0),"")</f>
        <v/>
      </c>
    </row>
    <row r="1048" spans="1:25" hidden="1" x14ac:dyDescent="0.25">
      <c r="A1048">
        <v>477</v>
      </c>
      <c r="B1048" t="s">
        <v>3916</v>
      </c>
      <c r="C1048" t="s">
        <v>1936</v>
      </c>
      <c r="D1048" t="s">
        <v>3917</v>
      </c>
      <c r="F1048">
        <v>358</v>
      </c>
      <c r="G1048">
        <v>65</v>
      </c>
      <c r="H1048" t="s">
        <v>662</v>
      </c>
      <c r="I1048" t="s">
        <v>2271</v>
      </c>
      <c r="J1048">
        <v>500000</v>
      </c>
      <c r="K1048">
        <v>2025</v>
      </c>
      <c r="L1048">
        <v>1000415670</v>
      </c>
      <c r="M1048" t="s">
        <v>3936</v>
      </c>
      <c r="N1048" t="s">
        <v>1688</v>
      </c>
      <c r="O1048" t="s">
        <v>1686</v>
      </c>
      <c r="P1048">
        <v>0</v>
      </c>
      <c r="Q1048">
        <v>500000</v>
      </c>
      <c r="R1048">
        <v>0</v>
      </c>
      <c r="S1048">
        <v>0</v>
      </c>
      <c r="T1048" t="str">
        <f t="shared" si="32"/>
        <v>4772.43.4302.85.0-205128.2.3.3.08.06.</v>
      </c>
      <c r="U1048" t="e" cm="1">
        <f t="array" aca="1" ref="U1048" ca="1">+IF(COMPROMISOS_2025[[#This Row],[P]]="20","41080111",_xlfn.XLOOKUP(COMPROMISOS_2025[[#This Row],[concatenado]],PAA[[#All],[RCP-RUBRO]],PAA[[#All],[INDICADOR]],"",0))</f>
        <v>#NAME?</v>
      </c>
      <c r="V1048" s="144" t="str">
        <f t="shared" si="33"/>
        <v>85</v>
      </c>
      <c r="W1048" s="136">
        <f>+COMPROMISOS_2025[[#This Row],[valor_total]]-COMPROMISOS_2025[[#This Row],[total_cancelado]]</f>
        <v>500000</v>
      </c>
      <c r="X1048" s="136">
        <f>COMPROMISOS_2025[[#This Row],[total_ordenes]]</f>
        <v>500000</v>
      </c>
      <c r="Y1048" t="str" cm="1">
        <f t="array" aca="1" ref="Y1048" ca="1">IFERROR(_xlfn.XLOOKUP(COMPROMISOS_2025[[#This Row],[concatenado]],PAA[[#All],[RCP-RUBRO]],PAA[[#All],[Actividad3]],VLOOKUP(COMPROMISOS_2025[[#This Row],[Indicador Principal]],$AC$2:$AD$17,2,0),0),"")</f>
        <v/>
      </c>
    </row>
    <row r="1049" spans="1:25" hidden="1" x14ac:dyDescent="0.25">
      <c r="A1049">
        <v>478</v>
      </c>
      <c r="B1049" t="s">
        <v>3916</v>
      </c>
      <c r="C1049" t="s">
        <v>1936</v>
      </c>
      <c r="D1049" t="s">
        <v>3917</v>
      </c>
      <c r="F1049">
        <v>358</v>
      </c>
      <c r="G1049">
        <v>65</v>
      </c>
      <c r="H1049" t="s">
        <v>662</v>
      </c>
      <c r="I1049" t="s">
        <v>2271</v>
      </c>
      <c r="J1049">
        <v>500000</v>
      </c>
      <c r="K1049">
        <v>2025</v>
      </c>
      <c r="L1049">
        <v>1000532655</v>
      </c>
      <c r="M1049" t="s">
        <v>3937</v>
      </c>
      <c r="N1049" t="s">
        <v>1688</v>
      </c>
      <c r="O1049" t="s">
        <v>1686</v>
      </c>
      <c r="P1049">
        <v>0</v>
      </c>
      <c r="Q1049">
        <v>500000</v>
      </c>
      <c r="R1049">
        <v>0</v>
      </c>
      <c r="S1049">
        <v>0</v>
      </c>
      <c r="T1049" t="str">
        <f t="shared" si="32"/>
        <v>4782.43.4302.85.0-205128.2.3.3.08.06.</v>
      </c>
      <c r="U1049" t="e" cm="1">
        <f t="array" aca="1" ref="U1049" ca="1">+IF(COMPROMISOS_2025[[#This Row],[P]]="20","41080111",_xlfn.XLOOKUP(COMPROMISOS_2025[[#This Row],[concatenado]],PAA[[#All],[RCP-RUBRO]],PAA[[#All],[INDICADOR]],"",0))</f>
        <v>#NAME?</v>
      </c>
      <c r="V1049" s="144" t="str">
        <f t="shared" si="33"/>
        <v>85</v>
      </c>
      <c r="W1049" s="136">
        <f>+COMPROMISOS_2025[[#This Row],[valor_total]]-COMPROMISOS_2025[[#This Row],[total_cancelado]]</f>
        <v>500000</v>
      </c>
      <c r="X1049" s="136">
        <f>COMPROMISOS_2025[[#This Row],[total_ordenes]]</f>
        <v>500000</v>
      </c>
      <c r="Y1049" t="str" cm="1">
        <f t="array" aca="1" ref="Y1049" ca="1">IFERROR(_xlfn.XLOOKUP(COMPROMISOS_2025[[#This Row],[concatenado]],PAA[[#All],[RCP-RUBRO]],PAA[[#All],[Actividad3]],VLOOKUP(COMPROMISOS_2025[[#This Row],[Indicador Principal]],$AC$2:$AD$17,2,0),0),"")</f>
        <v/>
      </c>
    </row>
    <row r="1050" spans="1:25" hidden="1" x14ac:dyDescent="0.25">
      <c r="A1050">
        <v>479</v>
      </c>
      <c r="B1050" t="s">
        <v>3916</v>
      </c>
      <c r="C1050" t="s">
        <v>1936</v>
      </c>
      <c r="D1050" t="s">
        <v>3917</v>
      </c>
      <c r="F1050">
        <v>358</v>
      </c>
      <c r="G1050">
        <v>65</v>
      </c>
      <c r="H1050" t="s">
        <v>662</v>
      </c>
      <c r="I1050" t="s">
        <v>2271</v>
      </c>
      <c r="J1050">
        <v>500000</v>
      </c>
      <c r="K1050">
        <v>2025</v>
      </c>
      <c r="L1050">
        <v>1000536207</v>
      </c>
      <c r="M1050" t="s">
        <v>3938</v>
      </c>
      <c r="N1050" t="s">
        <v>1688</v>
      </c>
      <c r="O1050" t="s">
        <v>1686</v>
      </c>
      <c r="P1050">
        <v>0</v>
      </c>
      <c r="Q1050">
        <v>500000</v>
      </c>
      <c r="R1050">
        <v>0</v>
      </c>
      <c r="S1050">
        <v>0</v>
      </c>
      <c r="T1050" t="str">
        <f t="shared" si="32"/>
        <v>4792.43.4302.85.0-205128.2.3.3.08.06.</v>
      </c>
      <c r="U1050" t="e" cm="1">
        <f t="array" aca="1" ref="U1050" ca="1">+IF(COMPROMISOS_2025[[#This Row],[P]]="20","41080111",_xlfn.XLOOKUP(COMPROMISOS_2025[[#This Row],[concatenado]],PAA[[#All],[RCP-RUBRO]],PAA[[#All],[INDICADOR]],"",0))</f>
        <v>#NAME?</v>
      </c>
      <c r="V1050" s="144" t="str">
        <f t="shared" si="33"/>
        <v>85</v>
      </c>
      <c r="W1050" s="136">
        <f>+COMPROMISOS_2025[[#This Row],[valor_total]]-COMPROMISOS_2025[[#This Row],[total_cancelado]]</f>
        <v>500000</v>
      </c>
      <c r="X1050" s="136">
        <f>COMPROMISOS_2025[[#This Row],[total_ordenes]]</f>
        <v>500000</v>
      </c>
      <c r="Y1050" t="str" cm="1">
        <f t="array" aca="1" ref="Y1050" ca="1">IFERROR(_xlfn.XLOOKUP(COMPROMISOS_2025[[#This Row],[concatenado]],PAA[[#All],[RCP-RUBRO]],PAA[[#All],[Actividad3]],VLOOKUP(COMPROMISOS_2025[[#This Row],[Indicador Principal]],$AC$2:$AD$17,2,0),0),"")</f>
        <v/>
      </c>
    </row>
    <row r="1051" spans="1:25" hidden="1" x14ac:dyDescent="0.25">
      <c r="A1051">
        <v>480</v>
      </c>
      <c r="B1051" t="s">
        <v>3916</v>
      </c>
      <c r="C1051" t="s">
        <v>1936</v>
      </c>
      <c r="D1051" t="s">
        <v>3917</v>
      </c>
      <c r="F1051">
        <v>358</v>
      </c>
      <c r="G1051">
        <v>65</v>
      </c>
      <c r="H1051" t="s">
        <v>662</v>
      </c>
      <c r="I1051" t="s">
        <v>2271</v>
      </c>
      <c r="J1051">
        <v>500000</v>
      </c>
      <c r="K1051">
        <v>2025</v>
      </c>
      <c r="L1051">
        <v>1000537394</v>
      </c>
      <c r="M1051" t="s">
        <v>3939</v>
      </c>
      <c r="N1051" t="s">
        <v>1688</v>
      </c>
      <c r="O1051" t="s">
        <v>1686</v>
      </c>
      <c r="P1051">
        <v>0</v>
      </c>
      <c r="Q1051">
        <v>500000</v>
      </c>
      <c r="R1051">
        <v>0</v>
      </c>
      <c r="S1051">
        <v>0</v>
      </c>
      <c r="T1051" t="str">
        <f t="shared" si="32"/>
        <v>4802.43.4302.85.0-205128.2.3.3.08.06.</v>
      </c>
      <c r="U1051" t="e" cm="1">
        <f t="array" aca="1" ref="U1051" ca="1">+IF(COMPROMISOS_2025[[#This Row],[P]]="20","41080111",_xlfn.XLOOKUP(COMPROMISOS_2025[[#This Row],[concatenado]],PAA[[#All],[RCP-RUBRO]],PAA[[#All],[INDICADOR]],"",0))</f>
        <v>#NAME?</v>
      </c>
      <c r="V1051" s="144" t="str">
        <f t="shared" si="33"/>
        <v>85</v>
      </c>
      <c r="W1051" s="136">
        <f>+COMPROMISOS_2025[[#This Row],[valor_total]]-COMPROMISOS_2025[[#This Row],[total_cancelado]]</f>
        <v>500000</v>
      </c>
      <c r="X1051" s="136">
        <f>COMPROMISOS_2025[[#This Row],[total_ordenes]]</f>
        <v>500000</v>
      </c>
      <c r="Y1051" t="str" cm="1">
        <f t="array" aca="1" ref="Y1051" ca="1">IFERROR(_xlfn.XLOOKUP(COMPROMISOS_2025[[#This Row],[concatenado]],PAA[[#All],[RCP-RUBRO]],PAA[[#All],[Actividad3]],VLOOKUP(COMPROMISOS_2025[[#This Row],[Indicador Principal]],$AC$2:$AD$17,2,0),0),"")</f>
        <v/>
      </c>
    </row>
    <row r="1052" spans="1:25" hidden="1" x14ac:dyDescent="0.25">
      <c r="A1052">
        <v>481</v>
      </c>
      <c r="B1052" t="s">
        <v>3916</v>
      </c>
      <c r="C1052" t="s">
        <v>1936</v>
      </c>
      <c r="D1052" t="s">
        <v>3917</v>
      </c>
      <c r="F1052">
        <v>358</v>
      </c>
      <c r="G1052">
        <v>65</v>
      </c>
      <c r="H1052" t="s">
        <v>662</v>
      </c>
      <c r="I1052" t="s">
        <v>2271</v>
      </c>
      <c r="J1052">
        <v>500000</v>
      </c>
      <c r="K1052">
        <v>2025</v>
      </c>
      <c r="L1052">
        <v>1000566220</v>
      </c>
      <c r="M1052" t="s">
        <v>3589</v>
      </c>
      <c r="N1052" t="s">
        <v>1688</v>
      </c>
      <c r="O1052" t="s">
        <v>1686</v>
      </c>
      <c r="P1052">
        <v>0</v>
      </c>
      <c r="Q1052">
        <v>500000</v>
      </c>
      <c r="R1052">
        <v>0</v>
      </c>
      <c r="S1052">
        <v>0</v>
      </c>
      <c r="T1052" t="str">
        <f t="shared" si="32"/>
        <v>4812.43.4302.85.0-205128.2.3.3.08.06.</v>
      </c>
      <c r="U1052" t="e" cm="1">
        <f t="array" aca="1" ref="U1052" ca="1">+IF(COMPROMISOS_2025[[#This Row],[P]]="20","41080111",_xlfn.XLOOKUP(COMPROMISOS_2025[[#This Row],[concatenado]],PAA[[#All],[RCP-RUBRO]],PAA[[#All],[INDICADOR]],"",0))</f>
        <v>#NAME?</v>
      </c>
      <c r="V1052" s="144" t="str">
        <f t="shared" si="33"/>
        <v>85</v>
      </c>
      <c r="W1052" s="136">
        <f>+COMPROMISOS_2025[[#This Row],[valor_total]]-COMPROMISOS_2025[[#This Row],[total_cancelado]]</f>
        <v>500000</v>
      </c>
      <c r="X1052" s="136">
        <f>COMPROMISOS_2025[[#This Row],[total_ordenes]]</f>
        <v>500000</v>
      </c>
      <c r="Y1052" t="str" cm="1">
        <f t="array" aca="1" ref="Y1052" ca="1">IFERROR(_xlfn.XLOOKUP(COMPROMISOS_2025[[#This Row],[concatenado]],PAA[[#All],[RCP-RUBRO]],PAA[[#All],[Actividad3]],VLOOKUP(COMPROMISOS_2025[[#This Row],[Indicador Principal]],$AC$2:$AD$17,2,0),0),"")</f>
        <v/>
      </c>
    </row>
    <row r="1053" spans="1:25" hidden="1" x14ac:dyDescent="0.25">
      <c r="A1053">
        <v>482</v>
      </c>
      <c r="B1053" t="s">
        <v>3916</v>
      </c>
      <c r="C1053" t="s">
        <v>1936</v>
      </c>
      <c r="D1053" t="s">
        <v>3917</v>
      </c>
      <c r="F1053">
        <v>358</v>
      </c>
      <c r="G1053">
        <v>65</v>
      </c>
      <c r="H1053" t="s">
        <v>662</v>
      </c>
      <c r="I1053" t="s">
        <v>2271</v>
      </c>
      <c r="J1053">
        <v>1300000</v>
      </c>
      <c r="K1053">
        <v>2025</v>
      </c>
      <c r="L1053">
        <v>1000635560</v>
      </c>
      <c r="M1053" t="s">
        <v>3940</v>
      </c>
      <c r="N1053" t="s">
        <v>1688</v>
      </c>
      <c r="O1053" t="s">
        <v>1686</v>
      </c>
      <c r="P1053">
        <v>0</v>
      </c>
      <c r="Q1053">
        <v>1300000</v>
      </c>
      <c r="R1053">
        <v>0</v>
      </c>
      <c r="S1053">
        <v>0</v>
      </c>
      <c r="T1053" t="str">
        <f t="shared" si="32"/>
        <v>4822.43.4302.85.0-205128.2.3.3.08.06.</v>
      </c>
      <c r="U1053" t="e" cm="1">
        <f t="array" aca="1" ref="U1053" ca="1">+IF(COMPROMISOS_2025[[#This Row],[P]]="20","41080111",_xlfn.XLOOKUP(COMPROMISOS_2025[[#This Row],[concatenado]],PAA[[#All],[RCP-RUBRO]],PAA[[#All],[INDICADOR]],"",0))</f>
        <v>#NAME?</v>
      </c>
      <c r="V1053" s="144" t="str">
        <f t="shared" si="33"/>
        <v>85</v>
      </c>
      <c r="W1053" s="136">
        <f>+COMPROMISOS_2025[[#This Row],[valor_total]]-COMPROMISOS_2025[[#This Row],[total_cancelado]]</f>
        <v>1300000</v>
      </c>
      <c r="X1053" s="136">
        <f>COMPROMISOS_2025[[#This Row],[total_ordenes]]</f>
        <v>1300000</v>
      </c>
      <c r="Y1053" t="str" cm="1">
        <f t="array" aca="1" ref="Y1053" ca="1">IFERROR(_xlfn.XLOOKUP(COMPROMISOS_2025[[#This Row],[concatenado]],PAA[[#All],[RCP-RUBRO]],PAA[[#All],[Actividad3]],VLOOKUP(COMPROMISOS_2025[[#This Row],[Indicador Principal]],$AC$2:$AD$17,2,0),0),"")</f>
        <v/>
      </c>
    </row>
    <row r="1054" spans="1:25" hidden="1" x14ac:dyDescent="0.25">
      <c r="A1054">
        <v>483</v>
      </c>
      <c r="B1054" t="s">
        <v>3916</v>
      </c>
      <c r="C1054" t="s">
        <v>1936</v>
      </c>
      <c r="D1054" t="s">
        <v>3917</v>
      </c>
      <c r="F1054">
        <v>358</v>
      </c>
      <c r="G1054">
        <v>65</v>
      </c>
      <c r="H1054" t="s">
        <v>662</v>
      </c>
      <c r="I1054" t="s">
        <v>2271</v>
      </c>
      <c r="J1054">
        <v>500000</v>
      </c>
      <c r="K1054">
        <v>2025</v>
      </c>
      <c r="L1054">
        <v>1000636654</v>
      </c>
      <c r="M1054" t="s">
        <v>3941</v>
      </c>
      <c r="N1054" t="s">
        <v>1688</v>
      </c>
      <c r="O1054" t="s">
        <v>1686</v>
      </c>
      <c r="P1054">
        <v>0</v>
      </c>
      <c r="Q1054">
        <v>500000</v>
      </c>
      <c r="R1054">
        <v>0</v>
      </c>
      <c r="S1054">
        <v>0</v>
      </c>
      <c r="T1054" t="str">
        <f t="shared" si="32"/>
        <v>4832.43.4302.85.0-205128.2.3.3.08.06.</v>
      </c>
      <c r="U1054" t="e" cm="1">
        <f t="array" aca="1" ref="U1054" ca="1">+IF(COMPROMISOS_2025[[#This Row],[P]]="20","41080111",_xlfn.XLOOKUP(COMPROMISOS_2025[[#This Row],[concatenado]],PAA[[#All],[RCP-RUBRO]],PAA[[#All],[INDICADOR]],"",0))</f>
        <v>#NAME?</v>
      </c>
      <c r="V1054" s="144" t="str">
        <f t="shared" si="33"/>
        <v>85</v>
      </c>
      <c r="W1054" s="136">
        <f>+COMPROMISOS_2025[[#This Row],[valor_total]]-COMPROMISOS_2025[[#This Row],[total_cancelado]]</f>
        <v>500000</v>
      </c>
      <c r="X1054" s="136">
        <f>COMPROMISOS_2025[[#This Row],[total_ordenes]]</f>
        <v>500000</v>
      </c>
      <c r="Y1054" t="str" cm="1">
        <f t="array" aca="1" ref="Y1054" ca="1">IFERROR(_xlfn.XLOOKUP(COMPROMISOS_2025[[#This Row],[concatenado]],PAA[[#All],[RCP-RUBRO]],PAA[[#All],[Actividad3]],VLOOKUP(COMPROMISOS_2025[[#This Row],[Indicador Principal]],$AC$2:$AD$17,2,0),0),"")</f>
        <v/>
      </c>
    </row>
    <row r="1055" spans="1:25" hidden="1" x14ac:dyDescent="0.25">
      <c r="A1055">
        <v>484</v>
      </c>
      <c r="B1055" t="s">
        <v>3916</v>
      </c>
      <c r="C1055" t="s">
        <v>1936</v>
      </c>
      <c r="D1055" t="s">
        <v>3917</v>
      </c>
      <c r="F1055">
        <v>358</v>
      </c>
      <c r="G1055">
        <v>65</v>
      </c>
      <c r="H1055" t="s">
        <v>662</v>
      </c>
      <c r="I1055" t="s">
        <v>2271</v>
      </c>
      <c r="J1055">
        <v>500000</v>
      </c>
      <c r="K1055">
        <v>2025</v>
      </c>
      <c r="L1055">
        <v>1000660216</v>
      </c>
      <c r="M1055" t="s">
        <v>3942</v>
      </c>
      <c r="N1055" t="s">
        <v>1688</v>
      </c>
      <c r="O1055" t="s">
        <v>1686</v>
      </c>
      <c r="P1055">
        <v>0</v>
      </c>
      <c r="Q1055">
        <v>500000</v>
      </c>
      <c r="R1055">
        <v>0</v>
      </c>
      <c r="S1055">
        <v>0</v>
      </c>
      <c r="T1055" t="str">
        <f t="shared" si="32"/>
        <v>4842.43.4302.85.0-205128.2.3.3.08.06.</v>
      </c>
      <c r="U1055" t="e" cm="1">
        <f t="array" aca="1" ref="U1055" ca="1">+IF(COMPROMISOS_2025[[#This Row],[P]]="20","41080111",_xlfn.XLOOKUP(COMPROMISOS_2025[[#This Row],[concatenado]],PAA[[#All],[RCP-RUBRO]],PAA[[#All],[INDICADOR]],"",0))</f>
        <v>#NAME?</v>
      </c>
      <c r="V1055" s="144" t="str">
        <f t="shared" si="33"/>
        <v>85</v>
      </c>
      <c r="W1055" s="136">
        <f>+COMPROMISOS_2025[[#This Row],[valor_total]]-COMPROMISOS_2025[[#This Row],[total_cancelado]]</f>
        <v>500000</v>
      </c>
      <c r="X1055" s="136">
        <f>COMPROMISOS_2025[[#This Row],[total_ordenes]]</f>
        <v>500000</v>
      </c>
      <c r="Y1055" t="str" cm="1">
        <f t="array" aca="1" ref="Y1055" ca="1">IFERROR(_xlfn.XLOOKUP(COMPROMISOS_2025[[#This Row],[concatenado]],PAA[[#All],[RCP-RUBRO]],PAA[[#All],[Actividad3]],VLOOKUP(COMPROMISOS_2025[[#This Row],[Indicador Principal]],$AC$2:$AD$17,2,0),0),"")</f>
        <v/>
      </c>
    </row>
    <row r="1056" spans="1:25" hidden="1" x14ac:dyDescent="0.25">
      <c r="A1056">
        <v>485</v>
      </c>
      <c r="B1056" t="s">
        <v>3916</v>
      </c>
      <c r="C1056" t="s">
        <v>1936</v>
      </c>
      <c r="D1056" t="s">
        <v>3917</v>
      </c>
      <c r="F1056">
        <v>358</v>
      </c>
      <c r="G1056">
        <v>65</v>
      </c>
      <c r="H1056" t="s">
        <v>662</v>
      </c>
      <c r="I1056" t="s">
        <v>2271</v>
      </c>
      <c r="J1056">
        <v>500000</v>
      </c>
      <c r="K1056">
        <v>2025</v>
      </c>
      <c r="L1056">
        <v>1000764194</v>
      </c>
      <c r="M1056" t="s">
        <v>3943</v>
      </c>
      <c r="N1056" t="s">
        <v>1688</v>
      </c>
      <c r="O1056" t="s">
        <v>1686</v>
      </c>
      <c r="P1056">
        <v>0</v>
      </c>
      <c r="Q1056">
        <v>500000</v>
      </c>
      <c r="R1056">
        <v>0</v>
      </c>
      <c r="S1056">
        <v>0</v>
      </c>
      <c r="T1056" t="str">
        <f t="shared" si="32"/>
        <v>4852.43.4302.85.0-205128.2.3.3.08.06.</v>
      </c>
      <c r="U1056" t="e" cm="1">
        <f t="array" aca="1" ref="U1056" ca="1">+IF(COMPROMISOS_2025[[#This Row],[P]]="20","41080111",_xlfn.XLOOKUP(COMPROMISOS_2025[[#This Row],[concatenado]],PAA[[#All],[RCP-RUBRO]],PAA[[#All],[INDICADOR]],"",0))</f>
        <v>#NAME?</v>
      </c>
      <c r="V1056" s="144" t="str">
        <f t="shared" si="33"/>
        <v>85</v>
      </c>
      <c r="W1056" s="136">
        <f>+COMPROMISOS_2025[[#This Row],[valor_total]]-COMPROMISOS_2025[[#This Row],[total_cancelado]]</f>
        <v>500000</v>
      </c>
      <c r="X1056" s="136">
        <f>COMPROMISOS_2025[[#This Row],[total_ordenes]]</f>
        <v>500000</v>
      </c>
      <c r="Y1056" t="str" cm="1">
        <f t="array" aca="1" ref="Y1056" ca="1">IFERROR(_xlfn.XLOOKUP(COMPROMISOS_2025[[#This Row],[concatenado]],PAA[[#All],[RCP-RUBRO]],PAA[[#All],[Actividad3]],VLOOKUP(COMPROMISOS_2025[[#This Row],[Indicador Principal]],$AC$2:$AD$17,2,0),0),"")</f>
        <v/>
      </c>
    </row>
    <row r="1057" spans="1:25" hidden="1" x14ac:dyDescent="0.25">
      <c r="A1057">
        <v>486</v>
      </c>
      <c r="B1057" t="s">
        <v>3916</v>
      </c>
      <c r="C1057" t="s">
        <v>1936</v>
      </c>
      <c r="D1057" t="s">
        <v>3917</v>
      </c>
      <c r="F1057">
        <v>358</v>
      </c>
      <c r="G1057">
        <v>65</v>
      </c>
      <c r="H1057" t="s">
        <v>662</v>
      </c>
      <c r="I1057" t="s">
        <v>2271</v>
      </c>
      <c r="J1057">
        <v>500000</v>
      </c>
      <c r="K1057">
        <v>2025</v>
      </c>
      <c r="L1057">
        <v>1000870038</v>
      </c>
      <c r="M1057" t="s">
        <v>3593</v>
      </c>
      <c r="N1057" t="s">
        <v>1688</v>
      </c>
      <c r="O1057" t="s">
        <v>1686</v>
      </c>
      <c r="P1057">
        <v>0</v>
      </c>
      <c r="Q1057">
        <v>500000</v>
      </c>
      <c r="R1057">
        <v>0</v>
      </c>
      <c r="S1057">
        <v>0</v>
      </c>
      <c r="T1057" t="str">
        <f t="shared" si="32"/>
        <v>4862.43.4302.85.0-205128.2.3.3.08.06.</v>
      </c>
      <c r="U1057" t="e" cm="1">
        <f t="array" aca="1" ref="U1057" ca="1">+IF(COMPROMISOS_2025[[#This Row],[P]]="20","41080111",_xlfn.XLOOKUP(COMPROMISOS_2025[[#This Row],[concatenado]],PAA[[#All],[RCP-RUBRO]],PAA[[#All],[INDICADOR]],"",0))</f>
        <v>#NAME?</v>
      </c>
      <c r="V1057" s="144" t="str">
        <f t="shared" si="33"/>
        <v>85</v>
      </c>
      <c r="W1057" s="136">
        <f>+COMPROMISOS_2025[[#This Row],[valor_total]]-COMPROMISOS_2025[[#This Row],[total_cancelado]]</f>
        <v>500000</v>
      </c>
      <c r="X1057" s="136">
        <f>COMPROMISOS_2025[[#This Row],[total_ordenes]]</f>
        <v>500000</v>
      </c>
      <c r="Y1057" t="str" cm="1">
        <f t="array" aca="1" ref="Y1057" ca="1">IFERROR(_xlfn.XLOOKUP(COMPROMISOS_2025[[#This Row],[concatenado]],PAA[[#All],[RCP-RUBRO]],PAA[[#All],[Actividad3]],VLOOKUP(COMPROMISOS_2025[[#This Row],[Indicador Principal]],$AC$2:$AD$17,2,0),0),"")</f>
        <v/>
      </c>
    </row>
    <row r="1058" spans="1:25" hidden="1" x14ac:dyDescent="0.25">
      <c r="A1058">
        <v>487</v>
      </c>
      <c r="B1058" t="s">
        <v>3916</v>
      </c>
      <c r="C1058" t="s">
        <v>1936</v>
      </c>
      <c r="D1058" t="s">
        <v>3917</v>
      </c>
      <c r="F1058">
        <v>358</v>
      </c>
      <c r="G1058">
        <v>65</v>
      </c>
      <c r="H1058" t="s">
        <v>662</v>
      </c>
      <c r="I1058" t="s">
        <v>2271</v>
      </c>
      <c r="J1058">
        <v>500000</v>
      </c>
      <c r="K1058">
        <v>2025</v>
      </c>
      <c r="L1058">
        <v>1000874985</v>
      </c>
      <c r="M1058" t="s">
        <v>3944</v>
      </c>
      <c r="N1058" t="s">
        <v>1688</v>
      </c>
      <c r="O1058" t="s">
        <v>1686</v>
      </c>
      <c r="P1058">
        <v>0</v>
      </c>
      <c r="Q1058">
        <v>500000</v>
      </c>
      <c r="R1058">
        <v>0</v>
      </c>
      <c r="S1058">
        <v>0</v>
      </c>
      <c r="T1058" t="str">
        <f t="shared" si="32"/>
        <v>4872.43.4302.85.0-205128.2.3.3.08.06.</v>
      </c>
      <c r="U1058" t="e" cm="1">
        <f t="array" aca="1" ref="U1058" ca="1">+IF(COMPROMISOS_2025[[#This Row],[P]]="20","41080111",_xlfn.XLOOKUP(COMPROMISOS_2025[[#This Row],[concatenado]],PAA[[#All],[RCP-RUBRO]],PAA[[#All],[INDICADOR]],"",0))</f>
        <v>#NAME?</v>
      </c>
      <c r="V1058" s="144" t="str">
        <f t="shared" si="33"/>
        <v>85</v>
      </c>
      <c r="W1058" s="136">
        <f>+COMPROMISOS_2025[[#This Row],[valor_total]]-COMPROMISOS_2025[[#This Row],[total_cancelado]]</f>
        <v>500000</v>
      </c>
      <c r="X1058" s="136">
        <f>COMPROMISOS_2025[[#This Row],[total_ordenes]]</f>
        <v>500000</v>
      </c>
      <c r="Y1058" t="str" cm="1">
        <f t="array" aca="1" ref="Y1058" ca="1">IFERROR(_xlfn.XLOOKUP(COMPROMISOS_2025[[#This Row],[concatenado]],PAA[[#All],[RCP-RUBRO]],PAA[[#All],[Actividad3]],VLOOKUP(COMPROMISOS_2025[[#This Row],[Indicador Principal]],$AC$2:$AD$17,2,0),0),"")</f>
        <v/>
      </c>
    </row>
    <row r="1059" spans="1:25" hidden="1" x14ac:dyDescent="0.25">
      <c r="A1059">
        <v>488</v>
      </c>
      <c r="B1059" t="s">
        <v>3916</v>
      </c>
      <c r="C1059" t="s">
        <v>1936</v>
      </c>
      <c r="D1059" t="s">
        <v>3917</v>
      </c>
      <c r="F1059">
        <v>358</v>
      </c>
      <c r="G1059">
        <v>65</v>
      </c>
      <c r="H1059" t="s">
        <v>662</v>
      </c>
      <c r="I1059" t="s">
        <v>2271</v>
      </c>
      <c r="J1059">
        <v>500000</v>
      </c>
      <c r="K1059">
        <v>2025</v>
      </c>
      <c r="L1059">
        <v>1000884322</v>
      </c>
      <c r="M1059" t="s">
        <v>3945</v>
      </c>
      <c r="N1059" t="s">
        <v>1688</v>
      </c>
      <c r="O1059" t="s">
        <v>1686</v>
      </c>
      <c r="P1059">
        <v>0</v>
      </c>
      <c r="Q1059">
        <v>500000</v>
      </c>
      <c r="R1059">
        <v>0</v>
      </c>
      <c r="S1059">
        <v>0</v>
      </c>
      <c r="T1059" t="str">
        <f t="shared" si="32"/>
        <v>4882.43.4302.85.0-205128.2.3.3.08.06.</v>
      </c>
      <c r="U1059" t="e" cm="1">
        <f t="array" aca="1" ref="U1059" ca="1">+IF(COMPROMISOS_2025[[#This Row],[P]]="20","41080111",_xlfn.XLOOKUP(COMPROMISOS_2025[[#This Row],[concatenado]],PAA[[#All],[RCP-RUBRO]],PAA[[#All],[INDICADOR]],"",0))</f>
        <v>#NAME?</v>
      </c>
      <c r="V1059" s="144" t="str">
        <f t="shared" si="33"/>
        <v>85</v>
      </c>
      <c r="W1059" s="136">
        <f>+COMPROMISOS_2025[[#This Row],[valor_total]]-COMPROMISOS_2025[[#This Row],[total_cancelado]]</f>
        <v>500000</v>
      </c>
      <c r="X1059" s="136">
        <f>COMPROMISOS_2025[[#This Row],[total_ordenes]]</f>
        <v>500000</v>
      </c>
      <c r="Y1059" t="str" cm="1">
        <f t="array" aca="1" ref="Y1059" ca="1">IFERROR(_xlfn.XLOOKUP(COMPROMISOS_2025[[#This Row],[concatenado]],PAA[[#All],[RCP-RUBRO]],PAA[[#All],[Actividad3]],VLOOKUP(COMPROMISOS_2025[[#This Row],[Indicador Principal]],$AC$2:$AD$17,2,0),0),"")</f>
        <v/>
      </c>
    </row>
    <row r="1060" spans="1:25" hidden="1" x14ac:dyDescent="0.25">
      <c r="A1060">
        <v>489</v>
      </c>
      <c r="B1060" t="s">
        <v>3916</v>
      </c>
      <c r="C1060" t="s">
        <v>1936</v>
      </c>
      <c r="D1060" t="s">
        <v>3917</v>
      </c>
      <c r="F1060">
        <v>358</v>
      </c>
      <c r="G1060">
        <v>65</v>
      </c>
      <c r="H1060" t="s">
        <v>662</v>
      </c>
      <c r="I1060" t="s">
        <v>2271</v>
      </c>
      <c r="J1060">
        <v>500000</v>
      </c>
      <c r="K1060">
        <v>2025</v>
      </c>
      <c r="L1060">
        <v>1000888639</v>
      </c>
      <c r="M1060" t="s">
        <v>3946</v>
      </c>
      <c r="N1060" t="s">
        <v>1688</v>
      </c>
      <c r="O1060" t="s">
        <v>1686</v>
      </c>
      <c r="P1060">
        <v>0</v>
      </c>
      <c r="Q1060">
        <v>500000</v>
      </c>
      <c r="R1060">
        <v>0</v>
      </c>
      <c r="S1060">
        <v>0</v>
      </c>
      <c r="T1060" t="str">
        <f t="shared" si="32"/>
        <v>4892.43.4302.85.0-205128.2.3.3.08.06.</v>
      </c>
      <c r="U1060" t="e" cm="1">
        <f t="array" aca="1" ref="U1060" ca="1">+IF(COMPROMISOS_2025[[#This Row],[P]]="20","41080111",_xlfn.XLOOKUP(COMPROMISOS_2025[[#This Row],[concatenado]],PAA[[#All],[RCP-RUBRO]],PAA[[#All],[INDICADOR]],"",0))</f>
        <v>#NAME?</v>
      </c>
      <c r="V1060" s="144" t="str">
        <f t="shared" si="33"/>
        <v>85</v>
      </c>
      <c r="W1060" s="136">
        <f>+COMPROMISOS_2025[[#This Row],[valor_total]]-COMPROMISOS_2025[[#This Row],[total_cancelado]]</f>
        <v>500000</v>
      </c>
      <c r="X1060" s="136">
        <f>COMPROMISOS_2025[[#This Row],[total_ordenes]]</f>
        <v>500000</v>
      </c>
      <c r="Y1060" t="str" cm="1">
        <f t="array" aca="1" ref="Y1060" ca="1">IFERROR(_xlfn.XLOOKUP(COMPROMISOS_2025[[#This Row],[concatenado]],PAA[[#All],[RCP-RUBRO]],PAA[[#All],[Actividad3]],VLOOKUP(COMPROMISOS_2025[[#This Row],[Indicador Principal]],$AC$2:$AD$17,2,0),0),"")</f>
        <v/>
      </c>
    </row>
    <row r="1061" spans="1:25" hidden="1" x14ac:dyDescent="0.25">
      <c r="A1061">
        <v>490</v>
      </c>
      <c r="B1061" t="s">
        <v>3916</v>
      </c>
      <c r="C1061" t="s">
        <v>1936</v>
      </c>
      <c r="D1061" t="s">
        <v>3917</v>
      </c>
      <c r="F1061">
        <v>358</v>
      </c>
      <c r="G1061">
        <v>65</v>
      </c>
      <c r="H1061" t="s">
        <v>662</v>
      </c>
      <c r="I1061" t="s">
        <v>2271</v>
      </c>
      <c r="J1061">
        <v>500000</v>
      </c>
      <c r="K1061">
        <v>2025</v>
      </c>
      <c r="L1061">
        <v>1000894273</v>
      </c>
      <c r="M1061" t="s">
        <v>3947</v>
      </c>
      <c r="N1061" t="s">
        <v>1688</v>
      </c>
      <c r="O1061" t="s">
        <v>1686</v>
      </c>
      <c r="P1061">
        <v>0</v>
      </c>
      <c r="Q1061">
        <v>500000</v>
      </c>
      <c r="R1061">
        <v>0</v>
      </c>
      <c r="S1061">
        <v>0</v>
      </c>
      <c r="T1061" t="str">
        <f t="shared" si="32"/>
        <v>4902.43.4302.85.0-205128.2.3.3.08.06.</v>
      </c>
      <c r="U1061" t="e" cm="1">
        <f t="array" aca="1" ref="U1061" ca="1">+IF(COMPROMISOS_2025[[#This Row],[P]]="20","41080111",_xlfn.XLOOKUP(COMPROMISOS_2025[[#This Row],[concatenado]],PAA[[#All],[RCP-RUBRO]],PAA[[#All],[INDICADOR]],"",0))</f>
        <v>#NAME?</v>
      </c>
      <c r="V1061" s="144" t="str">
        <f t="shared" si="33"/>
        <v>85</v>
      </c>
      <c r="W1061" s="136">
        <f>+COMPROMISOS_2025[[#This Row],[valor_total]]-COMPROMISOS_2025[[#This Row],[total_cancelado]]</f>
        <v>500000</v>
      </c>
      <c r="X1061" s="136">
        <f>COMPROMISOS_2025[[#This Row],[total_ordenes]]</f>
        <v>500000</v>
      </c>
      <c r="Y1061" t="str" cm="1">
        <f t="array" aca="1" ref="Y1061" ca="1">IFERROR(_xlfn.XLOOKUP(COMPROMISOS_2025[[#This Row],[concatenado]],PAA[[#All],[RCP-RUBRO]],PAA[[#All],[Actividad3]],VLOOKUP(COMPROMISOS_2025[[#This Row],[Indicador Principal]],$AC$2:$AD$17,2,0),0),"")</f>
        <v/>
      </c>
    </row>
    <row r="1062" spans="1:25" hidden="1" x14ac:dyDescent="0.25">
      <c r="A1062">
        <v>491</v>
      </c>
      <c r="B1062" t="s">
        <v>3916</v>
      </c>
      <c r="C1062" t="s">
        <v>1936</v>
      </c>
      <c r="D1062" t="s">
        <v>3917</v>
      </c>
      <c r="F1062">
        <v>358</v>
      </c>
      <c r="G1062">
        <v>65</v>
      </c>
      <c r="H1062" t="s">
        <v>662</v>
      </c>
      <c r="I1062" t="s">
        <v>2271</v>
      </c>
      <c r="J1062">
        <v>500000</v>
      </c>
      <c r="K1062">
        <v>2025</v>
      </c>
      <c r="L1062">
        <v>1000895492</v>
      </c>
      <c r="M1062" t="s">
        <v>3201</v>
      </c>
      <c r="N1062" t="s">
        <v>1688</v>
      </c>
      <c r="O1062" t="s">
        <v>1686</v>
      </c>
      <c r="P1062">
        <v>0</v>
      </c>
      <c r="Q1062">
        <v>500000</v>
      </c>
      <c r="R1062">
        <v>0</v>
      </c>
      <c r="S1062">
        <v>0</v>
      </c>
      <c r="T1062" t="str">
        <f t="shared" si="32"/>
        <v>4912.43.4302.85.0-205128.2.3.3.08.06.</v>
      </c>
      <c r="U1062" t="e" cm="1">
        <f t="array" aca="1" ref="U1062" ca="1">+IF(COMPROMISOS_2025[[#This Row],[P]]="20","41080111",_xlfn.XLOOKUP(COMPROMISOS_2025[[#This Row],[concatenado]],PAA[[#All],[RCP-RUBRO]],PAA[[#All],[INDICADOR]],"",0))</f>
        <v>#NAME?</v>
      </c>
      <c r="V1062" s="144" t="str">
        <f t="shared" si="33"/>
        <v>85</v>
      </c>
      <c r="W1062" s="136">
        <f>+COMPROMISOS_2025[[#This Row],[valor_total]]-COMPROMISOS_2025[[#This Row],[total_cancelado]]</f>
        <v>500000</v>
      </c>
      <c r="X1062" s="136">
        <f>COMPROMISOS_2025[[#This Row],[total_ordenes]]</f>
        <v>500000</v>
      </c>
      <c r="Y1062" t="str" cm="1">
        <f t="array" aca="1" ref="Y1062" ca="1">IFERROR(_xlfn.XLOOKUP(COMPROMISOS_2025[[#This Row],[concatenado]],PAA[[#All],[RCP-RUBRO]],PAA[[#All],[Actividad3]],VLOOKUP(COMPROMISOS_2025[[#This Row],[Indicador Principal]],$AC$2:$AD$17,2,0),0),"")</f>
        <v/>
      </c>
    </row>
    <row r="1063" spans="1:25" hidden="1" x14ac:dyDescent="0.25">
      <c r="A1063">
        <v>492</v>
      </c>
      <c r="B1063" t="s">
        <v>3916</v>
      </c>
      <c r="C1063" t="s">
        <v>1936</v>
      </c>
      <c r="D1063" t="s">
        <v>3917</v>
      </c>
      <c r="F1063">
        <v>358</v>
      </c>
      <c r="G1063">
        <v>65</v>
      </c>
      <c r="H1063" t="s">
        <v>662</v>
      </c>
      <c r="I1063" t="s">
        <v>2271</v>
      </c>
      <c r="J1063">
        <v>500000</v>
      </c>
      <c r="K1063">
        <v>2025</v>
      </c>
      <c r="L1063">
        <v>1000896704</v>
      </c>
      <c r="M1063" t="s">
        <v>3948</v>
      </c>
      <c r="N1063" t="s">
        <v>1688</v>
      </c>
      <c r="O1063" t="s">
        <v>1686</v>
      </c>
      <c r="P1063">
        <v>0</v>
      </c>
      <c r="Q1063">
        <v>500000</v>
      </c>
      <c r="R1063">
        <v>0</v>
      </c>
      <c r="S1063">
        <v>0</v>
      </c>
      <c r="T1063" t="str">
        <f t="shared" si="32"/>
        <v>4922.43.4302.85.0-205128.2.3.3.08.06.</v>
      </c>
      <c r="U1063" t="e" cm="1">
        <f t="array" aca="1" ref="U1063" ca="1">+IF(COMPROMISOS_2025[[#This Row],[P]]="20","41080111",_xlfn.XLOOKUP(COMPROMISOS_2025[[#This Row],[concatenado]],PAA[[#All],[RCP-RUBRO]],PAA[[#All],[INDICADOR]],"",0))</f>
        <v>#NAME?</v>
      </c>
      <c r="V1063" s="144" t="str">
        <f t="shared" si="33"/>
        <v>85</v>
      </c>
      <c r="W1063" s="136">
        <f>+COMPROMISOS_2025[[#This Row],[valor_total]]-COMPROMISOS_2025[[#This Row],[total_cancelado]]</f>
        <v>500000</v>
      </c>
      <c r="X1063" s="136">
        <f>COMPROMISOS_2025[[#This Row],[total_ordenes]]</f>
        <v>500000</v>
      </c>
      <c r="Y1063" t="str" cm="1">
        <f t="array" aca="1" ref="Y1063" ca="1">IFERROR(_xlfn.XLOOKUP(COMPROMISOS_2025[[#This Row],[concatenado]],PAA[[#All],[RCP-RUBRO]],PAA[[#All],[Actividad3]],VLOOKUP(COMPROMISOS_2025[[#This Row],[Indicador Principal]],$AC$2:$AD$17,2,0),0),"")</f>
        <v/>
      </c>
    </row>
    <row r="1064" spans="1:25" hidden="1" x14ac:dyDescent="0.25">
      <c r="A1064">
        <v>493</v>
      </c>
      <c r="B1064" t="s">
        <v>3916</v>
      </c>
      <c r="C1064" t="s">
        <v>1936</v>
      </c>
      <c r="D1064" t="s">
        <v>3917</v>
      </c>
      <c r="F1064">
        <v>358</v>
      </c>
      <c r="G1064">
        <v>65</v>
      </c>
      <c r="H1064" t="s">
        <v>662</v>
      </c>
      <c r="I1064" t="s">
        <v>2271</v>
      </c>
      <c r="J1064">
        <v>1300000</v>
      </c>
      <c r="K1064">
        <v>2025</v>
      </c>
      <c r="L1064">
        <v>1000921491</v>
      </c>
      <c r="M1064" t="s">
        <v>3949</v>
      </c>
      <c r="N1064" t="s">
        <v>1688</v>
      </c>
      <c r="O1064" t="s">
        <v>1686</v>
      </c>
      <c r="P1064">
        <v>0</v>
      </c>
      <c r="Q1064">
        <v>1300000</v>
      </c>
      <c r="R1064">
        <v>0</v>
      </c>
      <c r="S1064">
        <v>0</v>
      </c>
      <c r="T1064" t="str">
        <f t="shared" si="32"/>
        <v>4932.43.4302.85.0-205128.2.3.3.08.06.</v>
      </c>
      <c r="U1064" t="e" cm="1">
        <f t="array" aca="1" ref="U1064" ca="1">+IF(COMPROMISOS_2025[[#This Row],[P]]="20","41080111",_xlfn.XLOOKUP(COMPROMISOS_2025[[#This Row],[concatenado]],PAA[[#All],[RCP-RUBRO]],PAA[[#All],[INDICADOR]],"",0))</f>
        <v>#NAME?</v>
      </c>
      <c r="V1064" s="144" t="str">
        <f t="shared" si="33"/>
        <v>85</v>
      </c>
      <c r="W1064" s="136">
        <f>+COMPROMISOS_2025[[#This Row],[valor_total]]-COMPROMISOS_2025[[#This Row],[total_cancelado]]</f>
        <v>1300000</v>
      </c>
      <c r="X1064" s="136">
        <f>COMPROMISOS_2025[[#This Row],[total_ordenes]]</f>
        <v>1300000</v>
      </c>
      <c r="Y1064" t="str" cm="1">
        <f t="array" aca="1" ref="Y1064" ca="1">IFERROR(_xlfn.XLOOKUP(COMPROMISOS_2025[[#This Row],[concatenado]],PAA[[#All],[RCP-RUBRO]],PAA[[#All],[Actividad3]],VLOOKUP(COMPROMISOS_2025[[#This Row],[Indicador Principal]],$AC$2:$AD$17,2,0),0),"")</f>
        <v/>
      </c>
    </row>
    <row r="1065" spans="1:25" hidden="1" x14ac:dyDescent="0.25">
      <c r="A1065">
        <v>494</v>
      </c>
      <c r="B1065" t="s">
        <v>3916</v>
      </c>
      <c r="C1065" t="s">
        <v>1936</v>
      </c>
      <c r="D1065" t="s">
        <v>3917</v>
      </c>
      <c r="F1065">
        <v>358</v>
      </c>
      <c r="G1065">
        <v>65</v>
      </c>
      <c r="H1065" t="s">
        <v>662</v>
      </c>
      <c r="I1065" t="s">
        <v>2271</v>
      </c>
      <c r="J1065">
        <v>500000</v>
      </c>
      <c r="K1065">
        <v>2025</v>
      </c>
      <c r="L1065">
        <v>1000940142</v>
      </c>
      <c r="M1065" t="s">
        <v>3950</v>
      </c>
      <c r="N1065" t="s">
        <v>1688</v>
      </c>
      <c r="O1065" t="s">
        <v>1686</v>
      </c>
      <c r="P1065">
        <v>0</v>
      </c>
      <c r="Q1065">
        <v>500000</v>
      </c>
      <c r="R1065">
        <v>0</v>
      </c>
      <c r="S1065">
        <v>0</v>
      </c>
      <c r="T1065" t="str">
        <f t="shared" si="32"/>
        <v>4942.43.4302.85.0-205128.2.3.3.08.06.</v>
      </c>
      <c r="U1065" t="e" cm="1">
        <f t="array" aca="1" ref="U1065" ca="1">+IF(COMPROMISOS_2025[[#This Row],[P]]="20","41080111",_xlfn.XLOOKUP(COMPROMISOS_2025[[#This Row],[concatenado]],PAA[[#All],[RCP-RUBRO]],PAA[[#All],[INDICADOR]],"",0))</f>
        <v>#NAME?</v>
      </c>
      <c r="V1065" s="144" t="str">
        <f t="shared" si="33"/>
        <v>85</v>
      </c>
      <c r="W1065" s="136">
        <f>+COMPROMISOS_2025[[#This Row],[valor_total]]-COMPROMISOS_2025[[#This Row],[total_cancelado]]</f>
        <v>500000</v>
      </c>
      <c r="X1065" s="136">
        <f>COMPROMISOS_2025[[#This Row],[total_ordenes]]</f>
        <v>500000</v>
      </c>
      <c r="Y1065" t="str" cm="1">
        <f t="array" aca="1" ref="Y1065" ca="1">IFERROR(_xlfn.XLOOKUP(COMPROMISOS_2025[[#This Row],[concatenado]],PAA[[#All],[RCP-RUBRO]],PAA[[#All],[Actividad3]],VLOOKUP(COMPROMISOS_2025[[#This Row],[Indicador Principal]],$AC$2:$AD$17,2,0),0),"")</f>
        <v/>
      </c>
    </row>
    <row r="1066" spans="1:25" hidden="1" x14ac:dyDescent="0.25">
      <c r="A1066">
        <v>495</v>
      </c>
      <c r="B1066" t="s">
        <v>3916</v>
      </c>
      <c r="C1066" t="s">
        <v>1936</v>
      </c>
      <c r="D1066" t="s">
        <v>3917</v>
      </c>
      <c r="F1066">
        <v>358</v>
      </c>
      <c r="G1066">
        <v>65</v>
      </c>
      <c r="H1066" t="s">
        <v>662</v>
      </c>
      <c r="I1066" t="s">
        <v>2271</v>
      </c>
      <c r="J1066">
        <v>500000</v>
      </c>
      <c r="K1066">
        <v>2025</v>
      </c>
      <c r="L1066">
        <v>1001010896</v>
      </c>
      <c r="M1066" t="s">
        <v>3951</v>
      </c>
      <c r="N1066" t="s">
        <v>1688</v>
      </c>
      <c r="O1066" t="s">
        <v>1686</v>
      </c>
      <c r="P1066">
        <v>0</v>
      </c>
      <c r="Q1066">
        <v>500000</v>
      </c>
      <c r="R1066">
        <v>0</v>
      </c>
      <c r="S1066">
        <v>0</v>
      </c>
      <c r="T1066" t="str">
        <f t="shared" si="32"/>
        <v>4952.43.4302.85.0-205128.2.3.3.08.06.</v>
      </c>
      <c r="U1066" t="e" cm="1">
        <f t="array" aca="1" ref="U1066" ca="1">+IF(COMPROMISOS_2025[[#This Row],[P]]="20","41080111",_xlfn.XLOOKUP(COMPROMISOS_2025[[#This Row],[concatenado]],PAA[[#All],[RCP-RUBRO]],PAA[[#All],[INDICADOR]],"",0))</f>
        <v>#NAME?</v>
      </c>
      <c r="V1066" s="144" t="str">
        <f t="shared" si="33"/>
        <v>85</v>
      </c>
      <c r="W1066" s="136">
        <f>+COMPROMISOS_2025[[#This Row],[valor_total]]-COMPROMISOS_2025[[#This Row],[total_cancelado]]</f>
        <v>500000</v>
      </c>
      <c r="X1066" s="136">
        <f>COMPROMISOS_2025[[#This Row],[total_ordenes]]</f>
        <v>500000</v>
      </c>
      <c r="Y1066" t="str" cm="1">
        <f t="array" aca="1" ref="Y1066" ca="1">IFERROR(_xlfn.XLOOKUP(COMPROMISOS_2025[[#This Row],[concatenado]],PAA[[#All],[RCP-RUBRO]],PAA[[#All],[Actividad3]],VLOOKUP(COMPROMISOS_2025[[#This Row],[Indicador Principal]],$AC$2:$AD$17,2,0),0),"")</f>
        <v/>
      </c>
    </row>
    <row r="1067" spans="1:25" hidden="1" x14ac:dyDescent="0.25">
      <c r="A1067">
        <v>496</v>
      </c>
      <c r="B1067" t="s">
        <v>3916</v>
      </c>
      <c r="C1067" t="s">
        <v>1936</v>
      </c>
      <c r="D1067" t="s">
        <v>3917</v>
      </c>
      <c r="F1067">
        <v>358</v>
      </c>
      <c r="G1067">
        <v>65</v>
      </c>
      <c r="H1067" t="s">
        <v>662</v>
      </c>
      <c r="I1067" t="s">
        <v>2271</v>
      </c>
      <c r="J1067">
        <v>500000</v>
      </c>
      <c r="K1067">
        <v>2025</v>
      </c>
      <c r="L1067">
        <v>1001016039</v>
      </c>
      <c r="M1067" t="s">
        <v>3952</v>
      </c>
      <c r="N1067" t="s">
        <v>1688</v>
      </c>
      <c r="O1067" t="s">
        <v>1686</v>
      </c>
      <c r="P1067">
        <v>0</v>
      </c>
      <c r="Q1067">
        <v>500000</v>
      </c>
      <c r="R1067">
        <v>0</v>
      </c>
      <c r="S1067">
        <v>0</v>
      </c>
      <c r="T1067" t="str">
        <f t="shared" si="32"/>
        <v>4962.43.4302.85.0-205128.2.3.3.08.06.</v>
      </c>
      <c r="U1067" t="e" cm="1">
        <f t="array" aca="1" ref="U1067" ca="1">+IF(COMPROMISOS_2025[[#This Row],[P]]="20","41080111",_xlfn.XLOOKUP(COMPROMISOS_2025[[#This Row],[concatenado]],PAA[[#All],[RCP-RUBRO]],PAA[[#All],[INDICADOR]],"",0))</f>
        <v>#NAME?</v>
      </c>
      <c r="V1067" s="144" t="str">
        <f t="shared" si="33"/>
        <v>85</v>
      </c>
      <c r="W1067" s="136">
        <f>+COMPROMISOS_2025[[#This Row],[valor_total]]-COMPROMISOS_2025[[#This Row],[total_cancelado]]</f>
        <v>500000</v>
      </c>
      <c r="X1067" s="136">
        <f>COMPROMISOS_2025[[#This Row],[total_ordenes]]</f>
        <v>500000</v>
      </c>
      <c r="Y1067" t="str" cm="1">
        <f t="array" aca="1" ref="Y1067" ca="1">IFERROR(_xlfn.XLOOKUP(COMPROMISOS_2025[[#This Row],[concatenado]],PAA[[#All],[RCP-RUBRO]],PAA[[#All],[Actividad3]],VLOOKUP(COMPROMISOS_2025[[#This Row],[Indicador Principal]],$AC$2:$AD$17,2,0),0),"")</f>
        <v/>
      </c>
    </row>
    <row r="1068" spans="1:25" hidden="1" x14ac:dyDescent="0.25">
      <c r="A1068">
        <v>497</v>
      </c>
      <c r="B1068" t="s">
        <v>3916</v>
      </c>
      <c r="C1068" t="s">
        <v>1936</v>
      </c>
      <c r="D1068" t="s">
        <v>3917</v>
      </c>
      <c r="F1068">
        <v>358</v>
      </c>
      <c r="G1068">
        <v>65</v>
      </c>
      <c r="H1068" t="s">
        <v>662</v>
      </c>
      <c r="I1068" t="s">
        <v>2271</v>
      </c>
      <c r="J1068">
        <v>500000</v>
      </c>
      <c r="K1068">
        <v>2025</v>
      </c>
      <c r="L1068">
        <v>1001017616</v>
      </c>
      <c r="M1068" t="s">
        <v>3953</v>
      </c>
      <c r="N1068" t="s">
        <v>1688</v>
      </c>
      <c r="O1068" t="s">
        <v>1686</v>
      </c>
      <c r="P1068">
        <v>0</v>
      </c>
      <c r="Q1068">
        <v>500000</v>
      </c>
      <c r="R1068">
        <v>0</v>
      </c>
      <c r="S1068">
        <v>0</v>
      </c>
      <c r="T1068" t="str">
        <f t="shared" si="32"/>
        <v>4972.43.4302.85.0-205128.2.3.3.08.06.</v>
      </c>
      <c r="U1068" t="e" cm="1">
        <f t="array" aca="1" ref="U1068" ca="1">+IF(COMPROMISOS_2025[[#This Row],[P]]="20","41080111",_xlfn.XLOOKUP(COMPROMISOS_2025[[#This Row],[concatenado]],PAA[[#All],[RCP-RUBRO]],PAA[[#All],[INDICADOR]],"",0))</f>
        <v>#NAME?</v>
      </c>
      <c r="V1068" s="144" t="str">
        <f t="shared" si="33"/>
        <v>85</v>
      </c>
      <c r="W1068" s="136">
        <f>+COMPROMISOS_2025[[#This Row],[valor_total]]-COMPROMISOS_2025[[#This Row],[total_cancelado]]</f>
        <v>500000</v>
      </c>
      <c r="X1068" s="136">
        <f>COMPROMISOS_2025[[#This Row],[total_ordenes]]</f>
        <v>500000</v>
      </c>
      <c r="Y1068" t="str" cm="1">
        <f t="array" aca="1" ref="Y1068" ca="1">IFERROR(_xlfn.XLOOKUP(COMPROMISOS_2025[[#This Row],[concatenado]],PAA[[#All],[RCP-RUBRO]],PAA[[#All],[Actividad3]],VLOOKUP(COMPROMISOS_2025[[#This Row],[Indicador Principal]],$AC$2:$AD$17,2,0),0),"")</f>
        <v/>
      </c>
    </row>
    <row r="1069" spans="1:25" hidden="1" x14ac:dyDescent="0.25">
      <c r="A1069">
        <v>498</v>
      </c>
      <c r="B1069" t="s">
        <v>3916</v>
      </c>
      <c r="C1069" t="s">
        <v>1936</v>
      </c>
      <c r="D1069" t="s">
        <v>3917</v>
      </c>
      <c r="F1069">
        <v>358</v>
      </c>
      <c r="G1069">
        <v>65</v>
      </c>
      <c r="H1069" t="s">
        <v>662</v>
      </c>
      <c r="I1069" t="s">
        <v>2271</v>
      </c>
      <c r="J1069">
        <v>1300000</v>
      </c>
      <c r="K1069">
        <v>2025</v>
      </c>
      <c r="L1069">
        <v>1001021746</v>
      </c>
      <c r="M1069" t="s">
        <v>3954</v>
      </c>
      <c r="N1069" t="s">
        <v>1688</v>
      </c>
      <c r="O1069" t="s">
        <v>1686</v>
      </c>
      <c r="P1069">
        <v>0</v>
      </c>
      <c r="Q1069">
        <v>1300000</v>
      </c>
      <c r="R1069">
        <v>0</v>
      </c>
      <c r="S1069">
        <v>0</v>
      </c>
      <c r="T1069" t="str">
        <f t="shared" si="32"/>
        <v>4982.43.4302.85.0-205128.2.3.3.08.06.</v>
      </c>
      <c r="U1069" t="e" cm="1">
        <f t="array" aca="1" ref="U1069" ca="1">+IF(COMPROMISOS_2025[[#This Row],[P]]="20","41080111",_xlfn.XLOOKUP(COMPROMISOS_2025[[#This Row],[concatenado]],PAA[[#All],[RCP-RUBRO]],PAA[[#All],[INDICADOR]],"",0))</f>
        <v>#NAME?</v>
      </c>
      <c r="V1069" s="144" t="str">
        <f t="shared" si="33"/>
        <v>85</v>
      </c>
      <c r="W1069" s="136">
        <f>+COMPROMISOS_2025[[#This Row],[valor_total]]-COMPROMISOS_2025[[#This Row],[total_cancelado]]</f>
        <v>1300000</v>
      </c>
      <c r="X1069" s="136">
        <f>COMPROMISOS_2025[[#This Row],[total_ordenes]]</f>
        <v>1300000</v>
      </c>
      <c r="Y1069" t="str" cm="1">
        <f t="array" aca="1" ref="Y1069" ca="1">IFERROR(_xlfn.XLOOKUP(COMPROMISOS_2025[[#This Row],[concatenado]],PAA[[#All],[RCP-RUBRO]],PAA[[#All],[Actividad3]],VLOOKUP(COMPROMISOS_2025[[#This Row],[Indicador Principal]],$AC$2:$AD$17,2,0),0),"")</f>
        <v/>
      </c>
    </row>
    <row r="1070" spans="1:25" hidden="1" x14ac:dyDescent="0.25">
      <c r="A1070">
        <v>499</v>
      </c>
      <c r="B1070" t="s">
        <v>3916</v>
      </c>
      <c r="C1070" t="s">
        <v>1936</v>
      </c>
      <c r="D1070" t="s">
        <v>3917</v>
      </c>
      <c r="F1070">
        <v>358</v>
      </c>
      <c r="G1070">
        <v>65</v>
      </c>
      <c r="H1070" t="s">
        <v>662</v>
      </c>
      <c r="I1070" t="s">
        <v>2271</v>
      </c>
      <c r="J1070">
        <v>500000</v>
      </c>
      <c r="K1070">
        <v>2025</v>
      </c>
      <c r="L1070">
        <v>1001021775</v>
      </c>
      <c r="M1070" t="s">
        <v>3955</v>
      </c>
      <c r="N1070" t="s">
        <v>1688</v>
      </c>
      <c r="O1070" t="s">
        <v>1686</v>
      </c>
      <c r="P1070">
        <v>0</v>
      </c>
      <c r="Q1070">
        <v>500000</v>
      </c>
      <c r="R1070">
        <v>0</v>
      </c>
      <c r="S1070">
        <v>0</v>
      </c>
      <c r="T1070" t="str">
        <f t="shared" si="32"/>
        <v>4992.43.4302.85.0-205128.2.3.3.08.06.</v>
      </c>
      <c r="U1070" t="e" cm="1">
        <f t="array" aca="1" ref="U1070" ca="1">+IF(COMPROMISOS_2025[[#This Row],[P]]="20","41080111",_xlfn.XLOOKUP(COMPROMISOS_2025[[#This Row],[concatenado]],PAA[[#All],[RCP-RUBRO]],PAA[[#All],[INDICADOR]],"",0))</f>
        <v>#NAME?</v>
      </c>
      <c r="V1070" s="144" t="str">
        <f t="shared" si="33"/>
        <v>85</v>
      </c>
      <c r="W1070" s="136">
        <f>+COMPROMISOS_2025[[#This Row],[valor_total]]-COMPROMISOS_2025[[#This Row],[total_cancelado]]</f>
        <v>500000</v>
      </c>
      <c r="X1070" s="136">
        <f>COMPROMISOS_2025[[#This Row],[total_ordenes]]</f>
        <v>500000</v>
      </c>
      <c r="Y1070" t="str" cm="1">
        <f t="array" aca="1" ref="Y1070" ca="1">IFERROR(_xlfn.XLOOKUP(COMPROMISOS_2025[[#This Row],[concatenado]],PAA[[#All],[RCP-RUBRO]],PAA[[#All],[Actividad3]],VLOOKUP(COMPROMISOS_2025[[#This Row],[Indicador Principal]],$AC$2:$AD$17,2,0),0),"")</f>
        <v/>
      </c>
    </row>
    <row r="1071" spans="1:25" hidden="1" x14ac:dyDescent="0.25">
      <c r="A1071">
        <v>500</v>
      </c>
      <c r="B1071" t="s">
        <v>3916</v>
      </c>
      <c r="C1071" t="s">
        <v>1936</v>
      </c>
      <c r="D1071" t="s">
        <v>3917</v>
      </c>
      <c r="F1071">
        <v>358</v>
      </c>
      <c r="G1071">
        <v>65</v>
      </c>
      <c r="H1071" t="s">
        <v>662</v>
      </c>
      <c r="I1071" t="s">
        <v>2271</v>
      </c>
      <c r="J1071">
        <v>1300000</v>
      </c>
      <c r="K1071">
        <v>2025</v>
      </c>
      <c r="L1071">
        <v>1001025993</v>
      </c>
      <c r="M1071" t="s">
        <v>3956</v>
      </c>
      <c r="N1071" t="s">
        <v>1688</v>
      </c>
      <c r="O1071" t="s">
        <v>1686</v>
      </c>
      <c r="P1071">
        <v>0</v>
      </c>
      <c r="Q1071">
        <v>1300000</v>
      </c>
      <c r="R1071">
        <v>0</v>
      </c>
      <c r="S1071">
        <v>0</v>
      </c>
      <c r="T1071" t="str">
        <f t="shared" si="32"/>
        <v>5002.43.4302.85.0-205128.2.3.3.08.06.</v>
      </c>
      <c r="U1071" t="e" cm="1">
        <f t="array" aca="1" ref="U1071" ca="1">+IF(COMPROMISOS_2025[[#This Row],[P]]="20","41080111",_xlfn.XLOOKUP(COMPROMISOS_2025[[#This Row],[concatenado]],PAA[[#All],[RCP-RUBRO]],PAA[[#All],[INDICADOR]],"",0))</f>
        <v>#NAME?</v>
      </c>
      <c r="V1071" s="144" t="str">
        <f t="shared" si="33"/>
        <v>85</v>
      </c>
      <c r="W1071" s="136">
        <f>+COMPROMISOS_2025[[#This Row],[valor_total]]-COMPROMISOS_2025[[#This Row],[total_cancelado]]</f>
        <v>1300000</v>
      </c>
      <c r="X1071" s="136">
        <f>COMPROMISOS_2025[[#This Row],[total_ordenes]]</f>
        <v>1300000</v>
      </c>
      <c r="Y1071" t="str" cm="1">
        <f t="array" aca="1" ref="Y1071" ca="1">IFERROR(_xlfn.XLOOKUP(COMPROMISOS_2025[[#This Row],[concatenado]],PAA[[#All],[RCP-RUBRO]],PAA[[#All],[Actividad3]],VLOOKUP(COMPROMISOS_2025[[#This Row],[Indicador Principal]],$AC$2:$AD$17,2,0),0),"")</f>
        <v/>
      </c>
    </row>
    <row r="1072" spans="1:25" hidden="1" x14ac:dyDescent="0.25">
      <c r="A1072">
        <v>501</v>
      </c>
      <c r="B1072" t="s">
        <v>3916</v>
      </c>
      <c r="C1072" t="s">
        <v>1936</v>
      </c>
      <c r="D1072" t="s">
        <v>3917</v>
      </c>
      <c r="F1072">
        <v>358</v>
      </c>
      <c r="G1072">
        <v>65</v>
      </c>
      <c r="H1072" t="s">
        <v>662</v>
      </c>
      <c r="I1072" t="s">
        <v>2271</v>
      </c>
      <c r="J1072">
        <v>500000</v>
      </c>
      <c r="K1072">
        <v>2025</v>
      </c>
      <c r="L1072">
        <v>1001026212</v>
      </c>
      <c r="M1072" t="s">
        <v>3957</v>
      </c>
      <c r="N1072" t="s">
        <v>1688</v>
      </c>
      <c r="O1072" t="s">
        <v>1686</v>
      </c>
      <c r="P1072">
        <v>0</v>
      </c>
      <c r="Q1072">
        <v>500000</v>
      </c>
      <c r="R1072">
        <v>0</v>
      </c>
      <c r="S1072">
        <v>0</v>
      </c>
      <c r="T1072" t="str">
        <f t="shared" si="32"/>
        <v>5012.43.4302.85.0-205128.2.3.3.08.06.</v>
      </c>
      <c r="U1072" t="e" cm="1">
        <f t="array" aca="1" ref="U1072" ca="1">+IF(COMPROMISOS_2025[[#This Row],[P]]="20","41080111",_xlfn.XLOOKUP(COMPROMISOS_2025[[#This Row],[concatenado]],PAA[[#All],[RCP-RUBRO]],PAA[[#All],[INDICADOR]],"",0))</f>
        <v>#NAME?</v>
      </c>
      <c r="V1072" s="144" t="str">
        <f t="shared" si="33"/>
        <v>85</v>
      </c>
      <c r="W1072" s="136">
        <f>+COMPROMISOS_2025[[#This Row],[valor_total]]-COMPROMISOS_2025[[#This Row],[total_cancelado]]</f>
        <v>500000</v>
      </c>
      <c r="X1072" s="136">
        <f>COMPROMISOS_2025[[#This Row],[total_ordenes]]</f>
        <v>500000</v>
      </c>
      <c r="Y1072" t="str" cm="1">
        <f t="array" aca="1" ref="Y1072" ca="1">IFERROR(_xlfn.XLOOKUP(COMPROMISOS_2025[[#This Row],[concatenado]],PAA[[#All],[RCP-RUBRO]],PAA[[#All],[Actividad3]],VLOOKUP(COMPROMISOS_2025[[#This Row],[Indicador Principal]],$AC$2:$AD$17,2,0),0),"")</f>
        <v/>
      </c>
    </row>
    <row r="1073" spans="1:25" hidden="1" x14ac:dyDescent="0.25">
      <c r="A1073">
        <v>502</v>
      </c>
      <c r="B1073" t="s">
        <v>3916</v>
      </c>
      <c r="C1073" t="s">
        <v>1936</v>
      </c>
      <c r="D1073" t="s">
        <v>3917</v>
      </c>
      <c r="F1073">
        <v>358</v>
      </c>
      <c r="G1073">
        <v>65</v>
      </c>
      <c r="H1073" t="s">
        <v>662</v>
      </c>
      <c r="I1073" t="s">
        <v>2271</v>
      </c>
      <c r="J1073">
        <v>800000</v>
      </c>
      <c r="K1073">
        <v>2025</v>
      </c>
      <c r="L1073">
        <v>1001028837</v>
      </c>
      <c r="M1073" t="s">
        <v>3958</v>
      </c>
      <c r="N1073" t="s">
        <v>1688</v>
      </c>
      <c r="O1073" t="s">
        <v>1686</v>
      </c>
      <c r="P1073">
        <v>0</v>
      </c>
      <c r="Q1073">
        <v>800000</v>
      </c>
      <c r="R1073">
        <v>0</v>
      </c>
      <c r="S1073">
        <v>0</v>
      </c>
      <c r="T1073" t="str">
        <f t="shared" si="32"/>
        <v>5022.43.4302.85.0-205128.2.3.3.08.06.</v>
      </c>
      <c r="U1073" t="e" cm="1">
        <f t="array" aca="1" ref="U1073" ca="1">+IF(COMPROMISOS_2025[[#This Row],[P]]="20","41080111",_xlfn.XLOOKUP(COMPROMISOS_2025[[#This Row],[concatenado]],PAA[[#All],[RCP-RUBRO]],PAA[[#All],[INDICADOR]],"",0))</f>
        <v>#NAME?</v>
      </c>
      <c r="V1073" s="144" t="str">
        <f t="shared" si="33"/>
        <v>85</v>
      </c>
      <c r="W1073" s="136">
        <f>+COMPROMISOS_2025[[#This Row],[valor_total]]-COMPROMISOS_2025[[#This Row],[total_cancelado]]</f>
        <v>800000</v>
      </c>
      <c r="X1073" s="136">
        <f>COMPROMISOS_2025[[#This Row],[total_ordenes]]</f>
        <v>800000</v>
      </c>
      <c r="Y1073" t="str" cm="1">
        <f t="array" aca="1" ref="Y1073" ca="1">IFERROR(_xlfn.XLOOKUP(COMPROMISOS_2025[[#This Row],[concatenado]],PAA[[#All],[RCP-RUBRO]],PAA[[#All],[Actividad3]],VLOOKUP(COMPROMISOS_2025[[#This Row],[Indicador Principal]],$AC$2:$AD$17,2,0),0),"")</f>
        <v/>
      </c>
    </row>
    <row r="1074" spans="1:25" hidden="1" x14ac:dyDescent="0.25">
      <c r="A1074">
        <v>503</v>
      </c>
      <c r="B1074" t="s">
        <v>3916</v>
      </c>
      <c r="C1074" t="s">
        <v>1936</v>
      </c>
      <c r="D1074" t="s">
        <v>3917</v>
      </c>
      <c r="F1074">
        <v>358</v>
      </c>
      <c r="G1074">
        <v>65</v>
      </c>
      <c r="H1074" t="s">
        <v>662</v>
      </c>
      <c r="I1074" t="s">
        <v>2271</v>
      </c>
      <c r="J1074">
        <v>1300000</v>
      </c>
      <c r="K1074">
        <v>2025</v>
      </c>
      <c r="L1074">
        <v>1001034376</v>
      </c>
      <c r="M1074" t="s">
        <v>3959</v>
      </c>
      <c r="N1074" t="s">
        <v>1688</v>
      </c>
      <c r="O1074" t="s">
        <v>1686</v>
      </c>
      <c r="P1074">
        <v>0</v>
      </c>
      <c r="Q1074">
        <v>1300000</v>
      </c>
      <c r="R1074">
        <v>0</v>
      </c>
      <c r="S1074">
        <v>0</v>
      </c>
      <c r="T1074" t="str">
        <f t="shared" si="32"/>
        <v>5032.43.4302.85.0-205128.2.3.3.08.06.</v>
      </c>
      <c r="U1074" t="e" cm="1">
        <f t="array" aca="1" ref="U1074" ca="1">+IF(COMPROMISOS_2025[[#This Row],[P]]="20","41080111",_xlfn.XLOOKUP(COMPROMISOS_2025[[#This Row],[concatenado]],PAA[[#All],[RCP-RUBRO]],PAA[[#All],[INDICADOR]],"",0))</f>
        <v>#NAME?</v>
      </c>
      <c r="V1074" s="144" t="str">
        <f t="shared" si="33"/>
        <v>85</v>
      </c>
      <c r="W1074" s="136">
        <f>+COMPROMISOS_2025[[#This Row],[valor_total]]-COMPROMISOS_2025[[#This Row],[total_cancelado]]</f>
        <v>1300000</v>
      </c>
      <c r="X1074" s="136">
        <f>COMPROMISOS_2025[[#This Row],[total_ordenes]]</f>
        <v>1300000</v>
      </c>
      <c r="Y1074" t="str" cm="1">
        <f t="array" aca="1" ref="Y1074" ca="1">IFERROR(_xlfn.XLOOKUP(COMPROMISOS_2025[[#This Row],[concatenado]],PAA[[#All],[RCP-RUBRO]],PAA[[#All],[Actividad3]],VLOOKUP(COMPROMISOS_2025[[#This Row],[Indicador Principal]],$AC$2:$AD$17,2,0),0),"")</f>
        <v/>
      </c>
    </row>
    <row r="1075" spans="1:25" hidden="1" x14ac:dyDescent="0.25">
      <c r="A1075">
        <v>504</v>
      </c>
      <c r="B1075" t="s">
        <v>3916</v>
      </c>
      <c r="C1075" t="s">
        <v>1936</v>
      </c>
      <c r="D1075" t="s">
        <v>3917</v>
      </c>
      <c r="F1075">
        <v>358</v>
      </c>
      <c r="G1075">
        <v>65</v>
      </c>
      <c r="H1075" t="s">
        <v>662</v>
      </c>
      <c r="I1075" t="s">
        <v>2271</v>
      </c>
      <c r="J1075">
        <v>500000</v>
      </c>
      <c r="K1075">
        <v>2025</v>
      </c>
      <c r="L1075">
        <v>1001131814</v>
      </c>
      <c r="M1075" t="s">
        <v>3960</v>
      </c>
      <c r="N1075" t="s">
        <v>1688</v>
      </c>
      <c r="O1075" t="s">
        <v>1686</v>
      </c>
      <c r="P1075">
        <v>0</v>
      </c>
      <c r="Q1075">
        <v>500000</v>
      </c>
      <c r="R1075">
        <v>0</v>
      </c>
      <c r="S1075">
        <v>0</v>
      </c>
      <c r="T1075" t="str">
        <f t="shared" si="32"/>
        <v>5042.43.4302.85.0-205128.2.3.3.08.06.</v>
      </c>
      <c r="U1075" t="e" cm="1">
        <f t="array" aca="1" ref="U1075" ca="1">+IF(COMPROMISOS_2025[[#This Row],[P]]="20","41080111",_xlfn.XLOOKUP(COMPROMISOS_2025[[#This Row],[concatenado]],PAA[[#All],[RCP-RUBRO]],PAA[[#All],[INDICADOR]],"",0))</f>
        <v>#NAME?</v>
      </c>
      <c r="V1075" s="144" t="str">
        <f t="shared" si="33"/>
        <v>85</v>
      </c>
      <c r="W1075" s="136">
        <f>+COMPROMISOS_2025[[#This Row],[valor_total]]-COMPROMISOS_2025[[#This Row],[total_cancelado]]</f>
        <v>500000</v>
      </c>
      <c r="X1075" s="136">
        <f>COMPROMISOS_2025[[#This Row],[total_ordenes]]</f>
        <v>500000</v>
      </c>
      <c r="Y1075" t="str" cm="1">
        <f t="array" aca="1" ref="Y1075" ca="1">IFERROR(_xlfn.XLOOKUP(COMPROMISOS_2025[[#This Row],[concatenado]],PAA[[#All],[RCP-RUBRO]],PAA[[#All],[Actividad3]],VLOOKUP(COMPROMISOS_2025[[#This Row],[Indicador Principal]],$AC$2:$AD$17,2,0),0),"")</f>
        <v/>
      </c>
    </row>
    <row r="1076" spans="1:25" hidden="1" x14ac:dyDescent="0.25">
      <c r="A1076">
        <v>505</v>
      </c>
      <c r="B1076" t="s">
        <v>3916</v>
      </c>
      <c r="C1076" t="s">
        <v>1936</v>
      </c>
      <c r="D1076" t="s">
        <v>3917</v>
      </c>
      <c r="F1076">
        <v>358</v>
      </c>
      <c r="G1076">
        <v>65</v>
      </c>
      <c r="H1076" t="s">
        <v>662</v>
      </c>
      <c r="I1076" t="s">
        <v>2271</v>
      </c>
      <c r="J1076">
        <v>500000</v>
      </c>
      <c r="K1076">
        <v>2025</v>
      </c>
      <c r="L1076">
        <v>1001131930</v>
      </c>
      <c r="M1076" t="s">
        <v>3961</v>
      </c>
      <c r="N1076" t="s">
        <v>1688</v>
      </c>
      <c r="O1076" t="s">
        <v>1686</v>
      </c>
      <c r="P1076">
        <v>0</v>
      </c>
      <c r="Q1076">
        <v>500000</v>
      </c>
      <c r="R1076">
        <v>0</v>
      </c>
      <c r="S1076">
        <v>0</v>
      </c>
      <c r="T1076" t="str">
        <f t="shared" si="32"/>
        <v>5052.43.4302.85.0-205128.2.3.3.08.06.</v>
      </c>
      <c r="U1076" t="e" cm="1">
        <f t="array" aca="1" ref="U1076" ca="1">+IF(COMPROMISOS_2025[[#This Row],[P]]="20","41080111",_xlfn.XLOOKUP(COMPROMISOS_2025[[#This Row],[concatenado]],PAA[[#All],[RCP-RUBRO]],PAA[[#All],[INDICADOR]],"",0))</f>
        <v>#NAME?</v>
      </c>
      <c r="V1076" s="144" t="str">
        <f t="shared" si="33"/>
        <v>85</v>
      </c>
      <c r="W1076" s="136">
        <f>+COMPROMISOS_2025[[#This Row],[valor_total]]-COMPROMISOS_2025[[#This Row],[total_cancelado]]</f>
        <v>500000</v>
      </c>
      <c r="X1076" s="136">
        <f>COMPROMISOS_2025[[#This Row],[total_ordenes]]</f>
        <v>500000</v>
      </c>
      <c r="Y1076" t="str" cm="1">
        <f t="array" aca="1" ref="Y1076" ca="1">IFERROR(_xlfn.XLOOKUP(COMPROMISOS_2025[[#This Row],[concatenado]],PAA[[#All],[RCP-RUBRO]],PAA[[#All],[Actividad3]],VLOOKUP(COMPROMISOS_2025[[#This Row],[Indicador Principal]],$AC$2:$AD$17,2,0),0),"")</f>
        <v/>
      </c>
    </row>
    <row r="1077" spans="1:25" hidden="1" x14ac:dyDescent="0.25">
      <c r="A1077">
        <v>506</v>
      </c>
      <c r="B1077" t="s">
        <v>3916</v>
      </c>
      <c r="C1077" t="s">
        <v>1936</v>
      </c>
      <c r="D1077" t="s">
        <v>3917</v>
      </c>
      <c r="F1077">
        <v>358</v>
      </c>
      <c r="G1077">
        <v>65</v>
      </c>
      <c r="H1077" t="s">
        <v>662</v>
      </c>
      <c r="I1077" t="s">
        <v>2271</v>
      </c>
      <c r="J1077">
        <v>500000</v>
      </c>
      <c r="K1077">
        <v>2025</v>
      </c>
      <c r="L1077">
        <v>1001132657</v>
      </c>
      <c r="M1077" t="s">
        <v>3962</v>
      </c>
      <c r="N1077" t="s">
        <v>1688</v>
      </c>
      <c r="O1077" t="s">
        <v>1686</v>
      </c>
      <c r="P1077">
        <v>0</v>
      </c>
      <c r="Q1077">
        <v>500000</v>
      </c>
      <c r="R1077">
        <v>0</v>
      </c>
      <c r="S1077">
        <v>0</v>
      </c>
      <c r="T1077" t="str">
        <f t="shared" si="32"/>
        <v>5062.43.4302.85.0-205128.2.3.3.08.06.</v>
      </c>
      <c r="U1077" t="e" cm="1">
        <f t="array" aca="1" ref="U1077" ca="1">+IF(COMPROMISOS_2025[[#This Row],[P]]="20","41080111",_xlfn.XLOOKUP(COMPROMISOS_2025[[#This Row],[concatenado]],PAA[[#All],[RCP-RUBRO]],PAA[[#All],[INDICADOR]],"",0))</f>
        <v>#NAME?</v>
      </c>
      <c r="V1077" s="144" t="str">
        <f t="shared" si="33"/>
        <v>85</v>
      </c>
      <c r="W1077" s="136">
        <f>+COMPROMISOS_2025[[#This Row],[valor_total]]-COMPROMISOS_2025[[#This Row],[total_cancelado]]</f>
        <v>500000</v>
      </c>
      <c r="X1077" s="136">
        <f>COMPROMISOS_2025[[#This Row],[total_ordenes]]</f>
        <v>500000</v>
      </c>
      <c r="Y1077" t="str" cm="1">
        <f t="array" aca="1" ref="Y1077" ca="1">IFERROR(_xlfn.XLOOKUP(COMPROMISOS_2025[[#This Row],[concatenado]],PAA[[#All],[RCP-RUBRO]],PAA[[#All],[Actividad3]],VLOOKUP(COMPROMISOS_2025[[#This Row],[Indicador Principal]],$AC$2:$AD$17,2,0),0),"")</f>
        <v/>
      </c>
    </row>
    <row r="1078" spans="1:25" hidden="1" x14ac:dyDescent="0.25">
      <c r="A1078">
        <v>507</v>
      </c>
      <c r="B1078" t="s">
        <v>3916</v>
      </c>
      <c r="C1078" t="s">
        <v>1936</v>
      </c>
      <c r="D1078" t="s">
        <v>3917</v>
      </c>
      <c r="F1078">
        <v>358</v>
      </c>
      <c r="G1078">
        <v>65</v>
      </c>
      <c r="H1078" t="s">
        <v>662</v>
      </c>
      <c r="I1078" t="s">
        <v>2271</v>
      </c>
      <c r="J1078">
        <v>500000</v>
      </c>
      <c r="K1078">
        <v>2025</v>
      </c>
      <c r="L1078">
        <v>1001137686</v>
      </c>
      <c r="M1078" t="s">
        <v>3963</v>
      </c>
      <c r="N1078" t="s">
        <v>1688</v>
      </c>
      <c r="O1078" t="s">
        <v>1686</v>
      </c>
      <c r="P1078">
        <v>0</v>
      </c>
      <c r="Q1078">
        <v>500000</v>
      </c>
      <c r="R1078">
        <v>0</v>
      </c>
      <c r="S1078">
        <v>0</v>
      </c>
      <c r="T1078" t="str">
        <f t="shared" si="32"/>
        <v>5072.43.4302.85.0-205128.2.3.3.08.06.</v>
      </c>
      <c r="U1078" t="e" cm="1">
        <f t="array" aca="1" ref="U1078" ca="1">+IF(COMPROMISOS_2025[[#This Row],[P]]="20","41080111",_xlfn.XLOOKUP(COMPROMISOS_2025[[#This Row],[concatenado]],PAA[[#All],[RCP-RUBRO]],PAA[[#All],[INDICADOR]],"",0))</f>
        <v>#NAME?</v>
      </c>
      <c r="V1078" s="144" t="str">
        <f t="shared" si="33"/>
        <v>85</v>
      </c>
      <c r="W1078" s="136">
        <f>+COMPROMISOS_2025[[#This Row],[valor_total]]-COMPROMISOS_2025[[#This Row],[total_cancelado]]</f>
        <v>500000</v>
      </c>
      <c r="X1078" s="136">
        <f>COMPROMISOS_2025[[#This Row],[total_ordenes]]</f>
        <v>500000</v>
      </c>
      <c r="Y1078" t="str" cm="1">
        <f t="array" aca="1" ref="Y1078" ca="1">IFERROR(_xlfn.XLOOKUP(COMPROMISOS_2025[[#This Row],[concatenado]],PAA[[#All],[RCP-RUBRO]],PAA[[#All],[Actividad3]],VLOOKUP(COMPROMISOS_2025[[#This Row],[Indicador Principal]],$AC$2:$AD$17,2,0),0),"")</f>
        <v/>
      </c>
    </row>
    <row r="1079" spans="1:25" hidden="1" x14ac:dyDescent="0.25">
      <c r="A1079">
        <v>508</v>
      </c>
      <c r="B1079" t="s">
        <v>3916</v>
      </c>
      <c r="C1079" t="s">
        <v>1936</v>
      </c>
      <c r="D1079" t="s">
        <v>3917</v>
      </c>
      <c r="F1079">
        <v>358</v>
      </c>
      <c r="G1079">
        <v>65</v>
      </c>
      <c r="H1079" t="s">
        <v>662</v>
      </c>
      <c r="I1079" t="s">
        <v>2271</v>
      </c>
      <c r="J1079">
        <v>500000</v>
      </c>
      <c r="K1079">
        <v>2025</v>
      </c>
      <c r="L1079">
        <v>1001227159</v>
      </c>
      <c r="M1079" t="s">
        <v>3964</v>
      </c>
      <c r="N1079" t="s">
        <v>1688</v>
      </c>
      <c r="O1079" t="s">
        <v>1686</v>
      </c>
      <c r="P1079">
        <v>0</v>
      </c>
      <c r="Q1079">
        <v>500000</v>
      </c>
      <c r="R1079">
        <v>0</v>
      </c>
      <c r="S1079">
        <v>0</v>
      </c>
      <c r="T1079" t="str">
        <f t="shared" si="32"/>
        <v>5082.43.4302.85.0-205128.2.3.3.08.06.</v>
      </c>
      <c r="U1079" t="e" cm="1">
        <f t="array" aca="1" ref="U1079" ca="1">+IF(COMPROMISOS_2025[[#This Row],[P]]="20","41080111",_xlfn.XLOOKUP(COMPROMISOS_2025[[#This Row],[concatenado]],PAA[[#All],[RCP-RUBRO]],PAA[[#All],[INDICADOR]],"",0))</f>
        <v>#NAME?</v>
      </c>
      <c r="V1079" s="144" t="str">
        <f t="shared" si="33"/>
        <v>85</v>
      </c>
      <c r="W1079" s="136">
        <f>+COMPROMISOS_2025[[#This Row],[valor_total]]-COMPROMISOS_2025[[#This Row],[total_cancelado]]</f>
        <v>500000</v>
      </c>
      <c r="X1079" s="136">
        <f>COMPROMISOS_2025[[#This Row],[total_ordenes]]</f>
        <v>500000</v>
      </c>
      <c r="Y1079" t="str" cm="1">
        <f t="array" aca="1" ref="Y1079" ca="1">IFERROR(_xlfn.XLOOKUP(COMPROMISOS_2025[[#This Row],[concatenado]],PAA[[#All],[RCP-RUBRO]],PAA[[#All],[Actividad3]],VLOOKUP(COMPROMISOS_2025[[#This Row],[Indicador Principal]],$AC$2:$AD$17,2,0),0),"")</f>
        <v/>
      </c>
    </row>
    <row r="1080" spans="1:25" hidden="1" x14ac:dyDescent="0.25">
      <c r="A1080">
        <v>509</v>
      </c>
      <c r="B1080" t="s">
        <v>3916</v>
      </c>
      <c r="C1080" t="s">
        <v>1936</v>
      </c>
      <c r="D1080" t="s">
        <v>3917</v>
      </c>
      <c r="F1080">
        <v>358</v>
      </c>
      <c r="G1080">
        <v>65</v>
      </c>
      <c r="H1080" t="s">
        <v>662</v>
      </c>
      <c r="I1080" t="s">
        <v>2271</v>
      </c>
      <c r="J1080">
        <v>500000</v>
      </c>
      <c r="K1080">
        <v>2025</v>
      </c>
      <c r="L1080">
        <v>1001228562</v>
      </c>
      <c r="M1080" t="s">
        <v>3965</v>
      </c>
      <c r="N1080" t="s">
        <v>1688</v>
      </c>
      <c r="O1080" t="s">
        <v>1686</v>
      </c>
      <c r="P1080">
        <v>0</v>
      </c>
      <c r="Q1080">
        <v>500000</v>
      </c>
      <c r="R1080">
        <v>0</v>
      </c>
      <c r="S1080">
        <v>0</v>
      </c>
      <c r="T1080" t="str">
        <f t="shared" si="32"/>
        <v>5092.43.4302.85.0-205128.2.3.3.08.06.</v>
      </c>
      <c r="U1080" t="e" cm="1">
        <f t="array" aca="1" ref="U1080" ca="1">+IF(COMPROMISOS_2025[[#This Row],[P]]="20","41080111",_xlfn.XLOOKUP(COMPROMISOS_2025[[#This Row],[concatenado]],PAA[[#All],[RCP-RUBRO]],PAA[[#All],[INDICADOR]],"",0))</f>
        <v>#NAME?</v>
      </c>
      <c r="V1080" s="144" t="str">
        <f t="shared" si="33"/>
        <v>85</v>
      </c>
      <c r="W1080" s="136">
        <f>+COMPROMISOS_2025[[#This Row],[valor_total]]-COMPROMISOS_2025[[#This Row],[total_cancelado]]</f>
        <v>500000</v>
      </c>
      <c r="X1080" s="136">
        <f>COMPROMISOS_2025[[#This Row],[total_ordenes]]</f>
        <v>500000</v>
      </c>
      <c r="Y1080" t="str" cm="1">
        <f t="array" aca="1" ref="Y1080" ca="1">IFERROR(_xlfn.XLOOKUP(COMPROMISOS_2025[[#This Row],[concatenado]],PAA[[#All],[RCP-RUBRO]],PAA[[#All],[Actividad3]],VLOOKUP(COMPROMISOS_2025[[#This Row],[Indicador Principal]],$AC$2:$AD$17,2,0),0),"")</f>
        <v/>
      </c>
    </row>
    <row r="1081" spans="1:25" hidden="1" x14ac:dyDescent="0.25">
      <c r="A1081">
        <v>510</v>
      </c>
      <c r="B1081" t="s">
        <v>3916</v>
      </c>
      <c r="C1081" t="s">
        <v>1936</v>
      </c>
      <c r="D1081" t="s">
        <v>3917</v>
      </c>
      <c r="F1081">
        <v>358</v>
      </c>
      <c r="G1081">
        <v>65</v>
      </c>
      <c r="H1081" t="s">
        <v>662</v>
      </c>
      <c r="I1081" t="s">
        <v>2271</v>
      </c>
      <c r="J1081">
        <v>500000</v>
      </c>
      <c r="K1081">
        <v>2025</v>
      </c>
      <c r="L1081">
        <v>1001235897</v>
      </c>
      <c r="M1081" t="s">
        <v>3966</v>
      </c>
      <c r="N1081" t="s">
        <v>1688</v>
      </c>
      <c r="O1081" t="s">
        <v>1686</v>
      </c>
      <c r="P1081">
        <v>0</v>
      </c>
      <c r="Q1081">
        <v>500000</v>
      </c>
      <c r="R1081">
        <v>0</v>
      </c>
      <c r="S1081">
        <v>0</v>
      </c>
      <c r="T1081" t="str">
        <f t="shared" si="32"/>
        <v>5102.43.4302.85.0-205128.2.3.3.08.06.</v>
      </c>
      <c r="U1081" t="e" cm="1">
        <f t="array" aca="1" ref="U1081" ca="1">+IF(COMPROMISOS_2025[[#This Row],[P]]="20","41080111",_xlfn.XLOOKUP(COMPROMISOS_2025[[#This Row],[concatenado]],PAA[[#All],[RCP-RUBRO]],PAA[[#All],[INDICADOR]],"",0))</f>
        <v>#NAME?</v>
      </c>
      <c r="V1081" s="144" t="str">
        <f t="shared" si="33"/>
        <v>85</v>
      </c>
      <c r="W1081" s="136">
        <f>+COMPROMISOS_2025[[#This Row],[valor_total]]-COMPROMISOS_2025[[#This Row],[total_cancelado]]</f>
        <v>500000</v>
      </c>
      <c r="X1081" s="136">
        <f>COMPROMISOS_2025[[#This Row],[total_ordenes]]</f>
        <v>500000</v>
      </c>
      <c r="Y1081" t="str" cm="1">
        <f t="array" aca="1" ref="Y1081" ca="1">IFERROR(_xlfn.XLOOKUP(COMPROMISOS_2025[[#This Row],[concatenado]],PAA[[#All],[RCP-RUBRO]],PAA[[#All],[Actividad3]],VLOOKUP(COMPROMISOS_2025[[#This Row],[Indicador Principal]],$AC$2:$AD$17,2,0),0),"")</f>
        <v/>
      </c>
    </row>
    <row r="1082" spans="1:25" hidden="1" x14ac:dyDescent="0.25">
      <c r="A1082">
        <v>511</v>
      </c>
      <c r="B1082" t="s">
        <v>3916</v>
      </c>
      <c r="C1082" t="s">
        <v>1936</v>
      </c>
      <c r="D1082" t="s">
        <v>3917</v>
      </c>
      <c r="F1082">
        <v>358</v>
      </c>
      <c r="G1082">
        <v>65</v>
      </c>
      <c r="H1082" t="s">
        <v>662</v>
      </c>
      <c r="I1082" t="s">
        <v>2271</v>
      </c>
      <c r="J1082">
        <v>500000</v>
      </c>
      <c r="K1082">
        <v>2025</v>
      </c>
      <c r="L1082">
        <v>1001237127</v>
      </c>
      <c r="M1082" t="s">
        <v>3967</v>
      </c>
      <c r="N1082" t="s">
        <v>1688</v>
      </c>
      <c r="O1082" t="s">
        <v>1686</v>
      </c>
      <c r="P1082">
        <v>0</v>
      </c>
      <c r="Q1082">
        <v>500000</v>
      </c>
      <c r="R1082">
        <v>0</v>
      </c>
      <c r="S1082">
        <v>0</v>
      </c>
      <c r="T1082" t="str">
        <f t="shared" si="32"/>
        <v>5112.43.4302.85.0-205128.2.3.3.08.06.</v>
      </c>
      <c r="U1082" t="e" cm="1">
        <f t="array" aca="1" ref="U1082" ca="1">+IF(COMPROMISOS_2025[[#This Row],[P]]="20","41080111",_xlfn.XLOOKUP(COMPROMISOS_2025[[#This Row],[concatenado]],PAA[[#All],[RCP-RUBRO]],PAA[[#All],[INDICADOR]],"",0))</f>
        <v>#NAME?</v>
      </c>
      <c r="V1082" s="144" t="str">
        <f t="shared" si="33"/>
        <v>85</v>
      </c>
      <c r="W1082" s="136">
        <f>+COMPROMISOS_2025[[#This Row],[valor_total]]-COMPROMISOS_2025[[#This Row],[total_cancelado]]</f>
        <v>500000</v>
      </c>
      <c r="X1082" s="136">
        <f>COMPROMISOS_2025[[#This Row],[total_ordenes]]</f>
        <v>500000</v>
      </c>
      <c r="Y1082" t="str" cm="1">
        <f t="array" aca="1" ref="Y1082" ca="1">IFERROR(_xlfn.XLOOKUP(COMPROMISOS_2025[[#This Row],[concatenado]],PAA[[#All],[RCP-RUBRO]],PAA[[#All],[Actividad3]],VLOOKUP(COMPROMISOS_2025[[#This Row],[Indicador Principal]],$AC$2:$AD$17,2,0),0),"")</f>
        <v/>
      </c>
    </row>
    <row r="1083" spans="1:25" hidden="1" x14ac:dyDescent="0.25">
      <c r="A1083">
        <v>512</v>
      </c>
      <c r="B1083" t="s">
        <v>3916</v>
      </c>
      <c r="C1083" t="s">
        <v>1936</v>
      </c>
      <c r="D1083" t="s">
        <v>3917</v>
      </c>
      <c r="F1083">
        <v>358</v>
      </c>
      <c r="G1083">
        <v>65</v>
      </c>
      <c r="H1083" t="s">
        <v>662</v>
      </c>
      <c r="I1083" t="s">
        <v>2271</v>
      </c>
      <c r="J1083">
        <v>1300000</v>
      </c>
      <c r="K1083">
        <v>2025</v>
      </c>
      <c r="L1083">
        <v>1001249150</v>
      </c>
      <c r="M1083" t="s">
        <v>3968</v>
      </c>
      <c r="N1083" t="s">
        <v>1688</v>
      </c>
      <c r="O1083" t="s">
        <v>1686</v>
      </c>
      <c r="P1083">
        <v>0</v>
      </c>
      <c r="Q1083">
        <v>1300000</v>
      </c>
      <c r="R1083">
        <v>0</v>
      </c>
      <c r="S1083">
        <v>0</v>
      </c>
      <c r="T1083" t="str">
        <f t="shared" si="32"/>
        <v>5122.43.4302.85.0-205128.2.3.3.08.06.</v>
      </c>
      <c r="U1083" t="e" cm="1">
        <f t="array" aca="1" ref="U1083" ca="1">+IF(COMPROMISOS_2025[[#This Row],[P]]="20","41080111",_xlfn.XLOOKUP(COMPROMISOS_2025[[#This Row],[concatenado]],PAA[[#All],[RCP-RUBRO]],PAA[[#All],[INDICADOR]],"",0))</f>
        <v>#NAME?</v>
      </c>
      <c r="V1083" s="144" t="str">
        <f t="shared" si="33"/>
        <v>85</v>
      </c>
      <c r="W1083" s="136">
        <f>+COMPROMISOS_2025[[#This Row],[valor_total]]-COMPROMISOS_2025[[#This Row],[total_cancelado]]</f>
        <v>1300000</v>
      </c>
      <c r="X1083" s="136">
        <f>COMPROMISOS_2025[[#This Row],[total_ordenes]]</f>
        <v>1300000</v>
      </c>
      <c r="Y1083" t="str" cm="1">
        <f t="array" aca="1" ref="Y1083" ca="1">IFERROR(_xlfn.XLOOKUP(COMPROMISOS_2025[[#This Row],[concatenado]],PAA[[#All],[RCP-RUBRO]],PAA[[#All],[Actividad3]],VLOOKUP(COMPROMISOS_2025[[#This Row],[Indicador Principal]],$AC$2:$AD$17,2,0),0),"")</f>
        <v/>
      </c>
    </row>
    <row r="1084" spans="1:25" hidden="1" x14ac:dyDescent="0.25">
      <c r="A1084">
        <v>513</v>
      </c>
      <c r="B1084" t="s">
        <v>3916</v>
      </c>
      <c r="C1084" t="s">
        <v>1936</v>
      </c>
      <c r="D1084" t="s">
        <v>3917</v>
      </c>
      <c r="F1084">
        <v>358</v>
      </c>
      <c r="G1084">
        <v>65</v>
      </c>
      <c r="H1084" t="s">
        <v>662</v>
      </c>
      <c r="I1084" t="s">
        <v>2271</v>
      </c>
      <c r="J1084">
        <v>500000</v>
      </c>
      <c r="K1084">
        <v>2025</v>
      </c>
      <c r="L1084">
        <v>1001359975</v>
      </c>
      <c r="M1084" t="s">
        <v>3969</v>
      </c>
      <c r="N1084" t="s">
        <v>1688</v>
      </c>
      <c r="O1084" t="s">
        <v>1686</v>
      </c>
      <c r="P1084">
        <v>0</v>
      </c>
      <c r="Q1084">
        <v>500000</v>
      </c>
      <c r="R1084">
        <v>0</v>
      </c>
      <c r="S1084">
        <v>0</v>
      </c>
      <c r="T1084" t="str">
        <f t="shared" si="32"/>
        <v>5132.43.4302.85.0-205128.2.3.3.08.06.</v>
      </c>
      <c r="U1084" t="e" cm="1">
        <f t="array" aca="1" ref="U1084" ca="1">+IF(COMPROMISOS_2025[[#This Row],[P]]="20","41080111",_xlfn.XLOOKUP(COMPROMISOS_2025[[#This Row],[concatenado]],PAA[[#All],[RCP-RUBRO]],PAA[[#All],[INDICADOR]],"",0))</f>
        <v>#NAME?</v>
      </c>
      <c r="V1084" s="144" t="str">
        <f t="shared" si="33"/>
        <v>85</v>
      </c>
      <c r="W1084" s="136">
        <f>+COMPROMISOS_2025[[#This Row],[valor_total]]-COMPROMISOS_2025[[#This Row],[total_cancelado]]</f>
        <v>500000</v>
      </c>
      <c r="X1084" s="136">
        <f>COMPROMISOS_2025[[#This Row],[total_ordenes]]</f>
        <v>500000</v>
      </c>
      <c r="Y1084" t="str" cm="1">
        <f t="array" aca="1" ref="Y1084" ca="1">IFERROR(_xlfn.XLOOKUP(COMPROMISOS_2025[[#This Row],[concatenado]],PAA[[#All],[RCP-RUBRO]],PAA[[#All],[Actividad3]],VLOOKUP(COMPROMISOS_2025[[#This Row],[Indicador Principal]],$AC$2:$AD$17,2,0),0),"")</f>
        <v/>
      </c>
    </row>
    <row r="1085" spans="1:25" hidden="1" x14ac:dyDescent="0.25">
      <c r="A1085">
        <v>514</v>
      </c>
      <c r="B1085" t="s">
        <v>3916</v>
      </c>
      <c r="C1085" t="s">
        <v>1936</v>
      </c>
      <c r="D1085" t="s">
        <v>3917</v>
      </c>
      <c r="F1085">
        <v>358</v>
      </c>
      <c r="G1085">
        <v>65</v>
      </c>
      <c r="H1085" t="s">
        <v>662</v>
      </c>
      <c r="I1085" t="s">
        <v>2271</v>
      </c>
      <c r="J1085">
        <v>800000</v>
      </c>
      <c r="K1085">
        <v>2025</v>
      </c>
      <c r="L1085">
        <v>1001457334</v>
      </c>
      <c r="M1085" t="s">
        <v>3970</v>
      </c>
      <c r="N1085" t="s">
        <v>1688</v>
      </c>
      <c r="O1085" t="s">
        <v>1686</v>
      </c>
      <c r="P1085">
        <v>0</v>
      </c>
      <c r="Q1085">
        <v>800000</v>
      </c>
      <c r="R1085">
        <v>0</v>
      </c>
      <c r="S1085">
        <v>0</v>
      </c>
      <c r="T1085" t="str">
        <f t="shared" si="32"/>
        <v>5142.43.4302.85.0-205128.2.3.3.08.06.</v>
      </c>
      <c r="U1085" t="e" cm="1">
        <f t="array" aca="1" ref="U1085" ca="1">+IF(COMPROMISOS_2025[[#This Row],[P]]="20","41080111",_xlfn.XLOOKUP(COMPROMISOS_2025[[#This Row],[concatenado]],PAA[[#All],[RCP-RUBRO]],PAA[[#All],[INDICADOR]],"",0))</f>
        <v>#NAME?</v>
      </c>
      <c r="V1085" s="144" t="str">
        <f t="shared" si="33"/>
        <v>85</v>
      </c>
      <c r="W1085" s="136">
        <f>+COMPROMISOS_2025[[#This Row],[valor_total]]-COMPROMISOS_2025[[#This Row],[total_cancelado]]</f>
        <v>800000</v>
      </c>
      <c r="X1085" s="136">
        <f>COMPROMISOS_2025[[#This Row],[total_ordenes]]</f>
        <v>800000</v>
      </c>
      <c r="Y1085" t="str" cm="1">
        <f t="array" aca="1" ref="Y1085" ca="1">IFERROR(_xlfn.XLOOKUP(COMPROMISOS_2025[[#This Row],[concatenado]],PAA[[#All],[RCP-RUBRO]],PAA[[#All],[Actividad3]],VLOOKUP(COMPROMISOS_2025[[#This Row],[Indicador Principal]],$AC$2:$AD$17,2,0),0),"")</f>
        <v/>
      </c>
    </row>
    <row r="1086" spans="1:25" hidden="1" x14ac:dyDescent="0.25">
      <c r="A1086">
        <v>515</v>
      </c>
      <c r="B1086" t="s">
        <v>3916</v>
      </c>
      <c r="C1086" t="s">
        <v>1936</v>
      </c>
      <c r="D1086" t="s">
        <v>3917</v>
      </c>
      <c r="F1086">
        <v>358</v>
      </c>
      <c r="G1086">
        <v>65</v>
      </c>
      <c r="H1086" t="s">
        <v>662</v>
      </c>
      <c r="I1086" t="s">
        <v>2271</v>
      </c>
      <c r="J1086">
        <v>500000</v>
      </c>
      <c r="K1086">
        <v>2025</v>
      </c>
      <c r="L1086">
        <v>1001469593</v>
      </c>
      <c r="M1086" t="s">
        <v>3971</v>
      </c>
      <c r="N1086" t="s">
        <v>1688</v>
      </c>
      <c r="O1086" t="s">
        <v>1686</v>
      </c>
      <c r="P1086">
        <v>0</v>
      </c>
      <c r="Q1086">
        <v>500000</v>
      </c>
      <c r="R1086">
        <v>0</v>
      </c>
      <c r="S1086">
        <v>0</v>
      </c>
      <c r="T1086" t="str">
        <f t="shared" si="32"/>
        <v>5152.43.4302.85.0-205128.2.3.3.08.06.</v>
      </c>
      <c r="U1086" t="e" cm="1">
        <f t="array" aca="1" ref="U1086" ca="1">+IF(COMPROMISOS_2025[[#This Row],[P]]="20","41080111",_xlfn.XLOOKUP(COMPROMISOS_2025[[#This Row],[concatenado]],PAA[[#All],[RCP-RUBRO]],PAA[[#All],[INDICADOR]],"",0))</f>
        <v>#NAME?</v>
      </c>
      <c r="V1086" s="144" t="str">
        <f t="shared" si="33"/>
        <v>85</v>
      </c>
      <c r="W1086" s="136">
        <f>+COMPROMISOS_2025[[#This Row],[valor_total]]-COMPROMISOS_2025[[#This Row],[total_cancelado]]</f>
        <v>500000</v>
      </c>
      <c r="X1086" s="136">
        <f>COMPROMISOS_2025[[#This Row],[total_ordenes]]</f>
        <v>500000</v>
      </c>
      <c r="Y1086" t="str" cm="1">
        <f t="array" aca="1" ref="Y1086" ca="1">IFERROR(_xlfn.XLOOKUP(COMPROMISOS_2025[[#This Row],[concatenado]],PAA[[#All],[RCP-RUBRO]],PAA[[#All],[Actividad3]],VLOOKUP(COMPROMISOS_2025[[#This Row],[Indicador Principal]],$AC$2:$AD$17,2,0),0),"")</f>
        <v/>
      </c>
    </row>
    <row r="1087" spans="1:25" hidden="1" x14ac:dyDescent="0.25">
      <c r="A1087">
        <v>516</v>
      </c>
      <c r="B1087" t="s">
        <v>3916</v>
      </c>
      <c r="C1087" t="s">
        <v>1936</v>
      </c>
      <c r="D1087" t="s">
        <v>3917</v>
      </c>
      <c r="F1087">
        <v>358</v>
      </c>
      <c r="G1087">
        <v>65</v>
      </c>
      <c r="H1087" t="s">
        <v>662</v>
      </c>
      <c r="I1087" t="s">
        <v>2271</v>
      </c>
      <c r="J1087">
        <v>500000</v>
      </c>
      <c r="K1087">
        <v>2025</v>
      </c>
      <c r="L1087">
        <v>1001497137</v>
      </c>
      <c r="M1087" t="s">
        <v>3600</v>
      </c>
      <c r="N1087" t="s">
        <v>1688</v>
      </c>
      <c r="O1087" t="s">
        <v>1686</v>
      </c>
      <c r="P1087">
        <v>0</v>
      </c>
      <c r="Q1087">
        <v>500000</v>
      </c>
      <c r="R1087">
        <v>0</v>
      </c>
      <c r="S1087">
        <v>0</v>
      </c>
      <c r="T1087" t="str">
        <f t="shared" si="32"/>
        <v>5162.43.4302.85.0-205128.2.3.3.08.06.</v>
      </c>
      <c r="U1087" t="e" cm="1">
        <f t="array" aca="1" ref="U1087" ca="1">+IF(COMPROMISOS_2025[[#This Row],[P]]="20","41080111",_xlfn.XLOOKUP(COMPROMISOS_2025[[#This Row],[concatenado]],PAA[[#All],[RCP-RUBRO]],PAA[[#All],[INDICADOR]],"",0))</f>
        <v>#NAME?</v>
      </c>
      <c r="V1087" s="144" t="str">
        <f t="shared" si="33"/>
        <v>85</v>
      </c>
      <c r="W1087" s="136">
        <f>+COMPROMISOS_2025[[#This Row],[valor_total]]-COMPROMISOS_2025[[#This Row],[total_cancelado]]</f>
        <v>500000</v>
      </c>
      <c r="X1087" s="136">
        <f>COMPROMISOS_2025[[#This Row],[total_ordenes]]</f>
        <v>500000</v>
      </c>
      <c r="Y1087" t="str" cm="1">
        <f t="array" aca="1" ref="Y1087" ca="1">IFERROR(_xlfn.XLOOKUP(COMPROMISOS_2025[[#This Row],[concatenado]],PAA[[#All],[RCP-RUBRO]],PAA[[#All],[Actividad3]],VLOOKUP(COMPROMISOS_2025[[#This Row],[Indicador Principal]],$AC$2:$AD$17,2,0),0),"")</f>
        <v/>
      </c>
    </row>
    <row r="1088" spans="1:25" hidden="1" x14ac:dyDescent="0.25">
      <c r="A1088">
        <v>517</v>
      </c>
      <c r="B1088" t="s">
        <v>3916</v>
      </c>
      <c r="C1088" t="s">
        <v>1936</v>
      </c>
      <c r="D1088" t="s">
        <v>3917</v>
      </c>
      <c r="F1088">
        <v>358</v>
      </c>
      <c r="G1088">
        <v>65</v>
      </c>
      <c r="H1088" t="s">
        <v>662</v>
      </c>
      <c r="I1088" t="s">
        <v>2271</v>
      </c>
      <c r="J1088">
        <v>1300000</v>
      </c>
      <c r="K1088">
        <v>2025</v>
      </c>
      <c r="L1088">
        <v>1001534811</v>
      </c>
      <c r="M1088" t="s">
        <v>3972</v>
      </c>
      <c r="N1088" t="s">
        <v>1688</v>
      </c>
      <c r="O1088" t="s">
        <v>1686</v>
      </c>
      <c r="P1088">
        <v>0</v>
      </c>
      <c r="Q1088">
        <v>1300000</v>
      </c>
      <c r="R1088">
        <v>0</v>
      </c>
      <c r="S1088">
        <v>0</v>
      </c>
      <c r="T1088" t="str">
        <f t="shared" si="32"/>
        <v>5172.43.4302.85.0-205128.2.3.3.08.06.</v>
      </c>
      <c r="U1088" t="e" cm="1">
        <f t="array" aca="1" ref="U1088" ca="1">+IF(COMPROMISOS_2025[[#This Row],[P]]="20","41080111",_xlfn.XLOOKUP(COMPROMISOS_2025[[#This Row],[concatenado]],PAA[[#All],[RCP-RUBRO]],PAA[[#All],[INDICADOR]],"",0))</f>
        <v>#NAME?</v>
      </c>
      <c r="V1088" s="144" t="str">
        <f t="shared" si="33"/>
        <v>85</v>
      </c>
      <c r="W1088" s="136">
        <f>+COMPROMISOS_2025[[#This Row],[valor_total]]-COMPROMISOS_2025[[#This Row],[total_cancelado]]</f>
        <v>1300000</v>
      </c>
      <c r="X1088" s="136">
        <f>COMPROMISOS_2025[[#This Row],[total_ordenes]]</f>
        <v>1300000</v>
      </c>
      <c r="Y1088" t="str" cm="1">
        <f t="array" aca="1" ref="Y1088" ca="1">IFERROR(_xlfn.XLOOKUP(COMPROMISOS_2025[[#This Row],[concatenado]],PAA[[#All],[RCP-RUBRO]],PAA[[#All],[Actividad3]],VLOOKUP(COMPROMISOS_2025[[#This Row],[Indicador Principal]],$AC$2:$AD$17,2,0),0),"")</f>
        <v/>
      </c>
    </row>
    <row r="1089" spans="1:25" hidden="1" x14ac:dyDescent="0.25">
      <c r="A1089">
        <v>518</v>
      </c>
      <c r="B1089" t="s">
        <v>3916</v>
      </c>
      <c r="C1089" t="s">
        <v>1936</v>
      </c>
      <c r="D1089" t="s">
        <v>3917</v>
      </c>
      <c r="F1089">
        <v>358</v>
      </c>
      <c r="G1089">
        <v>65</v>
      </c>
      <c r="H1089" t="s">
        <v>662</v>
      </c>
      <c r="I1089" t="s">
        <v>2271</v>
      </c>
      <c r="J1089">
        <v>500000</v>
      </c>
      <c r="K1089">
        <v>2025</v>
      </c>
      <c r="L1089">
        <v>1001660240</v>
      </c>
      <c r="M1089" t="s">
        <v>3973</v>
      </c>
      <c r="N1089" t="s">
        <v>1688</v>
      </c>
      <c r="O1089" t="s">
        <v>1686</v>
      </c>
      <c r="P1089">
        <v>0</v>
      </c>
      <c r="Q1089">
        <v>500000</v>
      </c>
      <c r="R1089">
        <v>0</v>
      </c>
      <c r="S1089">
        <v>0</v>
      </c>
      <c r="T1089" t="str">
        <f t="shared" si="32"/>
        <v>5182.43.4302.85.0-205128.2.3.3.08.06.</v>
      </c>
      <c r="U1089" t="e" cm="1">
        <f t="array" aca="1" ref="U1089" ca="1">+IF(COMPROMISOS_2025[[#This Row],[P]]="20","41080111",_xlfn.XLOOKUP(COMPROMISOS_2025[[#This Row],[concatenado]],PAA[[#All],[RCP-RUBRO]],PAA[[#All],[INDICADOR]],"",0))</f>
        <v>#NAME?</v>
      </c>
      <c r="V1089" s="144" t="str">
        <f t="shared" si="33"/>
        <v>85</v>
      </c>
      <c r="W1089" s="136">
        <f>+COMPROMISOS_2025[[#This Row],[valor_total]]-COMPROMISOS_2025[[#This Row],[total_cancelado]]</f>
        <v>500000</v>
      </c>
      <c r="X1089" s="136">
        <f>COMPROMISOS_2025[[#This Row],[total_ordenes]]</f>
        <v>500000</v>
      </c>
      <c r="Y1089" t="str" cm="1">
        <f t="array" aca="1" ref="Y1089" ca="1">IFERROR(_xlfn.XLOOKUP(COMPROMISOS_2025[[#This Row],[concatenado]],PAA[[#All],[RCP-RUBRO]],PAA[[#All],[Actividad3]],VLOOKUP(COMPROMISOS_2025[[#This Row],[Indicador Principal]],$AC$2:$AD$17,2,0),0),"")</f>
        <v/>
      </c>
    </row>
    <row r="1090" spans="1:25" hidden="1" x14ac:dyDescent="0.25">
      <c r="A1090">
        <v>519</v>
      </c>
      <c r="B1090" t="s">
        <v>3916</v>
      </c>
      <c r="C1090" t="s">
        <v>1936</v>
      </c>
      <c r="D1090" t="s">
        <v>3917</v>
      </c>
      <c r="F1090">
        <v>358</v>
      </c>
      <c r="G1090">
        <v>65</v>
      </c>
      <c r="H1090" t="s">
        <v>662</v>
      </c>
      <c r="I1090" t="s">
        <v>2271</v>
      </c>
      <c r="J1090">
        <v>500000</v>
      </c>
      <c r="K1090">
        <v>2025</v>
      </c>
      <c r="L1090">
        <v>1001672406</v>
      </c>
      <c r="M1090" t="s">
        <v>3974</v>
      </c>
      <c r="N1090" t="s">
        <v>1688</v>
      </c>
      <c r="O1090" t="s">
        <v>1686</v>
      </c>
      <c r="P1090">
        <v>0</v>
      </c>
      <c r="Q1090">
        <v>500000</v>
      </c>
      <c r="R1090">
        <v>0</v>
      </c>
      <c r="S1090">
        <v>0</v>
      </c>
      <c r="T1090" t="str">
        <f t="shared" ref="T1090:T1153" si="34">IF(A1090&gt;=0,CONCATENATE(A1090,H1090),"")</f>
        <v>5192.43.4302.85.0-205128.2.3.3.08.06.</v>
      </c>
      <c r="U1090" t="e" cm="1">
        <f t="array" aca="1" ref="U1090" ca="1">+IF(COMPROMISOS_2025[[#This Row],[P]]="20","41080111",_xlfn.XLOOKUP(COMPROMISOS_2025[[#This Row],[concatenado]],PAA[[#All],[RCP-RUBRO]],PAA[[#All],[INDICADOR]],"",0))</f>
        <v>#NAME?</v>
      </c>
      <c r="V1090" s="144" t="str">
        <f t="shared" ref="V1090:V1153" si="35">+MID(H1090,11,2)</f>
        <v>85</v>
      </c>
      <c r="W1090" s="136">
        <f>+COMPROMISOS_2025[[#This Row],[valor_total]]-COMPROMISOS_2025[[#This Row],[total_cancelado]]</f>
        <v>500000</v>
      </c>
      <c r="X1090" s="136">
        <f>COMPROMISOS_2025[[#This Row],[total_ordenes]]</f>
        <v>500000</v>
      </c>
      <c r="Y1090" t="str" cm="1">
        <f t="array" aca="1" ref="Y1090" ca="1">IFERROR(_xlfn.XLOOKUP(COMPROMISOS_2025[[#This Row],[concatenado]],PAA[[#All],[RCP-RUBRO]],PAA[[#All],[Actividad3]],VLOOKUP(COMPROMISOS_2025[[#This Row],[Indicador Principal]],$AC$2:$AD$17,2,0),0),"")</f>
        <v/>
      </c>
    </row>
    <row r="1091" spans="1:25" hidden="1" x14ac:dyDescent="0.25">
      <c r="A1091">
        <v>520</v>
      </c>
      <c r="B1091" t="s">
        <v>3916</v>
      </c>
      <c r="C1091" t="s">
        <v>1936</v>
      </c>
      <c r="D1091" t="s">
        <v>3917</v>
      </c>
      <c r="F1091">
        <v>358</v>
      </c>
      <c r="G1091">
        <v>65</v>
      </c>
      <c r="H1091" t="s">
        <v>662</v>
      </c>
      <c r="I1091" t="s">
        <v>2271</v>
      </c>
      <c r="J1091">
        <v>500000</v>
      </c>
      <c r="K1091">
        <v>2025</v>
      </c>
      <c r="L1091">
        <v>1001686544</v>
      </c>
      <c r="M1091" t="s">
        <v>3975</v>
      </c>
      <c r="N1091" t="s">
        <v>1688</v>
      </c>
      <c r="O1091" t="s">
        <v>1686</v>
      </c>
      <c r="P1091">
        <v>0</v>
      </c>
      <c r="Q1091">
        <v>500000</v>
      </c>
      <c r="R1091">
        <v>0</v>
      </c>
      <c r="S1091">
        <v>0</v>
      </c>
      <c r="T1091" t="str">
        <f t="shared" si="34"/>
        <v>5202.43.4302.85.0-205128.2.3.3.08.06.</v>
      </c>
      <c r="U1091" t="e" cm="1">
        <f t="array" aca="1" ref="U1091" ca="1">+IF(COMPROMISOS_2025[[#This Row],[P]]="20","41080111",_xlfn.XLOOKUP(COMPROMISOS_2025[[#This Row],[concatenado]],PAA[[#All],[RCP-RUBRO]],PAA[[#All],[INDICADOR]],"",0))</f>
        <v>#NAME?</v>
      </c>
      <c r="V1091" s="144" t="str">
        <f t="shared" si="35"/>
        <v>85</v>
      </c>
      <c r="W1091" s="136">
        <f>+COMPROMISOS_2025[[#This Row],[valor_total]]-COMPROMISOS_2025[[#This Row],[total_cancelado]]</f>
        <v>500000</v>
      </c>
      <c r="X1091" s="136">
        <f>COMPROMISOS_2025[[#This Row],[total_ordenes]]</f>
        <v>500000</v>
      </c>
      <c r="Y1091" t="str" cm="1">
        <f t="array" aca="1" ref="Y1091" ca="1">IFERROR(_xlfn.XLOOKUP(COMPROMISOS_2025[[#This Row],[concatenado]],PAA[[#All],[RCP-RUBRO]],PAA[[#All],[Actividad3]],VLOOKUP(COMPROMISOS_2025[[#This Row],[Indicador Principal]],$AC$2:$AD$17,2,0),0),"")</f>
        <v/>
      </c>
    </row>
    <row r="1092" spans="1:25" hidden="1" x14ac:dyDescent="0.25">
      <c r="A1092">
        <v>521</v>
      </c>
      <c r="B1092" t="s">
        <v>3916</v>
      </c>
      <c r="C1092" t="s">
        <v>1936</v>
      </c>
      <c r="D1092" t="s">
        <v>3917</v>
      </c>
      <c r="F1092">
        <v>358</v>
      </c>
      <c r="G1092">
        <v>65</v>
      </c>
      <c r="H1092" t="s">
        <v>662</v>
      </c>
      <c r="I1092" t="s">
        <v>2271</v>
      </c>
      <c r="J1092">
        <v>1300000</v>
      </c>
      <c r="K1092">
        <v>2025</v>
      </c>
      <c r="L1092">
        <v>1001987856</v>
      </c>
      <c r="M1092" t="s">
        <v>3976</v>
      </c>
      <c r="N1092" t="s">
        <v>1688</v>
      </c>
      <c r="O1092" t="s">
        <v>1686</v>
      </c>
      <c r="P1092">
        <v>0</v>
      </c>
      <c r="Q1092">
        <v>1300000</v>
      </c>
      <c r="R1092">
        <v>0</v>
      </c>
      <c r="S1092">
        <v>0</v>
      </c>
      <c r="T1092" t="str">
        <f t="shared" si="34"/>
        <v>5212.43.4302.85.0-205128.2.3.3.08.06.</v>
      </c>
      <c r="U1092" t="e" cm="1">
        <f t="array" aca="1" ref="U1092" ca="1">+IF(COMPROMISOS_2025[[#This Row],[P]]="20","41080111",_xlfn.XLOOKUP(COMPROMISOS_2025[[#This Row],[concatenado]],PAA[[#All],[RCP-RUBRO]],PAA[[#All],[INDICADOR]],"",0))</f>
        <v>#NAME?</v>
      </c>
      <c r="V1092" s="144" t="str">
        <f t="shared" si="35"/>
        <v>85</v>
      </c>
      <c r="W1092" s="136">
        <f>+COMPROMISOS_2025[[#This Row],[valor_total]]-COMPROMISOS_2025[[#This Row],[total_cancelado]]</f>
        <v>1300000</v>
      </c>
      <c r="X1092" s="136">
        <f>COMPROMISOS_2025[[#This Row],[total_ordenes]]</f>
        <v>1300000</v>
      </c>
      <c r="Y1092" t="str" cm="1">
        <f t="array" aca="1" ref="Y1092" ca="1">IFERROR(_xlfn.XLOOKUP(COMPROMISOS_2025[[#This Row],[concatenado]],PAA[[#All],[RCP-RUBRO]],PAA[[#All],[Actividad3]],VLOOKUP(COMPROMISOS_2025[[#This Row],[Indicador Principal]],$AC$2:$AD$17,2,0),0),"")</f>
        <v/>
      </c>
    </row>
    <row r="1093" spans="1:25" hidden="1" x14ac:dyDescent="0.25">
      <c r="A1093">
        <v>522</v>
      </c>
      <c r="B1093" t="s">
        <v>3916</v>
      </c>
      <c r="C1093" t="s">
        <v>1936</v>
      </c>
      <c r="D1093" t="s">
        <v>3917</v>
      </c>
      <c r="F1093">
        <v>358</v>
      </c>
      <c r="G1093">
        <v>65</v>
      </c>
      <c r="H1093" t="s">
        <v>662</v>
      </c>
      <c r="I1093" t="s">
        <v>2271</v>
      </c>
      <c r="J1093">
        <v>1300000</v>
      </c>
      <c r="K1093">
        <v>2025</v>
      </c>
      <c r="L1093">
        <v>1002061079</v>
      </c>
      <c r="M1093" t="s">
        <v>3977</v>
      </c>
      <c r="N1093" t="s">
        <v>1688</v>
      </c>
      <c r="O1093" t="s">
        <v>1686</v>
      </c>
      <c r="P1093">
        <v>0</v>
      </c>
      <c r="Q1093">
        <v>1300000</v>
      </c>
      <c r="R1093">
        <v>0</v>
      </c>
      <c r="S1093">
        <v>0</v>
      </c>
      <c r="T1093" t="str">
        <f t="shared" si="34"/>
        <v>5222.43.4302.85.0-205128.2.3.3.08.06.</v>
      </c>
      <c r="U1093" t="e" cm="1">
        <f t="array" aca="1" ref="U1093" ca="1">+IF(COMPROMISOS_2025[[#This Row],[P]]="20","41080111",_xlfn.XLOOKUP(COMPROMISOS_2025[[#This Row],[concatenado]],PAA[[#All],[RCP-RUBRO]],PAA[[#All],[INDICADOR]],"",0))</f>
        <v>#NAME?</v>
      </c>
      <c r="V1093" s="144" t="str">
        <f t="shared" si="35"/>
        <v>85</v>
      </c>
      <c r="W1093" s="136">
        <f>+COMPROMISOS_2025[[#This Row],[valor_total]]-COMPROMISOS_2025[[#This Row],[total_cancelado]]</f>
        <v>1300000</v>
      </c>
      <c r="X1093" s="136">
        <f>COMPROMISOS_2025[[#This Row],[total_ordenes]]</f>
        <v>1300000</v>
      </c>
      <c r="Y1093" t="str" cm="1">
        <f t="array" aca="1" ref="Y1093" ca="1">IFERROR(_xlfn.XLOOKUP(COMPROMISOS_2025[[#This Row],[concatenado]],PAA[[#All],[RCP-RUBRO]],PAA[[#All],[Actividad3]],VLOOKUP(COMPROMISOS_2025[[#This Row],[Indicador Principal]],$AC$2:$AD$17,2,0),0),"")</f>
        <v/>
      </c>
    </row>
    <row r="1094" spans="1:25" hidden="1" x14ac:dyDescent="0.25">
      <c r="A1094">
        <v>523</v>
      </c>
      <c r="B1094" t="s">
        <v>3916</v>
      </c>
      <c r="C1094" t="s">
        <v>1936</v>
      </c>
      <c r="D1094" t="s">
        <v>3917</v>
      </c>
      <c r="F1094">
        <v>358</v>
      </c>
      <c r="G1094">
        <v>65</v>
      </c>
      <c r="H1094" t="s">
        <v>662</v>
      </c>
      <c r="I1094" t="s">
        <v>2271</v>
      </c>
      <c r="J1094">
        <v>1300000</v>
      </c>
      <c r="K1094">
        <v>2025</v>
      </c>
      <c r="L1094">
        <v>1002088003</v>
      </c>
      <c r="M1094" t="s">
        <v>3978</v>
      </c>
      <c r="N1094" t="s">
        <v>1688</v>
      </c>
      <c r="O1094" t="s">
        <v>1686</v>
      </c>
      <c r="P1094">
        <v>0</v>
      </c>
      <c r="Q1094">
        <v>1300000</v>
      </c>
      <c r="R1094">
        <v>0</v>
      </c>
      <c r="S1094">
        <v>0</v>
      </c>
      <c r="T1094" t="str">
        <f t="shared" si="34"/>
        <v>5232.43.4302.85.0-205128.2.3.3.08.06.</v>
      </c>
      <c r="U1094" t="e" cm="1">
        <f t="array" aca="1" ref="U1094" ca="1">+IF(COMPROMISOS_2025[[#This Row],[P]]="20","41080111",_xlfn.XLOOKUP(COMPROMISOS_2025[[#This Row],[concatenado]],PAA[[#All],[RCP-RUBRO]],PAA[[#All],[INDICADOR]],"",0))</f>
        <v>#NAME?</v>
      </c>
      <c r="V1094" s="144" t="str">
        <f t="shared" si="35"/>
        <v>85</v>
      </c>
      <c r="W1094" s="136">
        <f>+COMPROMISOS_2025[[#This Row],[valor_total]]-COMPROMISOS_2025[[#This Row],[total_cancelado]]</f>
        <v>1300000</v>
      </c>
      <c r="X1094" s="136">
        <f>COMPROMISOS_2025[[#This Row],[total_ordenes]]</f>
        <v>1300000</v>
      </c>
      <c r="Y1094" t="str" cm="1">
        <f t="array" aca="1" ref="Y1094" ca="1">IFERROR(_xlfn.XLOOKUP(COMPROMISOS_2025[[#This Row],[concatenado]],PAA[[#All],[RCP-RUBRO]],PAA[[#All],[Actividad3]],VLOOKUP(COMPROMISOS_2025[[#This Row],[Indicador Principal]],$AC$2:$AD$17,2,0),0),"")</f>
        <v/>
      </c>
    </row>
    <row r="1095" spans="1:25" hidden="1" x14ac:dyDescent="0.25">
      <c r="A1095">
        <v>524</v>
      </c>
      <c r="B1095" t="s">
        <v>3916</v>
      </c>
      <c r="C1095" t="s">
        <v>1936</v>
      </c>
      <c r="D1095" t="s">
        <v>3917</v>
      </c>
      <c r="F1095">
        <v>358</v>
      </c>
      <c r="G1095">
        <v>65</v>
      </c>
      <c r="H1095" t="s">
        <v>662</v>
      </c>
      <c r="I1095" t="s">
        <v>2271</v>
      </c>
      <c r="J1095">
        <v>1300000</v>
      </c>
      <c r="K1095">
        <v>2025</v>
      </c>
      <c r="L1095">
        <v>1002539015</v>
      </c>
      <c r="M1095" t="s">
        <v>3601</v>
      </c>
      <c r="N1095" t="s">
        <v>1688</v>
      </c>
      <c r="O1095" t="s">
        <v>1686</v>
      </c>
      <c r="P1095">
        <v>0</v>
      </c>
      <c r="Q1095">
        <v>1300000</v>
      </c>
      <c r="R1095">
        <v>0</v>
      </c>
      <c r="S1095">
        <v>0</v>
      </c>
      <c r="T1095" t="str">
        <f t="shared" si="34"/>
        <v>5242.43.4302.85.0-205128.2.3.3.08.06.</v>
      </c>
      <c r="U1095" t="e" cm="1">
        <f t="array" aca="1" ref="U1095" ca="1">+IF(COMPROMISOS_2025[[#This Row],[P]]="20","41080111",_xlfn.XLOOKUP(COMPROMISOS_2025[[#This Row],[concatenado]],PAA[[#All],[RCP-RUBRO]],PAA[[#All],[INDICADOR]],"",0))</f>
        <v>#NAME?</v>
      </c>
      <c r="V1095" s="144" t="str">
        <f t="shared" si="35"/>
        <v>85</v>
      </c>
      <c r="W1095" s="136">
        <f>+COMPROMISOS_2025[[#This Row],[valor_total]]-COMPROMISOS_2025[[#This Row],[total_cancelado]]</f>
        <v>1300000</v>
      </c>
      <c r="X1095" s="136">
        <f>COMPROMISOS_2025[[#This Row],[total_ordenes]]</f>
        <v>1300000</v>
      </c>
      <c r="Y1095" t="str" cm="1">
        <f t="array" aca="1" ref="Y1095" ca="1">IFERROR(_xlfn.XLOOKUP(COMPROMISOS_2025[[#This Row],[concatenado]],PAA[[#All],[RCP-RUBRO]],PAA[[#All],[Actividad3]],VLOOKUP(COMPROMISOS_2025[[#This Row],[Indicador Principal]],$AC$2:$AD$17,2,0),0),"")</f>
        <v/>
      </c>
    </row>
    <row r="1096" spans="1:25" hidden="1" x14ac:dyDescent="0.25">
      <c r="A1096">
        <v>525</v>
      </c>
      <c r="B1096" t="s">
        <v>3916</v>
      </c>
      <c r="C1096" t="s">
        <v>1936</v>
      </c>
      <c r="D1096" t="s">
        <v>3917</v>
      </c>
      <c r="F1096">
        <v>358</v>
      </c>
      <c r="G1096">
        <v>65</v>
      </c>
      <c r="H1096" t="s">
        <v>662</v>
      </c>
      <c r="I1096" t="s">
        <v>2271</v>
      </c>
      <c r="J1096">
        <v>800000</v>
      </c>
      <c r="K1096">
        <v>2025</v>
      </c>
      <c r="L1096">
        <v>1002740316</v>
      </c>
      <c r="M1096" t="s">
        <v>3602</v>
      </c>
      <c r="N1096" t="s">
        <v>1688</v>
      </c>
      <c r="O1096" t="s">
        <v>1686</v>
      </c>
      <c r="P1096">
        <v>0</v>
      </c>
      <c r="Q1096">
        <v>800000</v>
      </c>
      <c r="R1096">
        <v>0</v>
      </c>
      <c r="S1096">
        <v>0</v>
      </c>
      <c r="T1096" t="str">
        <f t="shared" si="34"/>
        <v>5252.43.4302.85.0-205128.2.3.3.08.06.</v>
      </c>
      <c r="U1096" t="e" cm="1">
        <f t="array" aca="1" ref="U1096" ca="1">+IF(COMPROMISOS_2025[[#This Row],[P]]="20","41080111",_xlfn.XLOOKUP(COMPROMISOS_2025[[#This Row],[concatenado]],PAA[[#All],[RCP-RUBRO]],PAA[[#All],[INDICADOR]],"",0))</f>
        <v>#NAME?</v>
      </c>
      <c r="V1096" s="144" t="str">
        <f t="shared" si="35"/>
        <v>85</v>
      </c>
      <c r="W1096" s="136">
        <f>+COMPROMISOS_2025[[#This Row],[valor_total]]-COMPROMISOS_2025[[#This Row],[total_cancelado]]</f>
        <v>800000</v>
      </c>
      <c r="X1096" s="136">
        <f>COMPROMISOS_2025[[#This Row],[total_ordenes]]</f>
        <v>800000</v>
      </c>
      <c r="Y1096" t="str" cm="1">
        <f t="array" aca="1" ref="Y1096" ca="1">IFERROR(_xlfn.XLOOKUP(COMPROMISOS_2025[[#This Row],[concatenado]],PAA[[#All],[RCP-RUBRO]],PAA[[#All],[Actividad3]],VLOOKUP(COMPROMISOS_2025[[#This Row],[Indicador Principal]],$AC$2:$AD$17,2,0),0),"")</f>
        <v/>
      </c>
    </row>
    <row r="1097" spans="1:25" hidden="1" x14ac:dyDescent="0.25">
      <c r="A1097">
        <v>526</v>
      </c>
      <c r="B1097" t="s">
        <v>3916</v>
      </c>
      <c r="C1097" t="s">
        <v>1936</v>
      </c>
      <c r="D1097" t="s">
        <v>3917</v>
      </c>
      <c r="F1097">
        <v>358</v>
      </c>
      <c r="G1097">
        <v>65</v>
      </c>
      <c r="H1097" t="s">
        <v>662</v>
      </c>
      <c r="I1097" t="s">
        <v>2271</v>
      </c>
      <c r="J1097">
        <v>800000</v>
      </c>
      <c r="K1097">
        <v>2025</v>
      </c>
      <c r="L1097">
        <v>1003071631</v>
      </c>
      <c r="M1097" t="s">
        <v>3979</v>
      </c>
      <c r="N1097" t="s">
        <v>1688</v>
      </c>
      <c r="O1097" t="s">
        <v>1686</v>
      </c>
      <c r="P1097">
        <v>0</v>
      </c>
      <c r="Q1097">
        <v>800000</v>
      </c>
      <c r="R1097">
        <v>0</v>
      </c>
      <c r="S1097">
        <v>0</v>
      </c>
      <c r="T1097" t="str">
        <f t="shared" si="34"/>
        <v>5262.43.4302.85.0-205128.2.3.3.08.06.</v>
      </c>
      <c r="U1097" t="e" cm="1">
        <f t="array" aca="1" ref="U1097" ca="1">+IF(COMPROMISOS_2025[[#This Row],[P]]="20","41080111",_xlfn.XLOOKUP(COMPROMISOS_2025[[#This Row],[concatenado]],PAA[[#All],[RCP-RUBRO]],PAA[[#All],[INDICADOR]],"",0))</f>
        <v>#NAME?</v>
      </c>
      <c r="V1097" s="144" t="str">
        <f t="shared" si="35"/>
        <v>85</v>
      </c>
      <c r="W1097" s="136">
        <f>+COMPROMISOS_2025[[#This Row],[valor_total]]-COMPROMISOS_2025[[#This Row],[total_cancelado]]</f>
        <v>800000</v>
      </c>
      <c r="X1097" s="136">
        <f>COMPROMISOS_2025[[#This Row],[total_ordenes]]</f>
        <v>800000</v>
      </c>
      <c r="Y1097" t="str" cm="1">
        <f t="array" aca="1" ref="Y1097" ca="1">IFERROR(_xlfn.XLOOKUP(COMPROMISOS_2025[[#This Row],[concatenado]],PAA[[#All],[RCP-RUBRO]],PAA[[#All],[Actividad3]],VLOOKUP(COMPROMISOS_2025[[#This Row],[Indicador Principal]],$AC$2:$AD$17,2,0),0),"")</f>
        <v/>
      </c>
    </row>
    <row r="1098" spans="1:25" hidden="1" x14ac:dyDescent="0.25">
      <c r="A1098">
        <v>527</v>
      </c>
      <c r="B1098" t="s">
        <v>3916</v>
      </c>
      <c r="C1098" t="s">
        <v>1936</v>
      </c>
      <c r="D1098" t="s">
        <v>3917</v>
      </c>
      <c r="F1098">
        <v>358</v>
      </c>
      <c r="G1098">
        <v>65</v>
      </c>
      <c r="H1098" t="s">
        <v>662</v>
      </c>
      <c r="I1098" t="s">
        <v>2271</v>
      </c>
      <c r="J1098">
        <v>500000</v>
      </c>
      <c r="K1098">
        <v>2025</v>
      </c>
      <c r="L1098">
        <v>1003556936</v>
      </c>
      <c r="M1098" t="s">
        <v>3980</v>
      </c>
      <c r="N1098" t="s">
        <v>1688</v>
      </c>
      <c r="O1098" t="s">
        <v>1686</v>
      </c>
      <c r="P1098">
        <v>0</v>
      </c>
      <c r="Q1098">
        <v>500000</v>
      </c>
      <c r="R1098">
        <v>0</v>
      </c>
      <c r="S1098">
        <v>0</v>
      </c>
      <c r="T1098" t="str">
        <f t="shared" si="34"/>
        <v>5272.43.4302.85.0-205128.2.3.3.08.06.</v>
      </c>
      <c r="U1098" t="e" cm="1">
        <f t="array" aca="1" ref="U1098" ca="1">+IF(COMPROMISOS_2025[[#This Row],[P]]="20","41080111",_xlfn.XLOOKUP(COMPROMISOS_2025[[#This Row],[concatenado]],PAA[[#All],[RCP-RUBRO]],PAA[[#All],[INDICADOR]],"",0))</f>
        <v>#NAME?</v>
      </c>
      <c r="V1098" s="144" t="str">
        <f t="shared" si="35"/>
        <v>85</v>
      </c>
      <c r="W1098" s="136">
        <f>+COMPROMISOS_2025[[#This Row],[valor_total]]-COMPROMISOS_2025[[#This Row],[total_cancelado]]</f>
        <v>500000</v>
      </c>
      <c r="X1098" s="136">
        <f>COMPROMISOS_2025[[#This Row],[total_ordenes]]</f>
        <v>500000</v>
      </c>
      <c r="Y1098" t="str" cm="1">
        <f t="array" aca="1" ref="Y1098" ca="1">IFERROR(_xlfn.XLOOKUP(COMPROMISOS_2025[[#This Row],[concatenado]],PAA[[#All],[RCP-RUBRO]],PAA[[#All],[Actividad3]],VLOOKUP(COMPROMISOS_2025[[#This Row],[Indicador Principal]],$AC$2:$AD$17,2,0),0),"")</f>
        <v/>
      </c>
    </row>
    <row r="1099" spans="1:25" hidden="1" x14ac:dyDescent="0.25">
      <c r="A1099">
        <v>528</v>
      </c>
      <c r="B1099" t="s">
        <v>3916</v>
      </c>
      <c r="C1099" t="s">
        <v>1936</v>
      </c>
      <c r="D1099" t="s">
        <v>3917</v>
      </c>
      <c r="F1099">
        <v>358</v>
      </c>
      <c r="G1099">
        <v>65</v>
      </c>
      <c r="H1099" t="s">
        <v>662</v>
      </c>
      <c r="I1099" t="s">
        <v>2271</v>
      </c>
      <c r="J1099">
        <v>1300000</v>
      </c>
      <c r="K1099">
        <v>2025</v>
      </c>
      <c r="L1099">
        <v>1003656615</v>
      </c>
      <c r="M1099" t="s">
        <v>3981</v>
      </c>
      <c r="N1099" t="s">
        <v>1688</v>
      </c>
      <c r="O1099" t="s">
        <v>1686</v>
      </c>
      <c r="P1099">
        <v>0</v>
      </c>
      <c r="Q1099">
        <v>1300000</v>
      </c>
      <c r="R1099">
        <v>0</v>
      </c>
      <c r="S1099">
        <v>0</v>
      </c>
      <c r="T1099" t="str">
        <f t="shared" si="34"/>
        <v>5282.43.4302.85.0-205128.2.3.3.08.06.</v>
      </c>
      <c r="U1099" t="e" cm="1">
        <f t="array" aca="1" ref="U1099" ca="1">+IF(COMPROMISOS_2025[[#This Row],[P]]="20","41080111",_xlfn.XLOOKUP(COMPROMISOS_2025[[#This Row],[concatenado]],PAA[[#All],[RCP-RUBRO]],PAA[[#All],[INDICADOR]],"",0))</f>
        <v>#NAME?</v>
      </c>
      <c r="V1099" s="144" t="str">
        <f t="shared" si="35"/>
        <v>85</v>
      </c>
      <c r="W1099" s="136">
        <f>+COMPROMISOS_2025[[#This Row],[valor_total]]-COMPROMISOS_2025[[#This Row],[total_cancelado]]</f>
        <v>1300000</v>
      </c>
      <c r="X1099" s="136">
        <f>COMPROMISOS_2025[[#This Row],[total_ordenes]]</f>
        <v>1300000</v>
      </c>
      <c r="Y1099" t="str" cm="1">
        <f t="array" aca="1" ref="Y1099" ca="1">IFERROR(_xlfn.XLOOKUP(COMPROMISOS_2025[[#This Row],[concatenado]],PAA[[#All],[RCP-RUBRO]],PAA[[#All],[Actividad3]],VLOOKUP(COMPROMISOS_2025[[#This Row],[Indicador Principal]],$AC$2:$AD$17,2,0),0),"")</f>
        <v/>
      </c>
    </row>
    <row r="1100" spans="1:25" hidden="1" x14ac:dyDescent="0.25">
      <c r="A1100">
        <v>529</v>
      </c>
      <c r="B1100" t="s">
        <v>3916</v>
      </c>
      <c r="C1100" t="s">
        <v>1936</v>
      </c>
      <c r="D1100" t="s">
        <v>3917</v>
      </c>
      <c r="F1100">
        <v>358</v>
      </c>
      <c r="G1100">
        <v>65</v>
      </c>
      <c r="H1100" t="s">
        <v>662</v>
      </c>
      <c r="I1100" t="s">
        <v>2271</v>
      </c>
      <c r="J1100">
        <v>1000000</v>
      </c>
      <c r="K1100">
        <v>2025</v>
      </c>
      <c r="L1100">
        <v>1003854434</v>
      </c>
      <c r="M1100" t="s">
        <v>3982</v>
      </c>
      <c r="N1100" t="s">
        <v>1688</v>
      </c>
      <c r="O1100" t="s">
        <v>1686</v>
      </c>
      <c r="P1100">
        <v>0</v>
      </c>
      <c r="Q1100">
        <v>1000000</v>
      </c>
      <c r="R1100">
        <v>0</v>
      </c>
      <c r="S1100">
        <v>0</v>
      </c>
      <c r="T1100" t="str">
        <f t="shared" si="34"/>
        <v>5292.43.4302.85.0-205128.2.3.3.08.06.</v>
      </c>
      <c r="U1100" t="e" cm="1">
        <f t="array" aca="1" ref="U1100" ca="1">+IF(COMPROMISOS_2025[[#This Row],[P]]="20","41080111",_xlfn.XLOOKUP(COMPROMISOS_2025[[#This Row],[concatenado]],PAA[[#All],[RCP-RUBRO]],PAA[[#All],[INDICADOR]],"",0))</f>
        <v>#NAME?</v>
      </c>
      <c r="V1100" s="144" t="str">
        <f t="shared" si="35"/>
        <v>85</v>
      </c>
      <c r="W1100" s="136">
        <f>+COMPROMISOS_2025[[#This Row],[valor_total]]-COMPROMISOS_2025[[#This Row],[total_cancelado]]</f>
        <v>1000000</v>
      </c>
      <c r="X1100" s="136">
        <f>COMPROMISOS_2025[[#This Row],[total_ordenes]]</f>
        <v>1000000</v>
      </c>
      <c r="Y1100" t="str" cm="1">
        <f t="array" aca="1" ref="Y1100" ca="1">IFERROR(_xlfn.XLOOKUP(COMPROMISOS_2025[[#This Row],[concatenado]],PAA[[#All],[RCP-RUBRO]],PAA[[#All],[Actividad3]],VLOOKUP(COMPROMISOS_2025[[#This Row],[Indicador Principal]],$AC$2:$AD$17,2,0),0),"")</f>
        <v/>
      </c>
    </row>
    <row r="1101" spans="1:25" hidden="1" x14ac:dyDescent="0.25">
      <c r="A1101">
        <v>530</v>
      </c>
      <c r="B1101" t="s">
        <v>3916</v>
      </c>
      <c r="C1101" t="s">
        <v>1936</v>
      </c>
      <c r="D1101" t="s">
        <v>3917</v>
      </c>
      <c r="F1101">
        <v>358</v>
      </c>
      <c r="G1101">
        <v>65</v>
      </c>
      <c r="H1101" t="s">
        <v>662</v>
      </c>
      <c r="I1101" t="s">
        <v>2271</v>
      </c>
      <c r="J1101">
        <v>1300000</v>
      </c>
      <c r="K1101">
        <v>2025</v>
      </c>
      <c r="L1101">
        <v>1003933793</v>
      </c>
      <c r="M1101" t="s">
        <v>3983</v>
      </c>
      <c r="N1101" t="s">
        <v>1688</v>
      </c>
      <c r="O1101" t="s">
        <v>1686</v>
      </c>
      <c r="P1101">
        <v>0</v>
      </c>
      <c r="Q1101">
        <v>1300000</v>
      </c>
      <c r="R1101">
        <v>0</v>
      </c>
      <c r="S1101">
        <v>0</v>
      </c>
      <c r="T1101" t="str">
        <f t="shared" si="34"/>
        <v>5302.43.4302.85.0-205128.2.3.3.08.06.</v>
      </c>
      <c r="U1101" t="e" cm="1">
        <f t="array" aca="1" ref="U1101" ca="1">+IF(COMPROMISOS_2025[[#This Row],[P]]="20","41080111",_xlfn.XLOOKUP(COMPROMISOS_2025[[#This Row],[concatenado]],PAA[[#All],[RCP-RUBRO]],PAA[[#All],[INDICADOR]],"",0))</f>
        <v>#NAME?</v>
      </c>
      <c r="V1101" s="144" t="str">
        <f t="shared" si="35"/>
        <v>85</v>
      </c>
      <c r="W1101" s="136">
        <f>+COMPROMISOS_2025[[#This Row],[valor_total]]-COMPROMISOS_2025[[#This Row],[total_cancelado]]</f>
        <v>1300000</v>
      </c>
      <c r="X1101" s="136">
        <f>COMPROMISOS_2025[[#This Row],[total_ordenes]]</f>
        <v>1300000</v>
      </c>
      <c r="Y1101" t="str" cm="1">
        <f t="array" aca="1" ref="Y1101" ca="1">IFERROR(_xlfn.XLOOKUP(COMPROMISOS_2025[[#This Row],[concatenado]],PAA[[#All],[RCP-RUBRO]],PAA[[#All],[Actividad3]],VLOOKUP(COMPROMISOS_2025[[#This Row],[Indicador Principal]],$AC$2:$AD$17,2,0),0),"")</f>
        <v/>
      </c>
    </row>
    <row r="1102" spans="1:25" hidden="1" x14ac:dyDescent="0.25">
      <c r="A1102">
        <v>531</v>
      </c>
      <c r="B1102" t="s">
        <v>3916</v>
      </c>
      <c r="C1102" t="s">
        <v>1936</v>
      </c>
      <c r="D1102" t="s">
        <v>3917</v>
      </c>
      <c r="F1102">
        <v>358</v>
      </c>
      <c r="G1102">
        <v>65</v>
      </c>
      <c r="H1102" t="s">
        <v>662</v>
      </c>
      <c r="I1102" t="s">
        <v>2271</v>
      </c>
      <c r="J1102">
        <v>1300000</v>
      </c>
      <c r="K1102">
        <v>2025</v>
      </c>
      <c r="L1102">
        <v>1004010852</v>
      </c>
      <c r="M1102" t="s">
        <v>3984</v>
      </c>
      <c r="N1102" t="s">
        <v>1688</v>
      </c>
      <c r="O1102" t="s">
        <v>1686</v>
      </c>
      <c r="P1102">
        <v>0</v>
      </c>
      <c r="Q1102">
        <v>1300000</v>
      </c>
      <c r="R1102">
        <v>0</v>
      </c>
      <c r="S1102">
        <v>0</v>
      </c>
      <c r="T1102" t="str">
        <f t="shared" si="34"/>
        <v>5312.43.4302.85.0-205128.2.3.3.08.06.</v>
      </c>
      <c r="U1102" t="e" cm="1">
        <f t="array" aca="1" ref="U1102" ca="1">+IF(COMPROMISOS_2025[[#This Row],[P]]="20","41080111",_xlfn.XLOOKUP(COMPROMISOS_2025[[#This Row],[concatenado]],PAA[[#All],[RCP-RUBRO]],PAA[[#All],[INDICADOR]],"",0))</f>
        <v>#NAME?</v>
      </c>
      <c r="V1102" s="144" t="str">
        <f t="shared" si="35"/>
        <v>85</v>
      </c>
      <c r="W1102" s="136">
        <f>+COMPROMISOS_2025[[#This Row],[valor_total]]-COMPROMISOS_2025[[#This Row],[total_cancelado]]</f>
        <v>1300000</v>
      </c>
      <c r="X1102" s="136">
        <f>COMPROMISOS_2025[[#This Row],[total_ordenes]]</f>
        <v>1300000</v>
      </c>
      <c r="Y1102" t="str" cm="1">
        <f t="array" aca="1" ref="Y1102" ca="1">IFERROR(_xlfn.XLOOKUP(COMPROMISOS_2025[[#This Row],[concatenado]],PAA[[#All],[RCP-RUBRO]],PAA[[#All],[Actividad3]],VLOOKUP(COMPROMISOS_2025[[#This Row],[Indicador Principal]],$AC$2:$AD$17,2,0),0),"")</f>
        <v/>
      </c>
    </row>
    <row r="1103" spans="1:25" hidden="1" x14ac:dyDescent="0.25">
      <c r="A1103">
        <v>532</v>
      </c>
      <c r="B1103" t="s">
        <v>3916</v>
      </c>
      <c r="C1103" t="s">
        <v>1936</v>
      </c>
      <c r="D1103" t="s">
        <v>3917</v>
      </c>
      <c r="F1103">
        <v>358</v>
      </c>
      <c r="G1103">
        <v>65</v>
      </c>
      <c r="H1103" t="s">
        <v>662</v>
      </c>
      <c r="I1103" t="s">
        <v>2271</v>
      </c>
      <c r="J1103">
        <v>500000</v>
      </c>
      <c r="K1103">
        <v>2025</v>
      </c>
      <c r="L1103">
        <v>1004912774</v>
      </c>
      <c r="M1103" t="s">
        <v>3605</v>
      </c>
      <c r="N1103" t="s">
        <v>1688</v>
      </c>
      <c r="O1103" t="s">
        <v>1686</v>
      </c>
      <c r="P1103">
        <v>0</v>
      </c>
      <c r="Q1103">
        <v>500000</v>
      </c>
      <c r="R1103">
        <v>0</v>
      </c>
      <c r="S1103">
        <v>0</v>
      </c>
      <c r="T1103" t="str">
        <f t="shared" si="34"/>
        <v>5322.43.4302.85.0-205128.2.3.3.08.06.</v>
      </c>
      <c r="U1103" t="e" cm="1">
        <f t="array" aca="1" ref="U1103" ca="1">+IF(COMPROMISOS_2025[[#This Row],[P]]="20","41080111",_xlfn.XLOOKUP(COMPROMISOS_2025[[#This Row],[concatenado]],PAA[[#All],[RCP-RUBRO]],PAA[[#All],[INDICADOR]],"",0))</f>
        <v>#NAME?</v>
      </c>
      <c r="V1103" s="144" t="str">
        <f t="shared" si="35"/>
        <v>85</v>
      </c>
      <c r="W1103" s="136">
        <f>+COMPROMISOS_2025[[#This Row],[valor_total]]-COMPROMISOS_2025[[#This Row],[total_cancelado]]</f>
        <v>500000</v>
      </c>
      <c r="X1103" s="136">
        <f>COMPROMISOS_2025[[#This Row],[total_ordenes]]</f>
        <v>500000</v>
      </c>
      <c r="Y1103" t="str" cm="1">
        <f t="array" aca="1" ref="Y1103" ca="1">IFERROR(_xlfn.XLOOKUP(COMPROMISOS_2025[[#This Row],[concatenado]],PAA[[#All],[RCP-RUBRO]],PAA[[#All],[Actividad3]],VLOOKUP(COMPROMISOS_2025[[#This Row],[Indicador Principal]],$AC$2:$AD$17,2,0),0),"")</f>
        <v/>
      </c>
    </row>
    <row r="1104" spans="1:25" hidden="1" x14ac:dyDescent="0.25">
      <c r="A1104">
        <v>533</v>
      </c>
      <c r="B1104" t="s">
        <v>3916</v>
      </c>
      <c r="C1104" t="s">
        <v>1936</v>
      </c>
      <c r="D1104" t="s">
        <v>3917</v>
      </c>
      <c r="F1104">
        <v>358</v>
      </c>
      <c r="G1104">
        <v>65</v>
      </c>
      <c r="H1104" t="s">
        <v>662</v>
      </c>
      <c r="I1104" t="s">
        <v>2271</v>
      </c>
      <c r="J1104">
        <v>800000</v>
      </c>
      <c r="K1104">
        <v>2025</v>
      </c>
      <c r="L1104">
        <v>1006182134</v>
      </c>
      <c r="M1104" t="s">
        <v>3985</v>
      </c>
      <c r="N1104" t="s">
        <v>1688</v>
      </c>
      <c r="O1104" t="s">
        <v>1686</v>
      </c>
      <c r="P1104">
        <v>0</v>
      </c>
      <c r="Q1104">
        <v>800000</v>
      </c>
      <c r="R1104">
        <v>0</v>
      </c>
      <c r="S1104">
        <v>0</v>
      </c>
      <c r="T1104" t="str">
        <f t="shared" si="34"/>
        <v>5332.43.4302.85.0-205128.2.3.3.08.06.</v>
      </c>
      <c r="U1104" t="e" cm="1">
        <f t="array" aca="1" ref="U1104" ca="1">+IF(COMPROMISOS_2025[[#This Row],[P]]="20","41080111",_xlfn.XLOOKUP(COMPROMISOS_2025[[#This Row],[concatenado]],PAA[[#All],[RCP-RUBRO]],PAA[[#All],[INDICADOR]],"",0))</f>
        <v>#NAME?</v>
      </c>
      <c r="V1104" s="144" t="str">
        <f t="shared" si="35"/>
        <v>85</v>
      </c>
      <c r="W1104" s="136">
        <f>+COMPROMISOS_2025[[#This Row],[valor_total]]-COMPROMISOS_2025[[#This Row],[total_cancelado]]</f>
        <v>800000</v>
      </c>
      <c r="X1104" s="136">
        <f>COMPROMISOS_2025[[#This Row],[total_ordenes]]</f>
        <v>800000</v>
      </c>
      <c r="Y1104" t="str" cm="1">
        <f t="array" aca="1" ref="Y1104" ca="1">IFERROR(_xlfn.XLOOKUP(COMPROMISOS_2025[[#This Row],[concatenado]],PAA[[#All],[RCP-RUBRO]],PAA[[#All],[Actividad3]],VLOOKUP(COMPROMISOS_2025[[#This Row],[Indicador Principal]],$AC$2:$AD$17,2,0),0),"")</f>
        <v/>
      </c>
    </row>
    <row r="1105" spans="1:25" hidden="1" x14ac:dyDescent="0.25">
      <c r="A1105">
        <v>534</v>
      </c>
      <c r="B1105" t="s">
        <v>3916</v>
      </c>
      <c r="C1105" t="s">
        <v>1936</v>
      </c>
      <c r="D1105" t="s">
        <v>3917</v>
      </c>
      <c r="F1105">
        <v>358</v>
      </c>
      <c r="G1105">
        <v>65</v>
      </c>
      <c r="H1105" t="s">
        <v>662</v>
      </c>
      <c r="I1105" t="s">
        <v>2271</v>
      </c>
      <c r="J1105">
        <v>500000</v>
      </c>
      <c r="K1105">
        <v>2025</v>
      </c>
      <c r="L1105">
        <v>1006207346</v>
      </c>
      <c r="M1105" t="s">
        <v>3606</v>
      </c>
      <c r="N1105" t="s">
        <v>1688</v>
      </c>
      <c r="O1105" t="s">
        <v>1686</v>
      </c>
      <c r="P1105">
        <v>0</v>
      </c>
      <c r="Q1105">
        <v>500000</v>
      </c>
      <c r="R1105">
        <v>0</v>
      </c>
      <c r="S1105">
        <v>0</v>
      </c>
      <c r="T1105" t="str">
        <f t="shared" si="34"/>
        <v>5342.43.4302.85.0-205128.2.3.3.08.06.</v>
      </c>
      <c r="U1105" t="e" cm="1">
        <f t="array" aca="1" ref="U1105" ca="1">+IF(COMPROMISOS_2025[[#This Row],[P]]="20","41080111",_xlfn.XLOOKUP(COMPROMISOS_2025[[#This Row],[concatenado]],PAA[[#All],[RCP-RUBRO]],PAA[[#All],[INDICADOR]],"",0))</f>
        <v>#NAME?</v>
      </c>
      <c r="V1105" s="144" t="str">
        <f t="shared" si="35"/>
        <v>85</v>
      </c>
      <c r="W1105" s="136">
        <f>+COMPROMISOS_2025[[#This Row],[valor_total]]-COMPROMISOS_2025[[#This Row],[total_cancelado]]</f>
        <v>500000</v>
      </c>
      <c r="X1105" s="136">
        <f>COMPROMISOS_2025[[#This Row],[total_ordenes]]</f>
        <v>500000</v>
      </c>
      <c r="Y1105" t="str" cm="1">
        <f t="array" aca="1" ref="Y1105" ca="1">IFERROR(_xlfn.XLOOKUP(COMPROMISOS_2025[[#This Row],[concatenado]],PAA[[#All],[RCP-RUBRO]],PAA[[#All],[Actividad3]],VLOOKUP(COMPROMISOS_2025[[#This Row],[Indicador Principal]],$AC$2:$AD$17,2,0),0),"")</f>
        <v/>
      </c>
    </row>
    <row r="1106" spans="1:25" hidden="1" x14ac:dyDescent="0.25">
      <c r="A1106">
        <v>535</v>
      </c>
      <c r="B1106" t="s">
        <v>3916</v>
      </c>
      <c r="C1106" t="s">
        <v>1936</v>
      </c>
      <c r="D1106" t="s">
        <v>3917</v>
      </c>
      <c r="F1106">
        <v>358</v>
      </c>
      <c r="G1106">
        <v>65</v>
      </c>
      <c r="H1106" t="s">
        <v>662</v>
      </c>
      <c r="I1106" t="s">
        <v>2271</v>
      </c>
      <c r="J1106">
        <v>1300000</v>
      </c>
      <c r="K1106">
        <v>2025</v>
      </c>
      <c r="L1106">
        <v>1006318727</v>
      </c>
      <c r="M1106" t="s">
        <v>3607</v>
      </c>
      <c r="N1106" t="s">
        <v>1688</v>
      </c>
      <c r="O1106" t="s">
        <v>1686</v>
      </c>
      <c r="P1106">
        <v>0</v>
      </c>
      <c r="Q1106">
        <v>1300000</v>
      </c>
      <c r="R1106">
        <v>0</v>
      </c>
      <c r="S1106">
        <v>0</v>
      </c>
      <c r="T1106" t="str">
        <f t="shared" si="34"/>
        <v>5352.43.4302.85.0-205128.2.3.3.08.06.</v>
      </c>
      <c r="U1106" t="e" cm="1">
        <f t="array" aca="1" ref="U1106" ca="1">+IF(COMPROMISOS_2025[[#This Row],[P]]="20","41080111",_xlfn.XLOOKUP(COMPROMISOS_2025[[#This Row],[concatenado]],PAA[[#All],[RCP-RUBRO]],PAA[[#All],[INDICADOR]],"",0))</f>
        <v>#NAME?</v>
      </c>
      <c r="V1106" s="144" t="str">
        <f t="shared" si="35"/>
        <v>85</v>
      </c>
      <c r="W1106" s="136">
        <f>+COMPROMISOS_2025[[#This Row],[valor_total]]-COMPROMISOS_2025[[#This Row],[total_cancelado]]</f>
        <v>1300000</v>
      </c>
      <c r="X1106" s="136">
        <f>COMPROMISOS_2025[[#This Row],[total_ordenes]]</f>
        <v>1300000</v>
      </c>
      <c r="Y1106" t="str" cm="1">
        <f t="array" aca="1" ref="Y1106" ca="1">IFERROR(_xlfn.XLOOKUP(COMPROMISOS_2025[[#This Row],[concatenado]],PAA[[#All],[RCP-RUBRO]],PAA[[#All],[Actividad3]],VLOOKUP(COMPROMISOS_2025[[#This Row],[Indicador Principal]],$AC$2:$AD$17,2,0),0),"")</f>
        <v/>
      </c>
    </row>
    <row r="1107" spans="1:25" hidden="1" x14ac:dyDescent="0.25">
      <c r="A1107">
        <v>536</v>
      </c>
      <c r="B1107" t="s">
        <v>3916</v>
      </c>
      <c r="C1107" t="s">
        <v>1936</v>
      </c>
      <c r="D1107" t="s">
        <v>3917</v>
      </c>
      <c r="F1107">
        <v>358</v>
      </c>
      <c r="G1107">
        <v>65</v>
      </c>
      <c r="H1107" t="s">
        <v>662</v>
      </c>
      <c r="I1107" t="s">
        <v>2271</v>
      </c>
      <c r="J1107">
        <v>500000</v>
      </c>
      <c r="K1107">
        <v>2025</v>
      </c>
      <c r="L1107">
        <v>1006491022</v>
      </c>
      <c r="M1107" t="s">
        <v>3986</v>
      </c>
      <c r="N1107" t="s">
        <v>1688</v>
      </c>
      <c r="O1107" t="s">
        <v>1686</v>
      </c>
      <c r="P1107">
        <v>0</v>
      </c>
      <c r="Q1107">
        <v>500000</v>
      </c>
      <c r="R1107">
        <v>0</v>
      </c>
      <c r="S1107">
        <v>0</v>
      </c>
      <c r="T1107" t="str">
        <f t="shared" si="34"/>
        <v>5362.43.4302.85.0-205128.2.3.3.08.06.</v>
      </c>
      <c r="U1107" t="e" cm="1">
        <f t="array" aca="1" ref="U1107" ca="1">+IF(COMPROMISOS_2025[[#This Row],[P]]="20","41080111",_xlfn.XLOOKUP(COMPROMISOS_2025[[#This Row],[concatenado]],PAA[[#All],[RCP-RUBRO]],PAA[[#All],[INDICADOR]],"",0))</f>
        <v>#NAME?</v>
      </c>
      <c r="V1107" s="144" t="str">
        <f t="shared" si="35"/>
        <v>85</v>
      </c>
      <c r="W1107" s="136">
        <f>+COMPROMISOS_2025[[#This Row],[valor_total]]-COMPROMISOS_2025[[#This Row],[total_cancelado]]</f>
        <v>500000</v>
      </c>
      <c r="X1107" s="136">
        <f>COMPROMISOS_2025[[#This Row],[total_ordenes]]</f>
        <v>500000</v>
      </c>
      <c r="Y1107" t="str" cm="1">
        <f t="array" aca="1" ref="Y1107" ca="1">IFERROR(_xlfn.XLOOKUP(COMPROMISOS_2025[[#This Row],[concatenado]],PAA[[#All],[RCP-RUBRO]],PAA[[#All],[Actividad3]],VLOOKUP(COMPROMISOS_2025[[#This Row],[Indicador Principal]],$AC$2:$AD$17,2,0),0),"")</f>
        <v/>
      </c>
    </row>
    <row r="1108" spans="1:25" hidden="1" x14ac:dyDescent="0.25">
      <c r="A1108">
        <v>537</v>
      </c>
      <c r="B1108" t="s">
        <v>3916</v>
      </c>
      <c r="C1108" t="s">
        <v>1936</v>
      </c>
      <c r="D1108" t="s">
        <v>3917</v>
      </c>
      <c r="F1108">
        <v>358</v>
      </c>
      <c r="G1108">
        <v>65</v>
      </c>
      <c r="H1108" t="s">
        <v>662</v>
      </c>
      <c r="I1108" t="s">
        <v>2271</v>
      </c>
      <c r="J1108">
        <v>500000</v>
      </c>
      <c r="K1108">
        <v>2025</v>
      </c>
      <c r="L1108">
        <v>1006512612</v>
      </c>
      <c r="M1108" t="s">
        <v>3987</v>
      </c>
      <c r="N1108" t="s">
        <v>1688</v>
      </c>
      <c r="O1108" t="s">
        <v>1686</v>
      </c>
      <c r="P1108">
        <v>0</v>
      </c>
      <c r="Q1108">
        <v>500000</v>
      </c>
      <c r="R1108">
        <v>0</v>
      </c>
      <c r="S1108">
        <v>0</v>
      </c>
      <c r="T1108" t="str">
        <f t="shared" si="34"/>
        <v>5372.43.4302.85.0-205128.2.3.3.08.06.</v>
      </c>
      <c r="U1108" t="e" cm="1">
        <f t="array" aca="1" ref="U1108" ca="1">+IF(COMPROMISOS_2025[[#This Row],[P]]="20","41080111",_xlfn.XLOOKUP(COMPROMISOS_2025[[#This Row],[concatenado]],PAA[[#All],[RCP-RUBRO]],PAA[[#All],[INDICADOR]],"",0))</f>
        <v>#NAME?</v>
      </c>
      <c r="V1108" s="144" t="str">
        <f t="shared" si="35"/>
        <v>85</v>
      </c>
      <c r="W1108" s="136">
        <f>+COMPROMISOS_2025[[#This Row],[valor_total]]-COMPROMISOS_2025[[#This Row],[total_cancelado]]</f>
        <v>500000</v>
      </c>
      <c r="X1108" s="136">
        <f>COMPROMISOS_2025[[#This Row],[total_ordenes]]</f>
        <v>500000</v>
      </c>
      <c r="Y1108" t="str" cm="1">
        <f t="array" aca="1" ref="Y1108" ca="1">IFERROR(_xlfn.XLOOKUP(COMPROMISOS_2025[[#This Row],[concatenado]],PAA[[#All],[RCP-RUBRO]],PAA[[#All],[Actividad3]],VLOOKUP(COMPROMISOS_2025[[#This Row],[Indicador Principal]],$AC$2:$AD$17,2,0),0),"")</f>
        <v/>
      </c>
    </row>
    <row r="1109" spans="1:25" hidden="1" x14ac:dyDescent="0.25">
      <c r="A1109">
        <v>538</v>
      </c>
      <c r="B1109" t="s">
        <v>3916</v>
      </c>
      <c r="C1109" t="s">
        <v>1936</v>
      </c>
      <c r="D1109" t="s">
        <v>3917</v>
      </c>
      <c r="F1109">
        <v>358</v>
      </c>
      <c r="G1109">
        <v>65</v>
      </c>
      <c r="H1109" t="s">
        <v>662</v>
      </c>
      <c r="I1109" t="s">
        <v>2271</v>
      </c>
      <c r="J1109">
        <v>1300000</v>
      </c>
      <c r="K1109">
        <v>2025</v>
      </c>
      <c r="L1109">
        <v>1007271880</v>
      </c>
      <c r="M1109" t="s">
        <v>3988</v>
      </c>
      <c r="N1109" t="s">
        <v>1688</v>
      </c>
      <c r="O1109" t="s">
        <v>1686</v>
      </c>
      <c r="P1109">
        <v>0</v>
      </c>
      <c r="Q1109">
        <v>1300000</v>
      </c>
      <c r="R1109">
        <v>0</v>
      </c>
      <c r="S1109">
        <v>0</v>
      </c>
      <c r="T1109" t="str">
        <f t="shared" si="34"/>
        <v>5382.43.4302.85.0-205128.2.3.3.08.06.</v>
      </c>
      <c r="U1109" t="e" cm="1">
        <f t="array" aca="1" ref="U1109" ca="1">+IF(COMPROMISOS_2025[[#This Row],[P]]="20","41080111",_xlfn.XLOOKUP(COMPROMISOS_2025[[#This Row],[concatenado]],PAA[[#All],[RCP-RUBRO]],PAA[[#All],[INDICADOR]],"",0))</f>
        <v>#NAME?</v>
      </c>
      <c r="V1109" s="144" t="str">
        <f t="shared" si="35"/>
        <v>85</v>
      </c>
      <c r="W1109" s="136">
        <f>+COMPROMISOS_2025[[#This Row],[valor_total]]-COMPROMISOS_2025[[#This Row],[total_cancelado]]</f>
        <v>1300000</v>
      </c>
      <c r="X1109" s="136">
        <f>COMPROMISOS_2025[[#This Row],[total_ordenes]]</f>
        <v>1300000</v>
      </c>
      <c r="Y1109" t="str" cm="1">
        <f t="array" aca="1" ref="Y1109" ca="1">IFERROR(_xlfn.XLOOKUP(COMPROMISOS_2025[[#This Row],[concatenado]],PAA[[#All],[RCP-RUBRO]],PAA[[#All],[Actividad3]],VLOOKUP(COMPROMISOS_2025[[#This Row],[Indicador Principal]],$AC$2:$AD$17,2,0),0),"")</f>
        <v/>
      </c>
    </row>
    <row r="1110" spans="1:25" hidden="1" x14ac:dyDescent="0.25">
      <c r="A1110">
        <v>539</v>
      </c>
      <c r="B1110" t="s">
        <v>3916</v>
      </c>
      <c r="C1110" t="s">
        <v>1936</v>
      </c>
      <c r="D1110" t="s">
        <v>3917</v>
      </c>
      <c r="F1110">
        <v>358</v>
      </c>
      <c r="G1110">
        <v>65</v>
      </c>
      <c r="H1110" t="s">
        <v>662</v>
      </c>
      <c r="I1110" t="s">
        <v>2271</v>
      </c>
      <c r="J1110">
        <v>500000</v>
      </c>
      <c r="K1110">
        <v>2025</v>
      </c>
      <c r="L1110">
        <v>1007286498</v>
      </c>
      <c r="M1110" t="s">
        <v>3989</v>
      </c>
      <c r="N1110" t="s">
        <v>1688</v>
      </c>
      <c r="O1110" t="s">
        <v>1686</v>
      </c>
      <c r="P1110">
        <v>0</v>
      </c>
      <c r="Q1110">
        <v>500000</v>
      </c>
      <c r="R1110">
        <v>0</v>
      </c>
      <c r="S1110">
        <v>0</v>
      </c>
      <c r="T1110" t="str">
        <f t="shared" si="34"/>
        <v>5392.43.4302.85.0-205128.2.3.3.08.06.</v>
      </c>
      <c r="U1110" t="e" cm="1">
        <f t="array" aca="1" ref="U1110" ca="1">+IF(COMPROMISOS_2025[[#This Row],[P]]="20","41080111",_xlfn.XLOOKUP(COMPROMISOS_2025[[#This Row],[concatenado]],PAA[[#All],[RCP-RUBRO]],PAA[[#All],[INDICADOR]],"",0))</f>
        <v>#NAME?</v>
      </c>
      <c r="V1110" s="144" t="str">
        <f t="shared" si="35"/>
        <v>85</v>
      </c>
      <c r="W1110" s="136">
        <f>+COMPROMISOS_2025[[#This Row],[valor_total]]-COMPROMISOS_2025[[#This Row],[total_cancelado]]</f>
        <v>500000</v>
      </c>
      <c r="X1110" s="136">
        <f>COMPROMISOS_2025[[#This Row],[total_ordenes]]</f>
        <v>500000</v>
      </c>
      <c r="Y1110" t="str" cm="1">
        <f t="array" aca="1" ref="Y1110" ca="1">IFERROR(_xlfn.XLOOKUP(COMPROMISOS_2025[[#This Row],[concatenado]],PAA[[#All],[RCP-RUBRO]],PAA[[#All],[Actividad3]],VLOOKUP(COMPROMISOS_2025[[#This Row],[Indicador Principal]],$AC$2:$AD$17,2,0),0),"")</f>
        <v/>
      </c>
    </row>
    <row r="1111" spans="1:25" hidden="1" x14ac:dyDescent="0.25">
      <c r="A1111">
        <v>540</v>
      </c>
      <c r="B1111" t="s">
        <v>3916</v>
      </c>
      <c r="C1111" t="s">
        <v>1936</v>
      </c>
      <c r="D1111" t="s">
        <v>3917</v>
      </c>
      <c r="F1111">
        <v>358</v>
      </c>
      <c r="G1111">
        <v>65</v>
      </c>
      <c r="H1111" t="s">
        <v>662</v>
      </c>
      <c r="I1111" t="s">
        <v>2271</v>
      </c>
      <c r="J1111">
        <v>800000</v>
      </c>
      <c r="K1111">
        <v>2025</v>
      </c>
      <c r="L1111">
        <v>1007460942</v>
      </c>
      <c r="M1111" t="s">
        <v>3990</v>
      </c>
      <c r="N1111" t="s">
        <v>1688</v>
      </c>
      <c r="O1111" t="s">
        <v>1686</v>
      </c>
      <c r="P1111">
        <v>0</v>
      </c>
      <c r="Q1111">
        <v>800000</v>
      </c>
      <c r="R1111">
        <v>0</v>
      </c>
      <c r="S1111">
        <v>0</v>
      </c>
      <c r="T1111" t="str">
        <f t="shared" si="34"/>
        <v>5402.43.4302.85.0-205128.2.3.3.08.06.</v>
      </c>
      <c r="U1111" t="e" cm="1">
        <f t="array" aca="1" ref="U1111" ca="1">+IF(COMPROMISOS_2025[[#This Row],[P]]="20","41080111",_xlfn.XLOOKUP(COMPROMISOS_2025[[#This Row],[concatenado]],PAA[[#All],[RCP-RUBRO]],PAA[[#All],[INDICADOR]],"",0))</f>
        <v>#NAME?</v>
      </c>
      <c r="V1111" s="144" t="str">
        <f t="shared" si="35"/>
        <v>85</v>
      </c>
      <c r="W1111" s="136">
        <f>+COMPROMISOS_2025[[#This Row],[valor_total]]-COMPROMISOS_2025[[#This Row],[total_cancelado]]</f>
        <v>800000</v>
      </c>
      <c r="X1111" s="136">
        <f>COMPROMISOS_2025[[#This Row],[total_ordenes]]</f>
        <v>800000</v>
      </c>
      <c r="Y1111" t="str" cm="1">
        <f t="array" aca="1" ref="Y1111" ca="1">IFERROR(_xlfn.XLOOKUP(COMPROMISOS_2025[[#This Row],[concatenado]],PAA[[#All],[RCP-RUBRO]],PAA[[#All],[Actividad3]],VLOOKUP(COMPROMISOS_2025[[#This Row],[Indicador Principal]],$AC$2:$AD$17,2,0),0),"")</f>
        <v/>
      </c>
    </row>
    <row r="1112" spans="1:25" hidden="1" x14ac:dyDescent="0.25">
      <c r="A1112">
        <v>541</v>
      </c>
      <c r="B1112" t="s">
        <v>3916</v>
      </c>
      <c r="C1112" t="s">
        <v>1936</v>
      </c>
      <c r="D1112" t="s">
        <v>3917</v>
      </c>
      <c r="F1112">
        <v>358</v>
      </c>
      <c r="G1112">
        <v>65</v>
      </c>
      <c r="H1112" t="s">
        <v>662</v>
      </c>
      <c r="I1112" t="s">
        <v>2271</v>
      </c>
      <c r="J1112">
        <v>500000</v>
      </c>
      <c r="K1112">
        <v>2025</v>
      </c>
      <c r="L1112">
        <v>1007524533</v>
      </c>
      <c r="M1112" t="s">
        <v>3991</v>
      </c>
      <c r="N1112" t="s">
        <v>1688</v>
      </c>
      <c r="O1112" t="s">
        <v>1686</v>
      </c>
      <c r="P1112">
        <v>0</v>
      </c>
      <c r="Q1112">
        <v>500000</v>
      </c>
      <c r="R1112">
        <v>0</v>
      </c>
      <c r="S1112">
        <v>0</v>
      </c>
      <c r="T1112" t="str">
        <f t="shared" si="34"/>
        <v>5412.43.4302.85.0-205128.2.3.3.08.06.</v>
      </c>
      <c r="U1112" t="e" cm="1">
        <f t="array" aca="1" ref="U1112" ca="1">+IF(COMPROMISOS_2025[[#This Row],[P]]="20","41080111",_xlfn.XLOOKUP(COMPROMISOS_2025[[#This Row],[concatenado]],PAA[[#All],[RCP-RUBRO]],PAA[[#All],[INDICADOR]],"",0))</f>
        <v>#NAME?</v>
      </c>
      <c r="V1112" s="144" t="str">
        <f t="shared" si="35"/>
        <v>85</v>
      </c>
      <c r="W1112" s="136">
        <f>+COMPROMISOS_2025[[#This Row],[valor_total]]-COMPROMISOS_2025[[#This Row],[total_cancelado]]</f>
        <v>500000</v>
      </c>
      <c r="X1112" s="136">
        <f>COMPROMISOS_2025[[#This Row],[total_ordenes]]</f>
        <v>500000</v>
      </c>
      <c r="Y1112" t="str" cm="1">
        <f t="array" aca="1" ref="Y1112" ca="1">IFERROR(_xlfn.XLOOKUP(COMPROMISOS_2025[[#This Row],[concatenado]],PAA[[#All],[RCP-RUBRO]],PAA[[#All],[Actividad3]],VLOOKUP(COMPROMISOS_2025[[#This Row],[Indicador Principal]],$AC$2:$AD$17,2,0),0),"")</f>
        <v/>
      </c>
    </row>
    <row r="1113" spans="1:25" hidden="1" x14ac:dyDescent="0.25">
      <c r="A1113">
        <v>542</v>
      </c>
      <c r="B1113" t="s">
        <v>3916</v>
      </c>
      <c r="C1113" t="s">
        <v>1936</v>
      </c>
      <c r="D1113" t="s">
        <v>3917</v>
      </c>
      <c r="F1113">
        <v>358</v>
      </c>
      <c r="G1113">
        <v>65</v>
      </c>
      <c r="H1113" t="s">
        <v>662</v>
      </c>
      <c r="I1113" t="s">
        <v>2271</v>
      </c>
      <c r="J1113">
        <v>1300000</v>
      </c>
      <c r="K1113">
        <v>2025</v>
      </c>
      <c r="L1113">
        <v>1007526330</v>
      </c>
      <c r="M1113" t="s">
        <v>3613</v>
      </c>
      <c r="N1113" t="s">
        <v>1688</v>
      </c>
      <c r="O1113" t="s">
        <v>1686</v>
      </c>
      <c r="P1113">
        <v>0</v>
      </c>
      <c r="Q1113">
        <v>1300000</v>
      </c>
      <c r="R1113">
        <v>0</v>
      </c>
      <c r="S1113">
        <v>0</v>
      </c>
      <c r="T1113" t="str">
        <f t="shared" si="34"/>
        <v>5422.43.4302.85.0-205128.2.3.3.08.06.</v>
      </c>
      <c r="U1113" t="e" cm="1">
        <f t="array" aca="1" ref="U1113" ca="1">+IF(COMPROMISOS_2025[[#This Row],[P]]="20","41080111",_xlfn.XLOOKUP(COMPROMISOS_2025[[#This Row],[concatenado]],PAA[[#All],[RCP-RUBRO]],PAA[[#All],[INDICADOR]],"",0))</f>
        <v>#NAME?</v>
      </c>
      <c r="V1113" s="144" t="str">
        <f t="shared" si="35"/>
        <v>85</v>
      </c>
      <c r="W1113" s="136">
        <f>+COMPROMISOS_2025[[#This Row],[valor_total]]-COMPROMISOS_2025[[#This Row],[total_cancelado]]</f>
        <v>1300000</v>
      </c>
      <c r="X1113" s="136">
        <f>COMPROMISOS_2025[[#This Row],[total_ordenes]]</f>
        <v>1300000</v>
      </c>
      <c r="Y1113" t="str" cm="1">
        <f t="array" aca="1" ref="Y1113" ca="1">IFERROR(_xlfn.XLOOKUP(COMPROMISOS_2025[[#This Row],[concatenado]],PAA[[#All],[RCP-RUBRO]],PAA[[#All],[Actividad3]],VLOOKUP(COMPROMISOS_2025[[#This Row],[Indicador Principal]],$AC$2:$AD$17,2,0),0),"")</f>
        <v/>
      </c>
    </row>
    <row r="1114" spans="1:25" hidden="1" x14ac:dyDescent="0.25">
      <c r="A1114">
        <v>543</v>
      </c>
      <c r="B1114" t="s">
        <v>3916</v>
      </c>
      <c r="C1114" t="s">
        <v>1936</v>
      </c>
      <c r="D1114" t="s">
        <v>3917</v>
      </c>
      <c r="F1114">
        <v>358</v>
      </c>
      <c r="G1114">
        <v>65</v>
      </c>
      <c r="H1114" t="s">
        <v>662</v>
      </c>
      <c r="I1114" t="s">
        <v>2271</v>
      </c>
      <c r="J1114">
        <v>1300000</v>
      </c>
      <c r="K1114">
        <v>2025</v>
      </c>
      <c r="L1114">
        <v>1007546362</v>
      </c>
      <c r="M1114" t="s">
        <v>3992</v>
      </c>
      <c r="N1114" t="s">
        <v>1688</v>
      </c>
      <c r="O1114" t="s">
        <v>1686</v>
      </c>
      <c r="P1114">
        <v>0</v>
      </c>
      <c r="Q1114">
        <v>1300000</v>
      </c>
      <c r="R1114">
        <v>0</v>
      </c>
      <c r="S1114">
        <v>0</v>
      </c>
      <c r="T1114" t="str">
        <f t="shared" si="34"/>
        <v>5432.43.4302.85.0-205128.2.3.3.08.06.</v>
      </c>
      <c r="U1114" t="e" cm="1">
        <f t="array" aca="1" ref="U1114" ca="1">+IF(COMPROMISOS_2025[[#This Row],[P]]="20","41080111",_xlfn.XLOOKUP(COMPROMISOS_2025[[#This Row],[concatenado]],PAA[[#All],[RCP-RUBRO]],PAA[[#All],[INDICADOR]],"",0))</f>
        <v>#NAME?</v>
      </c>
      <c r="V1114" s="144" t="str">
        <f t="shared" si="35"/>
        <v>85</v>
      </c>
      <c r="W1114" s="136">
        <f>+COMPROMISOS_2025[[#This Row],[valor_total]]-COMPROMISOS_2025[[#This Row],[total_cancelado]]</f>
        <v>1300000</v>
      </c>
      <c r="X1114" s="136">
        <f>COMPROMISOS_2025[[#This Row],[total_ordenes]]</f>
        <v>1300000</v>
      </c>
      <c r="Y1114" t="str" cm="1">
        <f t="array" aca="1" ref="Y1114" ca="1">IFERROR(_xlfn.XLOOKUP(COMPROMISOS_2025[[#This Row],[concatenado]],PAA[[#All],[RCP-RUBRO]],PAA[[#All],[Actividad3]],VLOOKUP(COMPROMISOS_2025[[#This Row],[Indicador Principal]],$AC$2:$AD$17,2,0),0),"")</f>
        <v/>
      </c>
    </row>
    <row r="1115" spans="1:25" hidden="1" x14ac:dyDescent="0.25">
      <c r="A1115">
        <v>544</v>
      </c>
      <c r="B1115" t="s">
        <v>3916</v>
      </c>
      <c r="C1115" t="s">
        <v>1936</v>
      </c>
      <c r="D1115" t="s">
        <v>3917</v>
      </c>
      <c r="F1115">
        <v>358</v>
      </c>
      <c r="G1115">
        <v>65</v>
      </c>
      <c r="H1115" t="s">
        <v>662</v>
      </c>
      <c r="I1115" t="s">
        <v>2271</v>
      </c>
      <c r="J1115">
        <v>500000</v>
      </c>
      <c r="K1115">
        <v>2025</v>
      </c>
      <c r="L1115">
        <v>1007626015</v>
      </c>
      <c r="M1115" t="s">
        <v>3993</v>
      </c>
      <c r="N1115" t="s">
        <v>1688</v>
      </c>
      <c r="O1115" t="s">
        <v>1686</v>
      </c>
      <c r="P1115">
        <v>0</v>
      </c>
      <c r="Q1115">
        <v>500000</v>
      </c>
      <c r="R1115">
        <v>0</v>
      </c>
      <c r="S1115">
        <v>0</v>
      </c>
      <c r="T1115" t="str">
        <f t="shared" si="34"/>
        <v>5442.43.4302.85.0-205128.2.3.3.08.06.</v>
      </c>
      <c r="U1115" t="e" cm="1">
        <f t="array" aca="1" ref="U1115" ca="1">+IF(COMPROMISOS_2025[[#This Row],[P]]="20","41080111",_xlfn.XLOOKUP(COMPROMISOS_2025[[#This Row],[concatenado]],PAA[[#All],[RCP-RUBRO]],PAA[[#All],[INDICADOR]],"",0))</f>
        <v>#NAME?</v>
      </c>
      <c r="V1115" s="144" t="str">
        <f t="shared" si="35"/>
        <v>85</v>
      </c>
      <c r="W1115" s="136">
        <f>+COMPROMISOS_2025[[#This Row],[valor_total]]-COMPROMISOS_2025[[#This Row],[total_cancelado]]</f>
        <v>500000</v>
      </c>
      <c r="X1115" s="136">
        <f>COMPROMISOS_2025[[#This Row],[total_ordenes]]</f>
        <v>500000</v>
      </c>
      <c r="Y1115" t="str" cm="1">
        <f t="array" aca="1" ref="Y1115" ca="1">IFERROR(_xlfn.XLOOKUP(COMPROMISOS_2025[[#This Row],[concatenado]],PAA[[#All],[RCP-RUBRO]],PAA[[#All],[Actividad3]],VLOOKUP(COMPROMISOS_2025[[#This Row],[Indicador Principal]],$AC$2:$AD$17,2,0),0),"")</f>
        <v/>
      </c>
    </row>
    <row r="1116" spans="1:25" hidden="1" x14ac:dyDescent="0.25">
      <c r="A1116">
        <v>545</v>
      </c>
      <c r="B1116" t="s">
        <v>3916</v>
      </c>
      <c r="C1116" t="s">
        <v>1936</v>
      </c>
      <c r="D1116" t="s">
        <v>3917</v>
      </c>
      <c r="F1116">
        <v>358</v>
      </c>
      <c r="G1116">
        <v>65</v>
      </c>
      <c r="H1116" t="s">
        <v>662</v>
      </c>
      <c r="I1116" t="s">
        <v>2271</v>
      </c>
      <c r="J1116">
        <v>500000</v>
      </c>
      <c r="K1116">
        <v>2025</v>
      </c>
      <c r="L1116">
        <v>1007746450</v>
      </c>
      <c r="M1116" t="s">
        <v>3614</v>
      </c>
      <c r="N1116" t="s">
        <v>1688</v>
      </c>
      <c r="O1116" t="s">
        <v>1686</v>
      </c>
      <c r="P1116">
        <v>0</v>
      </c>
      <c r="Q1116">
        <v>500000</v>
      </c>
      <c r="R1116">
        <v>0</v>
      </c>
      <c r="S1116">
        <v>0</v>
      </c>
      <c r="T1116" t="str">
        <f t="shared" si="34"/>
        <v>5452.43.4302.85.0-205128.2.3.3.08.06.</v>
      </c>
      <c r="U1116" t="e" cm="1">
        <f t="array" aca="1" ref="U1116" ca="1">+IF(COMPROMISOS_2025[[#This Row],[P]]="20","41080111",_xlfn.XLOOKUP(COMPROMISOS_2025[[#This Row],[concatenado]],PAA[[#All],[RCP-RUBRO]],PAA[[#All],[INDICADOR]],"",0))</f>
        <v>#NAME?</v>
      </c>
      <c r="V1116" s="144" t="str">
        <f t="shared" si="35"/>
        <v>85</v>
      </c>
      <c r="W1116" s="136">
        <f>+COMPROMISOS_2025[[#This Row],[valor_total]]-COMPROMISOS_2025[[#This Row],[total_cancelado]]</f>
        <v>500000</v>
      </c>
      <c r="X1116" s="136">
        <f>COMPROMISOS_2025[[#This Row],[total_ordenes]]</f>
        <v>500000</v>
      </c>
      <c r="Y1116" t="str" cm="1">
        <f t="array" aca="1" ref="Y1116" ca="1">IFERROR(_xlfn.XLOOKUP(COMPROMISOS_2025[[#This Row],[concatenado]],PAA[[#All],[RCP-RUBRO]],PAA[[#All],[Actividad3]],VLOOKUP(COMPROMISOS_2025[[#This Row],[Indicador Principal]],$AC$2:$AD$17,2,0),0),"")</f>
        <v/>
      </c>
    </row>
    <row r="1117" spans="1:25" hidden="1" x14ac:dyDescent="0.25">
      <c r="A1117">
        <v>546</v>
      </c>
      <c r="B1117" t="s">
        <v>3916</v>
      </c>
      <c r="C1117" t="s">
        <v>1936</v>
      </c>
      <c r="D1117" t="s">
        <v>3917</v>
      </c>
      <c r="F1117">
        <v>358</v>
      </c>
      <c r="G1117">
        <v>65</v>
      </c>
      <c r="H1117" t="s">
        <v>662</v>
      </c>
      <c r="I1117" t="s">
        <v>2271</v>
      </c>
      <c r="J1117">
        <v>500000</v>
      </c>
      <c r="K1117">
        <v>2025</v>
      </c>
      <c r="L1117">
        <v>1007898956</v>
      </c>
      <c r="M1117" t="s">
        <v>3994</v>
      </c>
      <c r="N1117" t="s">
        <v>1688</v>
      </c>
      <c r="O1117" t="s">
        <v>1686</v>
      </c>
      <c r="P1117">
        <v>0</v>
      </c>
      <c r="Q1117">
        <v>500000</v>
      </c>
      <c r="R1117">
        <v>0</v>
      </c>
      <c r="S1117">
        <v>0</v>
      </c>
      <c r="T1117" t="str">
        <f t="shared" si="34"/>
        <v>5462.43.4302.85.0-205128.2.3.3.08.06.</v>
      </c>
      <c r="U1117" t="e" cm="1">
        <f t="array" aca="1" ref="U1117" ca="1">+IF(COMPROMISOS_2025[[#This Row],[P]]="20","41080111",_xlfn.XLOOKUP(COMPROMISOS_2025[[#This Row],[concatenado]],PAA[[#All],[RCP-RUBRO]],PAA[[#All],[INDICADOR]],"",0))</f>
        <v>#NAME?</v>
      </c>
      <c r="V1117" s="144" t="str">
        <f t="shared" si="35"/>
        <v>85</v>
      </c>
      <c r="W1117" s="136">
        <f>+COMPROMISOS_2025[[#This Row],[valor_total]]-COMPROMISOS_2025[[#This Row],[total_cancelado]]</f>
        <v>500000</v>
      </c>
      <c r="X1117" s="136">
        <f>COMPROMISOS_2025[[#This Row],[total_ordenes]]</f>
        <v>500000</v>
      </c>
      <c r="Y1117" t="str" cm="1">
        <f t="array" aca="1" ref="Y1117" ca="1">IFERROR(_xlfn.XLOOKUP(COMPROMISOS_2025[[#This Row],[concatenado]],PAA[[#All],[RCP-RUBRO]],PAA[[#All],[Actividad3]],VLOOKUP(COMPROMISOS_2025[[#This Row],[Indicador Principal]],$AC$2:$AD$17,2,0),0),"")</f>
        <v/>
      </c>
    </row>
    <row r="1118" spans="1:25" hidden="1" x14ac:dyDescent="0.25">
      <c r="A1118">
        <v>547</v>
      </c>
      <c r="B1118" t="s">
        <v>3916</v>
      </c>
      <c r="C1118" t="s">
        <v>1936</v>
      </c>
      <c r="D1118" t="s">
        <v>3917</v>
      </c>
      <c r="F1118">
        <v>358</v>
      </c>
      <c r="G1118">
        <v>65</v>
      </c>
      <c r="H1118" t="s">
        <v>662</v>
      </c>
      <c r="I1118" t="s">
        <v>2271</v>
      </c>
      <c r="J1118">
        <v>1300000</v>
      </c>
      <c r="K1118">
        <v>2025</v>
      </c>
      <c r="L1118">
        <v>1010099123</v>
      </c>
      <c r="M1118" t="s">
        <v>3995</v>
      </c>
      <c r="N1118" t="s">
        <v>1688</v>
      </c>
      <c r="O1118" t="s">
        <v>1686</v>
      </c>
      <c r="P1118">
        <v>0</v>
      </c>
      <c r="Q1118">
        <v>1300000</v>
      </c>
      <c r="R1118">
        <v>0</v>
      </c>
      <c r="S1118">
        <v>0</v>
      </c>
      <c r="T1118" t="str">
        <f t="shared" si="34"/>
        <v>5472.43.4302.85.0-205128.2.3.3.08.06.</v>
      </c>
      <c r="U1118" t="e" cm="1">
        <f t="array" aca="1" ref="U1118" ca="1">+IF(COMPROMISOS_2025[[#This Row],[P]]="20","41080111",_xlfn.XLOOKUP(COMPROMISOS_2025[[#This Row],[concatenado]],PAA[[#All],[RCP-RUBRO]],PAA[[#All],[INDICADOR]],"",0))</f>
        <v>#NAME?</v>
      </c>
      <c r="V1118" s="144" t="str">
        <f t="shared" si="35"/>
        <v>85</v>
      </c>
      <c r="W1118" s="136">
        <f>+COMPROMISOS_2025[[#This Row],[valor_total]]-COMPROMISOS_2025[[#This Row],[total_cancelado]]</f>
        <v>1300000</v>
      </c>
      <c r="X1118" s="136">
        <f>COMPROMISOS_2025[[#This Row],[total_ordenes]]</f>
        <v>1300000</v>
      </c>
      <c r="Y1118" t="str" cm="1">
        <f t="array" aca="1" ref="Y1118" ca="1">IFERROR(_xlfn.XLOOKUP(COMPROMISOS_2025[[#This Row],[concatenado]],PAA[[#All],[RCP-RUBRO]],PAA[[#All],[Actividad3]],VLOOKUP(COMPROMISOS_2025[[#This Row],[Indicador Principal]],$AC$2:$AD$17,2,0),0),"")</f>
        <v/>
      </c>
    </row>
    <row r="1119" spans="1:25" hidden="1" x14ac:dyDescent="0.25">
      <c r="A1119">
        <v>548</v>
      </c>
      <c r="B1119" t="s">
        <v>3916</v>
      </c>
      <c r="C1119" t="s">
        <v>1936</v>
      </c>
      <c r="D1119" t="s">
        <v>3917</v>
      </c>
      <c r="F1119">
        <v>358</v>
      </c>
      <c r="G1119">
        <v>65</v>
      </c>
      <c r="H1119" t="s">
        <v>662</v>
      </c>
      <c r="I1119" t="s">
        <v>2271</v>
      </c>
      <c r="J1119">
        <v>500000</v>
      </c>
      <c r="K1119">
        <v>2025</v>
      </c>
      <c r="L1119">
        <v>1011391775</v>
      </c>
      <c r="M1119" t="s">
        <v>3615</v>
      </c>
      <c r="N1119" t="s">
        <v>1688</v>
      </c>
      <c r="O1119" t="s">
        <v>1686</v>
      </c>
      <c r="P1119">
        <v>0</v>
      </c>
      <c r="Q1119">
        <v>500000</v>
      </c>
      <c r="R1119">
        <v>0</v>
      </c>
      <c r="S1119">
        <v>0</v>
      </c>
      <c r="T1119" t="str">
        <f t="shared" si="34"/>
        <v>5482.43.4302.85.0-205128.2.3.3.08.06.</v>
      </c>
      <c r="U1119" t="e" cm="1">
        <f t="array" aca="1" ref="U1119" ca="1">+IF(COMPROMISOS_2025[[#This Row],[P]]="20","41080111",_xlfn.XLOOKUP(COMPROMISOS_2025[[#This Row],[concatenado]],PAA[[#All],[RCP-RUBRO]],PAA[[#All],[INDICADOR]],"",0))</f>
        <v>#NAME?</v>
      </c>
      <c r="V1119" s="144" t="str">
        <f t="shared" si="35"/>
        <v>85</v>
      </c>
      <c r="W1119" s="136">
        <f>+COMPROMISOS_2025[[#This Row],[valor_total]]-COMPROMISOS_2025[[#This Row],[total_cancelado]]</f>
        <v>500000</v>
      </c>
      <c r="X1119" s="136">
        <f>COMPROMISOS_2025[[#This Row],[total_ordenes]]</f>
        <v>500000</v>
      </c>
      <c r="Y1119" t="str" cm="1">
        <f t="array" aca="1" ref="Y1119" ca="1">IFERROR(_xlfn.XLOOKUP(COMPROMISOS_2025[[#This Row],[concatenado]],PAA[[#All],[RCP-RUBRO]],PAA[[#All],[Actividad3]],VLOOKUP(COMPROMISOS_2025[[#This Row],[Indicador Principal]],$AC$2:$AD$17,2,0),0),"")</f>
        <v/>
      </c>
    </row>
    <row r="1120" spans="1:25" hidden="1" x14ac:dyDescent="0.25">
      <c r="A1120">
        <v>549</v>
      </c>
      <c r="B1120" t="s">
        <v>3916</v>
      </c>
      <c r="C1120" t="s">
        <v>1936</v>
      </c>
      <c r="D1120" t="s">
        <v>3917</v>
      </c>
      <c r="F1120">
        <v>358</v>
      </c>
      <c r="G1120">
        <v>65</v>
      </c>
      <c r="H1120" t="s">
        <v>662</v>
      </c>
      <c r="I1120" t="s">
        <v>2271</v>
      </c>
      <c r="J1120">
        <v>500000</v>
      </c>
      <c r="K1120">
        <v>2025</v>
      </c>
      <c r="L1120">
        <v>1011403525</v>
      </c>
      <c r="M1120" t="s">
        <v>3996</v>
      </c>
      <c r="N1120" t="s">
        <v>1688</v>
      </c>
      <c r="O1120" t="s">
        <v>1686</v>
      </c>
      <c r="P1120">
        <v>0</v>
      </c>
      <c r="Q1120">
        <v>500000</v>
      </c>
      <c r="R1120">
        <v>0</v>
      </c>
      <c r="S1120">
        <v>0</v>
      </c>
      <c r="T1120" t="str">
        <f t="shared" si="34"/>
        <v>5492.43.4302.85.0-205128.2.3.3.08.06.</v>
      </c>
      <c r="U1120" t="e" cm="1">
        <f t="array" aca="1" ref="U1120" ca="1">+IF(COMPROMISOS_2025[[#This Row],[P]]="20","41080111",_xlfn.XLOOKUP(COMPROMISOS_2025[[#This Row],[concatenado]],PAA[[#All],[RCP-RUBRO]],PAA[[#All],[INDICADOR]],"",0))</f>
        <v>#NAME?</v>
      </c>
      <c r="V1120" s="144" t="str">
        <f t="shared" si="35"/>
        <v>85</v>
      </c>
      <c r="W1120" s="136">
        <f>+COMPROMISOS_2025[[#This Row],[valor_total]]-COMPROMISOS_2025[[#This Row],[total_cancelado]]</f>
        <v>500000</v>
      </c>
      <c r="X1120" s="136">
        <f>COMPROMISOS_2025[[#This Row],[total_ordenes]]</f>
        <v>500000</v>
      </c>
      <c r="Y1120" t="str" cm="1">
        <f t="array" aca="1" ref="Y1120" ca="1">IFERROR(_xlfn.XLOOKUP(COMPROMISOS_2025[[#This Row],[concatenado]],PAA[[#All],[RCP-RUBRO]],PAA[[#All],[Actividad3]],VLOOKUP(COMPROMISOS_2025[[#This Row],[Indicador Principal]],$AC$2:$AD$17,2,0),0),"")</f>
        <v/>
      </c>
    </row>
    <row r="1121" spans="1:25" hidden="1" x14ac:dyDescent="0.25">
      <c r="A1121">
        <v>550</v>
      </c>
      <c r="B1121" t="s">
        <v>3916</v>
      </c>
      <c r="C1121" t="s">
        <v>1936</v>
      </c>
      <c r="D1121" t="s">
        <v>3917</v>
      </c>
      <c r="F1121">
        <v>358</v>
      </c>
      <c r="G1121">
        <v>65</v>
      </c>
      <c r="H1121" t="s">
        <v>662</v>
      </c>
      <c r="I1121" t="s">
        <v>2271</v>
      </c>
      <c r="J1121">
        <v>500000</v>
      </c>
      <c r="K1121">
        <v>2025</v>
      </c>
      <c r="L1121">
        <v>1011510140</v>
      </c>
      <c r="M1121" t="s">
        <v>3997</v>
      </c>
      <c r="N1121" t="s">
        <v>1688</v>
      </c>
      <c r="O1121" t="s">
        <v>1686</v>
      </c>
      <c r="P1121">
        <v>0</v>
      </c>
      <c r="Q1121">
        <v>500000</v>
      </c>
      <c r="R1121">
        <v>0</v>
      </c>
      <c r="S1121">
        <v>0</v>
      </c>
      <c r="T1121" t="str">
        <f t="shared" si="34"/>
        <v>5502.43.4302.85.0-205128.2.3.3.08.06.</v>
      </c>
      <c r="U1121" t="e" cm="1">
        <f t="array" aca="1" ref="U1121" ca="1">+IF(COMPROMISOS_2025[[#This Row],[P]]="20","41080111",_xlfn.XLOOKUP(COMPROMISOS_2025[[#This Row],[concatenado]],PAA[[#All],[RCP-RUBRO]],PAA[[#All],[INDICADOR]],"",0))</f>
        <v>#NAME?</v>
      </c>
      <c r="V1121" s="144" t="str">
        <f t="shared" si="35"/>
        <v>85</v>
      </c>
      <c r="W1121" s="136">
        <f>+COMPROMISOS_2025[[#This Row],[valor_total]]-COMPROMISOS_2025[[#This Row],[total_cancelado]]</f>
        <v>500000</v>
      </c>
      <c r="X1121" s="136">
        <f>COMPROMISOS_2025[[#This Row],[total_ordenes]]</f>
        <v>500000</v>
      </c>
      <c r="Y1121" t="str" cm="1">
        <f t="array" aca="1" ref="Y1121" ca="1">IFERROR(_xlfn.XLOOKUP(COMPROMISOS_2025[[#This Row],[concatenado]],PAA[[#All],[RCP-RUBRO]],PAA[[#All],[Actividad3]],VLOOKUP(COMPROMISOS_2025[[#This Row],[Indicador Principal]],$AC$2:$AD$17,2,0),0),"")</f>
        <v/>
      </c>
    </row>
    <row r="1122" spans="1:25" hidden="1" x14ac:dyDescent="0.25">
      <c r="A1122">
        <v>551</v>
      </c>
      <c r="B1122" t="s">
        <v>3916</v>
      </c>
      <c r="C1122" t="s">
        <v>1936</v>
      </c>
      <c r="D1122" t="s">
        <v>3917</v>
      </c>
      <c r="F1122">
        <v>358</v>
      </c>
      <c r="G1122">
        <v>65</v>
      </c>
      <c r="H1122" t="s">
        <v>662</v>
      </c>
      <c r="I1122" t="s">
        <v>2271</v>
      </c>
      <c r="J1122">
        <v>500000</v>
      </c>
      <c r="K1122">
        <v>2025</v>
      </c>
      <c r="L1122">
        <v>1013347565</v>
      </c>
      <c r="M1122" t="s">
        <v>3998</v>
      </c>
      <c r="N1122" t="s">
        <v>1688</v>
      </c>
      <c r="O1122" t="s">
        <v>1686</v>
      </c>
      <c r="P1122">
        <v>0</v>
      </c>
      <c r="Q1122">
        <v>500000</v>
      </c>
      <c r="R1122">
        <v>0</v>
      </c>
      <c r="S1122">
        <v>0</v>
      </c>
      <c r="T1122" t="str">
        <f t="shared" si="34"/>
        <v>5512.43.4302.85.0-205128.2.3.3.08.06.</v>
      </c>
      <c r="U1122" t="e" cm="1">
        <f t="array" aca="1" ref="U1122" ca="1">+IF(COMPROMISOS_2025[[#This Row],[P]]="20","41080111",_xlfn.XLOOKUP(COMPROMISOS_2025[[#This Row],[concatenado]],PAA[[#All],[RCP-RUBRO]],PAA[[#All],[INDICADOR]],"",0))</f>
        <v>#NAME?</v>
      </c>
      <c r="V1122" s="144" t="str">
        <f t="shared" si="35"/>
        <v>85</v>
      </c>
      <c r="W1122" s="136">
        <f>+COMPROMISOS_2025[[#This Row],[valor_total]]-COMPROMISOS_2025[[#This Row],[total_cancelado]]</f>
        <v>500000</v>
      </c>
      <c r="X1122" s="136">
        <f>COMPROMISOS_2025[[#This Row],[total_ordenes]]</f>
        <v>500000</v>
      </c>
      <c r="Y1122" t="str" cm="1">
        <f t="array" aca="1" ref="Y1122" ca="1">IFERROR(_xlfn.XLOOKUP(COMPROMISOS_2025[[#This Row],[concatenado]],PAA[[#All],[RCP-RUBRO]],PAA[[#All],[Actividad3]],VLOOKUP(COMPROMISOS_2025[[#This Row],[Indicador Principal]],$AC$2:$AD$17,2,0),0),"")</f>
        <v/>
      </c>
    </row>
    <row r="1123" spans="1:25" hidden="1" x14ac:dyDescent="0.25">
      <c r="A1123">
        <v>552</v>
      </c>
      <c r="B1123" t="s">
        <v>3916</v>
      </c>
      <c r="C1123" t="s">
        <v>1936</v>
      </c>
      <c r="D1123" t="s">
        <v>3917</v>
      </c>
      <c r="F1123">
        <v>358</v>
      </c>
      <c r="G1123">
        <v>65</v>
      </c>
      <c r="H1123" t="s">
        <v>662</v>
      </c>
      <c r="I1123" t="s">
        <v>2271</v>
      </c>
      <c r="J1123">
        <v>800000</v>
      </c>
      <c r="K1123">
        <v>2025</v>
      </c>
      <c r="L1123">
        <v>1013459357</v>
      </c>
      <c r="M1123" t="s">
        <v>3999</v>
      </c>
      <c r="N1123" t="s">
        <v>1688</v>
      </c>
      <c r="O1123" t="s">
        <v>1686</v>
      </c>
      <c r="P1123">
        <v>0</v>
      </c>
      <c r="Q1123">
        <v>800000</v>
      </c>
      <c r="R1123">
        <v>0</v>
      </c>
      <c r="S1123">
        <v>0</v>
      </c>
      <c r="T1123" t="str">
        <f t="shared" si="34"/>
        <v>5522.43.4302.85.0-205128.2.3.3.08.06.</v>
      </c>
      <c r="U1123" t="e" cm="1">
        <f t="array" aca="1" ref="U1123" ca="1">+IF(COMPROMISOS_2025[[#This Row],[P]]="20","41080111",_xlfn.XLOOKUP(COMPROMISOS_2025[[#This Row],[concatenado]],PAA[[#All],[RCP-RUBRO]],PAA[[#All],[INDICADOR]],"",0))</f>
        <v>#NAME?</v>
      </c>
      <c r="V1123" s="144" t="str">
        <f t="shared" si="35"/>
        <v>85</v>
      </c>
      <c r="W1123" s="136">
        <f>+COMPROMISOS_2025[[#This Row],[valor_total]]-COMPROMISOS_2025[[#This Row],[total_cancelado]]</f>
        <v>800000</v>
      </c>
      <c r="X1123" s="136">
        <f>COMPROMISOS_2025[[#This Row],[total_ordenes]]</f>
        <v>800000</v>
      </c>
      <c r="Y1123" t="str" cm="1">
        <f t="array" aca="1" ref="Y1123" ca="1">IFERROR(_xlfn.XLOOKUP(COMPROMISOS_2025[[#This Row],[concatenado]],PAA[[#All],[RCP-RUBRO]],PAA[[#All],[Actividad3]],VLOOKUP(COMPROMISOS_2025[[#This Row],[Indicador Principal]],$AC$2:$AD$17,2,0),0),"")</f>
        <v/>
      </c>
    </row>
    <row r="1124" spans="1:25" hidden="1" x14ac:dyDescent="0.25">
      <c r="A1124">
        <v>553</v>
      </c>
      <c r="B1124" t="s">
        <v>3916</v>
      </c>
      <c r="C1124" t="s">
        <v>1936</v>
      </c>
      <c r="D1124" t="s">
        <v>3917</v>
      </c>
      <c r="F1124">
        <v>358</v>
      </c>
      <c r="G1124">
        <v>65</v>
      </c>
      <c r="H1124" t="s">
        <v>662</v>
      </c>
      <c r="I1124" t="s">
        <v>2271</v>
      </c>
      <c r="J1124">
        <v>500000</v>
      </c>
      <c r="K1124">
        <v>2025</v>
      </c>
      <c r="L1124">
        <v>1014176211</v>
      </c>
      <c r="M1124" t="s">
        <v>4000</v>
      </c>
      <c r="N1124" t="s">
        <v>1688</v>
      </c>
      <c r="O1124" t="s">
        <v>1686</v>
      </c>
      <c r="P1124">
        <v>0</v>
      </c>
      <c r="Q1124">
        <v>500000</v>
      </c>
      <c r="R1124">
        <v>0</v>
      </c>
      <c r="S1124">
        <v>0</v>
      </c>
      <c r="T1124" t="str">
        <f t="shared" si="34"/>
        <v>5532.43.4302.85.0-205128.2.3.3.08.06.</v>
      </c>
      <c r="U1124" t="e" cm="1">
        <f t="array" aca="1" ref="U1124" ca="1">+IF(COMPROMISOS_2025[[#This Row],[P]]="20","41080111",_xlfn.XLOOKUP(COMPROMISOS_2025[[#This Row],[concatenado]],PAA[[#All],[RCP-RUBRO]],PAA[[#All],[INDICADOR]],"",0))</f>
        <v>#NAME?</v>
      </c>
      <c r="V1124" s="144" t="str">
        <f t="shared" si="35"/>
        <v>85</v>
      </c>
      <c r="W1124" s="136">
        <f>+COMPROMISOS_2025[[#This Row],[valor_total]]-COMPROMISOS_2025[[#This Row],[total_cancelado]]</f>
        <v>500000</v>
      </c>
      <c r="X1124" s="136">
        <f>COMPROMISOS_2025[[#This Row],[total_ordenes]]</f>
        <v>500000</v>
      </c>
      <c r="Y1124" t="str" cm="1">
        <f t="array" aca="1" ref="Y1124" ca="1">IFERROR(_xlfn.XLOOKUP(COMPROMISOS_2025[[#This Row],[concatenado]],PAA[[#All],[RCP-RUBRO]],PAA[[#All],[Actividad3]],VLOOKUP(COMPROMISOS_2025[[#This Row],[Indicador Principal]],$AC$2:$AD$17,2,0),0),"")</f>
        <v/>
      </c>
    </row>
    <row r="1125" spans="1:25" hidden="1" x14ac:dyDescent="0.25">
      <c r="A1125">
        <v>554</v>
      </c>
      <c r="B1125" t="s">
        <v>3916</v>
      </c>
      <c r="C1125" t="s">
        <v>1936</v>
      </c>
      <c r="D1125" t="s">
        <v>3917</v>
      </c>
      <c r="F1125">
        <v>358</v>
      </c>
      <c r="G1125">
        <v>65</v>
      </c>
      <c r="H1125" t="s">
        <v>662</v>
      </c>
      <c r="I1125" t="s">
        <v>2271</v>
      </c>
      <c r="J1125">
        <v>500000</v>
      </c>
      <c r="K1125">
        <v>2025</v>
      </c>
      <c r="L1125">
        <v>1015482075</v>
      </c>
      <c r="M1125" t="s">
        <v>4001</v>
      </c>
      <c r="N1125" t="s">
        <v>1688</v>
      </c>
      <c r="O1125" t="s">
        <v>1686</v>
      </c>
      <c r="P1125">
        <v>0</v>
      </c>
      <c r="Q1125">
        <v>500000</v>
      </c>
      <c r="R1125">
        <v>0</v>
      </c>
      <c r="S1125">
        <v>0</v>
      </c>
      <c r="T1125" t="str">
        <f t="shared" si="34"/>
        <v>5542.43.4302.85.0-205128.2.3.3.08.06.</v>
      </c>
      <c r="U1125" t="e" cm="1">
        <f t="array" aca="1" ref="U1125" ca="1">+IF(COMPROMISOS_2025[[#This Row],[P]]="20","41080111",_xlfn.XLOOKUP(COMPROMISOS_2025[[#This Row],[concatenado]],PAA[[#All],[RCP-RUBRO]],PAA[[#All],[INDICADOR]],"",0))</f>
        <v>#NAME?</v>
      </c>
      <c r="V1125" s="144" t="str">
        <f t="shared" si="35"/>
        <v>85</v>
      </c>
      <c r="W1125" s="136">
        <f>+COMPROMISOS_2025[[#This Row],[valor_total]]-COMPROMISOS_2025[[#This Row],[total_cancelado]]</f>
        <v>500000</v>
      </c>
      <c r="X1125" s="136">
        <f>COMPROMISOS_2025[[#This Row],[total_ordenes]]</f>
        <v>500000</v>
      </c>
      <c r="Y1125" t="str" cm="1">
        <f t="array" aca="1" ref="Y1125" ca="1">IFERROR(_xlfn.XLOOKUP(COMPROMISOS_2025[[#This Row],[concatenado]],PAA[[#All],[RCP-RUBRO]],PAA[[#All],[Actividad3]],VLOOKUP(COMPROMISOS_2025[[#This Row],[Indicador Principal]],$AC$2:$AD$17,2,0),0),"")</f>
        <v/>
      </c>
    </row>
    <row r="1126" spans="1:25" hidden="1" x14ac:dyDescent="0.25">
      <c r="A1126">
        <v>555</v>
      </c>
      <c r="B1126" t="s">
        <v>3916</v>
      </c>
      <c r="C1126" t="s">
        <v>1936</v>
      </c>
      <c r="D1126" t="s">
        <v>3917</v>
      </c>
      <c r="F1126">
        <v>358</v>
      </c>
      <c r="G1126">
        <v>65</v>
      </c>
      <c r="H1126" t="s">
        <v>662</v>
      </c>
      <c r="I1126" t="s">
        <v>2271</v>
      </c>
      <c r="J1126">
        <v>500000</v>
      </c>
      <c r="K1126">
        <v>2025</v>
      </c>
      <c r="L1126">
        <v>1017156382</v>
      </c>
      <c r="M1126" t="s">
        <v>4002</v>
      </c>
      <c r="N1126" t="s">
        <v>1688</v>
      </c>
      <c r="O1126" t="s">
        <v>1686</v>
      </c>
      <c r="P1126">
        <v>0</v>
      </c>
      <c r="Q1126">
        <v>500000</v>
      </c>
      <c r="R1126">
        <v>0</v>
      </c>
      <c r="S1126">
        <v>0</v>
      </c>
      <c r="T1126" t="str">
        <f t="shared" si="34"/>
        <v>5552.43.4302.85.0-205128.2.3.3.08.06.</v>
      </c>
      <c r="U1126" t="e" cm="1">
        <f t="array" aca="1" ref="U1126" ca="1">+IF(COMPROMISOS_2025[[#This Row],[P]]="20","41080111",_xlfn.XLOOKUP(COMPROMISOS_2025[[#This Row],[concatenado]],PAA[[#All],[RCP-RUBRO]],PAA[[#All],[INDICADOR]],"",0))</f>
        <v>#NAME?</v>
      </c>
      <c r="V1126" s="144" t="str">
        <f t="shared" si="35"/>
        <v>85</v>
      </c>
      <c r="W1126" s="136">
        <f>+COMPROMISOS_2025[[#This Row],[valor_total]]-COMPROMISOS_2025[[#This Row],[total_cancelado]]</f>
        <v>500000</v>
      </c>
      <c r="X1126" s="136">
        <f>COMPROMISOS_2025[[#This Row],[total_ordenes]]</f>
        <v>500000</v>
      </c>
      <c r="Y1126" t="str" cm="1">
        <f t="array" aca="1" ref="Y1126" ca="1">IFERROR(_xlfn.XLOOKUP(COMPROMISOS_2025[[#This Row],[concatenado]],PAA[[#All],[RCP-RUBRO]],PAA[[#All],[Actividad3]],VLOOKUP(COMPROMISOS_2025[[#This Row],[Indicador Principal]],$AC$2:$AD$17,2,0),0),"")</f>
        <v/>
      </c>
    </row>
    <row r="1127" spans="1:25" hidden="1" x14ac:dyDescent="0.25">
      <c r="A1127">
        <v>556</v>
      </c>
      <c r="B1127" t="s">
        <v>3916</v>
      </c>
      <c r="C1127" t="s">
        <v>1936</v>
      </c>
      <c r="D1127" t="s">
        <v>3917</v>
      </c>
      <c r="F1127">
        <v>358</v>
      </c>
      <c r="G1127">
        <v>65</v>
      </c>
      <c r="H1127" t="s">
        <v>662</v>
      </c>
      <c r="I1127" t="s">
        <v>2271</v>
      </c>
      <c r="J1127">
        <v>500000</v>
      </c>
      <c r="K1127">
        <v>2025</v>
      </c>
      <c r="L1127">
        <v>1017211051</v>
      </c>
      <c r="M1127" t="s">
        <v>4003</v>
      </c>
      <c r="N1127" t="s">
        <v>1688</v>
      </c>
      <c r="O1127" t="s">
        <v>1686</v>
      </c>
      <c r="P1127">
        <v>0</v>
      </c>
      <c r="Q1127">
        <v>500000</v>
      </c>
      <c r="R1127">
        <v>0</v>
      </c>
      <c r="S1127">
        <v>0</v>
      </c>
      <c r="T1127" t="str">
        <f t="shared" si="34"/>
        <v>5562.43.4302.85.0-205128.2.3.3.08.06.</v>
      </c>
      <c r="U1127" t="e" cm="1">
        <f t="array" aca="1" ref="U1127" ca="1">+IF(COMPROMISOS_2025[[#This Row],[P]]="20","41080111",_xlfn.XLOOKUP(COMPROMISOS_2025[[#This Row],[concatenado]],PAA[[#All],[RCP-RUBRO]],PAA[[#All],[INDICADOR]],"",0))</f>
        <v>#NAME?</v>
      </c>
      <c r="V1127" s="144" t="str">
        <f t="shared" si="35"/>
        <v>85</v>
      </c>
      <c r="W1127" s="136">
        <f>+COMPROMISOS_2025[[#This Row],[valor_total]]-COMPROMISOS_2025[[#This Row],[total_cancelado]]</f>
        <v>500000</v>
      </c>
      <c r="X1127" s="136">
        <f>COMPROMISOS_2025[[#This Row],[total_ordenes]]</f>
        <v>500000</v>
      </c>
      <c r="Y1127" t="str" cm="1">
        <f t="array" aca="1" ref="Y1127" ca="1">IFERROR(_xlfn.XLOOKUP(COMPROMISOS_2025[[#This Row],[concatenado]],PAA[[#All],[RCP-RUBRO]],PAA[[#All],[Actividad3]],VLOOKUP(COMPROMISOS_2025[[#This Row],[Indicador Principal]],$AC$2:$AD$17,2,0),0),"")</f>
        <v/>
      </c>
    </row>
    <row r="1128" spans="1:25" hidden="1" x14ac:dyDescent="0.25">
      <c r="A1128">
        <v>557</v>
      </c>
      <c r="B1128" t="s">
        <v>3916</v>
      </c>
      <c r="C1128" t="s">
        <v>1936</v>
      </c>
      <c r="D1128" t="s">
        <v>3917</v>
      </c>
      <c r="F1128">
        <v>358</v>
      </c>
      <c r="G1128">
        <v>65</v>
      </c>
      <c r="H1128" t="s">
        <v>662</v>
      </c>
      <c r="I1128" t="s">
        <v>2271</v>
      </c>
      <c r="J1128">
        <v>500000</v>
      </c>
      <c r="K1128">
        <v>2025</v>
      </c>
      <c r="L1128">
        <v>1017225603</v>
      </c>
      <c r="M1128" t="s">
        <v>4004</v>
      </c>
      <c r="N1128" t="s">
        <v>1688</v>
      </c>
      <c r="O1128" t="s">
        <v>1686</v>
      </c>
      <c r="P1128">
        <v>0</v>
      </c>
      <c r="Q1128">
        <v>500000</v>
      </c>
      <c r="R1128">
        <v>0</v>
      </c>
      <c r="S1128">
        <v>0</v>
      </c>
      <c r="T1128" t="str">
        <f t="shared" si="34"/>
        <v>5572.43.4302.85.0-205128.2.3.3.08.06.</v>
      </c>
      <c r="U1128" t="e" cm="1">
        <f t="array" aca="1" ref="U1128" ca="1">+IF(COMPROMISOS_2025[[#This Row],[P]]="20","41080111",_xlfn.XLOOKUP(COMPROMISOS_2025[[#This Row],[concatenado]],PAA[[#All],[RCP-RUBRO]],PAA[[#All],[INDICADOR]],"",0))</f>
        <v>#NAME?</v>
      </c>
      <c r="V1128" s="144" t="str">
        <f t="shared" si="35"/>
        <v>85</v>
      </c>
      <c r="W1128" s="136">
        <f>+COMPROMISOS_2025[[#This Row],[valor_total]]-COMPROMISOS_2025[[#This Row],[total_cancelado]]</f>
        <v>500000</v>
      </c>
      <c r="X1128" s="136">
        <f>COMPROMISOS_2025[[#This Row],[total_ordenes]]</f>
        <v>500000</v>
      </c>
      <c r="Y1128" t="str" cm="1">
        <f t="array" aca="1" ref="Y1128" ca="1">IFERROR(_xlfn.XLOOKUP(COMPROMISOS_2025[[#This Row],[concatenado]],PAA[[#All],[RCP-RUBRO]],PAA[[#All],[Actividad3]],VLOOKUP(COMPROMISOS_2025[[#This Row],[Indicador Principal]],$AC$2:$AD$17,2,0),0),"")</f>
        <v/>
      </c>
    </row>
    <row r="1129" spans="1:25" hidden="1" x14ac:dyDescent="0.25">
      <c r="A1129">
        <v>558</v>
      </c>
      <c r="B1129" t="s">
        <v>3916</v>
      </c>
      <c r="C1129" t="s">
        <v>1936</v>
      </c>
      <c r="D1129" t="s">
        <v>3917</v>
      </c>
      <c r="F1129">
        <v>358</v>
      </c>
      <c r="G1129">
        <v>65</v>
      </c>
      <c r="H1129" t="s">
        <v>662</v>
      </c>
      <c r="I1129" t="s">
        <v>2271</v>
      </c>
      <c r="J1129">
        <v>500000</v>
      </c>
      <c r="K1129">
        <v>2025</v>
      </c>
      <c r="L1129">
        <v>1017231782</v>
      </c>
      <c r="M1129" t="s">
        <v>4005</v>
      </c>
      <c r="N1129" t="s">
        <v>1688</v>
      </c>
      <c r="O1129" t="s">
        <v>1686</v>
      </c>
      <c r="P1129">
        <v>0</v>
      </c>
      <c r="Q1129">
        <v>500000</v>
      </c>
      <c r="R1129">
        <v>0</v>
      </c>
      <c r="S1129">
        <v>0</v>
      </c>
      <c r="T1129" t="str">
        <f t="shared" si="34"/>
        <v>5582.43.4302.85.0-205128.2.3.3.08.06.</v>
      </c>
      <c r="U1129" t="e" cm="1">
        <f t="array" aca="1" ref="U1129" ca="1">+IF(COMPROMISOS_2025[[#This Row],[P]]="20","41080111",_xlfn.XLOOKUP(COMPROMISOS_2025[[#This Row],[concatenado]],PAA[[#All],[RCP-RUBRO]],PAA[[#All],[INDICADOR]],"",0))</f>
        <v>#NAME?</v>
      </c>
      <c r="V1129" s="144" t="str">
        <f t="shared" si="35"/>
        <v>85</v>
      </c>
      <c r="W1129" s="136">
        <f>+COMPROMISOS_2025[[#This Row],[valor_total]]-COMPROMISOS_2025[[#This Row],[total_cancelado]]</f>
        <v>500000</v>
      </c>
      <c r="X1129" s="136">
        <f>COMPROMISOS_2025[[#This Row],[total_ordenes]]</f>
        <v>500000</v>
      </c>
      <c r="Y1129" t="str" cm="1">
        <f t="array" aca="1" ref="Y1129" ca="1">IFERROR(_xlfn.XLOOKUP(COMPROMISOS_2025[[#This Row],[concatenado]],PAA[[#All],[RCP-RUBRO]],PAA[[#All],[Actividad3]],VLOOKUP(COMPROMISOS_2025[[#This Row],[Indicador Principal]],$AC$2:$AD$17,2,0),0),"")</f>
        <v/>
      </c>
    </row>
    <row r="1130" spans="1:25" hidden="1" x14ac:dyDescent="0.25">
      <c r="A1130">
        <v>559</v>
      </c>
      <c r="B1130" t="s">
        <v>3916</v>
      </c>
      <c r="C1130" t="s">
        <v>1936</v>
      </c>
      <c r="D1130" t="s">
        <v>3917</v>
      </c>
      <c r="F1130">
        <v>358</v>
      </c>
      <c r="G1130">
        <v>65</v>
      </c>
      <c r="H1130" t="s">
        <v>662</v>
      </c>
      <c r="I1130" t="s">
        <v>2271</v>
      </c>
      <c r="J1130">
        <v>1300000</v>
      </c>
      <c r="K1130">
        <v>2025</v>
      </c>
      <c r="L1130">
        <v>1017234088</v>
      </c>
      <c r="M1130" t="s">
        <v>4006</v>
      </c>
      <c r="N1130" t="s">
        <v>1688</v>
      </c>
      <c r="O1130" t="s">
        <v>1686</v>
      </c>
      <c r="P1130">
        <v>0</v>
      </c>
      <c r="Q1130">
        <v>1300000</v>
      </c>
      <c r="R1130">
        <v>0</v>
      </c>
      <c r="S1130">
        <v>0</v>
      </c>
      <c r="T1130" t="str">
        <f t="shared" si="34"/>
        <v>5592.43.4302.85.0-205128.2.3.3.08.06.</v>
      </c>
      <c r="U1130" t="e" cm="1">
        <f t="array" aca="1" ref="U1130" ca="1">+IF(COMPROMISOS_2025[[#This Row],[P]]="20","41080111",_xlfn.XLOOKUP(COMPROMISOS_2025[[#This Row],[concatenado]],PAA[[#All],[RCP-RUBRO]],PAA[[#All],[INDICADOR]],"",0))</f>
        <v>#NAME?</v>
      </c>
      <c r="V1130" s="144" t="str">
        <f t="shared" si="35"/>
        <v>85</v>
      </c>
      <c r="W1130" s="136">
        <f>+COMPROMISOS_2025[[#This Row],[valor_total]]-COMPROMISOS_2025[[#This Row],[total_cancelado]]</f>
        <v>1300000</v>
      </c>
      <c r="X1130" s="136">
        <f>COMPROMISOS_2025[[#This Row],[total_ordenes]]</f>
        <v>1300000</v>
      </c>
      <c r="Y1130" t="str" cm="1">
        <f t="array" aca="1" ref="Y1130" ca="1">IFERROR(_xlfn.XLOOKUP(COMPROMISOS_2025[[#This Row],[concatenado]],PAA[[#All],[RCP-RUBRO]],PAA[[#All],[Actividad3]],VLOOKUP(COMPROMISOS_2025[[#This Row],[Indicador Principal]],$AC$2:$AD$17,2,0),0),"")</f>
        <v/>
      </c>
    </row>
    <row r="1131" spans="1:25" hidden="1" x14ac:dyDescent="0.25">
      <c r="A1131">
        <v>560</v>
      </c>
      <c r="B1131" t="s">
        <v>3916</v>
      </c>
      <c r="C1131" t="s">
        <v>1936</v>
      </c>
      <c r="D1131" t="s">
        <v>3917</v>
      </c>
      <c r="F1131">
        <v>358</v>
      </c>
      <c r="G1131">
        <v>65</v>
      </c>
      <c r="H1131" t="s">
        <v>662</v>
      </c>
      <c r="I1131" t="s">
        <v>2271</v>
      </c>
      <c r="J1131">
        <v>1000000</v>
      </c>
      <c r="K1131">
        <v>2025</v>
      </c>
      <c r="L1131">
        <v>1017243459</v>
      </c>
      <c r="M1131" t="s">
        <v>3642</v>
      </c>
      <c r="N1131" t="s">
        <v>1688</v>
      </c>
      <c r="O1131" t="s">
        <v>1686</v>
      </c>
      <c r="P1131">
        <v>0</v>
      </c>
      <c r="Q1131">
        <v>1000000</v>
      </c>
      <c r="R1131">
        <v>0</v>
      </c>
      <c r="S1131">
        <v>0</v>
      </c>
      <c r="T1131" t="str">
        <f t="shared" si="34"/>
        <v>5602.43.4302.85.0-205128.2.3.3.08.06.</v>
      </c>
      <c r="U1131" t="e" cm="1">
        <f t="array" aca="1" ref="U1131" ca="1">+IF(COMPROMISOS_2025[[#This Row],[P]]="20","41080111",_xlfn.XLOOKUP(COMPROMISOS_2025[[#This Row],[concatenado]],PAA[[#All],[RCP-RUBRO]],PAA[[#All],[INDICADOR]],"",0))</f>
        <v>#NAME?</v>
      </c>
      <c r="V1131" s="144" t="str">
        <f t="shared" si="35"/>
        <v>85</v>
      </c>
      <c r="W1131" s="136">
        <f>+COMPROMISOS_2025[[#This Row],[valor_total]]-COMPROMISOS_2025[[#This Row],[total_cancelado]]</f>
        <v>1000000</v>
      </c>
      <c r="X1131" s="136">
        <f>COMPROMISOS_2025[[#This Row],[total_ordenes]]</f>
        <v>1000000</v>
      </c>
      <c r="Y1131" t="str" cm="1">
        <f t="array" aca="1" ref="Y1131" ca="1">IFERROR(_xlfn.XLOOKUP(COMPROMISOS_2025[[#This Row],[concatenado]],PAA[[#All],[RCP-RUBRO]],PAA[[#All],[Actividad3]],VLOOKUP(COMPROMISOS_2025[[#This Row],[Indicador Principal]],$AC$2:$AD$17,2,0),0),"")</f>
        <v/>
      </c>
    </row>
    <row r="1132" spans="1:25" hidden="1" x14ac:dyDescent="0.25">
      <c r="A1132">
        <v>561</v>
      </c>
      <c r="B1132" t="s">
        <v>3916</v>
      </c>
      <c r="C1132" t="s">
        <v>1936</v>
      </c>
      <c r="D1132" t="s">
        <v>3917</v>
      </c>
      <c r="F1132">
        <v>358</v>
      </c>
      <c r="G1132">
        <v>65</v>
      </c>
      <c r="H1132" t="s">
        <v>662</v>
      </c>
      <c r="I1132" t="s">
        <v>2271</v>
      </c>
      <c r="J1132">
        <v>500000</v>
      </c>
      <c r="K1132">
        <v>2025</v>
      </c>
      <c r="L1132">
        <v>1017247281</v>
      </c>
      <c r="M1132" t="s">
        <v>4007</v>
      </c>
      <c r="N1132" t="s">
        <v>1688</v>
      </c>
      <c r="O1132" t="s">
        <v>1686</v>
      </c>
      <c r="P1132">
        <v>0</v>
      </c>
      <c r="Q1132">
        <v>500000</v>
      </c>
      <c r="R1132">
        <v>0</v>
      </c>
      <c r="S1132">
        <v>0</v>
      </c>
      <c r="T1132" t="str">
        <f t="shared" si="34"/>
        <v>5612.43.4302.85.0-205128.2.3.3.08.06.</v>
      </c>
      <c r="U1132" t="e" cm="1">
        <f t="array" aca="1" ref="U1132" ca="1">+IF(COMPROMISOS_2025[[#This Row],[P]]="20","41080111",_xlfn.XLOOKUP(COMPROMISOS_2025[[#This Row],[concatenado]],PAA[[#All],[RCP-RUBRO]],PAA[[#All],[INDICADOR]],"",0))</f>
        <v>#NAME?</v>
      </c>
      <c r="V1132" s="144" t="str">
        <f t="shared" si="35"/>
        <v>85</v>
      </c>
      <c r="W1132" s="136">
        <f>+COMPROMISOS_2025[[#This Row],[valor_total]]-COMPROMISOS_2025[[#This Row],[total_cancelado]]</f>
        <v>500000</v>
      </c>
      <c r="X1132" s="136">
        <f>COMPROMISOS_2025[[#This Row],[total_ordenes]]</f>
        <v>500000</v>
      </c>
      <c r="Y1132" t="str" cm="1">
        <f t="array" aca="1" ref="Y1132" ca="1">IFERROR(_xlfn.XLOOKUP(COMPROMISOS_2025[[#This Row],[concatenado]],PAA[[#All],[RCP-RUBRO]],PAA[[#All],[Actividad3]],VLOOKUP(COMPROMISOS_2025[[#This Row],[Indicador Principal]],$AC$2:$AD$17,2,0),0),"")</f>
        <v/>
      </c>
    </row>
    <row r="1133" spans="1:25" hidden="1" x14ac:dyDescent="0.25">
      <c r="A1133">
        <v>562</v>
      </c>
      <c r="B1133" t="s">
        <v>3916</v>
      </c>
      <c r="C1133" t="s">
        <v>1936</v>
      </c>
      <c r="D1133" t="s">
        <v>3917</v>
      </c>
      <c r="F1133">
        <v>358</v>
      </c>
      <c r="G1133">
        <v>65</v>
      </c>
      <c r="H1133" t="s">
        <v>662</v>
      </c>
      <c r="I1133" t="s">
        <v>2271</v>
      </c>
      <c r="J1133">
        <v>500000</v>
      </c>
      <c r="K1133">
        <v>2025</v>
      </c>
      <c r="L1133">
        <v>1017247931</v>
      </c>
      <c r="M1133" t="s">
        <v>4008</v>
      </c>
      <c r="N1133" t="s">
        <v>1688</v>
      </c>
      <c r="O1133" t="s">
        <v>1686</v>
      </c>
      <c r="P1133">
        <v>0</v>
      </c>
      <c r="Q1133">
        <v>500000</v>
      </c>
      <c r="R1133">
        <v>0</v>
      </c>
      <c r="S1133">
        <v>0</v>
      </c>
      <c r="T1133" t="str">
        <f t="shared" si="34"/>
        <v>5622.43.4302.85.0-205128.2.3.3.08.06.</v>
      </c>
      <c r="U1133" t="e" cm="1">
        <f t="array" aca="1" ref="U1133" ca="1">+IF(COMPROMISOS_2025[[#This Row],[P]]="20","41080111",_xlfn.XLOOKUP(COMPROMISOS_2025[[#This Row],[concatenado]],PAA[[#All],[RCP-RUBRO]],PAA[[#All],[INDICADOR]],"",0))</f>
        <v>#NAME?</v>
      </c>
      <c r="V1133" s="144" t="str">
        <f t="shared" si="35"/>
        <v>85</v>
      </c>
      <c r="W1133" s="136">
        <f>+COMPROMISOS_2025[[#This Row],[valor_total]]-COMPROMISOS_2025[[#This Row],[total_cancelado]]</f>
        <v>500000</v>
      </c>
      <c r="X1133" s="136">
        <f>COMPROMISOS_2025[[#This Row],[total_ordenes]]</f>
        <v>500000</v>
      </c>
      <c r="Y1133" t="str" cm="1">
        <f t="array" aca="1" ref="Y1133" ca="1">IFERROR(_xlfn.XLOOKUP(COMPROMISOS_2025[[#This Row],[concatenado]],PAA[[#All],[RCP-RUBRO]],PAA[[#All],[Actividad3]],VLOOKUP(COMPROMISOS_2025[[#This Row],[Indicador Principal]],$AC$2:$AD$17,2,0),0),"")</f>
        <v/>
      </c>
    </row>
    <row r="1134" spans="1:25" hidden="1" x14ac:dyDescent="0.25">
      <c r="A1134">
        <v>563</v>
      </c>
      <c r="B1134" t="s">
        <v>3916</v>
      </c>
      <c r="C1134" t="s">
        <v>1936</v>
      </c>
      <c r="D1134" t="s">
        <v>3917</v>
      </c>
      <c r="F1134">
        <v>358</v>
      </c>
      <c r="G1134">
        <v>65</v>
      </c>
      <c r="H1134" t="s">
        <v>662</v>
      </c>
      <c r="I1134" t="s">
        <v>2271</v>
      </c>
      <c r="J1134">
        <v>500000</v>
      </c>
      <c r="K1134">
        <v>2025</v>
      </c>
      <c r="L1134">
        <v>1017263035</v>
      </c>
      <c r="M1134" t="s">
        <v>3643</v>
      </c>
      <c r="N1134" t="s">
        <v>1688</v>
      </c>
      <c r="O1134" t="s">
        <v>1686</v>
      </c>
      <c r="P1134">
        <v>0</v>
      </c>
      <c r="Q1134">
        <v>500000</v>
      </c>
      <c r="R1134">
        <v>0</v>
      </c>
      <c r="S1134">
        <v>0</v>
      </c>
      <c r="T1134" t="str">
        <f t="shared" si="34"/>
        <v>5632.43.4302.85.0-205128.2.3.3.08.06.</v>
      </c>
      <c r="U1134" t="e" cm="1">
        <f t="array" aca="1" ref="U1134" ca="1">+IF(COMPROMISOS_2025[[#This Row],[P]]="20","41080111",_xlfn.XLOOKUP(COMPROMISOS_2025[[#This Row],[concatenado]],PAA[[#All],[RCP-RUBRO]],PAA[[#All],[INDICADOR]],"",0))</f>
        <v>#NAME?</v>
      </c>
      <c r="V1134" s="144" t="str">
        <f t="shared" si="35"/>
        <v>85</v>
      </c>
      <c r="W1134" s="136">
        <f>+COMPROMISOS_2025[[#This Row],[valor_total]]-COMPROMISOS_2025[[#This Row],[total_cancelado]]</f>
        <v>500000</v>
      </c>
      <c r="X1134" s="136">
        <f>COMPROMISOS_2025[[#This Row],[total_ordenes]]</f>
        <v>500000</v>
      </c>
      <c r="Y1134" t="str" cm="1">
        <f t="array" aca="1" ref="Y1134" ca="1">IFERROR(_xlfn.XLOOKUP(COMPROMISOS_2025[[#This Row],[concatenado]],PAA[[#All],[RCP-RUBRO]],PAA[[#All],[Actividad3]],VLOOKUP(COMPROMISOS_2025[[#This Row],[Indicador Principal]],$AC$2:$AD$17,2,0),0),"")</f>
        <v/>
      </c>
    </row>
    <row r="1135" spans="1:25" hidden="1" x14ac:dyDescent="0.25">
      <c r="A1135">
        <v>564</v>
      </c>
      <c r="B1135" t="s">
        <v>3916</v>
      </c>
      <c r="C1135" t="s">
        <v>1936</v>
      </c>
      <c r="D1135" t="s">
        <v>3917</v>
      </c>
      <c r="F1135">
        <v>358</v>
      </c>
      <c r="G1135">
        <v>65</v>
      </c>
      <c r="H1135" t="s">
        <v>662</v>
      </c>
      <c r="I1135" t="s">
        <v>2271</v>
      </c>
      <c r="J1135">
        <v>500000</v>
      </c>
      <c r="K1135">
        <v>2025</v>
      </c>
      <c r="L1135">
        <v>1017265361</v>
      </c>
      <c r="M1135" t="s">
        <v>3644</v>
      </c>
      <c r="N1135" t="s">
        <v>1688</v>
      </c>
      <c r="O1135" t="s">
        <v>1686</v>
      </c>
      <c r="P1135">
        <v>0</v>
      </c>
      <c r="Q1135">
        <v>500000</v>
      </c>
      <c r="R1135">
        <v>0</v>
      </c>
      <c r="S1135">
        <v>0</v>
      </c>
      <c r="T1135" t="str">
        <f t="shared" si="34"/>
        <v>5642.43.4302.85.0-205128.2.3.3.08.06.</v>
      </c>
      <c r="U1135" t="e" cm="1">
        <f t="array" aca="1" ref="U1135" ca="1">+IF(COMPROMISOS_2025[[#This Row],[P]]="20","41080111",_xlfn.XLOOKUP(COMPROMISOS_2025[[#This Row],[concatenado]],PAA[[#All],[RCP-RUBRO]],PAA[[#All],[INDICADOR]],"",0))</f>
        <v>#NAME?</v>
      </c>
      <c r="V1135" s="144" t="str">
        <f t="shared" si="35"/>
        <v>85</v>
      </c>
      <c r="W1135" s="136">
        <f>+COMPROMISOS_2025[[#This Row],[valor_total]]-COMPROMISOS_2025[[#This Row],[total_cancelado]]</f>
        <v>500000</v>
      </c>
      <c r="X1135" s="136">
        <f>COMPROMISOS_2025[[#This Row],[total_ordenes]]</f>
        <v>500000</v>
      </c>
      <c r="Y1135" t="str" cm="1">
        <f t="array" aca="1" ref="Y1135" ca="1">IFERROR(_xlfn.XLOOKUP(COMPROMISOS_2025[[#This Row],[concatenado]],PAA[[#All],[RCP-RUBRO]],PAA[[#All],[Actividad3]],VLOOKUP(COMPROMISOS_2025[[#This Row],[Indicador Principal]],$AC$2:$AD$17,2,0),0),"")</f>
        <v/>
      </c>
    </row>
    <row r="1136" spans="1:25" hidden="1" x14ac:dyDescent="0.25">
      <c r="A1136">
        <v>565</v>
      </c>
      <c r="B1136" t="s">
        <v>3916</v>
      </c>
      <c r="C1136" t="s">
        <v>1936</v>
      </c>
      <c r="D1136" t="s">
        <v>3917</v>
      </c>
      <c r="F1136">
        <v>358</v>
      </c>
      <c r="G1136">
        <v>65</v>
      </c>
      <c r="H1136" t="s">
        <v>662</v>
      </c>
      <c r="I1136" t="s">
        <v>2271</v>
      </c>
      <c r="J1136">
        <v>500000</v>
      </c>
      <c r="K1136">
        <v>2025</v>
      </c>
      <c r="L1136">
        <v>1017268216</v>
      </c>
      <c r="M1136" t="s">
        <v>4009</v>
      </c>
      <c r="N1136" t="s">
        <v>1688</v>
      </c>
      <c r="O1136" t="s">
        <v>1686</v>
      </c>
      <c r="P1136">
        <v>0</v>
      </c>
      <c r="Q1136">
        <v>500000</v>
      </c>
      <c r="R1136">
        <v>0</v>
      </c>
      <c r="S1136">
        <v>0</v>
      </c>
      <c r="T1136" t="str">
        <f t="shared" si="34"/>
        <v>5652.43.4302.85.0-205128.2.3.3.08.06.</v>
      </c>
      <c r="U1136" t="e" cm="1">
        <f t="array" aca="1" ref="U1136" ca="1">+IF(COMPROMISOS_2025[[#This Row],[P]]="20","41080111",_xlfn.XLOOKUP(COMPROMISOS_2025[[#This Row],[concatenado]],PAA[[#All],[RCP-RUBRO]],PAA[[#All],[INDICADOR]],"",0))</f>
        <v>#NAME?</v>
      </c>
      <c r="V1136" s="144" t="str">
        <f t="shared" si="35"/>
        <v>85</v>
      </c>
      <c r="W1136" s="136">
        <f>+COMPROMISOS_2025[[#This Row],[valor_total]]-COMPROMISOS_2025[[#This Row],[total_cancelado]]</f>
        <v>500000</v>
      </c>
      <c r="X1136" s="136">
        <f>COMPROMISOS_2025[[#This Row],[total_ordenes]]</f>
        <v>500000</v>
      </c>
      <c r="Y1136" t="str" cm="1">
        <f t="array" aca="1" ref="Y1136" ca="1">IFERROR(_xlfn.XLOOKUP(COMPROMISOS_2025[[#This Row],[concatenado]],PAA[[#All],[RCP-RUBRO]],PAA[[#All],[Actividad3]],VLOOKUP(COMPROMISOS_2025[[#This Row],[Indicador Principal]],$AC$2:$AD$17,2,0),0),"")</f>
        <v/>
      </c>
    </row>
    <row r="1137" spans="1:25" hidden="1" x14ac:dyDescent="0.25">
      <c r="A1137">
        <v>566</v>
      </c>
      <c r="B1137" t="s">
        <v>3916</v>
      </c>
      <c r="C1137" t="s">
        <v>1936</v>
      </c>
      <c r="D1137" t="s">
        <v>3917</v>
      </c>
      <c r="F1137">
        <v>358</v>
      </c>
      <c r="G1137">
        <v>65</v>
      </c>
      <c r="H1137" t="s">
        <v>662</v>
      </c>
      <c r="I1137" t="s">
        <v>2271</v>
      </c>
      <c r="J1137">
        <v>500000</v>
      </c>
      <c r="K1137">
        <v>2025</v>
      </c>
      <c r="L1137">
        <v>1017270409</v>
      </c>
      <c r="M1137" t="s">
        <v>4010</v>
      </c>
      <c r="N1137" t="s">
        <v>1688</v>
      </c>
      <c r="O1137" t="s">
        <v>1686</v>
      </c>
      <c r="P1137">
        <v>0</v>
      </c>
      <c r="Q1137">
        <v>500000</v>
      </c>
      <c r="R1137">
        <v>0</v>
      </c>
      <c r="S1137">
        <v>0</v>
      </c>
      <c r="T1137" t="str">
        <f t="shared" si="34"/>
        <v>5662.43.4302.85.0-205128.2.3.3.08.06.</v>
      </c>
      <c r="U1137" t="e" cm="1">
        <f t="array" aca="1" ref="U1137" ca="1">+IF(COMPROMISOS_2025[[#This Row],[P]]="20","41080111",_xlfn.XLOOKUP(COMPROMISOS_2025[[#This Row],[concatenado]],PAA[[#All],[RCP-RUBRO]],PAA[[#All],[INDICADOR]],"",0))</f>
        <v>#NAME?</v>
      </c>
      <c r="V1137" s="144" t="str">
        <f t="shared" si="35"/>
        <v>85</v>
      </c>
      <c r="W1137" s="136">
        <f>+COMPROMISOS_2025[[#This Row],[valor_total]]-COMPROMISOS_2025[[#This Row],[total_cancelado]]</f>
        <v>500000</v>
      </c>
      <c r="X1137" s="136">
        <f>COMPROMISOS_2025[[#This Row],[total_ordenes]]</f>
        <v>500000</v>
      </c>
      <c r="Y1137" t="str" cm="1">
        <f t="array" aca="1" ref="Y1137" ca="1">IFERROR(_xlfn.XLOOKUP(COMPROMISOS_2025[[#This Row],[concatenado]],PAA[[#All],[RCP-RUBRO]],PAA[[#All],[Actividad3]],VLOOKUP(COMPROMISOS_2025[[#This Row],[Indicador Principal]],$AC$2:$AD$17,2,0),0),"")</f>
        <v/>
      </c>
    </row>
    <row r="1138" spans="1:25" hidden="1" x14ac:dyDescent="0.25">
      <c r="A1138">
        <v>567</v>
      </c>
      <c r="B1138" t="s">
        <v>3916</v>
      </c>
      <c r="C1138" t="s">
        <v>1936</v>
      </c>
      <c r="D1138" t="s">
        <v>3917</v>
      </c>
      <c r="F1138">
        <v>358</v>
      </c>
      <c r="G1138">
        <v>65</v>
      </c>
      <c r="H1138" t="s">
        <v>662</v>
      </c>
      <c r="I1138" t="s">
        <v>2271</v>
      </c>
      <c r="J1138">
        <v>500000</v>
      </c>
      <c r="K1138">
        <v>2025</v>
      </c>
      <c r="L1138">
        <v>1017271509</v>
      </c>
      <c r="M1138" t="s">
        <v>4011</v>
      </c>
      <c r="N1138" t="s">
        <v>1688</v>
      </c>
      <c r="O1138" t="s">
        <v>1686</v>
      </c>
      <c r="P1138">
        <v>0</v>
      </c>
      <c r="Q1138">
        <v>500000</v>
      </c>
      <c r="R1138">
        <v>0</v>
      </c>
      <c r="S1138">
        <v>0</v>
      </c>
      <c r="T1138" t="str">
        <f t="shared" si="34"/>
        <v>5672.43.4302.85.0-205128.2.3.3.08.06.</v>
      </c>
      <c r="U1138" t="e" cm="1">
        <f t="array" aca="1" ref="U1138" ca="1">+IF(COMPROMISOS_2025[[#This Row],[P]]="20","41080111",_xlfn.XLOOKUP(COMPROMISOS_2025[[#This Row],[concatenado]],PAA[[#All],[RCP-RUBRO]],PAA[[#All],[INDICADOR]],"",0))</f>
        <v>#NAME?</v>
      </c>
      <c r="V1138" s="144" t="str">
        <f t="shared" si="35"/>
        <v>85</v>
      </c>
      <c r="W1138" s="136">
        <f>+COMPROMISOS_2025[[#This Row],[valor_total]]-COMPROMISOS_2025[[#This Row],[total_cancelado]]</f>
        <v>500000</v>
      </c>
      <c r="X1138" s="136">
        <f>COMPROMISOS_2025[[#This Row],[total_ordenes]]</f>
        <v>500000</v>
      </c>
      <c r="Y1138" t="str" cm="1">
        <f t="array" aca="1" ref="Y1138" ca="1">IFERROR(_xlfn.XLOOKUP(COMPROMISOS_2025[[#This Row],[concatenado]],PAA[[#All],[RCP-RUBRO]],PAA[[#All],[Actividad3]],VLOOKUP(COMPROMISOS_2025[[#This Row],[Indicador Principal]],$AC$2:$AD$17,2,0),0),"")</f>
        <v/>
      </c>
    </row>
    <row r="1139" spans="1:25" hidden="1" x14ac:dyDescent="0.25">
      <c r="A1139">
        <v>568</v>
      </c>
      <c r="B1139" t="s">
        <v>3916</v>
      </c>
      <c r="C1139" t="s">
        <v>1936</v>
      </c>
      <c r="D1139" t="s">
        <v>3917</v>
      </c>
      <c r="F1139">
        <v>358</v>
      </c>
      <c r="G1139">
        <v>65</v>
      </c>
      <c r="H1139" t="s">
        <v>662</v>
      </c>
      <c r="I1139" t="s">
        <v>2271</v>
      </c>
      <c r="J1139">
        <v>1300000</v>
      </c>
      <c r="K1139">
        <v>2025</v>
      </c>
      <c r="L1139">
        <v>1017272625</v>
      </c>
      <c r="M1139" t="s">
        <v>4012</v>
      </c>
      <c r="N1139" t="s">
        <v>1688</v>
      </c>
      <c r="O1139" t="s">
        <v>1686</v>
      </c>
      <c r="P1139">
        <v>0</v>
      </c>
      <c r="Q1139">
        <v>1300000</v>
      </c>
      <c r="R1139">
        <v>0</v>
      </c>
      <c r="S1139">
        <v>0</v>
      </c>
      <c r="T1139" t="str">
        <f t="shared" si="34"/>
        <v>5682.43.4302.85.0-205128.2.3.3.08.06.</v>
      </c>
      <c r="U1139" t="e" cm="1">
        <f t="array" aca="1" ref="U1139" ca="1">+IF(COMPROMISOS_2025[[#This Row],[P]]="20","41080111",_xlfn.XLOOKUP(COMPROMISOS_2025[[#This Row],[concatenado]],PAA[[#All],[RCP-RUBRO]],PAA[[#All],[INDICADOR]],"",0))</f>
        <v>#NAME?</v>
      </c>
      <c r="V1139" s="144" t="str">
        <f t="shared" si="35"/>
        <v>85</v>
      </c>
      <c r="W1139" s="136">
        <f>+COMPROMISOS_2025[[#This Row],[valor_total]]-COMPROMISOS_2025[[#This Row],[total_cancelado]]</f>
        <v>1300000</v>
      </c>
      <c r="X1139" s="136">
        <f>COMPROMISOS_2025[[#This Row],[total_ordenes]]</f>
        <v>1300000</v>
      </c>
      <c r="Y1139" t="str" cm="1">
        <f t="array" aca="1" ref="Y1139" ca="1">IFERROR(_xlfn.XLOOKUP(COMPROMISOS_2025[[#This Row],[concatenado]],PAA[[#All],[RCP-RUBRO]],PAA[[#All],[Actividad3]],VLOOKUP(COMPROMISOS_2025[[#This Row],[Indicador Principal]],$AC$2:$AD$17,2,0),0),"")</f>
        <v/>
      </c>
    </row>
    <row r="1140" spans="1:25" hidden="1" x14ac:dyDescent="0.25">
      <c r="A1140">
        <v>569</v>
      </c>
      <c r="B1140" t="s">
        <v>3916</v>
      </c>
      <c r="C1140" t="s">
        <v>1936</v>
      </c>
      <c r="D1140" t="s">
        <v>3917</v>
      </c>
      <c r="F1140">
        <v>358</v>
      </c>
      <c r="G1140">
        <v>65</v>
      </c>
      <c r="H1140" t="s">
        <v>662</v>
      </c>
      <c r="I1140" t="s">
        <v>2271</v>
      </c>
      <c r="J1140">
        <v>500000</v>
      </c>
      <c r="K1140">
        <v>2025</v>
      </c>
      <c r="L1140">
        <v>1017923099</v>
      </c>
      <c r="M1140" t="s">
        <v>4013</v>
      </c>
      <c r="N1140" t="s">
        <v>1688</v>
      </c>
      <c r="O1140" t="s">
        <v>1686</v>
      </c>
      <c r="P1140">
        <v>0</v>
      </c>
      <c r="Q1140">
        <v>500000</v>
      </c>
      <c r="R1140">
        <v>0</v>
      </c>
      <c r="S1140">
        <v>0</v>
      </c>
      <c r="T1140" t="str">
        <f t="shared" si="34"/>
        <v>5692.43.4302.85.0-205128.2.3.3.08.06.</v>
      </c>
      <c r="U1140" t="e" cm="1">
        <f t="array" aca="1" ref="U1140" ca="1">+IF(COMPROMISOS_2025[[#This Row],[P]]="20","41080111",_xlfn.XLOOKUP(COMPROMISOS_2025[[#This Row],[concatenado]],PAA[[#All],[RCP-RUBRO]],PAA[[#All],[INDICADOR]],"",0))</f>
        <v>#NAME?</v>
      </c>
      <c r="V1140" s="144" t="str">
        <f t="shared" si="35"/>
        <v>85</v>
      </c>
      <c r="W1140" s="136">
        <f>+COMPROMISOS_2025[[#This Row],[valor_total]]-COMPROMISOS_2025[[#This Row],[total_cancelado]]</f>
        <v>500000</v>
      </c>
      <c r="X1140" s="136">
        <f>COMPROMISOS_2025[[#This Row],[total_ordenes]]</f>
        <v>500000</v>
      </c>
      <c r="Y1140" t="str" cm="1">
        <f t="array" aca="1" ref="Y1140" ca="1">IFERROR(_xlfn.XLOOKUP(COMPROMISOS_2025[[#This Row],[concatenado]],PAA[[#All],[RCP-RUBRO]],PAA[[#All],[Actividad3]],VLOOKUP(COMPROMISOS_2025[[#This Row],[Indicador Principal]],$AC$2:$AD$17,2,0),0),"")</f>
        <v/>
      </c>
    </row>
    <row r="1141" spans="1:25" hidden="1" x14ac:dyDescent="0.25">
      <c r="A1141">
        <v>570</v>
      </c>
      <c r="B1141" t="s">
        <v>3916</v>
      </c>
      <c r="C1141" t="s">
        <v>1936</v>
      </c>
      <c r="D1141" t="s">
        <v>3917</v>
      </c>
      <c r="F1141">
        <v>358</v>
      </c>
      <c r="G1141">
        <v>65</v>
      </c>
      <c r="H1141" t="s">
        <v>662</v>
      </c>
      <c r="I1141" t="s">
        <v>2271</v>
      </c>
      <c r="J1141">
        <v>500000</v>
      </c>
      <c r="K1141">
        <v>2025</v>
      </c>
      <c r="L1141">
        <v>1017923366</v>
      </c>
      <c r="M1141" t="s">
        <v>4014</v>
      </c>
      <c r="N1141" t="s">
        <v>1688</v>
      </c>
      <c r="O1141" t="s">
        <v>1686</v>
      </c>
      <c r="P1141">
        <v>0</v>
      </c>
      <c r="Q1141">
        <v>500000</v>
      </c>
      <c r="R1141">
        <v>0</v>
      </c>
      <c r="S1141">
        <v>0</v>
      </c>
      <c r="T1141" t="str">
        <f t="shared" si="34"/>
        <v>5702.43.4302.85.0-205128.2.3.3.08.06.</v>
      </c>
      <c r="U1141" t="e" cm="1">
        <f t="array" aca="1" ref="U1141" ca="1">+IF(COMPROMISOS_2025[[#This Row],[P]]="20","41080111",_xlfn.XLOOKUP(COMPROMISOS_2025[[#This Row],[concatenado]],PAA[[#All],[RCP-RUBRO]],PAA[[#All],[INDICADOR]],"",0))</f>
        <v>#NAME?</v>
      </c>
      <c r="V1141" s="144" t="str">
        <f t="shared" si="35"/>
        <v>85</v>
      </c>
      <c r="W1141" s="136">
        <f>+COMPROMISOS_2025[[#This Row],[valor_total]]-COMPROMISOS_2025[[#This Row],[total_cancelado]]</f>
        <v>500000</v>
      </c>
      <c r="X1141" s="136">
        <f>COMPROMISOS_2025[[#This Row],[total_ordenes]]</f>
        <v>500000</v>
      </c>
      <c r="Y1141" t="str" cm="1">
        <f t="array" aca="1" ref="Y1141" ca="1">IFERROR(_xlfn.XLOOKUP(COMPROMISOS_2025[[#This Row],[concatenado]],PAA[[#All],[RCP-RUBRO]],PAA[[#All],[Actividad3]],VLOOKUP(COMPROMISOS_2025[[#This Row],[Indicador Principal]],$AC$2:$AD$17,2,0),0),"")</f>
        <v/>
      </c>
    </row>
    <row r="1142" spans="1:25" hidden="1" x14ac:dyDescent="0.25">
      <c r="A1142">
        <v>571</v>
      </c>
      <c r="B1142" t="s">
        <v>3916</v>
      </c>
      <c r="C1142" t="s">
        <v>1936</v>
      </c>
      <c r="D1142" t="s">
        <v>3917</v>
      </c>
      <c r="F1142">
        <v>358</v>
      </c>
      <c r="G1142">
        <v>65</v>
      </c>
      <c r="H1142" t="s">
        <v>662</v>
      </c>
      <c r="I1142" t="s">
        <v>2271</v>
      </c>
      <c r="J1142">
        <v>500000</v>
      </c>
      <c r="K1142">
        <v>2025</v>
      </c>
      <c r="L1142">
        <v>1017923607</v>
      </c>
      <c r="M1142" t="s">
        <v>4015</v>
      </c>
      <c r="N1142" t="s">
        <v>1688</v>
      </c>
      <c r="O1142" t="s">
        <v>1686</v>
      </c>
      <c r="P1142">
        <v>0</v>
      </c>
      <c r="Q1142">
        <v>500000</v>
      </c>
      <c r="R1142">
        <v>0</v>
      </c>
      <c r="S1142">
        <v>0</v>
      </c>
      <c r="T1142" t="str">
        <f t="shared" si="34"/>
        <v>5712.43.4302.85.0-205128.2.3.3.08.06.</v>
      </c>
      <c r="U1142" t="e" cm="1">
        <f t="array" aca="1" ref="U1142" ca="1">+IF(COMPROMISOS_2025[[#This Row],[P]]="20","41080111",_xlfn.XLOOKUP(COMPROMISOS_2025[[#This Row],[concatenado]],PAA[[#All],[RCP-RUBRO]],PAA[[#All],[INDICADOR]],"",0))</f>
        <v>#NAME?</v>
      </c>
      <c r="V1142" s="144" t="str">
        <f t="shared" si="35"/>
        <v>85</v>
      </c>
      <c r="W1142" s="136">
        <f>+COMPROMISOS_2025[[#This Row],[valor_total]]-COMPROMISOS_2025[[#This Row],[total_cancelado]]</f>
        <v>500000</v>
      </c>
      <c r="X1142" s="136">
        <f>COMPROMISOS_2025[[#This Row],[total_ordenes]]</f>
        <v>500000</v>
      </c>
      <c r="Y1142" t="str" cm="1">
        <f t="array" aca="1" ref="Y1142" ca="1">IFERROR(_xlfn.XLOOKUP(COMPROMISOS_2025[[#This Row],[concatenado]],PAA[[#All],[RCP-RUBRO]],PAA[[#All],[Actividad3]],VLOOKUP(COMPROMISOS_2025[[#This Row],[Indicador Principal]],$AC$2:$AD$17,2,0),0),"")</f>
        <v/>
      </c>
    </row>
    <row r="1143" spans="1:25" hidden="1" x14ac:dyDescent="0.25">
      <c r="A1143">
        <v>572</v>
      </c>
      <c r="B1143" t="s">
        <v>3916</v>
      </c>
      <c r="C1143" t="s">
        <v>1936</v>
      </c>
      <c r="D1143" t="s">
        <v>3917</v>
      </c>
      <c r="F1143">
        <v>358</v>
      </c>
      <c r="G1143">
        <v>65</v>
      </c>
      <c r="H1143" t="s">
        <v>662</v>
      </c>
      <c r="I1143" t="s">
        <v>2271</v>
      </c>
      <c r="J1143">
        <v>500000</v>
      </c>
      <c r="K1143">
        <v>2025</v>
      </c>
      <c r="L1143">
        <v>1017931622</v>
      </c>
      <c r="M1143" t="s">
        <v>3650</v>
      </c>
      <c r="N1143" t="s">
        <v>1688</v>
      </c>
      <c r="O1143" t="s">
        <v>1686</v>
      </c>
      <c r="P1143">
        <v>0</v>
      </c>
      <c r="Q1143">
        <v>500000</v>
      </c>
      <c r="R1143">
        <v>0</v>
      </c>
      <c r="S1143">
        <v>0</v>
      </c>
      <c r="T1143" t="str">
        <f t="shared" si="34"/>
        <v>5722.43.4302.85.0-205128.2.3.3.08.06.</v>
      </c>
      <c r="U1143" t="e" cm="1">
        <f t="array" aca="1" ref="U1143" ca="1">+IF(COMPROMISOS_2025[[#This Row],[P]]="20","41080111",_xlfn.XLOOKUP(COMPROMISOS_2025[[#This Row],[concatenado]],PAA[[#All],[RCP-RUBRO]],PAA[[#All],[INDICADOR]],"",0))</f>
        <v>#NAME?</v>
      </c>
      <c r="V1143" s="144" t="str">
        <f t="shared" si="35"/>
        <v>85</v>
      </c>
      <c r="W1143" s="136">
        <f>+COMPROMISOS_2025[[#This Row],[valor_total]]-COMPROMISOS_2025[[#This Row],[total_cancelado]]</f>
        <v>500000</v>
      </c>
      <c r="X1143" s="136">
        <f>COMPROMISOS_2025[[#This Row],[total_ordenes]]</f>
        <v>500000</v>
      </c>
      <c r="Y1143" t="str" cm="1">
        <f t="array" aca="1" ref="Y1143" ca="1">IFERROR(_xlfn.XLOOKUP(COMPROMISOS_2025[[#This Row],[concatenado]],PAA[[#All],[RCP-RUBRO]],PAA[[#All],[Actividad3]],VLOOKUP(COMPROMISOS_2025[[#This Row],[Indicador Principal]],$AC$2:$AD$17,2,0),0),"")</f>
        <v/>
      </c>
    </row>
    <row r="1144" spans="1:25" hidden="1" x14ac:dyDescent="0.25">
      <c r="A1144">
        <v>573</v>
      </c>
      <c r="B1144" t="s">
        <v>3916</v>
      </c>
      <c r="C1144" t="s">
        <v>1936</v>
      </c>
      <c r="D1144" t="s">
        <v>3917</v>
      </c>
      <c r="F1144">
        <v>358</v>
      </c>
      <c r="G1144">
        <v>65</v>
      </c>
      <c r="H1144" t="s">
        <v>662</v>
      </c>
      <c r="I1144" t="s">
        <v>2271</v>
      </c>
      <c r="J1144">
        <v>1300000</v>
      </c>
      <c r="K1144">
        <v>2025</v>
      </c>
      <c r="L1144">
        <v>1018225068</v>
      </c>
      <c r="M1144" t="s">
        <v>4016</v>
      </c>
      <c r="N1144" t="s">
        <v>1688</v>
      </c>
      <c r="O1144" t="s">
        <v>1686</v>
      </c>
      <c r="P1144">
        <v>0</v>
      </c>
      <c r="Q1144">
        <v>1300000</v>
      </c>
      <c r="R1144">
        <v>0</v>
      </c>
      <c r="S1144">
        <v>0</v>
      </c>
      <c r="T1144" t="str">
        <f t="shared" si="34"/>
        <v>5732.43.4302.85.0-205128.2.3.3.08.06.</v>
      </c>
      <c r="U1144" t="e" cm="1">
        <f t="array" aca="1" ref="U1144" ca="1">+IF(COMPROMISOS_2025[[#This Row],[P]]="20","41080111",_xlfn.XLOOKUP(COMPROMISOS_2025[[#This Row],[concatenado]],PAA[[#All],[RCP-RUBRO]],PAA[[#All],[INDICADOR]],"",0))</f>
        <v>#NAME?</v>
      </c>
      <c r="V1144" s="144" t="str">
        <f t="shared" si="35"/>
        <v>85</v>
      </c>
      <c r="W1144" s="136">
        <f>+COMPROMISOS_2025[[#This Row],[valor_total]]-COMPROMISOS_2025[[#This Row],[total_cancelado]]</f>
        <v>1300000</v>
      </c>
      <c r="X1144" s="136">
        <f>COMPROMISOS_2025[[#This Row],[total_ordenes]]</f>
        <v>1300000</v>
      </c>
      <c r="Y1144" t="str" cm="1">
        <f t="array" aca="1" ref="Y1144" ca="1">IFERROR(_xlfn.XLOOKUP(COMPROMISOS_2025[[#This Row],[concatenado]],PAA[[#All],[RCP-RUBRO]],PAA[[#All],[Actividad3]],VLOOKUP(COMPROMISOS_2025[[#This Row],[Indicador Principal]],$AC$2:$AD$17,2,0),0),"")</f>
        <v/>
      </c>
    </row>
    <row r="1145" spans="1:25" hidden="1" x14ac:dyDescent="0.25">
      <c r="A1145">
        <v>574</v>
      </c>
      <c r="B1145" t="s">
        <v>3916</v>
      </c>
      <c r="C1145" t="s">
        <v>1936</v>
      </c>
      <c r="D1145" t="s">
        <v>3917</v>
      </c>
      <c r="F1145">
        <v>358</v>
      </c>
      <c r="G1145">
        <v>65</v>
      </c>
      <c r="H1145" t="s">
        <v>662</v>
      </c>
      <c r="I1145" t="s">
        <v>2271</v>
      </c>
      <c r="J1145">
        <v>500000</v>
      </c>
      <c r="K1145">
        <v>2025</v>
      </c>
      <c r="L1145">
        <v>1018226256</v>
      </c>
      <c r="M1145" t="s">
        <v>4017</v>
      </c>
      <c r="N1145" t="s">
        <v>1688</v>
      </c>
      <c r="O1145" t="s">
        <v>1686</v>
      </c>
      <c r="P1145">
        <v>0</v>
      </c>
      <c r="Q1145">
        <v>500000</v>
      </c>
      <c r="R1145">
        <v>0</v>
      </c>
      <c r="S1145">
        <v>0</v>
      </c>
      <c r="T1145" t="str">
        <f t="shared" si="34"/>
        <v>5742.43.4302.85.0-205128.2.3.3.08.06.</v>
      </c>
      <c r="U1145" t="e" cm="1">
        <f t="array" aca="1" ref="U1145" ca="1">+IF(COMPROMISOS_2025[[#This Row],[P]]="20","41080111",_xlfn.XLOOKUP(COMPROMISOS_2025[[#This Row],[concatenado]],PAA[[#All],[RCP-RUBRO]],PAA[[#All],[INDICADOR]],"",0))</f>
        <v>#NAME?</v>
      </c>
      <c r="V1145" s="144" t="str">
        <f t="shared" si="35"/>
        <v>85</v>
      </c>
      <c r="W1145" s="136">
        <f>+COMPROMISOS_2025[[#This Row],[valor_total]]-COMPROMISOS_2025[[#This Row],[total_cancelado]]</f>
        <v>500000</v>
      </c>
      <c r="X1145" s="136">
        <f>COMPROMISOS_2025[[#This Row],[total_ordenes]]</f>
        <v>500000</v>
      </c>
      <c r="Y1145" t="str" cm="1">
        <f t="array" aca="1" ref="Y1145" ca="1">IFERROR(_xlfn.XLOOKUP(COMPROMISOS_2025[[#This Row],[concatenado]],PAA[[#All],[RCP-RUBRO]],PAA[[#All],[Actividad3]],VLOOKUP(COMPROMISOS_2025[[#This Row],[Indicador Principal]],$AC$2:$AD$17,2,0),0),"")</f>
        <v/>
      </c>
    </row>
    <row r="1146" spans="1:25" hidden="1" x14ac:dyDescent="0.25">
      <c r="A1146">
        <v>575</v>
      </c>
      <c r="B1146" t="s">
        <v>3916</v>
      </c>
      <c r="C1146" t="s">
        <v>1936</v>
      </c>
      <c r="D1146" t="s">
        <v>3917</v>
      </c>
      <c r="F1146">
        <v>358</v>
      </c>
      <c r="G1146">
        <v>65</v>
      </c>
      <c r="H1146" t="s">
        <v>662</v>
      </c>
      <c r="I1146" t="s">
        <v>2271</v>
      </c>
      <c r="J1146">
        <v>500000</v>
      </c>
      <c r="K1146">
        <v>2025</v>
      </c>
      <c r="L1146">
        <v>1018226620</v>
      </c>
      <c r="M1146" t="s">
        <v>4018</v>
      </c>
      <c r="N1146" t="s">
        <v>1688</v>
      </c>
      <c r="O1146" t="s">
        <v>1686</v>
      </c>
      <c r="P1146">
        <v>0</v>
      </c>
      <c r="Q1146">
        <v>500000</v>
      </c>
      <c r="R1146">
        <v>0</v>
      </c>
      <c r="S1146">
        <v>0</v>
      </c>
      <c r="T1146" t="str">
        <f t="shared" si="34"/>
        <v>5752.43.4302.85.0-205128.2.3.3.08.06.</v>
      </c>
      <c r="U1146" t="e" cm="1">
        <f t="array" aca="1" ref="U1146" ca="1">+IF(COMPROMISOS_2025[[#This Row],[P]]="20","41080111",_xlfn.XLOOKUP(COMPROMISOS_2025[[#This Row],[concatenado]],PAA[[#All],[RCP-RUBRO]],PAA[[#All],[INDICADOR]],"",0))</f>
        <v>#NAME?</v>
      </c>
      <c r="V1146" s="144" t="str">
        <f t="shared" si="35"/>
        <v>85</v>
      </c>
      <c r="W1146" s="136">
        <f>+COMPROMISOS_2025[[#This Row],[valor_total]]-COMPROMISOS_2025[[#This Row],[total_cancelado]]</f>
        <v>500000</v>
      </c>
      <c r="X1146" s="136">
        <f>COMPROMISOS_2025[[#This Row],[total_ordenes]]</f>
        <v>500000</v>
      </c>
      <c r="Y1146" t="str" cm="1">
        <f t="array" aca="1" ref="Y1146" ca="1">IFERROR(_xlfn.XLOOKUP(COMPROMISOS_2025[[#This Row],[concatenado]],PAA[[#All],[RCP-RUBRO]],PAA[[#All],[Actividad3]],VLOOKUP(COMPROMISOS_2025[[#This Row],[Indicador Principal]],$AC$2:$AD$17,2,0),0),"")</f>
        <v/>
      </c>
    </row>
    <row r="1147" spans="1:25" hidden="1" x14ac:dyDescent="0.25">
      <c r="A1147">
        <v>576</v>
      </c>
      <c r="B1147" t="s">
        <v>3916</v>
      </c>
      <c r="C1147" t="s">
        <v>1936</v>
      </c>
      <c r="D1147" t="s">
        <v>3917</v>
      </c>
      <c r="F1147">
        <v>358</v>
      </c>
      <c r="G1147">
        <v>65</v>
      </c>
      <c r="H1147" t="s">
        <v>662</v>
      </c>
      <c r="I1147" t="s">
        <v>2271</v>
      </c>
      <c r="J1147">
        <v>500000</v>
      </c>
      <c r="K1147">
        <v>2025</v>
      </c>
      <c r="L1147">
        <v>1018230336</v>
      </c>
      <c r="M1147" t="s">
        <v>4019</v>
      </c>
      <c r="N1147" t="s">
        <v>1688</v>
      </c>
      <c r="O1147" t="s">
        <v>1686</v>
      </c>
      <c r="P1147">
        <v>0</v>
      </c>
      <c r="Q1147">
        <v>500000</v>
      </c>
      <c r="R1147">
        <v>0</v>
      </c>
      <c r="S1147">
        <v>0</v>
      </c>
      <c r="T1147" t="str">
        <f t="shared" si="34"/>
        <v>5762.43.4302.85.0-205128.2.3.3.08.06.</v>
      </c>
      <c r="U1147" t="e" cm="1">
        <f t="array" aca="1" ref="U1147" ca="1">+IF(COMPROMISOS_2025[[#This Row],[P]]="20","41080111",_xlfn.XLOOKUP(COMPROMISOS_2025[[#This Row],[concatenado]],PAA[[#All],[RCP-RUBRO]],PAA[[#All],[INDICADOR]],"",0))</f>
        <v>#NAME?</v>
      </c>
      <c r="V1147" s="144" t="str">
        <f t="shared" si="35"/>
        <v>85</v>
      </c>
      <c r="W1147" s="136">
        <f>+COMPROMISOS_2025[[#This Row],[valor_total]]-COMPROMISOS_2025[[#This Row],[total_cancelado]]</f>
        <v>500000</v>
      </c>
      <c r="X1147" s="136">
        <f>COMPROMISOS_2025[[#This Row],[total_ordenes]]</f>
        <v>500000</v>
      </c>
      <c r="Y1147" t="str" cm="1">
        <f t="array" aca="1" ref="Y1147" ca="1">IFERROR(_xlfn.XLOOKUP(COMPROMISOS_2025[[#This Row],[concatenado]],PAA[[#All],[RCP-RUBRO]],PAA[[#All],[Actividad3]],VLOOKUP(COMPROMISOS_2025[[#This Row],[Indicador Principal]],$AC$2:$AD$17,2,0),0),"")</f>
        <v/>
      </c>
    </row>
    <row r="1148" spans="1:25" hidden="1" x14ac:dyDescent="0.25">
      <c r="A1148">
        <v>577</v>
      </c>
      <c r="B1148" t="s">
        <v>3916</v>
      </c>
      <c r="C1148" t="s">
        <v>1936</v>
      </c>
      <c r="D1148" t="s">
        <v>3917</v>
      </c>
      <c r="F1148">
        <v>358</v>
      </c>
      <c r="G1148">
        <v>65</v>
      </c>
      <c r="H1148" t="s">
        <v>662</v>
      </c>
      <c r="I1148" t="s">
        <v>2271</v>
      </c>
      <c r="J1148">
        <v>1300000</v>
      </c>
      <c r="K1148">
        <v>2025</v>
      </c>
      <c r="L1148">
        <v>1018234219</v>
      </c>
      <c r="M1148" t="s">
        <v>4020</v>
      </c>
      <c r="N1148" t="s">
        <v>1688</v>
      </c>
      <c r="O1148" t="s">
        <v>1686</v>
      </c>
      <c r="P1148">
        <v>0</v>
      </c>
      <c r="Q1148">
        <v>1300000</v>
      </c>
      <c r="R1148">
        <v>0</v>
      </c>
      <c r="S1148">
        <v>0</v>
      </c>
      <c r="T1148" t="str">
        <f t="shared" si="34"/>
        <v>5772.43.4302.85.0-205128.2.3.3.08.06.</v>
      </c>
      <c r="U1148" t="e" cm="1">
        <f t="array" aca="1" ref="U1148" ca="1">+IF(COMPROMISOS_2025[[#This Row],[P]]="20","41080111",_xlfn.XLOOKUP(COMPROMISOS_2025[[#This Row],[concatenado]],PAA[[#All],[RCP-RUBRO]],PAA[[#All],[INDICADOR]],"",0))</f>
        <v>#NAME?</v>
      </c>
      <c r="V1148" s="144" t="str">
        <f t="shared" si="35"/>
        <v>85</v>
      </c>
      <c r="W1148" s="136">
        <f>+COMPROMISOS_2025[[#This Row],[valor_total]]-COMPROMISOS_2025[[#This Row],[total_cancelado]]</f>
        <v>1300000</v>
      </c>
      <c r="X1148" s="136">
        <f>COMPROMISOS_2025[[#This Row],[total_ordenes]]</f>
        <v>1300000</v>
      </c>
      <c r="Y1148" t="str" cm="1">
        <f t="array" aca="1" ref="Y1148" ca="1">IFERROR(_xlfn.XLOOKUP(COMPROMISOS_2025[[#This Row],[concatenado]],PAA[[#All],[RCP-RUBRO]],PAA[[#All],[Actividad3]],VLOOKUP(COMPROMISOS_2025[[#This Row],[Indicador Principal]],$AC$2:$AD$17,2,0),0),"")</f>
        <v/>
      </c>
    </row>
    <row r="1149" spans="1:25" hidden="1" x14ac:dyDescent="0.25">
      <c r="A1149">
        <v>578</v>
      </c>
      <c r="B1149" t="s">
        <v>3916</v>
      </c>
      <c r="C1149" t="s">
        <v>1936</v>
      </c>
      <c r="D1149" t="s">
        <v>3917</v>
      </c>
      <c r="F1149">
        <v>358</v>
      </c>
      <c r="G1149">
        <v>65</v>
      </c>
      <c r="H1149" t="s">
        <v>662</v>
      </c>
      <c r="I1149" t="s">
        <v>2271</v>
      </c>
      <c r="J1149">
        <v>500000</v>
      </c>
      <c r="K1149">
        <v>2025</v>
      </c>
      <c r="L1149">
        <v>1018238388</v>
      </c>
      <c r="M1149" t="s">
        <v>3653</v>
      </c>
      <c r="N1149" t="s">
        <v>1688</v>
      </c>
      <c r="O1149" t="s">
        <v>1686</v>
      </c>
      <c r="P1149">
        <v>0</v>
      </c>
      <c r="Q1149">
        <v>500000</v>
      </c>
      <c r="R1149">
        <v>0</v>
      </c>
      <c r="S1149">
        <v>0</v>
      </c>
      <c r="T1149" t="str">
        <f t="shared" si="34"/>
        <v>5782.43.4302.85.0-205128.2.3.3.08.06.</v>
      </c>
      <c r="U1149" t="e" cm="1">
        <f t="array" aca="1" ref="U1149" ca="1">+IF(COMPROMISOS_2025[[#This Row],[P]]="20","41080111",_xlfn.XLOOKUP(COMPROMISOS_2025[[#This Row],[concatenado]],PAA[[#All],[RCP-RUBRO]],PAA[[#All],[INDICADOR]],"",0))</f>
        <v>#NAME?</v>
      </c>
      <c r="V1149" s="144" t="str">
        <f t="shared" si="35"/>
        <v>85</v>
      </c>
      <c r="W1149" s="136">
        <f>+COMPROMISOS_2025[[#This Row],[valor_total]]-COMPROMISOS_2025[[#This Row],[total_cancelado]]</f>
        <v>500000</v>
      </c>
      <c r="X1149" s="136">
        <f>COMPROMISOS_2025[[#This Row],[total_ordenes]]</f>
        <v>500000</v>
      </c>
      <c r="Y1149" t="str" cm="1">
        <f t="array" aca="1" ref="Y1149" ca="1">IFERROR(_xlfn.XLOOKUP(COMPROMISOS_2025[[#This Row],[concatenado]],PAA[[#All],[RCP-RUBRO]],PAA[[#All],[Actividad3]],VLOOKUP(COMPROMISOS_2025[[#This Row],[Indicador Principal]],$AC$2:$AD$17,2,0),0),"")</f>
        <v/>
      </c>
    </row>
    <row r="1150" spans="1:25" hidden="1" x14ac:dyDescent="0.25">
      <c r="A1150">
        <v>579</v>
      </c>
      <c r="B1150" t="s">
        <v>3916</v>
      </c>
      <c r="C1150" t="s">
        <v>1936</v>
      </c>
      <c r="D1150" t="s">
        <v>3917</v>
      </c>
      <c r="F1150">
        <v>358</v>
      </c>
      <c r="G1150">
        <v>65</v>
      </c>
      <c r="H1150" t="s">
        <v>662</v>
      </c>
      <c r="I1150" t="s">
        <v>2271</v>
      </c>
      <c r="J1150">
        <v>500000</v>
      </c>
      <c r="K1150">
        <v>2025</v>
      </c>
      <c r="L1150">
        <v>1018342382</v>
      </c>
      <c r="M1150" t="s">
        <v>4021</v>
      </c>
      <c r="N1150" t="s">
        <v>1688</v>
      </c>
      <c r="O1150" t="s">
        <v>1686</v>
      </c>
      <c r="P1150">
        <v>0</v>
      </c>
      <c r="Q1150">
        <v>500000</v>
      </c>
      <c r="R1150">
        <v>0</v>
      </c>
      <c r="S1150">
        <v>0</v>
      </c>
      <c r="T1150" t="str">
        <f t="shared" si="34"/>
        <v>5792.43.4302.85.0-205128.2.3.3.08.06.</v>
      </c>
      <c r="U1150" t="e" cm="1">
        <f t="array" aca="1" ref="U1150" ca="1">+IF(COMPROMISOS_2025[[#This Row],[P]]="20","41080111",_xlfn.XLOOKUP(COMPROMISOS_2025[[#This Row],[concatenado]],PAA[[#All],[RCP-RUBRO]],PAA[[#All],[INDICADOR]],"",0))</f>
        <v>#NAME?</v>
      </c>
      <c r="V1150" s="144" t="str">
        <f t="shared" si="35"/>
        <v>85</v>
      </c>
      <c r="W1150" s="136">
        <f>+COMPROMISOS_2025[[#This Row],[valor_total]]-COMPROMISOS_2025[[#This Row],[total_cancelado]]</f>
        <v>500000</v>
      </c>
      <c r="X1150" s="136">
        <f>COMPROMISOS_2025[[#This Row],[total_ordenes]]</f>
        <v>500000</v>
      </c>
      <c r="Y1150" t="str" cm="1">
        <f t="array" aca="1" ref="Y1150" ca="1">IFERROR(_xlfn.XLOOKUP(COMPROMISOS_2025[[#This Row],[concatenado]],PAA[[#All],[RCP-RUBRO]],PAA[[#All],[Actividad3]],VLOOKUP(COMPROMISOS_2025[[#This Row],[Indicador Principal]],$AC$2:$AD$17,2,0),0),"")</f>
        <v/>
      </c>
    </row>
    <row r="1151" spans="1:25" hidden="1" x14ac:dyDescent="0.25">
      <c r="A1151">
        <v>580</v>
      </c>
      <c r="B1151" t="s">
        <v>3916</v>
      </c>
      <c r="C1151" t="s">
        <v>1936</v>
      </c>
      <c r="D1151" t="s">
        <v>3917</v>
      </c>
      <c r="F1151">
        <v>358</v>
      </c>
      <c r="G1151">
        <v>65</v>
      </c>
      <c r="H1151" t="s">
        <v>662</v>
      </c>
      <c r="I1151" t="s">
        <v>2271</v>
      </c>
      <c r="J1151">
        <v>800000</v>
      </c>
      <c r="K1151">
        <v>2025</v>
      </c>
      <c r="L1151">
        <v>1018513690</v>
      </c>
      <c r="M1151" t="s">
        <v>4022</v>
      </c>
      <c r="N1151" t="s">
        <v>1688</v>
      </c>
      <c r="O1151" t="s">
        <v>1686</v>
      </c>
      <c r="P1151">
        <v>0</v>
      </c>
      <c r="Q1151">
        <v>800000</v>
      </c>
      <c r="R1151">
        <v>0</v>
      </c>
      <c r="S1151">
        <v>0</v>
      </c>
      <c r="T1151" t="str">
        <f t="shared" si="34"/>
        <v>5802.43.4302.85.0-205128.2.3.3.08.06.</v>
      </c>
      <c r="U1151" t="e" cm="1">
        <f t="array" aca="1" ref="U1151" ca="1">+IF(COMPROMISOS_2025[[#This Row],[P]]="20","41080111",_xlfn.XLOOKUP(COMPROMISOS_2025[[#This Row],[concatenado]],PAA[[#All],[RCP-RUBRO]],PAA[[#All],[INDICADOR]],"",0))</f>
        <v>#NAME?</v>
      </c>
      <c r="V1151" s="144" t="str">
        <f t="shared" si="35"/>
        <v>85</v>
      </c>
      <c r="W1151" s="136">
        <f>+COMPROMISOS_2025[[#This Row],[valor_total]]-COMPROMISOS_2025[[#This Row],[total_cancelado]]</f>
        <v>800000</v>
      </c>
      <c r="X1151" s="136">
        <f>COMPROMISOS_2025[[#This Row],[total_ordenes]]</f>
        <v>800000</v>
      </c>
      <c r="Y1151" t="str" cm="1">
        <f t="array" aca="1" ref="Y1151" ca="1">IFERROR(_xlfn.XLOOKUP(COMPROMISOS_2025[[#This Row],[concatenado]],PAA[[#All],[RCP-RUBRO]],PAA[[#All],[Actividad3]],VLOOKUP(COMPROMISOS_2025[[#This Row],[Indicador Principal]],$AC$2:$AD$17,2,0),0),"")</f>
        <v/>
      </c>
    </row>
    <row r="1152" spans="1:25" hidden="1" x14ac:dyDescent="0.25">
      <c r="A1152">
        <v>581</v>
      </c>
      <c r="B1152" t="s">
        <v>3916</v>
      </c>
      <c r="C1152" t="s">
        <v>1936</v>
      </c>
      <c r="D1152" t="s">
        <v>3917</v>
      </c>
      <c r="F1152">
        <v>358</v>
      </c>
      <c r="G1152">
        <v>65</v>
      </c>
      <c r="H1152" t="s">
        <v>662</v>
      </c>
      <c r="I1152" t="s">
        <v>2271</v>
      </c>
      <c r="J1152">
        <v>500000</v>
      </c>
      <c r="K1152">
        <v>2025</v>
      </c>
      <c r="L1152">
        <v>1019984910</v>
      </c>
      <c r="M1152" t="s">
        <v>4023</v>
      </c>
      <c r="N1152" t="s">
        <v>1688</v>
      </c>
      <c r="O1152" t="s">
        <v>1686</v>
      </c>
      <c r="P1152">
        <v>0</v>
      </c>
      <c r="Q1152">
        <v>500000</v>
      </c>
      <c r="R1152">
        <v>0</v>
      </c>
      <c r="S1152">
        <v>0</v>
      </c>
      <c r="T1152" t="str">
        <f t="shared" si="34"/>
        <v>5812.43.4302.85.0-205128.2.3.3.08.06.</v>
      </c>
      <c r="U1152" t="e" cm="1">
        <f t="array" aca="1" ref="U1152" ca="1">+IF(COMPROMISOS_2025[[#This Row],[P]]="20","41080111",_xlfn.XLOOKUP(COMPROMISOS_2025[[#This Row],[concatenado]],PAA[[#All],[RCP-RUBRO]],PAA[[#All],[INDICADOR]],"",0))</f>
        <v>#NAME?</v>
      </c>
      <c r="V1152" s="144" t="str">
        <f t="shared" si="35"/>
        <v>85</v>
      </c>
      <c r="W1152" s="136">
        <f>+COMPROMISOS_2025[[#This Row],[valor_total]]-COMPROMISOS_2025[[#This Row],[total_cancelado]]</f>
        <v>500000</v>
      </c>
      <c r="X1152" s="136">
        <f>COMPROMISOS_2025[[#This Row],[total_ordenes]]</f>
        <v>500000</v>
      </c>
      <c r="Y1152" t="str" cm="1">
        <f t="array" aca="1" ref="Y1152" ca="1">IFERROR(_xlfn.XLOOKUP(COMPROMISOS_2025[[#This Row],[concatenado]],PAA[[#All],[RCP-RUBRO]],PAA[[#All],[Actividad3]],VLOOKUP(COMPROMISOS_2025[[#This Row],[Indicador Principal]],$AC$2:$AD$17,2,0),0),"")</f>
        <v/>
      </c>
    </row>
    <row r="1153" spans="1:25" hidden="1" x14ac:dyDescent="0.25">
      <c r="A1153">
        <v>582</v>
      </c>
      <c r="B1153" t="s">
        <v>3916</v>
      </c>
      <c r="C1153" t="s">
        <v>1936</v>
      </c>
      <c r="D1153" t="s">
        <v>3917</v>
      </c>
      <c r="F1153">
        <v>358</v>
      </c>
      <c r="G1153">
        <v>65</v>
      </c>
      <c r="H1153" t="s">
        <v>662</v>
      </c>
      <c r="I1153" t="s">
        <v>2271</v>
      </c>
      <c r="J1153">
        <v>500000</v>
      </c>
      <c r="K1153">
        <v>2025</v>
      </c>
      <c r="L1153">
        <v>1019997875</v>
      </c>
      <c r="M1153" t="s">
        <v>4024</v>
      </c>
      <c r="N1153" t="s">
        <v>1688</v>
      </c>
      <c r="O1153" t="s">
        <v>1686</v>
      </c>
      <c r="P1153">
        <v>0</v>
      </c>
      <c r="Q1153">
        <v>500000</v>
      </c>
      <c r="R1153">
        <v>0</v>
      </c>
      <c r="S1153">
        <v>0</v>
      </c>
      <c r="T1153" t="str">
        <f t="shared" si="34"/>
        <v>5822.43.4302.85.0-205128.2.3.3.08.06.</v>
      </c>
      <c r="U1153" t="e" cm="1">
        <f t="array" aca="1" ref="U1153" ca="1">+IF(COMPROMISOS_2025[[#This Row],[P]]="20","41080111",_xlfn.XLOOKUP(COMPROMISOS_2025[[#This Row],[concatenado]],PAA[[#All],[RCP-RUBRO]],PAA[[#All],[INDICADOR]],"",0))</f>
        <v>#NAME?</v>
      </c>
      <c r="V1153" s="144" t="str">
        <f t="shared" si="35"/>
        <v>85</v>
      </c>
      <c r="W1153" s="136">
        <f>+COMPROMISOS_2025[[#This Row],[valor_total]]-COMPROMISOS_2025[[#This Row],[total_cancelado]]</f>
        <v>500000</v>
      </c>
      <c r="X1153" s="136">
        <f>COMPROMISOS_2025[[#This Row],[total_ordenes]]</f>
        <v>500000</v>
      </c>
      <c r="Y1153" t="str" cm="1">
        <f t="array" aca="1" ref="Y1153" ca="1">IFERROR(_xlfn.XLOOKUP(COMPROMISOS_2025[[#This Row],[concatenado]],PAA[[#All],[RCP-RUBRO]],PAA[[#All],[Actividad3]],VLOOKUP(COMPROMISOS_2025[[#This Row],[Indicador Principal]],$AC$2:$AD$17,2,0),0),"")</f>
        <v/>
      </c>
    </row>
    <row r="1154" spans="1:25" hidden="1" x14ac:dyDescent="0.25">
      <c r="A1154">
        <v>583</v>
      </c>
      <c r="B1154" t="s">
        <v>3916</v>
      </c>
      <c r="C1154" t="s">
        <v>1936</v>
      </c>
      <c r="D1154" t="s">
        <v>3917</v>
      </c>
      <c r="F1154">
        <v>358</v>
      </c>
      <c r="G1154">
        <v>65</v>
      </c>
      <c r="H1154" t="s">
        <v>662</v>
      </c>
      <c r="I1154" t="s">
        <v>2271</v>
      </c>
      <c r="J1154">
        <v>500000</v>
      </c>
      <c r="K1154">
        <v>2025</v>
      </c>
      <c r="L1154">
        <v>1020104801</v>
      </c>
      <c r="M1154" t="s">
        <v>4025</v>
      </c>
      <c r="N1154" t="s">
        <v>1688</v>
      </c>
      <c r="O1154" t="s">
        <v>1686</v>
      </c>
      <c r="P1154">
        <v>0</v>
      </c>
      <c r="Q1154">
        <v>500000</v>
      </c>
      <c r="R1154">
        <v>0</v>
      </c>
      <c r="S1154">
        <v>0</v>
      </c>
      <c r="T1154" t="str">
        <f t="shared" ref="T1154:T1217" si="36">IF(A1154&gt;=0,CONCATENATE(A1154,H1154),"")</f>
        <v>5832.43.4302.85.0-205128.2.3.3.08.06.</v>
      </c>
      <c r="U1154" t="e" cm="1">
        <f t="array" aca="1" ref="U1154" ca="1">+IF(COMPROMISOS_2025[[#This Row],[P]]="20","41080111",_xlfn.XLOOKUP(COMPROMISOS_2025[[#This Row],[concatenado]],PAA[[#All],[RCP-RUBRO]],PAA[[#All],[INDICADOR]],"",0))</f>
        <v>#NAME?</v>
      </c>
      <c r="V1154" s="144" t="str">
        <f t="shared" ref="V1154:V1217" si="37">+MID(H1154,11,2)</f>
        <v>85</v>
      </c>
      <c r="W1154" s="136">
        <f>+COMPROMISOS_2025[[#This Row],[valor_total]]-COMPROMISOS_2025[[#This Row],[total_cancelado]]</f>
        <v>500000</v>
      </c>
      <c r="X1154" s="136">
        <f>COMPROMISOS_2025[[#This Row],[total_ordenes]]</f>
        <v>500000</v>
      </c>
      <c r="Y1154" t="str" cm="1">
        <f t="array" aca="1" ref="Y1154" ca="1">IFERROR(_xlfn.XLOOKUP(COMPROMISOS_2025[[#This Row],[concatenado]],PAA[[#All],[RCP-RUBRO]],PAA[[#All],[Actividad3]],VLOOKUP(COMPROMISOS_2025[[#This Row],[Indicador Principal]],$AC$2:$AD$17,2,0),0),"")</f>
        <v/>
      </c>
    </row>
    <row r="1155" spans="1:25" hidden="1" x14ac:dyDescent="0.25">
      <c r="A1155">
        <v>584</v>
      </c>
      <c r="B1155" t="s">
        <v>3916</v>
      </c>
      <c r="C1155" t="s">
        <v>1936</v>
      </c>
      <c r="D1155" t="s">
        <v>3917</v>
      </c>
      <c r="F1155">
        <v>358</v>
      </c>
      <c r="G1155">
        <v>65</v>
      </c>
      <c r="H1155" t="s">
        <v>662</v>
      </c>
      <c r="I1155" t="s">
        <v>2271</v>
      </c>
      <c r="J1155">
        <v>500000</v>
      </c>
      <c r="K1155">
        <v>2025</v>
      </c>
      <c r="L1155">
        <v>1020106175</v>
      </c>
      <c r="M1155" t="s">
        <v>4026</v>
      </c>
      <c r="N1155" t="s">
        <v>1688</v>
      </c>
      <c r="O1155" t="s">
        <v>1686</v>
      </c>
      <c r="P1155">
        <v>0</v>
      </c>
      <c r="Q1155">
        <v>500000</v>
      </c>
      <c r="R1155">
        <v>0</v>
      </c>
      <c r="S1155">
        <v>0</v>
      </c>
      <c r="T1155" t="str">
        <f t="shared" si="36"/>
        <v>5842.43.4302.85.0-205128.2.3.3.08.06.</v>
      </c>
      <c r="U1155" t="e" cm="1">
        <f t="array" aca="1" ref="U1155" ca="1">+IF(COMPROMISOS_2025[[#This Row],[P]]="20","41080111",_xlfn.XLOOKUP(COMPROMISOS_2025[[#This Row],[concatenado]],PAA[[#All],[RCP-RUBRO]],PAA[[#All],[INDICADOR]],"",0))</f>
        <v>#NAME?</v>
      </c>
      <c r="V1155" s="144" t="str">
        <f t="shared" si="37"/>
        <v>85</v>
      </c>
      <c r="W1155" s="136">
        <f>+COMPROMISOS_2025[[#This Row],[valor_total]]-COMPROMISOS_2025[[#This Row],[total_cancelado]]</f>
        <v>500000</v>
      </c>
      <c r="X1155" s="136">
        <f>COMPROMISOS_2025[[#This Row],[total_ordenes]]</f>
        <v>500000</v>
      </c>
      <c r="Y1155" t="str" cm="1">
        <f t="array" aca="1" ref="Y1155" ca="1">IFERROR(_xlfn.XLOOKUP(COMPROMISOS_2025[[#This Row],[concatenado]],PAA[[#All],[RCP-RUBRO]],PAA[[#All],[Actividad3]],VLOOKUP(COMPROMISOS_2025[[#This Row],[Indicador Principal]],$AC$2:$AD$17,2,0),0),"")</f>
        <v/>
      </c>
    </row>
    <row r="1156" spans="1:25" hidden="1" x14ac:dyDescent="0.25">
      <c r="A1156">
        <v>585</v>
      </c>
      <c r="B1156" t="s">
        <v>3916</v>
      </c>
      <c r="C1156" t="s">
        <v>1936</v>
      </c>
      <c r="D1156" t="s">
        <v>3917</v>
      </c>
      <c r="F1156">
        <v>358</v>
      </c>
      <c r="G1156">
        <v>65</v>
      </c>
      <c r="H1156" t="s">
        <v>662</v>
      </c>
      <c r="I1156" t="s">
        <v>2271</v>
      </c>
      <c r="J1156">
        <v>500000</v>
      </c>
      <c r="K1156">
        <v>2025</v>
      </c>
      <c r="L1156">
        <v>1020115396</v>
      </c>
      <c r="M1156" t="s">
        <v>4027</v>
      </c>
      <c r="N1156" t="s">
        <v>1688</v>
      </c>
      <c r="O1156" t="s">
        <v>1686</v>
      </c>
      <c r="P1156">
        <v>0</v>
      </c>
      <c r="Q1156">
        <v>500000</v>
      </c>
      <c r="R1156">
        <v>0</v>
      </c>
      <c r="S1156">
        <v>0</v>
      </c>
      <c r="T1156" t="str">
        <f t="shared" si="36"/>
        <v>5852.43.4302.85.0-205128.2.3.3.08.06.</v>
      </c>
      <c r="U1156" t="e" cm="1">
        <f t="array" aca="1" ref="U1156" ca="1">+IF(COMPROMISOS_2025[[#This Row],[P]]="20","41080111",_xlfn.XLOOKUP(COMPROMISOS_2025[[#This Row],[concatenado]],PAA[[#All],[RCP-RUBRO]],PAA[[#All],[INDICADOR]],"",0))</f>
        <v>#NAME?</v>
      </c>
      <c r="V1156" s="144" t="str">
        <f t="shared" si="37"/>
        <v>85</v>
      </c>
      <c r="W1156" s="136">
        <f>+COMPROMISOS_2025[[#This Row],[valor_total]]-COMPROMISOS_2025[[#This Row],[total_cancelado]]</f>
        <v>500000</v>
      </c>
      <c r="X1156" s="136">
        <f>COMPROMISOS_2025[[#This Row],[total_ordenes]]</f>
        <v>500000</v>
      </c>
      <c r="Y1156" t="str" cm="1">
        <f t="array" aca="1" ref="Y1156" ca="1">IFERROR(_xlfn.XLOOKUP(COMPROMISOS_2025[[#This Row],[concatenado]],PAA[[#All],[RCP-RUBRO]],PAA[[#All],[Actividad3]],VLOOKUP(COMPROMISOS_2025[[#This Row],[Indicador Principal]],$AC$2:$AD$17,2,0),0),"")</f>
        <v/>
      </c>
    </row>
    <row r="1157" spans="1:25" hidden="1" x14ac:dyDescent="0.25">
      <c r="A1157">
        <v>586</v>
      </c>
      <c r="B1157" t="s">
        <v>3916</v>
      </c>
      <c r="C1157" t="s">
        <v>1936</v>
      </c>
      <c r="D1157" t="s">
        <v>3917</v>
      </c>
      <c r="F1157">
        <v>358</v>
      </c>
      <c r="G1157">
        <v>65</v>
      </c>
      <c r="H1157" t="s">
        <v>662</v>
      </c>
      <c r="I1157" t="s">
        <v>2271</v>
      </c>
      <c r="J1157">
        <v>500000</v>
      </c>
      <c r="K1157">
        <v>2025</v>
      </c>
      <c r="L1157">
        <v>1020116076</v>
      </c>
      <c r="M1157" t="s">
        <v>3664</v>
      </c>
      <c r="N1157" t="s">
        <v>1688</v>
      </c>
      <c r="O1157" t="s">
        <v>1686</v>
      </c>
      <c r="P1157">
        <v>0</v>
      </c>
      <c r="Q1157">
        <v>500000</v>
      </c>
      <c r="R1157">
        <v>0</v>
      </c>
      <c r="S1157">
        <v>0</v>
      </c>
      <c r="T1157" t="str">
        <f t="shared" si="36"/>
        <v>5862.43.4302.85.0-205128.2.3.3.08.06.</v>
      </c>
      <c r="U1157" t="e" cm="1">
        <f t="array" aca="1" ref="U1157" ca="1">+IF(COMPROMISOS_2025[[#This Row],[P]]="20","41080111",_xlfn.XLOOKUP(COMPROMISOS_2025[[#This Row],[concatenado]],PAA[[#All],[RCP-RUBRO]],PAA[[#All],[INDICADOR]],"",0))</f>
        <v>#NAME?</v>
      </c>
      <c r="V1157" s="144" t="str">
        <f t="shared" si="37"/>
        <v>85</v>
      </c>
      <c r="W1157" s="136">
        <f>+COMPROMISOS_2025[[#This Row],[valor_total]]-COMPROMISOS_2025[[#This Row],[total_cancelado]]</f>
        <v>500000</v>
      </c>
      <c r="X1157" s="136">
        <f>COMPROMISOS_2025[[#This Row],[total_ordenes]]</f>
        <v>500000</v>
      </c>
      <c r="Y1157" t="str" cm="1">
        <f t="array" aca="1" ref="Y1157" ca="1">IFERROR(_xlfn.XLOOKUP(COMPROMISOS_2025[[#This Row],[concatenado]],PAA[[#All],[RCP-RUBRO]],PAA[[#All],[Actividad3]],VLOOKUP(COMPROMISOS_2025[[#This Row],[Indicador Principal]],$AC$2:$AD$17,2,0),0),"")</f>
        <v/>
      </c>
    </row>
    <row r="1158" spans="1:25" hidden="1" x14ac:dyDescent="0.25">
      <c r="A1158">
        <v>587</v>
      </c>
      <c r="B1158" t="s">
        <v>3916</v>
      </c>
      <c r="C1158" t="s">
        <v>1936</v>
      </c>
      <c r="D1158" t="s">
        <v>3917</v>
      </c>
      <c r="F1158">
        <v>358</v>
      </c>
      <c r="G1158">
        <v>65</v>
      </c>
      <c r="H1158" t="s">
        <v>662</v>
      </c>
      <c r="I1158" t="s">
        <v>2271</v>
      </c>
      <c r="J1158">
        <v>500000</v>
      </c>
      <c r="K1158">
        <v>2025</v>
      </c>
      <c r="L1158">
        <v>1020117961</v>
      </c>
      <c r="M1158" t="s">
        <v>3665</v>
      </c>
      <c r="N1158" t="s">
        <v>1688</v>
      </c>
      <c r="O1158" t="s">
        <v>1686</v>
      </c>
      <c r="P1158">
        <v>0</v>
      </c>
      <c r="Q1158">
        <v>500000</v>
      </c>
      <c r="R1158">
        <v>0</v>
      </c>
      <c r="S1158">
        <v>0</v>
      </c>
      <c r="T1158" t="str">
        <f t="shared" si="36"/>
        <v>5872.43.4302.85.0-205128.2.3.3.08.06.</v>
      </c>
      <c r="U1158" t="e" cm="1">
        <f t="array" aca="1" ref="U1158" ca="1">+IF(COMPROMISOS_2025[[#This Row],[P]]="20","41080111",_xlfn.XLOOKUP(COMPROMISOS_2025[[#This Row],[concatenado]],PAA[[#All],[RCP-RUBRO]],PAA[[#All],[INDICADOR]],"",0))</f>
        <v>#NAME?</v>
      </c>
      <c r="V1158" s="144" t="str">
        <f t="shared" si="37"/>
        <v>85</v>
      </c>
      <c r="W1158" s="136">
        <f>+COMPROMISOS_2025[[#This Row],[valor_total]]-COMPROMISOS_2025[[#This Row],[total_cancelado]]</f>
        <v>500000</v>
      </c>
      <c r="X1158" s="136">
        <f>COMPROMISOS_2025[[#This Row],[total_ordenes]]</f>
        <v>500000</v>
      </c>
      <c r="Y1158" t="str" cm="1">
        <f t="array" aca="1" ref="Y1158" ca="1">IFERROR(_xlfn.XLOOKUP(COMPROMISOS_2025[[#This Row],[concatenado]],PAA[[#All],[RCP-RUBRO]],PAA[[#All],[Actividad3]],VLOOKUP(COMPROMISOS_2025[[#This Row],[Indicador Principal]],$AC$2:$AD$17,2,0),0),"")</f>
        <v/>
      </c>
    </row>
    <row r="1159" spans="1:25" hidden="1" x14ac:dyDescent="0.25">
      <c r="A1159">
        <v>588</v>
      </c>
      <c r="B1159" t="s">
        <v>3916</v>
      </c>
      <c r="C1159" t="s">
        <v>1936</v>
      </c>
      <c r="D1159" t="s">
        <v>3917</v>
      </c>
      <c r="F1159">
        <v>358</v>
      </c>
      <c r="G1159">
        <v>65</v>
      </c>
      <c r="H1159" t="s">
        <v>662</v>
      </c>
      <c r="I1159" t="s">
        <v>2271</v>
      </c>
      <c r="J1159">
        <v>500000</v>
      </c>
      <c r="K1159">
        <v>2025</v>
      </c>
      <c r="L1159">
        <v>1020490539</v>
      </c>
      <c r="M1159" t="s">
        <v>4028</v>
      </c>
      <c r="N1159" t="s">
        <v>1688</v>
      </c>
      <c r="O1159" t="s">
        <v>1686</v>
      </c>
      <c r="P1159">
        <v>0</v>
      </c>
      <c r="Q1159">
        <v>500000</v>
      </c>
      <c r="R1159">
        <v>0</v>
      </c>
      <c r="S1159">
        <v>0</v>
      </c>
      <c r="T1159" t="str">
        <f t="shared" si="36"/>
        <v>5882.43.4302.85.0-205128.2.3.3.08.06.</v>
      </c>
      <c r="U1159" t="e" cm="1">
        <f t="array" aca="1" ref="U1159" ca="1">+IF(COMPROMISOS_2025[[#This Row],[P]]="20","41080111",_xlfn.XLOOKUP(COMPROMISOS_2025[[#This Row],[concatenado]],PAA[[#All],[RCP-RUBRO]],PAA[[#All],[INDICADOR]],"",0))</f>
        <v>#NAME?</v>
      </c>
      <c r="V1159" s="144" t="str">
        <f t="shared" si="37"/>
        <v>85</v>
      </c>
      <c r="W1159" s="136">
        <f>+COMPROMISOS_2025[[#This Row],[valor_total]]-COMPROMISOS_2025[[#This Row],[total_cancelado]]</f>
        <v>500000</v>
      </c>
      <c r="X1159" s="136">
        <f>COMPROMISOS_2025[[#This Row],[total_ordenes]]</f>
        <v>500000</v>
      </c>
      <c r="Y1159" t="str" cm="1">
        <f t="array" aca="1" ref="Y1159" ca="1">IFERROR(_xlfn.XLOOKUP(COMPROMISOS_2025[[#This Row],[concatenado]],PAA[[#All],[RCP-RUBRO]],PAA[[#All],[Actividad3]],VLOOKUP(COMPROMISOS_2025[[#This Row],[Indicador Principal]],$AC$2:$AD$17,2,0),0),"")</f>
        <v/>
      </c>
    </row>
    <row r="1160" spans="1:25" hidden="1" x14ac:dyDescent="0.25">
      <c r="A1160">
        <v>589</v>
      </c>
      <c r="B1160" t="s">
        <v>3916</v>
      </c>
      <c r="C1160" t="s">
        <v>1936</v>
      </c>
      <c r="D1160" t="s">
        <v>3917</v>
      </c>
      <c r="F1160">
        <v>358</v>
      </c>
      <c r="G1160">
        <v>65</v>
      </c>
      <c r="H1160" t="s">
        <v>662</v>
      </c>
      <c r="I1160" t="s">
        <v>2271</v>
      </c>
      <c r="J1160">
        <v>500000</v>
      </c>
      <c r="K1160">
        <v>2025</v>
      </c>
      <c r="L1160">
        <v>1020490926</v>
      </c>
      <c r="M1160" t="s">
        <v>4029</v>
      </c>
      <c r="N1160" t="s">
        <v>1688</v>
      </c>
      <c r="O1160" t="s">
        <v>1686</v>
      </c>
      <c r="P1160">
        <v>0</v>
      </c>
      <c r="Q1160">
        <v>500000</v>
      </c>
      <c r="R1160">
        <v>0</v>
      </c>
      <c r="S1160">
        <v>0</v>
      </c>
      <c r="T1160" t="str">
        <f t="shared" si="36"/>
        <v>5892.43.4302.85.0-205128.2.3.3.08.06.</v>
      </c>
      <c r="U1160" t="e" cm="1">
        <f t="array" aca="1" ref="U1160" ca="1">+IF(COMPROMISOS_2025[[#This Row],[P]]="20","41080111",_xlfn.XLOOKUP(COMPROMISOS_2025[[#This Row],[concatenado]],PAA[[#All],[RCP-RUBRO]],PAA[[#All],[INDICADOR]],"",0))</f>
        <v>#NAME?</v>
      </c>
      <c r="V1160" s="144" t="str">
        <f t="shared" si="37"/>
        <v>85</v>
      </c>
      <c r="W1160" s="136">
        <f>+COMPROMISOS_2025[[#This Row],[valor_total]]-COMPROMISOS_2025[[#This Row],[total_cancelado]]</f>
        <v>500000</v>
      </c>
      <c r="X1160" s="136">
        <f>COMPROMISOS_2025[[#This Row],[total_ordenes]]</f>
        <v>500000</v>
      </c>
      <c r="Y1160" t="str" cm="1">
        <f t="array" aca="1" ref="Y1160" ca="1">IFERROR(_xlfn.XLOOKUP(COMPROMISOS_2025[[#This Row],[concatenado]],PAA[[#All],[RCP-RUBRO]],PAA[[#All],[Actividad3]],VLOOKUP(COMPROMISOS_2025[[#This Row],[Indicador Principal]],$AC$2:$AD$17,2,0),0),"")</f>
        <v/>
      </c>
    </row>
    <row r="1161" spans="1:25" hidden="1" x14ac:dyDescent="0.25">
      <c r="A1161">
        <v>590</v>
      </c>
      <c r="B1161" t="s">
        <v>3916</v>
      </c>
      <c r="C1161" t="s">
        <v>1936</v>
      </c>
      <c r="D1161" t="s">
        <v>3917</v>
      </c>
      <c r="F1161">
        <v>358</v>
      </c>
      <c r="G1161">
        <v>65</v>
      </c>
      <c r="H1161" t="s">
        <v>662</v>
      </c>
      <c r="I1161" t="s">
        <v>2271</v>
      </c>
      <c r="J1161">
        <v>800000</v>
      </c>
      <c r="K1161">
        <v>2025</v>
      </c>
      <c r="L1161">
        <v>1020494272</v>
      </c>
      <c r="M1161" t="s">
        <v>4030</v>
      </c>
      <c r="N1161" t="s">
        <v>1688</v>
      </c>
      <c r="O1161" t="s">
        <v>1686</v>
      </c>
      <c r="P1161">
        <v>0</v>
      </c>
      <c r="Q1161">
        <v>800000</v>
      </c>
      <c r="R1161">
        <v>0</v>
      </c>
      <c r="S1161">
        <v>0</v>
      </c>
      <c r="T1161" t="str">
        <f t="shared" si="36"/>
        <v>5902.43.4302.85.0-205128.2.3.3.08.06.</v>
      </c>
      <c r="U1161" t="e" cm="1">
        <f t="array" aca="1" ref="U1161" ca="1">+IF(COMPROMISOS_2025[[#This Row],[P]]="20","41080111",_xlfn.XLOOKUP(COMPROMISOS_2025[[#This Row],[concatenado]],PAA[[#All],[RCP-RUBRO]],PAA[[#All],[INDICADOR]],"",0))</f>
        <v>#NAME?</v>
      </c>
      <c r="V1161" s="144" t="str">
        <f t="shared" si="37"/>
        <v>85</v>
      </c>
      <c r="W1161" s="136">
        <f>+COMPROMISOS_2025[[#This Row],[valor_total]]-COMPROMISOS_2025[[#This Row],[total_cancelado]]</f>
        <v>800000</v>
      </c>
      <c r="X1161" s="136">
        <f>COMPROMISOS_2025[[#This Row],[total_ordenes]]</f>
        <v>800000</v>
      </c>
      <c r="Y1161" t="str" cm="1">
        <f t="array" aca="1" ref="Y1161" ca="1">IFERROR(_xlfn.XLOOKUP(COMPROMISOS_2025[[#This Row],[concatenado]],PAA[[#All],[RCP-RUBRO]],PAA[[#All],[Actividad3]],VLOOKUP(COMPROMISOS_2025[[#This Row],[Indicador Principal]],$AC$2:$AD$17,2,0),0),"")</f>
        <v/>
      </c>
    </row>
    <row r="1162" spans="1:25" hidden="1" x14ac:dyDescent="0.25">
      <c r="A1162">
        <v>591</v>
      </c>
      <c r="B1162" t="s">
        <v>3916</v>
      </c>
      <c r="C1162" t="s">
        <v>1936</v>
      </c>
      <c r="D1162" t="s">
        <v>3917</v>
      </c>
      <c r="F1162">
        <v>358</v>
      </c>
      <c r="G1162">
        <v>65</v>
      </c>
      <c r="H1162" t="s">
        <v>662</v>
      </c>
      <c r="I1162" t="s">
        <v>2271</v>
      </c>
      <c r="J1162">
        <v>500000</v>
      </c>
      <c r="K1162">
        <v>2025</v>
      </c>
      <c r="L1162">
        <v>1021398644</v>
      </c>
      <c r="M1162" t="s">
        <v>3670</v>
      </c>
      <c r="N1162" t="s">
        <v>1688</v>
      </c>
      <c r="O1162" t="s">
        <v>1686</v>
      </c>
      <c r="P1162">
        <v>0</v>
      </c>
      <c r="Q1162">
        <v>500000</v>
      </c>
      <c r="R1162">
        <v>0</v>
      </c>
      <c r="S1162">
        <v>0</v>
      </c>
      <c r="T1162" t="str">
        <f t="shared" si="36"/>
        <v>5912.43.4302.85.0-205128.2.3.3.08.06.</v>
      </c>
      <c r="U1162" t="e" cm="1">
        <f t="array" aca="1" ref="U1162" ca="1">+IF(COMPROMISOS_2025[[#This Row],[P]]="20","41080111",_xlfn.XLOOKUP(COMPROMISOS_2025[[#This Row],[concatenado]],PAA[[#All],[RCP-RUBRO]],PAA[[#All],[INDICADOR]],"",0))</f>
        <v>#NAME?</v>
      </c>
      <c r="V1162" s="144" t="str">
        <f t="shared" si="37"/>
        <v>85</v>
      </c>
      <c r="W1162" s="136">
        <f>+COMPROMISOS_2025[[#This Row],[valor_total]]-COMPROMISOS_2025[[#This Row],[total_cancelado]]</f>
        <v>500000</v>
      </c>
      <c r="X1162" s="136">
        <f>COMPROMISOS_2025[[#This Row],[total_ordenes]]</f>
        <v>500000</v>
      </c>
      <c r="Y1162" t="str" cm="1">
        <f t="array" aca="1" ref="Y1162" ca="1">IFERROR(_xlfn.XLOOKUP(COMPROMISOS_2025[[#This Row],[concatenado]],PAA[[#All],[RCP-RUBRO]],PAA[[#All],[Actividad3]],VLOOKUP(COMPROMISOS_2025[[#This Row],[Indicador Principal]],$AC$2:$AD$17,2,0),0),"")</f>
        <v/>
      </c>
    </row>
    <row r="1163" spans="1:25" hidden="1" x14ac:dyDescent="0.25">
      <c r="A1163">
        <v>592</v>
      </c>
      <c r="B1163" t="s">
        <v>3916</v>
      </c>
      <c r="C1163" t="s">
        <v>1936</v>
      </c>
      <c r="D1163" t="s">
        <v>3917</v>
      </c>
      <c r="F1163">
        <v>358</v>
      </c>
      <c r="G1163">
        <v>65</v>
      </c>
      <c r="H1163" t="s">
        <v>662</v>
      </c>
      <c r="I1163" t="s">
        <v>2271</v>
      </c>
      <c r="J1163">
        <v>500000</v>
      </c>
      <c r="K1163">
        <v>2025</v>
      </c>
      <c r="L1163">
        <v>1021803306</v>
      </c>
      <c r="M1163" t="s">
        <v>3671</v>
      </c>
      <c r="N1163" t="s">
        <v>1688</v>
      </c>
      <c r="O1163" t="s">
        <v>1686</v>
      </c>
      <c r="P1163">
        <v>0</v>
      </c>
      <c r="Q1163">
        <v>500000</v>
      </c>
      <c r="R1163">
        <v>0</v>
      </c>
      <c r="S1163">
        <v>0</v>
      </c>
      <c r="T1163" t="str">
        <f t="shared" si="36"/>
        <v>5922.43.4302.85.0-205128.2.3.3.08.06.</v>
      </c>
      <c r="U1163" t="e" cm="1">
        <f t="array" aca="1" ref="U1163" ca="1">+IF(COMPROMISOS_2025[[#This Row],[P]]="20","41080111",_xlfn.XLOOKUP(COMPROMISOS_2025[[#This Row],[concatenado]],PAA[[#All],[RCP-RUBRO]],PAA[[#All],[INDICADOR]],"",0))</f>
        <v>#NAME?</v>
      </c>
      <c r="V1163" s="144" t="str">
        <f t="shared" si="37"/>
        <v>85</v>
      </c>
      <c r="W1163" s="136">
        <f>+COMPROMISOS_2025[[#This Row],[valor_total]]-COMPROMISOS_2025[[#This Row],[total_cancelado]]</f>
        <v>500000</v>
      </c>
      <c r="X1163" s="136">
        <f>COMPROMISOS_2025[[#This Row],[total_ordenes]]</f>
        <v>500000</v>
      </c>
      <c r="Y1163" t="str" cm="1">
        <f t="array" aca="1" ref="Y1163" ca="1">IFERROR(_xlfn.XLOOKUP(COMPROMISOS_2025[[#This Row],[concatenado]],PAA[[#All],[RCP-RUBRO]],PAA[[#All],[Actividad3]],VLOOKUP(COMPROMISOS_2025[[#This Row],[Indicador Principal]],$AC$2:$AD$17,2,0),0),"")</f>
        <v/>
      </c>
    </row>
    <row r="1164" spans="1:25" hidden="1" x14ac:dyDescent="0.25">
      <c r="A1164">
        <v>593</v>
      </c>
      <c r="B1164" t="s">
        <v>3916</v>
      </c>
      <c r="C1164" t="s">
        <v>1936</v>
      </c>
      <c r="D1164" t="s">
        <v>3917</v>
      </c>
      <c r="F1164">
        <v>358</v>
      </c>
      <c r="G1164">
        <v>65</v>
      </c>
      <c r="H1164" t="s">
        <v>662</v>
      </c>
      <c r="I1164" t="s">
        <v>2271</v>
      </c>
      <c r="J1164">
        <v>500000</v>
      </c>
      <c r="K1164">
        <v>2025</v>
      </c>
      <c r="L1164">
        <v>1021803737</v>
      </c>
      <c r="M1164" t="s">
        <v>4031</v>
      </c>
      <c r="N1164" t="s">
        <v>1688</v>
      </c>
      <c r="O1164" t="s">
        <v>1686</v>
      </c>
      <c r="P1164">
        <v>0</v>
      </c>
      <c r="Q1164">
        <v>500000</v>
      </c>
      <c r="R1164">
        <v>0</v>
      </c>
      <c r="S1164">
        <v>0</v>
      </c>
      <c r="T1164" t="str">
        <f t="shared" si="36"/>
        <v>5932.43.4302.85.0-205128.2.3.3.08.06.</v>
      </c>
      <c r="U1164" t="e" cm="1">
        <f t="array" aca="1" ref="U1164" ca="1">+IF(COMPROMISOS_2025[[#This Row],[P]]="20","41080111",_xlfn.XLOOKUP(COMPROMISOS_2025[[#This Row],[concatenado]],PAA[[#All],[RCP-RUBRO]],PAA[[#All],[INDICADOR]],"",0))</f>
        <v>#NAME?</v>
      </c>
      <c r="V1164" s="144" t="str">
        <f t="shared" si="37"/>
        <v>85</v>
      </c>
      <c r="W1164" s="136">
        <f>+COMPROMISOS_2025[[#This Row],[valor_total]]-COMPROMISOS_2025[[#This Row],[total_cancelado]]</f>
        <v>500000</v>
      </c>
      <c r="X1164" s="136">
        <f>COMPROMISOS_2025[[#This Row],[total_ordenes]]</f>
        <v>500000</v>
      </c>
      <c r="Y1164" t="str" cm="1">
        <f t="array" aca="1" ref="Y1164" ca="1">IFERROR(_xlfn.XLOOKUP(COMPROMISOS_2025[[#This Row],[concatenado]],PAA[[#All],[RCP-RUBRO]],PAA[[#All],[Actividad3]],VLOOKUP(COMPROMISOS_2025[[#This Row],[Indicador Principal]],$AC$2:$AD$17,2,0),0),"")</f>
        <v/>
      </c>
    </row>
    <row r="1165" spans="1:25" hidden="1" x14ac:dyDescent="0.25">
      <c r="A1165">
        <v>594</v>
      </c>
      <c r="B1165" t="s">
        <v>3916</v>
      </c>
      <c r="C1165" t="s">
        <v>1936</v>
      </c>
      <c r="D1165" t="s">
        <v>3917</v>
      </c>
      <c r="F1165">
        <v>358</v>
      </c>
      <c r="G1165">
        <v>65</v>
      </c>
      <c r="H1165" t="s">
        <v>662</v>
      </c>
      <c r="I1165" t="s">
        <v>2271</v>
      </c>
      <c r="J1165">
        <v>500000</v>
      </c>
      <c r="K1165">
        <v>2025</v>
      </c>
      <c r="L1165">
        <v>1021923426</v>
      </c>
      <c r="M1165" t="s">
        <v>3673</v>
      </c>
      <c r="N1165" t="s">
        <v>1688</v>
      </c>
      <c r="O1165" t="s">
        <v>1686</v>
      </c>
      <c r="P1165">
        <v>0</v>
      </c>
      <c r="Q1165">
        <v>500000</v>
      </c>
      <c r="R1165">
        <v>0</v>
      </c>
      <c r="S1165">
        <v>0</v>
      </c>
      <c r="T1165" t="str">
        <f t="shared" si="36"/>
        <v>5942.43.4302.85.0-205128.2.3.3.08.06.</v>
      </c>
      <c r="U1165" t="e" cm="1">
        <f t="array" aca="1" ref="U1165" ca="1">+IF(COMPROMISOS_2025[[#This Row],[P]]="20","41080111",_xlfn.XLOOKUP(COMPROMISOS_2025[[#This Row],[concatenado]],PAA[[#All],[RCP-RUBRO]],PAA[[#All],[INDICADOR]],"",0))</f>
        <v>#NAME?</v>
      </c>
      <c r="V1165" s="144" t="str">
        <f t="shared" si="37"/>
        <v>85</v>
      </c>
      <c r="W1165" s="136">
        <f>+COMPROMISOS_2025[[#This Row],[valor_total]]-COMPROMISOS_2025[[#This Row],[total_cancelado]]</f>
        <v>500000</v>
      </c>
      <c r="X1165" s="136">
        <f>COMPROMISOS_2025[[#This Row],[total_ordenes]]</f>
        <v>500000</v>
      </c>
      <c r="Y1165" t="str" cm="1">
        <f t="array" aca="1" ref="Y1165" ca="1">IFERROR(_xlfn.XLOOKUP(COMPROMISOS_2025[[#This Row],[concatenado]],PAA[[#All],[RCP-RUBRO]],PAA[[#All],[Actividad3]],VLOOKUP(COMPROMISOS_2025[[#This Row],[Indicador Principal]],$AC$2:$AD$17,2,0),0),"")</f>
        <v/>
      </c>
    </row>
    <row r="1166" spans="1:25" hidden="1" x14ac:dyDescent="0.25">
      <c r="A1166">
        <v>595</v>
      </c>
      <c r="B1166" t="s">
        <v>3916</v>
      </c>
      <c r="C1166" t="s">
        <v>1936</v>
      </c>
      <c r="D1166" t="s">
        <v>3917</v>
      </c>
      <c r="F1166">
        <v>358</v>
      </c>
      <c r="G1166">
        <v>65</v>
      </c>
      <c r="H1166" t="s">
        <v>662</v>
      </c>
      <c r="I1166" t="s">
        <v>2271</v>
      </c>
      <c r="J1166">
        <v>500000</v>
      </c>
      <c r="K1166">
        <v>2025</v>
      </c>
      <c r="L1166">
        <v>1022004608</v>
      </c>
      <c r="M1166" t="s">
        <v>3676</v>
      </c>
      <c r="N1166" t="s">
        <v>1688</v>
      </c>
      <c r="O1166" t="s">
        <v>1686</v>
      </c>
      <c r="P1166">
        <v>0</v>
      </c>
      <c r="Q1166">
        <v>500000</v>
      </c>
      <c r="R1166">
        <v>0</v>
      </c>
      <c r="S1166">
        <v>0</v>
      </c>
      <c r="T1166" t="str">
        <f t="shared" si="36"/>
        <v>5952.43.4302.85.0-205128.2.3.3.08.06.</v>
      </c>
      <c r="U1166" t="e" cm="1">
        <f t="array" aca="1" ref="U1166" ca="1">+IF(COMPROMISOS_2025[[#This Row],[P]]="20","41080111",_xlfn.XLOOKUP(COMPROMISOS_2025[[#This Row],[concatenado]],PAA[[#All],[RCP-RUBRO]],PAA[[#All],[INDICADOR]],"",0))</f>
        <v>#NAME?</v>
      </c>
      <c r="V1166" s="144" t="str">
        <f t="shared" si="37"/>
        <v>85</v>
      </c>
      <c r="W1166" s="136">
        <f>+COMPROMISOS_2025[[#This Row],[valor_total]]-COMPROMISOS_2025[[#This Row],[total_cancelado]]</f>
        <v>500000</v>
      </c>
      <c r="X1166" s="136">
        <f>COMPROMISOS_2025[[#This Row],[total_ordenes]]</f>
        <v>500000</v>
      </c>
      <c r="Y1166" t="str" cm="1">
        <f t="array" aca="1" ref="Y1166" ca="1">IFERROR(_xlfn.XLOOKUP(COMPROMISOS_2025[[#This Row],[concatenado]],PAA[[#All],[RCP-RUBRO]],PAA[[#All],[Actividad3]],VLOOKUP(COMPROMISOS_2025[[#This Row],[Indicador Principal]],$AC$2:$AD$17,2,0),0),"")</f>
        <v/>
      </c>
    </row>
    <row r="1167" spans="1:25" hidden="1" x14ac:dyDescent="0.25">
      <c r="A1167">
        <v>596</v>
      </c>
      <c r="B1167" t="s">
        <v>3916</v>
      </c>
      <c r="C1167" t="s">
        <v>1936</v>
      </c>
      <c r="D1167" t="s">
        <v>3917</v>
      </c>
      <c r="F1167">
        <v>358</v>
      </c>
      <c r="G1167">
        <v>65</v>
      </c>
      <c r="H1167" t="s">
        <v>662</v>
      </c>
      <c r="I1167" t="s">
        <v>2271</v>
      </c>
      <c r="J1167">
        <v>500000</v>
      </c>
      <c r="K1167">
        <v>2025</v>
      </c>
      <c r="L1167">
        <v>1022005459</v>
      </c>
      <c r="M1167" t="s">
        <v>4032</v>
      </c>
      <c r="N1167" t="s">
        <v>1688</v>
      </c>
      <c r="O1167" t="s">
        <v>1686</v>
      </c>
      <c r="P1167">
        <v>0</v>
      </c>
      <c r="Q1167">
        <v>500000</v>
      </c>
      <c r="R1167">
        <v>0</v>
      </c>
      <c r="S1167">
        <v>0</v>
      </c>
      <c r="T1167" t="str">
        <f t="shared" si="36"/>
        <v>5962.43.4302.85.0-205128.2.3.3.08.06.</v>
      </c>
      <c r="U1167" t="e" cm="1">
        <f t="array" aca="1" ref="U1167" ca="1">+IF(COMPROMISOS_2025[[#This Row],[P]]="20","41080111",_xlfn.XLOOKUP(COMPROMISOS_2025[[#This Row],[concatenado]],PAA[[#All],[RCP-RUBRO]],PAA[[#All],[INDICADOR]],"",0))</f>
        <v>#NAME?</v>
      </c>
      <c r="V1167" s="144" t="str">
        <f t="shared" si="37"/>
        <v>85</v>
      </c>
      <c r="W1167" s="136">
        <f>+COMPROMISOS_2025[[#This Row],[valor_total]]-COMPROMISOS_2025[[#This Row],[total_cancelado]]</f>
        <v>500000</v>
      </c>
      <c r="X1167" s="136">
        <f>COMPROMISOS_2025[[#This Row],[total_ordenes]]</f>
        <v>500000</v>
      </c>
      <c r="Y1167" t="str" cm="1">
        <f t="array" aca="1" ref="Y1167" ca="1">IFERROR(_xlfn.XLOOKUP(COMPROMISOS_2025[[#This Row],[concatenado]],PAA[[#All],[RCP-RUBRO]],PAA[[#All],[Actividad3]],VLOOKUP(COMPROMISOS_2025[[#This Row],[Indicador Principal]],$AC$2:$AD$17,2,0),0),"")</f>
        <v/>
      </c>
    </row>
    <row r="1168" spans="1:25" hidden="1" x14ac:dyDescent="0.25">
      <c r="A1168">
        <v>597</v>
      </c>
      <c r="B1168" t="s">
        <v>3916</v>
      </c>
      <c r="C1168" t="s">
        <v>1936</v>
      </c>
      <c r="D1168" t="s">
        <v>3917</v>
      </c>
      <c r="F1168">
        <v>358</v>
      </c>
      <c r="G1168">
        <v>65</v>
      </c>
      <c r="H1168" t="s">
        <v>662</v>
      </c>
      <c r="I1168" t="s">
        <v>2271</v>
      </c>
      <c r="J1168">
        <v>500000</v>
      </c>
      <c r="K1168">
        <v>2025</v>
      </c>
      <c r="L1168">
        <v>1023374722</v>
      </c>
      <c r="M1168" t="s">
        <v>4033</v>
      </c>
      <c r="N1168" t="s">
        <v>1688</v>
      </c>
      <c r="O1168" t="s">
        <v>1686</v>
      </c>
      <c r="P1168">
        <v>0</v>
      </c>
      <c r="Q1168">
        <v>500000</v>
      </c>
      <c r="R1168">
        <v>0</v>
      </c>
      <c r="S1168">
        <v>0</v>
      </c>
      <c r="T1168" t="str">
        <f t="shared" si="36"/>
        <v>5972.43.4302.85.0-205128.2.3.3.08.06.</v>
      </c>
      <c r="U1168" t="e" cm="1">
        <f t="array" aca="1" ref="U1168" ca="1">+IF(COMPROMISOS_2025[[#This Row],[P]]="20","41080111",_xlfn.XLOOKUP(COMPROMISOS_2025[[#This Row],[concatenado]],PAA[[#All],[RCP-RUBRO]],PAA[[#All],[INDICADOR]],"",0))</f>
        <v>#NAME?</v>
      </c>
      <c r="V1168" s="144" t="str">
        <f t="shared" si="37"/>
        <v>85</v>
      </c>
      <c r="W1168" s="136">
        <f>+COMPROMISOS_2025[[#This Row],[valor_total]]-COMPROMISOS_2025[[#This Row],[total_cancelado]]</f>
        <v>500000</v>
      </c>
      <c r="X1168" s="136">
        <f>COMPROMISOS_2025[[#This Row],[total_ordenes]]</f>
        <v>500000</v>
      </c>
      <c r="Y1168" t="str" cm="1">
        <f t="array" aca="1" ref="Y1168" ca="1">IFERROR(_xlfn.XLOOKUP(COMPROMISOS_2025[[#This Row],[concatenado]],PAA[[#All],[RCP-RUBRO]],PAA[[#All],[Actividad3]],VLOOKUP(COMPROMISOS_2025[[#This Row],[Indicador Principal]],$AC$2:$AD$17,2,0),0),"")</f>
        <v/>
      </c>
    </row>
    <row r="1169" spans="1:25" hidden="1" x14ac:dyDescent="0.25">
      <c r="A1169">
        <v>598</v>
      </c>
      <c r="B1169" t="s">
        <v>3916</v>
      </c>
      <c r="C1169" t="s">
        <v>1936</v>
      </c>
      <c r="D1169" t="s">
        <v>3917</v>
      </c>
      <c r="F1169">
        <v>358</v>
      </c>
      <c r="G1169">
        <v>65</v>
      </c>
      <c r="H1169" t="s">
        <v>662</v>
      </c>
      <c r="I1169" t="s">
        <v>2271</v>
      </c>
      <c r="J1169">
        <v>500000</v>
      </c>
      <c r="K1169">
        <v>2025</v>
      </c>
      <c r="L1169">
        <v>1023523023</v>
      </c>
      <c r="M1169" t="s">
        <v>4034</v>
      </c>
      <c r="N1169" t="s">
        <v>1688</v>
      </c>
      <c r="O1169" t="s">
        <v>1686</v>
      </c>
      <c r="P1169">
        <v>0</v>
      </c>
      <c r="Q1169">
        <v>500000</v>
      </c>
      <c r="R1169">
        <v>0</v>
      </c>
      <c r="S1169">
        <v>0</v>
      </c>
      <c r="T1169" t="str">
        <f t="shared" si="36"/>
        <v>5982.43.4302.85.0-205128.2.3.3.08.06.</v>
      </c>
      <c r="U1169" t="e" cm="1">
        <f t="array" aca="1" ref="U1169" ca="1">+IF(COMPROMISOS_2025[[#This Row],[P]]="20","41080111",_xlfn.XLOOKUP(COMPROMISOS_2025[[#This Row],[concatenado]],PAA[[#All],[RCP-RUBRO]],PAA[[#All],[INDICADOR]],"",0))</f>
        <v>#NAME?</v>
      </c>
      <c r="V1169" s="144" t="str">
        <f t="shared" si="37"/>
        <v>85</v>
      </c>
      <c r="W1169" s="136">
        <f>+COMPROMISOS_2025[[#This Row],[valor_total]]-COMPROMISOS_2025[[#This Row],[total_cancelado]]</f>
        <v>500000</v>
      </c>
      <c r="X1169" s="136">
        <f>COMPROMISOS_2025[[#This Row],[total_ordenes]]</f>
        <v>500000</v>
      </c>
      <c r="Y1169" t="str" cm="1">
        <f t="array" aca="1" ref="Y1169" ca="1">IFERROR(_xlfn.XLOOKUP(COMPROMISOS_2025[[#This Row],[concatenado]],PAA[[#All],[RCP-RUBRO]],PAA[[#All],[Actividad3]],VLOOKUP(COMPROMISOS_2025[[#This Row],[Indicador Principal]],$AC$2:$AD$17,2,0),0),"")</f>
        <v/>
      </c>
    </row>
    <row r="1170" spans="1:25" hidden="1" x14ac:dyDescent="0.25">
      <c r="A1170">
        <v>599</v>
      </c>
      <c r="B1170" t="s">
        <v>3916</v>
      </c>
      <c r="C1170" t="s">
        <v>1936</v>
      </c>
      <c r="D1170" t="s">
        <v>3917</v>
      </c>
      <c r="F1170">
        <v>358</v>
      </c>
      <c r="G1170">
        <v>65</v>
      </c>
      <c r="H1170" t="s">
        <v>662</v>
      </c>
      <c r="I1170" t="s">
        <v>2271</v>
      </c>
      <c r="J1170">
        <v>500000</v>
      </c>
      <c r="K1170">
        <v>2025</v>
      </c>
      <c r="L1170">
        <v>1023625491</v>
      </c>
      <c r="M1170" t="s">
        <v>4035</v>
      </c>
      <c r="N1170" t="s">
        <v>1688</v>
      </c>
      <c r="O1170" t="s">
        <v>1686</v>
      </c>
      <c r="P1170">
        <v>0</v>
      </c>
      <c r="Q1170">
        <v>500000</v>
      </c>
      <c r="R1170">
        <v>0</v>
      </c>
      <c r="S1170">
        <v>0</v>
      </c>
      <c r="T1170" t="str">
        <f t="shared" si="36"/>
        <v>5992.43.4302.85.0-205128.2.3.3.08.06.</v>
      </c>
      <c r="U1170" t="e" cm="1">
        <f t="array" aca="1" ref="U1170" ca="1">+IF(COMPROMISOS_2025[[#This Row],[P]]="20","41080111",_xlfn.XLOOKUP(COMPROMISOS_2025[[#This Row],[concatenado]],PAA[[#All],[RCP-RUBRO]],PAA[[#All],[INDICADOR]],"",0))</f>
        <v>#NAME?</v>
      </c>
      <c r="V1170" s="144" t="str">
        <f t="shared" si="37"/>
        <v>85</v>
      </c>
      <c r="W1170" s="136">
        <f>+COMPROMISOS_2025[[#This Row],[valor_total]]-COMPROMISOS_2025[[#This Row],[total_cancelado]]</f>
        <v>500000</v>
      </c>
      <c r="X1170" s="136">
        <f>COMPROMISOS_2025[[#This Row],[total_ordenes]]</f>
        <v>500000</v>
      </c>
      <c r="Y1170" t="str" cm="1">
        <f t="array" aca="1" ref="Y1170" ca="1">IFERROR(_xlfn.XLOOKUP(COMPROMISOS_2025[[#This Row],[concatenado]],PAA[[#All],[RCP-RUBRO]],PAA[[#All],[Actividad3]],VLOOKUP(COMPROMISOS_2025[[#This Row],[Indicador Principal]],$AC$2:$AD$17,2,0),0),"")</f>
        <v/>
      </c>
    </row>
    <row r="1171" spans="1:25" hidden="1" x14ac:dyDescent="0.25">
      <c r="A1171">
        <v>600</v>
      </c>
      <c r="B1171" t="s">
        <v>3916</v>
      </c>
      <c r="C1171" t="s">
        <v>1936</v>
      </c>
      <c r="D1171" t="s">
        <v>3917</v>
      </c>
      <c r="F1171">
        <v>358</v>
      </c>
      <c r="G1171">
        <v>65</v>
      </c>
      <c r="H1171" t="s">
        <v>662</v>
      </c>
      <c r="I1171" t="s">
        <v>2271</v>
      </c>
      <c r="J1171">
        <v>500000</v>
      </c>
      <c r="K1171">
        <v>2025</v>
      </c>
      <c r="L1171">
        <v>1023629534</v>
      </c>
      <c r="M1171" t="s">
        <v>3684</v>
      </c>
      <c r="N1171" t="s">
        <v>1688</v>
      </c>
      <c r="O1171" t="s">
        <v>1686</v>
      </c>
      <c r="P1171">
        <v>0</v>
      </c>
      <c r="Q1171">
        <v>500000</v>
      </c>
      <c r="R1171">
        <v>0</v>
      </c>
      <c r="S1171">
        <v>0</v>
      </c>
      <c r="T1171" t="str">
        <f t="shared" si="36"/>
        <v>6002.43.4302.85.0-205128.2.3.3.08.06.</v>
      </c>
      <c r="U1171" t="e" cm="1">
        <f t="array" aca="1" ref="U1171" ca="1">+IF(COMPROMISOS_2025[[#This Row],[P]]="20","41080111",_xlfn.XLOOKUP(COMPROMISOS_2025[[#This Row],[concatenado]],PAA[[#All],[RCP-RUBRO]],PAA[[#All],[INDICADOR]],"",0))</f>
        <v>#NAME?</v>
      </c>
      <c r="V1171" s="144" t="str">
        <f t="shared" si="37"/>
        <v>85</v>
      </c>
      <c r="W1171" s="136">
        <f>+COMPROMISOS_2025[[#This Row],[valor_total]]-COMPROMISOS_2025[[#This Row],[total_cancelado]]</f>
        <v>500000</v>
      </c>
      <c r="X1171" s="136">
        <f>COMPROMISOS_2025[[#This Row],[total_ordenes]]</f>
        <v>500000</v>
      </c>
      <c r="Y1171" t="str" cm="1">
        <f t="array" aca="1" ref="Y1171" ca="1">IFERROR(_xlfn.XLOOKUP(COMPROMISOS_2025[[#This Row],[concatenado]],PAA[[#All],[RCP-RUBRO]],PAA[[#All],[Actividad3]],VLOOKUP(COMPROMISOS_2025[[#This Row],[Indicador Principal]],$AC$2:$AD$17,2,0),0),"")</f>
        <v/>
      </c>
    </row>
    <row r="1172" spans="1:25" hidden="1" x14ac:dyDescent="0.25">
      <c r="A1172">
        <v>601</v>
      </c>
      <c r="B1172" t="s">
        <v>3916</v>
      </c>
      <c r="C1172" t="s">
        <v>1936</v>
      </c>
      <c r="D1172" t="s">
        <v>3917</v>
      </c>
      <c r="F1172">
        <v>358</v>
      </c>
      <c r="G1172">
        <v>65</v>
      </c>
      <c r="H1172" t="s">
        <v>662</v>
      </c>
      <c r="I1172" t="s">
        <v>2271</v>
      </c>
      <c r="J1172">
        <v>500000</v>
      </c>
      <c r="K1172">
        <v>2025</v>
      </c>
      <c r="L1172">
        <v>1023630469</v>
      </c>
      <c r="M1172" t="s">
        <v>4036</v>
      </c>
      <c r="N1172" t="s">
        <v>1688</v>
      </c>
      <c r="O1172" t="s">
        <v>1686</v>
      </c>
      <c r="P1172">
        <v>0</v>
      </c>
      <c r="Q1172">
        <v>500000</v>
      </c>
      <c r="R1172">
        <v>0</v>
      </c>
      <c r="S1172">
        <v>0</v>
      </c>
      <c r="T1172" t="str">
        <f t="shared" si="36"/>
        <v>6012.43.4302.85.0-205128.2.3.3.08.06.</v>
      </c>
      <c r="U1172" t="e" cm="1">
        <f t="array" aca="1" ref="U1172" ca="1">+IF(COMPROMISOS_2025[[#This Row],[P]]="20","41080111",_xlfn.XLOOKUP(COMPROMISOS_2025[[#This Row],[concatenado]],PAA[[#All],[RCP-RUBRO]],PAA[[#All],[INDICADOR]],"",0))</f>
        <v>#NAME?</v>
      </c>
      <c r="V1172" s="144" t="str">
        <f t="shared" si="37"/>
        <v>85</v>
      </c>
      <c r="W1172" s="136">
        <f>+COMPROMISOS_2025[[#This Row],[valor_total]]-COMPROMISOS_2025[[#This Row],[total_cancelado]]</f>
        <v>500000</v>
      </c>
      <c r="X1172" s="136">
        <f>COMPROMISOS_2025[[#This Row],[total_ordenes]]</f>
        <v>500000</v>
      </c>
      <c r="Y1172" t="str" cm="1">
        <f t="array" aca="1" ref="Y1172" ca="1">IFERROR(_xlfn.XLOOKUP(COMPROMISOS_2025[[#This Row],[concatenado]],PAA[[#All],[RCP-RUBRO]],PAA[[#All],[Actividad3]],VLOOKUP(COMPROMISOS_2025[[#This Row],[Indicador Principal]],$AC$2:$AD$17,2,0),0),"")</f>
        <v/>
      </c>
    </row>
    <row r="1173" spans="1:25" hidden="1" x14ac:dyDescent="0.25">
      <c r="A1173">
        <v>602</v>
      </c>
      <c r="B1173" t="s">
        <v>3916</v>
      </c>
      <c r="C1173" t="s">
        <v>1936</v>
      </c>
      <c r="D1173" t="s">
        <v>3917</v>
      </c>
      <c r="F1173">
        <v>358</v>
      </c>
      <c r="G1173">
        <v>65</v>
      </c>
      <c r="H1173" t="s">
        <v>662</v>
      </c>
      <c r="I1173" t="s">
        <v>2271</v>
      </c>
      <c r="J1173">
        <v>500000</v>
      </c>
      <c r="K1173">
        <v>2025</v>
      </c>
      <c r="L1173">
        <v>1023637643</v>
      </c>
      <c r="M1173" t="s">
        <v>4037</v>
      </c>
      <c r="N1173" t="s">
        <v>1688</v>
      </c>
      <c r="O1173" t="s">
        <v>1686</v>
      </c>
      <c r="P1173">
        <v>0</v>
      </c>
      <c r="Q1173">
        <v>500000</v>
      </c>
      <c r="R1173">
        <v>0</v>
      </c>
      <c r="S1173">
        <v>0</v>
      </c>
      <c r="T1173" t="str">
        <f t="shared" si="36"/>
        <v>6022.43.4302.85.0-205128.2.3.3.08.06.</v>
      </c>
      <c r="U1173" t="e" cm="1">
        <f t="array" aca="1" ref="U1173" ca="1">+IF(COMPROMISOS_2025[[#This Row],[P]]="20","41080111",_xlfn.XLOOKUP(COMPROMISOS_2025[[#This Row],[concatenado]],PAA[[#All],[RCP-RUBRO]],PAA[[#All],[INDICADOR]],"",0))</f>
        <v>#NAME?</v>
      </c>
      <c r="V1173" s="144" t="str">
        <f t="shared" si="37"/>
        <v>85</v>
      </c>
      <c r="W1173" s="136">
        <f>+COMPROMISOS_2025[[#This Row],[valor_total]]-COMPROMISOS_2025[[#This Row],[total_cancelado]]</f>
        <v>500000</v>
      </c>
      <c r="X1173" s="136">
        <f>COMPROMISOS_2025[[#This Row],[total_ordenes]]</f>
        <v>500000</v>
      </c>
      <c r="Y1173" t="str" cm="1">
        <f t="array" aca="1" ref="Y1173" ca="1">IFERROR(_xlfn.XLOOKUP(COMPROMISOS_2025[[#This Row],[concatenado]],PAA[[#All],[RCP-RUBRO]],PAA[[#All],[Actividad3]],VLOOKUP(COMPROMISOS_2025[[#This Row],[Indicador Principal]],$AC$2:$AD$17,2,0),0),"")</f>
        <v/>
      </c>
    </row>
    <row r="1174" spans="1:25" hidden="1" x14ac:dyDescent="0.25">
      <c r="A1174">
        <v>603</v>
      </c>
      <c r="B1174" t="s">
        <v>3916</v>
      </c>
      <c r="C1174" t="s">
        <v>1936</v>
      </c>
      <c r="D1174" t="s">
        <v>3917</v>
      </c>
      <c r="F1174">
        <v>358</v>
      </c>
      <c r="G1174">
        <v>65</v>
      </c>
      <c r="H1174" t="s">
        <v>662</v>
      </c>
      <c r="I1174" t="s">
        <v>2271</v>
      </c>
      <c r="J1174">
        <v>500000</v>
      </c>
      <c r="K1174">
        <v>2025</v>
      </c>
      <c r="L1174">
        <v>1025655725</v>
      </c>
      <c r="M1174" t="s">
        <v>4038</v>
      </c>
      <c r="N1174" t="s">
        <v>1688</v>
      </c>
      <c r="O1174" t="s">
        <v>1686</v>
      </c>
      <c r="P1174">
        <v>0</v>
      </c>
      <c r="Q1174">
        <v>500000</v>
      </c>
      <c r="R1174">
        <v>0</v>
      </c>
      <c r="S1174">
        <v>0</v>
      </c>
      <c r="T1174" t="str">
        <f t="shared" si="36"/>
        <v>6032.43.4302.85.0-205128.2.3.3.08.06.</v>
      </c>
      <c r="U1174" t="e" cm="1">
        <f t="array" aca="1" ref="U1174" ca="1">+IF(COMPROMISOS_2025[[#This Row],[P]]="20","41080111",_xlfn.XLOOKUP(COMPROMISOS_2025[[#This Row],[concatenado]],PAA[[#All],[RCP-RUBRO]],PAA[[#All],[INDICADOR]],"",0))</f>
        <v>#NAME?</v>
      </c>
      <c r="V1174" s="144" t="str">
        <f t="shared" si="37"/>
        <v>85</v>
      </c>
      <c r="W1174" s="136">
        <f>+COMPROMISOS_2025[[#This Row],[valor_total]]-COMPROMISOS_2025[[#This Row],[total_cancelado]]</f>
        <v>500000</v>
      </c>
      <c r="X1174" s="136">
        <f>COMPROMISOS_2025[[#This Row],[total_ordenes]]</f>
        <v>500000</v>
      </c>
      <c r="Y1174" t="str" cm="1">
        <f t="array" aca="1" ref="Y1174" ca="1">IFERROR(_xlfn.XLOOKUP(COMPROMISOS_2025[[#This Row],[concatenado]],PAA[[#All],[RCP-RUBRO]],PAA[[#All],[Actividad3]],VLOOKUP(COMPROMISOS_2025[[#This Row],[Indicador Principal]],$AC$2:$AD$17,2,0),0),"")</f>
        <v/>
      </c>
    </row>
    <row r="1175" spans="1:25" hidden="1" x14ac:dyDescent="0.25">
      <c r="A1175">
        <v>604</v>
      </c>
      <c r="B1175" t="s">
        <v>3916</v>
      </c>
      <c r="C1175" t="s">
        <v>1936</v>
      </c>
      <c r="D1175" t="s">
        <v>3917</v>
      </c>
      <c r="F1175">
        <v>358</v>
      </c>
      <c r="G1175">
        <v>65</v>
      </c>
      <c r="H1175" t="s">
        <v>662</v>
      </c>
      <c r="I1175" t="s">
        <v>2271</v>
      </c>
      <c r="J1175">
        <v>500000</v>
      </c>
      <c r="K1175">
        <v>2025</v>
      </c>
      <c r="L1175">
        <v>1025881448</v>
      </c>
      <c r="M1175" t="s">
        <v>4039</v>
      </c>
      <c r="N1175" t="s">
        <v>1688</v>
      </c>
      <c r="O1175" t="s">
        <v>1686</v>
      </c>
      <c r="P1175">
        <v>0</v>
      </c>
      <c r="Q1175">
        <v>500000</v>
      </c>
      <c r="R1175">
        <v>0</v>
      </c>
      <c r="S1175">
        <v>0</v>
      </c>
      <c r="T1175" t="str">
        <f t="shared" si="36"/>
        <v>6042.43.4302.85.0-205128.2.3.3.08.06.</v>
      </c>
      <c r="U1175" t="e" cm="1">
        <f t="array" aca="1" ref="U1175" ca="1">+IF(COMPROMISOS_2025[[#This Row],[P]]="20","41080111",_xlfn.XLOOKUP(COMPROMISOS_2025[[#This Row],[concatenado]],PAA[[#All],[RCP-RUBRO]],PAA[[#All],[INDICADOR]],"",0))</f>
        <v>#NAME?</v>
      </c>
      <c r="V1175" s="144" t="str">
        <f t="shared" si="37"/>
        <v>85</v>
      </c>
      <c r="W1175" s="136">
        <f>+COMPROMISOS_2025[[#This Row],[valor_total]]-COMPROMISOS_2025[[#This Row],[total_cancelado]]</f>
        <v>500000</v>
      </c>
      <c r="X1175" s="136">
        <f>COMPROMISOS_2025[[#This Row],[total_ordenes]]</f>
        <v>500000</v>
      </c>
      <c r="Y1175" t="str" cm="1">
        <f t="array" aca="1" ref="Y1175" ca="1">IFERROR(_xlfn.XLOOKUP(COMPROMISOS_2025[[#This Row],[concatenado]],PAA[[#All],[RCP-RUBRO]],PAA[[#All],[Actividad3]],VLOOKUP(COMPROMISOS_2025[[#This Row],[Indicador Principal]],$AC$2:$AD$17,2,0),0),"")</f>
        <v/>
      </c>
    </row>
    <row r="1176" spans="1:25" hidden="1" x14ac:dyDescent="0.25">
      <c r="A1176">
        <v>605</v>
      </c>
      <c r="B1176" t="s">
        <v>3916</v>
      </c>
      <c r="C1176" t="s">
        <v>1936</v>
      </c>
      <c r="D1176" t="s">
        <v>3917</v>
      </c>
      <c r="F1176">
        <v>358</v>
      </c>
      <c r="G1176">
        <v>65</v>
      </c>
      <c r="H1176" t="s">
        <v>662</v>
      </c>
      <c r="I1176" t="s">
        <v>2271</v>
      </c>
      <c r="J1176">
        <v>1000000</v>
      </c>
      <c r="K1176">
        <v>2025</v>
      </c>
      <c r="L1176">
        <v>1025882497</v>
      </c>
      <c r="M1176" t="s">
        <v>4040</v>
      </c>
      <c r="N1176" t="s">
        <v>1688</v>
      </c>
      <c r="O1176" t="s">
        <v>1686</v>
      </c>
      <c r="P1176">
        <v>0</v>
      </c>
      <c r="Q1176">
        <v>1000000</v>
      </c>
      <c r="R1176">
        <v>0</v>
      </c>
      <c r="S1176">
        <v>0</v>
      </c>
      <c r="T1176" t="str">
        <f t="shared" si="36"/>
        <v>6052.43.4302.85.0-205128.2.3.3.08.06.</v>
      </c>
      <c r="U1176" t="e" cm="1">
        <f t="array" aca="1" ref="U1176" ca="1">+IF(COMPROMISOS_2025[[#This Row],[P]]="20","41080111",_xlfn.XLOOKUP(COMPROMISOS_2025[[#This Row],[concatenado]],PAA[[#All],[RCP-RUBRO]],PAA[[#All],[INDICADOR]],"",0))</f>
        <v>#NAME?</v>
      </c>
      <c r="V1176" s="144" t="str">
        <f t="shared" si="37"/>
        <v>85</v>
      </c>
      <c r="W1176" s="136">
        <f>+COMPROMISOS_2025[[#This Row],[valor_total]]-COMPROMISOS_2025[[#This Row],[total_cancelado]]</f>
        <v>1000000</v>
      </c>
      <c r="X1176" s="136">
        <f>COMPROMISOS_2025[[#This Row],[total_ordenes]]</f>
        <v>1000000</v>
      </c>
      <c r="Y1176" t="str" cm="1">
        <f t="array" aca="1" ref="Y1176" ca="1">IFERROR(_xlfn.XLOOKUP(COMPROMISOS_2025[[#This Row],[concatenado]],PAA[[#All],[RCP-RUBRO]],PAA[[#All],[Actividad3]],VLOOKUP(COMPROMISOS_2025[[#This Row],[Indicador Principal]],$AC$2:$AD$17,2,0),0),"")</f>
        <v/>
      </c>
    </row>
    <row r="1177" spans="1:25" hidden="1" x14ac:dyDescent="0.25">
      <c r="A1177">
        <v>606</v>
      </c>
      <c r="B1177" t="s">
        <v>3916</v>
      </c>
      <c r="C1177" t="s">
        <v>1936</v>
      </c>
      <c r="D1177" t="s">
        <v>3917</v>
      </c>
      <c r="F1177">
        <v>358</v>
      </c>
      <c r="G1177">
        <v>65</v>
      </c>
      <c r="H1177" t="s">
        <v>662</v>
      </c>
      <c r="I1177" t="s">
        <v>2271</v>
      </c>
      <c r="J1177">
        <v>500000</v>
      </c>
      <c r="K1177">
        <v>2025</v>
      </c>
      <c r="L1177">
        <v>1025883399</v>
      </c>
      <c r="M1177" t="s">
        <v>4041</v>
      </c>
      <c r="N1177" t="s">
        <v>1688</v>
      </c>
      <c r="O1177" t="s">
        <v>1686</v>
      </c>
      <c r="P1177">
        <v>0</v>
      </c>
      <c r="Q1177">
        <v>500000</v>
      </c>
      <c r="R1177">
        <v>0</v>
      </c>
      <c r="S1177">
        <v>0</v>
      </c>
      <c r="T1177" t="str">
        <f t="shared" si="36"/>
        <v>6062.43.4302.85.0-205128.2.3.3.08.06.</v>
      </c>
      <c r="U1177" t="e" cm="1">
        <f t="array" aca="1" ref="U1177" ca="1">+IF(COMPROMISOS_2025[[#This Row],[P]]="20","41080111",_xlfn.XLOOKUP(COMPROMISOS_2025[[#This Row],[concatenado]],PAA[[#All],[RCP-RUBRO]],PAA[[#All],[INDICADOR]],"",0))</f>
        <v>#NAME?</v>
      </c>
      <c r="V1177" s="144" t="str">
        <f t="shared" si="37"/>
        <v>85</v>
      </c>
      <c r="W1177" s="136">
        <f>+COMPROMISOS_2025[[#This Row],[valor_total]]-COMPROMISOS_2025[[#This Row],[total_cancelado]]</f>
        <v>500000</v>
      </c>
      <c r="X1177" s="136">
        <f>COMPROMISOS_2025[[#This Row],[total_ordenes]]</f>
        <v>500000</v>
      </c>
      <c r="Y1177" t="str" cm="1">
        <f t="array" aca="1" ref="Y1177" ca="1">IFERROR(_xlfn.XLOOKUP(COMPROMISOS_2025[[#This Row],[concatenado]],PAA[[#All],[RCP-RUBRO]],PAA[[#All],[Actividad3]],VLOOKUP(COMPROMISOS_2025[[#This Row],[Indicador Principal]],$AC$2:$AD$17,2,0),0),"")</f>
        <v/>
      </c>
    </row>
    <row r="1178" spans="1:25" hidden="1" x14ac:dyDescent="0.25">
      <c r="A1178">
        <v>607</v>
      </c>
      <c r="B1178" t="s">
        <v>3916</v>
      </c>
      <c r="C1178" t="s">
        <v>1936</v>
      </c>
      <c r="D1178" t="s">
        <v>3917</v>
      </c>
      <c r="F1178">
        <v>358</v>
      </c>
      <c r="G1178">
        <v>65</v>
      </c>
      <c r="H1178" t="s">
        <v>662</v>
      </c>
      <c r="I1178" t="s">
        <v>2271</v>
      </c>
      <c r="J1178">
        <v>500000</v>
      </c>
      <c r="K1178">
        <v>2025</v>
      </c>
      <c r="L1178">
        <v>1027661588</v>
      </c>
      <c r="M1178" t="s">
        <v>3708</v>
      </c>
      <c r="N1178" t="s">
        <v>1688</v>
      </c>
      <c r="O1178" t="s">
        <v>1686</v>
      </c>
      <c r="P1178">
        <v>0</v>
      </c>
      <c r="Q1178">
        <v>500000</v>
      </c>
      <c r="R1178">
        <v>0</v>
      </c>
      <c r="S1178">
        <v>0</v>
      </c>
      <c r="T1178" t="str">
        <f t="shared" si="36"/>
        <v>6072.43.4302.85.0-205128.2.3.3.08.06.</v>
      </c>
      <c r="U1178" t="e" cm="1">
        <f t="array" aca="1" ref="U1178" ca="1">+IF(COMPROMISOS_2025[[#This Row],[P]]="20","41080111",_xlfn.XLOOKUP(COMPROMISOS_2025[[#This Row],[concatenado]],PAA[[#All],[RCP-RUBRO]],PAA[[#All],[INDICADOR]],"",0))</f>
        <v>#NAME?</v>
      </c>
      <c r="V1178" s="144" t="str">
        <f t="shared" si="37"/>
        <v>85</v>
      </c>
      <c r="W1178" s="136">
        <f>+COMPROMISOS_2025[[#This Row],[valor_total]]-COMPROMISOS_2025[[#This Row],[total_cancelado]]</f>
        <v>500000</v>
      </c>
      <c r="X1178" s="136">
        <f>COMPROMISOS_2025[[#This Row],[total_ordenes]]</f>
        <v>500000</v>
      </c>
      <c r="Y1178" t="str" cm="1">
        <f t="array" aca="1" ref="Y1178" ca="1">IFERROR(_xlfn.XLOOKUP(COMPROMISOS_2025[[#This Row],[concatenado]],PAA[[#All],[RCP-RUBRO]],PAA[[#All],[Actividad3]],VLOOKUP(COMPROMISOS_2025[[#This Row],[Indicador Principal]],$AC$2:$AD$17,2,0),0),"")</f>
        <v/>
      </c>
    </row>
    <row r="1179" spans="1:25" hidden="1" x14ac:dyDescent="0.25">
      <c r="A1179">
        <v>608</v>
      </c>
      <c r="B1179" t="s">
        <v>3916</v>
      </c>
      <c r="C1179" t="s">
        <v>1936</v>
      </c>
      <c r="D1179" t="s">
        <v>3917</v>
      </c>
      <c r="F1179">
        <v>358</v>
      </c>
      <c r="G1179">
        <v>65</v>
      </c>
      <c r="H1179" t="s">
        <v>662</v>
      </c>
      <c r="I1179" t="s">
        <v>2271</v>
      </c>
      <c r="J1179">
        <v>500000</v>
      </c>
      <c r="K1179">
        <v>2025</v>
      </c>
      <c r="L1179">
        <v>1027889605</v>
      </c>
      <c r="M1179" t="s">
        <v>4042</v>
      </c>
      <c r="N1179" t="s">
        <v>1688</v>
      </c>
      <c r="O1179" t="s">
        <v>1686</v>
      </c>
      <c r="P1179">
        <v>0</v>
      </c>
      <c r="Q1179">
        <v>500000</v>
      </c>
      <c r="R1179">
        <v>0</v>
      </c>
      <c r="S1179">
        <v>0</v>
      </c>
      <c r="T1179" t="str">
        <f t="shared" si="36"/>
        <v>6082.43.4302.85.0-205128.2.3.3.08.06.</v>
      </c>
      <c r="U1179" t="e" cm="1">
        <f t="array" aca="1" ref="U1179" ca="1">+IF(COMPROMISOS_2025[[#This Row],[P]]="20","41080111",_xlfn.XLOOKUP(COMPROMISOS_2025[[#This Row],[concatenado]],PAA[[#All],[RCP-RUBRO]],PAA[[#All],[INDICADOR]],"",0))</f>
        <v>#NAME?</v>
      </c>
      <c r="V1179" s="144" t="str">
        <f t="shared" si="37"/>
        <v>85</v>
      </c>
      <c r="W1179" s="136">
        <f>+COMPROMISOS_2025[[#This Row],[valor_total]]-COMPROMISOS_2025[[#This Row],[total_cancelado]]</f>
        <v>500000</v>
      </c>
      <c r="X1179" s="136">
        <f>COMPROMISOS_2025[[#This Row],[total_ordenes]]</f>
        <v>500000</v>
      </c>
      <c r="Y1179" t="str" cm="1">
        <f t="array" aca="1" ref="Y1179" ca="1">IFERROR(_xlfn.XLOOKUP(COMPROMISOS_2025[[#This Row],[concatenado]],PAA[[#All],[RCP-RUBRO]],PAA[[#All],[Actividad3]],VLOOKUP(COMPROMISOS_2025[[#This Row],[Indicador Principal]],$AC$2:$AD$17,2,0),0),"")</f>
        <v/>
      </c>
    </row>
    <row r="1180" spans="1:25" hidden="1" x14ac:dyDescent="0.25">
      <c r="A1180">
        <v>609</v>
      </c>
      <c r="B1180" t="s">
        <v>3916</v>
      </c>
      <c r="C1180" t="s">
        <v>1936</v>
      </c>
      <c r="D1180" t="s">
        <v>3917</v>
      </c>
      <c r="F1180">
        <v>358</v>
      </c>
      <c r="G1180">
        <v>65</v>
      </c>
      <c r="H1180" t="s">
        <v>662</v>
      </c>
      <c r="I1180" t="s">
        <v>2271</v>
      </c>
      <c r="J1180">
        <v>1300000</v>
      </c>
      <c r="K1180">
        <v>2025</v>
      </c>
      <c r="L1180">
        <v>1027942953</v>
      </c>
      <c r="M1180" t="s">
        <v>4043</v>
      </c>
      <c r="N1180" t="s">
        <v>1688</v>
      </c>
      <c r="O1180" t="s">
        <v>1686</v>
      </c>
      <c r="P1180">
        <v>0</v>
      </c>
      <c r="Q1180">
        <v>1300000</v>
      </c>
      <c r="R1180">
        <v>0</v>
      </c>
      <c r="S1180">
        <v>0</v>
      </c>
      <c r="T1180" t="str">
        <f t="shared" si="36"/>
        <v>6092.43.4302.85.0-205128.2.3.3.08.06.</v>
      </c>
      <c r="U1180" t="e" cm="1">
        <f t="array" aca="1" ref="U1180" ca="1">+IF(COMPROMISOS_2025[[#This Row],[P]]="20","41080111",_xlfn.XLOOKUP(COMPROMISOS_2025[[#This Row],[concatenado]],PAA[[#All],[RCP-RUBRO]],PAA[[#All],[INDICADOR]],"",0))</f>
        <v>#NAME?</v>
      </c>
      <c r="V1180" s="144" t="str">
        <f t="shared" si="37"/>
        <v>85</v>
      </c>
      <c r="W1180" s="136">
        <f>+COMPROMISOS_2025[[#This Row],[valor_total]]-COMPROMISOS_2025[[#This Row],[total_cancelado]]</f>
        <v>1300000</v>
      </c>
      <c r="X1180" s="136">
        <f>COMPROMISOS_2025[[#This Row],[total_ordenes]]</f>
        <v>1300000</v>
      </c>
      <c r="Y1180" t="str" cm="1">
        <f t="array" aca="1" ref="Y1180" ca="1">IFERROR(_xlfn.XLOOKUP(COMPROMISOS_2025[[#This Row],[concatenado]],PAA[[#All],[RCP-RUBRO]],PAA[[#All],[Actividad3]],VLOOKUP(COMPROMISOS_2025[[#This Row],[Indicador Principal]],$AC$2:$AD$17,2,0),0),"")</f>
        <v/>
      </c>
    </row>
    <row r="1181" spans="1:25" hidden="1" x14ac:dyDescent="0.25">
      <c r="A1181">
        <v>610</v>
      </c>
      <c r="B1181" t="s">
        <v>3916</v>
      </c>
      <c r="C1181" t="s">
        <v>1936</v>
      </c>
      <c r="D1181" t="s">
        <v>3917</v>
      </c>
      <c r="F1181">
        <v>358</v>
      </c>
      <c r="G1181">
        <v>65</v>
      </c>
      <c r="H1181" t="s">
        <v>662</v>
      </c>
      <c r="I1181" t="s">
        <v>2271</v>
      </c>
      <c r="J1181">
        <v>500000</v>
      </c>
      <c r="K1181">
        <v>2025</v>
      </c>
      <c r="L1181">
        <v>1027943559</v>
      </c>
      <c r="M1181" t="s">
        <v>4044</v>
      </c>
      <c r="N1181" t="s">
        <v>1688</v>
      </c>
      <c r="O1181" t="s">
        <v>1686</v>
      </c>
      <c r="P1181">
        <v>0</v>
      </c>
      <c r="Q1181">
        <v>500000</v>
      </c>
      <c r="R1181">
        <v>0</v>
      </c>
      <c r="S1181">
        <v>0</v>
      </c>
      <c r="T1181" t="str">
        <f t="shared" si="36"/>
        <v>6102.43.4302.85.0-205128.2.3.3.08.06.</v>
      </c>
      <c r="U1181" t="e" cm="1">
        <f t="array" aca="1" ref="U1181" ca="1">+IF(COMPROMISOS_2025[[#This Row],[P]]="20","41080111",_xlfn.XLOOKUP(COMPROMISOS_2025[[#This Row],[concatenado]],PAA[[#All],[RCP-RUBRO]],PAA[[#All],[INDICADOR]],"",0))</f>
        <v>#NAME?</v>
      </c>
      <c r="V1181" s="144" t="str">
        <f t="shared" si="37"/>
        <v>85</v>
      </c>
      <c r="W1181" s="136">
        <f>+COMPROMISOS_2025[[#This Row],[valor_total]]-COMPROMISOS_2025[[#This Row],[total_cancelado]]</f>
        <v>500000</v>
      </c>
      <c r="X1181" s="136">
        <f>COMPROMISOS_2025[[#This Row],[total_ordenes]]</f>
        <v>500000</v>
      </c>
      <c r="Y1181" t="str" cm="1">
        <f t="array" aca="1" ref="Y1181" ca="1">IFERROR(_xlfn.XLOOKUP(COMPROMISOS_2025[[#This Row],[concatenado]],PAA[[#All],[RCP-RUBRO]],PAA[[#All],[Actividad3]],VLOOKUP(COMPROMISOS_2025[[#This Row],[Indicador Principal]],$AC$2:$AD$17,2,0),0),"")</f>
        <v/>
      </c>
    </row>
    <row r="1182" spans="1:25" hidden="1" x14ac:dyDescent="0.25">
      <c r="A1182">
        <v>611</v>
      </c>
      <c r="B1182" t="s">
        <v>3916</v>
      </c>
      <c r="C1182" t="s">
        <v>1936</v>
      </c>
      <c r="D1182" t="s">
        <v>3917</v>
      </c>
      <c r="F1182">
        <v>358</v>
      </c>
      <c r="G1182">
        <v>65</v>
      </c>
      <c r="H1182" t="s">
        <v>662</v>
      </c>
      <c r="I1182" t="s">
        <v>2271</v>
      </c>
      <c r="J1182">
        <v>500000</v>
      </c>
      <c r="K1182">
        <v>2025</v>
      </c>
      <c r="L1182">
        <v>1027944653</v>
      </c>
      <c r="M1182" t="s">
        <v>4045</v>
      </c>
      <c r="N1182" t="s">
        <v>1688</v>
      </c>
      <c r="O1182" t="s">
        <v>1686</v>
      </c>
      <c r="P1182">
        <v>0</v>
      </c>
      <c r="Q1182">
        <v>500000</v>
      </c>
      <c r="R1182">
        <v>0</v>
      </c>
      <c r="S1182">
        <v>0</v>
      </c>
      <c r="T1182" t="str">
        <f t="shared" si="36"/>
        <v>6112.43.4302.85.0-205128.2.3.3.08.06.</v>
      </c>
      <c r="U1182" t="e" cm="1">
        <f t="array" aca="1" ref="U1182" ca="1">+IF(COMPROMISOS_2025[[#This Row],[P]]="20","41080111",_xlfn.XLOOKUP(COMPROMISOS_2025[[#This Row],[concatenado]],PAA[[#All],[RCP-RUBRO]],PAA[[#All],[INDICADOR]],"",0))</f>
        <v>#NAME?</v>
      </c>
      <c r="V1182" s="144" t="str">
        <f t="shared" si="37"/>
        <v>85</v>
      </c>
      <c r="W1182" s="136">
        <f>+COMPROMISOS_2025[[#This Row],[valor_total]]-COMPROMISOS_2025[[#This Row],[total_cancelado]]</f>
        <v>500000</v>
      </c>
      <c r="X1182" s="136">
        <f>COMPROMISOS_2025[[#This Row],[total_ordenes]]</f>
        <v>500000</v>
      </c>
      <c r="Y1182" t="str" cm="1">
        <f t="array" aca="1" ref="Y1182" ca="1">IFERROR(_xlfn.XLOOKUP(COMPROMISOS_2025[[#This Row],[concatenado]],PAA[[#All],[RCP-RUBRO]],PAA[[#All],[Actividad3]],VLOOKUP(COMPROMISOS_2025[[#This Row],[Indicador Principal]],$AC$2:$AD$17,2,0),0),"")</f>
        <v/>
      </c>
    </row>
    <row r="1183" spans="1:25" hidden="1" x14ac:dyDescent="0.25">
      <c r="A1183">
        <v>612</v>
      </c>
      <c r="B1183" t="s">
        <v>3916</v>
      </c>
      <c r="C1183" t="s">
        <v>1936</v>
      </c>
      <c r="D1183" t="s">
        <v>3917</v>
      </c>
      <c r="F1183">
        <v>358</v>
      </c>
      <c r="G1183">
        <v>65</v>
      </c>
      <c r="H1183" t="s">
        <v>662</v>
      </c>
      <c r="I1183" t="s">
        <v>2271</v>
      </c>
      <c r="J1183">
        <v>1300000</v>
      </c>
      <c r="K1183">
        <v>2025</v>
      </c>
      <c r="L1183">
        <v>1027946487</v>
      </c>
      <c r="M1183" t="s">
        <v>3713</v>
      </c>
      <c r="N1183" t="s">
        <v>1688</v>
      </c>
      <c r="O1183" t="s">
        <v>1686</v>
      </c>
      <c r="P1183">
        <v>0</v>
      </c>
      <c r="Q1183">
        <v>1300000</v>
      </c>
      <c r="R1183">
        <v>0</v>
      </c>
      <c r="S1183">
        <v>0</v>
      </c>
      <c r="T1183" t="str">
        <f t="shared" si="36"/>
        <v>6122.43.4302.85.0-205128.2.3.3.08.06.</v>
      </c>
      <c r="U1183" t="e" cm="1">
        <f t="array" aca="1" ref="U1183" ca="1">+IF(COMPROMISOS_2025[[#This Row],[P]]="20","41080111",_xlfn.XLOOKUP(COMPROMISOS_2025[[#This Row],[concatenado]],PAA[[#All],[RCP-RUBRO]],PAA[[#All],[INDICADOR]],"",0))</f>
        <v>#NAME?</v>
      </c>
      <c r="V1183" s="144" t="str">
        <f t="shared" si="37"/>
        <v>85</v>
      </c>
      <c r="W1183" s="136">
        <f>+COMPROMISOS_2025[[#This Row],[valor_total]]-COMPROMISOS_2025[[#This Row],[total_cancelado]]</f>
        <v>1300000</v>
      </c>
      <c r="X1183" s="136">
        <f>COMPROMISOS_2025[[#This Row],[total_ordenes]]</f>
        <v>1300000</v>
      </c>
      <c r="Y1183" t="str" cm="1">
        <f t="array" aca="1" ref="Y1183" ca="1">IFERROR(_xlfn.XLOOKUP(COMPROMISOS_2025[[#This Row],[concatenado]],PAA[[#All],[RCP-RUBRO]],PAA[[#All],[Actividad3]],VLOOKUP(COMPROMISOS_2025[[#This Row],[Indicador Principal]],$AC$2:$AD$17,2,0),0),"")</f>
        <v/>
      </c>
    </row>
    <row r="1184" spans="1:25" hidden="1" x14ac:dyDescent="0.25">
      <c r="A1184">
        <v>613</v>
      </c>
      <c r="B1184" t="s">
        <v>3916</v>
      </c>
      <c r="C1184" t="s">
        <v>1936</v>
      </c>
      <c r="D1184" t="s">
        <v>3917</v>
      </c>
      <c r="F1184">
        <v>358</v>
      </c>
      <c r="G1184">
        <v>65</v>
      </c>
      <c r="H1184" t="s">
        <v>662</v>
      </c>
      <c r="I1184" t="s">
        <v>2271</v>
      </c>
      <c r="J1184">
        <v>1300000</v>
      </c>
      <c r="K1184">
        <v>2025</v>
      </c>
      <c r="L1184">
        <v>1027947439</v>
      </c>
      <c r="M1184" t="s">
        <v>3714</v>
      </c>
      <c r="N1184" t="s">
        <v>1688</v>
      </c>
      <c r="O1184" t="s">
        <v>1686</v>
      </c>
      <c r="P1184">
        <v>0</v>
      </c>
      <c r="Q1184">
        <v>1300000</v>
      </c>
      <c r="R1184">
        <v>0</v>
      </c>
      <c r="S1184">
        <v>0</v>
      </c>
      <c r="T1184" t="str">
        <f t="shared" si="36"/>
        <v>6132.43.4302.85.0-205128.2.3.3.08.06.</v>
      </c>
      <c r="U1184" t="e" cm="1">
        <f t="array" aca="1" ref="U1184" ca="1">+IF(COMPROMISOS_2025[[#This Row],[P]]="20","41080111",_xlfn.XLOOKUP(COMPROMISOS_2025[[#This Row],[concatenado]],PAA[[#All],[RCP-RUBRO]],PAA[[#All],[INDICADOR]],"",0))</f>
        <v>#NAME?</v>
      </c>
      <c r="V1184" s="144" t="str">
        <f t="shared" si="37"/>
        <v>85</v>
      </c>
      <c r="W1184" s="136">
        <f>+COMPROMISOS_2025[[#This Row],[valor_total]]-COMPROMISOS_2025[[#This Row],[total_cancelado]]</f>
        <v>1300000</v>
      </c>
      <c r="X1184" s="136">
        <f>COMPROMISOS_2025[[#This Row],[total_ordenes]]</f>
        <v>1300000</v>
      </c>
      <c r="Y1184" t="str" cm="1">
        <f t="array" aca="1" ref="Y1184" ca="1">IFERROR(_xlfn.XLOOKUP(COMPROMISOS_2025[[#This Row],[concatenado]],PAA[[#All],[RCP-RUBRO]],PAA[[#All],[Actividad3]],VLOOKUP(COMPROMISOS_2025[[#This Row],[Indicador Principal]],$AC$2:$AD$17,2,0),0),"")</f>
        <v/>
      </c>
    </row>
    <row r="1185" spans="1:25" hidden="1" x14ac:dyDescent="0.25">
      <c r="A1185">
        <v>614</v>
      </c>
      <c r="B1185" t="s">
        <v>3916</v>
      </c>
      <c r="C1185" t="s">
        <v>1936</v>
      </c>
      <c r="D1185" t="s">
        <v>3917</v>
      </c>
      <c r="F1185">
        <v>358</v>
      </c>
      <c r="G1185">
        <v>65</v>
      </c>
      <c r="H1185" t="s">
        <v>662</v>
      </c>
      <c r="I1185" t="s">
        <v>2271</v>
      </c>
      <c r="J1185">
        <v>1300000</v>
      </c>
      <c r="K1185">
        <v>2025</v>
      </c>
      <c r="L1185">
        <v>1027948308</v>
      </c>
      <c r="M1185" t="s">
        <v>3715</v>
      </c>
      <c r="N1185" t="s">
        <v>1688</v>
      </c>
      <c r="O1185" t="s">
        <v>1686</v>
      </c>
      <c r="P1185">
        <v>0</v>
      </c>
      <c r="Q1185">
        <v>1300000</v>
      </c>
      <c r="R1185">
        <v>0</v>
      </c>
      <c r="S1185">
        <v>0</v>
      </c>
      <c r="T1185" t="str">
        <f t="shared" si="36"/>
        <v>6142.43.4302.85.0-205128.2.3.3.08.06.</v>
      </c>
      <c r="U1185" t="e" cm="1">
        <f t="array" aca="1" ref="U1185" ca="1">+IF(COMPROMISOS_2025[[#This Row],[P]]="20","41080111",_xlfn.XLOOKUP(COMPROMISOS_2025[[#This Row],[concatenado]],PAA[[#All],[RCP-RUBRO]],PAA[[#All],[INDICADOR]],"",0))</f>
        <v>#NAME?</v>
      </c>
      <c r="V1185" s="144" t="str">
        <f t="shared" si="37"/>
        <v>85</v>
      </c>
      <c r="W1185" s="136">
        <f>+COMPROMISOS_2025[[#This Row],[valor_total]]-COMPROMISOS_2025[[#This Row],[total_cancelado]]</f>
        <v>1300000</v>
      </c>
      <c r="X1185" s="136">
        <f>COMPROMISOS_2025[[#This Row],[total_ordenes]]</f>
        <v>1300000</v>
      </c>
      <c r="Y1185" t="str" cm="1">
        <f t="array" aca="1" ref="Y1185" ca="1">IFERROR(_xlfn.XLOOKUP(COMPROMISOS_2025[[#This Row],[concatenado]],PAA[[#All],[RCP-RUBRO]],PAA[[#All],[Actividad3]],VLOOKUP(COMPROMISOS_2025[[#This Row],[Indicador Principal]],$AC$2:$AD$17,2,0),0),"")</f>
        <v/>
      </c>
    </row>
    <row r="1186" spans="1:25" hidden="1" x14ac:dyDescent="0.25">
      <c r="A1186">
        <v>615</v>
      </c>
      <c r="B1186" t="s">
        <v>3916</v>
      </c>
      <c r="C1186" t="s">
        <v>1936</v>
      </c>
      <c r="D1186" t="s">
        <v>3917</v>
      </c>
      <c r="F1186">
        <v>358</v>
      </c>
      <c r="G1186">
        <v>65</v>
      </c>
      <c r="H1186" t="s">
        <v>662</v>
      </c>
      <c r="I1186" t="s">
        <v>2271</v>
      </c>
      <c r="J1186">
        <v>1300000</v>
      </c>
      <c r="K1186">
        <v>2025</v>
      </c>
      <c r="L1186">
        <v>1027949081</v>
      </c>
      <c r="M1186" t="s">
        <v>4046</v>
      </c>
      <c r="N1186" t="s">
        <v>1688</v>
      </c>
      <c r="O1186" t="s">
        <v>1686</v>
      </c>
      <c r="P1186">
        <v>0</v>
      </c>
      <c r="Q1186">
        <v>1300000</v>
      </c>
      <c r="R1186">
        <v>0</v>
      </c>
      <c r="S1186">
        <v>0</v>
      </c>
      <c r="T1186" t="str">
        <f t="shared" si="36"/>
        <v>6152.43.4302.85.0-205128.2.3.3.08.06.</v>
      </c>
      <c r="U1186" t="e" cm="1">
        <f t="array" aca="1" ref="U1186" ca="1">+IF(COMPROMISOS_2025[[#This Row],[P]]="20","41080111",_xlfn.XLOOKUP(COMPROMISOS_2025[[#This Row],[concatenado]],PAA[[#All],[RCP-RUBRO]],PAA[[#All],[INDICADOR]],"",0))</f>
        <v>#NAME?</v>
      </c>
      <c r="V1186" s="144" t="str">
        <f t="shared" si="37"/>
        <v>85</v>
      </c>
      <c r="W1186" s="136">
        <f>+COMPROMISOS_2025[[#This Row],[valor_total]]-COMPROMISOS_2025[[#This Row],[total_cancelado]]</f>
        <v>1300000</v>
      </c>
      <c r="X1186" s="136">
        <f>COMPROMISOS_2025[[#This Row],[total_ordenes]]</f>
        <v>1300000</v>
      </c>
      <c r="Y1186" t="str" cm="1">
        <f t="array" aca="1" ref="Y1186" ca="1">IFERROR(_xlfn.XLOOKUP(COMPROMISOS_2025[[#This Row],[concatenado]],PAA[[#All],[RCP-RUBRO]],PAA[[#All],[Actividad3]],VLOOKUP(COMPROMISOS_2025[[#This Row],[Indicador Principal]],$AC$2:$AD$17,2,0),0),"")</f>
        <v/>
      </c>
    </row>
    <row r="1187" spans="1:25" hidden="1" x14ac:dyDescent="0.25">
      <c r="A1187">
        <v>616</v>
      </c>
      <c r="B1187" t="s">
        <v>3916</v>
      </c>
      <c r="C1187" t="s">
        <v>1936</v>
      </c>
      <c r="D1187" t="s">
        <v>3917</v>
      </c>
      <c r="F1187">
        <v>358</v>
      </c>
      <c r="G1187">
        <v>65</v>
      </c>
      <c r="H1187" t="s">
        <v>662</v>
      </c>
      <c r="I1187" t="s">
        <v>2271</v>
      </c>
      <c r="J1187">
        <v>1300000</v>
      </c>
      <c r="K1187">
        <v>2025</v>
      </c>
      <c r="L1187">
        <v>1027949936</v>
      </c>
      <c r="M1187" t="s">
        <v>4047</v>
      </c>
      <c r="N1187" t="s">
        <v>1688</v>
      </c>
      <c r="O1187" t="s">
        <v>1686</v>
      </c>
      <c r="P1187">
        <v>0</v>
      </c>
      <c r="Q1187">
        <v>1300000</v>
      </c>
      <c r="R1187">
        <v>0</v>
      </c>
      <c r="S1187">
        <v>0</v>
      </c>
      <c r="T1187" t="str">
        <f t="shared" si="36"/>
        <v>6162.43.4302.85.0-205128.2.3.3.08.06.</v>
      </c>
      <c r="U1187" t="e" cm="1">
        <f t="array" aca="1" ref="U1187" ca="1">+IF(COMPROMISOS_2025[[#This Row],[P]]="20","41080111",_xlfn.XLOOKUP(COMPROMISOS_2025[[#This Row],[concatenado]],PAA[[#All],[RCP-RUBRO]],PAA[[#All],[INDICADOR]],"",0))</f>
        <v>#NAME?</v>
      </c>
      <c r="V1187" s="144" t="str">
        <f t="shared" si="37"/>
        <v>85</v>
      </c>
      <c r="W1187" s="136">
        <f>+COMPROMISOS_2025[[#This Row],[valor_total]]-COMPROMISOS_2025[[#This Row],[total_cancelado]]</f>
        <v>1300000</v>
      </c>
      <c r="X1187" s="136">
        <f>COMPROMISOS_2025[[#This Row],[total_ordenes]]</f>
        <v>1300000</v>
      </c>
      <c r="Y1187" t="str" cm="1">
        <f t="array" aca="1" ref="Y1187" ca="1">IFERROR(_xlfn.XLOOKUP(COMPROMISOS_2025[[#This Row],[concatenado]],PAA[[#All],[RCP-RUBRO]],PAA[[#All],[Actividad3]],VLOOKUP(COMPROMISOS_2025[[#This Row],[Indicador Principal]],$AC$2:$AD$17,2,0),0),"")</f>
        <v/>
      </c>
    </row>
    <row r="1188" spans="1:25" hidden="1" x14ac:dyDescent="0.25">
      <c r="A1188">
        <v>617</v>
      </c>
      <c r="B1188" t="s">
        <v>3916</v>
      </c>
      <c r="C1188" t="s">
        <v>1936</v>
      </c>
      <c r="D1188" t="s">
        <v>3917</v>
      </c>
      <c r="F1188">
        <v>358</v>
      </c>
      <c r="G1188">
        <v>65</v>
      </c>
      <c r="H1188" t="s">
        <v>662</v>
      </c>
      <c r="I1188" t="s">
        <v>2271</v>
      </c>
      <c r="J1188">
        <v>1300000</v>
      </c>
      <c r="K1188">
        <v>2025</v>
      </c>
      <c r="L1188">
        <v>1027950756</v>
      </c>
      <c r="M1188" t="s">
        <v>4048</v>
      </c>
      <c r="N1188" t="s">
        <v>1688</v>
      </c>
      <c r="O1188" t="s">
        <v>1686</v>
      </c>
      <c r="P1188">
        <v>0</v>
      </c>
      <c r="Q1188">
        <v>1300000</v>
      </c>
      <c r="R1188">
        <v>0</v>
      </c>
      <c r="S1188">
        <v>0</v>
      </c>
      <c r="T1188" t="str">
        <f t="shared" si="36"/>
        <v>6172.43.4302.85.0-205128.2.3.3.08.06.</v>
      </c>
      <c r="U1188" t="e" cm="1">
        <f t="array" aca="1" ref="U1188" ca="1">+IF(COMPROMISOS_2025[[#This Row],[P]]="20","41080111",_xlfn.XLOOKUP(COMPROMISOS_2025[[#This Row],[concatenado]],PAA[[#All],[RCP-RUBRO]],PAA[[#All],[INDICADOR]],"",0))</f>
        <v>#NAME?</v>
      </c>
      <c r="V1188" s="144" t="str">
        <f t="shared" si="37"/>
        <v>85</v>
      </c>
      <c r="W1188" s="136">
        <f>+COMPROMISOS_2025[[#This Row],[valor_total]]-COMPROMISOS_2025[[#This Row],[total_cancelado]]</f>
        <v>1300000</v>
      </c>
      <c r="X1188" s="136">
        <f>COMPROMISOS_2025[[#This Row],[total_ordenes]]</f>
        <v>1300000</v>
      </c>
      <c r="Y1188" t="str" cm="1">
        <f t="array" aca="1" ref="Y1188" ca="1">IFERROR(_xlfn.XLOOKUP(COMPROMISOS_2025[[#This Row],[concatenado]],PAA[[#All],[RCP-RUBRO]],PAA[[#All],[Actividad3]],VLOOKUP(COMPROMISOS_2025[[#This Row],[Indicador Principal]],$AC$2:$AD$17,2,0),0),"")</f>
        <v/>
      </c>
    </row>
    <row r="1189" spans="1:25" hidden="1" x14ac:dyDescent="0.25">
      <c r="A1189">
        <v>618</v>
      </c>
      <c r="B1189" t="s">
        <v>3916</v>
      </c>
      <c r="C1189" t="s">
        <v>1936</v>
      </c>
      <c r="D1189" t="s">
        <v>3917</v>
      </c>
      <c r="F1189">
        <v>358</v>
      </c>
      <c r="G1189">
        <v>65</v>
      </c>
      <c r="H1189" t="s">
        <v>662</v>
      </c>
      <c r="I1189" t="s">
        <v>2271</v>
      </c>
      <c r="J1189">
        <v>1300000</v>
      </c>
      <c r="K1189">
        <v>2025</v>
      </c>
      <c r="L1189">
        <v>1027951989</v>
      </c>
      <c r="M1189" t="s">
        <v>3719</v>
      </c>
      <c r="N1189" t="s">
        <v>1688</v>
      </c>
      <c r="O1189" t="s">
        <v>1686</v>
      </c>
      <c r="P1189">
        <v>0</v>
      </c>
      <c r="Q1189">
        <v>1300000</v>
      </c>
      <c r="R1189">
        <v>0</v>
      </c>
      <c r="S1189">
        <v>0</v>
      </c>
      <c r="T1189" t="str">
        <f t="shared" si="36"/>
        <v>6182.43.4302.85.0-205128.2.3.3.08.06.</v>
      </c>
      <c r="U1189" t="e" cm="1">
        <f t="array" aca="1" ref="U1189" ca="1">+IF(COMPROMISOS_2025[[#This Row],[P]]="20","41080111",_xlfn.XLOOKUP(COMPROMISOS_2025[[#This Row],[concatenado]],PAA[[#All],[RCP-RUBRO]],PAA[[#All],[INDICADOR]],"",0))</f>
        <v>#NAME?</v>
      </c>
      <c r="V1189" s="144" t="str">
        <f t="shared" si="37"/>
        <v>85</v>
      </c>
      <c r="W1189" s="136">
        <f>+COMPROMISOS_2025[[#This Row],[valor_total]]-COMPROMISOS_2025[[#This Row],[total_cancelado]]</f>
        <v>1300000</v>
      </c>
      <c r="X1189" s="136">
        <f>COMPROMISOS_2025[[#This Row],[total_ordenes]]</f>
        <v>1300000</v>
      </c>
      <c r="Y1189" t="str" cm="1">
        <f t="array" aca="1" ref="Y1189" ca="1">IFERROR(_xlfn.XLOOKUP(COMPROMISOS_2025[[#This Row],[concatenado]],PAA[[#All],[RCP-RUBRO]],PAA[[#All],[Actividad3]],VLOOKUP(COMPROMISOS_2025[[#This Row],[Indicador Principal]],$AC$2:$AD$17,2,0),0),"")</f>
        <v/>
      </c>
    </row>
    <row r="1190" spans="1:25" hidden="1" x14ac:dyDescent="0.25">
      <c r="A1190">
        <v>619</v>
      </c>
      <c r="B1190" t="s">
        <v>3916</v>
      </c>
      <c r="C1190" t="s">
        <v>1936</v>
      </c>
      <c r="D1190" t="s">
        <v>3917</v>
      </c>
      <c r="F1190">
        <v>358</v>
      </c>
      <c r="G1190">
        <v>65</v>
      </c>
      <c r="H1190" t="s">
        <v>662</v>
      </c>
      <c r="I1190" t="s">
        <v>2271</v>
      </c>
      <c r="J1190">
        <v>1300000</v>
      </c>
      <c r="K1190">
        <v>2025</v>
      </c>
      <c r="L1190">
        <v>1027952406</v>
      </c>
      <c r="M1190" t="s">
        <v>3720</v>
      </c>
      <c r="N1190" t="s">
        <v>1688</v>
      </c>
      <c r="O1190" t="s">
        <v>1686</v>
      </c>
      <c r="P1190">
        <v>0</v>
      </c>
      <c r="Q1190">
        <v>1300000</v>
      </c>
      <c r="R1190">
        <v>0</v>
      </c>
      <c r="S1190">
        <v>0</v>
      </c>
      <c r="T1190" t="str">
        <f t="shared" si="36"/>
        <v>6192.43.4302.85.0-205128.2.3.3.08.06.</v>
      </c>
      <c r="U1190" t="e" cm="1">
        <f t="array" aca="1" ref="U1190" ca="1">+IF(COMPROMISOS_2025[[#This Row],[P]]="20","41080111",_xlfn.XLOOKUP(COMPROMISOS_2025[[#This Row],[concatenado]],PAA[[#All],[RCP-RUBRO]],PAA[[#All],[INDICADOR]],"",0))</f>
        <v>#NAME?</v>
      </c>
      <c r="V1190" s="144" t="str">
        <f t="shared" si="37"/>
        <v>85</v>
      </c>
      <c r="W1190" s="136">
        <f>+COMPROMISOS_2025[[#This Row],[valor_total]]-COMPROMISOS_2025[[#This Row],[total_cancelado]]</f>
        <v>1300000</v>
      </c>
      <c r="X1190" s="136">
        <f>COMPROMISOS_2025[[#This Row],[total_ordenes]]</f>
        <v>1300000</v>
      </c>
      <c r="Y1190" t="str" cm="1">
        <f t="array" aca="1" ref="Y1190" ca="1">IFERROR(_xlfn.XLOOKUP(COMPROMISOS_2025[[#This Row],[concatenado]],PAA[[#All],[RCP-RUBRO]],PAA[[#All],[Actividad3]],VLOOKUP(COMPROMISOS_2025[[#This Row],[Indicador Principal]],$AC$2:$AD$17,2,0),0),"")</f>
        <v/>
      </c>
    </row>
    <row r="1191" spans="1:25" hidden="1" x14ac:dyDescent="0.25">
      <c r="A1191">
        <v>620</v>
      </c>
      <c r="B1191" t="s">
        <v>3916</v>
      </c>
      <c r="C1191" t="s">
        <v>1936</v>
      </c>
      <c r="D1191" t="s">
        <v>3917</v>
      </c>
      <c r="F1191">
        <v>358</v>
      </c>
      <c r="G1191">
        <v>65</v>
      </c>
      <c r="H1191" t="s">
        <v>662</v>
      </c>
      <c r="I1191" t="s">
        <v>2271</v>
      </c>
      <c r="J1191">
        <v>1300000</v>
      </c>
      <c r="K1191">
        <v>2025</v>
      </c>
      <c r="L1191">
        <v>1027955036</v>
      </c>
      <c r="M1191" t="s">
        <v>3722</v>
      </c>
      <c r="N1191" t="s">
        <v>1688</v>
      </c>
      <c r="O1191" t="s">
        <v>1686</v>
      </c>
      <c r="P1191">
        <v>0</v>
      </c>
      <c r="Q1191">
        <v>1300000</v>
      </c>
      <c r="R1191">
        <v>0</v>
      </c>
      <c r="S1191">
        <v>0</v>
      </c>
      <c r="T1191" t="str">
        <f t="shared" si="36"/>
        <v>6202.43.4302.85.0-205128.2.3.3.08.06.</v>
      </c>
      <c r="U1191" t="e" cm="1">
        <f t="array" aca="1" ref="U1191" ca="1">+IF(COMPROMISOS_2025[[#This Row],[P]]="20","41080111",_xlfn.XLOOKUP(COMPROMISOS_2025[[#This Row],[concatenado]],PAA[[#All],[RCP-RUBRO]],PAA[[#All],[INDICADOR]],"",0))</f>
        <v>#NAME?</v>
      </c>
      <c r="V1191" s="144" t="str">
        <f t="shared" si="37"/>
        <v>85</v>
      </c>
      <c r="W1191" s="136">
        <f>+COMPROMISOS_2025[[#This Row],[valor_total]]-COMPROMISOS_2025[[#This Row],[total_cancelado]]</f>
        <v>1300000</v>
      </c>
      <c r="X1191" s="136">
        <f>COMPROMISOS_2025[[#This Row],[total_ordenes]]</f>
        <v>1300000</v>
      </c>
      <c r="Y1191" t="str" cm="1">
        <f t="array" aca="1" ref="Y1191" ca="1">IFERROR(_xlfn.XLOOKUP(COMPROMISOS_2025[[#This Row],[concatenado]],PAA[[#All],[RCP-RUBRO]],PAA[[#All],[Actividad3]],VLOOKUP(COMPROMISOS_2025[[#This Row],[Indicador Principal]],$AC$2:$AD$17,2,0),0),"")</f>
        <v/>
      </c>
    </row>
    <row r="1192" spans="1:25" hidden="1" x14ac:dyDescent="0.25">
      <c r="A1192">
        <v>621</v>
      </c>
      <c r="B1192" t="s">
        <v>3916</v>
      </c>
      <c r="C1192" t="s">
        <v>1936</v>
      </c>
      <c r="D1192" t="s">
        <v>3917</v>
      </c>
      <c r="F1192">
        <v>358</v>
      </c>
      <c r="G1192">
        <v>65</v>
      </c>
      <c r="H1192" t="s">
        <v>662</v>
      </c>
      <c r="I1192" t="s">
        <v>2271</v>
      </c>
      <c r="J1192">
        <v>1300000</v>
      </c>
      <c r="K1192">
        <v>2025</v>
      </c>
      <c r="L1192">
        <v>1027956059</v>
      </c>
      <c r="M1192" t="s">
        <v>3723</v>
      </c>
      <c r="N1192" t="s">
        <v>1688</v>
      </c>
      <c r="O1192" t="s">
        <v>1686</v>
      </c>
      <c r="P1192">
        <v>0</v>
      </c>
      <c r="Q1192">
        <v>1300000</v>
      </c>
      <c r="R1192">
        <v>0</v>
      </c>
      <c r="S1192">
        <v>0</v>
      </c>
      <c r="T1192" t="str">
        <f t="shared" si="36"/>
        <v>6212.43.4302.85.0-205128.2.3.3.08.06.</v>
      </c>
      <c r="U1192" t="e" cm="1">
        <f t="array" aca="1" ref="U1192" ca="1">+IF(COMPROMISOS_2025[[#This Row],[P]]="20","41080111",_xlfn.XLOOKUP(COMPROMISOS_2025[[#This Row],[concatenado]],PAA[[#All],[RCP-RUBRO]],PAA[[#All],[INDICADOR]],"",0))</f>
        <v>#NAME?</v>
      </c>
      <c r="V1192" s="144" t="str">
        <f t="shared" si="37"/>
        <v>85</v>
      </c>
      <c r="W1192" s="136">
        <f>+COMPROMISOS_2025[[#This Row],[valor_total]]-COMPROMISOS_2025[[#This Row],[total_cancelado]]</f>
        <v>1300000</v>
      </c>
      <c r="X1192" s="136">
        <f>COMPROMISOS_2025[[#This Row],[total_ordenes]]</f>
        <v>1300000</v>
      </c>
      <c r="Y1192" t="str" cm="1">
        <f t="array" aca="1" ref="Y1192" ca="1">IFERROR(_xlfn.XLOOKUP(COMPROMISOS_2025[[#This Row],[concatenado]],PAA[[#All],[RCP-RUBRO]],PAA[[#All],[Actividad3]],VLOOKUP(COMPROMISOS_2025[[#This Row],[Indicador Principal]],$AC$2:$AD$17,2,0),0),"")</f>
        <v/>
      </c>
    </row>
    <row r="1193" spans="1:25" hidden="1" x14ac:dyDescent="0.25">
      <c r="A1193">
        <v>622</v>
      </c>
      <c r="B1193" t="s">
        <v>3916</v>
      </c>
      <c r="C1193" t="s">
        <v>1936</v>
      </c>
      <c r="D1193" t="s">
        <v>3917</v>
      </c>
      <c r="F1193">
        <v>358</v>
      </c>
      <c r="G1193">
        <v>65</v>
      </c>
      <c r="H1193" t="s">
        <v>662</v>
      </c>
      <c r="I1193" t="s">
        <v>2271</v>
      </c>
      <c r="J1193">
        <v>800000</v>
      </c>
      <c r="K1193">
        <v>2025</v>
      </c>
      <c r="L1193">
        <v>1027959863</v>
      </c>
      <c r="M1193" t="s">
        <v>4049</v>
      </c>
      <c r="N1193" t="s">
        <v>1688</v>
      </c>
      <c r="O1193" t="s">
        <v>1686</v>
      </c>
      <c r="P1193">
        <v>0</v>
      </c>
      <c r="Q1193">
        <v>800000</v>
      </c>
      <c r="R1193">
        <v>0</v>
      </c>
      <c r="S1193">
        <v>0</v>
      </c>
      <c r="T1193" t="str">
        <f t="shared" si="36"/>
        <v>6222.43.4302.85.0-205128.2.3.3.08.06.</v>
      </c>
      <c r="U1193" t="e" cm="1">
        <f t="array" aca="1" ref="U1193" ca="1">+IF(COMPROMISOS_2025[[#This Row],[P]]="20","41080111",_xlfn.XLOOKUP(COMPROMISOS_2025[[#This Row],[concatenado]],PAA[[#All],[RCP-RUBRO]],PAA[[#All],[INDICADOR]],"",0))</f>
        <v>#NAME?</v>
      </c>
      <c r="V1193" s="144" t="str">
        <f t="shared" si="37"/>
        <v>85</v>
      </c>
      <c r="W1193" s="136">
        <f>+COMPROMISOS_2025[[#This Row],[valor_total]]-COMPROMISOS_2025[[#This Row],[total_cancelado]]</f>
        <v>800000</v>
      </c>
      <c r="X1193" s="136">
        <f>COMPROMISOS_2025[[#This Row],[total_ordenes]]</f>
        <v>800000</v>
      </c>
      <c r="Y1193" t="str" cm="1">
        <f t="array" aca="1" ref="Y1193" ca="1">IFERROR(_xlfn.XLOOKUP(COMPROMISOS_2025[[#This Row],[concatenado]],PAA[[#All],[RCP-RUBRO]],PAA[[#All],[Actividad3]],VLOOKUP(COMPROMISOS_2025[[#This Row],[Indicador Principal]],$AC$2:$AD$17,2,0),0),"")</f>
        <v/>
      </c>
    </row>
    <row r="1194" spans="1:25" hidden="1" x14ac:dyDescent="0.25">
      <c r="A1194">
        <v>623</v>
      </c>
      <c r="B1194" t="s">
        <v>3916</v>
      </c>
      <c r="C1194" t="s">
        <v>1936</v>
      </c>
      <c r="D1194" t="s">
        <v>3917</v>
      </c>
      <c r="F1194">
        <v>358</v>
      </c>
      <c r="G1194">
        <v>65</v>
      </c>
      <c r="H1194" t="s">
        <v>662</v>
      </c>
      <c r="I1194" t="s">
        <v>2271</v>
      </c>
      <c r="J1194">
        <v>500000</v>
      </c>
      <c r="K1194">
        <v>2025</v>
      </c>
      <c r="L1194">
        <v>1027963235</v>
      </c>
      <c r="M1194" t="s">
        <v>3725</v>
      </c>
      <c r="N1194" t="s">
        <v>1688</v>
      </c>
      <c r="O1194" t="s">
        <v>1686</v>
      </c>
      <c r="P1194">
        <v>0</v>
      </c>
      <c r="Q1194">
        <v>500000</v>
      </c>
      <c r="R1194">
        <v>0</v>
      </c>
      <c r="S1194">
        <v>0</v>
      </c>
      <c r="T1194" t="str">
        <f t="shared" si="36"/>
        <v>6232.43.4302.85.0-205128.2.3.3.08.06.</v>
      </c>
      <c r="U1194" t="e" cm="1">
        <f t="array" aca="1" ref="U1194" ca="1">+IF(COMPROMISOS_2025[[#This Row],[P]]="20","41080111",_xlfn.XLOOKUP(COMPROMISOS_2025[[#This Row],[concatenado]],PAA[[#All],[RCP-RUBRO]],PAA[[#All],[INDICADOR]],"",0))</f>
        <v>#NAME?</v>
      </c>
      <c r="V1194" s="144" t="str">
        <f t="shared" si="37"/>
        <v>85</v>
      </c>
      <c r="W1194" s="136">
        <f>+COMPROMISOS_2025[[#This Row],[valor_total]]-COMPROMISOS_2025[[#This Row],[total_cancelado]]</f>
        <v>500000</v>
      </c>
      <c r="X1194" s="136">
        <f>COMPROMISOS_2025[[#This Row],[total_ordenes]]</f>
        <v>500000</v>
      </c>
      <c r="Y1194" t="str" cm="1">
        <f t="array" aca="1" ref="Y1194" ca="1">IFERROR(_xlfn.XLOOKUP(COMPROMISOS_2025[[#This Row],[concatenado]],PAA[[#All],[RCP-RUBRO]],PAA[[#All],[Actividad3]],VLOOKUP(COMPROMISOS_2025[[#This Row],[Indicador Principal]],$AC$2:$AD$17,2,0),0),"")</f>
        <v/>
      </c>
    </row>
    <row r="1195" spans="1:25" hidden="1" x14ac:dyDescent="0.25">
      <c r="A1195">
        <v>624</v>
      </c>
      <c r="B1195" t="s">
        <v>3916</v>
      </c>
      <c r="C1195" t="s">
        <v>1936</v>
      </c>
      <c r="D1195" t="s">
        <v>3917</v>
      </c>
      <c r="F1195">
        <v>358</v>
      </c>
      <c r="G1195">
        <v>65</v>
      </c>
      <c r="H1195" t="s">
        <v>662</v>
      </c>
      <c r="I1195" t="s">
        <v>2271</v>
      </c>
      <c r="J1195">
        <v>500000</v>
      </c>
      <c r="K1195">
        <v>2025</v>
      </c>
      <c r="L1195">
        <v>1028001738</v>
      </c>
      <c r="M1195" t="s">
        <v>4050</v>
      </c>
      <c r="N1195" t="s">
        <v>1688</v>
      </c>
      <c r="O1195" t="s">
        <v>1686</v>
      </c>
      <c r="P1195">
        <v>0</v>
      </c>
      <c r="Q1195">
        <v>500000</v>
      </c>
      <c r="R1195">
        <v>0</v>
      </c>
      <c r="S1195">
        <v>0</v>
      </c>
      <c r="T1195" t="str">
        <f t="shared" si="36"/>
        <v>6242.43.4302.85.0-205128.2.3.3.08.06.</v>
      </c>
      <c r="U1195" t="e" cm="1">
        <f t="array" aca="1" ref="U1195" ca="1">+IF(COMPROMISOS_2025[[#This Row],[P]]="20","41080111",_xlfn.XLOOKUP(COMPROMISOS_2025[[#This Row],[concatenado]],PAA[[#All],[RCP-RUBRO]],PAA[[#All],[INDICADOR]],"",0))</f>
        <v>#NAME?</v>
      </c>
      <c r="V1195" s="144" t="str">
        <f t="shared" si="37"/>
        <v>85</v>
      </c>
      <c r="W1195" s="136">
        <f>+COMPROMISOS_2025[[#This Row],[valor_total]]-COMPROMISOS_2025[[#This Row],[total_cancelado]]</f>
        <v>500000</v>
      </c>
      <c r="X1195" s="136">
        <f>COMPROMISOS_2025[[#This Row],[total_ordenes]]</f>
        <v>500000</v>
      </c>
      <c r="Y1195" t="str" cm="1">
        <f t="array" aca="1" ref="Y1195" ca="1">IFERROR(_xlfn.XLOOKUP(COMPROMISOS_2025[[#This Row],[concatenado]],PAA[[#All],[RCP-RUBRO]],PAA[[#All],[Actividad3]],VLOOKUP(COMPROMISOS_2025[[#This Row],[Indicador Principal]],$AC$2:$AD$17,2,0),0),"")</f>
        <v/>
      </c>
    </row>
    <row r="1196" spans="1:25" hidden="1" x14ac:dyDescent="0.25">
      <c r="A1196">
        <v>625</v>
      </c>
      <c r="B1196" t="s">
        <v>3916</v>
      </c>
      <c r="C1196" t="s">
        <v>1936</v>
      </c>
      <c r="D1196" t="s">
        <v>3917</v>
      </c>
      <c r="F1196">
        <v>358</v>
      </c>
      <c r="G1196">
        <v>65</v>
      </c>
      <c r="H1196" t="s">
        <v>662</v>
      </c>
      <c r="I1196" t="s">
        <v>2271</v>
      </c>
      <c r="J1196">
        <v>800000</v>
      </c>
      <c r="K1196">
        <v>2025</v>
      </c>
      <c r="L1196">
        <v>10280137243</v>
      </c>
      <c r="M1196" t="s">
        <v>4051</v>
      </c>
      <c r="N1196" t="s">
        <v>1688</v>
      </c>
      <c r="O1196" t="s">
        <v>1686</v>
      </c>
      <c r="P1196">
        <v>0</v>
      </c>
      <c r="Q1196">
        <v>800000</v>
      </c>
      <c r="R1196">
        <v>0</v>
      </c>
      <c r="S1196">
        <v>0</v>
      </c>
      <c r="T1196" t="str">
        <f t="shared" si="36"/>
        <v>6252.43.4302.85.0-205128.2.3.3.08.06.</v>
      </c>
      <c r="U1196" t="e" cm="1">
        <f t="array" aca="1" ref="U1196" ca="1">+IF(COMPROMISOS_2025[[#This Row],[P]]="20","41080111",_xlfn.XLOOKUP(COMPROMISOS_2025[[#This Row],[concatenado]],PAA[[#All],[RCP-RUBRO]],PAA[[#All],[INDICADOR]],"",0))</f>
        <v>#NAME?</v>
      </c>
      <c r="V1196" s="144" t="str">
        <f t="shared" si="37"/>
        <v>85</v>
      </c>
      <c r="W1196" s="136">
        <f>+COMPROMISOS_2025[[#This Row],[valor_total]]-COMPROMISOS_2025[[#This Row],[total_cancelado]]</f>
        <v>800000</v>
      </c>
      <c r="X1196" s="136">
        <f>COMPROMISOS_2025[[#This Row],[total_ordenes]]</f>
        <v>800000</v>
      </c>
      <c r="Y1196" t="str" cm="1">
        <f t="array" aca="1" ref="Y1196" ca="1">IFERROR(_xlfn.XLOOKUP(COMPROMISOS_2025[[#This Row],[concatenado]],PAA[[#All],[RCP-RUBRO]],PAA[[#All],[Actividad3]],VLOOKUP(COMPROMISOS_2025[[#This Row],[Indicador Principal]],$AC$2:$AD$17,2,0),0),"")</f>
        <v/>
      </c>
    </row>
    <row r="1197" spans="1:25" hidden="1" x14ac:dyDescent="0.25">
      <c r="A1197">
        <v>626</v>
      </c>
      <c r="B1197" t="s">
        <v>3916</v>
      </c>
      <c r="C1197" t="s">
        <v>1936</v>
      </c>
      <c r="D1197" t="s">
        <v>3917</v>
      </c>
      <c r="F1197">
        <v>358</v>
      </c>
      <c r="G1197">
        <v>65</v>
      </c>
      <c r="H1197" t="s">
        <v>662</v>
      </c>
      <c r="I1197" t="s">
        <v>2271</v>
      </c>
      <c r="J1197">
        <v>1300000</v>
      </c>
      <c r="K1197">
        <v>2025</v>
      </c>
      <c r="L1197">
        <v>1028038160</v>
      </c>
      <c r="M1197" t="s">
        <v>4052</v>
      </c>
      <c r="N1197" t="s">
        <v>1688</v>
      </c>
      <c r="O1197" t="s">
        <v>1686</v>
      </c>
      <c r="P1197">
        <v>0</v>
      </c>
      <c r="Q1197">
        <v>1300000</v>
      </c>
      <c r="R1197">
        <v>0</v>
      </c>
      <c r="S1197">
        <v>0</v>
      </c>
      <c r="T1197" t="str">
        <f t="shared" si="36"/>
        <v>6262.43.4302.85.0-205128.2.3.3.08.06.</v>
      </c>
      <c r="U1197" t="e" cm="1">
        <f t="array" aca="1" ref="U1197" ca="1">+IF(COMPROMISOS_2025[[#This Row],[P]]="20","41080111",_xlfn.XLOOKUP(COMPROMISOS_2025[[#This Row],[concatenado]],PAA[[#All],[RCP-RUBRO]],PAA[[#All],[INDICADOR]],"",0))</f>
        <v>#NAME?</v>
      </c>
      <c r="V1197" s="144" t="str">
        <f t="shared" si="37"/>
        <v>85</v>
      </c>
      <c r="W1197" s="136">
        <f>+COMPROMISOS_2025[[#This Row],[valor_total]]-COMPROMISOS_2025[[#This Row],[total_cancelado]]</f>
        <v>1300000</v>
      </c>
      <c r="X1197" s="136">
        <f>COMPROMISOS_2025[[#This Row],[total_ordenes]]</f>
        <v>1300000</v>
      </c>
      <c r="Y1197" t="str" cm="1">
        <f t="array" aca="1" ref="Y1197" ca="1">IFERROR(_xlfn.XLOOKUP(COMPROMISOS_2025[[#This Row],[concatenado]],PAA[[#All],[RCP-RUBRO]],PAA[[#All],[Actividad3]],VLOOKUP(COMPROMISOS_2025[[#This Row],[Indicador Principal]],$AC$2:$AD$17,2,0),0),"")</f>
        <v/>
      </c>
    </row>
    <row r="1198" spans="1:25" hidden="1" x14ac:dyDescent="0.25">
      <c r="A1198">
        <v>627</v>
      </c>
      <c r="B1198" t="s">
        <v>3916</v>
      </c>
      <c r="C1198" t="s">
        <v>1936</v>
      </c>
      <c r="D1198" t="s">
        <v>3917</v>
      </c>
      <c r="F1198">
        <v>358</v>
      </c>
      <c r="G1198">
        <v>65</v>
      </c>
      <c r="H1198" t="s">
        <v>662</v>
      </c>
      <c r="I1198" t="s">
        <v>2271</v>
      </c>
      <c r="J1198">
        <v>1300000</v>
      </c>
      <c r="K1198">
        <v>2025</v>
      </c>
      <c r="L1198">
        <v>1029140649</v>
      </c>
      <c r="M1198" t="s">
        <v>4053</v>
      </c>
      <c r="N1198" t="s">
        <v>1688</v>
      </c>
      <c r="O1198" t="s">
        <v>1686</v>
      </c>
      <c r="P1198">
        <v>0</v>
      </c>
      <c r="Q1198">
        <v>1300000</v>
      </c>
      <c r="R1198">
        <v>0</v>
      </c>
      <c r="S1198">
        <v>0</v>
      </c>
      <c r="T1198" t="str">
        <f t="shared" si="36"/>
        <v>6272.43.4302.85.0-205128.2.3.3.08.06.</v>
      </c>
      <c r="U1198" t="e" cm="1">
        <f t="array" aca="1" ref="U1198" ca="1">+IF(COMPROMISOS_2025[[#This Row],[P]]="20","41080111",_xlfn.XLOOKUP(COMPROMISOS_2025[[#This Row],[concatenado]],PAA[[#All],[RCP-RUBRO]],PAA[[#All],[INDICADOR]],"",0))</f>
        <v>#NAME?</v>
      </c>
      <c r="V1198" s="144" t="str">
        <f t="shared" si="37"/>
        <v>85</v>
      </c>
      <c r="W1198" s="136">
        <f>+COMPROMISOS_2025[[#This Row],[valor_total]]-COMPROMISOS_2025[[#This Row],[total_cancelado]]</f>
        <v>1300000</v>
      </c>
      <c r="X1198" s="136">
        <f>COMPROMISOS_2025[[#This Row],[total_ordenes]]</f>
        <v>1300000</v>
      </c>
      <c r="Y1198" t="str" cm="1">
        <f t="array" aca="1" ref="Y1198" ca="1">IFERROR(_xlfn.XLOOKUP(COMPROMISOS_2025[[#This Row],[concatenado]],PAA[[#All],[RCP-RUBRO]],PAA[[#All],[Actividad3]],VLOOKUP(COMPROMISOS_2025[[#This Row],[Indicador Principal]],$AC$2:$AD$17,2,0),0),"")</f>
        <v/>
      </c>
    </row>
    <row r="1199" spans="1:25" hidden="1" x14ac:dyDescent="0.25">
      <c r="A1199">
        <v>628</v>
      </c>
      <c r="B1199" t="s">
        <v>3916</v>
      </c>
      <c r="C1199" t="s">
        <v>1936</v>
      </c>
      <c r="D1199" t="s">
        <v>3917</v>
      </c>
      <c r="F1199">
        <v>358</v>
      </c>
      <c r="G1199">
        <v>65</v>
      </c>
      <c r="H1199" t="s">
        <v>662</v>
      </c>
      <c r="I1199" t="s">
        <v>2271</v>
      </c>
      <c r="J1199">
        <v>500000</v>
      </c>
      <c r="K1199">
        <v>2025</v>
      </c>
      <c r="L1199">
        <v>1029300329</v>
      </c>
      <c r="M1199" t="s">
        <v>3728</v>
      </c>
      <c r="N1199" t="s">
        <v>1688</v>
      </c>
      <c r="O1199" t="s">
        <v>1686</v>
      </c>
      <c r="P1199">
        <v>0</v>
      </c>
      <c r="Q1199">
        <v>500000</v>
      </c>
      <c r="R1199">
        <v>0</v>
      </c>
      <c r="S1199">
        <v>0</v>
      </c>
      <c r="T1199" t="str">
        <f t="shared" si="36"/>
        <v>6282.43.4302.85.0-205128.2.3.3.08.06.</v>
      </c>
      <c r="U1199" t="e" cm="1">
        <f t="array" aca="1" ref="U1199" ca="1">+IF(COMPROMISOS_2025[[#This Row],[P]]="20","41080111",_xlfn.XLOOKUP(COMPROMISOS_2025[[#This Row],[concatenado]],PAA[[#All],[RCP-RUBRO]],PAA[[#All],[INDICADOR]],"",0))</f>
        <v>#NAME?</v>
      </c>
      <c r="V1199" s="144" t="str">
        <f t="shared" si="37"/>
        <v>85</v>
      </c>
      <c r="W1199" s="136">
        <f>+COMPROMISOS_2025[[#This Row],[valor_total]]-COMPROMISOS_2025[[#This Row],[total_cancelado]]</f>
        <v>500000</v>
      </c>
      <c r="X1199" s="136">
        <f>COMPROMISOS_2025[[#This Row],[total_ordenes]]</f>
        <v>500000</v>
      </c>
      <c r="Y1199" t="str" cm="1">
        <f t="array" aca="1" ref="Y1199" ca="1">IFERROR(_xlfn.XLOOKUP(COMPROMISOS_2025[[#This Row],[concatenado]],PAA[[#All],[RCP-RUBRO]],PAA[[#All],[Actividad3]],VLOOKUP(COMPROMISOS_2025[[#This Row],[Indicador Principal]],$AC$2:$AD$17,2,0),0),"")</f>
        <v/>
      </c>
    </row>
    <row r="1200" spans="1:25" hidden="1" x14ac:dyDescent="0.25">
      <c r="A1200">
        <v>629</v>
      </c>
      <c r="B1200" t="s">
        <v>3916</v>
      </c>
      <c r="C1200" t="s">
        <v>1936</v>
      </c>
      <c r="D1200" t="s">
        <v>3917</v>
      </c>
      <c r="F1200">
        <v>358</v>
      </c>
      <c r="G1200">
        <v>65</v>
      </c>
      <c r="H1200" t="s">
        <v>662</v>
      </c>
      <c r="I1200" t="s">
        <v>2271</v>
      </c>
      <c r="J1200">
        <v>1300000</v>
      </c>
      <c r="K1200">
        <v>2025</v>
      </c>
      <c r="L1200">
        <v>1029721776</v>
      </c>
      <c r="M1200" t="s">
        <v>3729</v>
      </c>
      <c r="N1200" t="s">
        <v>1688</v>
      </c>
      <c r="O1200" t="s">
        <v>1686</v>
      </c>
      <c r="P1200">
        <v>0</v>
      </c>
      <c r="Q1200">
        <v>1300000</v>
      </c>
      <c r="R1200">
        <v>0</v>
      </c>
      <c r="S1200">
        <v>0</v>
      </c>
      <c r="T1200" t="str">
        <f t="shared" si="36"/>
        <v>6292.43.4302.85.0-205128.2.3.3.08.06.</v>
      </c>
      <c r="U1200" t="e" cm="1">
        <f t="array" aca="1" ref="U1200" ca="1">+IF(COMPROMISOS_2025[[#This Row],[P]]="20","41080111",_xlfn.XLOOKUP(COMPROMISOS_2025[[#This Row],[concatenado]],PAA[[#All],[RCP-RUBRO]],PAA[[#All],[INDICADOR]],"",0))</f>
        <v>#NAME?</v>
      </c>
      <c r="V1200" s="144" t="str">
        <f t="shared" si="37"/>
        <v>85</v>
      </c>
      <c r="W1200" s="136">
        <f>+COMPROMISOS_2025[[#This Row],[valor_total]]-COMPROMISOS_2025[[#This Row],[total_cancelado]]</f>
        <v>1300000</v>
      </c>
      <c r="X1200" s="136">
        <f>COMPROMISOS_2025[[#This Row],[total_ordenes]]</f>
        <v>1300000</v>
      </c>
      <c r="Y1200" t="str" cm="1">
        <f t="array" aca="1" ref="Y1200" ca="1">IFERROR(_xlfn.XLOOKUP(COMPROMISOS_2025[[#This Row],[concatenado]],PAA[[#All],[RCP-RUBRO]],PAA[[#All],[Actividad3]],VLOOKUP(COMPROMISOS_2025[[#This Row],[Indicador Principal]],$AC$2:$AD$17,2,0),0),"")</f>
        <v/>
      </c>
    </row>
    <row r="1201" spans="1:25" hidden="1" x14ac:dyDescent="0.25">
      <c r="A1201">
        <v>630</v>
      </c>
      <c r="B1201" t="s">
        <v>3916</v>
      </c>
      <c r="C1201" t="s">
        <v>1936</v>
      </c>
      <c r="D1201" t="s">
        <v>3917</v>
      </c>
      <c r="F1201">
        <v>358</v>
      </c>
      <c r="G1201">
        <v>65</v>
      </c>
      <c r="H1201" t="s">
        <v>662</v>
      </c>
      <c r="I1201" t="s">
        <v>2271</v>
      </c>
      <c r="J1201">
        <v>500000</v>
      </c>
      <c r="K1201">
        <v>2025</v>
      </c>
      <c r="L1201">
        <v>1031650720</v>
      </c>
      <c r="M1201" t="s">
        <v>4054</v>
      </c>
      <c r="N1201" t="s">
        <v>1688</v>
      </c>
      <c r="O1201" t="s">
        <v>1686</v>
      </c>
      <c r="P1201">
        <v>0</v>
      </c>
      <c r="Q1201">
        <v>500000</v>
      </c>
      <c r="R1201">
        <v>0</v>
      </c>
      <c r="S1201">
        <v>0</v>
      </c>
      <c r="T1201" t="str">
        <f t="shared" si="36"/>
        <v>6302.43.4302.85.0-205128.2.3.3.08.06.</v>
      </c>
      <c r="U1201" t="e" cm="1">
        <f t="array" aca="1" ref="U1201" ca="1">+IF(COMPROMISOS_2025[[#This Row],[P]]="20","41080111",_xlfn.XLOOKUP(COMPROMISOS_2025[[#This Row],[concatenado]],PAA[[#All],[RCP-RUBRO]],PAA[[#All],[INDICADOR]],"",0))</f>
        <v>#NAME?</v>
      </c>
      <c r="V1201" s="144" t="str">
        <f t="shared" si="37"/>
        <v>85</v>
      </c>
      <c r="W1201" s="136">
        <f>+COMPROMISOS_2025[[#This Row],[valor_total]]-COMPROMISOS_2025[[#This Row],[total_cancelado]]</f>
        <v>500000</v>
      </c>
      <c r="X1201" s="136">
        <f>COMPROMISOS_2025[[#This Row],[total_ordenes]]</f>
        <v>500000</v>
      </c>
      <c r="Y1201" t="str" cm="1">
        <f t="array" aca="1" ref="Y1201" ca="1">IFERROR(_xlfn.XLOOKUP(COMPROMISOS_2025[[#This Row],[concatenado]],PAA[[#All],[RCP-RUBRO]],PAA[[#All],[Actividad3]],VLOOKUP(COMPROMISOS_2025[[#This Row],[Indicador Principal]],$AC$2:$AD$17,2,0),0),"")</f>
        <v/>
      </c>
    </row>
    <row r="1202" spans="1:25" hidden="1" x14ac:dyDescent="0.25">
      <c r="A1202">
        <v>631</v>
      </c>
      <c r="B1202" t="s">
        <v>3916</v>
      </c>
      <c r="C1202" t="s">
        <v>1936</v>
      </c>
      <c r="D1202" t="s">
        <v>3917</v>
      </c>
      <c r="F1202">
        <v>358</v>
      </c>
      <c r="G1202">
        <v>65</v>
      </c>
      <c r="H1202" t="s">
        <v>662</v>
      </c>
      <c r="I1202" t="s">
        <v>2271</v>
      </c>
      <c r="J1202">
        <v>500000</v>
      </c>
      <c r="K1202">
        <v>2025</v>
      </c>
      <c r="L1202">
        <v>1032016019</v>
      </c>
      <c r="M1202" t="s">
        <v>4055</v>
      </c>
      <c r="N1202" t="s">
        <v>1688</v>
      </c>
      <c r="O1202" t="s">
        <v>1686</v>
      </c>
      <c r="P1202">
        <v>0</v>
      </c>
      <c r="Q1202">
        <v>500000</v>
      </c>
      <c r="R1202">
        <v>0</v>
      </c>
      <c r="S1202">
        <v>0</v>
      </c>
      <c r="T1202" t="str">
        <f t="shared" si="36"/>
        <v>6312.43.4302.85.0-205128.2.3.3.08.06.</v>
      </c>
      <c r="U1202" t="e" cm="1">
        <f t="array" aca="1" ref="U1202" ca="1">+IF(COMPROMISOS_2025[[#This Row],[P]]="20","41080111",_xlfn.XLOOKUP(COMPROMISOS_2025[[#This Row],[concatenado]],PAA[[#All],[RCP-RUBRO]],PAA[[#All],[INDICADOR]],"",0))</f>
        <v>#NAME?</v>
      </c>
      <c r="V1202" s="144" t="str">
        <f t="shared" si="37"/>
        <v>85</v>
      </c>
      <c r="W1202" s="136">
        <f>+COMPROMISOS_2025[[#This Row],[valor_total]]-COMPROMISOS_2025[[#This Row],[total_cancelado]]</f>
        <v>500000</v>
      </c>
      <c r="X1202" s="136">
        <f>COMPROMISOS_2025[[#This Row],[total_ordenes]]</f>
        <v>500000</v>
      </c>
      <c r="Y1202" t="str" cm="1">
        <f t="array" aca="1" ref="Y1202" ca="1">IFERROR(_xlfn.XLOOKUP(COMPROMISOS_2025[[#This Row],[concatenado]],PAA[[#All],[RCP-RUBRO]],PAA[[#All],[Actividad3]],VLOOKUP(COMPROMISOS_2025[[#This Row],[Indicador Principal]],$AC$2:$AD$17,2,0),0),"")</f>
        <v/>
      </c>
    </row>
    <row r="1203" spans="1:25" hidden="1" x14ac:dyDescent="0.25">
      <c r="A1203">
        <v>632</v>
      </c>
      <c r="B1203" t="s">
        <v>3916</v>
      </c>
      <c r="C1203" t="s">
        <v>1936</v>
      </c>
      <c r="D1203" t="s">
        <v>3917</v>
      </c>
      <c r="F1203">
        <v>358</v>
      </c>
      <c r="G1203">
        <v>65</v>
      </c>
      <c r="H1203" t="s">
        <v>662</v>
      </c>
      <c r="I1203" t="s">
        <v>2271</v>
      </c>
      <c r="J1203">
        <v>500000</v>
      </c>
      <c r="K1203">
        <v>2025</v>
      </c>
      <c r="L1203">
        <v>1032017528</v>
      </c>
      <c r="M1203" t="s">
        <v>3736</v>
      </c>
      <c r="N1203" t="s">
        <v>1688</v>
      </c>
      <c r="O1203" t="s">
        <v>1686</v>
      </c>
      <c r="P1203">
        <v>0</v>
      </c>
      <c r="Q1203">
        <v>500000</v>
      </c>
      <c r="R1203">
        <v>0</v>
      </c>
      <c r="S1203">
        <v>0</v>
      </c>
      <c r="T1203" t="str">
        <f t="shared" si="36"/>
        <v>6322.43.4302.85.0-205128.2.3.3.08.06.</v>
      </c>
      <c r="U1203" t="e" cm="1">
        <f t="array" aca="1" ref="U1203" ca="1">+IF(COMPROMISOS_2025[[#This Row],[P]]="20","41080111",_xlfn.XLOOKUP(COMPROMISOS_2025[[#This Row],[concatenado]],PAA[[#All],[RCP-RUBRO]],PAA[[#All],[INDICADOR]],"",0))</f>
        <v>#NAME?</v>
      </c>
      <c r="V1203" s="144" t="str">
        <f t="shared" si="37"/>
        <v>85</v>
      </c>
      <c r="W1203" s="136">
        <f>+COMPROMISOS_2025[[#This Row],[valor_total]]-COMPROMISOS_2025[[#This Row],[total_cancelado]]</f>
        <v>500000</v>
      </c>
      <c r="X1203" s="136">
        <f>COMPROMISOS_2025[[#This Row],[total_ordenes]]</f>
        <v>500000</v>
      </c>
      <c r="Y1203" t="str" cm="1">
        <f t="array" aca="1" ref="Y1203" ca="1">IFERROR(_xlfn.XLOOKUP(COMPROMISOS_2025[[#This Row],[concatenado]],PAA[[#All],[RCP-RUBRO]],PAA[[#All],[Actividad3]],VLOOKUP(COMPROMISOS_2025[[#This Row],[Indicador Principal]],$AC$2:$AD$17,2,0),0),"")</f>
        <v/>
      </c>
    </row>
    <row r="1204" spans="1:25" hidden="1" x14ac:dyDescent="0.25">
      <c r="A1204">
        <v>633</v>
      </c>
      <c r="B1204" t="s">
        <v>3916</v>
      </c>
      <c r="C1204" t="s">
        <v>1936</v>
      </c>
      <c r="D1204" t="s">
        <v>3917</v>
      </c>
      <c r="F1204">
        <v>358</v>
      </c>
      <c r="G1204">
        <v>65</v>
      </c>
      <c r="H1204" t="s">
        <v>662</v>
      </c>
      <c r="I1204" t="s">
        <v>2271</v>
      </c>
      <c r="J1204">
        <v>500000</v>
      </c>
      <c r="K1204">
        <v>2025</v>
      </c>
      <c r="L1204">
        <v>1032177898</v>
      </c>
      <c r="M1204" t="s">
        <v>4056</v>
      </c>
      <c r="N1204" t="s">
        <v>1688</v>
      </c>
      <c r="O1204" t="s">
        <v>1686</v>
      </c>
      <c r="P1204">
        <v>0</v>
      </c>
      <c r="Q1204">
        <v>500000</v>
      </c>
      <c r="R1204">
        <v>0</v>
      </c>
      <c r="S1204">
        <v>0</v>
      </c>
      <c r="T1204" t="str">
        <f t="shared" si="36"/>
        <v>6332.43.4302.85.0-205128.2.3.3.08.06.</v>
      </c>
      <c r="U1204" t="e" cm="1">
        <f t="array" aca="1" ref="U1204" ca="1">+IF(COMPROMISOS_2025[[#This Row],[P]]="20","41080111",_xlfn.XLOOKUP(COMPROMISOS_2025[[#This Row],[concatenado]],PAA[[#All],[RCP-RUBRO]],PAA[[#All],[INDICADOR]],"",0))</f>
        <v>#NAME?</v>
      </c>
      <c r="V1204" s="144" t="str">
        <f t="shared" si="37"/>
        <v>85</v>
      </c>
      <c r="W1204" s="136">
        <f>+COMPROMISOS_2025[[#This Row],[valor_total]]-COMPROMISOS_2025[[#This Row],[total_cancelado]]</f>
        <v>500000</v>
      </c>
      <c r="X1204" s="136">
        <f>COMPROMISOS_2025[[#This Row],[total_ordenes]]</f>
        <v>500000</v>
      </c>
      <c r="Y1204" t="str" cm="1">
        <f t="array" aca="1" ref="Y1204" ca="1">IFERROR(_xlfn.XLOOKUP(COMPROMISOS_2025[[#This Row],[concatenado]],PAA[[#All],[RCP-RUBRO]],PAA[[#All],[Actividad3]],VLOOKUP(COMPROMISOS_2025[[#This Row],[Indicador Principal]],$AC$2:$AD$17,2,0),0),"")</f>
        <v/>
      </c>
    </row>
    <row r="1205" spans="1:25" hidden="1" x14ac:dyDescent="0.25">
      <c r="A1205">
        <v>634</v>
      </c>
      <c r="B1205" t="s">
        <v>3916</v>
      </c>
      <c r="C1205" t="s">
        <v>1936</v>
      </c>
      <c r="D1205" t="s">
        <v>3917</v>
      </c>
      <c r="F1205">
        <v>358</v>
      </c>
      <c r="G1205">
        <v>65</v>
      </c>
      <c r="H1205" t="s">
        <v>662</v>
      </c>
      <c r="I1205" t="s">
        <v>2271</v>
      </c>
      <c r="J1205">
        <v>1300000</v>
      </c>
      <c r="K1205">
        <v>2025</v>
      </c>
      <c r="L1205">
        <v>1032178455</v>
      </c>
      <c r="M1205" t="s">
        <v>4057</v>
      </c>
      <c r="N1205" t="s">
        <v>1688</v>
      </c>
      <c r="O1205" t="s">
        <v>1686</v>
      </c>
      <c r="P1205">
        <v>0</v>
      </c>
      <c r="Q1205">
        <v>1300000</v>
      </c>
      <c r="R1205">
        <v>0</v>
      </c>
      <c r="S1205">
        <v>0</v>
      </c>
      <c r="T1205" t="str">
        <f t="shared" si="36"/>
        <v>6342.43.4302.85.0-205128.2.3.3.08.06.</v>
      </c>
      <c r="U1205" t="e" cm="1">
        <f t="array" aca="1" ref="U1205" ca="1">+IF(COMPROMISOS_2025[[#This Row],[P]]="20","41080111",_xlfn.XLOOKUP(COMPROMISOS_2025[[#This Row],[concatenado]],PAA[[#All],[RCP-RUBRO]],PAA[[#All],[INDICADOR]],"",0))</f>
        <v>#NAME?</v>
      </c>
      <c r="V1205" s="144" t="str">
        <f t="shared" si="37"/>
        <v>85</v>
      </c>
      <c r="W1205" s="136">
        <f>+COMPROMISOS_2025[[#This Row],[valor_total]]-COMPROMISOS_2025[[#This Row],[total_cancelado]]</f>
        <v>1300000</v>
      </c>
      <c r="X1205" s="136">
        <f>COMPROMISOS_2025[[#This Row],[total_ordenes]]</f>
        <v>1300000</v>
      </c>
      <c r="Y1205" t="str" cm="1">
        <f t="array" aca="1" ref="Y1205" ca="1">IFERROR(_xlfn.XLOOKUP(COMPROMISOS_2025[[#This Row],[concatenado]],PAA[[#All],[RCP-RUBRO]],PAA[[#All],[Actividad3]],VLOOKUP(COMPROMISOS_2025[[#This Row],[Indicador Principal]],$AC$2:$AD$17,2,0),0),"")</f>
        <v/>
      </c>
    </row>
    <row r="1206" spans="1:25" hidden="1" x14ac:dyDescent="0.25">
      <c r="A1206">
        <v>635</v>
      </c>
      <c r="B1206" t="s">
        <v>3916</v>
      </c>
      <c r="C1206" t="s">
        <v>1936</v>
      </c>
      <c r="D1206" t="s">
        <v>3917</v>
      </c>
      <c r="F1206">
        <v>358</v>
      </c>
      <c r="G1206">
        <v>65</v>
      </c>
      <c r="H1206" t="s">
        <v>662</v>
      </c>
      <c r="I1206" t="s">
        <v>2271</v>
      </c>
      <c r="J1206">
        <v>500000</v>
      </c>
      <c r="K1206">
        <v>2025</v>
      </c>
      <c r="L1206">
        <v>1033180779</v>
      </c>
      <c r="M1206" t="s">
        <v>3741</v>
      </c>
      <c r="N1206" t="s">
        <v>1688</v>
      </c>
      <c r="O1206" t="s">
        <v>1686</v>
      </c>
      <c r="P1206">
        <v>0</v>
      </c>
      <c r="Q1206">
        <v>500000</v>
      </c>
      <c r="R1206">
        <v>0</v>
      </c>
      <c r="S1206">
        <v>0</v>
      </c>
      <c r="T1206" t="str">
        <f t="shared" si="36"/>
        <v>6352.43.4302.85.0-205128.2.3.3.08.06.</v>
      </c>
      <c r="U1206" t="e" cm="1">
        <f t="array" aca="1" ref="U1206" ca="1">+IF(COMPROMISOS_2025[[#This Row],[P]]="20","41080111",_xlfn.XLOOKUP(COMPROMISOS_2025[[#This Row],[concatenado]],PAA[[#All],[RCP-RUBRO]],PAA[[#All],[INDICADOR]],"",0))</f>
        <v>#NAME?</v>
      </c>
      <c r="V1206" s="144" t="str">
        <f t="shared" si="37"/>
        <v>85</v>
      </c>
      <c r="W1206" s="136">
        <f>+COMPROMISOS_2025[[#This Row],[valor_total]]-COMPROMISOS_2025[[#This Row],[total_cancelado]]</f>
        <v>500000</v>
      </c>
      <c r="X1206" s="136">
        <f>COMPROMISOS_2025[[#This Row],[total_ordenes]]</f>
        <v>500000</v>
      </c>
      <c r="Y1206" t="str" cm="1">
        <f t="array" aca="1" ref="Y1206" ca="1">IFERROR(_xlfn.XLOOKUP(COMPROMISOS_2025[[#This Row],[concatenado]],PAA[[#All],[RCP-RUBRO]],PAA[[#All],[Actividad3]],VLOOKUP(COMPROMISOS_2025[[#This Row],[Indicador Principal]],$AC$2:$AD$17,2,0),0),"")</f>
        <v/>
      </c>
    </row>
    <row r="1207" spans="1:25" hidden="1" x14ac:dyDescent="0.25">
      <c r="A1207">
        <v>636</v>
      </c>
      <c r="B1207" t="s">
        <v>3916</v>
      </c>
      <c r="C1207" t="s">
        <v>1936</v>
      </c>
      <c r="D1207" t="s">
        <v>3917</v>
      </c>
      <c r="F1207">
        <v>358</v>
      </c>
      <c r="G1207">
        <v>65</v>
      </c>
      <c r="H1207" t="s">
        <v>662</v>
      </c>
      <c r="I1207" t="s">
        <v>2271</v>
      </c>
      <c r="J1207">
        <v>500000</v>
      </c>
      <c r="K1207">
        <v>2025</v>
      </c>
      <c r="L1207">
        <v>1033182657</v>
      </c>
      <c r="M1207" t="s">
        <v>4058</v>
      </c>
      <c r="N1207" t="s">
        <v>1688</v>
      </c>
      <c r="O1207" t="s">
        <v>1686</v>
      </c>
      <c r="P1207">
        <v>0</v>
      </c>
      <c r="Q1207">
        <v>500000</v>
      </c>
      <c r="R1207">
        <v>0</v>
      </c>
      <c r="S1207">
        <v>0</v>
      </c>
      <c r="T1207" t="str">
        <f t="shared" si="36"/>
        <v>6362.43.4302.85.0-205128.2.3.3.08.06.</v>
      </c>
      <c r="U1207" t="e" cm="1">
        <f t="array" aca="1" ref="U1207" ca="1">+IF(COMPROMISOS_2025[[#This Row],[P]]="20","41080111",_xlfn.XLOOKUP(COMPROMISOS_2025[[#This Row],[concatenado]],PAA[[#All],[RCP-RUBRO]],PAA[[#All],[INDICADOR]],"",0))</f>
        <v>#NAME?</v>
      </c>
      <c r="V1207" s="144" t="str">
        <f t="shared" si="37"/>
        <v>85</v>
      </c>
      <c r="W1207" s="136">
        <f>+COMPROMISOS_2025[[#This Row],[valor_total]]-COMPROMISOS_2025[[#This Row],[total_cancelado]]</f>
        <v>500000</v>
      </c>
      <c r="X1207" s="136">
        <f>COMPROMISOS_2025[[#This Row],[total_ordenes]]</f>
        <v>500000</v>
      </c>
      <c r="Y1207" t="str" cm="1">
        <f t="array" aca="1" ref="Y1207" ca="1">IFERROR(_xlfn.XLOOKUP(COMPROMISOS_2025[[#This Row],[concatenado]],PAA[[#All],[RCP-RUBRO]],PAA[[#All],[Actividad3]],VLOOKUP(COMPROMISOS_2025[[#This Row],[Indicador Principal]],$AC$2:$AD$17,2,0),0),"")</f>
        <v/>
      </c>
    </row>
    <row r="1208" spans="1:25" hidden="1" x14ac:dyDescent="0.25">
      <c r="A1208">
        <v>637</v>
      </c>
      <c r="B1208" t="s">
        <v>3916</v>
      </c>
      <c r="C1208" t="s">
        <v>1936</v>
      </c>
      <c r="D1208" t="s">
        <v>3917</v>
      </c>
      <c r="F1208">
        <v>358</v>
      </c>
      <c r="G1208">
        <v>65</v>
      </c>
      <c r="H1208" t="s">
        <v>662</v>
      </c>
      <c r="I1208" t="s">
        <v>2271</v>
      </c>
      <c r="J1208">
        <v>500000</v>
      </c>
      <c r="K1208">
        <v>2025</v>
      </c>
      <c r="L1208">
        <v>1033184234</v>
      </c>
      <c r="M1208" t="s">
        <v>3745</v>
      </c>
      <c r="N1208" t="s">
        <v>1688</v>
      </c>
      <c r="O1208" t="s">
        <v>1686</v>
      </c>
      <c r="P1208">
        <v>0</v>
      </c>
      <c r="Q1208">
        <v>500000</v>
      </c>
      <c r="R1208">
        <v>0</v>
      </c>
      <c r="S1208">
        <v>0</v>
      </c>
      <c r="T1208" t="str">
        <f t="shared" si="36"/>
        <v>6372.43.4302.85.0-205128.2.3.3.08.06.</v>
      </c>
      <c r="U1208" t="e" cm="1">
        <f t="array" aca="1" ref="U1208" ca="1">+IF(COMPROMISOS_2025[[#This Row],[P]]="20","41080111",_xlfn.XLOOKUP(COMPROMISOS_2025[[#This Row],[concatenado]],PAA[[#All],[RCP-RUBRO]],PAA[[#All],[INDICADOR]],"",0))</f>
        <v>#NAME?</v>
      </c>
      <c r="V1208" s="144" t="str">
        <f t="shared" si="37"/>
        <v>85</v>
      </c>
      <c r="W1208" s="136">
        <f>+COMPROMISOS_2025[[#This Row],[valor_total]]-COMPROMISOS_2025[[#This Row],[total_cancelado]]</f>
        <v>500000</v>
      </c>
      <c r="X1208" s="136">
        <f>COMPROMISOS_2025[[#This Row],[total_ordenes]]</f>
        <v>500000</v>
      </c>
      <c r="Y1208" t="str" cm="1">
        <f t="array" aca="1" ref="Y1208" ca="1">IFERROR(_xlfn.XLOOKUP(COMPROMISOS_2025[[#This Row],[concatenado]],PAA[[#All],[RCP-RUBRO]],PAA[[#All],[Actividad3]],VLOOKUP(COMPROMISOS_2025[[#This Row],[Indicador Principal]],$AC$2:$AD$17,2,0),0),"")</f>
        <v/>
      </c>
    </row>
    <row r="1209" spans="1:25" hidden="1" x14ac:dyDescent="0.25">
      <c r="A1209">
        <v>638</v>
      </c>
      <c r="B1209" t="s">
        <v>3916</v>
      </c>
      <c r="C1209" t="s">
        <v>1936</v>
      </c>
      <c r="D1209" t="s">
        <v>3917</v>
      </c>
      <c r="F1209">
        <v>358</v>
      </c>
      <c r="G1209">
        <v>65</v>
      </c>
      <c r="H1209" t="s">
        <v>662</v>
      </c>
      <c r="I1209" t="s">
        <v>2271</v>
      </c>
      <c r="J1209">
        <v>500000</v>
      </c>
      <c r="K1209">
        <v>2025</v>
      </c>
      <c r="L1209">
        <v>1033184738</v>
      </c>
      <c r="M1209" t="s">
        <v>3746</v>
      </c>
      <c r="N1209" t="s">
        <v>1688</v>
      </c>
      <c r="O1209" t="s">
        <v>1686</v>
      </c>
      <c r="P1209">
        <v>0</v>
      </c>
      <c r="Q1209">
        <v>500000</v>
      </c>
      <c r="R1209">
        <v>0</v>
      </c>
      <c r="S1209">
        <v>0</v>
      </c>
      <c r="T1209" t="str">
        <f t="shared" si="36"/>
        <v>6382.43.4302.85.0-205128.2.3.3.08.06.</v>
      </c>
      <c r="U1209" t="e" cm="1">
        <f t="array" aca="1" ref="U1209" ca="1">+IF(COMPROMISOS_2025[[#This Row],[P]]="20","41080111",_xlfn.XLOOKUP(COMPROMISOS_2025[[#This Row],[concatenado]],PAA[[#All],[RCP-RUBRO]],PAA[[#All],[INDICADOR]],"",0))</f>
        <v>#NAME?</v>
      </c>
      <c r="V1209" s="144" t="str">
        <f t="shared" si="37"/>
        <v>85</v>
      </c>
      <c r="W1209" s="136">
        <f>+COMPROMISOS_2025[[#This Row],[valor_total]]-COMPROMISOS_2025[[#This Row],[total_cancelado]]</f>
        <v>500000</v>
      </c>
      <c r="X1209" s="136">
        <f>COMPROMISOS_2025[[#This Row],[total_ordenes]]</f>
        <v>500000</v>
      </c>
      <c r="Y1209" t="str" cm="1">
        <f t="array" aca="1" ref="Y1209" ca="1">IFERROR(_xlfn.XLOOKUP(COMPROMISOS_2025[[#This Row],[concatenado]],PAA[[#All],[RCP-RUBRO]],PAA[[#All],[Actividad3]],VLOOKUP(COMPROMISOS_2025[[#This Row],[Indicador Principal]],$AC$2:$AD$17,2,0),0),"")</f>
        <v/>
      </c>
    </row>
    <row r="1210" spans="1:25" hidden="1" x14ac:dyDescent="0.25">
      <c r="A1210">
        <v>639</v>
      </c>
      <c r="B1210" t="s">
        <v>3916</v>
      </c>
      <c r="C1210" t="s">
        <v>1936</v>
      </c>
      <c r="D1210" t="s">
        <v>3917</v>
      </c>
      <c r="F1210">
        <v>358</v>
      </c>
      <c r="G1210">
        <v>65</v>
      </c>
      <c r="H1210" t="s">
        <v>662</v>
      </c>
      <c r="I1210" t="s">
        <v>2271</v>
      </c>
      <c r="J1210">
        <v>800000</v>
      </c>
      <c r="K1210">
        <v>2025</v>
      </c>
      <c r="L1210">
        <v>1033260221</v>
      </c>
      <c r="M1210" t="s">
        <v>4059</v>
      </c>
      <c r="N1210" t="s">
        <v>1688</v>
      </c>
      <c r="O1210" t="s">
        <v>1686</v>
      </c>
      <c r="P1210">
        <v>0</v>
      </c>
      <c r="Q1210">
        <v>800000</v>
      </c>
      <c r="R1210">
        <v>0</v>
      </c>
      <c r="S1210">
        <v>0</v>
      </c>
      <c r="T1210" t="str">
        <f t="shared" si="36"/>
        <v>6392.43.4302.85.0-205128.2.3.3.08.06.</v>
      </c>
      <c r="U1210" t="e" cm="1">
        <f t="array" aca="1" ref="U1210" ca="1">+IF(COMPROMISOS_2025[[#This Row],[P]]="20","41080111",_xlfn.XLOOKUP(COMPROMISOS_2025[[#This Row],[concatenado]],PAA[[#All],[RCP-RUBRO]],PAA[[#All],[INDICADOR]],"",0))</f>
        <v>#NAME?</v>
      </c>
      <c r="V1210" s="144" t="str">
        <f t="shared" si="37"/>
        <v>85</v>
      </c>
      <c r="W1210" s="136">
        <f>+COMPROMISOS_2025[[#This Row],[valor_total]]-COMPROMISOS_2025[[#This Row],[total_cancelado]]</f>
        <v>800000</v>
      </c>
      <c r="X1210" s="136">
        <f>COMPROMISOS_2025[[#This Row],[total_ordenes]]</f>
        <v>800000</v>
      </c>
      <c r="Y1210" t="str" cm="1">
        <f t="array" aca="1" ref="Y1210" ca="1">IFERROR(_xlfn.XLOOKUP(COMPROMISOS_2025[[#This Row],[concatenado]],PAA[[#All],[RCP-RUBRO]],PAA[[#All],[Actividad3]],VLOOKUP(COMPROMISOS_2025[[#This Row],[Indicador Principal]],$AC$2:$AD$17,2,0),0),"")</f>
        <v/>
      </c>
    </row>
    <row r="1211" spans="1:25" hidden="1" x14ac:dyDescent="0.25">
      <c r="A1211">
        <v>640</v>
      </c>
      <c r="B1211" t="s">
        <v>3916</v>
      </c>
      <c r="C1211" t="s">
        <v>1936</v>
      </c>
      <c r="D1211" t="s">
        <v>3917</v>
      </c>
      <c r="F1211">
        <v>358</v>
      </c>
      <c r="G1211">
        <v>65</v>
      </c>
      <c r="H1211" t="s">
        <v>662</v>
      </c>
      <c r="I1211" t="s">
        <v>2271</v>
      </c>
      <c r="J1211">
        <v>500000</v>
      </c>
      <c r="K1211">
        <v>2025</v>
      </c>
      <c r="L1211">
        <v>1033426095</v>
      </c>
      <c r="M1211" t="s">
        <v>4060</v>
      </c>
      <c r="N1211" t="s">
        <v>1688</v>
      </c>
      <c r="O1211" t="s">
        <v>1686</v>
      </c>
      <c r="P1211">
        <v>0</v>
      </c>
      <c r="Q1211">
        <v>500000</v>
      </c>
      <c r="R1211">
        <v>0</v>
      </c>
      <c r="S1211">
        <v>0</v>
      </c>
      <c r="T1211" t="str">
        <f t="shared" si="36"/>
        <v>6402.43.4302.85.0-205128.2.3.3.08.06.</v>
      </c>
      <c r="U1211" t="e" cm="1">
        <f t="array" aca="1" ref="U1211" ca="1">+IF(COMPROMISOS_2025[[#This Row],[P]]="20","41080111",_xlfn.XLOOKUP(COMPROMISOS_2025[[#This Row],[concatenado]],PAA[[#All],[RCP-RUBRO]],PAA[[#All],[INDICADOR]],"",0))</f>
        <v>#NAME?</v>
      </c>
      <c r="V1211" s="144" t="str">
        <f t="shared" si="37"/>
        <v>85</v>
      </c>
      <c r="W1211" s="136">
        <f>+COMPROMISOS_2025[[#This Row],[valor_total]]-COMPROMISOS_2025[[#This Row],[total_cancelado]]</f>
        <v>500000</v>
      </c>
      <c r="X1211" s="136">
        <f>COMPROMISOS_2025[[#This Row],[total_ordenes]]</f>
        <v>500000</v>
      </c>
      <c r="Y1211" t="str" cm="1">
        <f t="array" aca="1" ref="Y1211" ca="1">IFERROR(_xlfn.XLOOKUP(COMPROMISOS_2025[[#This Row],[concatenado]],PAA[[#All],[RCP-RUBRO]],PAA[[#All],[Actividad3]],VLOOKUP(COMPROMISOS_2025[[#This Row],[Indicador Principal]],$AC$2:$AD$17,2,0),0),"")</f>
        <v/>
      </c>
    </row>
    <row r="1212" spans="1:25" hidden="1" x14ac:dyDescent="0.25">
      <c r="A1212">
        <v>641</v>
      </c>
      <c r="B1212" t="s">
        <v>3916</v>
      </c>
      <c r="C1212" t="s">
        <v>1936</v>
      </c>
      <c r="D1212" t="s">
        <v>3917</v>
      </c>
      <c r="F1212">
        <v>358</v>
      </c>
      <c r="G1212">
        <v>65</v>
      </c>
      <c r="H1212" t="s">
        <v>662</v>
      </c>
      <c r="I1212" t="s">
        <v>2271</v>
      </c>
      <c r="J1212">
        <v>500000</v>
      </c>
      <c r="K1212">
        <v>2025</v>
      </c>
      <c r="L1212">
        <v>1033646308</v>
      </c>
      <c r="M1212" t="s">
        <v>4061</v>
      </c>
      <c r="N1212" t="s">
        <v>1688</v>
      </c>
      <c r="O1212" t="s">
        <v>1686</v>
      </c>
      <c r="P1212">
        <v>0</v>
      </c>
      <c r="Q1212">
        <v>500000</v>
      </c>
      <c r="R1212">
        <v>0</v>
      </c>
      <c r="S1212">
        <v>0</v>
      </c>
      <c r="T1212" t="str">
        <f t="shared" si="36"/>
        <v>6412.43.4302.85.0-205128.2.3.3.08.06.</v>
      </c>
      <c r="U1212" t="e" cm="1">
        <f t="array" aca="1" ref="U1212" ca="1">+IF(COMPROMISOS_2025[[#This Row],[P]]="20","41080111",_xlfn.XLOOKUP(COMPROMISOS_2025[[#This Row],[concatenado]],PAA[[#All],[RCP-RUBRO]],PAA[[#All],[INDICADOR]],"",0))</f>
        <v>#NAME?</v>
      </c>
      <c r="V1212" s="144" t="str">
        <f t="shared" si="37"/>
        <v>85</v>
      </c>
      <c r="W1212" s="136">
        <f>+COMPROMISOS_2025[[#This Row],[valor_total]]-COMPROMISOS_2025[[#This Row],[total_cancelado]]</f>
        <v>500000</v>
      </c>
      <c r="X1212" s="136">
        <f>COMPROMISOS_2025[[#This Row],[total_ordenes]]</f>
        <v>500000</v>
      </c>
      <c r="Y1212" t="str" cm="1">
        <f t="array" aca="1" ref="Y1212" ca="1">IFERROR(_xlfn.XLOOKUP(COMPROMISOS_2025[[#This Row],[concatenado]],PAA[[#All],[RCP-RUBRO]],PAA[[#All],[Actividad3]],VLOOKUP(COMPROMISOS_2025[[#This Row],[Indicador Principal]],$AC$2:$AD$17,2,0),0),"")</f>
        <v/>
      </c>
    </row>
    <row r="1213" spans="1:25" hidden="1" x14ac:dyDescent="0.25">
      <c r="A1213">
        <v>642</v>
      </c>
      <c r="B1213" t="s">
        <v>3916</v>
      </c>
      <c r="C1213" t="s">
        <v>1936</v>
      </c>
      <c r="D1213" t="s">
        <v>3917</v>
      </c>
      <c r="F1213">
        <v>358</v>
      </c>
      <c r="G1213">
        <v>65</v>
      </c>
      <c r="H1213" t="s">
        <v>662</v>
      </c>
      <c r="I1213" t="s">
        <v>2271</v>
      </c>
      <c r="J1213">
        <v>500000</v>
      </c>
      <c r="K1213">
        <v>2025</v>
      </c>
      <c r="L1213">
        <v>1034987017</v>
      </c>
      <c r="M1213" t="s">
        <v>4062</v>
      </c>
      <c r="N1213" t="s">
        <v>1688</v>
      </c>
      <c r="O1213" t="s">
        <v>1686</v>
      </c>
      <c r="P1213">
        <v>0</v>
      </c>
      <c r="Q1213">
        <v>500000</v>
      </c>
      <c r="R1213">
        <v>0</v>
      </c>
      <c r="S1213">
        <v>0</v>
      </c>
      <c r="T1213" t="str">
        <f t="shared" si="36"/>
        <v>6422.43.4302.85.0-205128.2.3.3.08.06.</v>
      </c>
      <c r="U1213" t="e" cm="1">
        <f t="array" aca="1" ref="U1213" ca="1">+IF(COMPROMISOS_2025[[#This Row],[P]]="20","41080111",_xlfn.XLOOKUP(COMPROMISOS_2025[[#This Row],[concatenado]],PAA[[#All],[RCP-RUBRO]],PAA[[#All],[INDICADOR]],"",0))</f>
        <v>#NAME?</v>
      </c>
      <c r="V1213" s="144" t="str">
        <f t="shared" si="37"/>
        <v>85</v>
      </c>
      <c r="W1213" s="136">
        <f>+COMPROMISOS_2025[[#This Row],[valor_total]]-COMPROMISOS_2025[[#This Row],[total_cancelado]]</f>
        <v>500000</v>
      </c>
      <c r="X1213" s="136">
        <f>COMPROMISOS_2025[[#This Row],[total_ordenes]]</f>
        <v>500000</v>
      </c>
      <c r="Y1213" t="str" cm="1">
        <f t="array" aca="1" ref="Y1213" ca="1">IFERROR(_xlfn.XLOOKUP(COMPROMISOS_2025[[#This Row],[concatenado]],PAA[[#All],[RCP-RUBRO]],PAA[[#All],[Actividad3]],VLOOKUP(COMPROMISOS_2025[[#This Row],[Indicador Principal]],$AC$2:$AD$17,2,0),0),"")</f>
        <v/>
      </c>
    </row>
    <row r="1214" spans="1:25" hidden="1" x14ac:dyDescent="0.25">
      <c r="A1214">
        <v>643</v>
      </c>
      <c r="B1214" t="s">
        <v>3916</v>
      </c>
      <c r="C1214" t="s">
        <v>1936</v>
      </c>
      <c r="D1214" t="s">
        <v>3917</v>
      </c>
      <c r="F1214">
        <v>358</v>
      </c>
      <c r="G1214">
        <v>65</v>
      </c>
      <c r="H1214" t="s">
        <v>662</v>
      </c>
      <c r="I1214" t="s">
        <v>2271</v>
      </c>
      <c r="J1214">
        <v>500000</v>
      </c>
      <c r="K1214">
        <v>2025</v>
      </c>
      <c r="L1214">
        <v>1034987578</v>
      </c>
      <c r="M1214" t="s">
        <v>3749</v>
      </c>
      <c r="N1214" t="s">
        <v>1688</v>
      </c>
      <c r="O1214" t="s">
        <v>1686</v>
      </c>
      <c r="P1214">
        <v>0</v>
      </c>
      <c r="Q1214">
        <v>500000</v>
      </c>
      <c r="R1214">
        <v>0</v>
      </c>
      <c r="S1214">
        <v>0</v>
      </c>
      <c r="T1214" t="str">
        <f t="shared" si="36"/>
        <v>6432.43.4302.85.0-205128.2.3.3.08.06.</v>
      </c>
      <c r="U1214" t="e" cm="1">
        <f t="array" aca="1" ref="U1214" ca="1">+IF(COMPROMISOS_2025[[#This Row],[P]]="20","41080111",_xlfn.XLOOKUP(COMPROMISOS_2025[[#This Row],[concatenado]],PAA[[#All],[RCP-RUBRO]],PAA[[#All],[INDICADOR]],"",0))</f>
        <v>#NAME?</v>
      </c>
      <c r="V1214" s="144" t="str">
        <f t="shared" si="37"/>
        <v>85</v>
      </c>
      <c r="W1214" s="136">
        <f>+COMPROMISOS_2025[[#This Row],[valor_total]]-COMPROMISOS_2025[[#This Row],[total_cancelado]]</f>
        <v>500000</v>
      </c>
      <c r="X1214" s="136">
        <f>COMPROMISOS_2025[[#This Row],[total_ordenes]]</f>
        <v>500000</v>
      </c>
      <c r="Y1214" t="str" cm="1">
        <f t="array" aca="1" ref="Y1214" ca="1">IFERROR(_xlfn.XLOOKUP(COMPROMISOS_2025[[#This Row],[concatenado]],PAA[[#All],[RCP-RUBRO]],PAA[[#All],[Actividad3]],VLOOKUP(COMPROMISOS_2025[[#This Row],[Indicador Principal]],$AC$2:$AD$17,2,0),0),"")</f>
        <v/>
      </c>
    </row>
    <row r="1215" spans="1:25" hidden="1" x14ac:dyDescent="0.25">
      <c r="A1215">
        <v>644</v>
      </c>
      <c r="B1215" t="s">
        <v>3916</v>
      </c>
      <c r="C1215" t="s">
        <v>1936</v>
      </c>
      <c r="D1215" t="s">
        <v>3917</v>
      </c>
      <c r="F1215">
        <v>358</v>
      </c>
      <c r="G1215">
        <v>65</v>
      </c>
      <c r="H1215" t="s">
        <v>662</v>
      </c>
      <c r="I1215" t="s">
        <v>2271</v>
      </c>
      <c r="J1215">
        <v>500000</v>
      </c>
      <c r="K1215">
        <v>2025</v>
      </c>
      <c r="L1215">
        <v>1034988595</v>
      </c>
      <c r="M1215" t="s">
        <v>4063</v>
      </c>
      <c r="N1215" t="s">
        <v>1688</v>
      </c>
      <c r="O1215" t="s">
        <v>1686</v>
      </c>
      <c r="P1215">
        <v>0</v>
      </c>
      <c r="Q1215">
        <v>500000</v>
      </c>
      <c r="R1215">
        <v>0</v>
      </c>
      <c r="S1215">
        <v>0</v>
      </c>
      <c r="T1215" t="str">
        <f t="shared" si="36"/>
        <v>6442.43.4302.85.0-205128.2.3.3.08.06.</v>
      </c>
      <c r="U1215" t="e" cm="1">
        <f t="array" aca="1" ref="U1215" ca="1">+IF(COMPROMISOS_2025[[#This Row],[P]]="20","41080111",_xlfn.XLOOKUP(COMPROMISOS_2025[[#This Row],[concatenado]],PAA[[#All],[RCP-RUBRO]],PAA[[#All],[INDICADOR]],"",0))</f>
        <v>#NAME?</v>
      </c>
      <c r="V1215" s="144" t="str">
        <f t="shared" si="37"/>
        <v>85</v>
      </c>
      <c r="W1215" s="136">
        <f>+COMPROMISOS_2025[[#This Row],[valor_total]]-COMPROMISOS_2025[[#This Row],[total_cancelado]]</f>
        <v>500000</v>
      </c>
      <c r="X1215" s="136">
        <f>COMPROMISOS_2025[[#This Row],[total_ordenes]]</f>
        <v>500000</v>
      </c>
      <c r="Y1215" t="str" cm="1">
        <f t="array" aca="1" ref="Y1215" ca="1">IFERROR(_xlfn.XLOOKUP(COMPROMISOS_2025[[#This Row],[concatenado]],PAA[[#All],[RCP-RUBRO]],PAA[[#All],[Actividad3]],VLOOKUP(COMPROMISOS_2025[[#This Row],[Indicador Principal]],$AC$2:$AD$17,2,0),0),"")</f>
        <v/>
      </c>
    </row>
    <row r="1216" spans="1:25" hidden="1" x14ac:dyDescent="0.25">
      <c r="A1216">
        <v>645</v>
      </c>
      <c r="B1216" t="s">
        <v>3916</v>
      </c>
      <c r="C1216" t="s">
        <v>1936</v>
      </c>
      <c r="D1216" t="s">
        <v>3917</v>
      </c>
      <c r="F1216">
        <v>358</v>
      </c>
      <c r="G1216">
        <v>65</v>
      </c>
      <c r="H1216" t="s">
        <v>662</v>
      </c>
      <c r="I1216" t="s">
        <v>2271</v>
      </c>
      <c r="J1216">
        <v>500000</v>
      </c>
      <c r="K1216">
        <v>2025</v>
      </c>
      <c r="L1216">
        <v>1035066840</v>
      </c>
      <c r="M1216" t="s">
        <v>3760</v>
      </c>
      <c r="N1216" t="s">
        <v>1688</v>
      </c>
      <c r="O1216" t="s">
        <v>1686</v>
      </c>
      <c r="P1216">
        <v>0</v>
      </c>
      <c r="Q1216">
        <v>500000</v>
      </c>
      <c r="R1216">
        <v>0</v>
      </c>
      <c r="S1216">
        <v>0</v>
      </c>
      <c r="T1216" t="str">
        <f t="shared" si="36"/>
        <v>6452.43.4302.85.0-205128.2.3.3.08.06.</v>
      </c>
      <c r="U1216" t="e" cm="1">
        <f t="array" aca="1" ref="U1216" ca="1">+IF(COMPROMISOS_2025[[#This Row],[P]]="20","41080111",_xlfn.XLOOKUP(COMPROMISOS_2025[[#This Row],[concatenado]],PAA[[#All],[RCP-RUBRO]],PAA[[#All],[INDICADOR]],"",0))</f>
        <v>#NAME?</v>
      </c>
      <c r="V1216" s="144" t="str">
        <f t="shared" si="37"/>
        <v>85</v>
      </c>
      <c r="W1216" s="136">
        <f>+COMPROMISOS_2025[[#This Row],[valor_total]]-COMPROMISOS_2025[[#This Row],[total_cancelado]]</f>
        <v>500000</v>
      </c>
      <c r="X1216" s="136">
        <f>COMPROMISOS_2025[[#This Row],[total_ordenes]]</f>
        <v>500000</v>
      </c>
      <c r="Y1216" t="str" cm="1">
        <f t="array" aca="1" ref="Y1216" ca="1">IFERROR(_xlfn.XLOOKUP(COMPROMISOS_2025[[#This Row],[concatenado]],PAA[[#All],[RCP-RUBRO]],PAA[[#All],[Actividad3]],VLOOKUP(COMPROMISOS_2025[[#This Row],[Indicador Principal]],$AC$2:$AD$17,2,0),0),"")</f>
        <v/>
      </c>
    </row>
    <row r="1217" spans="1:25" hidden="1" x14ac:dyDescent="0.25">
      <c r="A1217">
        <v>646</v>
      </c>
      <c r="B1217" t="s">
        <v>3916</v>
      </c>
      <c r="C1217" t="s">
        <v>1936</v>
      </c>
      <c r="D1217" t="s">
        <v>3917</v>
      </c>
      <c r="F1217">
        <v>358</v>
      </c>
      <c r="G1217">
        <v>65</v>
      </c>
      <c r="H1217" t="s">
        <v>662</v>
      </c>
      <c r="I1217" t="s">
        <v>2271</v>
      </c>
      <c r="J1217">
        <v>1300000</v>
      </c>
      <c r="K1217">
        <v>2025</v>
      </c>
      <c r="L1217">
        <v>1035642460</v>
      </c>
      <c r="M1217" t="s">
        <v>4064</v>
      </c>
      <c r="N1217" t="s">
        <v>1688</v>
      </c>
      <c r="O1217" t="s">
        <v>1686</v>
      </c>
      <c r="P1217">
        <v>0</v>
      </c>
      <c r="Q1217">
        <v>1300000</v>
      </c>
      <c r="R1217">
        <v>0</v>
      </c>
      <c r="S1217">
        <v>0</v>
      </c>
      <c r="T1217" t="str">
        <f t="shared" si="36"/>
        <v>6462.43.4302.85.0-205128.2.3.3.08.06.</v>
      </c>
      <c r="U1217" t="e" cm="1">
        <f t="array" aca="1" ref="U1217" ca="1">+IF(COMPROMISOS_2025[[#This Row],[P]]="20","41080111",_xlfn.XLOOKUP(COMPROMISOS_2025[[#This Row],[concatenado]],PAA[[#All],[RCP-RUBRO]],PAA[[#All],[INDICADOR]],"",0))</f>
        <v>#NAME?</v>
      </c>
      <c r="V1217" s="144" t="str">
        <f t="shared" si="37"/>
        <v>85</v>
      </c>
      <c r="W1217" s="136">
        <f>+COMPROMISOS_2025[[#This Row],[valor_total]]-COMPROMISOS_2025[[#This Row],[total_cancelado]]</f>
        <v>1300000</v>
      </c>
      <c r="X1217" s="136">
        <f>COMPROMISOS_2025[[#This Row],[total_ordenes]]</f>
        <v>1300000</v>
      </c>
      <c r="Y1217" t="str" cm="1">
        <f t="array" aca="1" ref="Y1217" ca="1">IFERROR(_xlfn.XLOOKUP(COMPROMISOS_2025[[#This Row],[concatenado]],PAA[[#All],[RCP-RUBRO]],PAA[[#All],[Actividad3]],VLOOKUP(COMPROMISOS_2025[[#This Row],[Indicador Principal]],$AC$2:$AD$17,2,0),0),"")</f>
        <v/>
      </c>
    </row>
    <row r="1218" spans="1:25" hidden="1" x14ac:dyDescent="0.25">
      <c r="A1218">
        <v>647</v>
      </c>
      <c r="B1218" t="s">
        <v>3916</v>
      </c>
      <c r="C1218" t="s">
        <v>1936</v>
      </c>
      <c r="D1218" t="s">
        <v>3917</v>
      </c>
      <c r="F1218">
        <v>358</v>
      </c>
      <c r="G1218">
        <v>65</v>
      </c>
      <c r="H1218" t="s">
        <v>662</v>
      </c>
      <c r="I1218" t="s">
        <v>2271</v>
      </c>
      <c r="J1218">
        <v>1000000</v>
      </c>
      <c r="K1218">
        <v>2025</v>
      </c>
      <c r="L1218">
        <v>1035878289</v>
      </c>
      <c r="M1218" t="s">
        <v>4065</v>
      </c>
      <c r="N1218" t="s">
        <v>1688</v>
      </c>
      <c r="O1218" t="s">
        <v>1686</v>
      </c>
      <c r="P1218">
        <v>0</v>
      </c>
      <c r="Q1218">
        <v>1000000</v>
      </c>
      <c r="R1218">
        <v>0</v>
      </c>
      <c r="S1218">
        <v>0</v>
      </c>
      <c r="T1218" t="str">
        <f t="shared" ref="T1218:T1281" si="38">IF(A1218&gt;=0,CONCATENATE(A1218,H1218),"")</f>
        <v>6472.43.4302.85.0-205128.2.3.3.08.06.</v>
      </c>
      <c r="U1218" t="e" cm="1">
        <f t="array" aca="1" ref="U1218" ca="1">+IF(COMPROMISOS_2025[[#This Row],[P]]="20","41080111",_xlfn.XLOOKUP(COMPROMISOS_2025[[#This Row],[concatenado]],PAA[[#All],[RCP-RUBRO]],PAA[[#All],[INDICADOR]],"",0))</f>
        <v>#NAME?</v>
      </c>
      <c r="V1218" s="144" t="str">
        <f t="shared" ref="V1218:V1281" si="39">+MID(H1218,11,2)</f>
        <v>85</v>
      </c>
      <c r="W1218" s="136">
        <f>+COMPROMISOS_2025[[#This Row],[valor_total]]-COMPROMISOS_2025[[#This Row],[total_cancelado]]</f>
        <v>1000000</v>
      </c>
      <c r="X1218" s="136">
        <f>COMPROMISOS_2025[[#This Row],[total_ordenes]]</f>
        <v>1000000</v>
      </c>
      <c r="Y1218" t="str" cm="1">
        <f t="array" aca="1" ref="Y1218" ca="1">IFERROR(_xlfn.XLOOKUP(COMPROMISOS_2025[[#This Row],[concatenado]],PAA[[#All],[RCP-RUBRO]],PAA[[#All],[Actividad3]],VLOOKUP(COMPROMISOS_2025[[#This Row],[Indicador Principal]],$AC$2:$AD$17,2,0),0),"")</f>
        <v/>
      </c>
    </row>
    <row r="1219" spans="1:25" hidden="1" x14ac:dyDescent="0.25">
      <c r="A1219">
        <v>648</v>
      </c>
      <c r="B1219" t="s">
        <v>3916</v>
      </c>
      <c r="C1219" t="s">
        <v>1936</v>
      </c>
      <c r="D1219" t="s">
        <v>3917</v>
      </c>
      <c r="F1219">
        <v>358</v>
      </c>
      <c r="G1219">
        <v>65</v>
      </c>
      <c r="H1219" t="s">
        <v>662</v>
      </c>
      <c r="I1219" t="s">
        <v>2271</v>
      </c>
      <c r="J1219">
        <v>500000</v>
      </c>
      <c r="K1219">
        <v>2025</v>
      </c>
      <c r="L1219">
        <v>1035972397</v>
      </c>
      <c r="M1219" t="s">
        <v>4066</v>
      </c>
      <c r="N1219" t="s">
        <v>1688</v>
      </c>
      <c r="O1219" t="s">
        <v>1686</v>
      </c>
      <c r="P1219">
        <v>0</v>
      </c>
      <c r="Q1219">
        <v>500000</v>
      </c>
      <c r="R1219">
        <v>0</v>
      </c>
      <c r="S1219">
        <v>0</v>
      </c>
      <c r="T1219" t="str">
        <f t="shared" si="38"/>
        <v>6482.43.4302.85.0-205128.2.3.3.08.06.</v>
      </c>
      <c r="U1219" t="e" cm="1">
        <f t="array" aca="1" ref="U1219" ca="1">+IF(COMPROMISOS_2025[[#This Row],[P]]="20","41080111",_xlfn.XLOOKUP(COMPROMISOS_2025[[#This Row],[concatenado]],PAA[[#All],[RCP-RUBRO]],PAA[[#All],[INDICADOR]],"",0))</f>
        <v>#NAME?</v>
      </c>
      <c r="V1219" s="144" t="str">
        <f t="shared" si="39"/>
        <v>85</v>
      </c>
      <c r="W1219" s="136">
        <f>+COMPROMISOS_2025[[#This Row],[valor_total]]-COMPROMISOS_2025[[#This Row],[total_cancelado]]</f>
        <v>500000</v>
      </c>
      <c r="X1219" s="136">
        <f>COMPROMISOS_2025[[#This Row],[total_ordenes]]</f>
        <v>500000</v>
      </c>
      <c r="Y1219" t="str" cm="1">
        <f t="array" aca="1" ref="Y1219" ca="1">IFERROR(_xlfn.XLOOKUP(COMPROMISOS_2025[[#This Row],[concatenado]],PAA[[#All],[RCP-RUBRO]],PAA[[#All],[Actividad3]],VLOOKUP(COMPROMISOS_2025[[#This Row],[Indicador Principal]],$AC$2:$AD$17,2,0),0),"")</f>
        <v/>
      </c>
    </row>
    <row r="1220" spans="1:25" hidden="1" x14ac:dyDescent="0.25">
      <c r="A1220">
        <v>649</v>
      </c>
      <c r="B1220" t="s">
        <v>3916</v>
      </c>
      <c r="C1220" t="s">
        <v>1936</v>
      </c>
      <c r="D1220" t="s">
        <v>3917</v>
      </c>
      <c r="F1220">
        <v>358</v>
      </c>
      <c r="G1220">
        <v>65</v>
      </c>
      <c r="H1220" t="s">
        <v>662</v>
      </c>
      <c r="I1220" t="s">
        <v>2271</v>
      </c>
      <c r="J1220">
        <v>800000</v>
      </c>
      <c r="K1220">
        <v>2025</v>
      </c>
      <c r="L1220">
        <v>1035975429</v>
      </c>
      <c r="M1220" t="s">
        <v>4067</v>
      </c>
      <c r="N1220" t="s">
        <v>1688</v>
      </c>
      <c r="O1220" t="s">
        <v>1686</v>
      </c>
      <c r="P1220">
        <v>0</v>
      </c>
      <c r="Q1220">
        <v>800000</v>
      </c>
      <c r="R1220">
        <v>0</v>
      </c>
      <c r="S1220">
        <v>0</v>
      </c>
      <c r="T1220" t="str">
        <f t="shared" si="38"/>
        <v>6492.43.4302.85.0-205128.2.3.3.08.06.</v>
      </c>
      <c r="U1220" t="e" cm="1">
        <f t="array" aca="1" ref="U1220" ca="1">+IF(COMPROMISOS_2025[[#This Row],[P]]="20","41080111",_xlfn.XLOOKUP(COMPROMISOS_2025[[#This Row],[concatenado]],PAA[[#All],[RCP-RUBRO]],PAA[[#All],[INDICADOR]],"",0))</f>
        <v>#NAME?</v>
      </c>
      <c r="V1220" s="144" t="str">
        <f t="shared" si="39"/>
        <v>85</v>
      </c>
      <c r="W1220" s="136">
        <f>+COMPROMISOS_2025[[#This Row],[valor_total]]-COMPROMISOS_2025[[#This Row],[total_cancelado]]</f>
        <v>800000</v>
      </c>
      <c r="X1220" s="136">
        <f>COMPROMISOS_2025[[#This Row],[total_ordenes]]</f>
        <v>800000</v>
      </c>
      <c r="Y1220" t="str" cm="1">
        <f t="array" aca="1" ref="Y1220" ca="1">IFERROR(_xlfn.XLOOKUP(COMPROMISOS_2025[[#This Row],[concatenado]],PAA[[#All],[RCP-RUBRO]],PAA[[#All],[Actividad3]],VLOOKUP(COMPROMISOS_2025[[#This Row],[Indicador Principal]],$AC$2:$AD$17,2,0),0),"")</f>
        <v/>
      </c>
    </row>
    <row r="1221" spans="1:25" hidden="1" x14ac:dyDescent="0.25">
      <c r="A1221">
        <v>650</v>
      </c>
      <c r="B1221" t="s">
        <v>3916</v>
      </c>
      <c r="C1221" t="s">
        <v>1936</v>
      </c>
      <c r="D1221" t="s">
        <v>3917</v>
      </c>
      <c r="F1221">
        <v>358</v>
      </c>
      <c r="G1221">
        <v>65</v>
      </c>
      <c r="H1221" t="s">
        <v>662</v>
      </c>
      <c r="I1221" t="s">
        <v>2271</v>
      </c>
      <c r="J1221">
        <v>1300000</v>
      </c>
      <c r="K1221">
        <v>2025</v>
      </c>
      <c r="L1221">
        <v>1036252405</v>
      </c>
      <c r="M1221" t="s">
        <v>4068</v>
      </c>
      <c r="N1221" t="s">
        <v>1688</v>
      </c>
      <c r="O1221" t="s">
        <v>1686</v>
      </c>
      <c r="P1221">
        <v>0</v>
      </c>
      <c r="Q1221">
        <v>1300000</v>
      </c>
      <c r="R1221">
        <v>0</v>
      </c>
      <c r="S1221">
        <v>0</v>
      </c>
      <c r="T1221" t="str">
        <f t="shared" si="38"/>
        <v>6502.43.4302.85.0-205128.2.3.3.08.06.</v>
      </c>
      <c r="U1221" t="e" cm="1">
        <f t="array" aca="1" ref="U1221" ca="1">+IF(COMPROMISOS_2025[[#This Row],[P]]="20","41080111",_xlfn.XLOOKUP(COMPROMISOS_2025[[#This Row],[concatenado]],PAA[[#All],[RCP-RUBRO]],PAA[[#All],[INDICADOR]],"",0))</f>
        <v>#NAME?</v>
      </c>
      <c r="V1221" s="144" t="str">
        <f t="shared" si="39"/>
        <v>85</v>
      </c>
      <c r="W1221" s="136">
        <f>+COMPROMISOS_2025[[#This Row],[valor_total]]-COMPROMISOS_2025[[#This Row],[total_cancelado]]</f>
        <v>1300000</v>
      </c>
      <c r="X1221" s="136">
        <f>COMPROMISOS_2025[[#This Row],[total_ordenes]]</f>
        <v>1300000</v>
      </c>
      <c r="Y1221" t="str" cm="1">
        <f t="array" aca="1" ref="Y1221" ca="1">IFERROR(_xlfn.XLOOKUP(COMPROMISOS_2025[[#This Row],[concatenado]],PAA[[#All],[RCP-RUBRO]],PAA[[#All],[Actividad3]],VLOOKUP(COMPROMISOS_2025[[#This Row],[Indicador Principal]],$AC$2:$AD$17,2,0),0),"")</f>
        <v/>
      </c>
    </row>
    <row r="1222" spans="1:25" hidden="1" x14ac:dyDescent="0.25">
      <c r="A1222">
        <v>651</v>
      </c>
      <c r="B1222" t="s">
        <v>3916</v>
      </c>
      <c r="C1222" t="s">
        <v>1936</v>
      </c>
      <c r="D1222" t="s">
        <v>3917</v>
      </c>
      <c r="F1222">
        <v>358</v>
      </c>
      <c r="G1222">
        <v>65</v>
      </c>
      <c r="H1222" t="s">
        <v>662</v>
      </c>
      <c r="I1222" t="s">
        <v>2271</v>
      </c>
      <c r="J1222">
        <v>500000</v>
      </c>
      <c r="K1222">
        <v>2025</v>
      </c>
      <c r="L1222">
        <v>1036254662</v>
      </c>
      <c r="M1222" t="s">
        <v>4069</v>
      </c>
      <c r="N1222" t="s">
        <v>1688</v>
      </c>
      <c r="O1222" t="s">
        <v>1686</v>
      </c>
      <c r="P1222">
        <v>0</v>
      </c>
      <c r="Q1222">
        <v>500000</v>
      </c>
      <c r="R1222">
        <v>0</v>
      </c>
      <c r="S1222">
        <v>0</v>
      </c>
      <c r="T1222" t="str">
        <f t="shared" si="38"/>
        <v>6512.43.4302.85.0-205128.2.3.3.08.06.</v>
      </c>
      <c r="U1222" t="e" cm="1">
        <f t="array" aca="1" ref="U1222" ca="1">+IF(COMPROMISOS_2025[[#This Row],[P]]="20","41080111",_xlfn.XLOOKUP(COMPROMISOS_2025[[#This Row],[concatenado]],PAA[[#All],[RCP-RUBRO]],PAA[[#All],[INDICADOR]],"",0))</f>
        <v>#NAME?</v>
      </c>
      <c r="V1222" s="144" t="str">
        <f t="shared" si="39"/>
        <v>85</v>
      </c>
      <c r="W1222" s="136">
        <f>+COMPROMISOS_2025[[#This Row],[valor_total]]-COMPROMISOS_2025[[#This Row],[total_cancelado]]</f>
        <v>500000</v>
      </c>
      <c r="X1222" s="136">
        <f>COMPROMISOS_2025[[#This Row],[total_ordenes]]</f>
        <v>500000</v>
      </c>
      <c r="Y1222" t="str" cm="1">
        <f t="array" aca="1" ref="Y1222" ca="1">IFERROR(_xlfn.XLOOKUP(COMPROMISOS_2025[[#This Row],[concatenado]],PAA[[#All],[RCP-RUBRO]],PAA[[#All],[Actividad3]],VLOOKUP(COMPROMISOS_2025[[#This Row],[Indicador Principal]],$AC$2:$AD$17,2,0),0),"")</f>
        <v/>
      </c>
    </row>
    <row r="1223" spans="1:25" hidden="1" x14ac:dyDescent="0.25">
      <c r="A1223">
        <v>652</v>
      </c>
      <c r="B1223" t="s">
        <v>3916</v>
      </c>
      <c r="C1223" t="s">
        <v>1936</v>
      </c>
      <c r="D1223" t="s">
        <v>3917</v>
      </c>
      <c r="F1223">
        <v>358</v>
      </c>
      <c r="G1223">
        <v>65</v>
      </c>
      <c r="H1223" t="s">
        <v>662</v>
      </c>
      <c r="I1223" t="s">
        <v>2271</v>
      </c>
      <c r="J1223">
        <v>1300000</v>
      </c>
      <c r="K1223">
        <v>2025</v>
      </c>
      <c r="L1223">
        <v>1036402172</v>
      </c>
      <c r="M1223" t="s">
        <v>4070</v>
      </c>
      <c r="N1223" t="s">
        <v>1688</v>
      </c>
      <c r="O1223" t="s">
        <v>1686</v>
      </c>
      <c r="P1223">
        <v>0</v>
      </c>
      <c r="Q1223">
        <v>1300000</v>
      </c>
      <c r="R1223">
        <v>0</v>
      </c>
      <c r="S1223">
        <v>0</v>
      </c>
      <c r="T1223" t="str">
        <f t="shared" si="38"/>
        <v>6522.43.4302.85.0-205128.2.3.3.08.06.</v>
      </c>
      <c r="U1223" t="e" cm="1">
        <f t="array" aca="1" ref="U1223" ca="1">+IF(COMPROMISOS_2025[[#This Row],[P]]="20","41080111",_xlfn.XLOOKUP(COMPROMISOS_2025[[#This Row],[concatenado]],PAA[[#All],[RCP-RUBRO]],PAA[[#All],[INDICADOR]],"",0))</f>
        <v>#NAME?</v>
      </c>
      <c r="V1223" s="144" t="str">
        <f t="shared" si="39"/>
        <v>85</v>
      </c>
      <c r="W1223" s="136">
        <f>+COMPROMISOS_2025[[#This Row],[valor_total]]-COMPROMISOS_2025[[#This Row],[total_cancelado]]</f>
        <v>1300000</v>
      </c>
      <c r="X1223" s="136">
        <f>COMPROMISOS_2025[[#This Row],[total_ordenes]]</f>
        <v>1300000</v>
      </c>
      <c r="Y1223" t="str" cm="1">
        <f t="array" aca="1" ref="Y1223" ca="1">IFERROR(_xlfn.XLOOKUP(COMPROMISOS_2025[[#This Row],[concatenado]],PAA[[#All],[RCP-RUBRO]],PAA[[#All],[Actividad3]],VLOOKUP(COMPROMISOS_2025[[#This Row],[Indicador Principal]],$AC$2:$AD$17,2,0),0),"")</f>
        <v/>
      </c>
    </row>
    <row r="1224" spans="1:25" hidden="1" x14ac:dyDescent="0.25">
      <c r="A1224">
        <v>653</v>
      </c>
      <c r="B1224" t="s">
        <v>3916</v>
      </c>
      <c r="C1224" t="s">
        <v>1936</v>
      </c>
      <c r="D1224" t="s">
        <v>3917</v>
      </c>
      <c r="F1224">
        <v>358</v>
      </c>
      <c r="G1224">
        <v>65</v>
      </c>
      <c r="H1224" t="s">
        <v>662</v>
      </c>
      <c r="I1224" t="s">
        <v>2271</v>
      </c>
      <c r="J1224">
        <v>500000</v>
      </c>
      <c r="K1224">
        <v>2025</v>
      </c>
      <c r="L1224">
        <v>1036449496</v>
      </c>
      <c r="M1224" t="s">
        <v>4071</v>
      </c>
      <c r="N1224" t="s">
        <v>1688</v>
      </c>
      <c r="O1224" t="s">
        <v>1686</v>
      </c>
      <c r="P1224">
        <v>0</v>
      </c>
      <c r="Q1224">
        <v>500000</v>
      </c>
      <c r="R1224">
        <v>0</v>
      </c>
      <c r="S1224">
        <v>0</v>
      </c>
      <c r="T1224" t="str">
        <f t="shared" si="38"/>
        <v>6532.43.4302.85.0-205128.2.3.3.08.06.</v>
      </c>
      <c r="U1224" t="e" cm="1">
        <f t="array" aca="1" ref="U1224" ca="1">+IF(COMPROMISOS_2025[[#This Row],[P]]="20","41080111",_xlfn.XLOOKUP(COMPROMISOS_2025[[#This Row],[concatenado]],PAA[[#All],[RCP-RUBRO]],PAA[[#All],[INDICADOR]],"",0))</f>
        <v>#NAME?</v>
      </c>
      <c r="V1224" s="144" t="str">
        <f t="shared" si="39"/>
        <v>85</v>
      </c>
      <c r="W1224" s="136">
        <f>+COMPROMISOS_2025[[#This Row],[valor_total]]-COMPROMISOS_2025[[#This Row],[total_cancelado]]</f>
        <v>500000</v>
      </c>
      <c r="X1224" s="136">
        <f>COMPROMISOS_2025[[#This Row],[total_ordenes]]</f>
        <v>500000</v>
      </c>
      <c r="Y1224" t="str" cm="1">
        <f t="array" aca="1" ref="Y1224" ca="1">IFERROR(_xlfn.XLOOKUP(COMPROMISOS_2025[[#This Row],[concatenado]],PAA[[#All],[RCP-RUBRO]],PAA[[#All],[Actividad3]],VLOOKUP(COMPROMISOS_2025[[#This Row],[Indicador Principal]],$AC$2:$AD$17,2,0),0),"")</f>
        <v/>
      </c>
    </row>
    <row r="1225" spans="1:25" hidden="1" x14ac:dyDescent="0.25">
      <c r="A1225">
        <v>654</v>
      </c>
      <c r="B1225" t="s">
        <v>3916</v>
      </c>
      <c r="C1225" t="s">
        <v>1936</v>
      </c>
      <c r="D1225" t="s">
        <v>3917</v>
      </c>
      <c r="F1225">
        <v>358</v>
      </c>
      <c r="G1225">
        <v>65</v>
      </c>
      <c r="H1225" t="s">
        <v>662</v>
      </c>
      <c r="I1225" t="s">
        <v>2271</v>
      </c>
      <c r="J1225">
        <v>500000</v>
      </c>
      <c r="K1225">
        <v>2025</v>
      </c>
      <c r="L1225">
        <v>1036452388</v>
      </c>
      <c r="M1225" t="s">
        <v>3781</v>
      </c>
      <c r="N1225" t="s">
        <v>1688</v>
      </c>
      <c r="O1225" t="s">
        <v>1686</v>
      </c>
      <c r="P1225">
        <v>0</v>
      </c>
      <c r="Q1225">
        <v>500000</v>
      </c>
      <c r="R1225">
        <v>0</v>
      </c>
      <c r="S1225">
        <v>0</v>
      </c>
      <c r="T1225" t="str">
        <f t="shared" si="38"/>
        <v>6542.43.4302.85.0-205128.2.3.3.08.06.</v>
      </c>
      <c r="U1225" t="e" cm="1">
        <f t="array" aca="1" ref="U1225" ca="1">+IF(COMPROMISOS_2025[[#This Row],[P]]="20","41080111",_xlfn.XLOOKUP(COMPROMISOS_2025[[#This Row],[concatenado]],PAA[[#All],[RCP-RUBRO]],PAA[[#All],[INDICADOR]],"",0))</f>
        <v>#NAME?</v>
      </c>
      <c r="V1225" s="144" t="str">
        <f t="shared" si="39"/>
        <v>85</v>
      </c>
      <c r="W1225" s="136">
        <f>+COMPROMISOS_2025[[#This Row],[valor_total]]-COMPROMISOS_2025[[#This Row],[total_cancelado]]</f>
        <v>500000</v>
      </c>
      <c r="X1225" s="136">
        <f>COMPROMISOS_2025[[#This Row],[total_ordenes]]</f>
        <v>500000</v>
      </c>
      <c r="Y1225" t="str" cm="1">
        <f t="array" aca="1" ref="Y1225" ca="1">IFERROR(_xlfn.XLOOKUP(COMPROMISOS_2025[[#This Row],[concatenado]],PAA[[#All],[RCP-RUBRO]],PAA[[#All],[Actividad3]],VLOOKUP(COMPROMISOS_2025[[#This Row],[Indicador Principal]],$AC$2:$AD$17,2,0),0),"")</f>
        <v/>
      </c>
    </row>
    <row r="1226" spans="1:25" hidden="1" x14ac:dyDescent="0.25">
      <c r="A1226">
        <v>655</v>
      </c>
      <c r="B1226" t="s">
        <v>3916</v>
      </c>
      <c r="C1226" t="s">
        <v>1936</v>
      </c>
      <c r="D1226" t="s">
        <v>3917</v>
      </c>
      <c r="F1226">
        <v>358</v>
      </c>
      <c r="G1226">
        <v>65</v>
      </c>
      <c r="H1226" t="s">
        <v>662</v>
      </c>
      <c r="I1226" t="s">
        <v>2271</v>
      </c>
      <c r="J1226">
        <v>500000</v>
      </c>
      <c r="K1226">
        <v>2025</v>
      </c>
      <c r="L1226">
        <v>1036635661</v>
      </c>
      <c r="M1226" t="s">
        <v>4072</v>
      </c>
      <c r="N1226" t="s">
        <v>1688</v>
      </c>
      <c r="O1226" t="s">
        <v>1686</v>
      </c>
      <c r="P1226">
        <v>0</v>
      </c>
      <c r="Q1226">
        <v>500000</v>
      </c>
      <c r="R1226">
        <v>0</v>
      </c>
      <c r="S1226">
        <v>0</v>
      </c>
      <c r="T1226" t="str">
        <f t="shared" si="38"/>
        <v>6552.43.4302.85.0-205128.2.3.3.08.06.</v>
      </c>
      <c r="U1226" t="e" cm="1">
        <f t="array" aca="1" ref="U1226" ca="1">+IF(COMPROMISOS_2025[[#This Row],[P]]="20","41080111",_xlfn.XLOOKUP(COMPROMISOS_2025[[#This Row],[concatenado]],PAA[[#All],[RCP-RUBRO]],PAA[[#All],[INDICADOR]],"",0))</f>
        <v>#NAME?</v>
      </c>
      <c r="V1226" s="144" t="str">
        <f t="shared" si="39"/>
        <v>85</v>
      </c>
      <c r="W1226" s="136">
        <f>+COMPROMISOS_2025[[#This Row],[valor_total]]-COMPROMISOS_2025[[#This Row],[total_cancelado]]</f>
        <v>500000</v>
      </c>
      <c r="X1226" s="136">
        <f>COMPROMISOS_2025[[#This Row],[total_ordenes]]</f>
        <v>500000</v>
      </c>
      <c r="Y1226" t="str" cm="1">
        <f t="array" aca="1" ref="Y1226" ca="1">IFERROR(_xlfn.XLOOKUP(COMPROMISOS_2025[[#This Row],[concatenado]],PAA[[#All],[RCP-RUBRO]],PAA[[#All],[Actividad3]],VLOOKUP(COMPROMISOS_2025[[#This Row],[Indicador Principal]],$AC$2:$AD$17,2,0),0),"")</f>
        <v/>
      </c>
    </row>
    <row r="1227" spans="1:25" hidden="1" x14ac:dyDescent="0.25">
      <c r="A1227">
        <v>656</v>
      </c>
      <c r="B1227" t="s">
        <v>3916</v>
      </c>
      <c r="C1227" t="s">
        <v>1936</v>
      </c>
      <c r="D1227" t="s">
        <v>3917</v>
      </c>
      <c r="F1227">
        <v>358</v>
      </c>
      <c r="G1227">
        <v>65</v>
      </c>
      <c r="H1227" t="s">
        <v>662</v>
      </c>
      <c r="I1227" t="s">
        <v>2271</v>
      </c>
      <c r="J1227">
        <v>800000</v>
      </c>
      <c r="K1227">
        <v>2025</v>
      </c>
      <c r="L1227">
        <v>1036671857</v>
      </c>
      <c r="M1227" t="s">
        <v>4073</v>
      </c>
      <c r="N1227" t="s">
        <v>1688</v>
      </c>
      <c r="O1227" t="s">
        <v>1686</v>
      </c>
      <c r="P1227">
        <v>0</v>
      </c>
      <c r="Q1227">
        <v>800000</v>
      </c>
      <c r="R1227">
        <v>0</v>
      </c>
      <c r="S1227">
        <v>0</v>
      </c>
      <c r="T1227" t="str">
        <f t="shared" si="38"/>
        <v>6562.43.4302.85.0-205128.2.3.3.08.06.</v>
      </c>
      <c r="U1227" t="e" cm="1">
        <f t="array" aca="1" ref="U1227" ca="1">+IF(COMPROMISOS_2025[[#This Row],[P]]="20","41080111",_xlfn.XLOOKUP(COMPROMISOS_2025[[#This Row],[concatenado]],PAA[[#All],[RCP-RUBRO]],PAA[[#All],[INDICADOR]],"",0))</f>
        <v>#NAME?</v>
      </c>
      <c r="V1227" s="144" t="str">
        <f t="shared" si="39"/>
        <v>85</v>
      </c>
      <c r="W1227" s="136">
        <f>+COMPROMISOS_2025[[#This Row],[valor_total]]-COMPROMISOS_2025[[#This Row],[total_cancelado]]</f>
        <v>800000</v>
      </c>
      <c r="X1227" s="136">
        <f>COMPROMISOS_2025[[#This Row],[total_ordenes]]</f>
        <v>800000</v>
      </c>
      <c r="Y1227" t="str" cm="1">
        <f t="array" aca="1" ref="Y1227" ca="1">IFERROR(_xlfn.XLOOKUP(COMPROMISOS_2025[[#This Row],[concatenado]],PAA[[#All],[RCP-RUBRO]],PAA[[#All],[Actividad3]],VLOOKUP(COMPROMISOS_2025[[#This Row],[Indicador Principal]],$AC$2:$AD$17,2,0),0),"")</f>
        <v/>
      </c>
    </row>
    <row r="1228" spans="1:25" hidden="1" x14ac:dyDescent="0.25">
      <c r="A1228">
        <v>657</v>
      </c>
      <c r="B1228" t="s">
        <v>3916</v>
      </c>
      <c r="C1228" t="s">
        <v>1936</v>
      </c>
      <c r="D1228" t="s">
        <v>3917</v>
      </c>
      <c r="F1228">
        <v>358</v>
      </c>
      <c r="G1228">
        <v>65</v>
      </c>
      <c r="H1228" t="s">
        <v>662</v>
      </c>
      <c r="I1228" t="s">
        <v>2271</v>
      </c>
      <c r="J1228">
        <v>500000</v>
      </c>
      <c r="K1228">
        <v>2025</v>
      </c>
      <c r="L1228">
        <v>1036671884</v>
      </c>
      <c r="M1228" t="s">
        <v>4074</v>
      </c>
      <c r="N1228" t="s">
        <v>1688</v>
      </c>
      <c r="O1228" t="s">
        <v>1686</v>
      </c>
      <c r="P1228">
        <v>0</v>
      </c>
      <c r="Q1228">
        <v>500000</v>
      </c>
      <c r="R1228">
        <v>0</v>
      </c>
      <c r="S1228">
        <v>0</v>
      </c>
      <c r="T1228" t="str">
        <f t="shared" si="38"/>
        <v>6572.43.4302.85.0-205128.2.3.3.08.06.</v>
      </c>
      <c r="U1228" t="e" cm="1">
        <f t="array" aca="1" ref="U1228" ca="1">+IF(COMPROMISOS_2025[[#This Row],[P]]="20","41080111",_xlfn.XLOOKUP(COMPROMISOS_2025[[#This Row],[concatenado]],PAA[[#All],[RCP-RUBRO]],PAA[[#All],[INDICADOR]],"",0))</f>
        <v>#NAME?</v>
      </c>
      <c r="V1228" s="144" t="str">
        <f t="shared" si="39"/>
        <v>85</v>
      </c>
      <c r="W1228" s="136">
        <f>+COMPROMISOS_2025[[#This Row],[valor_total]]-COMPROMISOS_2025[[#This Row],[total_cancelado]]</f>
        <v>500000</v>
      </c>
      <c r="X1228" s="136">
        <f>COMPROMISOS_2025[[#This Row],[total_ordenes]]</f>
        <v>500000</v>
      </c>
      <c r="Y1228" t="str" cm="1">
        <f t="array" aca="1" ref="Y1228" ca="1">IFERROR(_xlfn.XLOOKUP(COMPROMISOS_2025[[#This Row],[concatenado]],PAA[[#All],[RCP-RUBRO]],PAA[[#All],[Actividad3]],VLOOKUP(COMPROMISOS_2025[[#This Row],[Indicador Principal]],$AC$2:$AD$17,2,0),0),"")</f>
        <v/>
      </c>
    </row>
    <row r="1229" spans="1:25" hidden="1" x14ac:dyDescent="0.25">
      <c r="A1229">
        <v>658</v>
      </c>
      <c r="B1229" t="s">
        <v>3916</v>
      </c>
      <c r="C1229" t="s">
        <v>1936</v>
      </c>
      <c r="D1229" t="s">
        <v>3917</v>
      </c>
      <c r="F1229">
        <v>358</v>
      </c>
      <c r="G1229">
        <v>65</v>
      </c>
      <c r="H1229" t="s">
        <v>662</v>
      </c>
      <c r="I1229" t="s">
        <v>2271</v>
      </c>
      <c r="J1229">
        <v>500000</v>
      </c>
      <c r="K1229">
        <v>2025</v>
      </c>
      <c r="L1229">
        <v>10366860575</v>
      </c>
      <c r="M1229" t="s">
        <v>3213</v>
      </c>
      <c r="N1229" t="s">
        <v>1688</v>
      </c>
      <c r="O1229" t="s">
        <v>1686</v>
      </c>
      <c r="P1229">
        <v>0</v>
      </c>
      <c r="Q1229">
        <v>500000</v>
      </c>
      <c r="R1229">
        <v>0</v>
      </c>
      <c r="S1229">
        <v>0</v>
      </c>
      <c r="T1229" t="str">
        <f t="shared" si="38"/>
        <v>6582.43.4302.85.0-205128.2.3.3.08.06.</v>
      </c>
      <c r="U1229" t="e" cm="1">
        <f t="array" aca="1" ref="U1229" ca="1">+IF(COMPROMISOS_2025[[#This Row],[P]]="20","41080111",_xlfn.XLOOKUP(COMPROMISOS_2025[[#This Row],[concatenado]],PAA[[#All],[RCP-RUBRO]],PAA[[#All],[INDICADOR]],"",0))</f>
        <v>#NAME?</v>
      </c>
      <c r="V1229" s="144" t="str">
        <f t="shared" si="39"/>
        <v>85</v>
      </c>
      <c r="W1229" s="136">
        <f>+COMPROMISOS_2025[[#This Row],[valor_total]]-COMPROMISOS_2025[[#This Row],[total_cancelado]]</f>
        <v>500000</v>
      </c>
      <c r="X1229" s="136">
        <f>COMPROMISOS_2025[[#This Row],[total_ordenes]]</f>
        <v>500000</v>
      </c>
      <c r="Y1229" t="str" cm="1">
        <f t="array" aca="1" ref="Y1229" ca="1">IFERROR(_xlfn.XLOOKUP(COMPROMISOS_2025[[#This Row],[concatenado]],PAA[[#All],[RCP-RUBRO]],PAA[[#All],[Actividad3]],VLOOKUP(COMPROMISOS_2025[[#This Row],[Indicador Principal]],$AC$2:$AD$17,2,0),0),"")</f>
        <v/>
      </c>
    </row>
    <row r="1230" spans="1:25" hidden="1" x14ac:dyDescent="0.25">
      <c r="A1230">
        <v>659</v>
      </c>
      <c r="B1230" t="s">
        <v>3916</v>
      </c>
      <c r="C1230" t="s">
        <v>1936</v>
      </c>
      <c r="D1230" t="s">
        <v>3917</v>
      </c>
      <c r="F1230">
        <v>358</v>
      </c>
      <c r="G1230">
        <v>65</v>
      </c>
      <c r="H1230" t="s">
        <v>662</v>
      </c>
      <c r="I1230" t="s">
        <v>2271</v>
      </c>
      <c r="J1230">
        <v>500000</v>
      </c>
      <c r="K1230">
        <v>2025</v>
      </c>
      <c r="L1230">
        <v>1036864446</v>
      </c>
      <c r="M1230" t="s">
        <v>4075</v>
      </c>
      <c r="N1230" t="s">
        <v>1688</v>
      </c>
      <c r="O1230" t="s">
        <v>1686</v>
      </c>
      <c r="P1230">
        <v>0</v>
      </c>
      <c r="Q1230">
        <v>500000</v>
      </c>
      <c r="R1230">
        <v>0</v>
      </c>
      <c r="S1230">
        <v>0</v>
      </c>
      <c r="T1230" t="str">
        <f t="shared" si="38"/>
        <v>6592.43.4302.85.0-205128.2.3.3.08.06.</v>
      </c>
      <c r="U1230" t="e" cm="1">
        <f t="array" aca="1" ref="U1230" ca="1">+IF(COMPROMISOS_2025[[#This Row],[P]]="20","41080111",_xlfn.XLOOKUP(COMPROMISOS_2025[[#This Row],[concatenado]],PAA[[#All],[RCP-RUBRO]],PAA[[#All],[INDICADOR]],"",0))</f>
        <v>#NAME?</v>
      </c>
      <c r="V1230" s="144" t="str">
        <f t="shared" si="39"/>
        <v>85</v>
      </c>
      <c r="W1230" s="136">
        <f>+COMPROMISOS_2025[[#This Row],[valor_total]]-COMPROMISOS_2025[[#This Row],[total_cancelado]]</f>
        <v>500000</v>
      </c>
      <c r="X1230" s="136">
        <f>COMPROMISOS_2025[[#This Row],[total_ordenes]]</f>
        <v>500000</v>
      </c>
      <c r="Y1230" t="str" cm="1">
        <f t="array" aca="1" ref="Y1230" ca="1">IFERROR(_xlfn.XLOOKUP(COMPROMISOS_2025[[#This Row],[concatenado]],PAA[[#All],[RCP-RUBRO]],PAA[[#All],[Actividad3]],VLOOKUP(COMPROMISOS_2025[[#This Row],[Indicador Principal]],$AC$2:$AD$17,2,0),0),"")</f>
        <v/>
      </c>
    </row>
    <row r="1231" spans="1:25" hidden="1" x14ac:dyDescent="0.25">
      <c r="A1231">
        <v>660</v>
      </c>
      <c r="B1231" t="s">
        <v>3916</v>
      </c>
      <c r="C1231" t="s">
        <v>1936</v>
      </c>
      <c r="D1231" t="s">
        <v>3917</v>
      </c>
      <c r="F1231">
        <v>358</v>
      </c>
      <c r="G1231">
        <v>65</v>
      </c>
      <c r="H1231" t="s">
        <v>662</v>
      </c>
      <c r="I1231" t="s">
        <v>2271</v>
      </c>
      <c r="J1231">
        <v>500000</v>
      </c>
      <c r="K1231">
        <v>2025</v>
      </c>
      <c r="L1231">
        <v>1036934809</v>
      </c>
      <c r="M1231" t="s">
        <v>3786</v>
      </c>
      <c r="N1231" t="s">
        <v>1688</v>
      </c>
      <c r="O1231" t="s">
        <v>1686</v>
      </c>
      <c r="P1231">
        <v>0</v>
      </c>
      <c r="Q1231">
        <v>500000</v>
      </c>
      <c r="R1231">
        <v>0</v>
      </c>
      <c r="S1231">
        <v>0</v>
      </c>
      <c r="T1231" t="str">
        <f t="shared" si="38"/>
        <v>6602.43.4302.85.0-205128.2.3.3.08.06.</v>
      </c>
      <c r="U1231" t="e" cm="1">
        <f t="array" aca="1" ref="U1231" ca="1">+IF(COMPROMISOS_2025[[#This Row],[P]]="20","41080111",_xlfn.XLOOKUP(COMPROMISOS_2025[[#This Row],[concatenado]],PAA[[#All],[RCP-RUBRO]],PAA[[#All],[INDICADOR]],"",0))</f>
        <v>#NAME?</v>
      </c>
      <c r="V1231" s="144" t="str">
        <f t="shared" si="39"/>
        <v>85</v>
      </c>
      <c r="W1231" s="136">
        <f>+COMPROMISOS_2025[[#This Row],[valor_total]]-COMPROMISOS_2025[[#This Row],[total_cancelado]]</f>
        <v>500000</v>
      </c>
      <c r="X1231" s="136">
        <f>COMPROMISOS_2025[[#This Row],[total_ordenes]]</f>
        <v>500000</v>
      </c>
      <c r="Y1231" t="str" cm="1">
        <f t="array" aca="1" ref="Y1231" ca="1">IFERROR(_xlfn.XLOOKUP(COMPROMISOS_2025[[#This Row],[concatenado]],PAA[[#All],[RCP-RUBRO]],PAA[[#All],[Actividad3]],VLOOKUP(COMPROMISOS_2025[[#This Row],[Indicador Principal]],$AC$2:$AD$17,2,0),0),"")</f>
        <v/>
      </c>
    </row>
    <row r="1232" spans="1:25" hidden="1" x14ac:dyDescent="0.25">
      <c r="A1232">
        <v>661</v>
      </c>
      <c r="B1232" t="s">
        <v>3916</v>
      </c>
      <c r="C1232" t="s">
        <v>1936</v>
      </c>
      <c r="D1232" t="s">
        <v>3917</v>
      </c>
      <c r="F1232">
        <v>358</v>
      </c>
      <c r="G1232">
        <v>65</v>
      </c>
      <c r="H1232" t="s">
        <v>662</v>
      </c>
      <c r="I1232" t="s">
        <v>2271</v>
      </c>
      <c r="J1232">
        <v>500000</v>
      </c>
      <c r="K1232">
        <v>2025</v>
      </c>
      <c r="L1232">
        <v>1036944154</v>
      </c>
      <c r="M1232" t="s">
        <v>3788</v>
      </c>
      <c r="N1232" t="s">
        <v>1688</v>
      </c>
      <c r="O1232" t="s">
        <v>1686</v>
      </c>
      <c r="P1232">
        <v>0</v>
      </c>
      <c r="Q1232">
        <v>500000</v>
      </c>
      <c r="R1232">
        <v>0</v>
      </c>
      <c r="S1232">
        <v>0</v>
      </c>
      <c r="T1232" t="str">
        <f t="shared" si="38"/>
        <v>6612.43.4302.85.0-205128.2.3.3.08.06.</v>
      </c>
      <c r="U1232" t="e" cm="1">
        <f t="array" aca="1" ref="U1232" ca="1">+IF(COMPROMISOS_2025[[#This Row],[P]]="20","41080111",_xlfn.XLOOKUP(COMPROMISOS_2025[[#This Row],[concatenado]],PAA[[#All],[RCP-RUBRO]],PAA[[#All],[INDICADOR]],"",0))</f>
        <v>#NAME?</v>
      </c>
      <c r="V1232" s="144" t="str">
        <f t="shared" si="39"/>
        <v>85</v>
      </c>
      <c r="W1232" s="136">
        <f>+COMPROMISOS_2025[[#This Row],[valor_total]]-COMPROMISOS_2025[[#This Row],[total_cancelado]]</f>
        <v>500000</v>
      </c>
      <c r="X1232" s="136">
        <f>COMPROMISOS_2025[[#This Row],[total_ordenes]]</f>
        <v>500000</v>
      </c>
      <c r="Y1232" t="str" cm="1">
        <f t="array" aca="1" ref="Y1232" ca="1">IFERROR(_xlfn.XLOOKUP(COMPROMISOS_2025[[#This Row],[concatenado]],PAA[[#All],[RCP-RUBRO]],PAA[[#All],[Actividad3]],VLOOKUP(COMPROMISOS_2025[[#This Row],[Indicador Principal]],$AC$2:$AD$17,2,0),0),"")</f>
        <v/>
      </c>
    </row>
    <row r="1233" spans="1:25" hidden="1" x14ac:dyDescent="0.25">
      <c r="A1233">
        <v>662</v>
      </c>
      <c r="B1233" t="s">
        <v>3916</v>
      </c>
      <c r="C1233" t="s">
        <v>1936</v>
      </c>
      <c r="D1233" t="s">
        <v>3917</v>
      </c>
      <c r="F1233">
        <v>358</v>
      </c>
      <c r="G1233">
        <v>65</v>
      </c>
      <c r="H1233" t="s">
        <v>662</v>
      </c>
      <c r="I1233" t="s">
        <v>2271</v>
      </c>
      <c r="J1233">
        <v>500000</v>
      </c>
      <c r="K1233">
        <v>2025</v>
      </c>
      <c r="L1233">
        <v>1036955838</v>
      </c>
      <c r="M1233" t="s">
        <v>4076</v>
      </c>
      <c r="N1233" t="s">
        <v>1688</v>
      </c>
      <c r="O1233" t="s">
        <v>1686</v>
      </c>
      <c r="P1233">
        <v>0</v>
      </c>
      <c r="Q1233">
        <v>500000</v>
      </c>
      <c r="R1233">
        <v>0</v>
      </c>
      <c r="S1233">
        <v>0</v>
      </c>
      <c r="T1233" t="str">
        <f t="shared" si="38"/>
        <v>6622.43.4302.85.0-205128.2.3.3.08.06.</v>
      </c>
      <c r="U1233" t="e" cm="1">
        <f t="array" aca="1" ref="U1233" ca="1">+IF(COMPROMISOS_2025[[#This Row],[P]]="20","41080111",_xlfn.XLOOKUP(COMPROMISOS_2025[[#This Row],[concatenado]],PAA[[#All],[RCP-RUBRO]],PAA[[#All],[INDICADOR]],"",0))</f>
        <v>#NAME?</v>
      </c>
      <c r="V1233" s="144" t="str">
        <f t="shared" si="39"/>
        <v>85</v>
      </c>
      <c r="W1233" s="136">
        <f>+COMPROMISOS_2025[[#This Row],[valor_total]]-COMPROMISOS_2025[[#This Row],[total_cancelado]]</f>
        <v>500000</v>
      </c>
      <c r="X1233" s="136">
        <f>COMPROMISOS_2025[[#This Row],[total_ordenes]]</f>
        <v>500000</v>
      </c>
      <c r="Y1233" t="str" cm="1">
        <f t="array" aca="1" ref="Y1233" ca="1">IFERROR(_xlfn.XLOOKUP(COMPROMISOS_2025[[#This Row],[concatenado]],PAA[[#All],[RCP-RUBRO]],PAA[[#All],[Actividad3]],VLOOKUP(COMPROMISOS_2025[[#This Row],[Indicador Principal]],$AC$2:$AD$17,2,0),0),"")</f>
        <v/>
      </c>
    </row>
    <row r="1234" spans="1:25" hidden="1" x14ac:dyDescent="0.25">
      <c r="A1234">
        <v>663</v>
      </c>
      <c r="B1234" t="s">
        <v>3916</v>
      </c>
      <c r="C1234" t="s">
        <v>1936</v>
      </c>
      <c r="D1234" t="s">
        <v>3917</v>
      </c>
      <c r="F1234">
        <v>358</v>
      </c>
      <c r="G1234">
        <v>65</v>
      </c>
      <c r="H1234" t="s">
        <v>662</v>
      </c>
      <c r="I1234" t="s">
        <v>2271</v>
      </c>
      <c r="J1234">
        <v>1300000</v>
      </c>
      <c r="K1234">
        <v>2025</v>
      </c>
      <c r="L1234">
        <v>1036960412</v>
      </c>
      <c r="M1234" t="s">
        <v>4077</v>
      </c>
      <c r="N1234" t="s">
        <v>1688</v>
      </c>
      <c r="O1234" t="s">
        <v>1686</v>
      </c>
      <c r="P1234">
        <v>0</v>
      </c>
      <c r="Q1234">
        <v>1300000</v>
      </c>
      <c r="R1234">
        <v>0</v>
      </c>
      <c r="S1234">
        <v>0</v>
      </c>
      <c r="T1234" t="str">
        <f t="shared" si="38"/>
        <v>6632.43.4302.85.0-205128.2.3.3.08.06.</v>
      </c>
      <c r="U1234" t="e" cm="1">
        <f t="array" aca="1" ref="U1234" ca="1">+IF(COMPROMISOS_2025[[#This Row],[P]]="20","41080111",_xlfn.XLOOKUP(COMPROMISOS_2025[[#This Row],[concatenado]],PAA[[#All],[RCP-RUBRO]],PAA[[#All],[INDICADOR]],"",0))</f>
        <v>#NAME?</v>
      </c>
      <c r="V1234" s="144" t="str">
        <f t="shared" si="39"/>
        <v>85</v>
      </c>
      <c r="W1234" s="136">
        <f>+COMPROMISOS_2025[[#This Row],[valor_total]]-COMPROMISOS_2025[[#This Row],[total_cancelado]]</f>
        <v>1300000</v>
      </c>
      <c r="X1234" s="136">
        <f>COMPROMISOS_2025[[#This Row],[total_ordenes]]</f>
        <v>1300000</v>
      </c>
      <c r="Y1234" t="str" cm="1">
        <f t="array" aca="1" ref="Y1234" ca="1">IFERROR(_xlfn.XLOOKUP(COMPROMISOS_2025[[#This Row],[concatenado]],PAA[[#All],[RCP-RUBRO]],PAA[[#All],[Actividad3]],VLOOKUP(COMPROMISOS_2025[[#This Row],[Indicador Principal]],$AC$2:$AD$17,2,0),0),"")</f>
        <v/>
      </c>
    </row>
    <row r="1235" spans="1:25" hidden="1" x14ac:dyDescent="0.25">
      <c r="A1235">
        <v>664</v>
      </c>
      <c r="B1235" t="s">
        <v>3916</v>
      </c>
      <c r="C1235" t="s">
        <v>1936</v>
      </c>
      <c r="D1235" t="s">
        <v>3917</v>
      </c>
      <c r="F1235">
        <v>358</v>
      </c>
      <c r="G1235">
        <v>65</v>
      </c>
      <c r="H1235" t="s">
        <v>662</v>
      </c>
      <c r="I1235" t="s">
        <v>2271</v>
      </c>
      <c r="J1235">
        <v>500000</v>
      </c>
      <c r="K1235">
        <v>2025</v>
      </c>
      <c r="L1235">
        <v>1037072664</v>
      </c>
      <c r="M1235" t="s">
        <v>4078</v>
      </c>
      <c r="N1235" t="s">
        <v>1688</v>
      </c>
      <c r="O1235" t="s">
        <v>1686</v>
      </c>
      <c r="P1235">
        <v>0</v>
      </c>
      <c r="Q1235">
        <v>500000</v>
      </c>
      <c r="R1235">
        <v>0</v>
      </c>
      <c r="S1235">
        <v>0</v>
      </c>
      <c r="T1235" t="str">
        <f t="shared" si="38"/>
        <v>6642.43.4302.85.0-205128.2.3.3.08.06.</v>
      </c>
      <c r="U1235" t="e" cm="1">
        <f t="array" aca="1" ref="U1235" ca="1">+IF(COMPROMISOS_2025[[#This Row],[P]]="20","41080111",_xlfn.XLOOKUP(COMPROMISOS_2025[[#This Row],[concatenado]],PAA[[#All],[RCP-RUBRO]],PAA[[#All],[INDICADOR]],"",0))</f>
        <v>#NAME?</v>
      </c>
      <c r="V1235" s="144" t="str">
        <f t="shared" si="39"/>
        <v>85</v>
      </c>
      <c r="W1235" s="136">
        <f>+COMPROMISOS_2025[[#This Row],[valor_total]]-COMPROMISOS_2025[[#This Row],[total_cancelado]]</f>
        <v>500000</v>
      </c>
      <c r="X1235" s="136">
        <f>COMPROMISOS_2025[[#This Row],[total_ordenes]]</f>
        <v>500000</v>
      </c>
      <c r="Y1235" t="str" cm="1">
        <f t="array" aca="1" ref="Y1235" ca="1">IFERROR(_xlfn.XLOOKUP(COMPROMISOS_2025[[#This Row],[concatenado]],PAA[[#All],[RCP-RUBRO]],PAA[[#All],[Actividad3]],VLOOKUP(COMPROMISOS_2025[[#This Row],[Indicador Principal]],$AC$2:$AD$17,2,0),0),"")</f>
        <v/>
      </c>
    </row>
    <row r="1236" spans="1:25" hidden="1" x14ac:dyDescent="0.25">
      <c r="A1236">
        <v>665</v>
      </c>
      <c r="B1236" t="s">
        <v>3916</v>
      </c>
      <c r="C1236" t="s">
        <v>1936</v>
      </c>
      <c r="D1236" t="s">
        <v>3917</v>
      </c>
      <c r="F1236">
        <v>358</v>
      </c>
      <c r="G1236">
        <v>65</v>
      </c>
      <c r="H1236" t="s">
        <v>662</v>
      </c>
      <c r="I1236" t="s">
        <v>2271</v>
      </c>
      <c r="J1236">
        <v>500000</v>
      </c>
      <c r="K1236">
        <v>2025</v>
      </c>
      <c r="L1236">
        <v>1037121565</v>
      </c>
      <c r="M1236" t="s">
        <v>4079</v>
      </c>
      <c r="N1236" t="s">
        <v>1688</v>
      </c>
      <c r="O1236" t="s">
        <v>1686</v>
      </c>
      <c r="P1236">
        <v>0</v>
      </c>
      <c r="Q1236">
        <v>500000</v>
      </c>
      <c r="R1236">
        <v>0</v>
      </c>
      <c r="S1236">
        <v>0</v>
      </c>
      <c r="T1236" t="str">
        <f t="shared" si="38"/>
        <v>6652.43.4302.85.0-205128.2.3.3.08.06.</v>
      </c>
      <c r="U1236" t="e" cm="1">
        <f t="array" aca="1" ref="U1236" ca="1">+IF(COMPROMISOS_2025[[#This Row],[P]]="20","41080111",_xlfn.XLOOKUP(COMPROMISOS_2025[[#This Row],[concatenado]],PAA[[#All],[RCP-RUBRO]],PAA[[#All],[INDICADOR]],"",0))</f>
        <v>#NAME?</v>
      </c>
      <c r="V1236" s="144" t="str">
        <f t="shared" si="39"/>
        <v>85</v>
      </c>
      <c r="W1236" s="136">
        <f>+COMPROMISOS_2025[[#This Row],[valor_total]]-COMPROMISOS_2025[[#This Row],[total_cancelado]]</f>
        <v>500000</v>
      </c>
      <c r="X1236" s="136">
        <f>COMPROMISOS_2025[[#This Row],[total_ordenes]]</f>
        <v>500000</v>
      </c>
      <c r="Y1236" t="str" cm="1">
        <f t="array" aca="1" ref="Y1236" ca="1">IFERROR(_xlfn.XLOOKUP(COMPROMISOS_2025[[#This Row],[concatenado]],PAA[[#All],[RCP-RUBRO]],PAA[[#All],[Actividad3]],VLOOKUP(COMPROMISOS_2025[[#This Row],[Indicador Principal]],$AC$2:$AD$17,2,0),0),"")</f>
        <v/>
      </c>
    </row>
    <row r="1237" spans="1:25" hidden="1" x14ac:dyDescent="0.25">
      <c r="A1237">
        <v>666</v>
      </c>
      <c r="B1237" t="s">
        <v>3916</v>
      </c>
      <c r="C1237" t="s">
        <v>1936</v>
      </c>
      <c r="D1237" t="s">
        <v>3917</v>
      </c>
      <c r="F1237">
        <v>358</v>
      </c>
      <c r="G1237">
        <v>65</v>
      </c>
      <c r="H1237" t="s">
        <v>662</v>
      </c>
      <c r="I1237" t="s">
        <v>2271</v>
      </c>
      <c r="J1237">
        <v>500000</v>
      </c>
      <c r="K1237">
        <v>2025</v>
      </c>
      <c r="L1237">
        <v>1037236023</v>
      </c>
      <c r="M1237" t="s">
        <v>4080</v>
      </c>
      <c r="N1237" t="s">
        <v>1688</v>
      </c>
      <c r="O1237" t="s">
        <v>1686</v>
      </c>
      <c r="P1237">
        <v>0</v>
      </c>
      <c r="Q1237">
        <v>500000</v>
      </c>
      <c r="R1237">
        <v>0</v>
      </c>
      <c r="S1237">
        <v>0</v>
      </c>
      <c r="T1237" t="str">
        <f t="shared" si="38"/>
        <v>6662.43.4302.85.0-205128.2.3.3.08.06.</v>
      </c>
      <c r="U1237" t="e" cm="1">
        <f t="array" aca="1" ref="U1237" ca="1">+IF(COMPROMISOS_2025[[#This Row],[P]]="20","41080111",_xlfn.XLOOKUP(COMPROMISOS_2025[[#This Row],[concatenado]],PAA[[#All],[RCP-RUBRO]],PAA[[#All],[INDICADOR]],"",0))</f>
        <v>#NAME?</v>
      </c>
      <c r="V1237" s="144" t="str">
        <f t="shared" si="39"/>
        <v>85</v>
      </c>
      <c r="W1237" s="136">
        <f>+COMPROMISOS_2025[[#This Row],[valor_total]]-COMPROMISOS_2025[[#This Row],[total_cancelado]]</f>
        <v>500000</v>
      </c>
      <c r="X1237" s="136">
        <f>COMPROMISOS_2025[[#This Row],[total_ordenes]]</f>
        <v>500000</v>
      </c>
      <c r="Y1237" t="str" cm="1">
        <f t="array" aca="1" ref="Y1237" ca="1">IFERROR(_xlfn.XLOOKUP(COMPROMISOS_2025[[#This Row],[concatenado]],PAA[[#All],[RCP-RUBRO]],PAA[[#All],[Actividad3]],VLOOKUP(COMPROMISOS_2025[[#This Row],[Indicador Principal]],$AC$2:$AD$17,2,0),0),"")</f>
        <v/>
      </c>
    </row>
    <row r="1238" spans="1:25" hidden="1" x14ac:dyDescent="0.25">
      <c r="A1238">
        <v>667</v>
      </c>
      <c r="B1238" t="s">
        <v>3916</v>
      </c>
      <c r="C1238" t="s">
        <v>1936</v>
      </c>
      <c r="D1238" t="s">
        <v>3917</v>
      </c>
      <c r="F1238">
        <v>358</v>
      </c>
      <c r="G1238">
        <v>65</v>
      </c>
      <c r="H1238" t="s">
        <v>662</v>
      </c>
      <c r="I1238" t="s">
        <v>2271</v>
      </c>
      <c r="J1238">
        <v>500000</v>
      </c>
      <c r="K1238">
        <v>2025</v>
      </c>
      <c r="L1238">
        <v>1037237413</v>
      </c>
      <c r="M1238" t="s">
        <v>3791</v>
      </c>
      <c r="N1238" t="s">
        <v>1688</v>
      </c>
      <c r="O1238" t="s">
        <v>1686</v>
      </c>
      <c r="P1238">
        <v>0</v>
      </c>
      <c r="Q1238">
        <v>500000</v>
      </c>
      <c r="R1238">
        <v>0</v>
      </c>
      <c r="S1238">
        <v>0</v>
      </c>
      <c r="T1238" t="str">
        <f t="shared" si="38"/>
        <v>6672.43.4302.85.0-205128.2.3.3.08.06.</v>
      </c>
      <c r="U1238" t="e" cm="1">
        <f t="array" aca="1" ref="U1238" ca="1">+IF(COMPROMISOS_2025[[#This Row],[P]]="20","41080111",_xlfn.XLOOKUP(COMPROMISOS_2025[[#This Row],[concatenado]],PAA[[#All],[RCP-RUBRO]],PAA[[#All],[INDICADOR]],"",0))</f>
        <v>#NAME?</v>
      </c>
      <c r="V1238" s="144" t="str">
        <f t="shared" si="39"/>
        <v>85</v>
      </c>
      <c r="W1238" s="136">
        <f>+COMPROMISOS_2025[[#This Row],[valor_total]]-COMPROMISOS_2025[[#This Row],[total_cancelado]]</f>
        <v>500000</v>
      </c>
      <c r="X1238" s="136">
        <f>COMPROMISOS_2025[[#This Row],[total_ordenes]]</f>
        <v>500000</v>
      </c>
      <c r="Y1238" t="str" cm="1">
        <f t="array" aca="1" ref="Y1238" ca="1">IFERROR(_xlfn.XLOOKUP(COMPROMISOS_2025[[#This Row],[concatenado]],PAA[[#All],[RCP-RUBRO]],PAA[[#All],[Actividad3]],VLOOKUP(COMPROMISOS_2025[[#This Row],[Indicador Principal]],$AC$2:$AD$17,2,0),0),"")</f>
        <v/>
      </c>
    </row>
    <row r="1239" spans="1:25" hidden="1" x14ac:dyDescent="0.25">
      <c r="A1239">
        <v>668</v>
      </c>
      <c r="B1239" t="s">
        <v>3916</v>
      </c>
      <c r="C1239" t="s">
        <v>1936</v>
      </c>
      <c r="D1239" t="s">
        <v>3917</v>
      </c>
      <c r="F1239">
        <v>358</v>
      </c>
      <c r="G1239">
        <v>65</v>
      </c>
      <c r="H1239" t="s">
        <v>662</v>
      </c>
      <c r="I1239" t="s">
        <v>2271</v>
      </c>
      <c r="J1239">
        <v>500000</v>
      </c>
      <c r="K1239">
        <v>2025</v>
      </c>
      <c r="L1239">
        <v>1037237460</v>
      </c>
      <c r="M1239" t="s">
        <v>3792</v>
      </c>
      <c r="N1239" t="s">
        <v>1688</v>
      </c>
      <c r="O1239" t="s">
        <v>1686</v>
      </c>
      <c r="P1239">
        <v>0</v>
      </c>
      <c r="Q1239">
        <v>500000</v>
      </c>
      <c r="R1239">
        <v>0</v>
      </c>
      <c r="S1239">
        <v>0</v>
      </c>
      <c r="T1239" t="str">
        <f t="shared" si="38"/>
        <v>6682.43.4302.85.0-205128.2.3.3.08.06.</v>
      </c>
      <c r="U1239" t="e" cm="1">
        <f t="array" aca="1" ref="U1239" ca="1">+IF(COMPROMISOS_2025[[#This Row],[P]]="20","41080111",_xlfn.XLOOKUP(COMPROMISOS_2025[[#This Row],[concatenado]],PAA[[#All],[RCP-RUBRO]],PAA[[#All],[INDICADOR]],"",0))</f>
        <v>#NAME?</v>
      </c>
      <c r="V1239" s="144" t="str">
        <f t="shared" si="39"/>
        <v>85</v>
      </c>
      <c r="W1239" s="136">
        <f>+COMPROMISOS_2025[[#This Row],[valor_total]]-COMPROMISOS_2025[[#This Row],[total_cancelado]]</f>
        <v>500000</v>
      </c>
      <c r="X1239" s="136">
        <f>COMPROMISOS_2025[[#This Row],[total_ordenes]]</f>
        <v>500000</v>
      </c>
      <c r="Y1239" t="str" cm="1">
        <f t="array" aca="1" ref="Y1239" ca="1">IFERROR(_xlfn.XLOOKUP(COMPROMISOS_2025[[#This Row],[concatenado]],PAA[[#All],[RCP-RUBRO]],PAA[[#All],[Actividad3]],VLOOKUP(COMPROMISOS_2025[[#This Row],[Indicador Principal]],$AC$2:$AD$17,2,0),0),"")</f>
        <v/>
      </c>
    </row>
    <row r="1240" spans="1:25" hidden="1" x14ac:dyDescent="0.25">
      <c r="A1240">
        <v>669</v>
      </c>
      <c r="B1240" t="s">
        <v>3916</v>
      </c>
      <c r="C1240" t="s">
        <v>1936</v>
      </c>
      <c r="D1240" t="s">
        <v>3917</v>
      </c>
      <c r="F1240">
        <v>358</v>
      </c>
      <c r="G1240">
        <v>65</v>
      </c>
      <c r="H1240" t="s">
        <v>662</v>
      </c>
      <c r="I1240" t="s">
        <v>2271</v>
      </c>
      <c r="J1240">
        <v>1300000</v>
      </c>
      <c r="K1240">
        <v>2025</v>
      </c>
      <c r="L1240">
        <v>1037469368</v>
      </c>
      <c r="M1240" t="s">
        <v>3794</v>
      </c>
      <c r="N1240" t="s">
        <v>1688</v>
      </c>
      <c r="O1240" t="s">
        <v>1686</v>
      </c>
      <c r="P1240">
        <v>0</v>
      </c>
      <c r="Q1240">
        <v>1300000</v>
      </c>
      <c r="R1240">
        <v>0</v>
      </c>
      <c r="S1240">
        <v>0</v>
      </c>
      <c r="T1240" t="str">
        <f t="shared" si="38"/>
        <v>6692.43.4302.85.0-205128.2.3.3.08.06.</v>
      </c>
      <c r="U1240" t="e" cm="1">
        <f t="array" aca="1" ref="U1240" ca="1">+IF(COMPROMISOS_2025[[#This Row],[P]]="20","41080111",_xlfn.XLOOKUP(COMPROMISOS_2025[[#This Row],[concatenado]],PAA[[#All],[RCP-RUBRO]],PAA[[#All],[INDICADOR]],"",0))</f>
        <v>#NAME?</v>
      </c>
      <c r="V1240" s="144" t="str">
        <f t="shared" si="39"/>
        <v>85</v>
      </c>
      <c r="W1240" s="136">
        <f>+COMPROMISOS_2025[[#This Row],[valor_total]]-COMPROMISOS_2025[[#This Row],[total_cancelado]]</f>
        <v>1300000</v>
      </c>
      <c r="X1240" s="136">
        <f>COMPROMISOS_2025[[#This Row],[total_ordenes]]</f>
        <v>1300000</v>
      </c>
      <c r="Y1240" t="str" cm="1">
        <f t="array" aca="1" ref="Y1240" ca="1">IFERROR(_xlfn.XLOOKUP(COMPROMISOS_2025[[#This Row],[concatenado]],PAA[[#All],[RCP-RUBRO]],PAA[[#All],[Actividad3]],VLOOKUP(COMPROMISOS_2025[[#This Row],[Indicador Principal]],$AC$2:$AD$17,2,0),0),"")</f>
        <v/>
      </c>
    </row>
    <row r="1241" spans="1:25" hidden="1" x14ac:dyDescent="0.25">
      <c r="A1241">
        <v>670</v>
      </c>
      <c r="B1241" t="s">
        <v>3916</v>
      </c>
      <c r="C1241" t="s">
        <v>1936</v>
      </c>
      <c r="D1241" t="s">
        <v>3917</v>
      </c>
      <c r="F1241">
        <v>358</v>
      </c>
      <c r="G1241">
        <v>65</v>
      </c>
      <c r="H1241" t="s">
        <v>662</v>
      </c>
      <c r="I1241" t="s">
        <v>2271</v>
      </c>
      <c r="J1241">
        <v>1300000</v>
      </c>
      <c r="K1241">
        <v>2025</v>
      </c>
      <c r="L1241">
        <v>1037469938</v>
      </c>
      <c r="M1241" t="s">
        <v>3795</v>
      </c>
      <c r="N1241" t="s">
        <v>1688</v>
      </c>
      <c r="O1241" t="s">
        <v>1686</v>
      </c>
      <c r="P1241">
        <v>0</v>
      </c>
      <c r="Q1241">
        <v>1300000</v>
      </c>
      <c r="R1241">
        <v>0</v>
      </c>
      <c r="S1241">
        <v>0</v>
      </c>
      <c r="T1241" t="str">
        <f t="shared" si="38"/>
        <v>6702.43.4302.85.0-205128.2.3.3.08.06.</v>
      </c>
      <c r="U1241" t="e" cm="1">
        <f t="array" aca="1" ref="U1241" ca="1">+IF(COMPROMISOS_2025[[#This Row],[P]]="20","41080111",_xlfn.XLOOKUP(COMPROMISOS_2025[[#This Row],[concatenado]],PAA[[#All],[RCP-RUBRO]],PAA[[#All],[INDICADOR]],"",0))</f>
        <v>#NAME?</v>
      </c>
      <c r="V1241" s="144" t="str">
        <f t="shared" si="39"/>
        <v>85</v>
      </c>
      <c r="W1241" s="136">
        <f>+COMPROMISOS_2025[[#This Row],[valor_total]]-COMPROMISOS_2025[[#This Row],[total_cancelado]]</f>
        <v>1300000</v>
      </c>
      <c r="X1241" s="136">
        <f>COMPROMISOS_2025[[#This Row],[total_ordenes]]</f>
        <v>1300000</v>
      </c>
      <c r="Y1241" t="str" cm="1">
        <f t="array" aca="1" ref="Y1241" ca="1">IFERROR(_xlfn.XLOOKUP(COMPROMISOS_2025[[#This Row],[concatenado]],PAA[[#All],[RCP-RUBRO]],PAA[[#All],[Actividad3]],VLOOKUP(COMPROMISOS_2025[[#This Row],[Indicador Principal]],$AC$2:$AD$17,2,0),0),"")</f>
        <v/>
      </c>
    </row>
    <row r="1242" spans="1:25" hidden="1" x14ac:dyDescent="0.25">
      <c r="A1242">
        <v>671</v>
      </c>
      <c r="B1242" t="s">
        <v>3916</v>
      </c>
      <c r="C1242" t="s">
        <v>1936</v>
      </c>
      <c r="D1242" t="s">
        <v>3917</v>
      </c>
      <c r="F1242">
        <v>358</v>
      </c>
      <c r="G1242">
        <v>65</v>
      </c>
      <c r="H1242" t="s">
        <v>662</v>
      </c>
      <c r="I1242" t="s">
        <v>2271</v>
      </c>
      <c r="J1242">
        <v>500000</v>
      </c>
      <c r="K1242">
        <v>2025</v>
      </c>
      <c r="L1242">
        <v>1037470069</v>
      </c>
      <c r="M1242" t="s">
        <v>3796</v>
      </c>
      <c r="N1242" t="s">
        <v>1688</v>
      </c>
      <c r="O1242" t="s">
        <v>1686</v>
      </c>
      <c r="P1242">
        <v>0</v>
      </c>
      <c r="Q1242">
        <v>500000</v>
      </c>
      <c r="R1242">
        <v>0</v>
      </c>
      <c r="S1242">
        <v>0</v>
      </c>
      <c r="T1242" t="str">
        <f t="shared" si="38"/>
        <v>6712.43.4302.85.0-205128.2.3.3.08.06.</v>
      </c>
      <c r="U1242" t="e" cm="1">
        <f t="array" aca="1" ref="U1242" ca="1">+IF(COMPROMISOS_2025[[#This Row],[P]]="20","41080111",_xlfn.XLOOKUP(COMPROMISOS_2025[[#This Row],[concatenado]],PAA[[#All],[RCP-RUBRO]],PAA[[#All],[INDICADOR]],"",0))</f>
        <v>#NAME?</v>
      </c>
      <c r="V1242" s="144" t="str">
        <f t="shared" si="39"/>
        <v>85</v>
      </c>
      <c r="W1242" s="136">
        <f>+COMPROMISOS_2025[[#This Row],[valor_total]]-COMPROMISOS_2025[[#This Row],[total_cancelado]]</f>
        <v>500000</v>
      </c>
      <c r="X1242" s="136">
        <f>COMPROMISOS_2025[[#This Row],[total_ordenes]]</f>
        <v>500000</v>
      </c>
      <c r="Y1242" t="str" cm="1">
        <f t="array" aca="1" ref="Y1242" ca="1">IFERROR(_xlfn.XLOOKUP(COMPROMISOS_2025[[#This Row],[concatenado]],PAA[[#All],[RCP-RUBRO]],PAA[[#All],[Actividad3]],VLOOKUP(COMPROMISOS_2025[[#This Row],[Indicador Principal]],$AC$2:$AD$17,2,0),0),"")</f>
        <v/>
      </c>
    </row>
    <row r="1243" spans="1:25" hidden="1" x14ac:dyDescent="0.25">
      <c r="A1243">
        <v>672</v>
      </c>
      <c r="B1243" t="s">
        <v>3916</v>
      </c>
      <c r="C1243" t="s">
        <v>1936</v>
      </c>
      <c r="D1243" t="s">
        <v>3917</v>
      </c>
      <c r="F1243">
        <v>358</v>
      </c>
      <c r="G1243">
        <v>65</v>
      </c>
      <c r="H1243" t="s">
        <v>662</v>
      </c>
      <c r="I1243" t="s">
        <v>2271</v>
      </c>
      <c r="J1243">
        <v>500000</v>
      </c>
      <c r="K1243">
        <v>2025</v>
      </c>
      <c r="L1243">
        <v>1037549251</v>
      </c>
      <c r="M1243" t="s">
        <v>4081</v>
      </c>
      <c r="N1243" t="s">
        <v>1688</v>
      </c>
      <c r="O1243" t="s">
        <v>1686</v>
      </c>
      <c r="P1243">
        <v>0</v>
      </c>
      <c r="Q1243">
        <v>500000</v>
      </c>
      <c r="R1243">
        <v>0</v>
      </c>
      <c r="S1243">
        <v>0</v>
      </c>
      <c r="T1243" t="str">
        <f t="shared" si="38"/>
        <v>6722.43.4302.85.0-205128.2.3.3.08.06.</v>
      </c>
      <c r="U1243" t="e" cm="1">
        <f t="array" aca="1" ref="U1243" ca="1">+IF(COMPROMISOS_2025[[#This Row],[P]]="20","41080111",_xlfn.XLOOKUP(COMPROMISOS_2025[[#This Row],[concatenado]],PAA[[#All],[RCP-RUBRO]],PAA[[#All],[INDICADOR]],"",0))</f>
        <v>#NAME?</v>
      </c>
      <c r="V1243" s="144" t="str">
        <f t="shared" si="39"/>
        <v>85</v>
      </c>
      <c r="W1243" s="136">
        <f>+COMPROMISOS_2025[[#This Row],[valor_total]]-COMPROMISOS_2025[[#This Row],[total_cancelado]]</f>
        <v>500000</v>
      </c>
      <c r="X1243" s="136">
        <f>COMPROMISOS_2025[[#This Row],[total_ordenes]]</f>
        <v>500000</v>
      </c>
      <c r="Y1243" t="str" cm="1">
        <f t="array" aca="1" ref="Y1243" ca="1">IFERROR(_xlfn.XLOOKUP(COMPROMISOS_2025[[#This Row],[concatenado]],PAA[[#All],[RCP-RUBRO]],PAA[[#All],[Actividad3]],VLOOKUP(COMPROMISOS_2025[[#This Row],[Indicador Principal]],$AC$2:$AD$17,2,0),0),"")</f>
        <v/>
      </c>
    </row>
    <row r="1244" spans="1:25" hidden="1" x14ac:dyDescent="0.25">
      <c r="A1244">
        <v>673</v>
      </c>
      <c r="B1244" t="s">
        <v>3916</v>
      </c>
      <c r="C1244" t="s">
        <v>1936</v>
      </c>
      <c r="D1244" t="s">
        <v>3917</v>
      </c>
      <c r="F1244">
        <v>358</v>
      </c>
      <c r="G1244">
        <v>65</v>
      </c>
      <c r="H1244" t="s">
        <v>662</v>
      </c>
      <c r="I1244" t="s">
        <v>2271</v>
      </c>
      <c r="J1244">
        <v>800000</v>
      </c>
      <c r="K1244">
        <v>2025</v>
      </c>
      <c r="L1244">
        <v>1037630984</v>
      </c>
      <c r="M1244" t="s">
        <v>4082</v>
      </c>
      <c r="N1244" t="s">
        <v>1688</v>
      </c>
      <c r="O1244" t="s">
        <v>1686</v>
      </c>
      <c r="P1244">
        <v>0</v>
      </c>
      <c r="Q1244">
        <v>800000</v>
      </c>
      <c r="R1244">
        <v>0</v>
      </c>
      <c r="S1244">
        <v>0</v>
      </c>
      <c r="T1244" t="str">
        <f t="shared" si="38"/>
        <v>6732.43.4302.85.0-205128.2.3.3.08.06.</v>
      </c>
      <c r="U1244" t="e" cm="1">
        <f t="array" aca="1" ref="U1244" ca="1">+IF(COMPROMISOS_2025[[#This Row],[P]]="20","41080111",_xlfn.XLOOKUP(COMPROMISOS_2025[[#This Row],[concatenado]],PAA[[#All],[RCP-RUBRO]],PAA[[#All],[INDICADOR]],"",0))</f>
        <v>#NAME?</v>
      </c>
      <c r="V1244" s="144" t="str">
        <f t="shared" si="39"/>
        <v>85</v>
      </c>
      <c r="W1244" s="136">
        <f>+COMPROMISOS_2025[[#This Row],[valor_total]]-COMPROMISOS_2025[[#This Row],[total_cancelado]]</f>
        <v>800000</v>
      </c>
      <c r="X1244" s="136">
        <f>COMPROMISOS_2025[[#This Row],[total_ordenes]]</f>
        <v>800000</v>
      </c>
      <c r="Y1244" t="str" cm="1">
        <f t="array" aca="1" ref="Y1244" ca="1">IFERROR(_xlfn.XLOOKUP(COMPROMISOS_2025[[#This Row],[concatenado]],PAA[[#All],[RCP-RUBRO]],PAA[[#All],[Actividad3]],VLOOKUP(COMPROMISOS_2025[[#This Row],[Indicador Principal]],$AC$2:$AD$17,2,0),0),"")</f>
        <v/>
      </c>
    </row>
    <row r="1245" spans="1:25" hidden="1" x14ac:dyDescent="0.25">
      <c r="A1245">
        <v>674</v>
      </c>
      <c r="B1245" t="s">
        <v>3916</v>
      </c>
      <c r="C1245" t="s">
        <v>1936</v>
      </c>
      <c r="D1245" t="s">
        <v>3917</v>
      </c>
      <c r="F1245">
        <v>358</v>
      </c>
      <c r="G1245">
        <v>65</v>
      </c>
      <c r="H1245" t="s">
        <v>662</v>
      </c>
      <c r="I1245" t="s">
        <v>2271</v>
      </c>
      <c r="J1245">
        <v>500000</v>
      </c>
      <c r="K1245">
        <v>2025</v>
      </c>
      <c r="L1245">
        <v>1037643238</v>
      </c>
      <c r="M1245" t="s">
        <v>4083</v>
      </c>
      <c r="N1245" t="s">
        <v>1688</v>
      </c>
      <c r="O1245" t="s">
        <v>1686</v>
      </c>
      <c r="P1245">
        <v>0</v>
      </c>
      <c r="Q1245">
        <v>500000</v>
      </c>
      <c r="R1245">
        <v>0</v>
      </c>
      <c r="S1245">
        <v>0</v>
      </c>
      <c r="T1245" t="str">
        <f t="shared" si="38"/>
        <v>6742.43.4302.85.0-205128.2.3.3.08.06.</v>
      </c>
      <c r="U1245" t="e" cm="1">
        <f t="array" aca="1" ref="U1245" ca="1">+IF(COMPROMISOS_2025[[#This Row],[P]]="20","41080111",_xlfn.XLOOKUP(COMPROMISOS_2025[[#This Row],[concatenado]],PAA[[#All],[RCP-RUBRO]],PAA[[#All],[INDICADOR]],"",0))</f>
        <v>#NAME?</v>
      </c>
      <c r="V1245" s="144" t="str">
        <f t="shared" si="39"/>
        <v>85</v>
      </c>
      <c r="W1245" s="136">
        <f>+COMPROMISOS_2025[[#This Row],[valor_total]]-COMPROMISOS_2025[[#This Row],[total_cancelado]]</f>
        <v>500000</v>
      </c>
      <c r="X1245" s="136">
        <f>COMPROMISOS_2025[[#This Row],[total_ordenes]]</f>
        <v>500000</v>
      </c>
      <c r="Y1245" t="str" cm="1">
        <f t="array" aca="1" ref="Y1245" ca="1">IFERROR(_xlfn.XLOOKUP(COMPROMISOS_2025[[#This Row],[concatenado]],PAA[[#All],[RCP-RUBRO]],PAA[[#All],[Actividad3]],VLOOKUP(COMPROMISOS_2025[[#This Row],[Indicador Principal]],$AC$2:$AD$17,2,0),0),"")</f>
        <v/>
      </c>
    </row>
    <row r="1246" spans="1:25" hidden="1" x14ac:dyDescent="0.25">
      <c r="A1246">
        <v>675</v>
      </c>
      <c r="B1246" t="s">
        <v>3916</v>
      </c>
      <c r="C1246" t="s">
        <v>1936</v>
      </c>
      <c r="D1246" t="s">
        <v>3917</v>
      </c>
      <c r="F1246">
        <v>358</v>
      </c>
      <c r="G1246">
        <v>65</v>
      </c>
      <c r="H1246" t="s">
        <v>662</v>
      </c>
      <c r="I1246" t="s">
        <v>2271</v>
      </c>
      <c r="J1246">
        <v>500000</v>
      </c>
      <c r="K1246">
        <v>2025</v>
      </c>
      <c r="L1246">
        <v>1037643922</v>
      </c>
      <c r="M1246" t="s">
        <v>4084</v>
      </c>
      <c r="N1246" t="s">
        <v>1688</v>
      </c>
      <c r="O1246" t="s">
        <v>1686</v>
      </c>
      <c r="P1246">
        <v>0</v>
      </c>
      <c r="Q1246">
        <v>500000</v>
      </c>
      <c r="R1246">
        <v>0</v>
      </c>
      <c r="S1246">
        <v>0</v>
      </c>
      <c r="T1246" t="str">
        <f t="shared" si="38"/>
        <v>6752.43.4302.85.0-205128.2.3.3.08.06.</v>
      </c>
      <c r="U1246" t="e" cm="1">
        <f t="array" aca="1" ref="U1246" ca="1">+IF(COMPROMISOS_2025[[#This Row],[P]]="20","41080111",_xlfn.XLOOKUP(COMPROMISOS_2025[[#This Row],[concatenado]],PAA[[#All],[RCP-RUBRO]],PAA[[#All],[INDICADOR]],"",0))</f>
        <v>#NAME?</v>
      </c>
      <c r="V1246" s="144" t="str">
        <f t="shared" si="39"/>
        <v>85</v>
      </c>
      <c r="W1246" s="136">
        <f>+COMPROMISOS_2025[[#This Row],[valor_total]]-COMPROMISOS_2025[[#This Row],[total_cancelado]]</f>
        <v>500000</v>
      </c>
      <c r="X1246" s="136">
        <f>COMPROMISOS_2025[[#This Row],[total_ordenes]]</f>
        <v>500000</v>
      </c>
      <c r="Y1246" t="str" cm="1">
        <f t="array" aca="1" ref="Y1246" ca="1">IFERROR(_xlfn.XLOOKUP(COMPROMISOS_2025[[#This Row],[concatenado]],PAA[[#All],[RCP-RUBRO]],PAA[[#All],[Actividad3]],VLOOKUP(COMPROMISOS_2025[[#This Row],[Indicador Principal]],$AC$2:$AD$17,2,0),0),"")</f>
        <v/>
      </c>
    </row>
    <row r="1247" spans="1:25" hidden="1" x14ac:dyDescent="0.25">
      <c r="A1247">
        <v>676</v>
      </c>
      <c r="B1247" t="s">
        <v>3916</v>
      </c>
      <c r="C1247" t="s">
        <v>1936</v>
      </c>
      <c r="D1247" t="s">
        <v>3917</v>
      </c>
      <c r="F1247">
        <v>358</v>
      </c>
      <c r="G1247">
        <v>65</v>
      </c>
      <c r="H1247" t="s">
        <v>662</v>
      </c>
      <c r="I1247" t="s">
        <v>2271</v>
      </c>
      <c r="J1247">
        <v>500000</v>
      </c>
      <c r="K1247">
        <v>2025</v>
      </c>
      <c r="L1247">
        <v>1037666430</v>
      </c>
      <c r="M1247" t="s">
        <v>4085</v>
      </c>
      <c r="N1247" t="s">
        <v>1688</v>
      </c>
      <c r="O1247" t="s">
        <v>1686</v>
      </c>
      <c r="P1247">
        <v>0</v>
      </c>
      <c r="Q1247">
        <v>500000</v>
      </c>
      <c r="R1247">
        <v>0</v>
      </c>
      <c r="S1247">
        <v>0</v>
      </c>
      <c r="T1247" t="str">
        <f t="shared" si="38"/>
        <v>6762.43.4302.85.0-205128.2.3.3.08.06.</v>
      </c>
      <c r="U1247" t="e" cm="1">
        <f t="array" aca="1" ref="U1247" ca="1">+IF(COMPROMISOS_2025[[#This Row],[P]]="20","41080111",_xlfn.XLOOKUP(COMPROMISOS_2025[[#This Row],[concatenado]],PAA[[#All],[RCP-RUBRO]],PAA[[#All],[INDICADOR]],"",0))</f>
        <v>#NAME?</v>
      </c>
      <c r="V1247" s="144" t="str">
        <f t="shared" si="39"/>
        <v>85</v>
      </c>
      <c r="W1247" s="136">
        <f>+COMPROMISOS_2025[[#This Row],[valor_total]]-COMPROMISOS_2025[[#This Row],[total_cancelado]]</f>
        <v>500000</v>
      </c>
      <c r="X1247" s="136">
        <f>COMPROMISOS_2025[[#This Row],[total_ordenes]]</f>
        <v>500000</v>
      </c>
      <c r="Y1247" t="str" cm="1">
        <f t="array" aca="1" ref="Y1247" ca="1">IFERROR(_xlfn.XLOOKUP(COMPROMISOS_2025[[#This Row],[concatenado]],PAA[[#All],[RCP-RUBRO]],PAA[[#All],[Actividad3]],VLOOKUP(COMPROMISOS_2025[[#This Row],[Indicador Principal]],$AC$2:$AD$17,2,0),0),"")</f>
        <v/>
      </c>
    </row>
    <row r="1248" spans="1:25" hidden="1" x14ac:dyDescent="0.25">
      <c r="A1248">
        <v>677</v>
      </c>
      <c r="B1248" t="s">
        <v>3916</v>
      </c>
      <c r="C1248" t="s">
        <v>1936</v>
      </c>
      <c r="D1248" t="s">
        <v>3917</v>
      </c>
      <c r="F1248">
        <v>358</v>
      </c>
      <c r="G1248">
        <v>65</v>
      </c>
      <c r="H1248" t="s">
        <v>662</v>
      </c>
      <c r="I1248" t="s">
        <v>2271</v>
      </c>
      <c r="J1248">
        <v>500000</v>
      </c>
      <c r="K1248">
        <v>2025</v>
      </c>
      <c r="L1248">
        <v>1037667511</v>
      </c>
      <c r="M1248" t="s">
        <v>3799</v>
      </c>
      <c r="N1248" t="s">
        <v>1688</v>
      </c>
      <c r="O1248" t="s">
        <v>1686</v>
      </c>
      <c r="P1248">
        <v>0</v>
      </c>
      <c r="Q1248">
        <v>500000</v>
      </c>
      <c r="R1248">
        <v>0</v>
      </c>
      <c r="S1248">
        <v>0</v>
      </c>
      <c r="T1248" t="str">
        <f t="shared" si="38"/>
        <v>6772.43.4302.85.0-205128.2.3.3.08.06.</v>
      </c>
      <c r="U1248" t="e" cm="1">
        <f t="array" aca="1" ref="U1248" ca="1">+IF(COMPROMISOS_2025[[#This Row],[P]]="20","41080111",_xlfn.XLOOKUP(COMPROMISOS_2025[[#This Row],[concatenado]],PAA[[#All],[RCP-RUBRO]],PAA[[#All],[INDICADOR]],"",0))</f>
        <v>#NAME?</v>
      </c>
      <c r="V1248" s="144" t="str">
        <f t="shared" si="39"/>
        <v>85</v>
      </c>
      <c r="W1248" s="136">
        <f>+COMPROMISOS_2025[[#This Row],[valor_total]]-COMPROMISOS_2025[[#This Row],[total_cancelado]]</f>
        <v>500000</v>
      </c>
      <c r="X1248" s="136">
        <f>COMPROMISOS_2025[[#This Row],[total_ordenes]]</f>
        <v>500000</v>
      </c>
      <c r="Y1248" t="str" cm="1">
        <f t="array" aca="1" ref="Y1248" ca="1">IFERROR(_xlfn.XLOOKUP(COMPROMISOS_2025[[#This Row],[concatenado]],PAA[[#All],[RCP-RUBRO]],PAA[[#All],[Actividad3]],VLOOKUP(COMPROMISOS_2025[[#This Row],[Indicador Principal]],$AC$2:$AD$17,2,0),0),"")</f>
        <v/>
      </c>
    </row>
    <row r="1249" spans="1:25" hidden="1" x14ac:dyDescent="0.25">
      <c r="A1249">
        <v>678</v>
      </c>
      <c r="B1249" t="s">
        <v>3916</v>
      </c>
      <c r="C1249" t="s">
        <v>1936</v>
      </c>
      <c r="D1249" t="s">
        <v>3917</v>
      </c>
      <c r="F1249">
        <v>358</v>
      </c>
      <c r="G1249">
        <v>65</v>
      </c>
      <c r="H1249" t="s">
        <v>662</v>
      </c>
      <c r="I1249" t="s">
        <v>2271</v>
      </c>
      <c r="J1249">
        <v>500000</v>
      </c>
      <c r="K1249">
        <v>2025</v>
      </c>
      <c r="L1249">
        <v>1037667906</v>
      </c>
      <c r="M1249" t="s">
        <v>4086</v>
      </c>
      <c r="N1249" t="s">
        <v>1688</v>
      </c>
      <c r="O1249" t="s">
        <v>1686</v>
      </c>
      <c r="P1249">
        <v>0</v>
      </c>
      <c r="Q1249">
        <v>500000</v>
      </c>
      <c r="R1249">
        <v>0</v>
      </c>
      <c r="S1249">
        <v>0</v>
      </c>
      <c r="T1249" t="str">
        <f t="shared" si="38"/>
        <v>6782.43.4302.85.0-205128.2.3.3.08.06.</v>
      </c>
      <c r="U1249" t="e" cm="1">
        <f t="array" aca="1" ref="U1249" ca="1">+IF(COMPROMISOS_2025[[#This Row],[P]]="20","41080111",_xlfn.XLOOKUP(COMPROMISOS_2025[[#This Row],[concatenado]],PAA[[#All],[RCP-RUBRO]],PAA[[#All],[INDICADOR]],"",0))</f>
        <v>#NAME?</v>
      </c>
      <c r="V1249" s="144" t="str">
        <f t="shared" si="39"/>
        <v>85</v>
      </c>
      <c r="W1249" s="136">
        <f>+COMPROMISOS_2025[[#This Row],[valor_total]]-COMPROMISOS_2025[[#This Row],[total_cancelado]]</f>
        <v>500000</v>
      </c>
      <c r="X1249" s="136">
        <f>COMPROMISOS_2025[[#This Row],[total_ordenes]]</f>
        <v>500000</v>
      </c>
      <c r="Y1249" t="str" cm="1">
        <f t="array" aca="1" ref="Y1249" ca="1">IFERROR(_xlfn.XLOOKUP(COMPROMISOS_2025[[#This Row],[concatenado]],PAA[[#All],[RCP-RUBRO]],PAA[[#All],[Actividad3]],VLOOKUP(COMPROMISOS_2025[[#This Row],[Indicador Principal]],$AC$2:$AD$17,2,0),0),"")</f>
        <v/>
      </c>
    </row>
    <row r="1250" spans="1:25" hidden="1" x14ac:dyDescent="0.25">
      <c r="A1250">
        <v>679</v>
      </c>
      <c r="B1250" t="s">
        <v>3916</v>
      </c>
      <c r="C1250" t="s">
        <v>1936</v>
      </c>
      <c r="D1250" t="s">
        <v>3917</v>
      </c>
      <c r="F1250">
        <v>358</v>
      </c>
      <c r="G1250">
        <v>65</v>
      </c>
      <c r="H1250" t="s">
        <v>662</v>
      </c>
      <c r="I1250" t="s">
        <v>2271</v>
      </c>
      <c r="J1250">
        <v>1300000</v>
      </c>
      <c r="K1250">
        <v>2025</v>
      </c>
      <c r="L1250">
        <v>1037668563</v>
      </c>
      <c r="M1250" t="s">
        <v>4087</v>
      </c>
      <c r="N1250" t="s">
        <v>1688</v>
      </c>
      <c r="O1250" t="s">
        <v>1686</v>
      </c>
      <c r="P1250">
        <v>0</v>
      </c>
      <c r="Q1250">
        <v>1300000</v>
      </c>
      <c r="R1250">
        <v>0</v>
      </c>
      <c r="S1250">
        <v>0</v>
      </c>
      <c r="T1250" t="str">
        <f t="shared" si="38"/>
        <v>6792.43.4302.85.0-205128.2.3.3.08.06.</v>
      </c>
      <c r="U1250" t="e" cm="1">
        <f t="array" aca="1" ref="U1250" ca="1">+IF(COMPROMISOS_2025[[#This Row],[P]]="20","41080111",_xlfn.XLOOKUP(COMPROMISOS_2025[[#This Row],[concatenado]],PAA[[#All],[RCP-RUBRO]],PAA[[#All],[INDICADOR]],"",0))</f>
        <v>#NAME?</v>
      </c>
      <c r="V1250" s="144" t="str">
        <f t="shared" si="39"/>
        <v>85</v>
      </c>
      <c r="W1250" s="136">
        <f>+COMPROMISOS_2025[[#This Row],[valor_total]]-COMPROMISOS_2025[[#This Row],[total_cancelado]]</f>
        <v>1300000</v>
      </c>
      <c r="X1250" s="136">
        <f>COMPROMISOS_2025[[#This Row],[total_ordenes]]</f>
        <v>1300000</v>
      </c>
      <c r="Y1250" t="str" cm="1">
        <f t="array" aca="1" ref="Y1250" ca="1">IFERROR(_xlfn.XLOOKUP(COMPROMISOS_2025[[#This Row],[concatenado]],PAA[[#All],[RCP-RUBRO]],PAA[[#All],[Actividad3]],VLOOKUP(COMPROMISOS_2025[[#This Row],[Indicador Principal]],$AC$2:$AD$17,2,0),0),"")</f>
        <v/>
      </c>
    </row>
    <row r="1251" spans="1:25" hidden="1" x14ac:dyDescent="0.25">
      <c r="A1251">
        <v>680</v>
      </c>
      <c r="B1251" t="s">
        <v>3916</v>
      </c>
      <c r="C1251" t="s">
        <v>1936</v>
      </c>
      <c r="D1251" t="s">
        <v>3917</v>
      </c>
      <c r="F1251">
        <v>358</v>
      </c>
      <c r="G1251">
        <v>65</v>
      </c>
      <c r="H1251" t="s">
        <v>662</v>
      </c>
      <c r="I1251" t="s">
        <v>2271</v>
      </c>
      <c r="J1251">
        <v>500000</v>
      </c>
      <c r="K1251">
        <v>2025</v>
      </c>
      <c r="L1251">
        <v>1037886705</v>
      </c>
      <c r="M1251" t="s">
        <v>3800</v>
      </c>
      <c r="N1251" t="s">
        <v>1688</v>
      </c>
      <c r="O1251" t="s">
        <v>1686</v>
      </c>
      <c r="P1251">
        <v>0</v>
      </c>
      <c r="Q1251">
        <v>500000</v>
      </c>
      <c r="R1251">
        <v>0</v>
      </c>
      <c r="S1251">
        <v>0</v>
      </c>
      <c r="T1251" t="str">
        <f t="shared" si="38"/>
        <v>6802.43.4302.85.0-205128.2.3.3.08.06.</v>
      </c>
      <c r="U1251" t="e" cm="1">
        <f t="array" aca="1" ref="U1251" ca="1">+IF(COMPROMISOS_2025[[#This Row],[P]]="20","41080111",_xlfn.XLOOKUP(COMPROMISOS_2025[[#This Row],[concatenado]],PAA[[#All],[RCP-RUBRO]],PAA[[#All],[INDICADOR]],"",0))</f>
        <v>#NAME?</v>
      </c>
      <c r="V1251" s="144" t="str">
        <f t="shared" si="39"/>
        <v>85</v>
      </c>
      <c r="W1251" s="136">
        <f>+COMPROMISOS_2025[[#This Row],[valor_total]]-COMPROMISOS_2025[[#This Row],[total_cancelado]]</f>
        <v>500000</v>
      </c>
      <c r="X1251" s="136">
        <f>COMPROMISOS_2025[[#This Row],[total_ordenes]]</f>
        <v>500000</v>
      </c>
      <c r="Y1251" t="str" cm="1">
        <f t="array" aca="1" ref="Y1251" ca="1">IFERROR(_xlfn.XLOOKUP(COMPROMISOS_2025[[#This Row],[concatenado]],PAA[[#All],[RCP-RUBRO]],PAA[[#All],[Actividad3]],VLOOKUP(COMPROMISOS_2025[[#This Row],[Indicador Principal]],$AC$2:$AD$17,2,0),0),"")</f>
        <v/>
      </c>
    </row>
    <row r="1252" spans="1:25" hidden="1" x14ac:dyDescent="0.25">
      <c r="A1252">
        <v>681</v>
      </c>
      <c r="B1252" t="s">
        <v>3916</v>
      </c>
      <c r="C1252" t="s">
        <v>1936</v>
      </c>
      <c r="D1252" t="s">
        <v>3917</v>
      </c>
      <c r="F1252">
        <v>358</v>
      </c>
      <c r="G1252">
        <v>65</v>
      </c>
      <c r="H1252" t="s">
        <v>662</v>
      </c>
      <c r="I1252" t="s">
        <v>2271</v>
      </c>
      <c r="J1252">
        <v>500000</v>
      </c>
      <c r="K1252">
        <v>2025</v>
      </c>
      <c r="L1252">
        <v>1038407424</v>
      </c>
      <c r="M1252" t="s">
        <v>4088</v>
      </c>
      <c r="N1252" t="s">
        <v>1688</v>
      </c>
      <c r="O1252" t="s">
        <v>1686</v>
      </c>
      <c r="P1252">
        <v>0</v>
      </c>
      <c r="Q1252">
        <v>500000</v>
      </c>
      <c r="R1252">
        <v>0</v>
      </c>
      <c r="S1252">
        <v>0</v>
      </c>
      <c r="T1252" t="str">
        <f t="shared" si="38"/>
        <v>6812.43.4302.85.0-205128.2.3.3.08.06.</v>
      </c>
      <c r="U1252" t="e" cm="1">
        <f t="array" aca="1" ref="U1252" ca="1">+IF(COMPROMISOS_2025[[#This Row],[P]]="20","41080111",_xlfn.XLOOKUP(COMPROMISOS_2025[[#This Row],[concatenado]],PAA[[#All],[RCP-RUBRO]],PAA[[#All],[INDICADOR]],"",0))</f>
        <v>#NAME?</v>
      </c>
      <c r="V1252" s="144" t="str">
        <f t="shared" si="39"/>
        <v>85</v>
      </c>
      <c r="W1252" s="136">
        <f>+COMPROMISOS_2025[[#This Row],[valor_total]]-COMPROMISOS_2025[[#This Row],[total_cancelado]]</f>
        <v>500000</v>
      </c>
      <c r="X1252" s="136">
        <f>COMPROMISOS_2025[[#This Row],[total_ordenes]]</f>
        <v>500000</v>
      </c>
      <c r="Y1252" t="str" cm="1">
        <f t="array" aca="1" ref="Y1252" ca="1">IFERROR(_xlfn.XLOOKUP(COMPROMISOS_2025[[#This Row],[concatenado]],PAA[[#All],[RCP-RUBRO]],PAA[[#All],[Actividad3]],VLOOKUP(COMPROMISOS_2025[[#This Row],[Indicador Principal]],$AC$2:$AD$17,2,0),0),"")</f>
        <v/>
      </c>
    </row>
    <row r="1253" spans="1:25" hidden="1" x14ac:dyDescent="0.25">
      <c r="A1253">
        <v>682</v>
      </c>
      <c r="B1253" t="s">
        <v>3916</v>
      </c>
      <c r="C1253" t="s">
        <v>1936</v>
      </c>
      <c r="D1253" t="s">
        <v>3917</v>
      </c>
      <c r="F1253">
        <v>358</v>
      </c>
      <c r="G1253">
        <v>65</v>
      </c>
      <c r="H1253" t="s">
        <v>662</v>
      </c>
      <c r="I1253" t="s">
        <v>2271</v>
      </c>
      <c r="J1253">
        <v>1300000</v>
      </c>
      <c r="K1253">
        <v>2025</v>
      </c>
      <c r="L1253">
        <v>1038417807</v>
      </c>
      <c r="M1253" t="s">
        <v>4089</v>
      </c>
      <c r="N1253" t="s">
        <v>1688</v>
      </c>
      <c r="O1253" t="s">
        <v>1686</v>
      </c>
      <c r="P1253">
        <v>0</v>
      </c>
      <c r="Q1253">
        <v>1300000</v>
      </c>
      <c r="R1253">
        <v>0</v>
      </c>
      <c r="S1253">
        <v>0</v>
      </c>
      <c r="T1253" t="str">
        <f t="shared" si="38"/>
        <v>6822.43.4302.85.0-205128.2.3.3.08.06.</v>
      </c>
      <c r="U1253" t="e" cm="1">
        <f t="array" aca="1" ref="U1253" ca="1">+IF(COMPROMISOS_2025[[#This Row],[P]]="20","41080111",_xlfn.XLOOKUP(COMPROMISOS_2025[[#This Row],[concatenado]],PAA[[#All],[RCP-RUBRO]],PAA[[#All],[INDICADOR]],"",0))</f>
        <v>#NAME?</v>
      </c>
      <c r="V1253" s="144" t="str">
        <f t="shared" si="39"/>
        <v>85</v>
      </c>
      <c r="W1253" s="136">
        <f>+COMPROMISOS_2025[[#This Row],[valor_total]]-COMPROMISOS_2025[[#This Row],[total_cancelado]]</f>
        <v>1300000</v>
      </c>
      <c r="X1253" s="136">
        <f>COMPROMISOS_2025[[#This Row],[total_ordenes]]</f>
        <v>1300000</v>
      </c>
      <c r="Y1253" t="str" cm="1">
        <f t="array" aca="1" ref="Y1253" ca="1">IFERROR(_xlfn.XLOOKUP(COMPROMISOS_2025[[#This Row],[concatenado]],PAA[[#All],[RCP-RUBRO]],PAA[[#All],[Actividad3]],VLOOKUP(COMPROMISOS_2025[[#This Row],[Indicador Principal]],$AC$2:$AD$17,2,0),0),"")</f>
        <v/>
      </c>
    </row>
    <row r="1254" spans="1:25" hidden="1" x14ac:dyDescent="0.25">
      <c r="A1254">
        <v>683</v>
      </c>
      <c r="B1254" t="s">
        <v>3916</v>
      </c>
      <c r="C1254" t="s">
        <v>1936</v>
      </c>
      <c r="D1254" t="s">
        <v>3917</v>
      </c>
      <c r="F1254">
        <v>358</v>
      </c>
      <c r="G1254">
        <v>65</v>
      </c>
      <c r="H1254" t="s">
        <v>662</v>
      </c>
      <c r="I1254" t="s">
        <v>2271</v>
      </c>
      <c r="J1254">
        <v>1300000</v>
      </c>
      <c r="K1254">
        <v>2025</v>
      </c>
      <c r="L1254">
        <v>1038800625</v>
      </c>
      <c r="M1254" t="s">
        <v>3805</v>
      </c>
      <c r="N1254" t="s">
        <v>1688</v>
      </c>
      <c r="O1254" t="s">
        <v>1686</v>
      </c>
      <c r="P1254">
        <v>0</v>
      </c>
      <c r="Q1254">
        <v>1300000</v>
      </c>
      <c r="R1254">
        <v>0</v>
      </c>
      <c r="S1254">
        <v>0</v>
      </c>
      <c r="T1254" t="str">
        <f t="shared" si="38"/>
        <v>6832.43.4302.85.0-205128.2.3.3.08.06.</v>
      </c>
      <c r="U1254" t="e" cm="1">
        <f t="array" aca="1" ref="U1254" ca="1">+IF(COMPROMISOS_2025[[#This Row],[P]]="20","41080111",_xlfn.XLOOKUP(COMPROMISOS_2025[[#This Row],[concatenado]],PAA[[#All],[RCP-RUBRO]],PAA[[#All],[INDICADOR]],"",0))</f>
        <v>#NAME?</v>
      </c>
      <c r="V1254" s="144" t="str">
        <f t="shared" si="39"/>
        <v>85</v>
      </c>
      <c r="W1254" s="136">
        <f>+COMPROMISOS_2025[[#This Row],[valor_total]]-COMPROMISOS_2025[[#This Row],[total_cancelado]]</f>
        <v>1300000</v>
      </c>
      <c r="X1254" s="136">
        <f>COMPROMISOS_2025[[#This Row],[total_ordenes]]</f>
        <v>1300000</v>
      </c>
      <c r="Y1254" t="str" cm="1">
        <f t="array" aca="1" ref="Y1254" ca="1">IFERROR(_xlfn.XLOOKUP(COMPROMISOS_2025[[#This Row],[concatenado]],PAA[[#All],[RCP-RUBRO]],PAA[[#All],[Actividad3]],VLOOKUP(COMPROMISOS_2025[[#This Row],[Indicador Principal]],$AC$2:$AD$17,2,0),0),"")</f>
        <v/>
      </c>
    </row>
    <row r="1255" spans="1:25" hidden="1" x14ac:dyDescent="0.25">
      <c r="A1255">
        <v>684</v>
      </c>
      <c r="B1255" t="s">
        <v>3916</v>
      </c>
      <c r="C1255" t="s">
        <v>1936</v>
      </c>
      <c r="D1255" t="s">
        <v>3917</v>
      </c>
      <c r="F1255">
        <v>358</v>
      </c>
      <c r="G1255">
        <v>65</v>
      </c>
      <c r="H1255" t="s">
        <v>662</v>
      </c>
      <c r="I1255" t="s">
        <v>2271</v>
      </c>
      <c r="J1255">
        <v>500000</v>
      </c>
      <c r="K1255">
        <v>2025</v>
      </c>
      <c r="L1255">
        <v>1038802466</v>
      </c>
      <c r="M1255" t="s">
        <v>4090</v>
      </c>
      <c r="N1255" t="s">
        <v>1688</v>
      </c>
      <c r="O1255" t="s">
        <v>1686</v>
      </c>
      <c r="P1255">
        <v>0</v>
      </c>
      <c r="Q1255">
        <v>500000</v>
      </c>
      <c r="R1255">
        <v>0</v>
      </c>
      <c r="S1255">
        <v>0</v>
      </c>
      <c r="T1255" t="str">
        <f t="shared" si="38"/>
        <v>6842.43.4302.85.0-205128.2.3.3.08.06.</v>
      </c>
      <c r="U1255" t="e" cm="1">
        <f t="array" aca="1" ref="U1255" ca="1">+IF(COMPROMISOS_2025[[#This Row],[P]]="20","41080111",_xlfn.XLOOKUP(COMPROMISOS_2025[[#This Row],[concatenado]],PAA[[#All],[RCP-RUBRO]],PAA[[#All],[INDICADOR]],"",0))</f>
        <v>#NAME?</v>
      </c>
      <c r="V1255" s="144" t="str">
        <f t="shared" si="39"/>
        <v>85</v>
      </c>
      <c r="W1255" s="136">
        <f>+COMPROMISOS_2025[[#This Row],[valor_total]]-COMPROMISOS_2025[[#This Row],[total_cancelado]]</f>
        <v>500000</v>
      </c>
      <c r="X1255" s="136">
        <f>COMPROMISOS_2025[[#This Row],[total_ordenes]]</f>
        <v>500000</v>
      </c>
      <c r="Y1255" t="str" cm="1">
        <f t="array" aca="1" ref="Y1255" ca="1">IFERROR(_xlfn.XLOOKUP(COMPROMISOS_2025[[#This Row],[concatenado]],PAA[[#All],[RCP-RUBRO]],PAA[[#All],[Actividad3]],VLOOKUP(COMPROMISOS_2025[[#This Row],[Indicador Principal]],$AC$2:$AD$17,2,0),0),"")</f>
        <v/>
      </c>
    </row>
    <row r="1256" spans="1:25" hidden="1" x14ac:dyDescent="0.25">
      <c r="A1256">
        <v>685</v>
      </c>
      <c r="B1256" t="s">
        <v>3916</v>
      </c>
      <c r="C1256" t="s">
        <v>1936</v>
      </c>
      <c r="D1256" t="s">
        <v>3917</v>
      </c>
      <c r="F1256">
        <v>358</v>
      </c>
      <c r="G1256">
        <v>65</v>
      </c>
      <c r="H1256" t="s">
        <v>662</v>
      </c>
      <c r="I1256" t="s">
        <v>2271</v>
      </c>
      <c r="J1256">
        <v>500000</v>
      </c>
      <c r="K1256">
        <v>2025</v>
      </c>
      <c r="L1256">
        <v>1038803562</v>
      </c>
      <c r="M1256" t="s">
        <v>4091</v>
      </c>
      <c r="N1256" t="s">
        <v>1688</v>
      </c>
      <c r="O1256" t="s">
        <v>1686</v>
      </c>
      <c r="P1256">
        <v>0</v>
      </c>
      <c r="Q1256">
        <v>500000</v>
      </c>
      <c r="R1256">
        <v>0</v>
      </c>
      <c r="S1256">
        <v>0</v>
      </c>
      <c r="T1256" t="str">
        <f t="shared" si="38"/>
        <v>6852.43.4302.85.0-205128.2.3.3.08.06.</v>
      </c>
      <c r="U1256" t="e" cm="1">
        <f t="array" aca="1" ref="U1256" ca="1">+IF(COMPROMISOS_2025[[#This Row],[P]]="20","41080111",_xlfn.XLOOKUP(COMPROMISOS_2025[[#This Row],[concatenado]],PAA[[#All],[RCP-RUBRO]],PAA[[#All],[INDICADOR]],"",0))</f>
        <v>#NAME?</v>
      </c>
      <c r="V1256" s="144" t="str">
        <f t="shared" si="39"/>
        <v>85</v>
      </c>
      <c r="W1256" s="136">
        <f>+COMPROMISOS_2025[[#This Row],[valor_total]]-COMPROMISOS_2025[[#This Row],[total_cancelado]]</f>
        <v>500000</v>
      </c>
      <c r="X1256" s="136">
        <f>COMPROMISOS_2025[[#This Row],[total_ordenes]]</f>
        <v>500000</v>
      </c>
      <c r="Y1256" t="str" cm="1">
        <f t="array" aca="1" ref="Y1256" ca="1">IFERROR(_xlfn.XLOOKUP(COMPROMISOS_2025[[#This Row],[concatenado]],PAA[[#All],[RCP-RUBRO]],PAA[[#All],[Actividad3]],VLOOKUP(COMPROMISOS_2025[[#This Row],[Indicador Principal]],$AC$2:$AD$17,2,0),0),"")</f>
        <v/>
      </c>
    </row>
    <row r="1257" spans="1:25" hidden="1" x14ac:dyDescent="0.25">
      <c r="A1257">
        <v>686</v>
      </c>
      <c r="B1257" t="s">
        <v>3916</v>
      </c>
      <c r="C1257" t="s">
        <v>1936</v>
      </c>
      <c r="D1257" t="s">
        <v>3917</v>
      </c>
      <c r="F1257">
        <v>358</v>
      </c>
      <c r="G1257">
        <v>65</v>
      </c>
      <c r="H1257" t="s">
        <v>662</v>
      </c>
      <c r="I1257" t="s">
        <v>2271</v>
      </c>
      <c r="J1257">
        <v>500000</v>
      </c>
      <c r="K1257">
        <v>2025</v>
      </c>
      <c r="L1257">
        <v>1038820708</v>
      </c>
      <c r="M1257" t="s">
        <v>4092</v>
      </c>
      <c r="N1257" t="s">
        <v>1688</v>
      </c>
      <c r="O1257" t="s">
        <v>1686</v>
      </c>
      <c r="P1257">
        <v>0</v>
      </c>
      <c r="Q1257">
        <v>500000</v>
      </c>
      <c r="R1257">
        <v>0</v>
      </c>
      <c r="S1257">
        <v>0</v>
      </c>
      <c r="T1257" t="str">
        <f t="shared" si="38"/>
        <v>6862.43.4302.85.0-205128.2.3.3.08.06.</v>
      </c>
      <c r="U1257" t="e" cm="1">
        <f t="array" aca="1" ref="U1257" ca="1">+IF(COMPROMISOS_2025[[#This Row],[P]]="20","41080111",_xlfn.XLOOKUP(COMPROMISOS_2025[[#This Row],[concatenado]],PAA[[#All],[RCP-RUBRO]],PAA[[#All],[INDICADOR]],"",0))</f>
        <v>#NAME?</v>
      </c>
      <c r="V1257" s="144" t="str">
        <f t="shared" si="39"/>
        <v>85</v>
      </c>
      <c r="W1257" s="136">
        <f>+COMPROMISOS_2025[[#This Row],[valor_total]]-COMPROMISOS_2025[[#This Row],[total_cancelado]]</f>
        <v>500000</v>
      </c>
      <c r="X1257" s="136">
        <f>COMPROMISOS_2025[[#This Row],[total_ordenes]]</f>
        <v>500000</v>
      </c>
      <c r="Y1257" t="str" cm="1">
        <f t="array" aca="1" ref="Y1257" ca="1">IFERROR(_xlfn.XLOOKUP(COMPROMISOS_2025[[#This Row],[concatenado]],PAA[[#All],[RCP-RUBRO]],PAA[[#All],[Actividad3]],VLOOKUP(COMPROMISOS_2025[[#This Row],[Indicador Principal]],$AC$2:$AD$17,2,0),0),"")</f>
        <v/>
      </c>
    </row>
    <row r="1258" spans="1:25" hidden="1" x14ac:dyDescent="0.25">
      <c r="A1258">
        <v>687</v>
      </c>
      <c r="B1258" t="s">
        <v>3916</v>
      </c>
      <c r="C1258" t="s">
        <v>1936</v>
      </c>
      <c r="D1258" t="s">
        <v>3917</v>
      </c>
      <c r="F1258">
        <v>358</v>
      </c>
      <c r="G1258">
        <v>65</v>
      </c>
      <c r="H1258" t="s">
        <v>662</v>
      </c>
      <c r="I1258" t="s">
        <v>2271</v>
      </c>
      <c r="J1258">
        <v>500000</v>
      </c>
      <c r="K1258">
        <v>2025</v>
      </c>
      <c r="L1258">
        <v>1038821086</v>
      </c>
      <c r="M1258" t="s">
        <v>4093</v>
      </c>
      <c r="N1258" t="s">
        <v>1688</v>
      </c>
      <c r="O1258" t="s">
        <v>1686</v>
      </c>
      <c r="P1258">
        <v>0</v>
      </c>
      <c r="Q1258">
        <v>500000</v>
      </c>
      <c r="R1258">
        <v>0</v>
      </c>
      <c r="S1258">
        <v>0</v>
      </c>
      <c r="T1258" t="str">
        <f t="shared" si="38"/>
        <v>6872.43.4302.85.0-205128.2.3.3.08.06.</v>
      </c>
      <c r="U1258" t="e" cm="1">
        <f t="array" aca="1" ref="U1258" ca="1">+IF(COMPROMISOS_2025[[#This Row],[P]]="20","41080111",_xlfn.XLOOKUP(COMPROMISOS_2025[[#This Row],[concatenado]],PAA[[#All],[RCP-RUBRO]],PAA[[#All],[INDICADOR]],"",0))</f>
        <v>#NAME?</v>
      </c>
      <c r="V1258" s="144" t="str">
        <f t="shared" si="39"/>
        <v>85</v>
      </c>
      <c r="W1258" s="136">
        <f>+COMPROMISOS_2025[[#This Row],[valor_total]]-COMPROMISOS_2025[[#This Row],[total_cancelado]]</f>
        <v>500000</v>
      </c>
      <c r="X1258" s="136">
        <f>COMPROMISOS_2025[[#This Row],[total_ordenes]]</f>
        <v>500000</v>
      </c>
      <c r="Y1258" t="str" cm="1">
        <f t="array" aca="1" ref="Y1258" ca="1">IFERROR(_xlfn.XLOOKUP(COMPROMISOS_2025[[#This Row],[concatenado]],PAA[[#All],[RCP-RUBRO]],PAA[[#All],[Actividad3]],VLOOKUP(COMPROMISOS_2025[[#This Row],[Indicador Principal]],$AC$2:$AD$17,2,0),0),"")</f>
        <v/>
      </c>
    </row>
    <row r="1259" spans="1:25" hidden="1" x14ac:dyDescent="0.25">
      <c r="A1259">
        <v>688</v>
      </c>
      <c r="B1259" t="s">
        <v>3916</v>
      </c>
      <c r="C1259" t="s">
        <v>1936</v>
      </c>
      <c r="D1259" t="s">
        <v>3917</v>
      </c>
      <c r="F1259">
        <v>358</v>
      </c>
      <c r="G1259">
        <v>65</v>
      </c>
      <c r="H1259" t="s">
        <v>662</v>
      </c>
      <c r="I1259" t="s">
        <v>2271</v>
      </c>
      <c r="J1259">
        <v>1300000</v>
      </c>
      <c r="K1259">
        <v>2025</v>
      </c>
      <c r="L1259">
        <v>1038822618</v>
      </c>
      <c r="M1259" t="s">
        <v>4094</v>
      </c>
      <c r="N1259" t="s">
        <v>1688</v>
      </c>
      <c r="O1259" t="s">
        <v>1686</v>
      </c>
      <c r="P1259">
        <v>0</v>
      </c>
      <c r="Q1259">
        <v>1300000</v>
      </c>
      <c r="R1259">
        <v>0</v>
      </c>
      <c r="S1259">
        <v>0</v>
      </c>
      <c r="T1259" t="str">
        <f t="shared" si="38"/>
        <v>6882.43.4302.85.0-205128.2.3.3.08.06.</v>
      </c>
      <c r="U1259" t="e" cm="1">
        <f t="array" aca="1" ref="U1259" ca="1">+IF(COMPROMISOS_2025[[#This Row],[P]]="20","41080111",_xlfn.XLOOKUP(COMPROMISOS_2025[[#This Row],[concatenado]],PAA[[#All],[RCP-RUBRO]],PAA[[#All],[INDICADOR]],"",0))</f>
        <v>#NAME?</v>
      </c>
      <c r="V1259" s="144" t="str">
        <f t="shared" si="39"/>
        <v>85</v>
      </c>
      <c r="W1259" s="136">
        <f>+COMPROMISOS_2025[[#This Row],[valor_total]]-COMPROMISOS_2025[[#This Row],[total_cancelado]]</f>
        <v>1300000</v>
      </c>
      <c r="X1259" s="136">
        <f>COMPROMISOS_2025[[#This Row],[total_ordenes]]</f>
        <v>1300000</v>
      </c>
      <c r="Y1259" t="str" cm="1">
        <f t="array" aca="1" ref="Y1259" ca="1">IFERROR(_xlfn.XLOOKUP(COMPROMISOS_2025[[#This Row],[concatenado]],PAA[[#All],[RCP-RUBRO]],PAA[[#All],[Actividad3]],VLOOKUP(COMPROMISOS_2025[[#This Row],[Indicador Principal]],$AC$2:$AD$17,2,0),0),"")</f>
        <v/>
      </c>
    </row>
    <row r="1260" spans="1:25" hidden="1" x14ac:dyDescent="0.25">
      <c r="A1260">
        <v>689</v>
      </c>
      <c r="B1260" t="s">
        <v>3916</v>
      </c>
      <c r="C1260" t="s">
        <v>1936</v>
      </c>
      <c r="D1260" t="s">
        <v>3917</v>
      </c>
      <c r="F1260">
        <v>358</v>
      </c>
      <c r="G1260">
        <v>65</v>
      </c>
      <c r="H1260" t="s">
        <v>662</v>
      </c>
      <c r="I1260" t="s">
        <v>2271</v>
      </c>
      <c r="J1260">
        <v>500000</v>
      </c>
      <c r="K1260">
        <v>2025</v>
      </c>
      <c r="L1260">
        <v>1039024518</v>
      </c>
      <c r="M1260" t="s">
        <v>3811</v>
      </c>
      <c r="N1260" t="s">
        <v>1688</v>
      </c>
      <c r="O1260" t="s">
        <v>1686</v>
      </c>
      <c r="P1260">
        <v>0</v>
      </c>
      <c r="Q1260">
        <v>500000</v>
      </c>
      <c r="R1260">
        <v>0</v>
      </c>
      <c r="S1260">
        <v>0</v>
      </c>
      <c r="T1260" t="str">
        <f t="shared" si="38"/>
        <v>6892.43.4302.85.0-205128.2.3.3.08.06.</v>
      </c>
      <c r="U1260" t="e" cm="1">
        <f t="array" aca="1" ref="U1260" ca="1">+IF(COMPROMISOS_2025[[#This Row],[P]]="20","41080111",_xlfn.XLOOKUP(COMPROMISOS_2025[[#This Row],[concatenado]],PAA[[#All],[RCP-RUBRO]],PAA[[#All],[INDICADOR]],"",0))</f>
        <v>#NAME?</v>
      </c>
      <c r="V1260" s="144" t="str">
        <f t="shared" si="39"/>
        <v>85</v>
      </c>
      <c r="W1260" s="136">
        <f>+COMPROMISOS_2025[[#This Row],[valor_total]]-COMPROMISOS_2025[[#This Row],[total_cancelado]]</f>
        <v>500000</v>
      </c>
      <c r="X1260" s="136">
        <f>COMPROMISOS_2025[[#This Row],[total_ordenes]]</f>
        <v>500000</v>
      </c>
      <c r="Y1260" t="str" cm="1">
        <f t="array" aca="1" ref="Y1260" ca="1">IFERROR(_xlfn.XLOOKUP(COMPROMISOS_2025[[#This Row],[concatenado]],PAA[[#All],[RCP-RUBRO]],PAA[[#All],[Actividad3]],VLOOKUP(COMPROMISOS_2025[[#This Row],[Indicador Principal]],$AC$2:$AD$17,2,0),0),"")</f>
        <v/>
      </c>
    </row>
    <row r="1261" spans="1:25" hidden="1" x14ac:dyDescent="0.25">
      <c r="A1261">
        <v>690</v>
      </c>
      <c r="B1261" t="s">
        <v>3916</v>
      </c>
      <c r="C1261" t="s">
        <v>1936</v>
      </c>
      <c r="D1261" t="s">
        <v>3917</v>
      </c>
      <c r="F1261">
        <v>358</v>
      </c>
      <c r="G1261">
        <v>65</v>
      </c>
      <c r="H1261" t="s">
        <v>662</v>
      </c>
      <c r="I1261" t="s">
        <v>2271</v>
      </c>
      <c r="J1261">
        <v>500000</v>
      </c>
      <c r="K1261">
        <v>2025</v>
      </c>
      <c r="L1261">
        <v>1039463012</v>
      </c>
      <c r="M1261" t="s">
        <v>4095</v>
      </c>
      <c r="N1261" t="s">
        <v>1688</v>
      </c>
      <c r="O1261" t="s">
        <v>1686</v>
      </c>
      <c r="P1261">
        <v>0</v>
      </c>
      <c r="Q1261">
        <v>500000</v>
      </c>
      <c r="R1261">
        <v>0</v>
      </c>
      <c r="S1261">
        <v>0</v>
      </c>
      <c r="T1261" t="str">
        <f t="shared" si="38"/>
        <v>6902.43.4302.85.0-205128.2.3.3.08.06.</v>
      </c>
      <c r="U1261" t="e" cm="1">
        <f t="array" aca="1" ref="U1261" ca="1">+IF(COMPROMISOS_2025[[#This Row],[P]]="20","41080111",_xlfn.XLOOKUP(COMPROMISOS_2025[[#This Row],[concatenado]],PAA[[#All],[RCP-RUBRO]],PAA[[#All],[INDICADOR]],"",0))</f>
        <v>#NAME?</v>
      </c>
      <c r="V1261" s="144" t="str">
        <f t="shared" si="39"/>
        <v>85</v>
      </c>
      <c r="W1261" s="136">
        <f>+COMPROMISOS_2025[[#This Row],[valor_total]]-COMPROMISOS_2025[[#This Row],[total_cancelado]]</f>
        <v>500000</v>
      </c>
      <c r="X1261" s="136">
        <f>COMPROMISOS_2025[[#This Row],[total_ordenes]]</f>
        <v>500000</v>
      </c>
      <c r="Y1261" t="str" cm="1">
        <f t="array" aca="1" ref="Y1261" ca="1">IFERROR(_xlfn.XLOOKUP(COMPROMISOS_2025[[#This Row],[concatenado]],PAA[[#All],[RCP-RUBRO]],PAA[[#All],[Actividad3]],VLOOKUP(COMPROMISOS_2025[[#This Row],[Indicador Principal]],$AC$2:$AD$17,2,0),0),"")</f>
        <v/>
      </c>
    </row>
    <row r="1262" spans="1:25" hidden="1" x14ac:dyDescent="0.25">
      <c r="A1262">
        <v>691</v>
      </c>
      <c r="B1262" t="s">
        <v>3916</v>
      </c>
      <c r="C1262" t="s">
        <v>1936</v>
      </c>
      <c r="D1262" t="s">
        <v>3917</v>
      </c>
      <c r="F1262">
        <v>358</v>
      </c>
      <c r="G1262">
        <v>65</v>
      </c>
      <c r="H1262" t="s">
        <v>662</v>
      </c>
      <c r="I1262" t="s">
        <v>2271</v>
      </c>
      <c r="J1262">
        <v>500000</v>
      </c>
      <c r="K1262">
        <v>2025</v>
      </c>
      <c r="L1262">
        <v>1039464250</v>
      </c>
      <c r="M1262" t="s">
        <v>4096</v>
      </c>
      <c r="N1262" t="s">
        <v>1688</v>
      </c>
      <c r="O1262" t="s">
        <v>1686</v>
      </c>
      <c r="P1262">
        <v>0</v>
      </c>
      <c r="Q1262">
        <v>500000</v>
      </c>
      <c r="R1262">
        <v>0</v>
      </c>
      <c r="S1262">
        <v>0</v>
      </c>
      <c r="T1262" t="str">
        <f t="shared" si="38"/>
        <v>6912.43.4302.85.0-205128.2.3.3.08.06.</v>
      </c>
      <c r="U1262" t="e" cm="1">
        <f t="array" aca="1" ref="U1262" ca="1">+IF(COMPROMISOS_2025[[#This Row],[P]]="20","41080111",_xlfn.XLOOKUP(COMPROMISOS_2025[[#This Row],[concatenado]],PAA[[#All],[RCP-RUBRO]],PAA[[#All],[INDICADOR]],"",0))</f>
        <v>#NAME?</v>
      </c>
      <c r="V1262" s="144" t="str">
        <f t="shared" si="39"/>
        <v>85</v>
      </c>
      <c r="W1262" s="136">
        <f>+COMPROMISOS_2025[[#This Row],[valor_total]]-COMPROMISOS_2025[[#This Row],[total_cancelado]]</f>
        <v>500000</v>
      </c>
      <c r="X1262" s="136">
        <f>COMPROMISOS_2025[[#This Row],[total_ordenes]]</f>
        <v>500000</v>
      </c>
      <c r="Y1262" t="str" cm="1">
        <f t="array" aca="1" ref="Y1262" ca="1">IFERROR(_xlfn.XLOOKUP(COMPROMISOS_2025[[#This Row],[concatenado]],PAA[[#All],[RCP-RUBRO]],PAA[[#All],[Actividad3]],VLOOKUP(COMPROMISOS_2025[[#This Row],[Indicador Principal]],$AC$2:$AD$17,2,0),0),"")</f>
        <v/>
      </c>
    </row>
    <row r="1263" spans="1:25" hidden="1" x14ac:dyDescent="0.25">
      <c r="A1263">
        <v>692</v>
      </c>
      <c r="B1263" t="s">
        <v>3916</v>
      </c>
      <c r="C1263" t="s">
        <v>1936</v>
      </c>
      <c r="D1263" t="s">
        <v>3917</v>
      </c>
      <c r="F1263">
        <v>358</v>
      </c>
      <c r="G1263">
        <v>65</v>
      </c>
      <c r="H1263" t="s">
        <v>662</v>
      </c>
      <c r="I1263" t="s">
        <v>2271</v>
      </c>
      <c r="J1263">
        <v>500000</v>
      </c>
      <c r="K1263">
        <v>2025</v>
      </c>
      <c r="L1263">
        <v>1040181256</v>
      </c>
      <c r="M1263" t="s">
        <v>3815</v>
      </c>
      <c r="N1263" t="s">
        <v>1688</v>
      </c>
      <c r="O1263" t="s">
        <v>1686</v>
      </c>
      <c r="P1263">
        <v>0</v>
      </c>
      <c r="Q1263">
        <v>500000</v>
      </c>
      <c r="R1263">
        <v>0</v>
      </c>
      <c r="S1263">
        <v>0</v>
      </c>
      <c r="T1263" t="str">
        <f t="shared" si="38"/>
        <v>6922.43.4302.85.0-205128.2.3.3.08.06.</v>
      </c>
      <c r="U1263" t="e" cm="1">
        <f t="array" aca="1" ref="U1263" ca="1">+IF(COMPROMISOS_2025[[#This Row],[P]]="20","41080111",_xlfn.XLOOKUP(COMPROMISOS_2025[[#This Row],[concatenado]],PAA[[#All],[RCP-RUBRO]],PAA[[#All],[INDICADOR]],"",0))</f>
        <v>#NAME?</v>
      </c>
      <c r="V1263" s="144" t="str">
        <f t="shared" si="39"/>
        <v>85</v>
      </c>
      <c r="W1263" s="136">
        <f>+COMPROMISOS_2025[[#This Row],[valor_total]]-COMPROMISOS_2025[[#This Row],[total_cancelado]]</f>
        <v>500000</v>
      </c>
      <c r="X1263" s="136">
        <f>COMPROMISOS_2025[[#This Row],[total_ordenes]]</f>
        <v>500000</v>
      </c>
      <c r="Y1263" t="str" cm="1">
        <f t="array" aca="1" ref="Y1263" ca="1">IFERROR(_xlfn.XLOOKUP(COMPROMISOS_2025[[#This Row],[concatenado]],PAA[[#All],[RCP-RUBRO]],PAA[[#All],[Actividad3]],VLOOKUP(COMPROMISOS_2025[[#This Row],[Indicador Principal]],$AC$2:$AD$17,2,0),0),"")</f>
        <v/>
      </c>
    </row>
    <row r="1264" spans="1:25" hidden="1" x14ac:dyDescent="0.25">
      <c r="A1264">
        <v>693</v>
      </c>
      <c r="B1264" t="s">
        <v>3916</v>
      </c>
      <c r="C1264" t="s">
        <v>1936</v>
      </c>
      <c r="D1264" t="s">
        <v>3917</v>
      </c>
      <c r="F1264">
        <v>358</v>
      </c>
      <c r="G1264">
        <v>65</v>
      </c>
      <c r="H1264" t="s">
        <v>662</v>
      </c>
      <c r="I1264" t="s">
        <v>2271</v>
      </c>
      <c r="J1264">
        <v>800000</v>
      </c>
      <c r="K1264">
        <v>2025</v>
      </c>
      <c r="L1264">
        <v>1040182080</v>
      </c>
      <c r="M1264" t="s">
        <v>4097</v>
      </c>
      <c r="N1264" t="s">
        <v>1688</v>
      </c>
      <c r="O1264" t="s">
        <v>1686</v>
      </c>
      <c r="P1264">
        <v>0</v>
      </c>
      <c r="Q1264">
        <v>800000</v>
      </c>
      <c r="R1264">
        <v>0</v>
      </c>
      <c r="S1264">
        <v>0</v>
      </c>
      <c r="T1264" t="str">
        <f t="shared" si="38"/>
        <v>6932.43.4302.85.0-205128.2.3.3.08.06.</v>
      </c>
      <c r="U1264" t="e" cm="1">
        <f t="array" aca="1" ref="U1264" ca="1">+IF(COMPROMISOS_2025[[#This Row],[P]]="20","41080111",_xlfn.XLOOKUP(COMPROMISOS_2025[[#This Row],[concatenado]],PAA[[#All],[RCP-RUBRO]],PAA[[#All],[INDICADOR]],"",0))</f>
        <v>#NAME?</v>
      </c>
      <c r="V1264" s="144" t="str">
        <f t="shared" si="39"/>
        <v>85</v>
      </c>
      <c r="W1264" s="136">
        <f>+COMPROMISOS_2025[[#This Row],[valor_total]]-COMPROMISOS_2025[[#This Row],[total_cancelado]]</f>
        <v>800000</v>
      </c>
      <c r="X1264" s="136">
        <f>COMPROMISOS_2025[[#This Row],[total_ordenes]]</f>
        <v>800000</v>
      </c>
      <c r="Y1264" t="str" cm="1">
        <f t="array" aca="1" ref="Y1264" ca="1">IFERROR(_xlfn.XLOOKUP(COMPROMISOS_2025[[#This Row],[concatenado]],PAA[[#All],[RCP-RUBRO]],PAA[[#All],[Actividad3]],VLOOKUP(COMPROMISOS_2025[[#This Row],[Indicador Principal]],$AC$2:$AD$17,2,0),0),"")</f>
        <v/>
      </c>
    </row>
    <row r="1265" spans="1:25" hidden="1" x14ac:dyDescent="0.25">
      <c r="A1265">
        <v>694</v>
      </c>
      <c r="B1265" t="s">
        <v>3916</v>
      </c>
      <c r="C1265" t="s">
        <v>1936</v>
      </c>
      <c r="D1265" t="s">
        <v>3917</v>
      </c>
      <c r="F1265">
        <v>358</v>
      </c>
      <c r="G1265">
        <v>65</v>
      </c>
      <c r="H1265" t="s">
        <v>662</v>
      </c>
      <c r="I1265" t="s">
        <v>2271</v>
      </c>
      <c r="J1265">
        <v>1300000</v>
      </c>
      <c r="K1265">
        <v>2025</v>
      </c>
      <c r="L1265">
        <v>1040351861</v>
      </c>
      <c r="M1265" t="s">
        <v>4098</v>
      </c>
      <c r="N1265" t="s">
        <v>1688</v>
      </c>
      <c r="O1265" t="s">
        <v>1686</v>
      </c>
      <c r="P1265">
        <v>0</v>
      </c>
      <c r="Q1265">
        <v>1300000</v>
      </c>
      <c r="R1265">
        <v>0</v>
      </c>
      <c r="S1265">
        <v>0</v>
      </c>
      <c r="T1265" t="str">
        <f t="shared" si="38"/>
        <v>6942.43.4302.85.0-205128.2.3.3.08.06.</v>
      </c>
      <c r="U1265" t="e" cm="1">
        <f t="array" aca="1" ref="U1265" ca="1">+IF(COMPROMISOS_2025[[#This Row],[P]]="20","41080111",_xlfn.XLOOKUP(COMPROMISOS_2025[[#This Row],[concatenado]],PAA[[#All],[RCP-RUBRO]],PAA[[#All],[INDICADOR]],"",0))</f>
        <v>#NAME?</v>
      </c>
      <c r="V1265" s="144" t="str">
        <f t="shared" si="39"/>
        <v>85</v>
      </c>
      <c r="W1265" s="136">
        <f>+COMPROMISOS_2025[[#This Row],[valor_total]]-COMPROMISOS_2025[[#This Row],[total_cancelado]]</f>
        <v>1300000</v>
      </c>
      <c r="X1265" s="136">
        <f>COMPROMISOS_2025[[#This Row],[total_ordenes]]</f>
        <v>1300000</v>
      </c>
      <c r="Y1265" t="str" cm="1">
        <f t="array" aca="1" ref="Y1265" ca="1">IFERROR(_xlfn.XLOOKUP(COMPROMISOS_2025[[#This Row],[concatenado]],PAA[[#All],[RCP-RUBRO]],PAA[[#All],[Actividad3]],VLOOKUP(COMPROMISOS_2025[[#This Row],[Indicador Principal]],$AC$2:$AD$17,2,0),0),"")</f>
        <v/>
      </c>
    </row>
    <row r="1266" spans="1:25" hidden="1" x14ac:dyDescent="0.25">
      <c r="A1266">
        <v>695</v>
      </c>
      <c r="B1266" t="s">
        <v>3916</v>
      </c>
      <c r="C1266" t="s">
        <v>1936</v>
      </c>
      <c r="D1266" t="s">
        <v>3917</v>
      </c>
      <c r="F1266">
        <v>358</v>
      </c>
      <c r="G1266">
        <v>65</v>
      </c>
      <c r="H1266" t="s">
        <v>662</v>
      </c>
      <c r="I1266" t="s">
        <v>2271</v>
      </c>
      <c r="J1266">
        <v>1300000</v>
      </c>
      <c r="K1266">
        <v>2025</v>
      </c>
      <c r="L1266">
        <v>1040358221</v>
      </c>
      <c r="M1266" t="s">
        <v>4099</v>
      </c>
      <c r="N1266" t="s">
        <v>1688</v>
      </c>
      <c r="O1266" t="s">
        <v>1686</v>
      </c>
      <c r="P1266">
        <v>0</v>
      </c>
      <c r="Q1266">
        <v>1300000</v>
      </c>
      <c r="R1266">
        <v>0</v>
      </c>
      <c r="S1266">
        <v>0</v>
      </c>
      <c r="T1266" t="str">
        <f t="shared" si="38"/>
        <v>6952.43.4302.85.0-205128.2.3.3.08.06.</v>
      </c>
      <c r="U1266" t="e" cm="1">
        <f t="array" aca="1" ref="U1266" ca="1">+IF(COMPROMISOS_2025[[#This Row],[P]]="20","41080111",_xlfn.XLOOKUP(COMPROMISOS_2025[[#This Row],[concatenado]],PAA[[#All],[RCP-RUBRO]],PAA[[#All],[INDICADOR]],"",0))</f>
        <v>#NAME?</v>
      </c>
      <c r="V1266" s="144" t="str">
        <f t="shared" si="39"/>
        <v>85</v>
      </c>
      <c r="W1266" s="136">
        <f>+COMPROMISOS_2025[[#This Row],[valor_total]]-COMPROMISOS_2025[[#This Row],[total_cancelado]]</f>
        <v>1300000</v>
      </c>
      <c r="X1266" s="136">
        <f>COMPROMISOS_2025[[#This Row],[total_ordenes]]</f>
        <v>1300000</v>
      </c>
      <c r="Y1266" t="str" cm="1">
        <f t="array" aca="1" ref="Y1266" ca="1">IFERROR(_xlfn.XLOOKUP(COMPROMISOS_2025[[#This Row],[concatenado]],PAA[[#All],[RCP-RUBRO]],PAA[[#All],[Actividad3]],VLOOKUP(COMPROMISOS_2025[[#This Row],[Indicador Principal]],$AC$2:$AD$17,2,0),0),"")</f>
        <v/>
      </c>
    </row>
    <row r="1267" spans="1:25" hidden="1" x14ac:dyDescent="0.25">
      <c r="A1267">
        <v>696</v>
      </c>
      <c r="B1267" t="s">
        <v>3916</v>
      </c>
      <c r="C1267" t="s">
        <v>1936</v>
      </c>
      <c r="D1267" t="s">
        <v>3917</v>
      </c>
      <c r="F1267">
        <v>358</v>
      </c>
      <c r="G1267">
        <v>65</v>
      </c>
      <c r="H1267" t="s">
        <v>662</v>
      </c>
      <c r="I1267" t="s">
        <v>2271</v>
      </c>
      <c r="J1267">
        <v>1300000</v>
      </c>
      <c r="K1267">
        <v>2025</v>
      </c>
      <c r="L1267">
        <v>1040358334</v>
      </c>
      <c r="M1267" t="s">
        <v>3816</v>
      </c>
      <c r="N1267" t="s">
        <v>1688</v>
      </c>
      <c r="O1267" t="s">
        <v>1686</v>
      </c>
      <c r="P1267">
        <v>0</v>
      </c>
      <c r="Q1267">
        <v>1300000</v>
      </c>
      <c r="R1267">
        <v>0</v>
      </c>
      <c r="S1267">
        <v>0</v>
      </c>
      <c r="T1267" t="str">
        <f t="shared" si="38"/>
        <v>6962.43.4302.85.0-205128.2.3.3.08.06.</v>
      </c>
      <c r="U1267" t="e" cm="1">
        <f t="array" aca="1" ref="U1267" ca="1">+IF(COMPROMISOS_2025[[#This Row],[P]]="20","41080111",_xlfn.XLOOKUP(COMPROMISOS_2025[[#This Row],[concatenado]],PAA[[#All],[RCP-RUBRO]],PAA[[#All],[INDICADOR]],"",0))</f>
        <v>#NAME?</v>
      </c>
      <c r="V1267" s="144" t="str">
        <f t="shared" si="39"/>
        <v>85</v>
      </c>
      <c r="W1267" s="136">
        <f>+COMPROMISOS_2025[[#This Row],[valor_total]]-COMPROMISOS_2025[[#This Row],[total_cancelado]]</f>
        <v>1300000</v>
      </c>
      <c r="X1267" s="136">
        <f>COMPROMISOS_2025[[#This Row],[total_ordenes]]</f>
        <v>1300000</v>
      </c>
      <c r="Y1267" t="str" cm="1">
        <f t="array" aca="1" ref="Y1267" ca="1">IFERROR(_xlfn.XLOOKUP(COMPROMISOS_2025[[#This Row],[concatenado]],PAA[[#All],[RCP-RUBRO]],PAA[[#All],[Actividad3]],VLOOKUP(COMPROMISOS_2025[[#This Row],[Indicador Principal]],$AC$2:$AD$17,2,0),0),"")</f>
        <v/>
      </c>
    </row>
    <row r="1268" spans="1:25" hidden="1" x14ac:dyDescent="0.25">
      <c r="A1268">
        <v>697</v>
      </c>
      <c r="B1268" t="s">
        <v>3916</v>
      </c>
      <c r="C1268" t="s">
        <v>1936</v>
      </c>
      <c r="D1268" t="s">
        <v>3917</v>
      </c>
      <c r="F1268">
        <v>358</v>
      </c>
      <c r="G1268">
        <v>65</v>
      </c>
      <c r="H1268" t="s">
        <v>662</v>
      </c>
      <c r="I1268" t="s">
        <v>2271</v>
      </c>
      <c r="J1268">
        <v>1300000</v>
      </c>
      <c r="K1268">
        <v>2025</v>
      </c>
      <c r="L1268">
        <v>1040368312</v>
      </c>
      <c r="M1268" t="s">
        <v>3819</v>
      </c>
      <c r="N1268" t="s">
        <v>1688</v>
      </c>
      <c r="O1268" t="s">
        <v>1686</v>
      </c>
      <c r="P1268">
        <v>0</v>
      </c>
      <c r="Q1268">
        <v>1300000</v>
      </c>
      <c r="R1268">
        <v>0</v>
      </c>
      <c r="S1268">
        <v>0</v>
      </c>
      <c r="T1268" t="str">
        <f t="shared" si="38"/>
        <v>6972.43.4302.85.0-205128.2.3.3.08.06.</v>
      </c>
      <c r="U1268" t="e" cm="1">
        <f t="array" aca="1" ref="U1268" ca="1">+IF(COMPROMISOS_2025[[#This Row],[P]]="20","41080111",_xlfn.XLOOKUP(COMPROMISOS_2025[[#This Row],[concatenado]],PAA[[#All],[RCP-RUBRO]],PAA[[#All],[INDICADOR]],"",0))</f>
        <v>#NAME?</v>
      </c>
      <c r="V1268" s="144" t="str">
        <f t="shared" si="39"/>
        <v>85</v>
      </c>
      <c r="W1268" s="136">
        <f>+COMPROMISOS_2025[[#This Row],[valor_total]]-COMPROMISOS_2025[[#This Row],[total_cancelado]]</f>
        <v>1300000</v>
      </c>
      <c r="X1268" s="136">
        <f>COMPROMISOS_2025[[#This Row],[total_ordenes]]</f>
        <v>1300000</v>
      </c>
      <c r="Y1268" t="str" cm="1">
        <f t="array" aca="1" ref="Y1268" ca="1">IFERROR(_xlfn.XLOOKUP(COMPROMISOS_2025[[#This Row],[concatenado]],PAA[[#All],[RCP-RUBRO]],PAA[[#All],[Actividad3]],VLOOKUP(COMPROMISOS_2025[[#This Row],[Indicador Principal]],$AC$2:$AD$17,2,0),0),"")</f>
        <v/>
      </c>
    </row>
    <row r="1269" spans="1:25" hidden="1" x14ac:dyDescent="0.25">
      <c r="A1269">
        <v>698</v>
      </c>
      <c r="B1269" t="s">
        <v>3916</v>
      </c>
      <c r="C1269" t="s">
        <v>1936</v>
      </c>
      <c r="D1269" t="s">
        <v>3917</v>
      </c>
      <c r="F1269">
        <v>358</v>
      </c>
      <c r="G1269">
        <v>65</v>
      </c>
      <c r="H1269" t="s">
        <v>662</v>
      </c>
      <c r="I1269" t="s">
        <v>2271</v>
      </c>
      <c r="J1269">
        <v>500000</v>
      </c>
      <c r="K1269">
        <v>2025</v>
      </c>
      <c r="L1269">
        <v>1040370251</v>
      </c>
      <c r="M1269" t="s">
        <v>4100</v>
      </c>
      <c r="N1269" t="s">
        <v>1688</v>
      </c>
      <c r="O1269" t="s">
        <v>1686</v>
      </c>
      <c r="P1269">
        <v>0</v>
      </c>
      <c r="Q1269">
        <v>500000</v>
      </c>
      <c r="R1269">
        <v>0</v>
      </c>
      <c r="S1269">
        <v>0</v>
      </c>
      <c r="T1269" t="str">
        <f t="shared" si="38"/>
        <v>6982.43.4302.85.0-205128.2.3.3.08.06.</v>
      </c>
      <c r="U1269" t="e" cm="1">
        <f t="array" aca="1" ref="U1269" ca="1">+IF(COMPROMISOS_2025[[#This Row],[P]]="20","41080111",_xlfn.XLOOKUP(COMPROMISOS_2025[[#This Row],[concatenado]],PAA[[#All],[RCP-RUBRO]],PAA[[#All],[INDICADOR]],"",0))</f>
        <v>#NAME?</v>
      </c>
      <c r="V1269" s="144" t="str">
        <f t="shared" si="39"/>
        <v>85</v>
      </c>
      <c r="W1269" s="136">
        <f>+COMPROMISOS_2025[[#This Row],[valor_total]]-COMPROMISOS_2025[[#This Row],[total_cancelado]]</f>
        <v>500000</v>
      </c>
      <c r="X1269" s="136">
        <f>COMPROMISOS_2025[[#This Row],[total_ordenes]]</f>
        <v>500000</v>
      </c>
      <c r="Y1269" t="str" cm="1">
        <f t="array" aca="1" ref="Y1269" ca="1">IFERROR(_xlfn.XLOOKUP(COMPROMISOS_2025[[#This Row],[concatenado]],PAA[[#All],[RCP-RUBRO]],PAA[[#All],[Actividad3]],VLOOKUP(COMPROMISOS_2025[[#This Row],[Indicador Principal]],$AC$2:$AD$17,2,0),0),"")</f>
        <v/>
      </c>
    </row>
    <row r="1270" spans="1:25" hidden="1" x14ac:dyDescent="0.25">
      <c r="A1270">
        <v>699</v>
      </c>
      <c r="B1270" t="s">
        <v>3916</v>
      </c>
      <c r="C1270" t="s">
        <v>1936</v>
      </c>
      <c r="D1270" t="s">
        <v>3917</v>
      </c>
      <c r="F1270">
        <v>358</v>
      </c>
      <c r="G1270">
        <v>65</v>
      </c>
      <c r="H1270" t="s">
        <v>662</v>
      </c>
      <c r="I1270" t="s">
        <v>2271</v>
      </c>
      <c r="J1270">
        <v>500000</v>
      </c>
      <c r="K1270">
        <v>2025</v>
      </c>
      <c r="L1270">
        <v>1040506785</v>
      </c>
      <c r="M1270" t="s">
        <v>4101</v>
      </c>
      <c r="N1270" t="s">
        <v>1688</v>
      </c>
      <c r="O1270" t="s">
        <v>1686</v>
      </c>
      <c r="P1270">
        <v>0</v>
      </c>
      <c r="Q1270">
        <v>500000</v>
      </c>
      <c r="R1270">
        <v>0</v>
      </c>
      <c r="S1270">
        <v>0</v>
      </c>
      <c r="T1270" t="str">
        <f t="shared" si="38"/>
        <v>6992.43.4302.85.0-205128.2.3.3.08.06.</v>
      </c>
      <c r="U1270" t="e" cm="1">
        <f t="array" aca="1" ref="U1270" ca="1">+IF(COMPROMISOS_2025[[#This Row],[P]]="20","41080111",_xlfn.XLOOKUP(COMPROMISOS_2025[[#This Row],[concatenado]],PAA[[#All],[RCP-RUBRO]],PAA[[#All],[INDICADOR]],"",0))</f>
        <v>#NAME?</v>
      </c>
      <c r="V1270" s="144" t="str">
        <f t="shared" si="39"/>
        <v>85</v>
      </c>
      <c r="W1270" s="136">
        <f>+COMPROMISOS_2025[[#This Row],[valor_total]]-COMPROMISOS_2025[[#This Row],[total_cancelado]]</f>
        <v>500000</v>
      </c>
      <c r="X1270" s="136">
        <f>COMPROMISOS_2025[[#This Row],[total_ordenes]]</f>
        <v>500000</v>
      </c>
      <c r="Y1270" t="str" cm="1">
        <f t="array" aca="1" ref="Y1270" ca="1">IFERROR(_xlfn.XLOOKUP(COMPROMISOS_2025[[#This Row],[concatenado]],PAA[[#All],[RCP-RUBRO]],PAA[[#All],[Actividad3]],VLOOKUP(COMPROMISOS_2025[[#This Row],[Indicador Principal]],$AC$2:$AD$17,2,0),0),"")</f>
        <v/>
      </c>
    </row>
    <row r="1271" spans="1:25" hidden="1" x14ac:dyDescent="0.25">
      <c r="A1271">
        <v>700</v>
      </c>
      <c r="B1271" t="s">
        <v>3916</v>
      </c>
      <c r="C1271" t="s">
        <v>1936</v>
      </c>
      <c r="D1271" t="s">
        <v>3917</v>
      </c>
      <c r="F1271">
        <v>358</v>
      </c>
      <c r="G1271">
        <v>65</v>
      </c>
      <c r="H1271" t="s">
        <v>662</v>
      </c>
      <c r="I1271" t="s">
        <v>2271</v>
      </c>
      <c r="J1271">
        <v>800000</v>
      </c>
      <c r="K1271">
        <v>2025</v>
      </c>
      <c r="L1271">
        <v>1040750941</v>
      </c>
      <c r="M1271" t="s">
        <v>3822</v>
      </c>
      <c r="N1271" t="s">
        <v>1688</v>
      </c>
      <c r="O1271" t="s">
        <v>1686</v>
      </c>
      <c r="P1271">
        <v>0</v>
      </c>
      <c r="Q1271">
        <v>800000</v>
      </c>
      <c r="R1271">
        <v>0</v>
      </c>
      <c r="S1271">
        <v>0</v>
      </c>
      <c r="T1271" t="str">
        <f t="shared" si="38"/>
        <v>7002.43.4302.85.0-205128.2.3.3.08.06.</v>
      </c>
      <c r="U1271" t="e" cm="1">
        <f t="array" aca="1" ref="U1271" ca="1">+IF(COMPROMISOS_2025[[#This Row],[P]]="20","41080111",_xlfn.XLOOKUP(COMPROMISOS_2025[[#This Row],[concatenado]],PAA[[#All],[RCP-RUBRO]],PAA[[#All],[INDICADOR]],"",0))</f>
        <v>#NAME?</v>
      </c>
      <c r="V1271" s="144" t="str">
        <f t="shared" si="39"/>
        <v>85</v>
      </c>
      <c r="W1271" s="136">
        <f>+COMPROMISOS_2025[[#This Row],[valor_total]]-COMPROMISOS_2025[[#This Row],[total_cancelado]]</f>
        <v>800000</v>
      </c>
      <c r="X1271" s="136">
        <f>COMPROMISOS_2025[[#This Row],[total_ordenes]]</f>
        <v>800000</v>
      </c>
      <c r="Y1271" t="str" cm="1">
        <f t="array" aca="1" ref="Y1271" ca="1">IFERROR(_xlfn.XLOOKUP(COMPROMISOS_2025[[#This Row],[concatenado]],PAA[[#All],[RCP-RUBRO]],PAA[[#All],[Actividad3]],VLOOKUP(COMPROMISOS_2025[[#This Row],[Indicador Principal]],$AC$2:$AD$17,2,0),0),"")</f>
        <v/>
      </c>
    </row>
    <row r="1272" spans="1:25" hidden="1" x14ac:dyDescent="0.25">
      <c r="A1272">
        <v>701</v>
      </c>
      <c r="B1272" t="s">
        <v>3916</v>
      </c>
      <c r="C1272" t="s">
        <v>1936</v>
      </c>
      <c r="D1272" t="s">
        <v>3917</v>
      </c>
      <c r="F1272">
        <v>358</v>
      </c>
      <c r="G1272">
        <v>65</v>
      </c>
      <c r="H1272" t="s">
        <v>662</v>
      </c>
      <c r="I1272" t="s">
        <v>2271</v>
      </c>
      <c r="J1272">
        <v>500000</v>
      </c>
      <c r="K1272">
        <v>2025</v>
      </c>
      <c r="L1272">
        <v>1040872930</v>
      </c>
      <c r="M1272" t="s">
        <v>4102</v>
      </c>
      <c r="N1272" t="s">
        <v>1688</v>
      </c>
      <c r="O1272" t="s">
        <v>1686</v>
      </c>
      <c r="P1272">
        <v>0</v>
      </c>
      <c r="Q1272">
        <v>500000</v>
      </c>
      <c r="R1272">
        <v>0</v>
      </c>
      <c r="S1272">
        <v>0</v>
      </c>
      <c r="T1272" t="str">
        <f t="shared" si="38"/>
        <v>7012.43.4302.85.0-205128.2.3.3.08.06.</v>
      </c>
      <c r="U1272" t="e" cm="1">
        <f t="array" aca="1" ref="U1272" ca="1">+IF(COMPROMISOS_2025[[#This Row],[P]]="20","41080111",_xlfn.XLOOKUP(COMPROMISOS_2025[[#This Row],[concatenado]],PAA[[#All],[RCP-RUBRO]],PAA[[#All],[INDICADOR]],"",0))</f>
        <v>#NAME?</v>
      </c>
      <c r="V1272" s="144" t="str">
        <f t="shared" si="39"/>
        <v>85</v>
      </c>
      <c r="W1272" s="136">
        <f>+COMPROMISOS_2025[[#This Row],[valor_total]]-COMPROMISOS_2025[[#This Row],[total_cancelado]]</f>
        <v>500000</v>
      </c>
      <c r="X1272" s="136">
        <f>COMPROMISOS_2025[[#This Row],[total_ordenes]]</f>
        <v>500000</v>
      </c>
      <c r="Y1272" t="str" cm="1">
        <f t="array" aca="1" ref="Y1272" ca="1">IFERROR(_xlfn.XLOOKUP(COMPROMISOS_2025[[#This Row],[concatenado]],PAA[[#All],[RCP-RUBRO]],PAA[[#All],[Actividad3]],VLOOKUP(COMPROMISOS_2025[[#This Row],[Indicador Principal]],$AC$2:$AD$17,2,0),0),"")</f>
        <v/>
      </c>
    </row>
    <row r="1273" spans="1:25" hidden="1" x14ac:dyDescent="0.25">
      <c r="A1273">
        <v>702</v>
      </c>
      <c r="B1273" t="s">
        <v>3916</v>
      </c>
      <c r="C1273" t="s">
        <v>1936</v>
      </c>
      <c r="D1273" t="s">
        <v>3917</v>
      </c>
      <c r="F1273">
        <v>358</v>
      </c>
      <c r="G1273">
        <v>65</v>
      </c>
      <c r="H1273" t="s">
        <v>662</v>
      </c>
      <c r="I1273" t="s">
        <v>2271</v>
      </c>
      <c r="J1273">
        <v>500000</v>
      </c>
      <c r="K1273">
        <v>2025</v>
      </c>
      <c r="L1273">
        <v>1040876263</v>
      </c>
      <c r="M1273" t="s">
        <v>4103</v>
      </c>
      <c r="N1273" t="s">
        <v>1688</v>
      </c>
      <c r="O1273" t="s">
        <v>1686</v>
      </c>
      <c r="P1273">
        <v>0</v>
      </c>
      <c r="Q1273">
        <v>500000</v>
      </c>
      <c r="R1273">
        <v>0</v>
      </c>
      <c r="S1273">
        <v>0</v>
      </c>
      <c r="T1273" t="str">
        <f t="shared" si="38"/>
        <v>7022.43.4302.85.0-205128.2.3.3.08.06.</v>
      </c>
      <c r="U1273" t="e" cm="1">
        <f t="array" aca="1" ref="U1273" ca="1">+IF(COMPROMISOS_2025[[#This Row],[P]]="20","41080111",_xlfn.XLOOKUP(COMPROMISOS_2025[[#This Row],[concatenado]],PAA[[#All],[RCP-RUBRO]],PAA[[#All],[INDICADOR]],"",0))</f>
        <v>#NAME?</v>
      </c>
      <c r="V1273" s="144" t="str">
        <f t="shared" si="39"/>
        <v>85</v>
      </c>
      <c r="W1273" s="136">
        <f>+COMPROMISOS_2025[[#This Row],[valor_total]]-COMPROMISOS_2025[[#This Row],[total_cancelado]]</f>
        <v>500000</v>
      </c>
      <c r="X1273" s="136">
        <f>COMPROMISOS_2025[[#This Row],[total_ordenes]]</f>
        <v>500000</v>
      </c>
      <c r="Y1273" t="str" cm="1">
        <f t="array" aca="1" ref="Y1273" ca="1">IFERROR(_xlfn.XLOOKUP(COMPROMISOS_2025[[#This Row],[concatenado]],PAA[[#All],[RCP-RUBRO]],PAA[[#All],[Actividad3]],VLOOKUP(COMPROMISOS_2025[[#This Row],[Indicador Principal]],$AC$2:$AD$17,2,0),0),"")</f>
        <v/>
      </c>
    </row>
    <row r="1274" spans="1:25" hidden="1" x14ac:dyDescent="0.25">
      <c r="A1274">
        <v>703</v>
      </c>
      <c r="B1274" t="s">
        <v>3916</v>
      </c>
      <c r="C1274" t="s">
        <v>1936</v>
      </c>
      <c r="D1274" t="s">
        <v>3917</v>
      </c>
      <c r="F1274">
        <v>358</v>
      </c>
      <c r="G1274">
        <v>65</v>
      </c>
      <c r="H1274" t="s">
        <v>662</v>
      </c>
      <c r="I1274" t="s">
        <v>2271</v>
      </c>
      <c r="J1274">
        <v>1000000</v>
      </c>
      <c r="K1274">
        <v>2025</v>
      </c>
      <c r="L1274">
        <v>1040878283</v>
      </c>
      <c r="M1274" t="s">
        <v>4104</v>
      </c>
      <c r="N1274" t="s">
        <v>1688</v>
      </c>
      <c r="O1274" t="s">
        <v>1686</v>
      </c>
      <c r="P1274">
        <v>0</v>
      </c>
      <c r="Q1274">
        <v>1000000</v>
      </c>
      <c r="R1274">
        <v>0</v>
      </c>
      <c r="S1274">
        <v>0</v>
      </c>
      <c r="T1274" t="str">
        <f t="shared" si="38"/>
        <v>7032.43.4302.85.0-205128.2.3.3.08.06.</v>
      </c>
      <c r="U1274" t="e" cm="1">
        <f t="array" aca="1" ref="U1274" ca="1">+IF(COMPROMISOS_2025[[#This Row],[P]]="20","41080111",_xlfn.XLOOKUP(COMPROMISOS_2025[[#This Row],[concatenado]],PAA[[#All],[RCP-RUBRO]],PAA[[#All],[INDICADOR]],"",0))</f>
        <v>#NAME?</v>
      </c>
      <c r="V1274" s="144" t="str">
        <f t="shared" si="39"/>
        <v>85</v>
      </c>
      <c r="W1274" s="136">
        <f>+COMPROMISOS_2025[[#This Row],[valor_total]]-COMPROMISOS_2025[[#This Row],[total_cancelado]]</f>
        <v>1000000</v>
      </c>
      <c r="X1274" s="136">
        <f>COMPROMISOS_2025[[#This Row],[total_ordenes]]</f>
        <v>1000000</v>
      </c>
      <c r="Y1274" t="str" cm="1">
        <f t="array" aca="1" ref="Y1274" ca="1">IFERROR(_xlfn.XLOOKUP(COMPROMISOS_2025[[#This Row],[concatenado]],PAA[[#All],[RCP-RUBRO]],PAA[[#All],[Actividad3]],VLOOKUP(COMPROMISOS_2025[[#This Row],[Indicador Principal]],$AC$2:$AD$17,2,0),0),"")</f>
        <v/>
      </c>
    </row>
    <row r="1275" spans="1:25" hidden="1" x14ac:dyDescent="0.25">
      <c r="A1275">
        <v>704</v>
      </c>
      <c r="B1275" t="s">
        <v>3916</v>
      </c>
      <c r="C1275" t="s">
        <v>1936</v>
      </c>
      <c r="D1275" t="s">
        <v>3917</v>
      </c>
      <c r="F1275">
        <v>358</v>
      </c>
      <c r="G1275">
        <v>65</v>
      </c>
      <c r="H1275" t="s">
        <v>662</v>
      </c>
      <c r="I1275" t="s">
        <v>2271</v>
      </c>
      <c r="J1275">
        <v>500000</v>
      </c>
      <c r="K1275">
        <v>2025</v>
      </c>
      <c r="L1275">
        <v>1041089477</v>
      </c>
      <c r="M1275" t="s">
        <v>4105</v>
      </c>
      <c r="N1275" t="s">
        <v>1688</v>
      </c>
      <c r="O1275" t="s">
        <v>1686</v>
      </c>
      <c r="P1275">
        <v>0</v>
      </c>
      <c r="Q1275">
        <v>500000</v>
      </c>
      <c r="R1275">
        <v>0</v>
      </c>
      <c r="S1275">
        <v>0</v>
      </c>
      <c r="T1275" t="str">
        <f t="shared" si="38"/>
        <v>7042.43.4302.85.0-205128.2.3.3.08.06.</v>
      </c>
      <c r="U1275" t="e" cm="1">
        <f t="array" aca="1" ref="U1275" ca="1">+IF(COMPROMISOS_2025[[#This Row],[P]]="20","41080111",_xlfn.XLOOKUP(COMPROMISOS_2025[[#This Row],[concatenado]],PAA[[#All],[RCP-RUBRO]],PAA[[#All],[INDICADOR]],"",0))</f>
        <v>#NAME?</v>
      </c>
      <c r="V1275" s="144" t="str">
        <f t="shared" si="39"/>
        <v>85</v>
      </c>
      <c r="W1275" s="136">
        <f>+COMPROMISOS_2025[[#This Row],[valor_total]]-COMPROMISOS_2025[[#This Row],[total_cancelado]]</f>
        <v>500000</v>
      </c>
      <c r="X1275" s="136">
        <f>COMPROMISOS_2025[[#This Row],[total_ordenes]]</f>
        <v>500000</v>
      </c>
      <c r="Y1275" t="str" cm="1">
        <f t="array" aca="1" ref="Y1275" ca="1">IFERROR(_xlfn.XLOOKUP(COMPROMISOS_2025[[#This Row],[concatenado]],PAA[[#All],[RCP-RUBRO]],PAA[[#All],[Actividad3]],VLOOKUP(COMPROMISOS_2025[[#This Row],[Indicador Principal]],$AC$2:$AD$17,2,0),0),"")</f>
        <v/>
      </c>
    </row>
    <row r="1276" spans="1:25" hidden="1" x14ac:dyDescent="0.25">
      <c r="A1276">
        <v>705</v>
      </c>
      <c r="B1276" t="s">
        <v>3916</v>
      </c>
      <c r="C1276" t="s">
        <v>1936</v>
      </c>
      <c r="D1276" t="s">
        <v>3917</v>
      </c>
      <c r="F1276">
        <v>358</v>
      </c>
      <c r="G1276">
        <v>65</v>
      </c>
      <c r="H1276" t="s">
        <v>662</v>
      </c>
      <c r="I1276" t="s">
        <v>2271</v>
      </c>
      <c r="J1276">
        <v>500000</v>
      </c>
      <c r="K1276">
        <v>2025</v>
      </c>
      <c r="L1276">
        <v>1041263095</v>
      </c>
      <c r="M1276" t="s">
        <v>4106</v>
      </c>
      <c r="N1276" t="s">
        <v>1688</v>
      </c>
      <c r="O1276" t="s">
        <v>1686</v>
      </c>
      <c r="P1276">
        <v>0</v>
      </c>
      <c r="Q1276">
        <v>500000</v>
      </c>
      <c r="R1276">
        <v>0</v>
      </c>
      <c r="S1276">
        <v>0</v>
      </c>
      <c r="T1276" t="str">
        <f t="shared" si="38"/>
        <v>7052.43.4302.85.0-205128.2.3.3.08.06.</v>
      </c>
      <c r="U1276" t="e" cm="1">
        <f t="array" aca="1" ref="U1276" ca="1">+IF(COMPROMISOS_2025[[#This Row],[P]]="20","41080111",_xlfn.XLOOKUP(COMPROMISOS_2025[[#This Row],[concatenado]],PAA[[#All],[RCP-RUBRO]],PAA[[#All],[INDICADOR]],"",0))</f>
        <v>#NAME?</v>
      </c>
      <c r="V1276" s="144" t="str">
        <f t="shared" si="39"/>
        <v>85</v>
      </c>
      <c r="W1276" s="136">
        <f>+COMPROMISOS_2025[[#This Row],[valor_total]]-COMPROMISOS_2025[[#This Row],[total_cancelado]]</f>
        <v>500000</v>
      </c>
      <c r="X1276" s="136">
        <f>COMPROMISOS_2025[[#This Row],[total_ordenes]]</f>
        <v>500000</v>
      </c>
      <c r="Y1276" t="str" cm="1">
        <f t="array" aca="1" ref="Y1276" ca="1">IFERROR(_xlfn.XLOOKUP(COMPROMISOS_2025[[#This Row],[concatenado]],PAA[[#All],[RCP-RUBRO]],PAA[[#All],[Actividad3]],VLOOKUP(COMPROMISOS_2025[[#This Row],[Indicador Principal]],$AC$2:$AD$17,2,0),0),"")</f>
        <v/>
      </c>
    </row>
    <row r="1277" spans="1:25" hidden="1" x14ac:dyDescent="0.25">
      <c r="A1277">
        <v>706</v>
      </c>
      <c r="B1277" t="s">
        <v>3916</v>
      </c>
      <c r="C1277" t="s">
        <v>1936</v>
      </c>
      <c r="D1277" t="s">
        <v>3917</v>
      </c>
      <c r="F1277">
        <v>358</v>
      </c>
      <c r="G1277">
        <v>65</v>
      </c>
      <c r="H1277" t="s">
        <v>662</v>
      </c>
      <c r="I1277" t="s">
        <v>2271</v>
      </c>
      <c r="J1277">
        <v>1300000</v>
      </c>
      <c r="K1277">
        <v>2025</v>
      </c>
      <c r="L1277">
        <v>1044210266</v>
      </c>
      <c r="M1277" t="s">
        <v>4107</v>
      </c>
      <c r="N1277" t="s">
        <v>1688</v>
      </c>
      <c r="O1277" t="s">
        <v>1686</v>
      </c>
      <c r="P1277">
        <v>0</v>
      </c>
      <c r="Q1277">
        <v>1300000</v>
      </c>
      <c r="R1277">
        <v>0</v>
      </c>
      <c r="S1277">
        <v>0</v>
      </c>
      <c r="T1277" t="str">
        <f t="shared" si="38"/>
        <v>7062.43.4302.85.0-205128.2.3.3.08.06.</v>
      </c>
      <c r="U1277" t="e" cm="1">
        <f t="array" aca="1" ref="U1277" ca="1">+IF(COMPROMISOS_2025[[#This Row],[P]]="20","41080111",_xlfn.XLOOKUP(COMPROMISOS_2025[[#This Row],[concatenado]],PAA[[#All],[RCP-RUBRO]],PAA[[#All],[INDICADOR]],"",0))</f>
        <v>#NAME?</v>
      </c>
      <c r="V1277" s="144" t="str">
        <f t="shared" si="39"/>
        <v>85</v>
      </c>
      <c r="W1277" s="136">
        <f>+COMPROMISOS_2025[[#This Row],[valor_total]]-COMPROMISOS_2025[[#This Row],[total_cancelado]]</f>
        <v>1300000</v>
      </c>
      <c r="X1277" s="136">
        <f>COMPROMISOS_2025[[#This Row],[total_ordenes]]</f>
        <v>1300000</v>
      </c>
      <c r="Y1277" t="str" cm="1">
        <f t="array" aca="1" ref="Y1277" ca="1">IFERROR(_xlfn.XLOOKUP(COMPROMISOS_2025[[#This Row],[concatenado]],PAA[[#All],[RCP-RUBRO]],PAA[[#All],[Actividad3]],VLOOKUP(COMPROMISOS_2025[[#This Row],[Indicador Principal]],$AC$2:$AD$17,2,0),0),"")</f>
        <v/>
      </c>
    </row>
    <row r="1278" spans="1:25" hidden="1" x14ac:dyDescent="0.25">
      <c r="A1278">
        <v>707</v>
      </c>
      <c r="B1278" t="s">
        <v>3916</v>
      </c>
      <c r="C1278" t="s">
        <v>1936</v>
      </c>
      <c r="D1278" t="s">
        <v>3917</v>
      </c>
      <c r="F1278">
        <v>358</v>
      </c>
      <c r="G1278">
        <v>65</v>
      </c>
      <c r="H1278" t="s">
        <v>662</v>
      </c>
      <c r="I1278" t="s">
        <v>2271</v>
      </c>
      <c r="J1278">
        <v>500000</v>
      </c>
      <c r="K1278">
        <v>2025</v>
      </c>
      <c r="L1278">
        <v>1045327659</v>
      </c>
      <c r="M1278" t="s">
        <v>4108</v>
      </c>
      <c r="N1278" t="s">
        <v>1688</v>
      </c>
      <c r="O1278" t="s">
        <v>1686</v>
      </c>
      <c r="P1278">
        <v>0</v>
      </c>
      <c r="Q1278">
        <v>500000</v>
      </c>
      <c r="R1278">
        <v>0</v>
      </c>
      <c r="S1278">
        <v>0</v>
      </c>
      <c r="T1278" t="str">
        <f t="shared" si="38"/>
        <v>7072.43.4302.85.0-205128.2.3.3.08.06.</v>
      </c>
      <c r="U1278" t="e" cm="1">
        <f t="array" aca="1" ref="U1278" ca="1">+IF(COMPROMISOS_2025[[#This Row],[P]]="20","41080111",_xlfn.XLOOKUP(COMPROMISOS_2025[[#This Row],[concatenado]],PAA[[#All],[RCP-RUBRO]],PAA[[#All],[INDICADOR]],"",0))</f>
        <v>#NAME?</v>
      </c>
      <c r="V1278" s="144" t="str">
        <f t="shared" si="39"/>
        <v>85</v>
      </c>
      <c r="W1278" s="136">
        <f>+COMPROMISOS_2025[[#This Row],[valor_total]]-COMPROMISOS_2025[[#This Row],[total_cancelado]]</f>
        <v>500000</v>
      </c>
      <c r="X1278" s="136">
        <f>COMPROMISOS_2025[[#This Row],[total_ordenes]]</f>
        <v>500000</v>
      </c>
      <c r="Y1278" t="str" cm="1">
        <f t="array" aca="1" ref="Y1278" ca="1">IFERROR(_xlfn.XLOOKUP(COMPROMISOS_2025[[#This Row],[concatenado]],PAA[[#All],[RCP-RUBRO]],PAA[[#All],[Actividad3]],VLOOKUP(COMPROMISOS_2025[[#This Row],[Indicador Principal]],$AC$2:$AD$17,2,0),0),"")</f>
        <v/>
      </c>
    </row>
    <row r="1279" spans="1:25" hidden="1" x14ac:dyDescent="0.25">
      <c r="A1279">
        <v>708</v>
      </c>
      <c r="B1279" t="s">
        <v>3916</v>
      </c>
      <c r="C1279" t="s">
        <v>1936</v>
      </c>
      <c r="D1279" t="s">
        <v>3917</v>
      </c>
      <c r="F1279">
        <v>358</v>
      </c>
      <c r="G1279">
        <v>65</v>
      </c>
      <c r="H1279" t="s">
        <v>662</v>
      </c>
      <c r="I1279" t="s">
        <v>2271</v>
      </c>
      <c r="J1279">
        <v>1300000</v>
      </c>
      <c r="K1279">
        <v>2025</v>
      </c>
      <c r="L1279">
        <v>1045489879</v>
      </c>
      <c r="M1279" t="s">
        <v>4109</v>
      </c>
      <c r="N1279" t="s">
        <v>1688</v>
      </c>
      <c r="O1279" t="s">
        <v>1686</v>
      </c>
      <c r="P1279">
        <v>0</v>
      </c>
      <c r="Q1279">
        <v>1300000</v>
      </c>
      <c r="R1279">
        <v>0</v>
      </c>
      <c r="S1279">
        <v>0</v>
      </c>
      <c r="T1279" t="str">
        <f t="shared" si="38"/>
        <v>7082.43.4302.85.0-205128.2.3.3.08.06.</v>
      </c>
      <c r="U1279" t="e" cm="1">
        <f t="array" aca="1" ref="U1279" ca="1">+IF(COMPROMISOS_2025[[#This Row],[P]]="20","41080111",_xlfn.XLOOKUP(COMPROMISOS_2025[[#This Row],[concatenado]],PAA[[#All],[RCP-RUBRO]],PAA[[#All],[INDICADOR]],"",0))</f>
        <v>#NAME?</v>
      </c>
      <c r="V1279" s="144" t="str">
        <f t="shared" si="39"/>
        <v>85</v>
      </c>
      <c r="W1279" s="136">
        <f>+COMPROMISOS_2025[[#This Row],[valor_total]]-COMPROMISOS_2025[[#This Row],[total_cancelado]]</f>
        <v>1300000</v>
      </c>
      <c r="X1279" s="136">
        <f>COMPROMISOS_2025[[#This Row],[total_ordenes]]</f>
        <v>1300000</v>
      </c>
      <c r="Y1279" t="str" cm="1">
        <f t="array" aca="1" ref="Y1279" ca="1">IFERROR(_xlfn.XLOOKUP(COMPROMISOS_2025[[#This Row],[concatenado]],PAA[[#All],[RCP-RUBRO]],PAA[[#All],[Actividad3]],VLOOKUP(COMPROMISOS_2025[[#This Row],[Indicador Principal]],$AC$2:$AD$17,2,0),0),"")</f>
        <v/>
      </c>
    </row>
    <row r="1280" spans="1:25" hidden="1" x14ac:dyDescent="0.25">
      <c r="A1280">
        <v>709</v>
      </c>
      <c r="B1280" t="s">
        <v>3916</v>
      </c>
      <c r="C1280" t="s">
        <v>1936</v>
      </c>
      <c r="D1280" t="s">
        <v>3917</v>
      </c>
      <c r="F1280">
        <v>358</v>
      </c>
      <c r="G1280">
        <v>65</v>
      </c>
      <c r="H1280" t="s">
        <v>662</v>
      </c>
      <c r="I1280" t="s">
        <v>2271</v>
      </c>
      <c r="J1280">
        <v>1300000</v>
      </c>
      <c r="K1280">
        <v>2025</v>
      </c>
      <c r="L1280">
        <v>1045493703</v>
      </c>
      <c r="M1280" t="s">
        <v>3835</v>
      </c>
      <c r="N1280" t="s">
        <v>1688</v>
      </c>
      <c r="O1280" t="s">
        <v>1686</v>
      </c>
      <c r="P1280">
        <v>0</v>
      </c>
      <c r="Q1280">
        <v>1300000</v>
      </c>
      <c r="R1280">
        <v>0</v>
      </c>
      <c r="S1280">
        <v>0</v>
      </c>
      <c r="T1280" t="str">
        <f t="shared" si="38"/>
        <v>7092.43.4302.85.0-205128.2.3.3.08.06.</v>
      </c>
      <c r="U1280" t="e" cm="1">
        <f t="array" aca="1" ref="U1280" ca="1">+IF(COMPROMISOS_2025[[#This Row],[P]]="20","41080111",_xlfn.XLOOKUP(COMPROMISOS_2025[[#This Row],[concatenado]],PAA[[#All],[RCP-RUBRO]],PAA[[#All],[INDICADOR]],"",0))</f>
        <v>#NAME?</v>
      </c>
      <c r="V1280" s="144" t="str">
        <f t="shared" si="39"/>
        <v>85</v>
      </c>
      <c r="W1280" s="136">
        <f>+COMPROMISOS_2025[[#This Row],[valor_total]]-COMPROMISOS_2025[[#This Row],[total_cancelado]]</f>
        <v>1300000</v>
      </c>
      <c r="X1280" s="136">
        <f>COMPROMISOS_2025[[#This Row],[total_ordenes]]</f>
        <v>1300000</v>
      </c>
      <c r="Y1280" t="str" cm="1">
        <f t="array" aca="1" ref="Y1280" ca="1">IFERROR(_xlfn.XLOOKUP(COMPROMISOS_2025[[#This Row],[concatenado]],PAA[[#All],[RCP-RUBRO]],PAA[[#All],[Actividad3]],VLOOKUP(COMPROMISOS_2025[[#This Row],[Indicador Principal]],$AC$2:$AD$17,2,0),0),"")</f>
        <v/>
      </c>
    </row>
    <row r="1281" spans="1:25" hidden="1" x14ac:dyDescent="0.25">
      <c r="A1281">
        <v>710</v>
      </c>
      <c r="B1281" t="s">
        <v>3916</v>
      </c>
      <c r="C1281" t="s">
        <v>1936</v>
      </c>
      <c r="D1281" t="s">
        <v>3917</v>
      </c>
      <c r="F1281">
        <v>358</v>
      </c>
      <c r="G1281">
        <v>65</v>
      </c>
      <c r="H1281" t="s">
        <v>662</v>
      </c>
      <c r="I1281" t="s">
        <v>2271</v>
      </c>
      <c r="J1281">
        <v>1300000</v>
      </c>
      <c r="K1281">
        <v>2025</v>
      </c>
      <c r="L1281">
        <v>1045522082</v>
      </c>
      <c r="M1281" t="s">
        <v>4110</v>
      </c>
      <c r="N1281" t="s">
        <v>1688</v>
      </c>
      <c r="O1281" t="s">
        <v>1686</v>
      </c>
      <c r="P1281">
        <v>0</v>
      </c>
      <c r="Q1281">
        <v>1300000</v>
      </c>
      <c r="R1281">
        <v>0</v>
      </c>
      <c r="S1281">
        <v>0</v>
      </c>
      <c r="T1281" t="str">
        <f t="shared" si="38"/>
        <v>7102.43.4302.85.0-205128.2.3.3.08.06.</v>
      </c>
      <c r="U1281" t="e" cm="1">
        <f t="array" aca="1" ref="U1281" ca="1">+IF(COMPROMISOS_2025[[#This Row],[P]]="20","41080111",_xlfn.XLOOKUP(COMPROMISOS_2025[[#This Row],[concatenado]],PAA[[#All],[RCP-RUBRO]],PAA[[#All],[INDICADOR]],"",0))</f>
        <v>#NAME?</v>
      </c>
      <c r="V1281" s="144" t="str">
        <f t="shared" si="39"/>
        <v>85</v>
      </c>
      <c r="W1281" s="136">
        <f>+COMPROMISOS_2025[[#This Row],[valor_total]]-COMPROMISOS_2025[[#This Row],[total_cancelado]]</f>
        <v>1300000</v>
      </c>
      <c r="X1281" s="136">
        <f>COMPROMISOS_2025[[#This Row],[total_ordenes]]</f>
        <v>1300000</v>
      </c>
      <c r="Y1281" t="str" cm="1">
        <f t="array" aca="1" ref="Y1281" ca="1">IFERROR(_xlfn.XLOOKUP(COMPROMISOS_2025[[#This Row],[concatenado]],PAA[[#All],[RCP-RUBRO]],PAA[[#All],[Actividad3]],VLOOKUP(COMPROMISOS_2025[[#This Row],[Indicador Principal]],$AC$2:$AD$17,2,0),0),"")</f>
        <v/>
      </c>
    </row>
    <row r="1282" spans="1:25" hidden="1" x14ac:dyDescent="0.25">
      <c r="A1282">
        <v>711</v>
      </c>
      <c r="B1282" t="s">
        <v>3916</v>
      </c>
      <c r="C1282" t="s">
        <v>1936</v>
      </c>
      <c r="D1282" t="s">
        <v>3917</v>
      </c>
      <c r="F1282">
        <v>358</v>
      </c>
      <c r="G1282">
        <v>65</v>
      </c>
      <c r="H1282" t="s">
        <v>662</v>
      </c>
      <c r="I1282" t="s">
        <v>2271</v>
      </c>
      <c r="J1282">
        <v>500000</v>
      </c>
      <c r="K1282">
        <v>2025</v>
      </c>
      <c r="L1282">
        <v>1045524538</v>
      </c>
      <c r="M1282" t="s">
        <v>3839</v>
      </c>
      <c r="N1282" t="s">
        <v>1688</v>
      </c>
      <c r="O1282" t="s">
        <v>1686</v>
      </c>
      <c r="P1282">
        <v>0</v>
      </c>
      <c r="Q1282">
        <v>500000</v>
      </c>
      <c r="R1282">
        <v>0</v>
      </c>
      <c r="S1282">
        <v>0</v>
      </c>
      <c r="T1282" t="str">
        <f t="shared" ref="T1282:T1345" si="40">IF(A1282&gt;=0,CONCATENATE(A1282,H1282),"")</f>
        <v>7112.43.4302.85.0-205128.2.3.3.08.06.</v>
      </c>
      <c r="U1282" t="e" cm="1">
        <f t="array" aca="1" ref="U1282" ca="1">+IF(COMPROMISOS_2025[[#This Row],[P]]="20","41080111",_xlfn.XLOOKUP(COMPROMISOS_2025[[#This Row],[concatenado]],PAA[[#All],[RCP-RUBRO]],PAA[[#All],[INDICADOR]],"",0))</f>
        <v>#NAME?</v>
      </c>
      <c r="V1282" s="144" t="str">
        <f t="shared" ref="V1282:V1345" si="41">+MID(H1282,11,2)</f>
        <v>85</v>
      </c>
      <c r="W1282" s="136">
        <f>+COMPROMISOS_2025[[#This Row],[valor_total]]-COMPROMISOS_2025[[#This Row],[total_cancelado]]</f>
        <v>500000</v>
      </c>
      <c r="X1282" s="136">
        <f>COMPROMISOS_2025[[#This Row],[total_ordenes]]</f>
        <v>500000</v>
      </c>
      <c r="Y1282" t="str" cm="1">
        <f t="array" aca="1" ref="Y1282" ca="1">IFERROR(_xlfn.XLOOKUP(COMPROMISOS_2025[[#This Row],[concatenado]],PAA[[#All],[RCP-RUBRO]],PAA[[#All],[Actividad3]],VLOOKUP(COMPROMISOS_2025[[#This Row],[Indicador Principal]],$AC$2:$AD$17,2,0),0),"")</f>
        <v/>
      </c>
    </row>
    <row r="1283" spans="1:25" hidden="1" x14ac:dyDescent="0.25">
      <c r="A1283">
        <v>712</v>
      </c>
      <c r="B1283" t="s">
        <v>3916</v>
      </c>
      <c r="C1283" t="s">
        <v>1936</v>
      </c>
      <c r="D1283" t="s">
        <v>3917</v>
      </c>
      <c r="F1283">
        <v>358</v>
      </c>
      <c r="G1283">
        <v>65</v>
      </c>
      <c r="H1283" t="s">
        <v>662</v>
      </c>
      <c r="I1283" t="s">
        <v>2271</v>
      </c>
      <c r="J1283">
        <v>1300000</v>
      </c>
      <c r="K1283">
        <v>2025</v>
      </c>
      <c r="L1283">
        <v>1045524540</v>
      </c>
      <c r="M1283" t="s">
        <v>4111</v>
      </c>
      <c r="N1283" t="s">
        <v>1688</v>
      </c>
      <c r="O1283" t="s">
        <v>1686</v>
      </c>
      <c r="P1283">
        <v>0</v>
      </c>
      <c r="Q1283">
        <v>1300000</v>
      </c>
      <c r="R1283">
        <v>0</v>
      </c>
      <c r="S1283">
        <v>0</v>
      </c>
      <c r="T1283" t="str">
        <f t="shared" si="40"/>
        <v>7122.43.4302.85.0-205128.2.3.3.08.06.</v>
      </c>
      <c r="U1283" t="e" cm="1">
        <f t="array" aca="1" ref="U1283" ca="1">+IF(COMPROMISOS_2025[[#This Row],[P]]="20","41080111",_xlfn.XLOOKUP(COMPROMISOS_2025[[#This Row],[concatenado]],PAA[[#All],[RCP-RUBRO]],PAA[[#All],[INDICADOR]],"",0))</f>
        <v>#NAME?</v>
      </c>
      <c r="V1283" s="144" t="str">
        <f t="shared" si="41"/>
        <v>85</v>
      </c>
      <c r="W1283" s="136">
        <f>+COMPROMISOS_2025[[#This Row],[valor_total]]-COMPROMISOS_2025[[#This Row],[total_cancelado]]</f>
        <v>1300000</v>
      </c>
      <c r="X1283" s="136">
        <f>COMPROMISOS_2025[[#This Row],[total_ordenes]]</f>
        <v>1300000</v>
      </c>
      <c r="Y1283" t="str" cm="1">
        <f t="array" aca="1" ref="Y1283" ca="1">IFERROR(_xlfn.XLOOKUP(COMPROMISOS_2025[[#This Row],[concatenado]],PAA[[#All],[RCP-RUBRO]],PAA[[#All],[Actividad3]],VLOOKUP(COMPROMISOS_2025[[#This Row],[Indicador Principal]],$AC$2:$AD$17,2,0),0),"")</f>
        <v/>
      </c>
    </row>
    <row r="1284" spans="1:25" hidden="1" x14ac:dyDescent="0.25">
      <c r="A1284">
        <v>713</v>
      </c>
      <c r="B1284" t="s">
        <v>3916</v>
      </c>
      <c r="C1284" t="s">
        <v>1936</v>
      </c>
      <c r="D1284" t="s">
        <v>3917</v>
      </c>
      <c r="F1284">
        <v>358</v>
      </c>
      <c r="G1284">
        <v>65</v>
      </c>
      <c r="H1284" t="s">
        <v>662</v>
      </c>
      <c r="I1284" t="s">
        <v>2271</v>
      </c>
      <c r="J1284">
        <v>1300000</v>
      </c>
      <c r="K1284">
        <v>2025</v>
      </c>
      <c r="L1284">
        <v>1045524599</v>
      </c>
      <c r="M1284" t="s">
        <v>4112</v>
      </c>
      <c r="N1284" t="s">
        <v>1688</v>
      </c>
      <c r="O1284" t="s">
        <v>1686</v>
      </c>
      <c r="P1284">
        <v>0</v>
      </c>
      <c r="Q1284">
        <v>1300000</v>
      </c>
      <c r="R1284">
        <v>0</v>
      </c>
      <c r="S1284">
        <v>0</v>
      </c>
      <c r="T1284" t="str">
        <f t="shared" si="40"/>
        <v>7132.43.4302.85.0-205128.2.3.3.08.06.</v>
      </c>
      <c r="U1284" t="e" cm="1">
        <f t="array" aca="1" ref="U1284" ca="1">+IF(COMPROMISOS_2025[[#This Row],[P]]="20","41080111",_xlfn.XLOOKUP(COMPROMISOS_2025[[#This Row],[concatenado]],PAA[[#All],[RCP-RUBRO]],PAA[[#All],[INDICADOR]],"",0))</f>
        <v>#NAME?</v>
      </c>
      <c r="V1284" s="144" t="str">
        <f t="shared" si="41"/>
        <v>85</v>
      </c>
      <c r="W1284" s="136">
        <f>+COMPROMISOS_2025[[#This Row],[valor_total]]-COMPROMISOS_2025[[#This Row],[total_cancelado]]</f>
        <v>1300000</v>
      </c>
      <c r="X1284" s="136">
        <f>COMPROMISOS_2025[[#This Row],[total_ordenes]]</f>
        <v>1300000</v>
      </c>
      <c r="Y1284" t="str" cm="1">
        <f t="array" aca="1" ref="Y1284" ca="1">IFERROR(_xlfn.XLOOKUP(COMPROMISOS_2025[[#This Row],[concatenado]],PAA[[#All],[RCP-RUBRO]],PAA[[#All],[Actividad3]],VLOOKUP(COMPROMISOS_2025[[#This Row],[Indicador Principal]],$AC$2:$AD$17,2,0),0),"")</f>
        <v/>
      </c>
    </row>
    <row r="1285" spans="1:25" hidden="1" x14ac:dyDescent="0.25">
      <c r="A1285">
        <v>714</v>
      </c>
      <c r="B1285" t="s">
        <v>3916</v>
      </c>
      <c r="C1285" t="s">
        <v>1936</v>
      </c>
      <c r="D1285" t="s">
        <v>3917</v>
      </c>
      <c r="F1285">
        <v>358</v>
      </c>
      <c r="G1285">
        <v>65</v>
      </c>
      <c r="H1285" t="s">
        <v>662</v>
      </c>
      <c r="I1285" t="s">
        <v>2271</v>
      </c>
      <c r="J1285">
        <v>500000</v>
      </c>
      <c r="K1285">
        <v>2025</v>
      </c>
      <c r="L1285">
        <v>1045525247</v>
      </c>
      <c r="M1285" t="s">
        <v>4113</v>
      </c>
      <c r="N1285" t="s">
        <v>1688</v>
      </c>
      <c r="O1285" t="s">
        <v>1686</v>
      </c>
      <c r="P1285">
        <v>0</v>
      </c>
      <c r="Q1285">
        <v>500000</v>
      </c>
      <c r="R1285">
        <v>0</v>
      </c>
      <c r="S1285">
        <v>0</v>
      </c>
      <c r="T1285" t="str">
        <f t="shared" si="40"/>
        <v>7142.43.4302.85.0-205128.2.3.3.08.06.</v>
      </c>
      <c r="U1285" t="e" cm="1">
        <f t="array" aca="1" ref="U1285" ca="1">+IF(COMPROMISOS_2025[[#This Row],[P]]="20","41080111",_xlfn.XLOOKUP(COMPROMISOS_2025[[#This Row],[concatenado]],PAA[[#All],[RCP-RUBRO]],PAA[[#All],[INDICADOR]],"",0))</f>
        <v>#NAME?</v>
      </c>
      <c r="V1285" s="144" t="str">
        <f t="shared" si="41"/>
        <v>85</v>
      </c>
      <c r="W1285" s="136">
        <f>+COMPROMISOS_2025[[#This Row],[valor_total]]-COMPROMISOS_2025[[#This Row],[total_cancelado]]</f>
        <v>500000</v>
      </c>
      <c r="X1285" s="136">
        <f>COMPROMISOS_2025[[#This Row],[total_ordenes]]</f>
        <v>500000</v>
      </c>
      <c r="Y1285" t="str" cm="1">
        <f t="array" aca="1" ref="Y1285" ca="1">IFERROR(_xlfn.XLOOKUP(COMPROMISOS_2025[[#This Row],[concatenado]],PAA[[#All],[RCP-RUBRO]],PAA[[#All],[Actividad3]],VLOOKUP(COMPROMISOS_2025[[#This Row],[Indicador Principal]],$AC$2:$AD$17,2,0),0),"")</f>
        <v/>
      </c>
    </row>
    <row r="1286" spans="1:25" hidden="1" x14ac:dyDescent="0.25">
      <c r="A1286">
        <v>715</v>
      </c>
      <c r="B1286" t="s">
        <v>3916</v>
      </c>
      <c r="C1286" t="s">
        <v>1936</v>
      </c>
      <c r="D1286" t="s">
        <v>3917</v>
      </c>
      <c r="F1286">
        <v>358</v>
      </c>
      <c r="G1286">
        <v>65</v>
      </c>
      <c r="H1286" t="s">
        <v>662</v>
      </c>
      <c r="I1286" t="s">
        <v>2271</v>
      </c>
      <c r="J1286">
        <v>500000</v>
      </c>
      <c r="K1286">
        <v>2025</v>
      </c>
      <c r="L1286">
        <v>1045606438</v>
      </c>
      <c r="M1286" t="s">
        <v>4114</v>
      </c>
      <c r="N1286" t="s">
        <v>1688</v>
      </c>
      <c r="O1286" t="s">
        <v>1686</v>
      </c>
      <c r="P1286">
        <v>0</v>
      </c>
      <c r="Q1286">
        <v>500000</v>
      </c>
      <c r="R1286">
        <v>0</v>
      </c>
      <c r="S1286">
        <v>0</v>
      </c>
      <c r="T1286" t="str">
        <f t="shared" si="40"/>
        <v>7152.43.4302.85.0-205128.2.3.3.08.06.</v>
      </c>
      <c r="U1286" t="e" cm="1">
        <f t="array" aca="1" ref="U1286" ca="1">+IF(COMPROMISOS_2025[[#This Row],[P]]="20","41080111",_xlfn.XLOOKUP(COMPROMISOS_2025[[#This Row],[concatenado]],PAA[[#All],[RCP-RUBRO]],PAA[[#All],[INDICADOR]],"",0))</f>
        <v>#NAME?</v>
      </c>
      <c r="V1286" s="144" t="str">
        <f t="shared" si="41"/>
        <v>85</v>
      </c>
      <c r="W1286" s="136">
        <f>+COMPROMISOS_2025[[#This Row],[valor_total]]-COMPROMISOS_2025[[#This Row],[total_cancelado]]</f>
        <v>500000</v>
      </c>
      <c r="X1286" s="136">
        <f>COMPROMISOS_2025[[#This Row],[total_ordenes]]</f>
        <v>500000</v>
      </c>
      <c r="Y1286" t="str" cm="1">
        <f t="array" aca="1" ref="Y1286" ca="1">IFERROR(_xlfn.XLOOKUP(COMPROMISOS_2025[[#This Row],[concatenado]],PAA[[#All],[RCP-RUBRO]],PAA[[#All],[Actividad3]],VLOOKUP(COMPROMISOS_2025[[#This Row],[Indicador Principal]],$AC$2:$AD$17,2,0),0),"")</f>
        <v/>
      </c>
    </row>
    <row r="1287" spans="1:25" hidden="1" x14ac:dyDescent="0.25">
      <c r="A1287">
        <v>716</v>
      </c>
      <c r="B1287" t="s">
        <v>3916</v>
      </c>
      <c r="C1287" t="s">
        <v>1936</v>
      </c>
      <c r="D1287" t="s">
        <v>3917</v>
      </c>
      <c r="F1287">
        <v>358</v>
      </c>
      <c r="G1287">
        <v>65</v>
      </c>
      <c r="H1287" t="s">
        <v>662</v>
      </c>
      <c r="I1287" t="s">
        <v>2271</v>
      </c>
      <c r="J1287">
        <v>1300000</v>
      </c>
      <c r="K1287">
        <v>2025</v>
      </c>
      <c r="L1287">
        <v>1045745758</v>
      </c>
      <c r="M1287" t="s">
        <v>4115</v>
      </c>
      <c r="N1287" t="s">
        <v>1688</v>
      </c>
      <c r="O1287" t="s">
        <v>1686</v>
      </c>
      <c r="P1287">
        <v>0</v>
      </c>
      <c r="Q1287">
        <v>1300000</v>
      </c>
      <c r="R1287">
        <v>0</v>
      </c>
      <c r="S1287">
        <v>0</v>
      </c>
      <c r="T1287" t="str">
        <f t="shared" si="40"/>
        <v>7162.43.4302.85.0-205128.2.3.3.08.06.</v>
      </c>
      <c r="U1287" t="e" cm="1">
        <f t="array" aca="1" ref="U1287" ca="1">+IF(COMPROMISOS_2025[[#This Row],[P]]="20","41080111",_xlfn.XLOOKUP(COMPROMISOS_2025[[#This Row],[concatenado]],PAA[[#All],[RCP-RUBRO]],PAA[[#All],[INDICADOR]],"",0))</f>
        <v>#NAME?</v>
      </c>
      <c r="V1287" s="144" t="str">
        <f t="shared" si="41"/>
        <v>85</v>
      </c>
      <c r="W1287" s="136">
        <f>+COMPROMISOS_2025[[#This Row],[valor_total]]-COMPROMISOS_2025[[#This Row],[total_cancelado]]</f>
        <v>1300000</v>
      </c>
      <c r="X1287" s="136">
        <f>COMPROMISOS_2025[[#This Row],[total_ordenes]]</f>
        <v>1300000</v>
      </c>
      <c r="Y1287" t="str" cm="1">
        <f t="array" aca="1" ref="Y1287" ca="1">IFERROR(_xlfn.XLOOKUP(COMPROMISOS_2025[[#This Row],[concatenado]],PAA[[#All],[RCP-RUBRO]],PAA[[#All],[Actividad3]],VLOOKUP(COMPROMISOS_2025[[#This Row],[Indicador Principal]],$AC$2:$AD$17,2,0),0),"")</f>
        <v/>
      </c>
    </row>
    <row r="1288" spans="1:25" hidden="1" x14ac:dyDescent="0.25">
      <c r="A1288">
        <v>717</v>
      </c>
      <c r="B1288" t="s">
        <v>3916</v>
      </c>
      <c r="C1288" t="s">
        <v>1936</v>
      </c>
      <c r="D1288" t="s">
        <v>3917</v>
      </c>
      <c r="F1288">
        <v>358</v>
      </c>
      <c r="G1288">
        <v>65</v>
      </c>
      <c r="H1288" t="s">
        <v>662</v>
      </c>
      <c r="I1288" t="s">
        <v>2271</v>
      </c>
      <c r="J1288">
        <v>1300000</v>
      </c>
      <c r="K1288">
        <v>2025</v>
      </c>
      <c r="L1288">
        <v>1046527532</v>
      </c>
      <c r="M1288" t="s">
        <v>3842</v>
      </c>
      <c r="N1288" t="s">
        <v>1688</v>
      </c>
      <c r="O1288" t="s">
        <v>1686</v>
      </c>
      <c r="P1288">
        <v>0</v>
      </c>
      <c r="Q1288">
        <v>1300000</v>
      </c>
      <c r="R1288">
        <v>0</v>
      </c>
      <c r="S1288">
        <v>0</v>
      </c>
      <c r="T1288" t="str">
        <f t="shared" si="40"/>
        <v>7172.43.4302.85.0-205128.2.3.3.08.06.</v>
      </c>
      <c r="U1288" t="e" cm="1">
        <f t="array" aca="1" ref="U1288" ca="1">+IF(COMPROMISOS_2025[[#This Row],[P]]="20","41080111",_xlfn.XLOOKUP(COMPROMISOS_2025[[#This Row],[concatenado]],PAA[[#All],[RCP-RUBRO]],PAA[[#All],[INDICADOR]],"",0))</f>
        <v>#NAME?</v>
      </c>
      <c r="V1288" s="144" t="str">
        <f t="shared" si="41"/>
        <v>85</v>
      </c>
      <c r="W1288" s="136">
        <f>+COMPROMISOS_2025[[#This Row],[valor_total]]-COMPROMISOS_2025[[#This Row],[total_cancelado]]</f>
        <v>1300000</v>
      </c>
      <c r="X1288" s="136">
        <f>COMPROMISOS_2025[[#This Row],[total_ordenes]]</f>
        <v>1300000</v>
      </c>
      <c r="Y1288" t="str" cm="1">
        <f t="array" aca="1" ref="Y1288" ca="1">IFERROR(_xlfn.XLOOKUP(COMPROMISOS_2025[[#This Row],[concatenado]],PAA[[#All],[RCP-RUBRO]],PAA[[#All],[Actividad3]],VLOOKUP(COMPROMISOS_2025[[#This Row],[Indicador Principal]],$AC$2:$AD$17,2,0),0),"")</f>
        <v/>
      </c>
    </row>
    <row r="1289" spans="1:25" hidden="1" x14ac:dyDescent="0.25">
      <c r="A1289">
        <v>718</v>
      </c>
      <c r="B1289" t="s">
        <v>3916</v>
      </c>
      <c r="C1289" t="s">
        <v>1936</v>
      </c>
      <c r="D1289" t="s">
        <v>3917</v>
      </c>
      <c r="F1289">
        <v>358</v>
      </c>
      <c r="G1289">
        <v>65</v>
      </c>
      <c r="H1289" t="s">
        <v>662</v>
      </c>
      <c r="I1289" t="s">
        <v>2271</v>
      </c>
      <c r="J1289">
        <v>1300000</v>
      </c>
      <c r="K1289">
        <v>2025</v>
      </c>
      <c r="L1289">
        <v>1046528276</v>
      </c>
      <c r="M1289" t="s">
        <v>3843</v>
      </c>
      <c r="N1289" t="s">
        <v>1688</v>
      </c>
      <c r="O1289" t="s">
        <v>1686</v>
      </c>
      <c r="P1289">
        <v>0</v>
      </c>
      <c r="Q1289">
        <v>1300000</v>
      </c>
      <c r="R1289">
        <v>0</v>
      </c>
      <c r="S1289">
        <v>0</v>
      </c>
      <c r="T1289" t="str">
        <f t="shared" si="40"/>
        <v>7182.43.4302.85.0-205128.2.3.3.08.06.</v>
      </c>
      <c r="U1289" t="e" cm="1">
        <f t="array" aca="1" ref="U1289" ca="1">+IF(COMPROMISOS_2025[[#This Row],[P]]="20","41080111",_xlfn.XLOOKUP(COMPROMISOS_2025[[#This Row],[concatenado]],PAA[[#All],[RCP-RUBRO]],PAA[[#All],[INDICADOR]],"",0))</f>
        <v>#NAME?</v>
      </c>
      <c r="V1289" s="144" t="str">
        <f t="shared" si="41"/>
        <v>85</v>
      </c>
      <c r="W1289" s="136">
        <f>+COMPROMISOS_2025[[#This Row],[valor_total]]-COMPROMISOS_2025[[#This Row],[total_cancelado]]</f>
        <v>1300000</v>
      </c>
      <c r="X1289" s="136">
        <f>COMPROMISOS_2025[[#This Row],[total_ordenes]]</f>
        <v>1300000</v>
      </c>
      <c r="Y1289" t="str" cm="1">
        <f t="array" aca="1" ref="Y1289" ca="1">IFERROR(_xlfn.XLOOKUP(COMPROMISOS_2025[[#This Row],[concatenado]],PAA[[#All],[RCP-RUBRO]],PAA[[#All],[Actividad3]],VLOOKUP(COMPROMISOS_2025[[#This Row],[Indicador Principal]],$AC$2:$AD$17,2,0),0),"")</f>
        <v/>
      </c>
    </row>
    <row r="1290" spans="1:25" hidden="1" x14ac:dyDescent="0.25">
      <c r="A1290">
        <v>719</v>
      </c>
      <c r="B1290" t="s">
        <v>3916</v>
      </c>
      <c r="C1290" t="s">
        <v>1936</v>
      </c>
      <c r="D1290" t="s">
        <v>3917</v>
      </c>
      <c r="F1290">
        <v>358</v>
      </c>
      <c r="G1290">
        <v>65</v>
      </c>
      <c r="H1290" t="s">
        <v>662</v>
      </c>
      <c r="I1290" t="s">
        <v>2271</v>
      </c>
      <c r="J1290">
        <v>500000</v>
      </c>
      <c r="K1290">
        <v>2025</v>
      </c>
      <c r="L1290">
        <v>1046528436</v>
      </c>
      <c r="M1290" t="s">
        <v>3844</v>
      </c>
      <c r="N1290" t="s">
        <v>1688</v>
      </c>
      <c r="O1290" t="s">
        <v>1686</v>
      </c>
      <c r="P1290">
        <v>0</v>
      </c>
      <c r="Q1290">
        <v>500000</v>
      </c>
      <c r="R1290">
        <v>0</v>
      </c>
      <c r="S1290">
        <v>0</v>
      </c>
      <c r="T1290" t="str">
        <f t="shared" si="40"/>
        <v>7192.43.4302.85.0-205128.2.3.3.08.06.</v>
      </c>
      <c r="U1290" t="e" cm="1">
        <f t="array" aca="1" ref="U1290" ca="1">+IF(COMPROMISOS_2025[[#This Row],[P]]="20","41080111",_xlfn.XLOOKUP(COMPROMISOS_2025[[#This Row],[concatenado]],PAA[[#All],[RCP-RUBRO]],PAA[[#All],[INDICADOR]],"",0))</f>
        <v>#NAME?</v>
      </c>
      <c r="V1290" s="144" t="str">
        <f t="shared" si="41"/>
        <v>85</v>
      </c>
      <c r="W1290" s="136">
        <f>+COMPROMISOS_2025[[#This Row],[valor_total]]-COMPROMISOS_2025[[#This Row],[total_cancelado]]</f>
        <v>500000</v>
      </c>
      <c r="X1290" s="136">
        <f>COMPROMISOS_2025[[#This Row],[total_ordenes]]</f>
        <v>500000</v>
      </c>
      <c r="Y1290" t="str" cm="1">
        <f t="array" aca="1" ref="Y1290" ca="1">IFERROR(_xlfn.XLOOKUP(COMPROMISOS_2025[[#This Row],[concatenado]],PAA[[#All],[RCP-RUBRO]],PAA[[#All],[Actividad3]],VLOOKUP(COMPROMISOS_2025[[#This Row],[Indicador Principal]],$AC$2:$AD$17,2,0),0),"")</f>
        <v/>
      </c>
    </row>
    <row r="1291" spans="1:25" hidden="1" x14ac:dyDescent="0.25">
      <c r="A1291">
        <v>720</v>
      </c>
      <c r="B1291" t="s">
        <v>3916</v>
      </c>
      <c r="C1291" t="s">
        <v>1936</v>
      </c>
      <c r="D1291" t="s">
        <v>3917</v>
      </c>
      <c r="F1291">
        <v>358</v>
      </c>
      <c r="G1291">
        <v>65</v>
      </c>
      <c r="H1291" t="s">
        <v>662</v>
      </c>
      <c r="I1291" t="s">
        <v>2271</v>
      </c>
      <c r="J1291">
        <v>500000</v>
      </c>
      <c r="K1291">
        <v>2025</v>
      </c>
      <c r="L1291">
        <v>1046529330</v>
      </c>
      <c r="M1291" t="s">
        <v>3845</v>
      </c>
      <c r="N1291" t="s">
        <v>1688</v>
      </c>
      <c r="O1291" t="s">
        <v>1686</v>
      </c>
      <c r="P1291">
        <v>0</v>
      </c>
      <c r="Q1291">
        <v>500000</v>
      </c>
      <c r="R1291">
        <v>0</v>
      </c>
      <c r="S1291">
        <v>0</v>
      </c>
      <c r="T1291" t="str">
        <f t="shared" si="40"/>
        <v>7202.43.4302.85.0-205128.2.3.3.08.06.</v>
      </c>
      <c r="U1291" t="e" cm="1">
        <f t="array" aca="1" ref="U1291" ca="1">+IF(COMPROMISOS_2025[[#This Row],[P]]="20","41080111",_xlfn.XLOOKUP(COMPROMISOS_2025[[#This Row],[concatenado]],PAA[[#All],[RCP-RUBRO]],PAA[[#All],[INDICADOR]],"",0))</f>
        <v>#NAME?</v>
      </c>
      <c r="V1291" s="144" t="str">
        <f t="shared" si="41"/>
        <v>85</v>
      </c>
      <c r="W1291" s="136">
        <f>+COMPROMISOS_2025[[#This Row],[valor_total]]-COMPROMISOS_2025[[#This Row],[total_cancelado]]</f>
        <v>500000</v>
      </c>
      <c r="X1291" s="136">
        <f>COMPROMISOS_2025[[#This Row],[total_ordenes]]</f>
        <v>500000</v>
      </c>
      <c r="Y1291" t="str" cm="1">
        <f t="array" aca="1" ref="Y1291" ca="1">IFERROR(_xlfn.XLOOKUP(COMPROMISOS_2025[[#This Row],[concatenado]],PAA[[#All],[RCP-RUBRO]],PAA[[#All],[Actividad3]],VLOOKUP(COMPROMISOS_2025[[#This Row],[Indicador Principal]],$AC$2:$AD$17,2,0),0),"")</f>
        <v/>
      </c>
    </row>
    <row r="1292" spans="1:25" hidden="1" x14ac:dyDescent="0.25">
      <c r="A1292">
        <v>721</v>
      </c>
      <c r="B1292" t="s">
        <v>3916</v>
      </c>
      <c r="C1292" t="s">
        <v>1936</v>
      </c>
      <c r="D1292" t="s">
        <v>3917</v>
      </c>
      <c r="F1292">
        <v>358</v>
      </c>
      <c r="G1292">
        <v>65</v>
      </c>
      <c r="H1292" t="s">
        <v>662</v>
      </c>
      <c r="I1292" t="s">
        <v>2271</v>
      </c>
      <c r="J1292">
        <v>500000</v>
      </c>
      <c r="K1292">
        <v>2025</v>
      </c>
      <c r="L1292">
        <v>1046529577</v>
      </c>
      <c r="M1292" t="s">
        <v>3846</v>
      </c>
      <c r="N1292" t="s">
        <v>1688</v>
      </c>
      <c r="O1292" t="s">
        <v>1686</v>
      </c>
      <c r="P1292">
        <v>0</v>
      </c>
      <c r="Q1292">
        <v>500000</v>
      </c>
      <c r="R1292">
        <v>0</v>
      </c>
      <c r="S1292">
        <v>0</v>
      </c>
      <c r="T1292" t="str">
        <f t="shared" si="40"/>
        <v>7212.43.4302.85.0-205128.2.3.3.08.06.</v>
      </c>
      <c r="U1292" t="e" cm="1">
        <f t="array" aca="1" ref="U1292" ca="1">+IF(COMPROMISOS_2025[[#This Row],[P]]="20","41080111",_xlfn.XLOOKUP(COMPROMISOS_2025[[#This Row],[concatenado]],PAA[[#All],[RCP-RUBRO]],PAA[[#All],[INDICADOR]],"",0))</f>
        <v>#NAME?</v>
      </c>
      <c r="V1292" s="144" t="str">
        <f t="shared" si="41"/>
        <v>85</v>
      </c>
      <c r="W1292" s="136">
        <f>+COMPROMISOS_2025[[#This Row],[valor_total]]-COMPROMISOS_2025[[#This Row],[total_cancelado]]</f>
        <v>500000</v>
      </c>
      <c r="X1292" s="136">
        <f>COMPROMISOS_2025[[#This Row],[total_ordenes]]</f>
        <v>500000</v>
      </c>
      <c r="Y1292" t="str" cm="1">
        <f t="array" aca="1" ref="Y1292" ca="1">IFERROR(_xlfn.XLOOKUP(COMPROMISOS_2025[[#This Row],[concatenado]],PAA[[#All],[RCP-RUBRO]],PAA[[#All],[Actividad3]],VLOOKUP(COMPROMISOS_2025[[#This Row],[Indicador Principal]],$AC$2:$AD$17,2,0),0),"")</f>
        <v/>
      </c>
    </row>
    <row r="1293" spans="1:25" hidden="1" x14ac:dyDescent="0.25">
      <c r="A1293">
        <v>722</v>
      </c>
      <c r="B1293" t="s">
        <v>3916</v>
      </c>
      <c r="C1293" t="s">
        <v>1936</v>
      </c>
      <c r="D1293" t="s">
        <v>3917</v>
      </c>
      <c r="F1293">
        <v>358</v>
      </c>
      <c r="G1293">
        <v>65</v>
      </c>
      <c r="H1293" t="s">
        <v>662</v>
      </c>
      <c r="I1293" t="s">
        <v>2271</v>
      </c>
      <c r="J1293">
        <v>500000</v>
      </c>
      <c r="K1293">
        <v>2025</v>
      </c>
      <c r="L1293">
        <v>1047996543</v>
      </c>
      <c r="M1293" t="s">
        <v>4116</v>
      </c>
      <c r="N1293" t="s">
        <v>1688</v>
      </c>
      <c r="O1293" t="s">
        <v>1686</v>
      </c>
      <c r="P1293">
        <v>0</v>
      </c>
      <c r="Q1293">
        <v>500000</v>
      </c>
      <c r="R1293">
        <v>0</v>
      </c>
      <c r="S1293">
        <v>0</v>
      </c>
      <c r="T1293" t="str">
        <f t="shared" si="40"/>
        <v>7222.43.4302.85.0-205128.2.3.3.08.06.</v>
      </c>
      <c r="U1293" t="e" cm="1">
        <f t="array" aca="1" ref="U1293" ca="1">+IF(COMPROMISOS_2025[[#This Row],[P]]="20","41080111",_xlfn.XLOOKUP(COMPROMISOS_2025[[#This Row],[concatenado]],PAA[[#All],[RCP-RUBRO]],PAA[[#All],[INDICADOR]],"",0))</f>
        <v>#NAME?</v>
      </c>
      <c r="V1293" s="144" t="str">
        <f t="shared" si="41"/>
        <v>85</v>
      </c>
      <c r="W1293" s="136">
        <f>+COMPROMISOS_2025[[#This Row],[valor_total]]-COMPROMISOS_2025[[#This Row],[total_cancelado]]</f>
        <v>500000</v>
      </c>
      <c r="X1293" s="136">
        <f>COMPROMISOS_2025[[#This Row],[total_ordenes]]</f>
        <v>500000</v>
      </c>
      <c r="Y1293" t="str" cm="1">
        <f t="array" aca="1" ref="Y1293" ca="1">IFERROR(_xlfn.XLOOKUP(COMPROMISOS_2025[[#This Row],[concatenado]],PAA[[#All],[RCP-RUBRO]],PAA[[#All],[Actividad3]],VLOOKUP(COMPROMISOS_2025[[#This Row],[Indicador Principal]],$AC$2:$AD$17,2,0),0),"")</f>
        <v/>
      </c>
    </row>
    <row r="1294" spans="1:25" hidden="1" x14ac:dyDescent="0.25">
      <c r="A1294">
        <v>723</v>
      </c>
      <c r="B1294" t="s">
        <v>3916</v>
      </c>
      <c r="C1294" t="s">
        <v>1936</v>
      </c>
      <c r="D1294" t="s">
        <v>3917</v>
      </c>
      <c r="F1294">
        <v>358</v>
      </c>
      <c r="G1294">
        <v>65</v>
      </c>
      <c r="H1294" t="s">
        <v>662</v>
      </c>
      <c r="I1294" t="s">
        <v>2271</v>
      </c>
      <c r="J1294">
        <v>500000</v>
      </c>
      <c r="K1294">
        <v>2025</v>
      </c>
      <c r="L1294">
        <v>1054856974</v>
      </c>
      <c r="M1294" t="s">
        <v>4117</v>
      </c>
      <c r="N1294" t="s">
        <v>1688</v>
      </c>
      <c r="O1294" t="s">
        <v>1686</v>
      </c>
      <c r="P1294">
        <v>0</v>
      </c>
      <c r="Q1294">
        <v>500000</v>
      </c>
      <c r="R1294">
        <v>0</v>
      </c>
      <c r="S1294">
        <v>0</v>
      </c>
      <c r="T1294" t="str">
        <f t="shared" si="40"/>
        <v>7232.43.4302.85.0-205128.2.3.3.08.06.</v>
      </c>
      <c r="U1294" t="e" cm="1">
        <f t="array" aca="1" ref="U1294" ca="1">+IF(COMPROMISOS_2025[[#This Row],[P]]="20","41080111",_xlfn.XLOOKUP(COMPROMISOS_2025[[#This Row],[concatenado]],PAA[[#All],[RCP-RUBRO]],PAA[[#All],[INDICADOR]],"",0))</f>
        <v>#NAME?</v>
      </c>
      <c r="V1294" s="144" t="str">
        <f t="shared" si="41"/>
        <v>85</v>
      </c>
      <c r="W1294" s="136">
        <f>+COMPROMISOS_2025[[#This Row],[valor_total]]-COMPROMISOS_2025[[#This Row],[total_cancelado]]</f>
        <v>500000</v>
      </c>
      <c r="X1294" s="136">
        <f>COMPROMISOS_2025[[#This Row],[total_ordenes]]</f>
        <v>500000</v>
      </c>
      <c r="Y1294" t="str" cm="1">
        <f t="array" aca="1" ref="Y1294" ca="1">IFERROR(_xlfn.XLOOKUP(COMPROMISOS_2025[[#This Row],[concatenado]],PAA[[#All],[RCP-RUBRO]],PAA[[#All],[Actividad3]],VLOOKUP(COMPROMISOS_2025[[#This Row],[Indicador Principal]],$AC$2:$AD$17,2,0),0),"")</f>
        <v/>
      </c>
    </row>
    <row r="1295" spans="1:25" hidden="1" x14ac:dyDescent="0.25">
      <c r="A1295">
        <v>724</v>
      </c>
      <c r="B1295" t="s">
        <v>3916</v>
      </c>
      <c r="C1295" t="s">
        <v>1936</v>
      </c>
      <c r="D1295" t="s">
        <v>3917</v>
      </c>
      <c r="F1295">
        <v>358</v>
      </c>
      <c r="G1295">
        <v>65</v>
      </c>
      <c r="H1295" t="s">
        <v>662</v>
      </c>
      <c r="I1295" t="s">
        <v>2271</v>
      </c>
      <c r="J1295">
        <v>500000</v>
      </c>
      <c r="K1295">
        <v>2025</v>
      </c>
      <c r="L1295">
        <v>1058078519</v>
      </c>
      <c r="M1295" t="s">
        <v>4118</v>
      </c>
      <c r="N1295" t="s">
        <v>1688</v>
      </c>
      <c r="O1295" t="s">
        <v>1686</v>
      </c>
      <c r="P1295">
        <v>0</v>
      </c>
      <c r="Q1295">
        <v>500000</v>
      </c>
      <c r="R1295">
        <v>0</v>
      </c>
      <c r="S1295">
        <v>0</v>
      </c>
      <c r="T1295" t="str">
        <f t="shared" si="40"/>
        <v>7242.43.4302.85.0-205128.2.3.3.08.06.</v>
      </c>
      <c r="U1295" t="e" cm="1">
        <f t="array" aca="1" ref="U1295" ca="1">+IF(COMPROMISOS_2025[[#This Row],[P]]="20","41080111",_xlfn.XLOOKUP(COMPROMISOS_2025[[#This Row],[concatenado]],PAA[[#All],[RCP-RUBRO]],PAA[[#All],[INDICADOR]],"",0))</f>
        <v>#NAME?</v>
      </c>
      <c r="V1295" s="144" t="str">
        <f t="shared" si="41"/>
        <v>85</v>
      </c>
      <c r="W1295" s="136">
        <f>+COMPROMISOS_2025[[#This Row],[valor_total]]-COMPROMISOS_2025[[#This Row],[total_cancelado]]</f>
        <v>500000</v>
      </c>
      <c r="X1295" s="136">
        <f>COMPROMISOS_2025[[#This Row],[total_ordenes]]</f>
        <v>500000</v>
      </c>
      <c r="Y1295" t="str" cm="1">
        <f t="array" aca="1" ref="Y1295" ca="1">IFERROR(_xlfn.XLOOKUP(COMPROMISOS_2025[[#This Row],[concatenado]],PAA[[#All],[RCP-RUBRO]],PAA[[#All],[Actividad3]],VLOOKUP(COMPROMISOS_2025[[#This Row],[Indicador Principal]],$AC$2:$AD$17,2,0),0),"")</f>
        <v/>
      </c>
    </row>
    <row r="1296" spans="1:25" hidden="1" x14ac:dyDescent="0.25">
      <c r="A1296">
        <v>725</v>
      </c>
      <c r="B1296" t="s">
        <v>3916</v>
      </c>
      <c r="C1296" t="s">
        <v>1936</v>
      </c>
      <c r="D1296" t="s">
        <v>3917</v>
      </c>
      <c r="F1296">
        <v>358</v>
      </c>
      <c r="G1296">
        <v>65</v>
      </c>
      <c r="H1296" t="s">
        <v>662</v>
      </c>
      <c r="I1296" t="s">
        <v>2271</v>
      </c>
      <c r="J1296">
        <v>500000</v>
      </c>
      <c r="K1296">
        <v>2025</v>
      </c>
      <c r="L1296">
        <v>1062606601</v>
      </c>
      <c r="M1296" t="s">
        <v>3851</v>
      </c>
      <c r="N1296" t="s">
        <v>1688</v>
      </c>
      <c r="O1296" t="s">
        <v>1686</v>
      </c>
      <c r="P1296">
        <v>0</v>
      </c>
      <c r="Q1296">
        <v>500000</v>
      </c>
      <c r="R1296">
        <v>0</v>
      </c>
      <c r="S1296">
        <v>0</v>
      </c>
      <c r="T1296" t="str">
        <f t="shared" si="40"/>
        <v>7252.43.4302.85.0-205128.2.3.3.08.06.</v>
      </c>
      <c r="U1296" t="e" cm="1">
        <f t="array" aca="1" ref="U1296" ca="1">+IF(COMPROMISOS_2025[[#This Row],[P]]="20","41080111",_xlfn.XLOOKUP(COMPROMISOS_2025[[#This Row],[concatenado]],PAA[[#All],[RCP-RUBRO]],PAA[[#All],[INDICADOR]],"",0))</f>
        <v>#NAME?</v>
      </c>
      <c r="V1296" s="144" t="str">
        <f t="shared" si="41"/>
        <v>85</v>
      </c>
      <c r="W1296" s="136">
        <f>+COMPROMISOS_2025[[#This Row],[valor_total]]-COMPROMISOS_2025[[#This Row],[total_cancelado]]</f>
        <v>500000</v>
      </c>
      <c r="X1296" s="136">
        <f>COMPROMISOS_2025[[#This Row],[total_ordenes]]</f>
        <v>500000</v>
      </c>
      <c r="Y1296" t="str" cm="1">
        <f t="array" aca="1" ref="Y1296" ca="1">IFERROR(_xlfn.XLOOKUP(COMPROMISOS_2025[[#This Row],[concatenado]],PAA[[#All],[RCP-RUBRO]],PAA[[#All],[Actividad3]],VLOOKUP(COMPROMISOS_2025[[#This Row],[Indicador Principal]],$AC$2:$AD$17,2,0),0),"")</f>
        <v/>
      </c>
    </row>
    <row r="1297" spans="1:25" hidden="1" x14ac:dyDescent="0.25">
      <c r="A1297">
        <v>726</v>
      </c>
      <c r="B1297" t="s">
        <v>3916</v>
      </c>
      <c r="C1297" t="s">
        <v>1936</v>
      </c>
      <c r="D1297" t="s">
        <v>3917</v>
      </c>
      <c r="F1297">
        <v>358</v>
      </c>
      <c r="G1297">
        <v>65</v>
      </c>
      <c r="H1297" t="s">
        <v>662</v>
      </c>
      <c r="I1297" t="s">
        <v>2271</v>
      </c>
      <c r="J1297">
        <v>1300000</v>
      </c>
      <c r="K1297">
        <v>2025</v>
      </c>
      <c r="L1297">
        <v>1064187599</v>
      </c>
      <c r="M1297" t="s">
        <v>3852</v>
      </c>
      <c r="N1297" t="s">
        <v>1688</v>
      </c>
      <c r="O1297" t="s">
        <v>1686</v>
      </c>
      <c r="P1297">
        <v>0</v>
      </c>
      <c r="Q1297">
        <v>1300000</v>
      </c>
      <c r="R1297">
        <v>0</v>
      </c>
      <c r="S1297">
        <v>0</v>
      </c>
      <c r="T1297" t="str">
        <f t="shared" si="40"/>
        <v>7262.43.4302.85.0-205128.2.3.3.08.06.</v>
      </c>
      <c r="U1297" t="e" cm="1">
        <f t="array" aca="1" ref="U1297" ca="1">+IF(COMPROMISOS_2025[[#This Row],[P]]="20","41080111",_xlfn.XLOOKUP(COMPROMISOS_2025[[#This Row],[concatenado]],PAA[[#All],[RCP-RUBRO]],PAA[[#All],[INDICADOR]],"",0))</f>
        <v>#NAME?</v>
      </c>
      <c r="V1297" s="144" t="str">
        <f t="shared" si="41"/>
        <v>85</v>
      </c>
      <c r="W1297" s="136">
        <f>+COMPROMISOS_2025[[#This Row],[valor_total]]-COMPROMISOS_2025[[#This Row],[total_cancelado]]</f>
        <v>1300000</v>
      </c>
      <c r="X1297" s="136">
        <f>COMPROMISOS_2025[[#This Row],[total_ordenes]]</f>
        <v>1300000</v>
      </c>
      <c r="Y1297" t="str" cm="1">
        <f t="array" aca="1" ref="Y1297" ca="1">IFERROR(_xlfn.XLOOKUP(COMPROMISOS_2025[[#This Row],[concatenado]],PAA[[#All],[RCP-RUBRO]],PAA[[#All],[Actividad3]],VLOOKUP(COMPROMISOS_2025[[#This Row],[Indicador Principal]],$AC$2:$AD$17,2,0),0),"")</f>
        <v/>
      </c>
    </row>
    <row r="1298" spans="1:25" hidden="1" x14ac:dyDescent="0.25">
      <c r="A1298">
        <v>727</v>
      </c>
      <c r="B1298" t="s">
        <v>3916</v>
      </c>
      <c r="C1298" t="s">
        <v>1936</v>
      </c>
      <c r="D1298" t="s">
        <v>3917</v>
      </c>
      <c r="F1298">
        <v>358</v>
      </c>
      <c r="G1298">
        <v>65</v>
      </c>
      <c r="H1298" t="s">
        <v>662</v>
      </c>
      <c r="I1298" t="s">
        <v>2271</v>
      </c>
      <c r="J1298">
        <v>500000</v>
      </c>
      <c r="K1298">
        <v>2025</v>
      </c>
      <c r="L1298">
        <v>1067879191</v>
      </c>
      <c r="M1298" t="s">
        <v>3853</v>
      </c>
      <c r="N1298" t="s">
        <v>1688</v>
      </c>
      <c r="O1298" t="s">
        <v>1686</v>
      </c>
      <c r="P1298">
        <v>0</v>
      </c>
      <c r="Q1298">
        <v>500000</v>
      </c>
      <c r="R1298">
        <v>0</v>
      </c>
      <c r="S1298">
        <v>0</v>
      </c>
      <c r="T1298" t="str">
        <f t="shared" si="40"/>
        <v>7272.43.4302.85.0-205128.2.3.3.08.06.</v>
      </c>
      <c r="U1298" t="e" cm="1">
        <f t="array" aca="1" ref="U1298" ca="1">+IF(COMPROMISOS_2025[[#This Row],[P]]="20","41080111",_xlfn.XLOOKUP(COMPROMISOS_2025[[#This Row],[concatenado]],PAA[[#All],[RCP-RUBRO]],PAA[[#All],[INDICADOR]],"",0))</f>
        <v>#NAME?</v>
      </c>
      <c r="V1298" s="144" t="str">
        <f t="shared" si="41"/>
        <v>85</v>
      </c>
      <c r="W1298" s="136">
        <f>+COMPROMISOS_2025[[#This Row],[valor_total]]-COMPROMISOS_2025[[#This Row],[total_cancelado]]</f>
        <v>500000</v>
      </c>
      <c r="X1298" s="136">
        <f>COMPROMISOS_2025[[#This Row],[total_ordenes]]</f>
        <v>500000</v>
      </c>
      <c r="Y1298" t="str" cm="1">
        <f t="array" aca="1" ref="Y1298" ca="1">IFERROR(_xlfn.XLOOKUP(COMPROMISOS_2025[[#This Row],[concatenado]],PAA[[#All],[RCP-RUBRO]],PAA[[#All],[Actividad3]],VLOOKUP(COMPROMISOS_2025[[#This Row],[Indicador Principal]],$AC$2:$AD$17,2,0),0),"")</f>
        <v/>
      </c>
    </row>
    <row r="1299" spans="1:25" hidden="1" x14ac:dyDescent="0.25">
      <c r="A1299">
        <v>728</v>
      </c>
      <c r="B1299" t="s">
        <v>3916</v>
      </c>
      <c r="C1299" t="s">
        <v>1936</v>
      </c>
      <c r="D1299" t="s">
        <v>3917</v>
      </c>
      <c r="F1299">
        <v>358</v>
      </c>
      <c r="G1299">
        <v>65</v>
      </c>
      <c r="H1299" t="s">
        <v>662</v>
      </c>
      <c r="I1299" t="s">
        <v>2271</v>
      </c>
      <c r="J1299">
        <v>500000</v>
      </c>
      <c r="K1299">
        <v>2025</v>
      </c>
      <c r="L1299">
        <v>1075673624</v>
      </c>
      <c r="M1299" t="s">
        <v>4119</v>
      </c>
      <c r="N1299" t="s">
        <v>1688</v>
      </c>
      <c r="O1299" t="s">
        <v>1686</v>
      </c>
      <c r="P1299">
        <v>0</v>
      </c>
      <c r="Q1299">
        <v>500000</v>
      </c>
      <c r="R1299">
        <v>0</v>
      </c>
      <c r="S1299">
        <v>0</v>
      </c>
      <c r="T1299" t="str">
        <f t="shared" si="40"/>
        <v>7282.43.4302.85.0-205128.2.3.3.08.06.</v>
      </c>
      <c r="U1299" t="e" cm="1">
        <f t="array" aca="1" ref="U1299" ca="1">+IF(COMPROMISOS_2025[[#This Row],[P]]="20","41080111",_xlfn.XLOOKUP(COMPROMISOS_2025[[#This Row],[concatenado]],PAA[[#All],[RCP-RUBRO]],PAA[[#All],[INDICADOR]],"",0))</f>
        <v>#NAME?</v>
      </c>
      <c r="V1299" s="144" t="str">
        <f t="shared" si="41"/>
        <v>85</v>
      </c>
      <c r="W1299" s="136">
        <f>+COMPROMISOS_2025[[#This Row],[valor_total]]-COMPROMISOS_2025[[#This Row],[total_cancelado]]</f>
        <v>500000</v>
      </c>
      <c r="X1299" s="136">
        <f>COMPROMISOS_2025[[#This Row],[total_ordenes]]</f>
        <v>500000</v>
      </c>
      <c r="Y1299" t="str" cm="1">
        <f t="array" aca="1" ref="Y1299" ca="1">IFERROR(_xlfn.XLOOKUP(COMPROMISOS_2025[[#This Row],[concatenado]],PAA[[#All],[RCP-RUBRO]],PAA[[#All],[Actividad3]],VLOOKUP(COMPROMISOS_2025[[#This Row],[Indicador Principal]],$AC$2:$AD$17,2,0),0),"")</f>
        <v/>
      </c>
    </row>
    <row r="1300" spans="1:25" hidden="1" x14ac:dyDescent="0.25">
      <c r="A1300">
        <v>729</v>
      </c>
      <c r="B1300" t="s">
        <v>3916</v>
      </c>
      <c r="C1300" t="s">
        <v>1936</v>
      </c>
      <c r="D1300" t="s">
        <v>3917</v>
      </c>
      <c r="F1300">
        <v>358</v>
      </c>
      <c r="G1300">
        <v>65</v>
      </c>
      <c r="H1300" t="s">
        <v>662</v>
      </c>
      <c r="I1300" t="s">
        <v>2271</v>
      </c>
      <c r="J1300">
        <v>500000</v>
      </c>
      <c r="K1300">
        <v>2025</v>
      </c>
      <c r="L1300">
        <v>1076502084</v>
      </c>
      <c r="M1300" t="s">
        <v>4120</v>
      </c>
      <c r="N1300" t="s">
        <v>1688</v>
      </c>
      <c r="O1300" t="s">
        <v>1686</v>
      </c>
      <c r="P1300">
        <v>0</v>
      </c>
      <c r="Q1300">
        <v>500000</v>
      </c>
      <c r="R1300">
        <v>0</v>
      </c>
      <c r="S1300">
        <v>0</v>
      </c>
      <c r="T1300" t="str">
        <f t="shared" si="40"/>
        <v>7292.43.4302.85.0-205128.2.3.3.08.06.</v>
      </c>
      <c r="U1300" t="e" cm="1">
        <f t="array" aca="1" ref="U1300" ca="1">+IF(COMPROMISOS_2025[[#This Row],[P]]="20","41080111",_xlfn.XLOOKUP(COMPROMISOS_2025[[#This Row],[concatenado]],PAA[[#All],[RCP-RUBRO]],PAA[[#All],[INDICADOR]],"",0))</f>
        <v>#NAME?</v>
      </c>
      <c r="V1300" s="144" t="str">
        <f t="shared" si="41"/>
        <v>85</v>
      </c>
      <c r="W1300" s="136">
        <f>+COMPROMISOS_2025[[#This Row],[valor_total]]-COMPROMISOS_2025[[#This Row],[total_cancelado]]</f>
        <v>500000</v>
      </c>
      <c r="X1300" s="136">
        <f>COMPROMISOS_2025[[#This Row],[total_ordenes]]</f>
        <v>500000</v>
      </c>
      <c r="Y1300" t="str" cm="1">
        <f t="array" aca="1" ref="Y1300" ca="1">IFERROR(_xlfn.XLOOKUP(COMPROMISOS_2025[[#This Row],[concatenado]],PAA[[#All],[RCP-RUBRO]],PAA[[#All],[Actividad3]],VLOOKUP(COMPROMISOS_2025[[#This Row],[Indicador Principal]],$AC$2:$AD$17,2,0),0),"")</f>
        <v/>
      </c>
    </row>
    <row r="1301" spans="1:25" hidden="1" x14ac:dyDescent="0.25">
      <c r="A1301">
        <v>730</v>
      </c>
      <c r="B1301" t="s">
        <v>3916</v>
      </c>
      <c r="C1301" t="s">
        <v>1936</v>
      </c>
      <c r="D1301" t="s">
        <v>3917</v>
      </c>
      <c r="F1301">
        <v>358</v>
      </c>
      <c r="G1301">
        <v>65</v>
      </c>
      <c r="H1301" t="s">
        <v>662</v>
      </c>
      <c r="I1301" t="s">
        <v>2271</v>
      </c>
      <c r="J1301">
        <v>500000</v>
      </c>
      <c r="K1301">
        <v>2025</v>
      </c>
      <c r="L1301">
        <v>1077175447</v>
      </c>
      <c r="M1301" t="s">
        <v>3856</v>
      </c>
      <c r="N1301" t="s">
        <v>1688</v>
      </c>
      <c r="O1301" t="s">
        <v>1686</v>
      </c>
      <c r="P1301">
        <v>0</v>
      </c>
      <c r="Q1301">
        <v>500000</v>
      </c>
      <c r="R1301">
        <v>0</v>
      </c>
      <c r="S1301">
        <v>0</v>
      </c>
      <c r="T1301" t="str">
        <f t="shared" si="40"/>
        <v>7302.43.4302.85.0-205128.2.3.3.08.06.</v>
      </c>
      <c r="U1301" t="e" cm="1">
        <f t="array" aca="1" ref="U1301" ca="1">+IF(COMPROMISOS_2025[[#This Row],[P]]="20","41080111",_xlfn.XLOOKUP(COMPROMISOS_2025[[#This Row],[concatenado]],PAA[[#All],[RCP-RUBRO]],PAA[[#All],[INDICADOR]],"",0))</f>
        <v>#NAME?</v>
      </c>
      <c r="V1301" s="144" t="str">
        <f t="shared" si="41"/>
        <v>85</v>
      </c>
      <c r="W1301" s="136">
        <f>+COMPROMISOS_2025[[#This Row],[valor_total]]-COMPROMISOS_2025[[#This Row],[total_cancelado]]</f>
        <v>500000</v>
      </c>
      <c r="X1301" s="136">
        <f>COMPROMISOS_2025[[#This Row],[total_ordenes]]</f>
        <v>500000</v>
      </c>
      <c r="Y1301" t="str" cm="1">
        <f t="array" aca="1" ref="Y1301" ca="1">IFERROR(_xlfn.XLOOKUP(COMPROMISOS_2025[[#This Row],[concatenado]],PAA[[#All],[RCP-RUBRO]],PAA[[#All],[Actividad3]],VLOOKUP(COMPROMISOS_2025[[#This Row],[Indicador Principal]],$AC$2:$AD$17,2,0),0),"")</f>
        <v/>
      </c>
    </row>
    <row r="1302" spans="1:25" hidden="1" x14ac:dyDescent="0.25">
      <c r="A1302">
        <v>731</v>
      </c>
      <c r="B1302" t="s">
        <v>3916</v>
      </c>
      <c r="C1302" t="s">
        <v>1936</v>
      </c>
      <c r="D1302" t="s">
        <v>3917</v>
      </c>
      <c r="F1302">
        <v>358</v>
      </c>
      <c r="G1302">
        <v>65</v>
      </c>
      <c r="H1302" t="s">
        <v>662</v>
      </c>
      <c r="I1302" t="s">
        <v>2271</v>
      </c>
      <c r="J1302">
        <v>500000</v>
      </c>
      <c r="K1302">
        <v>2025</v>
      </c>
      <c r="L1302">
        <v>1077437321</v>
      </c>
      <c r="M1302" t="s">
        <v>4121</v>
      </c>
      <c r="N1302" t="s">
        <v>1688</v>
      </c>
      <c r="O1302" t="s">
        <v>1686</v>
      </c>
      <c r="P1302">
        <v>0</v>
      </c>
      <c r="Q1302">
        <v>500000</v>
      </c>
      <c r="R1302">
        <v>0</v>
      </c>
      <c r="S1302">
        <v>0</v>
      </c>
      <c r="T1302" t="str">
        <f t="shared" si="40"/>
        <v>7312.43.4302.85.0-205128.2.3.3.08.06.</v>
      </c>
      <c r="U1302" t="e" cm="1">
        <f t="array" aca="1" ref="U1302" ca="1">+IF(COMPROMISOS_2025[[#This Row],[P]]="20","41080111",_xlfn.XLOOKUP(COMPROMISOS_2025[[#This Row],[concatenado]],PAA[[#All],[RCP-RUBRO]],PAA[[#All],[INDICADOR]],"",0))</f>
        <v>#NAME?</v>
      </c>
      <c r="V1302" s="144" t="str">
        <f t="shared" si="41"/>
        <v>85</v>
      </c>
      <c r="W1302" s="136">
        <f>+COMPROMISOS_2025[[#This Row],[valor_total]]-COMPROMISOS_2025[[#This Row],[total_cancelado]]</f>
        <v>500000</v>
      </c>
      <c r="X1302" s="136">
        <f>COMPROMISOS_2025[[#This Row],[total_ordenes]]</f>
        <v>500000</v>
      </c>
      <c r="Y1302" t="str" cm="1">
        <f t="array" aca="1" ref="Y1302" ca="1">IFERROR(_xlfn.XLOOKUP(COMPROMISOS_2025[[#This Row],[concatenado]],PAA[[#All],[RCP-RUBRO]],PAA[[#All],[Actividad3]],VLOOKUP(COMPROMISOS_2025[[#This Row],[Indicador Principal]],$AC$2:$AD$17,2,0),0),"")</f>
        <v/>
      </c>
    </row>
    <row r="1303" spans="1:25" hidden="1" x14ac:dyDescent="0.25">
      <c r="A1303">
        <v>732</v>
      </c>
      <c r="B1303" t="s">
        <v>3916</v>
      </c>
      <c r="C1303" t="s">
        <v>1936</v>
      </c>
      <c r="D1303" t="s">
        <v>3917</v>
      </c>
      <c r="F1303">
        <v>358</v>
      </c>
      <c r="G1303">
        <v>65</v>
      </c>
      <c r="H1303" t="s">
        <v>662</v>
      </c>
      <c r="I1303" t="s">
        <v>2271</v>
      </c>
      <c r="J1303">
        <v>500000</v>
      </c>
      <c r="K1303">
        <v>2025</v>
      </c>
      <c r="L1303">
        <v>1077721749</v>
      </c>
      <c r="M1303" t="s">
        <v>4122</v>
      </c>
      <c r="N1303" t="s">
        <v>1688</v>
      </c>
      <c r="O1303" t="s">
        <v>1686</v>
      </c>
      <c r="P1303">
        <v>0</v>
      </c>
      <c r="Q1303">
        <v>500000</v>
      </c>
      <c r="R1303">
        <v>0</v>
      </c>
      <c r="S1303">
        <v>0</v>
      </c>
      <c r="T1303" t="str">
        <f t="shared" si="40"/>
        <v>7322.43.4302.85.0-205128.2.3.3.08.06.</v>
      </c>
      <c r="U1303" t="e" cm="1">
        <f t="array" aca="1" ref="U1303" ca="1">+IF(COMPROMISOS_2025[[#This Row],[P]]="20","41080111",_xlfn.XLOOKUP(COMPROMISOS_2025[[#This Row],[concatenado]],PAA[[#All],[RCP-RUBRO]],PAA[[#All],[INDICADOR]],"",0))</f>
        <v>#NAME?</v>
      </c>
      <c r="V1303" s="144" t="str">
        <f t="shared" si="41"/>
        <v>85</v>
      </c>
      <c r="W1303" s="136">
        <f>+COMPROMISOS_2025[[#This Row],[valor_total]]-COMPROMISOS_2025[[#This Row],[total_cancelado]]</f>
        <v>500000</v>
      </c>
      <c r="X1303" s="136">
        <f>COMPROMISOS_2025[[#This Row],[total_ordenes]]</f>
        <v>500000</v>
      </c>
      <c r="Y1303" t="str" cm="1">
        <f t="array" aca="1" ref="Y1303" ca="1">IFERROR(_xlfn.XLOOKUP(COMPROMISOS_2025[[#This Row],[concatenado]],PAA[[#All],[RCP-RUBRO]],PAA[[#All],[Actividad3]],VLOOKUP(COMPROMISOS_2025[[#This Row],[Indicador Principal]],$AC$2:$AD$17,2,0),0),"")</f>
        <v/>
      </c>
    </row>
    <row r="1304" spans="1:25" hidden="1" x14ac:dyDescent="0.25">
      <c r="A1304">
        <v>733</v>
      </c>
      <c r="B1304" t="s">
        <v>3916</v>
      </c>
      <c r="C1304" t="s">
        <v>1936</v>
      </c>
      <c r="D1304" t="s">
        <v>3917</v>
      </c>
      <c r="F1304">
        <v>358</v>
      </c>
      <c r="G1304">
        <v>65</v>
      </c>
      <c r="H1304" t="s">
        <v>662</v>
      </c>
      <c r="I1304" t="s">
        <v>2271</v>
      </c>
      <c r="J1304">
        <v>1300000</v>
      </c>
      <c r="K1304">
        <v>2025</v>
      </c>
      <c r="L1304">
        <v>1077999141</v>
      </c>
      <c r="M1304" t="s">
        <v>3858</v>
      </c>
      <c r="N1304" t="s">
        <v>1688</v>
      </c>
      <c r="O1304" t="s">
        <v>1686</v>
      </c>
      <c r="P1304">
        <v>0</v>
      </c>
      <c r="Q1304">
        <v>1300000</v>
      </c>
      <c r="R1304">
        <v>0</v>
      </c>
      <c r="S1304">
        <v>0</v>
      </c>
      <c r="T1304" t="str">
        <f t="shared" si="40"/>
        <v>7332.43.4302.85.0-205128.2.3.3.08.06.</v>
      </c>
      <c r="U1304" t="e" cm="1">
        <f t="array" aca="1" ref="U1304" ca="1">+IF(COMPROMISOS_2025[[#This Row],[P]]="20","41080111",_xlfn.XLOOKUP(COMPROMISOS_2025[[#This Row],[concatenado]],PAA[[#All],[RCP-RUBRO]],PAA[[#All],[INDICADOR]],"",0))</f>
        <v>#NAME?</v>
      </c>
      <c r="V1304" s="144" t="str">
        <f t="shared" si="41"/>
        <v>85</v>
      </c>
      <c r="W1304" s="136">
        <f>+COMPROMISOS_2025[[#This Row],[valor_total]]-COMPROMISOS_2025[[#This Row],[total_cancelado]]</f>
        <v>1300000</v>
      </c>
      <c r="X1304" s="136">
        <f>COMPROMISOS_2025[[#This Row],[total_ordenes]]</f>
        <v>1300000</v>
      </c>
      <c r="Y1304" t="str" cm="1">
        <f t="array" aca="1" ref="Y1304" ca="1">IFERROR(_xlfn.XLOOKUP(COMPROMISOS_2025[[#This Row],[concatenado]],PAA[[#All],[RCP-RUBRO]],PAA[[#All],[Actividad3]],VLOOKUP(COMPROMISOS_2025[[#This Row],[Indicador Principal]],$AC$2:$AD$17,2,0),0),"")</f>
        <v/>
      </c>
    </row>
    <row r="1305" spans="1:25" hidden="1" x14ac:dyDescent="0.25">
      <c r="A1305">
        <v>734</v>
      </c>
      <c r="B1305" t="s">
        <v>3916</v>
      </c>
      <c r="C1305" t="s">
        <v>1936</v>
      </c>
      <c r="D1305" t="s">
        <v>3917</v>
      </c>
      <c r="F1305">
        <v>358</v>
      </c>
      <c r="G1305">
        <v>65</v>
      </c>
      <c r="H1305" t="s">
        <v>662</v>
      </c>
      <c r="I1305" t="s">
        <v>2271</v>
      </c>
      <c r="J1305">
        <v>500000</v>
      </c>
      <c r="K1305">
        <v>2025</v>
      </c>
      <c r="L1305">
        <v>1078576614</v>
      </c>
      <c r="M1305" t="s">
        <v>4123</v>
      </c>
      <c r="N1305" t="s">
        <v>1688</v>
      </c>
      <c r="O1305" t="s">
        <v>1686</v>
      </c>
      <c r="P1305">
        <v>0</v>
      </c>
      <c r="Q1305">
        <v>500000</v>
      </c>
      <c r="R1305">
        <v>0</v>
      </c>
      <c r="S1305">
        <v>0</v>
      </c>
      <c r="T1305" t="str">
        <f t="shared" si="40"/>
        <v>7342.43.4302.85.0-205128.2.3.3.08.06.</v>
      </c>
      <c r="U1305" t="e" cm="1">
        <f t="array" aca="1" ref="U1305" ca="1">+IF(COMPROMISOS_2025[[#This Row],[P]]="20","41080111",_xlfn.XLOOKUP(COMPROMISOS_2025[[#This Row],[concatenado]],PAA[[#All],[RCP-RUBRO]],PAA[[#All],[INDICADOR]],"",0))</f>
        <v>#NAME?</v>
      </c>
      <c r="V1305" s="144" t="str">
        <f t="shared" si="41"/>
        <v>85</v>
      </c>
      <c r="W1305" s="136">
        <f>+COMPROMISOS_2025[[#This Row],[valor_total]]-COMPROMISOS_2025[[#This Row],[total_cancelado]]</f>
        <v>500000</v>
      </c>
      <c r="X1305" s="136">
        <f>COMPROMISOS_2025[[#This Row],[total_ordenes]]</f>
        <v>500000</v>
      </c>
      <c r="Y1305" t="str" cm="1">
        <f t="array" aca="1" ref="Y1305" ca="1">IFERROR(_xlfn.XLOOKUP(COMPROMISOS_2025[[#This Row],[concatenado]],PAA[[#All],[RCP-RUBRO]],PAA[[#All],[Actividad3]],VLOOKUP(COMPROMISOS_2025[[#This Row],[Indicador Principal]],$AC$2:$AD$17,2,0),0),"")</f>
        <v/>
      </c>
    </row>
    <row r="1306" spans="1:25" hidden="1" x14ac:dyDescent="0.25">
      <c r="A1306">
        <v>735</v>
      </c>
      <c r="B1306" t="s">
        <v>3916</v>
      </c>
      <c r="C1306" t="s">
        <v>1936</v>
      </c>
      <c r="D1306" t="s">
        <v>3917</v>
      </c>
      <c r="F1306">
        <v>358</v>
      </c>
      <c r="G1306">
        <v>65</v>
      </c>
      <c r="H1306" t="s">
        <v>662</v>
      </c>
      <c r="I1306" t="s">
        <v>2271</v>
      </c>
      <c r="J1306">
        <v>1300000</v>
      </c>
      <c r="K1306">
        <v>2025</v>
      </c>
      <c r="L1306">
        <v>1079290073</v>
      </c>
      <c r="M1306" t="s">
        <v>3860</v>
      </c>
      <c r="N1306" t="s">
        <v>1688</v>
      </c>
      <c r="O1306" t="s">
        <v>1686</v>
      </c>
      <c r="P1306">
        <v>0</v>
      </c>
      <c r="Q1306">
        <v>1300000</v>
      </c>
      <c r="R1306">
        <v>0</v>
      </c>
      <c r="S1306">
        <v>0</v>
      </c>
      <c r="T1306" t="str">
        <f t="shared" si="40"/>
        <v>7352.43.4302.85.0-205128.2.3.3.08.06.</v>
      </c>
      <c r="U1306" t="e" cm="1">
        <f t="array" aca="1" ref="U1306" ca="1">+IF(COMPROMISOS_2025[[#This Row],[P]]="20","41080111",_xlfn.XLOOKUP(COMPROMISOS_2025[[#This Row],[concatenado]],PAA[[#All],[RCP-RUBRO]],PAA[[#All],[INDICADOR]],"",0))</f>
        <v>#NAME?</v>
      </c>
      <c r="V1306" s="144" t="str">
        <f t="shared" si="41"/>
        <v>85</v>
      </c>
      <c r="W1306" s="136">
        <f>+COMPROMISOS_2025[[#This Row],[valor_total]]-COMPROMISOS_2025[[#This Row],[total_cancelado]]</f>
        <v>1300000</v>
      </c>
      <c r="X1306" s="136">
        <f>COMPROMISOS_2025[[#This Row],[total_ordenes]]</f>
        <v>1300000</v>
      </c>
      <c r="Y1306" t="str" cm="1">
        <f t="array" aca="1" ref="Y1306" ca="1">IFERROR(_xlfn.XLOOKUP(COMPROMISOS_2025[[#This Row],[concatenado]],PAA[[#All],[RCP-RUBRO]],PAA[[#All],[Actividad3]],VLOOKUP(COMPROMISOS_2025[[#This Row],[Indicador Principal]],$AC$2:$AD$17,2,0),0),"")</f>
        <v/>
      </c>
    </row>
    <row r="1307" spans="1:25" hidden="1" x14ac:dyDescent="0.25">
      <c r="A1307">
        <v>736</v>
      </c>
      <c r="B1307" t="s">
        <v>3916</v>
      </c>
      <c r="C1307" t="s">
        <v>1936</v>
      </c>
      <c r="D1307" t="s">
        <v>3917</v>
      </c>
      <c r="F1307">
        <v>358</v>
      </c>
      <c r="G1307">
        <v>65</v>
      </c>
      <c r="H1307" t="s">
        <v>662</v>
      </c>
      <c r="I1307" t="s">
        <v>2271</v>
      </c>
      <c r="J1307">
        <v>1300000</v>
      </c>
      <c r="K1307">
        <v>2025</v>
      </c>
      <c r="L1307">
        <v>1091272127</v>
      </c>
      <c r="M1307" t="s">
        <v>4124</v>
      </c>
      <c r="N1307" t="s">
        <v>1688</v>
      </c>
      <c r="O1307" t="s">
        <v>1686</v>
      </c>
      <c r="P1307">
        <v>0</v>
      </c>
      <c r="Q1307">
        <v>1300000</v>
      </c>
      <c r="R1307">
        <v>0</v>
      </c>
      <c r="S1307">
        <v>0</v>
      </c>
      <c r="T1307" t="str">
        <f t="shared" si="40"/>
        <v>7362.43.4302.85.0-205128.2.3.3.08.06.</v>
      </c>
      <c r="U1307" t="e" cm="1">
        <f t="array" aca="1" ref="U1307" ca="1">+IF(COMPROMISOS_2025[[#This Row],[P]]="20","41080111",_xlfn.XLOOKUP(COMPROMISOS_2025[[#This Row],[concatenado]],PAA[[#All],[RCP-RUBRO]],PAA[[#All],[INDICADOR]],"",0))</f>
        <v>#NAME?</v>
      </c>
      <c r="V1307" s="144" t="str">
        <f t="shared" si="41"/>
        <v>85</v>
      </c>
      <c r="W1307" s="136">
        <f>+COMPROMISOS_2025[[#This Row],[valor_total]]-COMPROMISOS_2025[[#This Row],[total_cancelado]]</f>
        <v>1300000</v>
      </c>
      <c r="X1307" s="136">
        <f>COMPROMISOS_2025[[#This Row],[total_ordenes]]</f>
        <v>1300000</v>
      </c>
      <c r="Y1307" t="str" cm="1">
        <f t="array" aca="1" ref="Y1307" ca="1">IFERROR(_xlfn.XLOOKUP(COMPROMISOS_2025[[#This Row],[concatenado]],PAA[[#All],[RCP-RUBRO]],PAA[[#All],[Actividad3]],VLOOKUP(COMPROMISOS_2025[[#This Row],[Indicador Principal]],$AC$2:$AD$17,2,0),0),"")</f>
        <v/>
      </c>
    </row>
    <row r="1308" spans="1:25" hidden="1" x14ac:dyDescent="0.25">
      <c r="A1308">
        <v>737</v>
      </c>
      <c r="B1308" t="s">
        <v>3916</v>
      </c>
      <c r="C1308" t="s">
        <v>1936</v>
      </c>
      <c r="D1308" t="s">
        <v>3917</v>
      </c>
      <c r="F1308">
        <v>358</v>
      </c>
      <c r="G1308">
        <v>65</v>
      </c>
      <c r="H1308" t="s">
        <v>662</v>
      </c>
      <c r="I1308" t="s">
        <v>2271</v>
      </c>
      <c r="J1308">
        <v>500000</v>
      </c>
      <c r="K1308">
        <v>2025</v>
      </c>
      <c r="L1308">
        <v>1091977928</v>
      </c>
      <c r="M1308" t="s">
        <v>4125</v>
      </c>
      <c r="N1308" t="s">
        <v>1688</v>
      </c>
      <c r="O1308" t="s">
        <v>1686</v>
      </c>
      <c r="P1308">
        <v>0</v>
      </c>
      <c r="Q1308">
        <v>500000</v>
      </c>
      <c r="R1308">
        <v>0</v>
      </c>
      <c r="S1308">
        <v>0</v>
      </c>
      <c r="T1308" t="str">
        <f t="shared" si="40"/>
        <v>7372.43.4302.85.0-205128.2.3.3.08.06.</v>
      </c>
      <c r="U1308" t="e" cm="1">
        <f t="array" aca="1" ref="U1308" ca="1">+IF(COMPROMISOS_2025[[#This Row],[P]]="20","41080111",_xlfn.XLOOKUP(COMPROMISOS_2025[[#This Row],[concatenado]],PAA[[#All],[RCP-RUBRO]],PAA[[#All],[INDICADOR]],"",0))</f>
        <v>#NAME?</v>
      </c>
      <c r="V1308" s="144" t="str">
        <f t="shared" si="41"/>
        <v>85</v>
      </c>
      <c r="W1308" s="136">
        <f>+COMPROMISOS_2025[[#This Row],[valor_total]]-COMPROMISOS_2025[[#This Row],[total_cancelado]]</f>
        <v>500000</v>
      </c>
      <c r="X1308" s="136">
        <f>COMPROMISOS_2025[[#This Row],[total_ordenes]]</f>
        <v>500000</v>
      </c>
      <c r="Y1308" t="str" cm="1">
        <f t="array" aca="1" ref="Y1308" ca="1">IFERROR(_xlfn.XLOOKUP(COMPROMISOS_2025[[#This Row],[concatenado]],PAA[[#All],[RCP-RUBRO]],PAA[[#All],[Actividad3]],VLOOKUP(COMPROMISOS_2025[[#This Row],[Indicador Principal]],$AC$2:$AD$17,2,0),0),"")</f>
        <v/>
      </c>
    </row>
    <row r="1309" spans="1:25" hidden="1" x14ac:dyDescent="0.25">
      <c r="A1309">
        <v>738</v>
      </c>
      <c r="B1309" t="s">
        <v>3916</v>
      </c>
      <c r="C1309" t="s">
        <v>1936</v>
      </c>
      <c r="D1309" t="s">
        <v>3917</v>
      </c>
      <c r="F1309">
        <v>358</v>
      </c>
      <c r="G1309">
        <v>65</v>
      </c>
      <c r="H1309" t="s">
        <v>662</v>
      </c>
      <c r="I1309" t="s">
        <v>2271</v>
      </c>
      <c r="J1309">
        <v>500000</v>
      </c>
      <c r="K1309">
        <v>2025</v>
      </c>
      <c r="L1309">
        <v>1093597983</v>
      </c>
      <c r="M1309" t="s">
        <v>3862</v>
      </c>
      <c r="N1309" t="s">
        <v>1688</v>
      </c>
      <c r="O1309" t="s">
        <v>1686</v>
      </c>
      <c r="P1309">
        <v>0</v>
      </c>
      <c r="Q1309">
        <v>500000</v>
      </c>
      <c r="R1309">
        <v>0</v>
      </c>
      <c r="S1309">
        <v>0</v>
      </c>
      <c r="T1309" t="str">
        <f t="shared" si="40"/>
        <v>7382.43.4302.85.0-205128.2.3.3.08.06.</v>
      </c>
      <c r="U1309" t="e" cm="1">
        <f t="array" aca="1" ref="U1309" ca="1">+IF(COMPROMISOS_2025[[#This Row],[P]]="20","41080111",_xlfn.XLOOKUP(COMPROMISOS_2025[[#This Row],[concatenado]],PAA[[#All],[RCP-RUBRO]],PAA[[#All],[INDICADOR]],"",0))</f>
        <v>#NAME?</v>
      </c>
      <c r="V1309" s="144" t="str">
        <f t="shared" si="41"/>
        <v>85</v>
      </c>
      <c r="W1309" s="136">
        <f>+COMPROMISOS_2025[[#This Row],[valor_total]]-COMPROMISOS_2025[[#This Row],[total_cancelado]]</f>
        <v>500000</v>
      </c>
      <c r="X1309" s="136">
        <f>COMPROMISOS_2025[[#This Row],[total_ordenes]]</f>
        <v>500000</v>
      </c>
      <c r="Y1309" t="str" cm="1">
        <f t="array" aca="1" ref="Y1309" ca="1">IFERROR(_xlfn.XLOOKUP(COMPROMISOS_2025[[#This Row],[concatenado]],PAA[[#All],[RCP-RUBRO]],PAA[[#All],[Actividad3]],VLOOKUP(COMPROMISOS_2025[[#This Row],[Indicador Principal]],$AC$2:$AD$17,2,0),0),"")</f>
        <v/>
      </c>
    </row>
    <row r="1310" spans="1:25" hidden="1" x14ac:dyDescent="0.25">
      <c r="A1310">
        <v>739</v>
      </c>
      <c r="B1310" t="s">
        <v>3916</v>
      </c>
      <c r="C1310" t="s">
        <v>1936</v>
      </c>
      <c r="D1310" t="s">
        <v>3917</v>
      </c>
      <c r="F1310">
        <v>358</v>
      </c>
      <c r="G1310">
        <v>65</v>
      </c>
      <c r="H1310" t="s">
        <v>662</v>
      </c>
      <c r="I1310" t="s">
        <v>2271</v>
      </c>
      <c r="J1310">
        <v>500000</v>
      </c>
      <c r="K1310">
        <v>2025</v>
      </c>
      <c r="L1310">
        <v>1098409608</v>
      </c>
      <c r="M1310" t="s">
        <v>4126</v>
      </c>
      <c r="N1310" t="s">
        <v>1688</v>
      </c>
      <c r="O1310" t="s">
        <v>1686</v>
      </c>
      <c r="P1310">
        <v>0</v>
      </c>
      <c r="Q1310">
        <v>500000</v>
      </c>
      <c r="R1310">
        <v>0</v>
      </c>
      <c r="S1310">
        <v>0</v>
      </c>
      <c r="T1310" t="str">
        <f t="shared" si="40"/>
        <v>7392.43.4302.85.0-205128.2.3.3.08.06.</v>
      </c>
      <c r="U1310" t="e" cm="1">
        <f t="array" aca="1" ref="U1310" ca="1">+IF(COMPROMISOS_2025[[#This Row],[P]]="20","41080111",_xlfn.XLOOKUP(COMPROMISOS_2025[[#This Row],[concatenado]],PAA[[#All],[RCP-RUBRO]],PAA[[#All],[INDICADOR]],"",0))</f>
        <v>#NAME?</v>
      </c>
      <c r="V1310" s="144" t="str">
        <f t="shared" si="41"/>
        <v>85</v>
      </c>
      <c r="W1310" s="136">
        <f>+COMPROMISOS_2025[[#This Row],[valor_total]]-COMPROMISOS_2025[[#This Row],[total_cancelado]]</f>
        <v>500000</v>
      </c>
      <c r="X1310" s="136">
        <f>COMPROMISOS_2025[[#This Row],[total_ordenes]]</f>
        <v>500000</v>
      </c>
      <c r="Y1310" t="str" cm="1">
        <f t="array" aca="1" ref="Y1310" ca="1">IFERROR(_xlfn.XLOOKUP(COMPROMISOS_2025[[#This Row],[concatenado]],PAA[[#All],[RCP-RUBRO]],PAA[[#All],[Actividad3]],VLOOKUP(COMPROMISOS_2025[[#This Row],[Indicador Principal]],$AC$2:$AD$17,2,0),0),"")</f>
        <v/>
      </c>
    </row>
    <row r="1311" spans="1:25" hidden="1" x14ac:dyDescent="0.25">
      <c r="A1311">
        <v>740</v>
      </c>
      <c r="B1311" t="s">
        <v>3916</v>
      </c>
      <c r="C1311" t="s">
        <v>1936</v>
      </c>
      <c r="D1311" t="s">
        <v>3917</v>
      </c>
      <c r="F1311">
        <v>358</v>
      </c>
      <c r="G1311">
        <v>65</v>
      </c>
      <c r="H1311" t="s">
        <v>662</v>
      </c>
      <c r="I1311" t="s">
        <v>2271</v>
      </c>
      <c r="J1311">
        <v>800000</v>
      </c>
      <c r="K1311">
        <v>2025</v>
      </c>
      <c r="L1311">
        <v>1098631750</v>
      </c>
      <c r="M1311" t="s">
        <v>4127</v>
      </c>
      <c r="N1311" t="s">
        <v>1688</v>
      </c>
      <c r="O1311" t="s">
        <v>1686</v>
      </c>
      <c r="P1311">
        <v>0</v>
      </c>
      <c r="Q1311">
        <v>800000</v>
      </c>
      <c r="R1311">
        <v>0</v>
      </c>
      <c r="S1311">
        <v>0</v>
      </c>
      <c r="T1311" t="str">
        <f t="shared" si="40"/>
        <v>7402.43.4302.85.0-205128.2.3.3.08.06.</v>
      </c>
      <c r="U1311" t="e" cm="1">
        <f t="array" aca="1" ref="U1311" ca="1">+IF(COMPROMISOS_2025[[#This Row],[P]]="20","41080111",_xlfn.XLOOKUP(COMPROMISOS_2025[[#This Row],[concatenado]],PAA[[#All],[RCP-RUBRO]],PAA[[#All],[INDICADOR]],"",0))</f>
        <v>#NAME?</v>
      </c>
      <c r="V1311" s="144" t="str">
        <f t="shared" si="41"/>
        <v>85</v>
      </c>
      <c r="W1311" s="136">
        <f>+COMPROMISOS_2025[[#This Row],[valor_total]]-COMPROMISOS_2025[[#This Row],[total_cancelado]]</f>
        <v>800000</v>
      </c>
      <c r="X1311" s="136">
        <f>COMPROMISOS_2025[[#This Row],[total_ordenes]]</f>
        <v>800000</v>
      </c>
      <c r="Y1311" t="str" cm="1">
        <f t="array" aca="1" ref="Y1311" ca="1">IFERROR(_xlfn.XLOOKUP(COMPROMISOS_2025[[#This Row],[concatenado]],PAA[[#All],[RCP-RUBRO]],PAA[[#All],[Actividad3]],VLOOKUP(COMPROMISOS_2025[[#This Row],[Indicador Principal]],$AC$2:$AD$17,2,0),0),"")</f>
        <v/>
      </c>
    </row>
    <row r="1312" spans="1:25" hidden="1" x14ac:dyDescent="0.25">
      <c r="A1312">
        <v>741</v>
      </c>
      <c r="B1312" t="s">
        <v>3916</v>
      </c>
      <c r="C1312" t="s">
        <v>1936</v>
      </c>
      <c r="D1312" t="s">
        <v>3917</v>
      </c>
      <c r="F1312">
        <v>358</v>
      </c>
      <c r="G1312">
        <v>65</v>
      </c>
      <c r="H1312" t="s">
        <v>662</v>
      </c>
      <c r="I1312" t="s">
        <v>2271</v>
      </c>
      <c r="J1312">
        <v>800000</v>
      </c>
      <c r="K1312">
        <v>2025</v>
      </c>
      <c r="L1312">
        <v>1102358170</v>
      </c>
      <c r="M1312" t="s">
        <v>4128</v>
      </c>
      <c r="N1312" t="s">
        <v>1688</v>
      </c>
      <c r="O1312" t="s">
        <v>1686</v>
      </c>
      <c r="P1312">
        <v>0</v>
      </c>
      <c r="Q1312">
        <v>800000</v>
      </c>
      <c r="R1312">
        <v>0</v>
      </c>
      <c r="S1312">
        <v>0</v>
      </c>
      <c r="T1312" t="str">
        <f t="shared" si="40"/>
        <v>7412.43.4302.85.0-205128.2.3.3.08.06.</v>
      </c>
      <c r="U1312" t="e" cm="1">
        <f t="array" aca="1" ref="U1312" ca="1">+IF(COMPROMISOS_2025[[#This Row],[P]]="20","41080111",_xlfn.XLOOKUP(COMPROMISOS_2025[[#This Row],[concatenado]],PAA[[#All],[RCP-RUBRO]],PAA[[#All],[INDICADOR]],"",0))</f>
        <v>#NAME?</v>
      </c>
      <c r="V1312" s="144" t="str">
        <f t="shared" si="41"/>
        <v>85</v>
      </c>
      <c r="W1312" s="136">
        <f>+COMPROMISOS_2025[[#This Row],[valor_total]]-COMPROMISOS_2025[[#This Row],[total_cancelado]]</f>
        <v>800000</v>
      </c>
      <c r="X1312" s="136">
        <f>COMPROMISOS_2025[[#This Row],[total_ordenes]]</f>
        <v>800000</v>
      </c>
      <c r="Y1312" t="str" cm="1">
        <f t="array" aca="1" ref="Y1312" ca="1">IFERROR(_xlfn.XLOOKUP(COMPROMISOS_2025[[#This Row],[concatenado]],PAA[[#All],[RCP-RUBRO]],PAA[[#All],[Actividad3]],VLOOKUP(COMPROMISOS_2025[[#This Row],[Indicador Principal]],$AC$2:$AD$17,2,0),0),"")</f>
        <v/>
      </c>
    </row>
    <row r="1313" spans="1:25" hidden="1" x14ac:dyDescent="0.25">
      <c r="A1313">
        <v>742</v>
      </c>
      <c r="B1313" t="s">
        <v>3916</v>
      </c>
      <c r="C1313" t="s">
        <v>1936</v>
      </c>
      <c r="D1313" t="s">
        <v>3917</v>
      </c>
      <c r="F1313">
        <v>358</v>
      </c>
      <c r="G1313">
        <v>65</v>
      </c>
      <c r="H1313" t="s">
        <v>662</v>
      </c>
      <c r="I1313" t="s">
        <v>2271</v>
      </c>
      <c r="J1313">
        <v>500000</v>
      </c>
      <c r="K1313">
        <v>2025</v>
      </c>
      <c r="L1313">
        <v>1109290803</v>
      </c>
      <c r="M1313" t="s">
        <v>3871</v>
      </c>
      <c r="N1313" t="s">
        <v>1688</v>
      </c>
      <c r="O1313" t="s">
        <v>1686</v>
      </c>
      <c r="P1313">
        <v>0</v>
      </c>
      <c r="Q1313">
        <v>500000</v>
      </c>
      <c r="R1313">
        <v>0</v>
      </c>
      <c r="S1313">
        <v>0</v>
      </c>
      <c r="T1313" t="str">
        <f t="shared" si="40"/>
        <v>7422.43.4302.85.0-205128.2.3.3.08.06.</v>
      </c>
      <c r="U1313" t="e" cm="1">
        <f t="array" aca="1" ref="U1313" ca="1">+IF(COMPROMISOS_2025[[#This Row],[P]]="20","41080111",_xlfn.XLOOKUP(COMPROMISOS_2025[[#This Row],[concatenado]],PAA[[#All],[RCP-RUBRO]],PAA[[#All],[INDICADOR]],"",0))</f>
        <v>#NAME?</v>
      </c>
      <c r="V1313" s="144" t="str">
        <f t="shared" si="41"/>
        <v>85</v>
      </c>
      <c r="W1313" s="136">
        <f>+COMPROMISOS_2025[[#This Row],[valor_total]]-COMPROMISOS_2025[[#This Row],[total_cancelado]]</f>
        <v>500000</v>
      </c>
      <c r="X1313" s="136">
        <f>COMPROMISOS_2025[[#This Row],[total_ordenes]]</f>
        <v>500000</v>
      </c>
      <c r="Y1313" t="str" cm="1">
        <f t="array" aca="1" ref="Y1313" ca="1">IFERROR(_xlfn.XLOOKUP(COMPROMISOS_2025[[#This Row],[concatenado]],PAA[[#All],[RCP-RUBRO]],PAA[[#All],[Actividad3]],VLOOKUP(COMPROMISOS_2025[[#This Row],[Indicador Principal]],$AC$2:$AD$17,2,0),0),"")</f>
        <v/>
      </c>
    </row>
    <row r="1314" spans="1:25" hidden="1" x14ac:dyDescent="0.25">
      <c r="A1314">
        <v>743</v>
      </c>
      <c r="B1314" t="s">
        <v>3916</v>
      </c>
      <c r="C1314" t="s">
        <v>1936</v>
      </c>
      <c r="D1314" t="s">
        <v>3917</v>
      </c>
      <c r="F1314">
        <v>358</v>
      </c>
      <c r="G1314">
        <v>65</v>
      </c>
      <c r="H1314" t="s">
        <v>662</v>
      </c>
      <c r="I1314" t="s">
        <v>2271</v>
      </c>
      <c r="J1314">
        <v>800000</v>
      </c>
      <c r="K1314">
        <v>2025</v>
      </c>
      <c r="L1314">
        <v>1113314645</v>
      </c>
      <c r="M1314" t="s">
        <v>4129</v>
      </c>
      <c r="N1314" t="s">
        <v>1688</v>
      </c>
      <c r="O1314" t="s">
        <v>1686</v>
      </c>
      <c r="P1314">
        <v>0</v>
      </c>
      <c r="Q1314">
        <v>800000</v>
      </c>
      <c r="R1314">
        <v>0</v>
      </c>
      <c r="S1314">
        <v>0</v>
      </c>
      <c r="T1314" t="str">
        <f t="shared" si="40"/>
        <v>7432.43.4302.85.0-205128.2.3.3.08.06.</v>
      </c>
      <c r="U1314" t="e" cm="1">
        <f t="array" aca="1" ref="U1314" ca="1">+IF(COMPROMISOS_2025[[#This Row],[P]]="20","41080111",_xlfn.XLOOKUP(COMPROMISOS_2025[[#This Row],[concatenado]],PAA[[#All],[RCP-RUBRO]],PAA[[#All],[INDICADOR]],"",0))</f>
        <v>#NAME?</v>
      </c>
      <c r="V1314" s="144" t="str">
        <f t="shared" si="41"/>
        <v>85</v>
      </c>
      <c r="W1314" s="136">
        <f>+COMPROMISOS_2025[[#This Row],[valor_total]]-COMPROMISOS_2025[[#This Row],[total_cancelado]]</f>
        <v>800000</v>
      </c>
      <c r="X1314" s="136">
        <f>COMPROMISOS_2025[[#This Row],[total_ordenes]]</f>
        <v>800000</v>
      </c>
      <c r="Y1314" t="str" cm="1">
        <f t="array" aca="1" ref="Y1314" ca="1">IFERROR(_xlfn.XLOOKUP(COMPROMISOS_2025[[#This Row],[concatenado]],PAA[[#All],[RCP-RUBRO]],PAA[[#All],[Actividad3]],VLOOKUP(COMPROMISOS_2025[[#This Row],[Indicador Principal]],$AC$2:$AD$17,2,0),0),"")</f>
        <v/>
      </c>
    </row>
    <row r="1315" spans="1:25" hidden="1" x14ac:dyDescent="0.25">
      <c r="A1315">
        <v>744</v>
      </c>
      <c r="B1315" t="s">
        <v>3916</v>
      </c>
      <c r="C1315" t="s">
        <v>1936</v>
      </c>
      <c r="D1315" t="s">
        <v>3917</v>
      </c>
      <c r="F1315">
        <v>358</v>
      </c>
      <c r="G1315">
        <v>65</v>
      </c>
      <c r="H1315" t="s">
        <v>662</v>
      </c>
      <c r="I1315" t="s">
        <v>2271</v>
      </c>
      <c r="J1315">
        <v>500000</v>
      </c>
      <c r="K1315">
        <v>2025</v>
      </c>
      <c r="L1315">
        <v>1114092848</v>
      </c>
      <c r="M1315" t="s">
        <v>4130</v>
      </c>
      <c r="N1315" t="s">
        <v>1688</v>
      </c>
      <c r="O1315" t="s">
        <v>1686</v>
      </c>
      <c r="P1315">
        <v>0</v>
      </c>
      <c r="Q1315">
        <v>500000</v>
      </c>
      <c r="R1315">
        <v>0</v>
      </c>
      <c r="S1315">
        <v>0</v>
      </c>
      <c r="T1315" t="str">
        <f t="shared" si="40"/>
        <v>7442.43.4302.85.0-205128.2.3.3.08.06.</v>
      </c>
      <c r="U1315" t="e" cm="1">
        <f t="array" aca="1" ref="U1315" ca="1">+IF(COMPROMISOS_2025[[#This Row],[P]]="20","41080111",_xlfn.XLOOKUP(COMPROMISOS_2025[[#This Row],[concatenado]],PAA[[#All],[RCP-RUBRO]],PAA[[#All],[INDICADOR]],"",0))</f>
        <v>#NAME?</v>
      </c>
      <c r="V1315" s="144" t="str">
        <f t="shared" si="41"/>
        <v>85</v>
      </c>
      <c r="W1315" s="136">
        <f>+COMPROMISOS_2025[[#This Row],[valor_total]]-COMPROMISOS_2025[[#This Row],[total_cancelado]]</f>
        <v>500000</v>
      </c>
      <c r="X1315" s="136">
        <f>COMPROMISOS_2025[[#This Row],[total_ordenes]]</f>
        <v>500000</v>
      </c>
      <c r="Y1315" t="str" cm="1">
        <f t="array" aca="1" ref="Y1315" ca="1">IFERROR(_xlfn.XLOOKUP(COMPROMISOS_2025[[#This Row],[concatenado]],PAA[[#All],[RCP-RUBRO]],PAA[[#All],[Actividad3]],VLOOKUP(COMPROMISOS_2025[[#This Row],[Indicador Principal]],$AC$2:$AD$17,2,0),0),"")</f>
        <v/>
      </c>
    </row>
    <row r="1316" spans="1:25" hidden="1" x14ac:dyDescent="0.25">
      <c r="A1316">
        <v>745</v>
      </c>
      <c r="B1316" t="s">
        <v>3916</v>
      </c>
      <c r="C1316" t="s">
        <v>1936</v>
      </c>
      <c r="D1316" t="s">
        <v>3917</v>
      </c>
      <c r="F1316">
        <v>358</v>
      </c>
      <c r="G1316">
        <v>65</v>
      </c>
      <c r="H1316" t="s">
        <v>662</v>
      </c>
      <c r="I1316" t="s">
        <v>2271</v>
      </c>
      <c r="J1316">
        <v>500000</v>
      </c>
      <c r="K1316">
        <v>2025</v>
      </c>
      <c r="L1316">
        <v>1114154008</v>
      </c>
      <c r="M1316" t="s">
        <v>3875</v>
      </c>
      <c r="N1316" t="s">
        <v>1688</v>
      </c>
      <c r="O1316" t="s">
        <v>1686</v>
      </c>
      <c r="P1316">
        <v>0</v>
      </c>
      <c r="Q1316">
        <v>500000</v>
      </c>
      <c r="R1316">
        <v>0</v>
      </c>
      <c r="S1316">
        <v>0</v>
      </c>
      <c r="T1316" t="str">
        <f t="shared" si="40"/>
        <v>7452.43.4302.85.0-205128.2.3.3.08.06.</v>
      </c>
      <c r="U1316" t="e" cm="1">
        <f t="array" aca="1" ref="U1316" ca="1">+IF(COMPROMISOS_2025[[#This Row],[P]]="20","41080111",_xlfn.XLOOKUP(COMPROMISOS_2025[[#This Row],[concatenado]],PAA[[#All],[RCP-RUBRO]],PAA[[#All],[INDICADOR]],"",0))</f>
        <v>#NAME?</v>
      </c>
      <c r="V1316" s="144" t="str">
        <f t="shared" si="41"/>
        <v>85</v>
      </c>
      <c r="W1316" s="136">
        <f>+COMPROMISOS_2025[[#This Row],[valor_total]]-COMPROMISOS_2025[[#This Row],[total_cancelado]]</f>
        <v>500000</v>
      </c>
      <c r="X1316" s="136">
        <f>COMPROMISOS_2025[[#This Row],[total_ordenes]]</f>
        <v>500000</v>
      </c>
      <c r="Y1316" t="str" cm="1">
        <f t="array" aca="1" ref="Y1316" ca="1">IFERROR(_xlfn.XLOOKUP(COMPROMISOS_2025[[#This Row],[concatenado]],PAA[[#All],[RCP-RUBRO]],PAA[[#All],[Actividad3]],VLOOKUP(COMPROMISOS_2025[[#This Row],[Indicador Principal]],$AC$2:$AD$17,2,0),0),"")</f>
        <v/>
      </c>
    </row>
    <row r="1317" spans="1:25" hidden="1" x14ac:dyDescent="0.25">
      <c r="A1317">
        <v>746</v>
      </c>
      <c r="B1317" t="s">
        <v>3916</v>
      </c>
      <c r="C1317" t="s">
        <v>1936</v>
      </c>
      <c r="D1317" t="s">
        <v>3917</v>
      </c>
      <c r="F1317">
        <v>358</v>
      </c>
      <c r="G1317">
        <v>65</v>
      </c>
      <c r="H1317" t="s">
        <v>662</v>
      </c>
      <c r="I1317" t="s">
        <v>2271</v>
      </c>
      <c r="J1317">
        <v>500000</v>
      </c>
      <c r="K1317">
        <v>2025</v>
      </c>
      <c r="L1317">
        <v>1115094317</v>
      </c>
      <c r="M1317" t="s">
        <v>4131</v>
      </c>
      <c r="N1317" t="s">
        <v>1688</v>
      </c>
      <c r="O1317" t="s">
        <v>1686</v>
      </c>
      <c r="P1317">
        <v>0</v>
      </c>
      <c r="Q1317">
        <v>500000</v>
      </c>
      <c r="R1317">
        <v>0</v>
      </c>
      <c r="S1317">
        <v>0</v>
      </c>
      <c r="T1317" t="str">
        <f t="shared" si="40"/>
        <v>7462.43.4302.85.0-205128.2.3.3.08.06.</v>
      </c>
      <c r="U1317" t="e" cm="1">
        <f t="array" aca="1" ref="U1317" ca="1">+IF(COMPROMISOS_2025[[#This Row],[P]]="20","41080111",_xlfn.XLOOKUP(COMPROMISOS_2025[[#This Row],[concatenado]],PAA[[#All],[RCP-RUBRO]],PAA[[#All],[INDICADOR]],"",0))</f>
        <v>#NAME?</v>
      </c>
      <c r="V1317" s="144" t="str">
        <f t="shared" si="41"/>
        <v>85</v>
      </c>
      <c r="W1317" s="136">
        <f>+COMPROMISOS_2025[[#This Row],[valor_total]]-COMPROMISOS_2025[[#This Row],[total_cancelado]]</f>
        <v>500000</v>
      </c>
      <c r="X1317" s="136">
        <f>COMPROMISOS_2025[[#This Row],[total_ordenes]]</f>
        <v>500000</v>
      </c>
      <c r="Y1317" t="str" cm="1">
        <f t="array" aca="1" ref="Y1317" ca="1">IFERROR(_xlfn.XLOOKUP(COMPROMISOS_2025[[#This Row],[concatenado]],PAA[[#All],[RCP-RUBRO]],PAA[[#All],[Actividad3]],VLOOKUP(COMPROMISOS_2025[[#This Row],[Indicador Principal]],$AC$2:$AD$17,2,0),0),"")</f>
        <v/>
      </c>
    </row>
    <row r="1318" spans="1:25" hidden="1" x14ac:dyDescent="0.25">
      <c r="A1318">
        <v>747</v>
      </c>
      <c r="B1318" t="s">
        <v>3916</v>
      </c>
      <c r="C1318" t="s">
        <v>1936</v>
      </c>
      <c r="D1318" t="s">
        <v>3917</v>
      </c>
      <c r="F1318">
        <v>358</v>
      </c>
      <c r="G1318">
        <v>65</v>
      </c>
      <c r="H1318" t="s">
        <v>662</v>
      </c>
      <c r="I1318" t="s">
        <v>2271</v>
      </c>
      <c r="J1318">
        <v>500000</v>
      </c>
      <c r="K1318">
        <v>2025</v>
      </c>
      <c r="L1318">
        <v>1126430818</v>
      </c>
      <c r="M1318" t="s">
        <v>4132</v>
      </c>
      <c r="N1318" t="s">
        <v>1688</v>
      </c>
      <c r="O1318" t="s">
        <v>1686</v>
      </c>
      <c r="P1318">
        <v>0</v>
      </c>
      <c r="Q1318">
        <v>500000</v>
      </c>
      <c r="R1318">
        <v>0</v>
      </c>
      <c r="S1318">
        <v>0</v>
      </c>
      <c r="T1318" t="str">
        <f t="shared" si="40"/>
        <v>7472.43.4302.85.0-205128.2.3.3.08.06.</v>
      </c>
      <c r="U1318" t="e" cm="1">
        <f t="array" aca="1" ref="U1318" ca="1">+IF(COMPROMISOS_2025[[#This Row],[P]]="20","41080111",_xlfn.XLOOKUP(COMPROMISOS_2025[[#This Row],[concatenado]],PAA[[#All],[RCP-RUBRO]],PAA[[#All],[INDICADOR]],"",0))</f>
        <v>#NAME?</v>
      </c>
      <c r="V1318" s="144" t="str">
        <f t="shared" si="41"/>
        <v>85</v>
      </c>
      <c r="W1318" s="136">
        <f>+COMPROMISOS_2025[[#This Row],[valor_total]]-COMPROMISOS_2025[[#This Row],[total_cancelado]]</f>
        <v>500000</v>
      </c>
      <c r="X1318" s="136">
        <f>COMPROMISOS_2025[[#This Row],[total_ordenes]]</f>
        <v>500000</v>
      </c>
      <c r="Y1318" t="str" cm="1">
        <f t="array" aca="1" ref="Y1318" ca="1">IFERROR(_xlfn.XLOOKUP(COMPROMISOS_2025[[#This Row],[concatenado]],PAA[[#All],[RCP-RUBRO]],PAA[[#All],[Actividad3]],VLOOKUP(COMPROMISOS_2025[[#This Row],[Indicador Principal]],$AC$2:$AD$17,2,0),0),"")</f>
        <v/>
      </c>
    </row>
    <row r="1319" spans="1:25" hidden="1" x14ac:dyDescent="0.25">
      <c r="A1319">
        <v>748</v>
      </c>
      <c r="B1319" t="s">
        <v>3916</v>
      </c>
      <c r="C1319" t="s">
        <v>1936</v>
      </c>
      <c r="D1319" t="s">
        <v>3917</v>
      </c>
      <c r="F1319">
        <v>358</v>
      </c>
      <c r="G1319">
        <v>65</v>
      </c>
      <c r="H1319" t="s">
        <v>662</v>
      </c>
      <c r="I1319" t="s">
        <v>2271</v>
      </c>
      <c r="J1319">
        <v>500000</v>
      </c>
      <c r="K1319">
        <v>2025</v>
      </c>
      <c r="L1319">
        <v>1126595546</v>
      </c>
      <c r="M1319" t="s">
        <v>4133</v>
      </c>
      <c r="N1319" t="s">
        <v>1688</v>
      </c>
      <c r="O1319" t="s">
        <v>1686</v>
      </c>
      <c r="P1319">
        <v>0</v>
      </c>
      <c r="Q1319">
        <v>500000</v>
      </c>
      <c r="R1319">
        <v>0</v>
      </c>
      <c r="S1319">
        <v>0</v>
      </c>
      <c r="T1319" t="str">
        <f t="shared" si="40"/>
        <v>7482.43.4302.85.0-205128.2.3.3.08.06.</v>
      </c>
      <c r="U1319" t="e" cm="1">
        <f t="array" aca="1" ref="U1319" ca="1">+IF(COMPROMISOS_2025[[#This Row],[P]]="20","41080111",_xlfn.XLOOKUP(COMPROMISOS_2025[[#This Row],[concatenado]],PAA[[#All],[RCP-RUBRO]],PAA[[#All],[INDICADOR]],"",0))</f>
        <v>#NAME?</v>
      </c>
      <c r="V1319" s="144" t="str">
        <f t="shared" si="41"/>
        <v>85</v>
      </c>
      <c r="W1319" s="136">
        <f>+COMPROMISOS_2025[[#This Row],[valor_total]]-COMPROMISOS_2025[[#This Row],[total_cancelado]]</f>
        <v>500000</v>
      </c>
      <c r="X1319" s="136">
        <f>COMPROMISOS_2025[[#This Row],[total_ordenes]]</f>
        <v>500000</v>
      </c>
      <c r="Y1319" t="str" cm="1">
        <f t="array" aca="1" ref="Y1319" ca="1">IFERROR(_xlfn.XLOOKUP(COMPROMISOS_2025[[#This Row],[concatenado]],PAA[[#All],[RCP-RUBRO]],PAA[[#All],[Actividad3]],VLOOKUP(COMPROMISOS_2025[[#This Row],[Indicador Principal]],$AC$2:$AD$17,2,0),0),"")</f>
        <v/>
      </c>
    </row>
    <row r="1320" spans="1:25" hidden="1" x14ac:dyDescent="0.25">
      <c r="A1320">
        <v>749</v>
      </c>
      <c r="B1320" t="s">
        <v>3916</v>
      </c>
      <c r="C1320" t="s">
        <v>1936</v>
      </c>
      <c r="D1320" t="s">
        <v>3917</v>
      </c>
      <c r="F1320">
        <v>358</v>
      </c>
      <c r="G1320">
        <v>65</v>
      </c>
      <c r="H1320" t="s">
        <v>662</v>
      </c>
      <c r="I1320" t="s">
        <v>2271</v>
      </c>
      <c r="J1320">
        <v>500000</v>
      </c>
      <c r="K1320">
        <v>2025</v>
      </c>
      <c r="L1320">
        <v>1126984686</v>
      </c>
      <c r="M1320" t="s">
        <v>4134</v>
      </c>
      <c r="N1320" t="s">
        <v>1688</v>
      </c>
      <c r="O1320" t="s">
        <v>1686</v>
      </c>
      <c r="P1320">
        <v>0</v>
      </c>
      <c r="Q1320">
        <v>500000</v>
      </c>
      <c r="R1320">
        <v>0</v>
      </c>
      <c r="S1320">
        <v>0</v>
      </c>
      <c r="T1320" t="str">
        <f t="shared" si="40"/>
        <v>7492.43.4302.85.0-205128.2.3.3.08.06.</v>
      </c>
      <c r="U1320" t="e" cm="1">
        <f t="array" aca="1" ref="U1320" ca="1">+IF(COMPROMISOS_2025[[#This Row],[P]]="20","41080111",_xlfn.XLOOKUP(COMPROMISOS_2025[[#This Row],[concatenado]],PAA[[#All],[RCP-RUBRO]],PAA[[#All],[INDICADOR]],"",0))</f>
        <v>#NAME?</v>
      </c>
      <c r="V1320" s="144" t="str">
        <f t="shared" si="41"/>
        <v>85</v>
      </c>
      <c r="W1320" s="136">
        <f>+COMPROMISOS_2025[[#This Row],[valor_total]]-COMPROMISOS_2025[[#This Row],[total_cancelado]]</f>
        <v>500000</v>
      </c>
      <c r="X1320" s="136">
        <f>COMPROMISOS_2025[[#This Row],[total_ordenes]]</f>
        <v>500000</v>
      </c>
      <c r="Y1320" t="str" cm="1">
        <f t="array" aca="1" ref="Y1320" ca="1">IFERROR(_xlfn.XLOOKUP(COMPROMISOS_2025[[#This Row],[concatenado]],PAA[[#All],[RCP-RUBRO]],PAA[[#All],[Actividad3]],VLOOKUP(COMPROMISOS_2025[[#This Row],[Indicador Principal]],$AC$2:$AD$17,2,0),0),"")</f>
        <v/>
      </c>
    </row>
    <row r="1321" spans="1:25" hidden="1" x14ac:dyDescent="0.25">
      <c r="A1321">
        <v>750</v>
      </c>
      <c r="B1321" t="s">
        <v>3916</v>
      </c>
      <c r="C1321" t="s">
        <v>1936</v>
      </c>
      <c r="D1321" t="s">
        <v>3917</v>
      </c>
      <c r="F1321">
        <v>358</v>
      </c>
      <c r="G1321">
        <v>65</v>
      </c>
      <c r="H1321" t="s">
        <v>662</v>
      </c>
      <c r="I1321" t="s">
        <v>2271</v>
      </c>
      <c r="J1321">
        <v>500000</v>
      </c>
      <c r="K1321">
        <v>2025</v>
      </c>
      <c r="L1321">
        <v>1128388707</v>
      </c>
      <c r="M1321" t="s">
        <v>4135</v>
      </c>
      <c r="N1321" t="s">
        <v>1688</v>
      </c>
      <c r="O1321" t="s">
        <v>1686</v>
      </c>
      <c r="P1321">
        <v>0</v>
      </c>
      <c r="Q1321">
        <v>500000</v>
      </c>
      <c r="R1321">
        <v>0</v>
      </c>
      <c r="S1321">
        <v>0</v>
      </c>
      <c r="T1321" t="str">
        <f t="shared" si="40"/>
        <v>7502.43.4302.85.0-205128.2.3.3.08.06.</v>
      </c>
      <c r="U1321" t="e" cm="1">
        <f t="array" aca="1" ref="U1321" ca="1">+IF(COMPROMISOS_2025[[#This Row],[P]]="20","41080111",_xlfn.XLOOKUP(COMPROMISOS_2025[[#This Row],[concatenado]],PAA[[#All],[RCP-RUBRO]],PAA[[#All],[INDICADOR]],"",0))</f>
        <v>#NAME?</v>
      </c>
      <c r="V1321" s="144" t="str">
        <f t="shared" si="41"/>
        <v>85</v>
      </c>
      <c r="W1321" s="136">
        <f>+COMPROMISOS_2025[[#This Row],[valor_total]]-COMPROMISOS_2025[[#This Row],[total_cancelado]]</f>
        <v>500000</v>
      </c>
      <c r="X1321" s="136">
        <f>COMPROMISOS_2025[[#This Row],[total_ordenes]]</f>
        <v>500000</v>
      </c>
      <c r="Y1321" t="str" cm="1">
        <f t="array" aca="1" ref="Y1321" ca="1">IFERROR(_xlfn.XLOOKUP(COMPROMISOS_2025[[#This Row],[concatenado]],PAA[[#All],[RCP-RUBRO]],PAA[[#All],[Actividad3]],VLOOKUP(COMPROMISOS_2025[[#This Row],[Indicador Principal]],$AC$2:$AD$17,2,0),0),"")</f>
        <v/>
      </c>
    </row>
    <row r="1322" spans="1:25" hidden="1" x14ac:dyDescent="0.25">
      <c r="A1322">
        <v>751</v>
      </c>
      <c r="B1322" t="s">
        <v>3916</v>
      </c>
      <c r="C1322" t="s">
        <v>1936</v>
      </c>
      <c r="D1322" t="s">
        <v>3917</v>
      </c>
      <c r="F1322">
        <v>358</v>
      </c>
      <c r="G1322">
        <v>65</v>
      </c>
      <c r="H1322" t="s">
        <v>662</v>
      </c>
      <c r="I1322" t="s">
        <v>2271</v>
      </c>
      <c r="J1322">
        <v>800000</v>
      </c>
      <c r="K1322">
        <v>2025</v>
      </c>
      <c r="L1322">
        <v>1128416502</v>
      </c>
      <c r="M1322" t="s">
        <v>4136</v>
      </c>
      <c r="N1322" t="s">
        <v>1688</v>
      </c>
      <c r="O1322" t="s">
        <v>1686</v>
      </c>
      <c r="P1322">
        <v>0</v>
      </c>
      <c r="Q1322">
        <v>800000</v>
      </c>
      <c r="R1322">
        <v>0</v>
      </c>
      <c r="S1322">
        <v>0</v>
      </c>
      <c r="T1322" t="str">
        <f t="shared" si="40"/>
        <v>7512.43.4302.85.0-205128.2.3.3.08.06.</v>
      </c>
      <c r="U1322" t="e" cm="1">
        <f t="array" aca="1" ref="U1322" ca="1">+IF(COMPROMISOS_2025[[#This Row],[P]]="20","41080111",_xlfn.XLOOKUP(COMPROMISOS_2025[[#This Row],[concatenado]],PAA[[#All],[RCP-RUBRO]],PAA[[#All],[INDICADOR]],"",0))</f>
        <v>#NAME?</v>
      </c>
      <c r="V1322" s="144" t="str">
        <f t="shared" si="41"/>
        <v>85</v>
      </c>
      <c r="W1322" s="136">
        <f>+COMPROMISOS_2025[[#This Row],[valor_total]]-COMPROMISOS_2025[[#This Row],[total_cancelado]]</f>
        <v>800000</v>
      </c>
      <c r="X1322" s="136">
        <f>COMPROMISOS_2025[[#This Row],[total_ordenes]]</f>
        <v>800000</v>
      </c>
      <c r="Y1322" t="str" cm="1">
        <f t="array" aca="1" ref="Y1322" ca="1">IFERROR(_xlfn.XLOOKUP(COMPROMISOS_2025[[#This Row],[concatenado]],PAA[[#All],[RCP-RUBRO]],PAA[[#All],[Actividad3]],VLOOKUP(COMPROMISOS_2025[[#This Row],[Indicador Principal]],$AC$2:$AD$17,2,0),0),"")</f>
        <v/>
      </c>
    </row>
    <row r="1323" spans="1:25" hidden="1" x14ac:dyDescent="0.25">
      <c r="A1323">
        <v>752</v>
      </c>
      <c r="B1323" t="s">
        <v>3916</v>
      </c>
      <c r="C1323" t="s">
        <v>1936</v>
      </c>
      <c r="D1323" t="s">
        <v>3917</v>
      </c>
      <c r="F1323">
        <v>358</v>
      </c>
      <c r="G1323">
        <v>65</v>
      </c>
      <c r="H1323" t="s">
        <v>662</v>
      </c>
      <c r="I1323" t="s">
        <v>2271</v>
      </c>
      <c r="J1323">
        <v>500000</v>
      </c>
      <c r="K1323">
        <v>2025</v>
      </c>
      <c r="L1323">
        <v>1128433819</v>
      </c>
      <c r="M1323" t="s">
        <v>4137</v>
      </c>
      <c r="N1323" t="s">
        <v>1688</v>
      </c>
      <c r="O1323" t="s">
        <v>1686</v>
      </c>
      <c r="P1323">
        <v>0</v>
      </c>
      <c r="Q1323">
        <v>500000</v>
      </c>
      <c r="R1323">
        <v>0</v>
      </c>
      <c r="S1323">
        <v>0</v>
      </c>
      <c r="T1323" t="str">
        <f t="shared" si="40"/>
        <v>7522.43.4302.85.0-205128.2.3.3.08.06.</v>
      </c>
      <c r="U1323" t="e" cm="1">
        <f t="array" aca="1" ref="U1323" ca="1">+IF(COMPROMISOS_2025[[#This Row],[P]]="20","41080111",_xlfn.XLOOKUP(COMPROMISOS_2025[[#This Row],[concatenado]],PAA[[#All],[RCP-RUBRO]],PAA[[#All],[INDICADOR]],"",0))</f>
        <v>#NAME?</v>
      </c>
      <c r="V1323" s="144" t="str">
        <f t="shared" si="41"/>
        <v>85</v>
      </c>
      <c r="W1323" s="136">
        <f>+COMPROMISOS_2025[[#This Row],[valor_total]]-COMPROMISOS_2025[[#This Row],[total_cancelado]]</f>
        <v>500000</v>
      </c>
      <c r="X1323" s="136">
        <f>COMPROMISOS_2025[[#This Row],[total_ordenes]]</f>
        <v>500000</v>
      </c>
      <c r="Y1323" t="str" cm="1">
        <f t="array" aca="1" ref="Y1323" ca="1">IFERROR(_xlfn.XLOOKUP(COMPROMISOS_2025[[#This Row],[concatenado]],PAA[[#All],[RCP-RUBRO]],PAA[[#All],[Actividad3]],VLOOKUP(COMPROMISOS_2025[[#This Row],[Indicador Principal]],$AC$2:$AD$17,2,0),0),"")</f>
        <v/>
      </c>
    </row>
    <row r="1324" spans="1:25" hidden="1" x14ac:dyDescent="0.25">
      <c r="A1324">
        <v>753</v>
      </c>
      <c r="B1324" t="s">
        <v>3916</v>
      </c>
      <c r="C1324" t="s">
        <v>1936</v>
      </c>
      <c r="D1324" t="s">
        <v>3917</v>
      </c>
      <c r="F1324">
        <v>358</v>
      </c>
      <c r="G1324">
        <v>65</v>
      </c>
      <c r="H1324" t="s">
        <v>662</v>
      </c>
      <c r="I1324" t="s">
        <v>2271</v>
      </c>
      <c r="J1324">
        <v>500000</v>
      </c>
      <c r="K1324">
        <v>2025</v>
      </c>
      <c r="L1324">
        <v>1128436270</v>
      </c>
      <c r="M1324" t="s">
        <v>4138</v>
      </c>
      <c r="N1324" t="s">
        <v>1688</v>
      </c>
      <c r="O1324" t="s">
        <v>1686</v>
      </c>
      <c r="P1324">
        <v>0</v>
      </c>
      <c r="Q1324">
        <v>500000</v>
      </c>
      <c r="R1324">
        <v>0</v>
      </c>
      <c r="S1324">
        <v>0</v>
      </c>
      <c r="T1324" t="str">
        <f t="shared" si="40"/>
        <v>7532.43.4302.85.0-205128.2.3.3.08.06.</v>
      </c>
      <c r="U1324" t="e" cm="1">
        <f t="array" aca="1" ref="U1324" ca="1">+IF(COMPROMISOS_2025[[#This Row],[P]]="20","41080111",_xlfn.XLOOKUP(COMPROMISOS_2025[[#This Row],[concatenado]],PAA[[#All],[RCP-RUBRO]],PAA[[#All],[INDICADOR]],"",0))</f>
        <v>#NAME?</v>
      </c>
      <c r="V1324" s="144" t="str">
        <f t="shared" si="41"/>
        <v>85</v>
      </c>
      <c r="W1324" s="136">
        <f>+COMPROMISOS_2025[[#This Row],[valor_total]]-COMPROMISOS_2025[[#This Row],[total_cancelado]]</f>
        <v>500000</v>
      </c>
      <c r="X1324" s="136">
        <f>COMPROMISOS_2025[[#This Row],[total_ordenes]]</f>
        <v>500000</v>
      </c>
      <c r="Y1324" t="str" cm="1">
        <f t="array" aca="1" ref="Y1324" ca="1">IFERROR(_xlfn.XLOOKUP(COMPROMISOS_2025[[#This Row],[concatenado]],PAA[[#All],[RCP-RUBRO]],PAA[[#All],[Actividad3]],VLOOKUP(COMPROMISOS_2025[[#This Row],[Indicador Principal]],$AC$2:$AD$17,2,0),0),"")</f>
        <v/>
      </c>
    </row>
    <row r="1325" spans="1:25" hidden="1" x14ac:dyDescent="0.25">
      <c r="A1325">
        <v>754</v>
      </c>
      <c r="B1325" t="s">
        <v>3916</v>
      </c>
      <c r="C1325" t="s">
        <v>1936</v>
      </c>
      <c r="D1325" t="s">
        <v>3917</v>
      </c>
      <c r="F1325">
        <v>358</v>
      </c>
      <c r="G1325">
        <v>65</v>
      </c>
      <c r="H1325" t="s">
        <v>662</v>
      </c>
      <c r="I1325" t="s">
        <v>2271</v>
      </c>
      <c r="J1325">
        <v>500000</v>
      </c>
      <c r="K1325">
        <v>2025</v>
      </c>
      <c r="L1325">
        <v>1128436361</v>
      </c>
      <c r="M1325" t="s">
        <v>4139</v>
      </c>
      <c r="N1325" t="s">
        <v>1688</v>
      </c>
      <c r="O1325" t="s">
        <v>1686</v>
      </c>
      <c r="P1325">
        <v>0</v>
      </c>
      <c r="Q1325">
        <v>500000</v>
      </c>
      <c r="R1325">
        <v>0</v>
      </c>
      <c r="S1325">
        <v>0</v>
      </c>
      <c r="T1325" t="str">
        <f t="shared" si="40"/>
        <v>7542.43.4302.85.0-205128.2.3.3.08.06.</v>
      </c>
      <c r="U1325" t="e" cm="1">
        <f t="array" aca="1" ref="U1325" ca="1">+IF(COMPROMISOS_2025[[#This Row],[P]]="20","41080111",_xlfn.XLOOKUP(COMPROMISOS_2025[[#This Row],[concatenado]],PAA[[#All],[RCP-RUBRO]],PAA[[#All],[INDICADOR]],"",0))</f>
        <v>#NAME?</v>
      </c>
      <c r="V1325" s="144" t="str">
        <f t="shared" si="41"/>
        <v>85</v>
      </c>
      <c r="W1325" s="136">
        <f>+COMPROMISOS_2025[[#This Row],[valor_total]]-COMPROMISOS_2025[[#This Row],[total_cancelado]]</f>
        <v>500000</v>
      </c>
      <c r="X1325" s="136">
        <f>COMPROMISOS_2025[[#This Row],[total_ordenes]]</f>
        <v>500000</v>
      </c>
      <c r="Y1325" t="str" cm="1">
        <f t="array" aca="1" ref="Y1325" ca="1">IFERROR(_xlfn.XLOOKUP(COMPROMISOS_2025[[#This Row],[concatenado]],PAA[[#All],[RCP-RUBRO]],PAA[[#All],[Actividad3]],VLOOKUP(COMPROMISOS_2025[[#This Row],[Indicador Principal]],$AC$2:$AD$17,2,0),0),"")</f>
        <v/>
      </c>
    </row>
    <row r="1326" spans="1:25" hidden="1" x14ac:dyDescent="0.25">
      <c r="A1326">
        <v>755</v>
      </c>
      <c r="B1326" t="s">
        <v>3916</v>
      </c>
      <c r="C1326" t="s">
        <v>1936</v>
      </c>
      <c r="D1326" t="s">
        <v>3917</v>
      </c>
      <c r="F1326">
        <v>358</v>
      </c>
      <c r="G1326">
        <v>65</v>
      </c>
      <c r="H1326" t="s">
        <v>662</v>
      </c>
      <c r="I1326" t="s">
        <v>2271</v>
      </c>
      <c r="J1326">
        <v>1300000</v>
      </c>
      <c r="K1326">
        <v>2025</v>
      </c>
      <c r="L1326">
        <v>1128458818</v>
      </c>
      <c r="M1326" t="s">
        <v>4140</v>
      </c>
      <c r="N1326" t="s">
        <v>1688</v>
      </c>
      <c r="O1326" t="s">
        <v>1686</v>
      </c>
      <c r="P1326">
        <v>0</v>
      </c>
      <c r="Q1326">
        <v>1300000</v>
      </c>
      <c r="R1326">
        <v>0</v>
      </c>
      <c r="S1326">
        <v>0</v>
      </c>
      <c r="T1326" t="str">
        <f t="shared" si="40"/>
        <v>7552.43.4302.85.0-205128.2.3.3.08.06.</v>
      </c>
      <c r="U1326" t="e" cm="1">
        <f t="array" aca="1" ref="U1326" ca="1">+IF(COMPROMISOS_2025[[#This Row],[P]]="20","41080111",_xlfn.XLOOKUP(COMPROMISOS_2025[[#This Row],[concatenado]],PAA[[#All],[RCP-RUBRO]],PAA[[#All],[INDICADOR]],"",0))</f>
        <v>#NAME?</v>
      </c>
      <c r="V1326" s="144" t="str">
        <f t="shared" si="41"/>
        <v>85</v>
      </c>
      <c r="W1326" s="136">
        <f>+COMPROMISOS_2025[[#This Row],[valor_total]]-COMPROMISOS_2025[[#This Row],[total_cancelado]]</f>
        <v>1300000</v>
      </c>
      <c r="X1326" s="136">
        <f>COMPROMISOS_2025[[#This Row],[total_ordenes]]</f>
        <v>1300000</v>
      </c>
      <c r="Y1326" t="str" cm="1">
        <f t="array" aca="1" ref="Y1326" ca="1">IFERROR(_xlfn.XLOOKUP(COMPROMISOS_2025[[#This Row],[concatenado]],PAA[[#All],[RCP-RUBRO]],PAA[[#All],[Actividad3]],VLOOKUP(COMPROMISOS_2025[[#This Row],[Indicador Principal]],$AC$2:$AD$17,2,0),0),"")</f>
        <v/>
      </c>
    </row>
    <row r="1327" spans="1:25" hidden="1" x14ac:dyDescent="0.25">
      <c r="A1327">
        <v>756</v>
      </c>
      <c r="B1327" t="s">
        <v>3916</v>
      </c>
      <c r="C1327" t="s">
        <v>1936</v>
      </c>
      <c r="D1327" t="s">
        <v>3917</v>
      </c>
      <c r="F1327">
        <v>358</v>
      </c>
      <c r="G1327">
        <v>65</v>
      </c>
      <c r="H1327" t="s">
        <v>662</v>
      </c>
      <c r="I1327" t="s">
        <v>2271</v>
      </c>
      <c r="J1327">
        <v>1300000</v>
      </c>
      <c r="K1327">
        <v>2025</v>
      </c>
      <c r="L1327">
        <v>1143150941</v>
      </c>
      <c r="M1327" t="s">
        <v>4141</v>
      </c>
      <c r="N1327" t="s">
        <v>1688</v>
      </c>
      <c r="O1327" t="s">
        <v>1686</v>
      </c>
      <c r="P1327">
        <v>0</v>
      </c>
      <c r="Q1327">
        <v>1300000</v>
      </c>
      <c r="R1327">
        <v>0</v>
      </c>
      <c r="S1327">
        <v>0</v>
      </c>
      <c r="T1327" t="str">
        <f t="shared" si="40"/>
        <v>7562.43.4302.85.0-205128.2.3.3.08.06.</v>
      </c>
      <c r="U1327" t="e" cm="1">
        <f t="array" aca="1" ref="U1327" ca="1">+IF(COMPROMISOS_2025[[#This Row],[P]]="20","41080111",_xlfn.XLOOKUP(COMPROMISOS_2025[[#This Row],[concatenado]],PAA[[#All],[RCP-RUBRO]],PAA[[#All],[INDICADOR]],"",0))</f>
        <v>#NAME?</v>
      </c>
      <c r="V1327" s="144" t="str">
        <f t="shared" si="41"/>
        <v>85</v>
      </c>
      <c r="W1327" s="136">
        <f>+COMPROMISOS_2025[[#This Row],[valor_total]]-COMPROMISOS_2025[[#This Row],[total_cancelado]]</f>
        <v>1300000</v>
      </c>
      <c r="X1327" s="136">
        <f>COMPROMISOS_2025[[#This Row],[total_ordenes]]</f>
        <v>1300000</v>
      </c>
      <c r="Y1327" t="str" cm="1">
        <f t="array" aca="1" ref="Y1327" ca="1">IFERROR(_xlfn.XLOOKUP(COMPROMISOS_2025[[#This Row],[concatenado]],PAA[[#All],[RCP-RUBRO]],PAA[[#All],[Actividad3]],VLOOKUP(COMPROMISOS_2025[[#This Row],[Indicador Principal]],$AC$2:$AD$17,2,0),0),"")</f>
        <v/>
      </c>
    </row>
    <row r="1328" spans="1:25" hidden="1" x14ac:dyDescent="0.25">
      <c r="A1328">
        <v>757</v>
      </c>
      <c r="B1328" t="s">
        <v>3916</v>
      </c>
      <c r="C1328" t="s">
        <v>1936</v>
      </c>
      <c r="D1328" t="s">
        <v>3917</v>
      </c>
      <c r="F1328">
        <v>358</v>
      </c>
      <c r="G1328">
        <v>65</v>
      </c>
      <c r="H1328" t="s">
        <v>662</v>
      </c>
      <c r="I1328" t="s">
        <v>2271</v>
      </c>
      <c r="J1328">
        <v>500000</v>
      </c>
      <c r="K1328">
        <v>2025</v>
      </c>
      <c r="L1328">
        <v>1146438661</v>
      </c>
      <c r="M1328" t="s">
        <v>4142</v>
      </c>
      <c r="N1328" t="s">
        <v>1688</v>
      </c>
      <c r="O1328" t="s">
        <v>1686</v>
      </c>
      <c r="P1328">
        <v>0</v>
      </c>
      <c r="Q1328">
        <v>500000</v>
      </c>
      <c r="R1328">
        <v>0</v>
      </c>
      <c r="S1328">
        <v>0</v>
      </c>
      <c r="T1328" t="str">
        <f t="shared" si="40"/>
        <v>7572.43.4302.85.0-205128.2.3.3.08.06.</v>
      </c>
      <c r="U1328" t="e" cm="1">
        <f t="array" aca="1" ref="U1328" ca="1">+IF(COMPROMISOS_2025[[#This Row],[P]]="20","41080111",_xlfn.XLOOKUP(COMPROMISOS_2025[[#This Row],[concatenado]],PAA[[#All],[RCP-RUBRO]],PAA[[#All],[INDICADOR]],"",0))</f>
        <v>#NAME?</v>
      </c>
      <c r="V1328" s="144" t="str">
        <f t="shared" si="41"/>
        <v>85</v>
      </c>
      <c r="W1328" s="136">
        <f>+COMPROMISOS_2025[[#This Row],[valor_total]]-COMPROMISOS_2025[[#This Row],[total_cancelado]]</f>
        <v>500000</v>
      </c>
      <c r="X1328" s="136">
        <f>COMPROMISOS_2025[[#This Row],[total_ordenes]]</f>
        <v>500000</v>
      </c>
      <c r="Y1328" t="str" cm="1">
        <f t="array" aca="1" ref="Y1328" ca="1">IFERROR(_xlfn.XLOOKUP(COMPROMISOS_2025[[#This Row],[concatenado]],PAA[[#All],[RCP-RUBRO]],PAA[[#All],[Actividad3]],VLOOKUP(COMPROMISOS_2025[[#This Row],[Indicador Principal]],$AC$2:$AD$17,2,0),0),"")</f>
        <v/>
      </c>
    </row>
    <row r="1329" spans="1:25" hidden="1" x14ac:dyDescent="0.25">
      <c r="A1329">
        <v>758</v>
      </c>
      <c r="B1329" t="s">
        <v>3916</v>
      </c>
      <c r="C1329" t="s">
        <v>1936</v>
      </c>
      <c r="D1329" t="s">
        <v>3917</v>
      </c>
      <c r="F1329">
        <v>358</v>
      </c>
      <c r="G1329">
        <v>65</v>
      </c>
      <c r="H1329" t="s">
        <v>662</v>
      </c>
      <c r="I1329" t="s">
        <v>2271</v>
      </c>
      <c r="J1329">
        <v>500000</v>
      </c>
      <c r="K1329">
        <v>2025</v>
      </c>
      <c r="L1329">
        <v>1152185642</v>
      </c>
      <c r="M1329" t="s">
        <v>4143</v>
      </c>
      <c r="N1329" t="s">
        <v>1688</v>
      </c>
      <c r="O1329" t="s">
        <v>1686</v>
      </c>
      <c r="P1329">
        <v>0</v>
      </c>
      <c r="Q1329">
        <v>500000</v>
      </c>
      <c r="R1329">
        <v>0</v>
      </c>
      <c r="S1329">
        <v>0</v>
      </c>
      <c r="T1329" t="str">
        <f t="shared" si="40"/>
        <v>7582.43.4302.85.0-205128.2.3.3.08.06.</v>
      </c>
      <c r="U1329" t="e" cm="1">
        <f t="array" aca="1" ref="U1329" ca="1">+IF(COMPROMISOS_2025[[#This Row],[P]]="20","41080111",_xlfn.XLOOKUP(COMPROMISOS_2025[[#This Row],[concatenado]],PAA[[#All],[RCP-RUBRO]],PAA[[#All],[INDICADOR]],"",0))</f>
        <v>#NAME?</v>
      </c>
      <c r="V1329" s="144" t="str">
        <f t="shared" si="41"/>
        <v>85</v>
      </c>
      <c r="W1329" s="136">
        <f>+COMPROMISOS_2025[[#This Row],[valor_total]]-COMPROMISOS_2025[[#This Row],[total_cancelado]]</f>
        <v>500000</v>
      </c>
      <c r="X1329" s="136">
        <f>COMPROMISOS_2025[[#This Row],[total_ordenes]]</f>
        <v>500000</v>
      </c>
      <c r="Y1329" t="str" cm="1">
        <f t="array" aca="1" ref="Y1329" ca="1">IFERROR(_xlfn.XLOOKUP(COMPROMISOS_2025[[#This Row],[concatenado]],PAA[[#All],[RCP-RUBRO]],PAA[[#All],[Actividad3]],VLOOKUP(COMPROMISOS_2025[[#This Row],[Indicador Principal]],$AC$2:$AD$17,2,0),0),"")</f>
        <v/>
      </c>
    </row>
    <row r="1330" spans="1:25" hidden="1" x14ac:dyDescent="0.25">
      <c r="A1330">
        <v>759</v>
      </c>
      <c r="B1330" t="s">
        <v>3916</v>
      </c>
      <c r="C1330" t="s">
        <v>1936</v>
      </c>
      <c r="D1330" t="s">
        <v>3917</v>
      </c>
      <c r="F1330">
        <v>358</v>
      </c>
      <c r="G1330">
        <v>65</v>
      </c>
      <c r="H1330" t="s">
        <v>662</v>
      </c>
      <c r="I1330" t="s">
        <v>2271</v>
      </c>
      <c r="J1330">
        <v>1000000</v>
      </c>
      <c r="K1330">
        <v>2025</v>
      </c>
      <c r="L1330">
        <v>1152193422</v>
      </c>
      <c r="M1330" t="s">
        <v>3890</v>
      </c>
      <c r="N1330" t="s">
        <v>1688</v>
      </c>
      <c r="O1330" t="s">
        <v>1686</v>
      </c>
      <c r="P1330">
        <v>0</v>
      </c>
      <c r="Q1330">
        <v>1000000</v>
      </c>
      <c r="R1330">
        <v>0</v>
      </c>
      <c r="S1330">
        <v>0</v>
      </c>
      <c r="T1330" t="str">
        <f t="shared" si="40"/>
        <v>7592.43.4302.85.0-205128.2.3.3.08.06.</v>
      </c>
      <c r="U1330" t="e" cm="1">
        <f t="array" aca="1" ref="U1330" ca="1">+IF(COMPROMISOS_2025[[#This Row],[P]]="20","41080111",_xlfn.XLOOKUP(COMPROMISOS_2025[[#This Row],[concatenado]],PAA[[#All],[RCP-RUBRO]],PAA[[#All],[INDICADOR]],"",0))</f>
        <v>#NAME?</v>
      </c>
      <c r="V1330" s="144" t="str">
        <f t="shared" si="41"/>
        <v>85</v>
      </c>
      <c r="W1330" s="136">
        <f>+COMPROMISOS_2025[[#This Row],[valor_total]]-COMPROMISOS_2025[[#This Row],[total_cancelado]]</f>
        <v>1000000</v>
      </c>
      <c r="X1330" s="136">
        <f>COMPROMISOS_2025[[#This Row],[total_ordenes]]</f>
        <v>1000000</v>
      </c>
      <c r="Y1330" t="str" cm="1">
        <f t="array" aca="1" ref="Y1330" ca="1">IFERROR(_xlfn.XLOOKUP(COMPROMISOS_2025[[#This Row],[concatenado]],PAA[[#All],[RCP-RUBRO]],PAA[[#All],[Actividad3]],VLOOKUP(COMPROMISOS_2025[[#This Row],[Indicador Principal]],$AC$2:$AD$17,2,0),0),"")</f>
        <v/>
      </c>
    </row>
    <row r="1331" spans="1:25" hidden="1" x14ac:dyDescent="0.25">
      <c r="A1331">
        <v>760</v>
      </c>
      <c r="B1331" t="s">
        <v>3916</v>
      </c>
      <c r="C1331" t="s">
        <v>1936</v>
      </c>
      <c r="D1331" t="s">
        <v>3917</v>
      </c>
      <c r="F1331">
        <v>358</v>
      </c>
      <c r="G1331">
        <v>65</v>
      </c>
      <c r="H1331" t="s">
        <v>662</v>
      </c>
      <c r="I1331" t="s">
        <v>2271</v>
      </c>
      <c r="J1331">
        <v>1000000</v>
      </c>
      <c r="K1331">
        <v>2025</v>
      </c>
      <c r="L1331">
        <v>1152205610</v>
      </c>
      <c r="M1331" t="s">
        <v>4144</v>
      </c>
      <c r="N1331" t="s">
        <v>1688</v>
      </c>
      <c r="O1331" t="s">
        <v>1686</v>
      </c>
      <c r="P1331">
        <v>0</v>
      </c>
      <c r="Q1331">
        <v>1000000</v>
      </c>
      <c r="R1331">
        <v>0</v>
      </c>
      <c r="S1331">
        <v>0</v>
      </c>
      <c r="T1331" t="str">
        <f t="shared" si="40"/>
        <v>7602.43.4302.85.0-205128.2.3.3.08.06.</v>
      </c>
      <c r="U1331" t="e" cm="1">
        <f t="array" aca="1" ref="U1331" ca="1">+IF(COMPROMISOS_2025[[#This Row],[P]]="20","41080111",_xlfn.XLOOKUP(COMPROMISOS_2025[[#This Row],[concatenado]],PAA[[#All],[RCP-RUBRO]],PAA[[#All],[INDICADOR]],"",0))</f>
        <v>#NAME?</v>
      </c>
      <c r="V1331" s="144" t="str">
        <f t="shared" si="41"/>
        <v>85</v>
      </c>
      <c r="W1331" s="136">
        <f>+COMPROMISOS_2025[[#This Row],[valor_total]]-COMPROMISOS_2025[[#This Row],[total_cancelado]]</f>
        <v>1000000</v>
      </c>
      <c r="X1331" s="136">
        <f>COMPROMISOS_2025[[#This Row],[total_ordenes]]</f>
        <v>1000000</v>
      </c>
      <c r="Y1331" t="str" cm="1">
        <f t="array" aca="1" ref="Y1331" ca="1">IFERROR(_xlfn.XLOOKUP(COMPROMISOS_2025[[#This Row],[concatenado]],PAA[[#All],[RCP-RUBRO]],PAA[[#All],[Actividad3]],VLOOKUP(COMPROMISOS_2025[[#This Row],[Indicador Principal]],$AC$2:$AD$17,2,0),0),"")</f>
        <v/>
      </c>
    </row>
    <row r="1332" spans="1:25" hidden="1" x14ac:dyDescent="0.25">
      <c r="A1332">
        <v>761</v>
      </c>
      <c r="B1332" t="s">
        <v>3916</v>
      </c>
      <c r="C1332" t="s">
        <v>1936</v>
      </c>
      <c r="D1332" t="s">
        <v>3917</v>
      </c>
      <c r="F1332">
        <v>358</v>
      </c>
      <c r="G1332">
        <v>65</v>
      </c>
      <c r="H1332" t="s">
        <v>662</v>
      </c>
      <c r="I1332" t="s">
        <v>2271</v>
      </c>
      <c r="J1332">
        <v>500000</v>
      </c>
      <c r="K1332">
        <v>2025</v>
      </c>
      <c r="L1332">
        <v>1152208585</v>
      </c>
      <c r="M1332" t="s">
        <v>4145</v>
      </c>
      <c r="N1332" t="s">
        <v>1688</v>
      </c>
      <c r="O1332" t="s">
        <v>1686</v>
      </c>
      <c r="P1332">
        <v>0</v>
      </c>
      <c r="Q1332">
        <v>500000</v>
      </c>
      <c r="R1332">
        <v>0</v>
      </c>
      <c r="S1332">
        <v>0</v>
      </c>
      <c r="T1332" t="str">
        <f t="shared" si="40"/>
        <v>7612.43.4302.85.0-205128.2.3.3.08.06.</v>
      </c>
      <c r="U1332" t="e" cm="1">
        <f t="array" aca="1" ref="U1332" ca="1">+IF(COMPROMISOS_2025[[#This Row],[P]]="20","41080111",_xlfn.XLOOKUP(COMPROMISOS_2025[[#This Row],[concatenado]],PAA[[#All],[RCP-RUBRO]],PAA[[#All],[INDICADOR]],"",0))</f>
        <v>#NAME?</v>
      </c>
      <c r="V1332" s="144" t="str">
        <f t="shared" si="41"/>
        <v>85</v>
      </c>
      <c r="W1332" s="136">
        <f>+COMPROMISOS_2025[[#This Row],[valor_total]]-COMPROMISOS_2025[[#This Row],[total_cancelado]]</f>
        <v>500000</v>
      </c>
      <c r="X1332" s="136">
        <f>COMPROMISOS_2025[[#This Row],[total_ordenes]]</f>
        <v>500000</v>
      </c>
      <c r="Y1332" t="str" cm="1">
        <f t="array" aca="1" ref="Y1332" ca="1">IFERROR(_xlfn.XLOOKUP(COMPROMISOS_2025[[#This Row],[concatenado]],PAA[[#All],[RCP-RUBRO]],PAA[[#All],[Actividad3]],VLOOKUP(COMPROMISOS_2025[[#This Row],[Indicador Principal]],$AC$2:$AD$17,2,0),0),"")</f>
        <v/>
      </c>
    </row>
    <row r="1333" spans="1:25" hidden="1" x14ac:dyDescent="0.25">
      <c r="A1333">
        <v>762</v>
      </c>
      <c r="B1333" t="s">
        <v>3916</v>
      </c>
      <c r="C1333" t="s">
        <v>1936</v>
      </c>
      <c r="D1333" t="s">
        <v>3917</v>
      </c>
      <c r="F1333">
        <v>358</v>
      </c>
      <c r="G1333">
        <v>65</v>
      </c>
      <c r="H1333" t="s">
        <v>662</v>
      </c>
      <c r="I1333" t="s">
        <v>2271</v>
      </c>
      <c r="J1333">
        <v>500000</v>
      </c>
      <c r="K1333">
        <v>2025</v>
      </c>
      <c r="L1333">
        <v>1152211514</v>
      </c>
      <c r="M1333" t="s">
        <v>4146</v>
      </c>
      <c r="N1333" t="s">
        <v>1688</v>
      </c>
      <c r="O1333" t="s">
        <v>1686</v>
      </c>
      <c r="P1333">
        <v>0</v>
      </c>
      <c r="Q1333">
        <v>500000</v>
      </c>
      <c r="R1333">
        <v>0</v>
      </c>
      <c r="S1333">
        <v>0</v>
      </c>
      <c r="T1333" t="str">
        <f t="shared" si="40"/>
        <v>7622.43.4302.85.0-205128.2.3.3.08.06.</v>
      </c>
      <c r="U1333" t="e" cm="1">
        <f t="array" aca="1" ref="U1333" ca="1">+IF(COMPROMISOS_2025[[#This Row],[P]]="20","41080111",_xlfn.XLOOKUP(COMPROMISOS_2025[[#This Row],[concatenado]],PAA[[#All],[RCP-RUBRO]],PAA[[#All],[INDICADOR]],"",0))</f>
        <v>#NAME?</v>
      </c>
      <c r="V1333" s="144" t="str">
        <f t="shared" si="41"/>
        <v>85</v>
      </c>
      <c r="W1333" s="136">
        <f>+COMPROMISOS_2025[[#This Row],[valor_total]]-COMPROMISOS_2025[[#This Row],[total_cancelado]]</f>
        <v>500000</v>
      </c>
      <c r="X1333" s="136">
        <f>COMPROMISOS_2025[[#This Row],[total_ordenes]]</f>
        <v>500000</v>
      </c>
      <c r="Y1333" t="str" cm="1">
        <f t="array" aca="1" ref="Y1333" ca="1">IFERROR(_xlfn.XLOOKUP(COMPROMISOS_2025[[#This Row],[concatenado]],PAA[[#All],[RCP-RUBRO]],PAA[[#All],[Actividad3]],VLOOKUP(COMPROMISOS_2025[[#This Row],[Indicador Principal]],$AC$2:$AD$17,2,0),0),"")</f>
        <v/>
      </c>
    </row>
    <row r="1334" spans="1:25" hidden="1" x14ac:dyDescent="0.25">
      <c r="A1334">
        <v>763</v>
      </c>
      <c r="B1334" t="s">
        <v>3916</v>
      </c>
      <c r="C1334" t="s">
        <v>1936</v>
      </c>
      <c r="D1334" t="s">
        <v>3917</v>
      </c>
      <c r="F1334">
        <v>358</v>
      </c>
      <c r="G1334">
        <v>65</v>
      </c>
      <c r="H1334" t="s">
        <v>662</v>
      </c>
      <c r="I1334" t="s">
        <v>2271</v>
      </c>
      <c r="J1334">
        <v>500000</v>
      </c>
      <c r="K1334">
        <v>2025</v>
      </c>
      <c r="L1334">
        <v>1152222257</v>
      </c>
      <c r="M1334" t="s">
        <v>4147</v>
      </c>
      <c r="N1334" t="s">
        <v>1688</v>
      </c>
      <c r="O1334" t="s">
        <v>1686</v>
      </c>
      <c r="P1334">
        <v>0</v>
      </c>
      <c r="Q1334">
        <v>500000</v>
      </c>
      <c r="R1334">
        <v>0</v>
      </c>
      <c r="S1334">
        <v>0</v>
      </c>
      <c r="T1334" t="str">
        <f t="shared" si="40"/>
        <v>7632.43.4302.85.0-205128.2.3.3.08.06.</v>
      </c>
      <c r="U1334" t="e" cm="1">
        <f t="array" aca="1" ref="U1334" ca="1">+IF(COMPROMISOS_2025[[#This Row],[P]]="20","41080111",_xlfn.XLOOKUP(COMPROMISOS_2025[[#This Row],[concatenado]],PAA[[#All],[RCP-RUBRO]],PAA[[#All],[INDICADOR]],"",0))</f>
        <v>#NAME?</v>
      </c>
      <c r="V1334" s="144" t="str">
        <f t="shared" si="41"/>
        <v>85</v>
      </c>
      <c r="W1334" s="136">
        <f>+COMPROMISOS_2025[[#This Row],[valor_total]]-COMPROMISOS_2025[[#This Row],[total_cancelado]]</f>
        <v>500000</v>
      </c>
      <c r="X1334" s="136">
        <f>COMPROMISOS_2025[[#This Row],[total_ordenes]]</f>
        <v>500000</v>
      </c>
      <c r="Y1334" t="str" cm="1">
        <f t="array" aca="1" ref="Y1334" ca="1">IFERROR(_xlfn.XLOOKUP(COMPROMISOS_2025[[#This Row],[concatenado]],PAA[[#All],[RCP-RUBRO]],PAA[[#All],[Actividad3]],VLOOKUP(COMPROMISOS_2025[[#This Row],[Indicador Principal]],$AC$2:$AD$17,2,0),0),"")</f>
        <v/>
      </c>
    </row>
    <row r="1335" spans="1:25" hidden="1" x14ac:dyDescent="0.25">
      <c r="A1335">
        <v>764</v>
      </c>
      <c r="B1335" t="s">
        <v>3916</v>
      </c>
      <c r="C1335" t="s">
        <v>1936</v>
      </c>
      <c r="D1335" t="s">
        <v>3917</v>
      </c>
      <c r="F1335">
        <v>358</v>
      </c>
      <c r="G1335">
        <v>65</v>
      </c>
      <c r="H1335" t="s">
        <v>662</v>
      </c>
      <c r="I1335" t="s">
        <v>2271</v>
      </c>
      <c r="J1335">
        <v>500000</v>
      </c>
      <c r="K1335">
        <v>2025</v>
      </c>
      <c r="L1335">
        <v>1152434378</v>
      </c>
      <c r="M1335" t="s">
        <v>4148</v>
      </c>
      <c r="N1335" t="s">
        <v>1688</v>
      </c>
      <c r="O1335" t="s">
        <v>1686</v>
      </c>
      <c r="P1335">
        <v>0</v>
      </c>
      <c r="Q1335">
        <v>500000</v>
      </c>
      <c r="R1335">
        <v>0</v>
      </c>
      <c r="S1335">
        <v>0</v>
      </c>
      <c r="T1335" t="str">
        <f t="shared" si="40"/>
        <v>7642.43.4302.85.0-205128.2.3.3.08.06.</v>
      </c>
      <c r="U1335" t="e" cm="1">
        <f t="array" aca="1" ref="U1335" ca="1">+IF(COMPROMISOS_2025[[#This Row],[P]]="20","41080111",_xlfn.XLOOKUP(COMPROMISOS_2025[[#This Row],[concatenado]],PAA[[#All],[RCP-RUBRO]],PAA[[#All],[INDICADOR]],"",0))</f>
        <v>#NAME?</v>
      </c>
      <c r="V1335" s="144" t="str">
        <f t="shared" si="41"/>
        <v>85</v>
      </c>
      <c r="W1335" s="136">
        <f>+COMPROMISOS_2025[[#This Row],[valor_total]]-COMPROMISOS_2025[[#This Row],[total_cancelado]]</f>
        <v>500000</v>
      </c>
      <c r="X1335" s="136">
        <f>COMPROMISOS_2025[[#This Row],[total_ordenes]]</f>
        <v>500000</v>
      </c>
      <c r="Y1335" t="str" cm="1">
        <f t="array" aca="1" ref="Y1335" ca="1">IFERROR(_xlfn.XLOOKUP(COMPROMISOS_2025[[#This Row],[concatenado]],PAA[[#All],[RCP-RUBRO]],PAA[[#All],[Actividad3]],VLOOKUP(COMPROMISOS_2025[[#This Row],[Indicador Principal]],$AC$2:$AD$17,2,0),0),"")</f>
        <v/>
      </c>
    </row>
    <row r="1336" spans="1:25" hidden="1" x14ac:dyDescent="0.25">
      <c r="A1336">
        <v>765</v>
      </c>
      <c r="B1336" t="s">
        <v>3916</v>
      </c>
      <c r="C1336" t="s">
        <v>1936</v>
      </c>
      <c r="D1336" t="s">
        <v>3917</v>
      </c>
      <c r="F1336">
        <v>358</v>
      </c>
      <c r="G1336">
        <v>65</v>
      </c>
      <c r="H1336" t="s">
        <v>662</v>
      </c>
      <c r="I1336" t="s">
        <v>2271</v>
      </c>
      <c r="J1336">
        <v>500000</v>
      </c>
      <c r="K1336">
        <v>2025</v>
      </c>
      <c r="L1336">
        <v>1152450943</v>
      </c>
      <c r="M1336" t="s">
        <v>3893</v>
      </c>
      <c r="N1336" t="s">
        <v>1688</v>
      </c>
      <c r="O1336" t="s">
        <v>1686</v>
      </c>
      <c r="P1336">
        <v>0</v>
      </c>
      <c r="Q1336">
        <v>500000</v>
      </c>
      <c r="R1336">
        <v>0</v>
      </c>
      <c r="S1336">
        <v>0</v>
      </c>
      <c r="T1336" t="str">
        <f t="shared" si="40"/>
        <v>7652.43.4302.85.0-205128.2.3.3.08.06.</v>
      </c>
      <c r="U1336" t="e" cm="1">
        <f t="array" aca="1" ref="U1336" ca="1">+IF(COMPROMISOS_2025[[#This Row],[P]]="20","41080111",_xlfn.XLOOKUP(COMPROMISOS_2025[[#This Row],[concatenado]],PAA[[#All],[RCP-RUBRO]],PAA[[#All],[INDICADOR]],"",0))</f>
        <v>#NAME?</v>
      </c>
      <c r="V1336" s="144" t="str">
        <f t="shared" si="41"/>
        <v>85</v>
      </c>
      <c r="W1336" s="136">
        <f>+COMPROMISOS_2025[[#This Row],[valor_total]]-COMPROMISOS_2025[[#This Row],[total_cancelado]]</f>
        <v>500000</v>
      </c>
      <c r="X1336" s="136">
        <f>COMPROMISOS_2025[[#This Row],[total_ordenes]]</f>
        <v>500000</v>
      </c>
      <c r="Y1336" t="str" cm="1">
        <f t="array" aca="1" ref="Y1336" ca="1">IFERROR(_xlfn.XLOOKUP(COMPROMISOS_2025[[#This Row],[concatenado]],PAA[[#All],[RCP-RUBRO]],PAA[[#All],[Actividad3]],VLOOKUP(COMPROMISOS_2025[[#This Row],[Indicador Principal]],$AC$2:$AD$17,2,0),0),"")</f>
        <v/>
      </c>
    </row>
    <row r="1337" spans="1:25" hidden="1" x14ac:dyDescent="0.25">
      <c r="A1337">
        <v>766</v>
      </c>
      <c r="B1337" t="s">
        <v>3916</v>
      </c>
      <c r="C1337" t="s">
        <v>1936</v>
      </c>
      <c r="D1337" t="s">
        <v>3917</v>
      </c>
      <c r="F1337">
        <v>358</v>
      </c>
      <c r="G1337">
        <v>65</v>
      </c>
      <c r="H1337" t="s">
        <v>662</v>
      </c>
      <c r="I1337" t="s">
        <v>2271</v>
      </c>
      <c r="J1337">
        <v>500000</v>
      </c>
      <c r="K1337">
        <v>2025</v>
      </c>
      <c r="L1337">
        <v>1152469840</v>
      </c>
      <c r="M1337" t="s">
        <v>4149</v>
      </c>
      <c r="N1337" t="s">
        <v>1688</v>
      </c>
      <c r="O1337" t="s">
        <v>1686</v>
      </c>
      <c r="P1337">
        <v>0</v>
      </c>
      <c r="Q1337">
        <v>500000</v>
      </c>
      <c r="R1337">
        <v>0</v>
      </c>
      <c r="S1337">
        <v>0</v>
      </c>
      <c r="T1337" t="str">
        <f t="shared" si="40"/>
        <v>7662.43.4302.85.0-205128.2.3.3.08.06.</v>
      </c>
      <c r="U1337" t="e" cm="1">
        <f t="array" aca="1" ref="U1337" ca="1">+IF(COMPROMISOS_2025[[#This Row],[P]]="20","41080111",_xlfn.XLOOKUP(COMPROMISOS_2025[[#This Row],[concatenado]],PAA[[#All],[RCP-RUBRO]],PAA[[#All],[INDICADOR]],"",0))</f>
        <v>#NAME?</v>
      </c>
      <c r="V1337" s="144" t="str">
        <f t="shared" si="41"/>
        <v>85</v>
      </c>
      <c r="W1337" s="136">
        <f>+COMPROMISOS_2025[[#This Row],[valor_total]]-COMPROMISOS_2025[[#This Row],[total_cancelado]]</f>
        <v>500000</v>
      </c>
      <c r="X1337" s="136">
        <f>COMPROMISOS_2025[[#This Row],[total_ordenes]]</f>
        <v>500000</v>
      </c>
      <c r="Y1337" t="str" cm="1">
        <f t="array" aca="1" ref="Y1337" ca="1">IFERROR(_xlfn.XLOOKUP(COMPROMISOS_2025[[#This Row],[concatenado]],PAA[[#All],[RCP-RUBRO]],PAA[[#All],[Actividad3]],VLOOKUP(COMPROMISOS_2025[[#This Row],[Indicador Principal]],$AC$2:$AD$17,2,0),0),"")</f>
        <v/>
      </c>
    </row>
    <row r="1338" spans="1:25" hidden="1" x14ac:dyDescent="0.25">
      <c r="A1338">
        <v>767</v>
      </c>
      <c r="B1338" t="s">
        <v>3916</v>
      </c>
      <c r="C1338" t="s">
        <v>1936</v>
      </c>
      <c r="D1338" t="s">
        <v>3917</v>
      </c>
      <c r="F1338">
        <v>358</v>
      </c>
      <c r="G1338">
        <v>65</v>
      </c>
      <c r="H1338" t="s">
        <v>662</v>
      </c>
      <c r="I1338" t="s">
        <v>2271</v>
      </c>
      <c r="J1338">
        <v>500000</v>
      </c>
      <c r="K1338">
        <v>2025</v>
      </c>
      <c r="L1338">
        <v>1192463974</v>
      </c>
      <c r="M1338" t="s">
        <v>4150</v>
      </c>
      <c r="N1338" t="s">
        <v>1688</v>
      </c>
      <c r="O1338" t="s">
        <v>1686</v>
      </c>
      <c r="P1338">
        <v>0</v>
      </c>
      <c r="Q1338">
        <v>500000</v>
      </c>
      <c r="R1338">
        <v>0</v>
      </c>
      <c r="S1338">
        <v>0</v>
      </c>
      <c r="T1338" t="str">
        <f t="shared" si="40"/>
        <v>7672.43.4302.85.0-205128.2.3.3.08.06.</v>
      </c>
      <c r="U1338" t="e" cm="1">
        <f t="array" aca="1" ref="U1338" ca="1">+IF(COMPROMISOS_2025[[#This Row],[P]]="20","41080111",_xlfn.XLOOKUP(COMPROMISOS_2025[[#This Row],[concatenado]],PAA[[#All],[RCP-RUBRO]],PAA[[#All],[INDICADOR]],"",0))</f>
        <v>#NAME?</v>
      </c>
      <c r="V1338" s="144" t="str">
        <f t="shared" si="41"/>
        <v>85</v>
      </c>
      <c r="W1338" s="136">
        <f>+COMPROMISOS_2025[[#This Row],[valor_total]]-COMPROMISOS_2025[[#This Row],[total_cancelado]]</f>
        <v>500000</v>
      </c>
      <c r="X1338" s="136">
        <f>COMPROMISOS_2025[[#This Row],[total_ordenes]]</f>
        <v>500000</v>
      </c>
      <c r="Y1338" t="str" cm="1">
        <f t="array" aca="1" ref="Y1338" ca="1">IFERROR(_xlfn.XLOOKUP(COMPROMISOS_2025[[#This Row],[concatenado]],PAA[[#All],[RCP-RUBRO]],PAA[[#All],[Actividad3]],VLOOKUP(COMPROMISOS_2025[[#This Row],[Indicador Principal]],$AC$2:$AD$17,2,0),0),"")</f>
        <v/>
      </c>
    </row>
    <row r="1339" spans="1:25" hidden="1" x14ac:dyDescent="0.25">
      <c r="A1339">
        <v>768</v>
      </c>
      <c r="B1339" t="s">
        <v>3916</v>
      </c>
      <c r="C1339" t="s">
        <v>1936</v>
      </c>
      <c r="D1339" t="s">
        <v>3917</v>
      </c>
      <c r="F1339">
        <v>358</v>
      </c>
      <c r="G1339">
        <v>65</v>
      </c>
      <c r="H1339" t="s">
        <v>662</v>
      </c>
      <c r="I1339" t="s">
        <v>2271</v>
      </c>
      <c r="J1339">
        <v>800000</v>
      </c>
      <c r="K1339">
        <v>2025</v>
      </c>
      <c r="L1339">
        <v>1193115454</v>
      </c>
      <c r="M1339" t="s">
        <v>4151</v>
      </c>
      <c r="N1339" t="s">
        <v>1688</v>
      </c>
      <c r="O1339" t="s">
        <v>1686</v>
      </c>
      <c r="P1339">
        <v>0</v>
      </c>
      <c r="Q1339">
        <v>800000</v>
      </c>
      <c r="R1339">
        <v>0</v>
      </c>
      <c r="S1339">
        <v>0</v>
      </c>
      <c r="T1339" t="str">
        <f t="shared" si="40"/>
        <v>7682.43.4302.85.0-205128.2.3.3.08.06.</v>
      </c>
      <c r="U1339" t="e" cm="1">
        <f t="array" aca="1" ref="U1339" ca="1">+IF(COMPROMISOS_2025[[#This Row],[P]]="20","41080111",_xlfn.XLOOKUP(COMPROMISOS_2025[[#This Row],[concatenado]],PAA[[#All],[RCP-RUBRO]],PAA[[#All],[INDICADOR]],"",0))</f>
        <v>#NAME?</v>
      </c>
      <c r="V1339" s="144" t="str">
        <f t="shared" si="41"/>
        <v>85</v>
      </c>
      <c r="W1339" s="136">
        <f>+COMPROMISOS_2025[[#This Row],[valor_total]]-COMPROMISOS_2025[[#This Row],[total_cancelado]]</f>
        <v>800000</v>
      </c>
      <c r="X1339" s="136">
        <f>COMPROMISOS_2025[[#This Row],[total_ordenes]]</f>
        <v>800000</v>
      </c>
      <c r="Y1339" t="str" cm="1">
        <f t="array" aca="1" ref="Y1339" ca="1">IFERROR(_xlfn.XLOOKUP(COMPROMISOS_2025[[#This Row],[concatenado]],PAA[[#All],[RCP-RUBRO]],PAA[[#All],[Actividad3]],VLOOKUP(COMPROMISOS_2025[[#This Row],[Indicador Principal]],$AC$2:$AD$17,2,0),0),"")</f>
        <v/>
      </c>
    </row>
    <row r="1340" spans="1:25" hidden="1" x14ac:dyDescent="0.25">
      <c r="A1340">
        <v>769</v>
      </c>
      <c r="B1340" t="s">
        <v>3916</v>
      </c>
      <c r="C1340" t="s">
        <v>1936</v>
      </c>
      <c r="D1340" t="s">
        <v>3917</v>
      </c>
      <c r="F1340">
        <v>358</v>
      </c>
      <c r="G1340">
        <v>65</v>
      </c>
      <c r="H1340" t="s">
        <v>662</v>
      </c>
      <c r="I1340" t="s">
        <v>2271</v>
      </c>
      <c r="J1340">
        <v>500000</v>
      </c>
      <c r="K1340">
        <v>2025</v>
      </c>
      <c r="L1340">
        <v>1193119450</v>
      </c>
      <c r="M1340" t="s">
        <v>4152</v>
      </c>
      <c r="N1340" t="s">
        <v>1688</v>
      </c>
      <c r="O1340" t="s">
        <v>1686</v>
      </c>
      <c r="P1340">
        <v>0</v>
      </c>
      <c r="Q1340">
        <v>500000</v>
      </c>
      <c r="R1340">
        <v>0</v>
      </c>
      <c r="S1340">
        <v>0</v>
      </c>
      <c r="T1340" t="str">
        <f t="shared" si="40"/>
        <v>7692.43.4302.85.0-205128.2.3.3.08.06.</v>
      </c>
      <c r="U1340" t="e" cm="1">
        <f t="array" aca="1" ref="U1340" ca="1">+IF(COMPROMISOS_2025[[#This Row],[P]]="20","41080111",_xlfn.XLOOKUP(COMPROMISOS_2025[[#This Row],[concatenado]],PAA[[#All],[RCP-RUBRO]],PAA[[#All],[INDICADOR]],"",0))</f>
        <v>#NAME?</v>
      </c>
      <c r="V1340" s="144" t="str">
        <f t="shared" si="41"/>
        <v>85</v>
      </c>
      <c r="W1340" s="136">
        <f>+COMPROMISOS_2025[[#This Row],[valor_total]]-COMPROMISOS_2025[[#This Row],[total_cancelado]]</f>
        <v>500000</v>
      </c>
      <c r="X1340" s="136">
        <f>COMPROMISOS_2025[[#This Row],[total_ordenes]]</f>
        <v>500000</v>
      </c>
      <c r="Y1340" t="str" cm="1">
        <f t="array" aca="1" ref="Y1340" ca="1">IFERROR(_xlfn.XLOOKUP(COMPROMISOS_2025[[#This Row],[concatenado]],PAA[[#All],[RCP-RUBRO]],PAA[[#All],[Actividad3]],VLOOKUP(COMPROMISOS_2025[[#This Row],[Indicador Principal]],$AC$2:$AD$17,2,0),0),"")</f>
        <v/>
      </c>
    </row>
    <row r="1341" spans="1:25" hidden="1" x14ac:dyDescent="0.25">
      <c r="A1341">
        <v>770</v>
      </c>
      <c r="B1341" t="s">
        <v>3916</v>
      </c>
      <c r="C1341" t="s">
        <v>1936</v>
      </c>
      <c r="D1341" t="s">
        <v>3917</v>
      </c>
      <c r="F1341">
        <v>358</v>
      </c>
      <c r="G1341">
        <v>65</v>
      </c>
      <c r="H1341" t="s">
        <v>662</v>
      </c>
      <c r="I1341" t="s">
        <v>2271</v>
      </c>
      <c r="J1341">
        <v>500000</v>
      </c>
      <c r="K1341">
        <v>2025</v>
      </c>
      <c r="L1341">
        <v>1193142948</v>
      </c>
      <c r="M1341" t="s">
        <v>4153</v>
      </c>
      <c r="N1341" t="s">
        <v>1688</v>
      </c>
      <c r="O1341" t="s">
        <v>1686</v>
      </c>
      <c r="P1341">
        <v>0</v>
      </c>
      <c r="Q1341">
        <v>500000</v>
      </c>
      <c r="R1341">
        <v>0</v>
      </c>
      <c r="S1341">
        <v>0</v>
      </c>
      <c r="T1341" t="str">
        <f t="shared" si="40"/>
        <v>7702.43.4302.85.0-205128.2.3.3.08.06.</v>
      </c>
      <c r="U1341" t="e" cm="1">
        <f t="array" aca="1" ref="U1341" ca="1">+IF(COMPROMISOS_2025[[#This Row],[P]]="20","41080111",_xlfn.XLOOKUP(COMPROMISOS_2025[[#This Row],[concatenado]],PAA[[#All],[RCP-RUBRO]],PAA[[#All],[INDICADOR]],"",0))</f>
        <v>#NAME?</v>
      </c>
      <c r="V1341" s="144" t="str">
        <f t="shared" si="41"/>
        <v>85</v>
      </c>
      <c r="W1341" s="136">
        <f>+COMPROMISOS_2025[[#This Row],[valor_total]]-COMPROMISOS_2025[[#This Row],[total_cancelado]]</f>
        <v>500000</v>
      </c>
      <c r="X1341" s="136">
        <f>COMPROMISOS_2025[[#This Row],[total_ordenes]]</f>
        <v>500000</v>
      </c>
      <c r="Y1341" t="str" cm="1">
        <f t="array" aca="1" ref="Y1341" ca="1">IFERROR(_xlfn.XLOOKUP(COMPROMISOS_2025[[#This Row],[concatenado]],PAA[[#All],[RCP-RUBRO]],PAA[[#All],[Actividad3]],VLOOKUP(COMPROMISOS_2025[[#This Row],[Indicador Principal]],$AC$2:$AD$17,2,0),0),"")</f>
        <v/>
      </c>
    </row>
    <row r="1342" spans="1:25" hidden="1" x14ac:dyDescent="0.25">
      <c r="A1342">
        <v>771</v>
      </c>
      <c r="B1342" t="s">
        <v>3916</v>
      </c>
      <c r="C1342" t="s">
        <v>1936</v>
      </c>
      <c r="D1342" t="s">
        <v>3917</v>
      </c>
      <c r="F1342">
        <v>358</v>
      </c>
      <c r="G1342">
        <v>65</v>
      </c>
      <c r="H1342" t="s">
        <v>662</v>
      </c>
      <c r="I1342" t="s">
        <v>2271</v>
      </c>
      <c r="J1342">
        <v>1300000</v>
      </c>
      <c r="K1342">
        <v>2025</v>
      </c>
      <c r="L1342">
        <v>1193529525</v>
      </c>
      <c r="M1342" t="s">
        <v>4154</v>
      </c>
      <c r="N1342" t="s">
        <v>1688</v>
      </c>
      <c r="O1342" t="s">
        <v>1686</v>
      </c>
      <c r="P1342">
        <v>0</v>
      </c>
      <c r="Q1342">
        <v>1300000</v>
      </c>
      <c r="R1342">
        <v>0</v>
      </c>
      <c r="S1342">
        <v>0</v>
      </c>
      <c r="T1342" t="str">
        <f t="shared" si="40"/>
        <v>7712.43.4302.85.0-205128.2.3.3.08.06.</v>
      </c>
      <c r="U1342" t="e" cm="1">
        <f t="array" aca="1" ref="U1342" ca="1">+IF(COMPROMISOS_2025[[#This Row],[P]]="20","41080111",_xlfn.XLOOKUP(COMPROMISOS_2025[[#This Row],[concatenado]],PAA[[#All],[RCP-RUBRO]],PAA[[#All],[INDICADOR]],"",0))</f>
        <v>#NAME?</v>
      </c>
      <c r="V1342" s="144" t="str">
        <f t="shared" si="41"/>
        <v>85</v>
      </c>
      <c r="W1342" s="136">
        <f>+COMPROMISOS_2025[[#This Row],[valor_total]]-COMPROMISOS_2025[[#This Row],[total_cancelado]]</f>
        <v>1300000</v>
      </c>
      <c r="X1342" s="136">
        <f>COMPROMISOS_2025[[#This Row],[total_ordenes]]</f>
        <v>1300000</v>
      </c>
      <c r="Y1342" t="str" cm="1">
        <f t="array" aca="1" ref="Y1342" ca="1">IFERROR(_xlfn.XLOOKUP(COMPROMISOS_2025[[#This Row],[concatenado]],PAA[[#All],[RCP-RUBRO]],PAA[[#All],[Actividad3]],VLOOKUP(COMPROMISOS_2025[[#This Row],[Indicador Principal]],$AC$2:$AD$17,2,0),0),"")</f>
        <v/>
      </c>
    </row>
    <row r="1343" spans="1:25" hidden="1" x14ac:dyDescent="0.25">
      <c r="A1343">
        <v>772</v>
      </c>
      <c r="B1343" t="s">
        <v>3916</v>
      </c>
      <c r="C1343" t="s">
        <v>1936</v>
      </c>
      <c r="D1343" t="s">
        <v>3917</v>
      </c>
      <c r="F1343">
        <v>358</v>
      </c>
      <c r="G1343">
        <v>65</v>
      </c>
      <c r="H1343" t="s">
        <v>662</v>
      </c>
      <c r="I1343" t="s">
        <v>2271</v>
      </c>
      <c r="J1343">
        <v>500000</v>
      </c>
      <c r="K1343">
        <v>2025</v>
      </c>
      <c r="L1343">
        <v>1198463674</v>
      </c>
      <c r="M1343" t="s">
        <v>4155</v>
      </c>
      <c r="N1343" t="s">
        <v>1688</v>
      </c>
      <c r="O1343" t="s">
        <v>1686</v>
      </c>
      <c r="P1343">
        <v>0</v>
      </c>
      <c r="Q1343">
        <v>500000</v>
      </c>
      <c r="R1343">
        <v>0</v>
      </c>
      <c r="S1343">
        <v>0</v>
      </c>
      <c r="T1343" t="str">
        <f t="shared" si="40"/>
        <v>7722.43.4302.85.0-205128.2.3.3.08.06.</v>
      </c>
      <c r="U1343" t="e" cm="1">
        <f t="array" aca="1" ref="U1343" ca="1">+IF(COMPROMISOS_2025[[#This Row],[P]]="20","41080111",_xlfn.XLOOKUP(COMPROMISOS_2025[[#This Row],[concatenado]],PAA[[#All],[RCP-RUBRO]],PAA[[#All],[INDICADOR]],"",0))</f>
        <v>#NAME?</v>
      </c>
      <c r="V1343" s="144" t="str">
        <f t="shared" si="41"/>
        <v>85</v>
      </c>
      <c r="W1343" s="136">
        <f>+COMPROMISOS_2025[[#This Row],[valor_total]]-COMPROMISOS_2025[[#This Row],[total_cancelado]]</f>
        <v>500000</v>
      </c>
      <c r="X1343" s="136">
        <f>COMPROMISOS_2025[[#This Row],[total_ordenes]]</f>
        <v>500000</v>
      </c>
      <c r="Y1343" t="str" cm="1">
        <f t="array" aca="1" ref="Y1343" ca="1">IFERROR(_xlfn.XLOOKUP(COMPROMISOS_2025[[#This Row],[concatenado]],PAA[[#All],[RCP-RUBRO]],PAA[[#All],[Actividad3]],VLOOKUP(COMPROMISOS_2025[[#This Row],[Indicador Principal]],$AC$2:$AD$17,2,0),0),"")</f>
        <v/>
      </c>
    </row>
    <row r="1344" spans="1:25" hidden="1" x14ac:dyDescent="0.25">
      <c r="A1344">
        <v>773</v>
      </c>
      <c r="B1344" t="s">
        <v>3916</v>
      </c>
      <c r="C1344" t="s">
        <v>1936</v>
      </c>
      <c r="D1344" t="s">
        <v>3917</v>
      </c>
      <c r="F1344">
        <v>358</v>
      </c>
      <c r="G1344">
        <v>65</v>
      </c>
      <c r="H1344" t="s">
        <v>662</v>
      </c>
      <c r="I1344" t="s">
        <v>2271</v>
      </c>
      <c r="J1344">
        <v>500000</v>
      </c>
      <c r="K1344">
        <v>2025</v>
      </c>
      <c r="L1344">
        <v>1214731278</v>
      </c>
      <c r="M1344" t="s">
        <v>4156</v>
      </c>
      <c r="N1344" t="s">
        <v>1688</v>
      </c>
      <c r="O1344" t="s">
        <v>1686</v>
      </c>
      <c r="P1344">
        <v>0</v>
      </c>
      <c r="Q1344">
        <v>500000</v>
      </c>
      <c r="R1344">
        <v>0</v>
      </c>
      <c r="S1344">
        <v>0</v>
      </c>
      <c r="T1344" t="str">
        <f t="shared" si="40"/>
        <v>7732.43.4302.85.0-205128.2.3.3.08.06.</v>
      </c>
      <c r="U1344" t="e" cm="1">
        <f t="array" aca="1" ref="U1344" ca="1">+IF(COMPROMISOS_2025[[#This Row],[P]]="20","41080111",_xlfn.XLOOKUP(COMPROMISOS_2025[[#This Row],[concatenado]],PAA[[#All],[RCP-RUBRO]],PAA[[#All],[INDICADOR]],"",0))</f>
        <v>#NAME?</v>
      </c>
      <c r="V1344" s="144" t="str">
        <f t="shared" si="41"/>
        <v>85</v>
      </c>
      <c r="W1344" s="136">
        <f>+COMPROMISOS_2025[[#This Row],[valor_total]]-COMPROMISOS_2025[[#This Row],[total_cancelado]]</f>
        <v>500000</v>
      </c>
      <c r="X1344" s="136">
        <f>COMPROMISOS_2025[[#This Row],[total_ordenes]]</f>
        <v>500000</v>
      </c>
      <c r="Y1344" t="str" cm="1">
        <f t="array" aca="1" ref="Y1344" ca="1">IFERROR(_xlfn.XLOOKUP(COMPROMISOS_2025[[#This Row],[concatenado]],PAA[[#All],[RCP-RUBRO]],PAA[[#All],[Actividad3]],VLOOKUP(COMPROMISOS_2025[[#This Row],[Indicador Principal]],$AC$2:$AD$17,2,0),0),"")</f>
        <v/>
      </c>
    </row>
    <row r="1345" spans="1:25" hidden="1" x14ac:dyDescent="0.25">
      <c r="A1345">
        <v>774</v>
      </c>
      <c r="B1345" t="s">
        <v>3916</v>
      </c>
      <c r="C1345" t="s">
        <v>1936</v>
      </c>
      <c r="D1345" t="s">
        <v>3917</v>
      </c>
      <c r="F1345">
        <v>358</v>
      </c>
      <c r="G1345">
        <v>65</v>
      </c>
      <c r="H1345" t="s">
        <v>662</v>
      </c>
      <c r="I1345" t="s">
        <v>2271</v>
      </c>
      <c r="J1345">
        <v>500000</v>
      </c>
      <c r="K1345">
        <v>2025</v>
      </c>
      <c r="L1345">
        <v>1214738333</v>
      </c>
      <c r="M1345" t="s">
        <v>4157</v>
      </c>
      <c r="N1345" t="s">
        <v>1688</v>
      </c>
      <c r="O1345" t="s">
        <v>1686</v>
      </c>
      <c r="P1345">
        <v>0</v>
      </c>
      <c r="Q1345">
        <v>500000</v>
      </c>
      <c r="R1345">
        <v>0</v>
      </c>
      <c r="S1345">
        <v>0</v>
      </c>
      <c r="T1345" t="str">
        <f t="shared" si="40"/>
        <v>7742.43.4302.85.0-205128.2.3.3.08.06.</v>
      </c>
      <c r="U1345" t="e" cm="1">
        <f t="array" aca="1" ref="U1345" ca="1">+IF(COMPROMISOS_2025[[#This Row],[P]]="20","41080111",_xlfn.XLOOKUP(COMPROMISOS_2025[[#This Row],[concatenado]],PAA[[#All],[RCP-RUBRO]],PAA[[#All],[INDICADOR]],"",0))</f>
        <v>#NAME?</v>
      </c>
      <c r="V1345" s="144" t="str">
        <f t="shared" si="41"/>
        <v>85</v>
      </c>
      <c r="W1345" s="136">
        <f>+COMPROMISOS_2025[[#This Row],[valor_total]]-COMPROMISOS_2025[[#This Row],[total_cancelado]]</f>
        <v>500000</v>
      </c>
      <c r="X1345" s="136">
        <f>COMPROMISOS_2025[[#This Row],[total_ordenes]]</f>
        <v>500000</v>
      </c>
      <c r="Y1345" t="str" cm="1">
        <f t="array" aca="1" ref="Y1345" ca="1">IFERROR(_xlfn.XLOOKUP(COMPROMISOS_2025[[#This Row],[concatenado]],PAA[[#All],[RCP-RUBRO]],PAA[[#All],[Actividad3]],VLOOKUP(COMPROMISOS_2025[[#This Row],[Indicador Principal]],$AC$2:$AD$17,2,0),0),"")</f>
        <v/>
      </c>
    </row>
    <row r="1346" spans="1:25" hidden="1" x14ac:dyDescent="0.25">
      <c r="A1346">
        <v>775</v>
      </c>
      <c r="B1346" t="s">
        <v>3916</v>
      </c>
      <c r="C1346" t="s">
        <v>1936</v>
      </c>
      <c r="D1346" t="s">
        <v>3917</v>
      </c>
      <c r="F1346">
        <v>358</v>
      </c>
      <c r="G1346">
        <v>65</v>
      </c>
      <c r="H1346" t="s">
        <v>662</v>
      </c>
      <c r="I1346" t="s">
        <v>2271</v>
      </c>
      <c r="J1346">
        <v>500000</v>
      </c>
      <c r="K1346">
        <v>2025</v>
      </c>
      <c r="L1346">
        <v>1214742899</v>
      </c>
      <c r="M1346" t="s">
        <v>4158</v>
      </c>
      <c r="N1346" t="s">
        <v>1688</v>
      </c>
      <c r="O1346" t="s">
        <v>1686</v>
      </c>
      <c r="P1346">
        <v>0</v>
      </c>
      <c r="Q1346">
        <v>500000</v>
      </c>
      <c r="R1346">
        <v>0</v>
      </c>
      <c r="S1346">
        <v>0</v>
      </c>
      <c r="T1346" t="str">
        <f t="shared" ref="T1346:T1409" si="42">IF(A1346&gt;=0,CONCATENATE(A1346,H1346),"")</f>
        <v>7752.43.4302.85.0-205128.2.3.3.08.06.</v>
      </c>
      <c r="U1346" t="e" cm="1">
        <f t="array" aca="1" ref="U1346" ca="1">+IF(COMPROMISOS_2025[[#This Row],[P]]="20","41080111",_xlfn.XLOOKUP(COMPROMISOS_2025[[#This Row],[concatenado]],PAA[[#All],[RCP-RUBRO]],PAA[[#All],[INDICADOR]],"",0))</f>
        <v>#NAME?</v>
      </c>
      <c r="V1346" s="144" t="str">
        <f t="shared" ref="V1346:V1409" si="43">+MID(H1346,11,2)</f>
        <v>85</v>
      </c>
      <c r="W1346" s="136">
        <f>+COMPROMISOS_2025[[#This Row],[valor_total]]-COMPROMISOS_2025[[#This Row],[total_cancelado]]</f>
        <v>500000</v>
      </c>
      <c r="X1346" s="136">
        <f>COMPROMISOS_2025[[#This Row],[total_ordenes]]</f>
        <v>500000</v>
      </c>
      <c r="Y1346" t="str" cm="1">
        <f t="array" aca="1" ref="Y1346" ca="1">IFERROR(_xlfn.XLOOKUP(COMPROMISOS_2025[[#This Row],[concatenado]],PAA[[#All],[RCP-RUBRO]],PAA[[#All],[Actividad3]],VLOOKUP(COMPROMISOS_2025[[#This Row],[Indicador Principal]],$AC$2:$AD$17,2,0),0),"")</f>
        <v/>
      </c>
    </row>
    <row r="1347" spans="1:25" hidden="1" x14ac:dyDescent="0.25">
      <c r="A1347">
        <v>776</v>
      </c>
      <c r="B1347" t="s">
        <v>3916</v>
      </c>
      <c r="C1347" t="s">
        <v>1936</v>
      </c>
      <c r="D1347" t="s">
        <v>3917</v>
      </c>
      <c r="F1347">
        <v>358</v>
      </c>
      <c r="G1347">
        <v>65</v>
      </c>
      <c r="H1347" t="s">
        <v>662</v>
      </c>
      <c r="I1347" t="s">
        <v>2271</v>
      </c>
      <c r="J1347">
        <v>500000</v>
      </c>
      <c r="K1347">
        <v>2025</v>
      </c>
      <c r="L1347">
        <v>1214745505</v>
      </c>
      <c r="M1347" t="s">
        <v>4159</v>
      </c>
      <c r="N1347" t="s">
        <v>1688</v>
      </c>
      <c r="O1347" t="s">
        <v>1686</v>
      </c>
      <c r="P1347">
        <v>0</v>
      </c>
      <c r="Q1347">
        <v>500000</v>
      </c>
      <c r="R1347">
        <v>0</v>
      </c>
      <c r="S1347">
        <v>0</v>
      </c>
      <c r="T1347" t="str">
        <f t="shared" si="42"/>
        <v>7762.43.4302.85.0-205128.2.3.3.08.06.</v>
      </c>
      <c r="U1347" t="e" cm="1">
        <f t="array" aca="1" ref="U1347" ca="1">+IF(COMPROMISOS_2025[[#This Row],[P]]="20","41080111",_xlfn.XLOOKUP(COMPROMISOS_2025[[#This Row],[concatenado]],PAA[[#All],[RCP-RUBRO]],PAA[[#All],[INDICADOR]],"",0))</f>
        <v>#NAME?</v>
      </c>
      <c r="V1347" s="144" t="str">
        <f t="shared" si="43"/>
        <v>85</v>
      </c>
      <c r="W1347" s="136">
        <f>+COMPROMISOS_2025[[#This Row],[valor_total]]-COMPROMISOS_2025[[#This Row],[total_cancelado]]</f>
        <v>500000</v>
      </c>
      <c r="X1347" s="136">
        <f>COMPROMISOS_2025[[#This Row],[total_ordenes]]</f>
        <v>500000</v>
      </c>
      <c r="Y1347" t="str" cm="1">
        <f t="array" aca="1" ref="Y1347" ca="1">IFERROR(_xlfn.XLOOKUP(COMPROMISOS_2025[[#This Row],[concatenado]],PAA[[#All],[RCP-RUBRO]],PAA[[#All],[Actividad3]],VLOOKUP(COMPROMISOS_2025[[#This Row],[Indicador Principal]],$AC$2:$AD$17,2,0),0),"")</f>
        <v/>
      </c>
    </row>
    <row r="1348" spans="1:25" hidden="1" x14ac:dyDescent="0.25">
      <c r="A1348">
        <v>777</v>
      </c>
      <c r="B1348" t="s">
        <v>3916</v>
      </c>
      <c r="C1348" t="s">
        <v>1936</v>
      </c>
      <c r="D1348" t="s">
        <v>3917</v>
      </c>
      <c r="F1348">
        <v>358</v>
      </c>
      <c r="G1348">
        <v>65</v>
      </c>
      <c r="H1348" t="s">
        <v>662</v>
      </c>
      <c r="I1348" t="s">
        <v>2271</v>
      </c>
      <c r="J1348">
        <v>500000</v>
      </c>
      <c r="K1348">
        <v>2025</v>
      </c>
      <c r="L1348">
        <v>1216720953</v>
      </c>
      <c r="M1348" t="s">
        <v>4160</v>
      </c>
      <c r="N1348" t="s">
        <v>1688</v>
      </c>
      <c r="O1348" t="s">
        <v>1686</v>
      </c>
      <c r="P1348">
        <v>0</v>
      </c>
      <c r="Q1348">
        <v>500000</v>
      </c>
      <c r="R1348">
        <v>0</v>
      </c>
      <c r="S1348">
        <v>0</v>
      </c>
      <c r="T1348" t="str">
        <f t="shared" si="42"/>
        <v>7772.43.4302.85.0-205128.2.3.3.08.06.</v>
      </c>
      <c r="U1348" t="e" cm="1">
        <f t="array" aca="1" ref="U1348" ca="1">+IF(COMPROMISOS_2025[[#This Row],[P]]="20","41080111",_xlfn.XLOOKUP(COMPROMISOS_2025[[#This Row],[concatenado]],PAA[[#All],[RCP-RUBRO]],PAA[[#All],[INDICADOR]],"",0))</f>
        <v>#NAME?</v>
      </c>
      <c r="V1348" s="144" t="str">
        <f t="shared" si="43"/>
        <v>85</v>
      </c>
      <c r="W1348" s="136">
        <f>+COMPROMISOS_2025[[#This Row],[valor_total]]-COMPROMISOS_2025[[#This Row],[total_cancelado]]</f>
        <v>500000</v>
      </c>
      <c r="X1348" s="136">
        <f>COMPROMISOS_2025[[#This Row],[total_ordenes]]</f>
        <v>500000</v>
      </c>
      <c r="Y1348" t="str" cm="1">
        <f t="array" aca="1" ref="Y1348" ca="1">IFERROR(_xlfn.XLOOKUP(COMPROMISOS_2025[[#This Row],[concatenado]],PAA[[#All],[RCP-RUBRO]],PAA[[#All],[Actividad3]],VLOOKUP(COMPROMISOS_2025[[#This Row],[Indicador Principal]],$AC$2:$AD$17,2,0),0),"")</f>
        <v/>
      </c>
    </row>
    <row r="1349" spans="1:25" hidden="1" x14ac:dyDescent="0.25">
      <c r="A1349">
        <v>778</v>
      </c>
      <c r="B1349" t="s">
        <v>3916</v>
      </c>
      <c r="C1349" t="s">
        <v>1936</v>
      </c>
      <c r="D1349" t="s">
        <v>3917</v>
      </c>
      <c r="F1349">
        <v>358</v>
      </c>
      <c r="G1349">
        <v>65</v>
      </c>
      <c r="H1349" t="s">
        <v>662</v>
      </c>
      <c r="I1349" t="s">
        <v>2271</v>
      </c>
      <c r="J1349">
        <v>500000</v>
      </c>
      <c r="K1349">
        <v>2025</v>
      </c>
      <c r="L1349">
        <v>1216723047</v>
      </c>
      <c r="M1349" t="s">
        <v>4161</v>
      </c>
      <c r="N1349" t="s">
        <v>1688</v>
      </c>
      <c r="O1349" t="s">
        <v>1686</v>
      </c>
      <c r="P1349">
        <v>0</v>
      </c>
      <c r="Q1349">
        <v>500000</v>
      </c>
      <c r="R1349">
        <v>0</v>
      </c>
      <c r="S1349">
        <v>0</v>
      </c>
      <c r="T1349" t="str">
        <f t="shared" si="42"/>
        <v>7782.43.4302.85.0-205128.2.3.3.08.06.</v>
      </c>
      <c r="U1349" t="e" cm="1">
        <f t="array" aca="1" ref="U1349" ca="1">+IF(COMPROMISOS_2025[[#This Row],[P]]="20","41080111",_xlfn.XLOOKUP(COMPROMISOS_2025[[#This Row],[concatenado]],PAA[[#All],[RCP-RUBRO]],PAA[[#All],[INDICADOR]],"",0))</f>
        <v>#NAME?</v>
      </c>
      <c r="V1349" s="144" t="str">
        <f t="shared" si="43"/>
        <v>85</v>
      </c>
      <c r="W1349" s="136">
        <f>+COMPROMISOS_2025[[#This Row],[valor_total]]-COMPROMISOS_2025[[#This Row],[total_cancelado]]</f>
        <v>500000</v>
      </c>
      <c r="X1349" s="136">
        <f>COMPROMISOS_2025[[#This Row],[total_ordenes]]</f>
        <v>500000</v>
      </c>
      <c r="Y1349" t="str" cm="1">
        <f t="array" aca="1" ref="Y1349" ca="1">IFERROR(_xlfn.XLOOKUP(COMPROMISOS_2025[[#This Row],[concatenado]],PAA[[#All],[RCP-RUBRO]],PAA[[#All],[Actividad3]],VLOOKUP(COMPROMISOS_2025[[#This Row],[Indicador Principal]],$AC$2:$AD$17,2,0),0),"")</f>
        <v/>
      </c>
    </row>
    <row r="1350" spans="1:25" hidden="1" x14ac:dyDescent="0.25">
      <c r="A1350">
        <v>779</v>
      </c>
      <c r="B1350" t="s">
        <v>3916</v>
      </c>
      <c r="C1350" t="s">
        <v>1936</v>
      </c>
      <c r="D1350" t="s">
        <v>3917</v>
      </c>
      <c r="F1350">
        <v>358</v>
      </c>
      <c r="G1350">
        <v>65</v>
      </c>
      <c r="H1350" t="s">
        <v>662</v>
      </c>
      <c r="I1350" t="s">
        <v>2271</v>
      </c>
      <c r="J1350">
        <v>500000</v>
      </c>
      <c r="K1350">
        <v>2025</v>
      </c>
      <c r="L1350">
        <v>1221975893</v>
      </c>
      <c r="M1350" t="s">
        <v>4162</v>
      </c>
      <c r="N1350" t="s">
        <v>1688</v>
      </c>
      <c r="O1350" t="s">
        <v>1686</v>
      </c>
      <c r="P1350">
        <v>0</v>
      </c>
      <c r="Q1350">
        <v>500000</v>
      </c>
      <c r="R1350">
        <v>0</v>
      </c>
      <c r="S1350">
        <v>0</v>
      </c>
      <c r="T1350" t="str">
        <f t="shared" si="42"/>
        <v>7792.43.4302.85.0-205128.2.3.3.08.06.</v>
      </c>
      <c r="U1350" t="e" cm="1">
        <f t="array" aca="1" ref="U1350" ca="1">+IF(COMPROMISOS_2025[[#This Row],[P]]="20","41080111",_xlfn.XLOOKUP(COMPROMISOS_2025[[#This Row],[concatenado]],PAA[[#All],[RCP-RUBRO]],PAA[[#All],[INDICADOR]],"",0))</f>
        <v>#NAME?</v>
      </c>
      <c r="V1350" s="144" t="str">
        <f t="shared" si="43"/>
        <v>85</v>
      </c>
      <c r="W1350" s="136">
        <f>+COMPROMISOS_2025[[#This Row],[valor_total]]-COMPROMISOS_2025[[#This Row],[total_cancelado]]</f>
        <v>500000</v>
      </c>
      <c r="X1350" s="136">
        <f>COMPROMISOS_2025[[#This Row],[total_ordenes]]</f>
        <v>500000</v>
      </c>
      <c r="Y1350" t="str" cm="1">
        <f t="array" aca="1" ref="Y1350" ca="1">IFERROR(_xlfn.XLOOKUP(COMPROMISOS_2025[[#This Row],[concatenado]],PAA[[#All],[RCP-RUBRO]],PAA[[#All],[Actividad3]],VLOOKUP(COMPROMISOS_2025[[#This Row],[Indicador Principal]],$AC$2:$AD$17,2,0),0),"")</f>
        <v/>
      </c>
    </row>
    <row r="1351" spans="1:25" hidden="1" x14ac:dyDescent="0.25">
      <c r="A1351">
        <v>780</v>
      </c>
      <c r="B1351" t="s">
        <v>3916</v>
      </c>
      <c r="C1351" t="s">
        <v>1936</v>
      </c>
      <c r="D1351" t="s">
        <v>3917</v>
      </c>
      <c r="F1351">
        <v>358</v>
      </c>
      <c r="G1351">
        <v>65</v>
      </c>
      <c r="H1351" t="s">
        <v>662</v>
      </c>
      <c r="I1351" t="s">
        <v>2271</v>
      </c>
      <c r="J1351">
        <v>500000</v>
      </c>
      <c r="K1351">
        <v>2025</v>
      </c>
      <c r="L1351">
        <v>1234988780</v>
      </c>
      <c r="M1351" t="s">
        <v>4163</v>
      </c>
      <c r="N1351" t="s">
        <v>1688</v>
      </c>
      <c r="O1351" t="s">
        <v>1686</v>
      </c>
      <c r="P1351">
        <v>0</v>
      </c>
      <c r="Q1351">
        <v>500000</v>
      </c>
      <c r="R1351">
        <v>0</v>
      </c>
      <c r="S1351">
        <v>0</v>
      </c>
      <c r="T1351" t="str">
        <f t="shared" si="42"/>
        <v>7802.43.4302.85.0-205128.2.3.3.08.06.</v>
      </c>
      <c r="U1351" t="e" cm="1">
        <f t="array" aca="1" ref="U1351" ca="1">+IF(COMPROMISOS_2025[[#This Row],[P]]="20","41080111",_xlfn.XLOOKUP(COMPROMISOS_2025[[#This Row],[concatenado]],PAA[[#All],[RCP-RUBRO]],PAA[[#All],[INDICADOR]],"",0))</f>
        <v>#NAME?</v>
      </c>
      <c r="V1351" s="144" t="str">
        <f t="shared" si="43"/>
        <v>85</v>
      </c>
      <c r="W1351" s="136">
        <f>+COMPROMISOS_2025[[#This Row],[valor_total]]-COMPROMISOS_2025[[#This Row],[total_cancelado]]</f>
        <v>500000</v>
      </c>
      <c r="X1351" s="136">
        <f>COMPROMISOS_2025[[#This Row],[total_ordenes]]</f>
        <v>500000</v>
      </c>
      <c r="Y1351" t="str" cm="1">
        <f t="array" aca="1" ref="Y1351" ca="1">IFERROR(_xlfn.XLOOKUP(COMPROMISOS_2025[[#This Row],[concatenado]],PAA[[#All],[RCP-RUBRO]],PAA[[#All],[Actividad3]],VLOOKUP(COMPROMISOS_2025[[#This Row],[Indicador Principal]],$AC$2:$AD$17,2,0),0),"")</f>
        <v/>
      </c>
    </row>
    <row r="1352" spans="1:25" hidden="1" x14ac:dyDescent="0.25">
      <c r="A1352">
        <v>845</v>
      </c>
      <c r="B1352" t="s">
        <v>4164</v>
      </c>
      <c r="C1352" t="s">
        <v>1936</v>
      </c>
      <c r="D1352" t="s">
        <v>4165</v>
      </c>
      <c r="F1352">
        <v>359</v>
      </c>
      <c r="G1352">
        <v>65</v>
      </c>
      <c r="H1352" t="s">
        <v>662</v>
      </c>
      <c r="I1352" t="s">
        <v>2271</v>
      </c>
      <c r="J1352">
        <v>500000</v>
      </c>
      <c r="K1352">
        <v>2025</v>
      </c>
      <c r="L1352">
        <v>570487</v>
      </c>
      <c r="M1352" t="s">
        <v>3576</v>
      </c>
      <c r="N1352" t="s">
        <v>1688</v>
      </c>
      <c r="O1352" t="s">
        <v>1686</v>
      </c>
      <c r="P1352">
        <v>0</v>
      </c>
      <c r="Q1352">
        <v>500000</v>
      </c>
      <c r="R1352">
        <v>0</v>
      </c>
      <c r="S1352">
        <v>0</v>
      </c>
      <c r="T1352" t="str">
        <f t="shared" si="42"/>
        <v>8452.43.4302.85.0-205128.2.3.3.08.06.</v>
      </c>
      <c r="U1352" t="e" cm="1">
        <f t="array" aca="1" ref="U1352" ca="1">+IF(COMPROMISOS_2025[[#This Row],[P]]="20","41080111",_xlfn.XLOOKUP(COMPROMISOS_2025[[#This Row],[concatenado]],PAA[[#All],[RCP-RUBRO]],PAA[[#All],[INDICADOR]],"",0))</f>
        <v>#NAME?</v>
      </c>
      <c r="V1352" s="144" t="str">
        <f t="shared" si="43"/>
        <v>85</v>
      </c>
      <c r="W1352" s="136">
        <f>+COMPROMISOS_2025[[#This Row],[valor_total]]-COMPROMISOS_2025[[#This Row],[total_cancelado]]</f>
        <v>500000</v>
      </c>
      <c r="X1352" s="136">
        <f>COMPROMISOS_2025[[#This Row],[total_ordenes]]</f>
        <v>500000</v>
      </c>
      <c r="Y1352" t="str" cm="1">
        <f t="array" aca="1" ref="Y1352" ca="1">IFERROR(_xlfn.XLOOKUP(COMPROMISOS_2025[[#This Row],[concatenado]],PAA[[#All],[RCP-RUBRO]],PAA[[#All],[Actividad3]],VLOOKUP(COMPROMISOS_2025[[#This Row],[Indicador Principal]],$AC$2:$AD$17,2,0),0),"")</f>
        <v/>
      </c>
    </row>
    <row r="1353" spans="1:25" hidden="1" x14ac:dyDescent="0.25">
      <c r="A1353">
        <v>846</v>
      </c>
      <c r="B1353" t="s">
        <v>4164</v>
      </c>
      <c r="C1353" t="s">
        <v>1936</v>
      </c>
      <c r="D1353" t="s">
        <v>4165</v>
      </c>
      <c r="F1353">
        <v>359</v>
      </c>
      <c r="G1353">
        <v>65</v>
      </c>
      <c r="H1353" t="s">
        <v>662</v>
      </c>
      <c r="I1353" t="s">
        <v>2271</v>
      </c>
      <c r="J1353">
        <v>500000</v>
      </c>
      <c r="K1353">
        <v>2025</v>
      </c>
      <c r="L1353">
        <v>4907627</v>
      </c>
      <c r="M1353" t="s">
        <v>3578</v>
      </c>
      <c r="N1353" t="s">
        <v>1688</v>
      </c>
      <c r="O1353" t="s">
        <v>1686</v>
      </c>
      <c r="P1353">
        <v>0</v>
      </c>
      <c r="Q1353">
        <v>500000</v>
      </c>
      <c r="R1353">
        <v>0</v>
      </c>
      <c r="S1353">
        <v>0</v>
      </c>
      <c r="T1353" t="str">
        <f t="shared" si="42"/>
        <v>8462.43.4302.85.0-205128.2.3.3.08.06.</v>
      </c>
      <c r="U1353" t="e" cm="1">
        <f t="array" aca="1" ref="U1353" ca="1">+IF(COMPROMISOS_2025[[#This Row],[P]]="20","41080111",_xlfn.XLOOKUP(COMPROMISOS_2025[[#This Row],[concatenado]],PAA[[#All],[RCP-RUBRO]],PAA[[#All],[INDICADOR]],"",0))</f>
        <v>#NAME?</v>
      </c>
      <c r="V1353" s="144" t="str">
        <f t="shared" si="43"/>
        <v>85</v>
      </c>
      <c r="W1353" s="136">
        <f>+COMPROMISOS_2025[[#This Row],[valor_total]]-COMPROMISOS_2025[[#This Row],[total_cancelado]]</f>
        <v>500000</v>
      </c>
      <c r="X1353" s="136">
        <f>COMPROMISOS_2025[[#This Row],[total_ordenes]]</f>
        <v>500000</v>
      </c>
      <c r="Y1353" t="str" cm="1">
        <f t="array" aca="1" ref="Y1353" ca="1">IFERROR(_xlfn.XLOOKUP(COMPROMISOS_2025[[#This Row],[concatenado]],PAA[[#All],[RCP-RUBRO]],PAA[[#All],[Actividad3]],VLOOKUP(COMPROMISOS_2025[[#This Row],[Indicador Principal]],$AC$2:$AD$17,2,0),0),"")</f>
        <v/>
      </c>
    </row>
    <row r="1354" spans="1:25" hidden="1" x14ac:dyDescent="0.25">
      <c r="A1354">
        <v>847</v>
      </c>
      <c r="B1354" t="s">
        <v>4164</v>
      </c>
      <c r="C1354" t="s">
        <v>1936</v>
      </c>
      <c r="D1354" t="s">
        <v>4165</v>
      </c>
      <c r="F1354">
        <v>359</v>
      </c>
      <c r="G1354">
        <v>65</v>
      </c>
      <c r="H1354" t="s">
        <v>662</v>
      </c>
      <c r="I1354" t="s">
        <v>2271</v>
      </c>
      <c r="J1354">
        <v>500000</v>
      </c>
      <c r="K1354">
        <v>2025</v>
      </c>
      <c r="L1354">
        <v>5333598</v>
      </c>
      <c r="M1354" t="s">
        <v>3579</v>
      </c>
      <c r="N1354" t="s">
        <v>1688</v>
      </c>
      <c r="O1354" t="s">
        <v>1686</v>
      </c>
      <c r="P1354">
        <v>0</v>
      </c>
      <c r="Q1354">
        <v>500000</v>
      </c>
      <c r="R1354">
        <v>0</v>
      </c>
      <c r="S1354">
        <v>0</v>
      </c>
      <c r="T1354" t="str">
        <f t="shared" si="42"/>
        <v>8472.43.4302.85.0-205128.2.3.3.08.06.</v>
      </c>
      <c r="U1354" t="e" cm="1">
        <f t="array" aca="1" ref="U1354" ca="1">+IF(COMPROMISOS_2025[[#This Row],[P]]="20","41080111",_xlfn.XLOOKUP(COMPROMISOS_2025[[#This Row],[concatenado]],PAA[[#All],[RCP-RUBRO]],PAA[[#All],[INDICADOR]],"",0))</f>
        <v>#NAME?</v>
      </c>
      <c r="V1354" s="144" t="str">
        <f t="shared" si="43"/>
        <v>85</v>
      </c>
      <c r="W1354" s="136">
        <f>+COMPROMISOS_2025[[#This Row],[valor_total]]-COMPROMISOS_2025[[#This Row],[total_cancelado]]</f>
        <v>500000</v>
      </c>
      <c r="X1354" s="136">
        <f>COMPROMISOS_2025[[#This Row],[total_ordenes]]</f>
        <v>500000</v>
      </c>
      <c r="Y1354" t="str" cm="1">
        <f t="array" aca="1" ref="Y1354" ca="1">IFERROR(_xlfn.XLOOKUP(COMPROMISOS_2025[[#This Row],[concatenado]],PAA[[#All],[RCP-RUBRO]],PAA[[#All],[Actividad3]],VLOOKUP(COMPROMISOS_2025[[#This Row],[Indicador Principal]],$AC$2:$AD$17,2,0),0),"")</f>
        <v/>
      </c>
    </row>
    <row r="1355" spans="1:25" hidden="1" x14ac:dyDescent="0.25">
      <c r="A1355">
        <v>848</v>
      </c>
      <c r="B1355" t="s">
        <v>4164</v>
      </c>
      <c r="C1355" t="s">
        <v>1936</v>
      </c>
      <c r="D1355" t="s">
        <v>4165</v>
      </c>
      <c r="F1355">
        <v>359</v>
      </c>
      <c r="G1355">
        <v>65</v>
      </c>
      <c r="H1355" t="s">
        <v>662</v>
      </c>
      <c r="I1355" t="s">
        <v>2271</v>
      </c>
      <c r="J1355">
        <v>500000</v>
      </c>
      <c r="K1355">
        <v>2025</v>
      </c>
      <c r="L1355">
        <v>8027439</v>
      </c>
      <c r="M1355" t="s">
        <v>3918</v>
      </c>
      <c r="N1355" t="s">
        <v>1688</v>
      </c>
      <c r="O1355" t="s">
        <v>1686</v>
      </c>
      <c r="P1355">
        <v>0</v>
      </c>
      <c r="Q1355">
        <v>500000</v>
      </c>
      <c r="R1355">
        <v>0</v>
      </c>
      <c r="S1355">
        <v>0</v>
      </c>
      <c r="T1355" t="str">
        <f t="shared" si="42"/>
        <v>8482.43.4302.85.0-205128.2.3.3.08.06.</v>
      </c>
      <c r="U1355" t="e" cm="1">
        <f t="array" aca="1" ref="U1355" ca="1">+IF(COMPROMISOS_2025[[#This Row],[P]]="20","41080111",_xlfn.XLOOKUP(COMPROMISOS_2025[[#This Row],[concatenado]],PAA[[#All],[RCP-RUBRO]],PAA[[#All],[INDICADOR]],"",0))</f>
        <v>#NAME?</v>
      </c>
      <c r="V1355" s="144" t="str">
        <f t="shared" si="43"/>
        <v>85</v>
      </c>
      <c r="W1355" s="136">
        <f>+COMPROMISOS_2025[[#This Row],[valor_total]]-COMPROMISOS_2025[[#This Row],[total_cancelado]]</f>
        <v>500000</v>
      </c>
      <c r="X1355" s="136">
        <f>COMPROMISOS_2025[[#This Row],[total_ordenes]]</f>
        <v>500000</v>
      </c>
      <c r="Y1355" t="str" cm="1">
        <f t="array" aca="1" ref="Y1355" ca="1">IFERROR(_xlfn.XLOOKUP(COMPROMISOS_2025[[#This Row],[concatenado]],PAA[[#All],[RCP-RUBRO]],PAA[[#All],[Actividad3]],VLOOKUP(COMPROMISOS_2025[[#This Row],[Indicador Principal]],$AC$2:$AD$17,2,0),0),"")</f>
        <v/>
      </c>
    </row>
    <row r="1356" spans="1:25" hidden="1" x14ac:dyDescent="0.25">
      <c r="A1356">
        <v>849</v>
      </c>
      <c r="B1356" t="s">
        <v>4164</v>
      </c>
      <c r="C1356" t="s">
        <v>1936</v>
      </c>
      <c r="D1356" t="s">
        <v>4165</v>
      </c>
      <c r="F1356">
        <v>359</v>
      </c>
      <c r="G1356">
        <v>65</v>
      </c>
      <c r="H1356" t="s">
        <v>662</v>
      </c>
      <c r="I1356" t="s">
        <v>2271</v>
      </c>
      <c r="J1356">
        <v>500000</v>
      </c>
      <c r="K1356">
        <v>2025</v>
      </c>
      <c r="L1356">
        <v>8466228</v>
      </c>
      <c r="M1356" t="s">
        <v>3919</v>
      </c>
      <c r="N1356" t="s">
        <v>1688</v>
      </c>
      <c r="O1356" t="s">
        <v>1686</v>
      </c>
      <c r="P1356">
        <v>0</v>
      </c>
      <c r="Q1356">
        <v>500000</v>
      </c>
      <c r="R1356">
        <v>0</v>
      </c>
      <c r="S1356">
        <v>0</v>
      </c>
      <c r="T1356" t="str">
        <f t="shared" si="42"/>
        <v>8492.43.4302.85.0-205128.2.3.3.08.06.</v>
      </c>
      <c r="U1356" t="e" cm="1">
        <f t="array" aca="1" ref="U1356" ca="1">+IF(COMPROMISOS_2025[[#This Row],[P]]="20","41080111",_xlfn.XLOOKUP(COMPROMISOS_2025[[#This Row],[concatenado]],PAA[[#All],[RCP-RUBRO]],PAA[[#All],[INDICADOR]],"",0))</f>
        <v>#NAME?</v>
      </c>
      <c r="V1356" s="144" t="str">
        <f t="shared" si="43"/>
        <v>85</v>
      </c>
      <c r="W1356" s="136">
        <f>+COMPROMISOS_2025[[#This Row],[valor_total]]-COMPROMISOS_2025[[#This Row],[total_cancelado]]</f>
        <v>500000</v>
      </c>
      <c r="X1356" s="136">
        <f>COMPROMISOS_2025[[#This Row],[total_ordenes]]</f>
        <v>500000</v>
      </c>
      <c r="Y1356" t="str" cm="1">
        <f t="array" aca="1" ref="Y1356" ca="1">IFERROR(_xlfn.XLOOKUP(COMPROMISOS_2025[[#This Row],[concatenado]],PAA[[#All],[RCP-RUBRO]],PAA[[#All],[Actividad3]],VLOOKUP(COMPROMISOS_2025[[#This Row],[Indicador Principal]],$AC$2:$AD$17,2,0),0),"")</f>
        <v/>
      </c>
    </row>
    <row r="1357" spans="1:25" hidden="1" x14ac:dyDescent="0.25">
      <c r="A1357">
        <v>850</v>
      </c>
      <c r="B1357" t="s">
        <v>4164</v>
      </c>
      <c r="C1357" t="s">
        <v>1936</v>
      </c>
      <c r="D1357" t="s">
        <v>4165</v>
      </c>
      <c r="F1357">
        <v>359</v>
      </c>
      <c r="G1357">
        <v>65</v>
      </c>
      <c r="H1357" t="s">
        <v>662</v>
      </c>
      <c r="I1357" t="s">
        <v>2271</v>
      </c>
      <c r="J1357">
        <v>500000</v>
      </c>
      <c r="K1357">
        <v>2025</v>
      </c>
      <c r="L1357">
        <v>15371328</v>
      </c>
      <c r="M1357" t="s">
        <v>3920</v>
      </c>
      <c r="N1357" t="s">
        <v>1688</v>
      </c>
      <c r="O1357" t="s">
        <v>1686</v>
      </c>
      <c r="P1357">
        <v>0</v>
      </c>
      <c r="Q1357">
        <v>500000</v>
      </c>
      <c r="R1357">
        <v>0</v>
      </c>
      <c r="S1357">
        <v>0</v>
      </c>
      <c r="T1357" t="str">
        <f t="shared" si="42"/>
        <v>8502.43.4302.85.0-205128.2.3.3.08.06.</v>
      </c>
      <c r="U1357" t="e" cm="1">
        <f t="array" aca="1" ref="U1357" ca="1">+IF(COMPROMISOS_2025[[#This Row],[P]]="20","41080111",_xlfn.XLOOKUP(COMPROMISOS_2025[[#This Row],[concatenado]],PAA[[#All],[RCP-RUBRO]],PAA[[#All],[INDICADOR]],"",0))</f>
        <v>#NAME?</v>
      </c>
      <c r="V1357" s="144" t="str">
        <f t="shared" si="43"/>
        <v>85</v>
      </c>
      <c r="W1357" s="136">
        <f>+COMPROMISOS_2025[[#This Row],[valor_total]]-COMPROMISOS_2025[[#This Row],[total_cancelado]]</f>
        <v>500000</v>
      </c>
      <c r="X1357" s="136">
        <f>COMPROMISOS_2025[[#This Row],[total_ordenes]]</f>
        <v>500000</v>
      </c>
      <c r="Y1357" t="str" cm="1">
        <f t="array" aca="1" ref="Y1357" ca="1">IFERROR(_xlfn.XLOOKUP(COMPROMISOS_2025[[#This Row],[concatenado]],PAA[[#All],[RCP-RUBRO]],PAA[[#All],[Actividad3]],VLOOKUP(COMPROMISOS_2025[[#This Row],[Indicador Principal]],$AC$2:$AD$17,2,0),0),"")</f>
        <v/>
      </c>
    </row>
    <row r="1358" spans="1:25" hidden="1" x14ac:dyDescent="0.25">
      <c r="A1358">
        <v>851</v>
      </c>
      <c r="B1358" t="s">
        <v>4164</v>
      </c>
      <c r="C1358" t="s">
        <v>1936</v>
      </c>
      <c r="D1358" t="s">
        <v>4165</v>
      </c>
      <c r="F1358">
        <v>359</v>
      </c>
      <c r="G1358">
        <v>65</v>
      </c>
      <c r="H1358" t="s">
        <v>662</v>
      </c>
      <c r="I1358" t="s">
        <v>2271</v>
      </c>
      <c r="J1358">
        <v>500000</v>
      </c>
      <c r="K1358">
        <v>2025</v>
      </c>
      <c r="L1358">
        <v>15537308</v>
      </c>
      <c r="M1358" t="s">
        <v>3921</v>
      </c>
      <c r="N1358" t="s">
        <v>1688</v>
      </c>
      <c r="O1358" t="s">
        <v>1686</v>
      </c>
      <c r="P1358">
        <v>0</v>
      </c>
      <c r="Q1358">
        <v>500000</v>
      </c>
      <c r="R1358">
        <v>0</v>
      </c>
      <c r="S1358">
        <v>0</v>
      </c>
      <c r="T1358" t="str">
        <f t="shared" si="42"/>
        <v>8512.43.4302.85.0-205128.2.3.3.08.06.</v>
      </c>
      <c r="U1358" t="e" cm="1">
        <f t="array" aca="1" ref="U1358" ca="1">+IF(COMPROMISOS_2025[[#This Row],[P]]="20","41080111",_xlfn.XLOOKUP(COMPROMISOS_2025[[#This Row],[concatenado]],PAA[[#All],[RCP-RUBRO]],PAA[[#All],[INDICADOR]],"",0))</f>
        <v>#NAME?</v>
      </c>
      <c r="V1358" s="144" t="str">
        <f t="shared" si="43"/>
        <v>85</v>
      </c>
      <c r="W1358" s="136">
        <f>+COMPROMISOS_2025[[#This Row],[valor_total]]-COMPROMISOS_2025[[#This Row],[total_cancelado]]</f>
        <v>500000</v>
      </c>
      <c r="X1358" s="136">
        <f>COMPROMISOS_2025[[#This Row],[total_ordenes]]</f>
        <v>500000</v>
      </c>
      <c r="Y1358" t="str" cm="1">
        <f t="array" aca="1" ref="Y1358" ca="1">IFERROR(_xlfn.XLOOKUP(COMPROMISOS_2025[[#This Row],[concatenado]],PAA[[#All],[RCP-RUBRO]],PAA[[#All],[Actividad3]],VLOOKUP(COMPROMISOS_2025[[#This Row],[Indicador Principal]],$AC$2:$AD$17,2,0),0),"")</f>
        <v/>
      </c>
    </row>
    <row r="1359" spans="1:25" hidden="1" x14ac:dyDescent="0.25">
      <c r="A1359">
        <v>852</v>
      </c>
      <c r="B1359" t="s">
        <v>4164</v>
      </c>
      <c r="C1359" t="s">
        <v>1936</v>
      </c>
      <c r="D1359" t="s">
        <v>4165</v>
      </c>
      <c r="F1359">
        <v>359</v>
      </c>
      <c r="G1359">
        <v>65</v>
      </c>
      <c r="H1359" t="s">
        <v>662</v>
      </c>
      <c r="I1359" t="s">
        <v>2271</v>
      </c>
      <c r="J1359">
        <v>500000</v>
      </c>
      <c r="K1359">
        <v>2025</v>
      </c>
      <c r="L1359">
        <v>32258328</v>
      </c>
      <c r="M1359" t="s">
        <v>3922</v>
      </c>
      <c r="N1359" t="s">
        <v>1688</v>
      </c>
      <c r="O1359" t="s">
        <v>1686</v>
      </c>
      <c r="P1359">
        <v>0</v>
      </c>
      <c r="Q1359">
        <v>500000</v>
      </c>
      <c r="R1359">
        <v>0</v>
      </c>
      <c r="S1359">
        <v>0</v>
      </c>
      <c r="T1359" t="str">
        <f t="shared" si="42"/>
        <v>8522.43.4302.85.0-205128.2.3.3.08.06.</v>
      </c>
      <c r="U1359" t="e" cm="1">
        <f t="array" aca="1" ref="U1359" ca="1">+IF(COMPROMISOS_2025[[#This Row],[P]]="20","41080111",_xlfn.XLOOKUP(COMPROMISOS_2025[[#This Row],[concatenado]],PAA[[#All],[RCP-RUBRO]],PAA[[#All],[INDICADOR]],"",0))</f>
        <v>#NAME?</v>
      </c>
      <c r="V1359" s="144" t="str">
        <f t="shared" si="43"/>
        <v>85</v>
      </c>
      <c r="W1359" s="136">
        <f>+COMPROMISOS_2025[[#This Row],[valor_total]]-COMPROMISOS_2025[[#This Row],[total_cancelado]]</f>
        <v>500000</v>
      </c>
      <c r="X1359" s="136">
        <f>COMPROMISOS_2025[[#This Row],[total_ordenes]]</f>
        <v>500000</v>
      </c>
      <c r="Y1359" t="str" cm="1">
        <f t="array" aca="1" ref="Y1359" ca="1">IFERROR(_xlfn.XLOOKUP(COMPROMISOS_2025[[#This Row],[concatenado]],PAA[[#All],[RCP-RUBRO]],PAA[[#All],[Actividad3]],VLOOKUP(COMPROMISOS_2025[[#This Row],[Indicador Principal]],$AC$2:$AD$17,2,0),0),"")</f>
        <v/>
      </c>
    </row>
    <row r="1360" spans="1:25" hidden="1" x14ac:dyDescent="0.25">
      <c r="A1360">
        <v>853</v>
      </c>
      <c r="B1360" t="s">
        <v>4164</v>
      </c>
      <c r="C1360" t="s">
        <v>1936</v>
      </c>
      <c r="D1360" t="s">
        <v>4165</v>
      </c>
      <c r="F1360">
        <v>359</v>
      </c>
      <c r="G1360">
        <v>65</v>
      </c>
      <c r="H1360" t="s">
        <v>662</v>
      </c>
      <c r="I1360" t="s">
        <v>2271</v>
      </c>
      <c r="J1360">
        <v>500000</v>
      </c>
      <c r="K1360">
        <v>2025</v>
      </c>
      <c r="L1360">
        <v>43847269</v>
      </c>
      <c r="M1360" t="s">
        <v>3923</v>
      </c>
      <c r="N1360" t="s">
        <v>1688</v>
      </c>
      <c r="O1360" t="s">
        <v>1686</v>
      </c>
      <c r="P1360">
        <v>0</v>
      </c>
      <c r="Q1360">
        <v>500000</v>
      </c>
      <c r="R1360">
        <v>0</v>
      </c>
      <c r="S1360">
        <v>0</v>
      </c>
      <c r="T1360" t="str">
        <f t="shared" si="42"/>
        <v>8532.43.4302.85.0-205128.2.3.3.08.06.</v>
      </c>
      <c r="U1360" t="e" cm="1">
        <f t="array" aca="1" ref="U1360" ca="1">+IF(COMPROMISOS_2025[[#This Row],[P]]="20","41080111",_xlfn.XLOOKUP(COMPROMISOS_2025[[#This Row],[concatenado]],PAA[[#All],[RCP-RUBRO]],PAA[[#All],[INDICADOR]],"",0))</f>
        <v>#NAME?</v>
      </c>
      <c r="V1360" s="144" t="str">
        <f t="shared" si="43"/>
        <v>85</v>
      </c>
      <c r="W1360" s="136">
        <f>+COMPROMISOS_2025[[#This Row],[valor_total]]-COMPROMISOS_2025[[#This Row],[total_cancelado]]</f>
        <v>500000</v>
      </c>
      <c r="X1360" s="136">
        <f>COMPROMISOS_2025[[#This Row],[total_ordenes]]</f>
        <v>500000</v>
      </c>
      <c r="Y1360" t="str" cm="1">
        <f t="array" aca="1" ref="Y1360" ca="1">IFERROR(_xlfn.XLOOKUP(COMPROMISOS_2025[[#This Row],[concatenado]],PAA[[#All],[RCP-RUBRO]],PAA[[#All],[Actividad3]],VLOOKUP(COMPROMISOS_2025[[#This Row],[Indicador Principal]],$AC$2:$AD$17,2,0),0),"")</f>
        <v/>
      </c>
    </row>
    <row r="1361" spans="1:25" hidden="1" x14ac:dyDescent="0.25">
      <c r="A1361">
        <v>854</v>
      </c>
      <c r="B1361" t="s">
        <v>4164</v>
      </c>
      <c r="C1361" t="s">
        <v>1936</v>
      </c>
      <c r="D1361" t="s">
        <v>4165</v>
      </c>
      <c r="F1361">
        <v>359</v>
      </c>
      <c r="G1361">
        <v>65</v>
      </c>
      <c r="H1361" t="s">
        <v>662</v>
      </c>
      <c r="I1361" t="s">
        <v>2271</v>
      </c>
      <c r="J1361">
        <v>500000</v>
      </c>
      <c r="K1361">
        <v>2025</v>
      </c>
      <c r="L1361">
        <v>71290655</v>
      </c>
      <c r="M1361" t="s">
        <v>3924</v>
      </c>
      <c r="N1361" t="s">
        <v>1688</v>
      </c>
      <c r="O1361" t="s">
        <v>1686</v>
      </c>
      <c r="P1361">
        <v>0</v>
      </c>
      <c r="Q1361">
        <v>500000</v>
      </c>
      <c r="R1361">
        <v>0</v>
      </c>
      <c r="S1361">
        <v>0</v>
      </c>
      <c r="T1361" t="str">
        <f t="shared" si="42"/>
        <v>8542.43.4302.85.0-205128.2.3.3.08.06.</v>
      </c>
      <c r="U1361" t="e" cm="1">
        <f t="array" aca="1" ref="U1361" ca="1">+IF(COMPROMISOS_2025[[#This Row],[P]]="20","41080111",_xlfn.XLOOKUP(COMPROMISOS_2025[[#This Row],[concatenado]],PAA[[#All],[RCP-RUBRO]],PAA[[#All],[INDICADOR]],"",0))</f>
        <v>#NAME?</v>
      </c>
      <c r="V1361" s="144" t="str">
        <f t="shared" si="43"/>
        <v>85</v>
      </c>
      <c r="W1361" s="136">
        <f>+COMPROMISOS_2025[[#This Row],[valor_total]]-COMPROMISOS_2025[[#This Row],[total_cancelado]]</f>
        <v>500000</v>
      </c>
      <c r="X1361" s="136">
        <f>COMPROMISOS_2025[[#This Row],[total_ordenes]]</f>
        <v>500000</v>
      </c>
      <c r="Y1361" t="str" cm="1">
        <f t="array" aca="1" ref="Y1361" ca="1">IFERROR(_xlfn.XLOOKUP(COMPROMISOS_2025[[#This Row],[concatenado]],PAA[[#All],[RCP-RUBRO]],PAA[[#All],[Actividad3]],VLOOKUP(COMPROMISOS_2025[[#This Row],[Indicador Principal]],$AC$2:$AD$17,2,0),0),"")</f>
        <v/>
      </c>
    </row>
    <row r="1362" spans="1:25" hidden="1" x14ac:dyDescent="0.25">
      <c r="A1362">
        <v>855</v>
      </c>
      <c r="B1362" t="s">
        <v>4164</v>
      </c>
      <c r="C1362" t="s">
        <v>1936</v>
      </c>
      <c r="D1362" t="s">
        <v>4165</v>
      </c>
      <c r="F1362">
        <v>359</v>
      </c>
      <c r="G1362">
        <v>65</v>
      </c>
      <c r="H1362" t="s">
        <v>662</v>
      </c>
      <c r="I1362" t="s">
        <v>2271</v>
      </c>
      <c r="J1362">
        <v>500000</v>
      </c>
      <c r="K1362">
        <v>2025</v>
      </c>
      <c r="L1362">
        <v>71389585</v>
      </c>
      <c r="M1362" t="s">
        <v>3925</v>
      </c>
      <c r="N1362" t="s">
        <v>1688</v>
      </c>
      <c r="O1362" t="s">
        <v>1686</v>
      </c>
      <c r="P1362">
        <v>0</v>
      </c>
      <c r="Q1362">
        <v>500000</v>
      </c>
      <c r="R1362">
        <v>0</v>
      </c>
      <c r="S1362">
        <v>0</v>
      </c>
      <c r="T1362" t="str">
        <f t="shared" si="42"/>
        <v>8552.43.4302.85.0-205128.2.3.3.08.06.</v>
      </c>
      <c r="U1362" t="e" cm="1">
        <f t="array" aca="1" ref="U1362" ca="1">+IF(COMPROMISOS_2025[[#This Row],[P]]="20","41080111",_xlfn.XLOOKUP(COMPROMISOS_2025[[#This Row],[concatenado]],PAA[[#All],[RCP-RUBRO]],PAA[[#All],[INDICADOR]],"",0))</f>
        <v>#NAME?</v>
      </c>
      <c r="V1362" s="144" t="str">
        <f t="shared" si="43"/>
        <v>85</v>
      </c>
      <c r="W1362" s="136">
        <f>+COMPROMISOS_2025[[#This Row],[valor_total]]-COMPROMISOS_2025[[#This Row],[total_cancelado]]</f>
        <v>500000</v>
      </c>
      <c r="X1362" s="136">
        <f>COMPROMISOS_2025[[#This Row],[total_ordenes]]</f>
        <v>500000</v>
      </c>
      <c r="Y1362" t="str" cm="1">
        <f t="array" aca="1" ref="Y1362" ca="1">IFERROR(_xlfn.XLOOKUP(COMPROMISOS_2025[[#This Row],[concatenado]],PAA[[#All],[RCP-RUBRO]],PAA[[#All],[Actividad3]],VLOOKUP(COMPROMISOS_2025[[#This Row],[Indicador Principal]],$AC$2:$AD$17,2,0),0),"")</f>
        <v/>
      </c>
    </row>
    <row r="1363" spans="1:25" hidden="1" x14ac:dyDescent="0.25">
      <c r="A1363">
        <v>856</v>
      </c>
      <c r="B1363" t="s">
        <v>4164</v>
      </c>
      <c r="C1363" t="s">
        <v>1936</v>
      </c>
      <c r="D1363" t="s">
        <v>4165</v>
      </c>
      <c r="F1363">
        <v>359</v>
      </c>
      <c r="G1363">
        <v>65</v>
      </c>
      <c r="H1363" t="s">
        <v>662</v>
      </c>
      <c r="I1363" t="s">
        <v>2271</v>
      </c>
      <c r="J1363">
        <v>500000</v>
      </c>
      <c r="K1363">
        <v>2025</v>
      </c>
      <c r="L1363">
        <v>71759760</v>
      </c>
      <c r="M1363" t="s">
        <v>3926</v>
      </c>
      <c r="N1363" t="s">
        <v>1688</v>
      </c>
      <c r="O1363" t="s">
        <v>1686</v>
      </c>
      <c r="P1363">
        <v>0</v>
      </c>
      <c r="Q1363">
        <v>500000</v>
      </c>
      <c r="R1363">
        <v>0</v>
      </c>
      <c r="S1363">
        <v>0</v>
      </c>
      <c r="T1363" t="str">
        <f t="shared" si="42"/>
        <v>8562.43.4302.85.0-205128.2.3.3.08.06.</v>
      </c>
      <c r="U1363" t="e" cm="1">
        <f t="array" aca="1" ref="U1363" ca="1">+IF(COMPROMISOS_2025[[#This Row],[P]]="20","41080111",_xlfn.XLOOKUP(COMPROMISOS_2025[[#This Row],[concatenado]],PAA[[#All],[RCP-RUBRO]],PAA[[#All],[INDICADOR]],"",0))</f>
        <v>#NAME?</v>
      </c>
      <c r="V1363" s="144" t="str">
        <f t="shared" si="43"/>
        <v>85</v>
      </c>
      <c r="W1363" s="136">
        <f>+COMPROMISOS_2025[[#This Row],[valor_total]]-COMPROMISOS_2025[[#This Row],[total_cancelado]]</f>
        <v>500000</v>
      </c>
      <c r="X1363" s="136">
        <f>COMPROMISOS_2025[[#This Row],[total_ordenes]]</f>
        <v>500000</v>
      </c>
      <c r="Y1363" t="str" cm="1">
        <f t="array" aca="1" ref="Y1363" ca="1">IFERROR(_xlfn.XLOOKUP(COMPROMISOS_2025[[#This Row],[concatenado]],PAA[[#All],[RCP-RUBRO]],PAA[[#All],[Actividad3]],VLOOKUP(COMPROMISOS_2025[[#This Row],[Indicador Principal]],$AC$2:$AD$17,2,0),0),"")</f>
        <v/>
      </c>
    </row>
    <row r="1364" spans="1:25" hidden="1" x14ac:dyDescent="0.25">
      <c r="A1364">
        <v>857</v>
      </c>
      <c r="B1364" t="s">
        <v>4164</v>
      </c>
      <c r="C1364" t="s">
        <v>1936</v>
      </c>
      <c r="D1364" t="s">
        <v>4165</v>
      </c>
      <c r="F1364">
        <v>359</v>
      </c>
      <c r="G1364">
        <v>65</v>
      </c>
      <c r="H1364" t="s">
        <v>662</v>
      </c>
      <c r="I1364" t="s">
        <v>2271</v>
      </c>
      <c r="J1364">
        <v>500000</v>
      </c>
      <c r="K1364">
        <v>2025</v>
      </c>
      <c r="L1364">
        <v>98603973</v>
      </c>
      <c r="M1364" t="s">
        <v>3927</v>
      </c>
      <c r="N1364" t="s">
        <v>1688</v>
      </c>
      <c r="O1364" t="s">
        <v>1686</v>
      </c>
      <c r="P1364">
        <v>0</v>
      </c>
      <c r="Q1364">
        <v>500000</v>
      </c>
      <c r="R1364">
        <v>0</v>
      </c>
      <c r="S1364">
        <v>0</v>
      </c>
      <c r="T1364" t="str">
        <f t="shared" si="42"/>
        <v>8572.43.4302.85.0-205128.2.3.3.08.06.</v>
      </c>
      <c r="U1364" t="e" cm="1">
        <f t="array" aca="1" ref="U1364" ca="1">+IF(COMPROMISOS_2025[[#This Row],[P]]="20","41080111",_xlfn.XLOOKUP(COMPROMISOS_2025[[#This Row],[concatenado]],PAA[[#All],[RCP-RUBRO]],PAA[[#All],[INDICADOR]],"",0))</f>
        <v>#NAME?</v>
      </c>
      <c r="V1364" s="144" t="str">
        <f t="shared" si="43"/>
        <v>85</v>
      </c>
      <c r="W1364" s="136">
        <f>+COMPROMISOS_2025[[#This Row],[valor_total]]-COMPROMISOS_2025[[#This Row],[total_cancelado]]</f>
        <v>500000</v>
      </c>
      <c r="X1364" s="136">
        <f>COMPROMISOS_2025[[#This Row],[total_ordenes]]</f>
        <v>500000</v>
      </c>
      <c r="Y1364" t="str" cm="1">
        <f t="array" aca="1" ref="Y1364" ca="1">IFERROR(_xlfn.XLOOKUP(COMPROMISOS_2025[[#This Row],[concatenado]],PAA[[#All],[RCP-RUBRO]],PAA[[#All],[Actividad3]],VLOOKUP(COMPROMISOS_2025[[#This Row],[Indicador Principal]],$AC$2:$AD$17,2,0),0),"")</f>
        <v/>
      </c>
    </row>
    <row r="1365" spans="1:25" hidden="1" x14ac:dyDescent="0.25">
      <c r="A1365">
        <v>858</v>
      </c>
      <c r="B1365" t="s">
        <v>4164</v>
      </c>
      <c r="C1365" t="s">
        <v>1936</v>
      </c>
      <c r="D1365" t="s">
        <v>4165</v>
      </c>
      <c r="F1365">
        <v>359</v>
      </c>
      <c r="G1365">
        <v>65</v>
      </c>
      <c r="H1365" t="s">
        <v>662</v>
      </c>
      <c r="I1365" t="s">
        <v>2271</v>
      </c>
      <c r="J1365">
        <v>500000</v>
      </c>
      <c r="K1365">
        <v>2025</v>
      </c>
      <c r="L1365">
        <v>1000085770</v>
      </c>
      <c r="M1365" t="s">
        <v>3928</v>
      </c>
      <c r="N1365" t="s">
        <v>1688</v>
      </c>
      <c r="O1365" t="s">
        <v>1686</v>
      </c>
      <c r="P1365">
        <v>0</v>
      </c>
      <c r="Q1365">
        <v>500000</v>
      </c>
      <c r="R1365">
        <v>0</v>
      </c>
      <c r="S1365">
        <v>0</v>
      </c>
      <c r="T1365" t="str">
        <f t="shared" si="42"/>
        <v>8582.43.4302.85.0-205128.2.3.3.08.06.</v>
      </c>
      <c r="U1365" t="e" cm="1">
        <f t="array" aca="1" ref="U1365" ca="1">+IF(COMPROMISOS_2025[[#This Row],[P]]="20","41080111",_xlfn.XLOOKUP(COMPROMISOS_2025[[#This Row],[concatenado]],PAA[[#All],[RCP-RUBRO]],PAA[[#All],[INDICADOR]],"",0))</f>
        <v>#NAME?</v>
      </c>
      <c r="V1365" s="144" t="str">
        <f t="shared" si="43"/>
        <v>85</v>
      </c>
      <c r="W1365" s="136">
        <f>+COMPROMISOS_2025[[#This Row],[valor_total]]-COMPROMISOS_2025[[#This Row],[total_cancelado]]</f>
        <v>500000</v>
      </c>
      <c r="X1365" s="136">
        <f>COMPROMISOS_2025[[#This Row],[total_ordenes]]</f>
        <v>500000</v>
      </c>
      <c r="Y1365" t="str" cm="1">
        <f t="array" aca="1" ref="Y1365" ca="1">IFERROR(_xlfn.XLOOKUP(COMPROMISOS_2025[[#This Row],[concatenado]],PAA[[#All],[RCP-RUBRO]],PAA[[#All],[Actividad3]],VLOOKUP(COMPROMISOS_2025[[#This Row],[Indicador Principal]],$AC$2:$AD$17,2,0),0),"")</f>
        <v/>
      </c>
    </row>
    <row r="1366" spans="1:25" hidden="1" x14ac:dyDescent="0.25">
      <c r="A1366">
        <v>859</v>
      </c>
      <c r="B1366" t="s">
        <v>4164</v>
      </c>
      <c r="C1366" t="s">
        <v>1936</v>
      </c>
      <c r="D1366" t="s">
        <v>4165</v>
      </c>
      <c r="F1366">
        <v>359</v>
      </c>
      <c r="G1366">
        <v>65</v>
      </c>
      <c r="H1366" t="s">
        <v>662</v>
      </c>
      <c r="I1366" t="s">
        <v>2271</v>
      </c>
      <c r="J1366">
        <v>500000</v>
      </c>
      <c r="K1366">
        <v>2025</v>
      </c>
      <c r="L1366">
        <v>1000087228</v>
      </c>
      <c r="M1366" t="s">
        <v>3929</v>
      </c>
      <c r="N1366" t="s">
        <v>1688</v>
      </c>
      <c r="O1366" t="s">
        <v>1686</v>
      </c>
      <c r="P1366">
        <v>0</v>
      </c>
      <c r="Q1366">
        <v>500000</v>
      </c>
      <c r="R1366">
        <v>0</v>
      </c>
      <c r="S1366">
        <v>0</v>
      </c>
      <c r="T1366" t="str">
        <f t="shared" si="42"/>
        <v>8592.43.4302.85.0-205128.2.3.3.08.06.</v>
      </c>
      <c r="U1366" t="e" cm="1">
        <f t="array" aca="1" ref="U1366" ca="1">+IF(COMPROMISOS_2025[[#This Row],[P]]="20","41080111",_xlfn.XLOOKUP(COMPROMISOS_2025[[#This Row],[concatenado]],PAA[[#All],[RCP-RUBRO]],PAA[[#All],[INDICADOR]],"",0))</f>
        <v>#NAME?</v>
      </c>
      <c r="V1366" s="144" t="str">
        <f t="shared" si="43"/>
        <v>85</v>
      </c>
      <c r="W1366" s="136">
        <f>+COMPROMISOS_2025[[#This Row],[valor_total]]-COMPROMISOS_2025[[#This Row],[total_cancelado]]</f>
        <v>500000</v>
      </c>
      <c r="X1366" s="136">
        <f>COMPROMISOS_2025[[#This Row],[total_ordenes]]</f>
        <v>500000</v>
      </c>
      <c r="Y1366" t="str" cm="1">
        <f t="array" aca="1" ref="Y1366" ca="1">IFERROR(_xlfn.XLOOKUP(COMPROMISOS_2025[[#This Row],[concatenado]],PAA[[#All],[RCP-RUBRO]],PAA[[#All],[Actividad3]],VLOOKUP(COMPROMISOS_2025[[#This Row],[Indicador Principal]],$AC$2:$AD$17,2,0),0),"")</f>
        <v/>
      </c>
    </row>
    <row r="1367" spans="1:25" hidden="1" x14ac:dyDescent="0.25">
      <c r="A1367">
        <v>860</v>
      </c>
      <c r="B1367" t="s">
        <v>4164</v>
      </c>
      <c r="C1367" t="s">
        <v>1936</v>
      </c>
      <c r="D1367" t="s">
        <v>4165</v>
      </c>
      <c r="F1367">
        <v>359</v>
      </c>
      <c r="G1367">
        <v>65</v>
      </c>
      <c r="H1367" t="s">
        <v>662</v>
      </c>
      <c r="I1367" t="s">
        <v>2271</v>
      </c>
      <c r="J1367">
        <v>500000</v>
      </c>
      <c r="K1367">
        <v>2025</v>
      </c>
      <c r="L1367">
        <v>1000090494</v>
      </c>
      <c r="M1367" t="s">
        <v>3585</v>
      </c>
      <c r="N1367" t="s">
        <v>1688</v>
      </c>
      <c r="O1367" t="s">
        <v>1686</v>
      </c>
      <c r="P1367">
        <v>0</v>
      </c>
      <c r="Q1367">
        <v>500000</v>
      </c>
      <c r="R1367">
        <v>0</v>
      </c>
      <c r="S1367">
        <v>0</v>
      </c>
      <c r="T1367" t="str">
        <f t="shared" si="42"/>
        <v>8602.43.4302.85.0-205128.2.3.3.08.06.</v>
      </c>
      <c r="U1367" t="e" cm="1">
        <f t="array" aca="1" ref="U1367" ca="1">+IF(COMPROMISOS_2025[[#This Row],[P]]="20","41080111",_xlfn.XLOOKUP(COMPROMISOS_2025[[#This Row],[concatenado]],PAA[[#All],[RCP-RUBRO]],PAA[[#All],[INDICADOR]],"",0))</f>
        <v>#NAME?</v>
      </c>
      <c r="V1367" s="144" t="str">
        <f t="shared" si="43"/>
        <v>85</v>
      </c>
      <c r="W1367" s="136">
        <f>+COMPROMISOS_2025[[#This Row],[valor_total]]-COMPROMISOS_2025[[#This Row],[total_cancelado]]</f>
        <v>500000</v>
      </c>
      <c r="X1367" s="136">
        <f>COMPROMISOS_2025[[#This Row],[total_ordenes]]</f>
        <v>500000</v>
      </c>
      <c r="Y1367" t="str" cm="1">
        <f t="array" aca="1" ref="Y1367" ca="1">IFERROR(_xlfn.XLOOKUP(COMPROMISOS_2025[[#This Row],[concatenado]],PAA[[#All],[RCP-RUBRO]],PAA[[#All],[Actividad3]],VLOOKUP(COMPROMISOS_2025[[#This Row],[Indicador Principal]],$AC$2:$AD$17,2,0),0),"")</f>
        <v/>
      </c>
    </row>
    <row r="1368" spans="1:25" hidden="1" x14ac:dyDescent="0.25">
      <c r="A1368">
        <v>861</v>
      </c>
      <c r="B1368" t="s">
        <v>4164</v>
      </c>
      <c r="C1368" t="s">
        <v>1936</v>
      </c>
      <c r="D1368" t="s">
        <v>4165</v>
      </c>
      <c r="F1368">
        <v>359</v>
      </c>
      <c r="G1368">
        <v>65</v>
      </c>
      <c r="H1368" t="s">
        <v>662</v>
      </c>
      <c r="I1368" t="s">
        <v>2271</v>
      </c>
      <c r="J1368">
        <v>500000</v>
      </c>
      <c r="K1368">
        <v>2025</v>
      </c>
      <c r="L1368">
        <v>1000188667</v>
      </c>
      <c r="M1368" t="s">
        <v>3930</v>
      </c>
      <c r="N1368" t="s">
        <v>1688</v>
      </c>
      <c r="O1368" t="s">
        <v>1686</v>
      </c>
      <c r="P1368">
        <v>0</v>
      </c>
      <c r="Q1368">
        <v>500000</v>
      </c>
      <c r="R1368">
        <v>0</v>
      </c>
      <c r="S1368">
        <v>0</v>
      </c>
      <c r="T1368" t="str">
        <f t="shared" si="42"/>
        <v>8612.43.4302.85.0-205128.2.3.3.08.06.</v>
      </c>
      <c r="U1368" t="e" cm="1">
        <f t="array" aca="1" ref="U1368" ca="1">+IF(COMPROMISOS_2025[[#This Row],[P]]="20","41080111",_xlfn.XLOOKUP(COMPROMISOS_2025[[#This Row],[concatenado]],PAA[[#All],[RCP-RUBRO]],PAA[[#All],[INDICADOR]],"",0))</f>
        <v>#NAME?</v>
      </c>
      <c r="V1368" s="144" t="str">
        <f t="shared" si="43"/>
        <v>85</v>
      </c>
      <c r="W1368" s="136">
        <f>+COMPROMISOS_2025[[#This Row],[valor_total]]-COMPROMISOS_2025[[#This Row],[total_cancelado]]</f>
        <v>500000</v>
      </c>
      <c r="X1368" s="136">
        <f>COMPROMISOS_2025[[#This Row],[total_ordenes]]</f>
        <v>500000</v>
      </c>
      <c r="Y1368" t="str" cm="1">
        <f t="array" aca="1" ref="Y1368" ca="1">IFERROR(_xlfn.XLOOKUP(COMPROMISOS_2025[[#This Row],[concatenado]],PAA[[#All],[RCP-RUBRO]],PAA[[#All],[Actividad3]],VLOOKUP(COMPROMISOS_2025[[#This Row],[Indicador Principal]],$AC$2:$AD$17,2,0),0),"")</f>
        <v/>
      </c>
    </row>
    <row r="1369" spans="1:25" hidden="1" x14ac:dyDescent="0.25">
      <c r="A1369">
        <v>862</v>
      </c>
      <c r="B1369" t="s">
        <v>4164</v>
      </c>
      <c r="C1369" t="s">
        <v>1936</v>
      </c>
      <c r="D1369" t="s">
        <v>4165</v>
      </c>
      <c r="F1369">
        <v>359</v>
      </c>
      <c r="G1369">
        <v>65</v>
      </c>
      <c r="H1369" t="s">
        <v>662</v>
      </c>
      <c r="I1369" t="s">
        <v>2271</v>
      </c>
      <c r="J1369">
        <v>500000</v>
      </c>
      <c r="K1369">
        <v>2025</v>
      </c>
      <c r="L1369">
        <v>1000188912</v>
      </c>
      <c r="M1369" t="s">
        <v>3931</v>
      </c>
      <c r="N1369" t="s">
        <v>1688</v>
      </c>
      <c r="O1369" t="s">
        <v>1686</v>
      </c>
      <c r="P1369">
        <v>0</v>
      </c>
      <c r="Q1369">
        <v>500000</v>
      </c>
      <c r="R1369">
        <v>0</v>
      </c>
      <c r="S1369">
        <v>0</v>
      </c>
      <c r="T1369" t="str">
        <f t="shared" si="42"/>
        <v>8622.43.4302.85.0-205128.2.3.3.08.06.</v>
      </c>
      <c r="U1369" t="e" cm="1">
        <f t="array" aca="1" ref="U1369" ca="1">+IF(COMPROMISOS_2025[[#This Row],[P]]="20","41080111",_xlfn.XLOOKUP(COMPROMISOS_2025[[#This Row],[concatenado]],PAA[[#All],[RCP-RUBRO]],PAA[[#All],[INDICADOR]],"",0))</f>
        <v>#NAME?</v>
      </c>
      <c r="V1369" s="144" t="str">
        <f t="shared" si="43"/>
        <v>85</v>
      </c>
      <c r="W1369" s="136">
        <f>+COMPROMISOS_2025[[#This Row],[valor_total]]-COMPROMISOS_2025[[#This Row],[total_cancelado]]</f>
        <v>500000</v>
      </c>
      <c r="X1369" s="136">
        <f>COMPROMISOS_2025[[#This Row],[total_ordenes]]</f>
        <v>500000</v>
      </c>
      <c r="Y1369" t="str" cm="1">
        <f t="array" aca="1" ref="Y1369" ca="1">IFERROR(_xlfn.XLOOKUP(COMPROMISOS_2025[[#This Row],[concatenado]],PAA[[#All],[RCP-RUBRO]],PAA[[#All],[Actividad3]],VLOOKUP(COMPROMISOS_2025[[#This Row],[Indicador Principal]],$AC$2:$AD$17,2,0),0),"")</f>
        <v/>
      </c>
    </row>
    <row r="1370" spans="1:25" hidden="1" x14ac:dyDescent="0.25">
      <c r="A1370">
        <v>863</v>
      </c>
      <c r="B1370" t="s">
        <v>4164</v>
      </c>
      <c r="C1370" t="s">
        <v>1936</v>
      </c>
      <c r="D1370" t="s">
        <v>4165</v>
      </c>
      <c r="F1370">
        <v>359</v>
      </c>
      <c r="G1370">
        <v>65</v>
      </c>
      <c r="H1370" t="s">
        <v>662</v>
      </c>
      <c r="I1370" t="s">
        <v>2271</v>
      </c>
      <c r="J1370">
        <v>500000</v>
      </c>
      <c r="K1370">
        <v>2025</v>
      </c>
      <c r="L1370">
        <v>1000293305</v>
      </c>
      <c r="M1370" t="s">
        <v>3932</v>
      </c>
      <c r="N1370" t="s">
        <v>1688</v>
      </c>
      <c r="O1370" t="s">
        <v>1686</v>
      </c>
      <c r="P1370">
        <v>0</v>
      </c>
      <c r="Q1370">
        <v>500000</v>
      </c>
      <c r="R1370">
        <v>0</v>
      </c>
      <c r="S1370">
        <v>0</v>
      </c>
      <c r="T1370" t="str">
        <f t="shared" si="42"/>
        <v>8632.43.4302.85.0-205128.2.3.3.08.06.</v>
      </c>
      <c r="U1370" t="e" cm="1">
        <f t="array" aca="1" ref="U1370" ca="1">+IF(COMPROMISOS_2025[[#This Row],[P]]="20","41080111",_xlfn.XLOOKUP(COMPROMISOS_2025[[#This Row],[concatenado]],PAA[[#All],[RCP-RUBRO]],PAA[[#All],[INDICADOR]],"",0))</f>
        <v>#NAME?</v>
      </c>
      <c r="V1370" s="144" t="str">
        <f t="shared" si="43"/>
        <v>85</v>
      </c>
      <c r="W1370" s="136">
        <f>+COMPROMISOS_2025[[#This Row],[valor_total]]-COMPROMISOS_2025[[#This Row],[total_cancelado]]</f>
        <v>500000</v>
      </c>
      <c r="X1370" s="136">
        <f>COMPROMISOS_2025[[#This Row],[total_ordenes]]</f>
        <v>500000</v>
      </c>
      <c r="Y1370" t="str" cm="1">
        <f t="array" aca="1" ref="Y1370" ca="1">IFERROR(_xlfn.XLOOKUP(COMPROMISOS_2025[[#This Row],[concatenado]],PAA[[#All],[RCP-RUBRO]],PAA[[#All],[Actividad3]],VLOOKUP(COMPROMISOS_2025[[#This Row],[Indicador Principal]],$AC$2:$AD$17,2,0),0),"")</f>
        <v/>
      </c>
    </row>
    <row r="1371" spans="1:25" hidden="1" x14ac:dyDescent="0.25">
      <c r="A1371">
        <v>864</v>
      </c>
      <c r="B1371" t="s">
        <v>4164</v>
      </c>
      <c r="C1371" t="s">
        <v>1936</v>
      </c>
      <c r="D1371" t="s">
        <v>4165</v>
      </c>
      <c r="F1371">
        <v>359</v>
      </c>
      <c r="G1371">
        <v>65</v>
      </c>
      <c r="H1371" t="s">
        <v>662</v>
      </c>
      <c r="I1371" t="s">
        <v>2271</v>
      </c>
      <c r="J1371">
        <v>1300000</v>
      </c>
      <c r="K1371">
        <v>2025</v>
      </c>
      <c r="L1371">
        <v>1000295491</v>
      </c>
      <c r="M1371" t="s">
        <v>3586</v>
      </c>
      <c r="N1371" t="s">
        <v>1688</v>
      </c>
      <c r="O1371" t="s">
        <v>1686</v>
      </c>
      <c r="P1371">
        <v>0</v>
      </c>
      <c r="Q1371">
        <v>1300000</v>
      </c>
      <c r="R1371">
        <v>0</v>
      </c>
      <c r="S1371">
        <v>0</v>
      </c>
      <c r="T1371" t="str">
        <f t="shared" si="42"/>
        <v>8642.43.4302.85.0-205128.2.3.3.08.06.</v>
      </c>
      <c r="U1371" t="e" cm="1">
        <f t="array" aca="1" ref="U1371" ca="1">+IF(COMPROMISOS_2025[[#This Row],[P]]="20","41080111",_xlfn.XLOOKUP(COMPROMISOS_2025[[#This Row],[concatenado]],PAA[[#All],[RCP-RUBRO]],PAA[[#All],[INDICADOR]],"",0))</f>
        <v>#NAME?</v>
      </c>
      <c r="V1371" s="144" t="str">
        <f t="shared" si="43"/>
        <v>85</v>
      </c>
      <c r="W1371" s="136">
        <f>+COMPROMISOS_2025[[#This Row],[valor_total]]-COMPROMISOS_2025[[#This Row],[total_cancelado]]</f>
        <v>1300000</v>
      </c>
      <c r="X1371" s="136">
        <f>COMPROMISOS_2025[[#This Row],[total_ordenes]]</f>
        <v>1300000</v>
      </c>
      <c r="Y1371" t="str" cm="1">
        <f t="array" aca="1" ref="Y1371" ca="1">IFERROR(_xlfn.XLOOKUP(COMPROMISOS_2025[[#This Row],[concatenado]],PAA[[#All],[RCP-RUBRO]],PAA[[#All],[Actividad3]],VLOOKUP(COMPROMISOS_2025[[#This Row],[Indicador Principal]],$AC$2:$AD$17,2,0),0),"")</f>
        <v/>
      </c>
    </row>
    <row r="1372" spans="1:25" hidden="1" x14ac:dyDescent="0.25">
      <c r="A1372">
        <v>865</v>
      </c>
      <c r="B1372" t="s">
        <v>4164</v>
      </c>
      <c r="C1372" t="s">
        <v>1936</v>
      </c>
      <c r="D1372" t="s">
        <v>4165</v>
      </c>
      <c r="F1372">
        <v>359</v>
      </c>
      <c r="G1372">
        <v>65</v>
      </c>
      <c r="H1372" t="s">
        <v>662</v>
      </c>
      <c r="I1372" t="s">
        <v>2271</v>
      </c>
      <c r="J1372">
        <v>500000</v>
      </c>
      <c r="K1372">
        <v>2025</v>
      </c>
      <c r="L1372">
        <v>1000314212</v>
      </c>
      <c r="M1372" t="s">
        <v>4166</v>
      </c>
      <c r="N1372" t="s">
        <v>1688</v>
      </c>
      <c r="O1372" t="s">
        <v>1686</v>
      </c>
      <c r="P1372">
        <v>0</v>
      </c>
      <c r="Q1372">
        <v>500000</v>
      </c>
      <c r="R1372">
        <v>0</v>
      </c>
      <c r="S1372">
        <v>0</v>
      </c>
      <c r="T1372" t="str">
        <f t="shared" si="42"/>
        <v>8652.43.4302.85.0-205128.2.3.3.08.06.</v>
      </c>
      <c r="U1372" t="e" cm="1">
        <f t="array" aca="1" ref="U1372" ca="1">+IF(COMPROMISOS_2025[[#This Row],[P]]="20","41080111",_xlfn.XLOOKUP(COMPROMISOS_2025[[#This Row],[concatenado]],PAA[[#All],[RCP-RUBRO]],PAA[[#All],[INDICADOR]],"",0))</f>
        <v>#NAME?</v>
      </c>
      <c r="V1372" s="144" t="str">
        <f t="shared" si="43"/>
        <v>85</v>
      </c>
      <c r="W1372" s="136">
        <f>+COMPROMISOS_2025[[#This Row],[valor_total]]-COMPROMISOS_2025[[#This Row],[total_cancelado]]</f>
        <v>500000</v>
      </c>
      <c r="X1372" s="136">
        <f>COMPROMISOS_2025[[#This Row],[total_ordenes]]</f>
        <v>500000</v>
      </c>
      <c r="Y1372" t="str" cm="1">
        <f t="array" aca="1" ref="Y1372" ca="1">IFERROR(_xlfn.XLOOKUP(COMPROMISOS_2025[[#This Row],[concatenado]],PAA[[#All],[RCP-RUBRO]],PAA[[#All],[Actividad3]],VLOOKUP(COMPROMISOS_2025[[#This Row],[Indicador Principal]],$AC$2:$AD$17,2,0),0),"")</f>
        <v/>
      </c>
    </row>
    <row r="1373" spans="1:25" hidden="1" x14ac:dyDescent="0.25">
      <c r="A1373">
        <v>866</v>
      </c>
      <c r="B1373" t="s">
        <v>4164</v>
      </c>
      <c r="C1373" t="s">
        <v>1936</v>
      </c>
      <c r="D1373" t="s">
        <v>4165</v>
      </c>
      <c r="F1373">
        <v>359</v>
      </c>
      <c r="G1373">
        <v>65</v>
      </c>
      <c r="H1373" t="s">
        <v>662</v>
      </c>
      <c r="I1373" t="s">
        <v>2271</v>
      </c>
      <c r="J1373">
        <v>1300000</v>
      </c>
      <c r="K1373">
        <v>2025</v>
      </c>
      <c r="L1373">
        <v>1000393173</v>
      </c>
      <c r="M1373" t="s">
        <v>3933</v>
      </c>
      <c r="N1373" t="s">
        <v>1688</v>
      </c>
      <c r="O1373" t="s">
        <v>1686</v>
      </c>
      <c r="P1373">
        <v>0</v>
      </c>
      <c r="Q1373">
        <v>1300000</v>
      </c>
      <c r="R1373">
        <v>0</v>
      </c>
      <c r="S1373">
        <v>0</v>
      </c>
      <c r="T1373" t="str">
        <f t="shared" si="42"/>
        <v>8662.43.4302.85.0-205128.2.3.3.08.06.</v>
      </c>
      <c r="U1373" t="e" cm="1">
        <f t="array" aca="1" ref="U1373" ca="1">+IF(COMPROMISOS_2025[[#This Row],[P]]="20","41080111",_xlfn.XLOOKUP(COMPROMISOS_2025[[#This Row],[concatenado]],PAA[[#All],[RCP-RUBRO]],PAA[[#All],[INDICADOR]],"",0))</f>
        <v>#NAME?</v>
      </c>
      <c r="V1373" s="144" t="str">
        <f t="shared" si="43"/>
        <v>85</v>
      </c>
      <c r="W1373" s="136">
        <f>+COMPROMISOS_2025[[#This Row],[valor_total]]-COMPROMISOS_2025[[#This Row],[total_cancelado]]</f>
        <v>1300000</v>
      </c>
      <c r="X1373" s="136">
        <f>COMPROMISOS_2025[[#This Row],[total_ordenes]]</f>
        <v>1300000</v>
      </c>
      <c r="Y1373" t="str" cm="1">
        <f t="array" aca="1" ref="Y1373" ca="1">IFERROR(_xlfn.XLOOKUP(COMPROMISOS_2025[[#This Row],[concatenado]],PAA[[#All],[RCP-RUBRO]],PAA[[#All],[Actividad3]],VLOOKUP(COMPROMISOS_2025[[#This Row],[Indicador Principal]],$AC$2:$AD$17,2,0),0),"")</f>
        <v/>
      </c>
    </row>
    <row r="1374" spans="1:25" hidden="1" x14ac:dyDescent="0.25">
      <c r="A1374">
        <v>867</v>
      </c>
      <c r="B1374" t="s">
        <v>4164</v>
      </c>
      <c r="C1374" t="s">
        <v>1936</v>
      </c>
      <c r="D1374" t="s">
        <v>4165</v>
      </c>
      <c r="F1374">
        <v>359</v>
      </c>
      <c r="G1374">
        <v>65</v>
      </c>
      <c r="H1374" t="s">
        <v>662</v>
      </c>
      <c r="I1374" t="s">
        <v>2271</v>
      </c>
      <c r="J1374">
        <v>500000</v>
      </c>
      <c r="K1374">
        <v>2025</v>
      </c>
      <c r="L1374">
        <v>1000410188</v>
      </c>
      <c r="M1374" t="s">
        <v>3934</v>
      </c>
      <c r="N1374" t="s">
        <v>1688</v>
      </c>
      <c r="O1374" t="s">
        <v>1686</v>
      </c>
      <c r="P1374">
        <v>0</v>
      </c>
      <c r="Q1374">
        <v>500000</v>
      </c>
      <c r="R1374">
        <v>0</v>
      </c>
      <c r="S1374">
        <v>0</v>
      </c>
      <c r="T1374" t="str">
        <f t="shared" si="42"/>
        <v>8672.43.4302.85.0-205128.2.3.3.08.06.</v>
      </c>
      <c r="U1374" t="e" cm="1">
        <f t="array" aca="1" ref="U1374" ca="1">+IF(COMPROMISOS_2025[[#This Row],[P]]="20","41080111",_xlfn.XLOOKUP(COMPROMISOS_2025[[#This Row],[concatenado]],PAA[[#All],[RCP-RUBRO]],PAA[[#All],[INDICADOR]],"",0))</f>
        <v>#NAME?</v>
      </c>
      <c r="V1374" s="144" t="str">
        <f t="shared" si="43"/>
        <v>85</v>
      </c>
      <c r="W1374" s="136">
        <f>+COMPROMISOS_2025[[#This Row],[valor_total]]-COMPROMISOS_2025[[#This Row],[total_cancelado]]</f>
        <v>500000</v>
      </c>
      <c r="X1374" s="136">
        <f>COMPROMISOS_2025[[#This Row],[total_ordenes]]</f>
        <v>500000</v>
      </c>
      <c r="Y1374" t="str" cm="1">
        <f t="array" aca="1" ref="Y1374" ca="1">IFERROR(_xlfn.XLOOKUP(COMPROMISOS_2025[[#This Row],[concatenado]],PAA[[#All],[RCP-RUBRO]],PAA[[#All],[Actividad3]],VLOOKUP(COMPROMISOS_2025[[#This Row],[Indicador Principal]],$AC$2:$AD$17,2,0),0),"")</f>
        <v/>
      </c>
    </row>
    <row r="1375" spans="1:25" hidden="1" x14ac:dyDescent="0.25">
      <c r="A1375">
        <v>868</v>
      </c>
      <c r="B1375" t="s">
        <v>4164</v>
      </c>
      <c r="C1375" t="s">
        <v>1936</v>
      </c>
      <c r="D1375" t="s">
        <v>4165</v>
      </c>
      <c r="F1375">
        <v>359</v>
      </c>
      <c r="G1375">
        <v>65</v>
      </c>
      <c r="H1375" t="s">
        <v>662</v>
      </c>
      <c r="I1375" t="s">
        <v>2271</v>
      </c>
      <c r="J1375">
        <v>500000</v>
      </c>
      <c r="K1375">
        <v>2025</v>
      </c>
      <c r="L1375">
        <v>1000412615</v>
      </c>
      <c r="M1375" t="s">
        <v>3935</v>
      </c>
      <c r="N1375" t="s">
        <v>1688</v>
      </c>
      <c r="O1375" t="s">
        <v>1686</v>
      </c>
      <c r="P1375">
        <v>0</v>
      </c>
      <c r="Q1375">
        <v>500000</v>
      </c>
      <c r="R1375">
        <v>0</v>
      </c>
      <c r="S1375">
        <v>0</v>
      </c>
      <c r="T1375" t="str">
        <f t="shared" si="42"/>
        <v>8682.43.4302.85.0-205128.2.3.3.08.06.</v>
      </c>
      <c r="U1375" t="e" cm="1">
        <f t="array" aca="1" ref="U1375" ca="1">+IF(COMPROMISOS_2025[[#This Row],[P]]="20","41080111",_xlfn.XLOOKUP(COMPROMISOS_2025[[#This Row],[concatenado]],PAA[[#All],[RCP-RUBRO]],PAA[[#All],[INDICADOR]],"",0))</f>
        <v>#NAME?</v>
      </c>
      <c r="V1375" s="144" t="str">
        <f t="shared" si="43"/>
        <v>85</v>
      </c>
      <c r="W1375" s="136">
        <f>+COMPROMISOS_2025[[#This Row],[valor_total]]-COMPROMISOS_2025[[#This Row],[total_cancelado]]</f>
        <v>500000</v>
      </c>
      <c r="X1375" s="136">
        <f>COMPROMISOS_2025[[#This Row],[total_ordenes]]</f>
        <v>500000</v>
      </c>
      <c r="Y1375" t="str" cm="1">
        <f t="array" aca="1" ref="Y1375" ca="1">IFERROR(_xlfn.XLOOKUP(COMPROMISOS_2025[[#This Row],[concatenado]],PAA[[#All],[RCP-RUBRO]],PAA[[#All],[Actividad3]],VLOOKUP(COMPROMISOS_2025[[#This Row],[Indicador Principal]],$AC$2:$AD$17,2,0),0),"")</f>
        <v/>
      </c>
    </row>
    <row r="1376" spans="1:25" hidden="1" x14ac:dyDescent="0.25">
      <c r="A1376">
        <v>869</v>
      </c>
      <c r="B1376" t="s">
        <v>4164</v>
      </c>
      <c r="C1376" t="s">
        <v>1936</v>
      </c>
      <c r="D1376" t="s">
        <v>4165</v>
      </c>
      <c r="F1376">
        <v>359</v>
      </c>
      <c r="G1376">
        <v>65</v>
      </c>
      <c r="H1376" t="s">
        <v>662</v>
      </c>
      <c r="I1376" t="s">
        <v>2271</v>
      </c>
      <c r="J1376">
        <v>500000</v>
      </c>
      <c r="K1376">
        <v>2025</v>
      </c>
      <c r="L1376">
        <v>1000415670</v>
      </c>
      <c r="M1376" t="s">
        <v>3936</v>
      </c>
      <c r="N1376" t="s">
        <v>1688</v>
      </c>
      <c r="O1376" t="s">
        <v>1686</v>
      </c>
      <c r="P1376">
        <v>0</v>
      </c>
      <c r="Q1376">
        <v>500000</v>
      </c>
      <c r="R1376">
        <v>0</v>
      </c>
      <c r="S1376">
        <v>0</v>
      </c>
      <c r="T1376" t="str">
        <f t="shared" si="42"/>
        <v>8692.43.4302.85.0-205128.2.3.3.08.06.</v>
      </c>
      <c r="U1376" t="e" cm="1">
        <f t="array" aca="1" ref="U1376" ca="1">+IF(COMPROMISOS_2025[[#This Row],[P]]="20","41080111",_xlfn.XLOOKUP(COMPROMISOS_2025[[#This Row],[concatenado]],PAA[[#All],[RCP-RUBRO]],PAA[[#All],[INDICADOR]],"",0))</f>
        <v>#NAME?</v>
      </c>
      <c r="V1376" s="144" t="str">
        <f t="shared" si="43"/>
        <v>85</v>
      </c>
      <c r="W1376" s="136">
        <f>+COMPROMISOS_2025[[#This Row],[valor_total]]-COMPROMISOS_2025[[#This Row],[total_cancelado]]</f>
        <v>500000</v>
      </c>
      <c r="X1376" s="136">
        <f>COMPROMISOS_2025[[#This Row],[total_ordenes]]</f>
        <v>500000</v>
      </c>
      <c r="Y1376" t="str" cm="1">
        <f t="array" aca="1" ref="Y1376" ca="1">IFERROR(_xlfn.XLOOKUP(COMPROMISOS_2025[[#This Row],[concatenado]],PAA[[#All],[RCP-RUBRO]],PAA[[#All],[Actividad3]],VLOOKUP(COMPROMISOS_2025[[#This Row],[Indicador Principal]],$AC$2:$AD$17,2,0),0),"")</f>
        <v/>
      </c>
    </row>
    <row r="1377" spans="1:25" hidden="1" x14ac:dyDescent="0.25">
      <c r="A1377">
        <v>870</v>
      </c>
      <c r="B1377" t="s">
        <v>4164</v>
      </c>
      <c r="C1377" t="s">
        <v>1936</v>
      </c>
      <c r="D1377" t="s">
        <v>4165</v>
      </c>
      <c r="F1377">
        <v>359</v>
      </c>
      <c r="G1377">
        <v>65</v>
      </c>
      <c r="H1377" t="s">
        <v>662</v>
      </c>
      <c r="I1377" t="s">
        <v>2271</v>
      </c>
      <c r="J1377">
        <v>500000</v>
      </c>
      <c r="K1377">
        <v>2025</v>
      </c>
      <c r="L1377">
        <v>1000532655</v>
      </c>
      <c r="M1377" t="s">
        <v>3937</v>
      </c>
      <c r="N1377" t="s">
        <v>1688</v>
      </c>
      <c r="O1377" t="s">
        <v>1686</v>
      </c>
      <c r="P1377">
        <v>0</v>
      </c>
      <c r="Q1377">
        <v>500000</v>
      </c>
      <c r="R1377">
        <v>0</v>
      </c>
      <c r="S1377">
        <v>0</v>
      </c>
      <c r="T1377" t="str">
        <f t="shared" si="42"/>
        <v>8702.43.4302.85.0-205128.2.3.3.08.06.</v>
      </c>
      <c r="U1377" t="e" cm="1">
        <f t="array" aca="1" ref="U1377" ca="1">+IF(COMPROMISOS_2025[[#This Row],[P]]="20","41080111",_xlfn.XLOOKUP(COMPROMISOS_2025[[#This Row],[concatenado]],PAA[[#All],[RCP-RUBRO]],PAA[[#All],[INDICADOR]],"",0))</f>
        <v>#NAME?</v>
      </c>
      <c r="V1377" s="144" t="str">
        <f t="shared" si="43"/>
        <v>85</v>
      </c>
      <c r="W1377" s="136">
        <f>+COMPROMISOS_2025[[#This Row],[valor_total]]-COMPROMISOS_2025[[#This Row],[total_cancelado]]</f>
        <v>500000</v>
      </c>
      <c r="X1377" s="136">
        <f>COMPROMISOS_2025[[#This Row],[total_ordenes]]</f>
        <v>500000</v>
      </c>
      <c r="Y1377" t="str" cm="1">
        <f t="array" aca="1" ref="Y1377" ca="1">IFERROR(_xlfn.XLOOKUP(COMPROMISOS_2025[[#This Row],[concatenado]],PAA[[#All],[RCP-RUBRO]],PAA[[#All],[Actividad3]],VLOOKUP(COMPROMISOS_2025[[#This Row],[Indicador Principal]],$AC$2:$AD$17,2,0),0),"")</f>
        <v/>
      </c>
    </row>
    <row r="1378" spans="1:25" hidden="1" x14ac:dyDescent="0.25">
      <c r="A1378">
        <v>871</v>
      </c>
      <c r="B1378" t="s">
        <v>4164</v>
      </c>
      <c r="C1378" t="s">
        <v>1936</v>
      </c>
      <c r="D1378" t="s">
        <v>4165</v>
      </c>
      <c r="F1378">
        <v>359</v>
      </c>
      <c r="G1378">
        <v>65</v>
      </c>
      <c r="H1378" t="s">
        <v>662</v>
      </c>
      <c r="I1378" t="s">
        <v>2271</v>
      </c>
      <c r="J1378">
        <v>500000</v>
      </c>
      <c r="K1378">
        <v>2025</v>
      </c>
      <c r="L1378">
        <v>1000536207</v>
      </c>
      <c r="M1378" t="s">
        <v>3938</v>
      </c>
      <c r="N1378" t="s">
        <v>1688</v>
      </c>
      <c r="O1378" t="s">
        <v>1686</v>
      </c>
      <c r="P1378">
        <v>0</v>
      </c>
      <c r="Q1378">
        <v>500000</v>
      </c>
      <c r="R1378">
        <v>0</v>
      </c>
      <c r="S1378">
        <v>0</v>
      </c>
      <c r="T1378" t="str">
        <f t="shared" si="42"/>
        <v>8712.43.4302.85.0-205128.2.3.3.08.06.</v>
      </c>
      <c r="U1378" t="e" cm="1">
        <f t="array" aca="1" ref="U1378" ca="1">+IF(COMPROMISOS_2025[[#This Row],[P]]="20","41080111",_xlfn.XLOOKUP(COMPROMISOS_2025[[#This Row],[concatenado]],PAA[[#All],[RCP-RUBRO]],PAA[[#All],[INDICADOR]],"",0))</f>
        <v>#NAME?</v>
      </c>
      <c r="V1378" s="144" t="str">
        <f t="shared" si="43"/>
        <v>85</v>
      </c>
      <c r="W1378" s="136">
        <f>+COMPROMISOS_2025[[#This Row],[valor_total]]-COMPROMISOS_2025[[#This Row],[total_cancelado]]</f>
        <v>500000</v>
      </c>
      <c r="X1378" s="136">
        <f>COMPROMISOS_2025[[#This Row],[total_ordenes]]</f>
        <v>500000</v>
      </c>
      <c r="Y1378" t="str" cm="1">
        <f t="array" aca="1" ref="Y1378" ca="1">IFERROR(_xlfn.XLOOKUP(COMPROMISOS_2025[[#This Row],[concatenado]],PAA[[#All],[RCP-RUBRO]],PAA[[#All],[Actividad3]],VLOOKUP(COMPROMISOS_2025[[#This Row],[Indicador Principal]],$AC$2:$AD$17,2,0),0),"")</f>
        <v/>
      </c>
    </row>
    <row r="1379" spans="1:25" hidden="1" x14ac:dyDescent="0.25">
      <c r="A1379">
        <v>872</v>
      </c>
      <c r="B1379" t="s">
        <v>4164</v>
      </c>
      <c r="C1379" t="s">
        <v>1936</v>
      </c>
      <c r="D1379" t="s">
        <v>4165</v>
      </c>
      <c r="F1379">
        <v>359</v>
      </c>
      <c r="G1379">
        <v>65</v>
      </c>
      <c r="H1379" t="s">
        <v>662</v>
      </c>
      <c r="I1379" t="s">
        <v>2271</v>
      </c>
      <c r="J1379">
        <v>500000</v>
      </c>
      <c r="K1379">
        <v>2025</v>
      </c>
      <c r="L1379">
        <v>1000537394</v>
      </c>
      <c r="M1379" t="s">
        <v>3939</v>
      </c>
      <c r="N1379" t="s">
        <v>1688</v>
      </c>
      <c r="O1379" t="s">
        <v>1686</v>
      </c>
      <c r="P1379">
        <v>0</v>
      </c>
      <c r="Q1379">
        <v>500000</v>
      </c>
      <c r="R1379">
        <v>0</v>
      </c>
      <c r="S1379">
        <v>0</v>
      </c>
      <c r="T1379" t="str">
        <f t="shared" si="42"/>
        <v>8722.43.4302.85.0-205128.2.3.3.08.06.</v>
      </c>
      <c r="U1379" t="e" cm="1">
        <f t="array" aca="1" ref="U1379" ca="1">+IF(COMPROMISOS_2025[[#This Row],[P]]="20","41080111",_xlfn.XLOOKUP(COMPROMISOS_2025[[#This Row],[concatenado]],PAA[[#All],[RCP-RUBRO]],PAA[[#All],[INDICADOR]],"",0))</f>
        <v>#NAME?</v>
      </c>
      <c r="V1379" s="144" t="str">
        <f t="shared" si="43"/>
        <v>85</v>
      </c>
      <c r="W1379" s="136">
        <f>+COMPROMISOS_2025[[#This Row],[valor_total]]-COMPROMISOS_2025[[#This Row],[total_cancelado]]</f>
        <v>500000</v>
      </c>
      <c r="X1379" s="136">
        <f>COMPROMISOS_2025[[#This Row],[total_ordenes]]</f>
        <v>500000</v>
      </c>
      <c r="Y1379" t="str" cm="1">
        <f t="array" aca="1" ref="Y1379" ca="1">IFERROR(_xlfn.XLOOKUP(COMPROMISOS_2025[[#This Row],[concatenado]],PAA[[#All],[RCP-RUBRO]],PAA[[#All],[Actividad3]],VLOOKUP(COMPROMISOS_2025[[#This Row],[Indicador Principal]],$AC$2:$AD$17,2,0),0),"")</f>
        <v/>
      </c>
    </row>
    <row r="1380" spans="1:25" hidden="1" x14ac:dyDescent="0.25">
      <c r="A1380">
        <v>873</v>
      </c>
      <c r="B1380" t="s">
        <v>4164</v>
      </c>
      <c r="C1380" t="s">
        <v>1936</v>
      </c>
      <c r="D1380" t="s">
        <v>4165</v>
      </c>
      <c r="F1380">
        <v>359</v>
      </c>
      <c r="G1380">
        <v>65</v>
      </c>
      <c r="H1380" t="s">
        <v>662</v>
      </c>
      <c r="I1380" t="s">
        <v>2271</v>
      </c>
      <c r="J1380">
        <v>500000</v>
      </c>
      <c r="K1380">
        <v>2025</v>
      </c>
      <c r="L1380">
        <v>1000566220</v>
      </c>
      <c r="M1380" t="s">
        <v>3589</v>
      </c>
      <c r="N1380" t="s">
        <v>1688</v>
      </c>
      <c r="O1380" t="s">
        <v>1686</v>
      </c>
      <c r="P1380">
        <v>0</v>
      </c>
      <c r="Q1380">
        <v>500000</v>
      </c>
      <c r="R1380">
        <v>0</v>
      </c>
      <c r="S1380">
        <v>0</v>
      </c>
      <c r="T1380" t="str">
        <f t="shared" si="42"/>
        <v>8732.43.4302.85.0-205128.2.3.3.08.06.</v>
      </c>
      <c r="U1380" t="e" cm="1">
        <f t="array" aca="1" ref="U1380" ca="1">+IF(COMPROMISOS_2025[[#This Row],[P]]="20","41080111",_xlfn.XLOOKUP(COMPROMISOS_2025[[#This Row],[concatenado]],PAA[[#All],[RCP-RUBRO]],PAA[[#All],[INDICADOR]],"",0))</f>
        <v>#NAME?</v>
      </c>
      <c r="V1380" s="144" t="str">
        <f t="shared" si="43"/>
        <v>85</v>
      </c>
      <c r="W1380" s="136">
        <f>+COMPROMISOS_2025[[#This Row],[valor_total]]-COMPROMISOS_2025[[#This Row],[total_cancelado]]</f>
        <v>500000</v>
      </c>
      <c r="X1380" s="136">
        <f>COMPROMISOS_2025[[#This Row],[total_ordenes]]</f>
        <v>500000</v>
      </c>
      <c r="Y1380" t="str" cm="1">
        <f t="array" aca="1" ref="Y1380" ca="1">IFERROR(_xlfn.XLOOKUP(COMPROMISOS_2025[[#This Row],[concatenado]],PAA[[#All],[RCP-RUBRO]],PAA[[#All],[Actividad3]],VLOOKUP(COMPROMISOS_2025[[#This Row],[Indicador Principal]],$AC$2:$AD$17,2,0),0),"")</f>
        <v/>
      </c>
    </row>
    <row r="1381" spans="1:25" hidden="1" x14ac:dyDescent="0.25">
      <c r="A1381">
        <v>874</v>
      </c>
      <c r="B1381" t="s">
        <v>4164</v>
      </c>
      <c r="C1381" t="s">
        <v>1936</v>
      </c>
      <c r="D1381" t="s">
        <v>4165</v>
      </c>
      <c r="F1381">
        <v>359</v>
      </c>
      <c r="G1381">
        <v>65</v>
      </c>
      <c r="H1381" t="s">
        <v>662</v>
      </c>
      <c r="I1381" t="s">
        <v>2271</v>
      </c>
      <c r="J1381">
        <v>1300000</v>
      </c>
      <c r="K1381">
        <v>2025</v>
      </c>
      <c r="L1381">
        <v>1000635560</v>
      </c>
      <c r="M1381" t="s">
        <v>3940</v>
      </c>
      <c r="N1381" t="s">
        <v>1688</v>
      </c>
      <c r="O1381" t="s">
        <v>1686</v>
      </c>
      <c r="P1381">
        <v>0</v>
      </c>
      <c r="Q1381">
        <v>1300000</v>
      </c>
      <c r="R1381">
        <v>0</v>
      </c>
      <c r="S1381">
        <v>0</v>
      </c>
      <c r="T1381" t="str">
        <f t="shared" si="42"/>
        <v>8742.43.4302.85.0-205128.2.3.3.08.06.</v>
      </c>
      <c r="U1381" t="e" cm="1">
        <f t="array" aca="1" ref="U1381" ca="1">+IF(COMPROMISOS_2025[[#This Row],[P]]="20","41080111",_xlfn.XLOOKUP(COMPROMISOS_2025[[#This Row],[concatenado]],PAA[[#All],[RCP-RUBRO]],PAA[[#All],[INDICADOR]],"",0))</f>
        <v>#NAME?</v>
      </c>
      <c r="V1381" s="144" t="str">
        <f t="shared" si="43"/>
        <v>85</v>
      </c>
      <c r="W1381" s="136">
        <f>+COMPROMISOS_2025[[#This Row],[valor_total]]-COMPROMISOS_2025[[#This Row],[total_cancelado]]</f>
        <v>1300000</v>
      </c>
      <c r="X1381" s="136">
        <f>COMPROMISOS_2025[[#This Row],[total_ordenes]]</f>
        <v>1300000</v>
      </c>
      <c r="Y1381" t="str" cm="1">
        <f t="array" aca="1" ref="Y1381" ca="1">IFERROR(_xlfn.XLOOKUP(COMPROMISOS_2025[[#This Row],[concatenado]],PAA[[#All],[RCP-RUBRO]],PAA[[#All],[Actividad3]],VLOOKUP(COMPROMISOS_2025[[#This Row],[Indicador Principal]],$AC$2:$AD$17,2,0),0),"")</f>
        <v/>
      </c>
    </row>
    <row r="1382" spans="1:25" hidden="1" x14ac:dyDescent="0.25">
      <c r="A1382">
        <v>875</v>
      </c>
      <c r="B1382" t="s">
        <v>4164</v>
      </c>
      <c r="C1382" t="s">
        <v>1936</v>
      </c>
      <c r="D1382" t="s">
        <v>4165</v>
      </c>
      <c r="F1382">
        <v>359</v>
      </c>
      <c r="G1382">
        <v>65</v>
      </c>
      <c r="H1382" t="s">
        <v>662</v>
      </c>
      <c r="I1382" t="s">
        <v>2271</v>
      </c>
      <c r="J1382">
        <v>500000</v>
      </c>
      <c r="K1382">
        <v>2025</v>
      </c>
      <c r="L1382">
        <v>1000636654</v>
      </c>
      <c r="M1382" t="s">
        <v>3941</v>
      </c>
      <c r="N1382" t="s">
        <v>1688</v>
      </c>
      <c r="O1382" t="s">
        <v>1686</v>
      </c>
      <c r="P1382">
        <v>0</v>
      </c>
      <c r="Q1382">
        <v>500000</v>
      </c>
      <c r="R1382">
        <v>0</v>
      </c>
      <c r="S1382">
        <v>0</v>
      </c>
      <c r="T1382" t="str">
        <f t="shared" si="42"/>
        <v>8752.43.4302.85.0-205128.2.3.3.08.06.</v>
      </c>
      <c r="U1382" t="e" cm="1">
        <f t="array" aca="1" ref="U1382" ca="1">+IF(COMPROMISOS_2025[[#This Row],[P]]="20","41080111",_xlfn.XLOOKUP(COMPROMISOS_2025[[#This Row],[concatenado]],PAA[[#All],[RCP-RUBRO]],PAA[[#All],[INDICADOR]],"",0))</f>
        <v>#NAME?</v>
      </c>
      <c r="V1382" s="144" t="str">
        <f t="shared" si="43"/>
        <v>85</v>
      </c>
      <c r="W1382" s="136">
        <f>+COMPROMISOS_2025[[#This Row],[valor_total]]-COMPROMISOS_2025[[#This Row],[total_cancelado]]</f>
        <v>500000</v>
      </c>
      <c r="X1382" s="136">
        <f>COMPROMISOS_2025[[#This Row],[total_ordenes]]</f>
        <v>500000</v>
      </c>
      <c r="Y1382" t="str" cm="1">
        <f t="array" aca="1" ref="Y1382" ca="1">IFERROR(_xlfn.XLOOKUP(COMPROMISOS_2025[[#This Row],[concatenado]],PAA[[#All],[RCP-RUBRO]],PAA[[#All],[Actividad3]],VLOOKUP(COMPROMISOS_2025[[#This Row],[Indicador Principal]],$AC$2:$AD$17,2,0),0),"")</f>
        <v/>
      </c>
    </row>
    <row r="1383" spans="1:25" hidden="1" x14ac:dyDescent="0.25">
      <c r="A1383">
        <v>876</v>
      </c>
      <c r="B1383" t="s">
        <v>4164</v>
      </c>
      <c r="C1383" t="s">
        <v>1936</v>
      </c>
      <c r="D1383" t="s">
        <v>4165</v>
      </c>
      <c r="F1383">
        <v>359</v>
      </c>
      <c r="G1383">
        <v>65</v>
      </c>
      <c r="H1383" t="s">
        <v>662</v>
      </c>
      <c r="I1383" t="s">
        <v>2271</v>
      </c>
      <c r="J1383">
        <v>500000</v>
      </c>
      <c r="K1383">
        <v>2025</v>
      </c>
      <c r="L1383">
        <v>1000660216</v>
      </c>
      <c r="M1383" t="s">
        <v>3942</v>
      </c>
      <c r="N1383" t="s">
        <v>1688</v>
      </c>
      <c r="O1383" t="s">
        <v>1686</v>
      </c>
      <c r="P1383">
        <v>0</v>
      </c>
      <c r="Q1383">
        <v>500000</v>
      </c>
      <c r="R1383">
        <v>0</v>
      </c>
      <c r="S1383">
        <v>0</v>
      </c>
      <c r="T1383" t="str">
        <f t="shared" si="42"/>
        <v>8762.43.4302.85.0-205128.2.3.3.08.06.</v>
      </c>
      <c r="U1383" t="e" cm="1">
        <f t="array" aca="1" ref="U1383" ca="1">+IF(COMPROMISOS_2025[[#This Row],[P]]="20","41080111",_xlfn.XLOOKUP(COMPROMISOS_2025[[#This Row],[concatenado]],PAA[[#All],[RCP-RUBRO]],PAA[[#All],[INDICADOR]],"",0))</f>
        <v>#NAME?</v>
      </c>
      <c r="V1383" s="144" t="str">
        <f t="shared" si="43"/>
        <v>85</v>
      </c>
      <c r="W1383" s="136">
        <f>+COMPROMISOS_2025[[#This Row],[valor_total]]-COMPROMISOS_2025[[#This Row],[total_cancelado]]</f>
        <v>500000</v>
      </c>
      <c r="X1383" s="136">
        <f>COMPROMISOS_2025[[#This Row],[total_ordenes]]</f>
        <v>500000</v>
      </c>
      <c r="Y1383" t="str" cm="1">
        <f t="array" aca="1" ref="Y1383" ca="1">IFERROR(_xlfn.XLOOKUP(COMPROMISOS_2025[[#This Row],[concatenado]],PAA[[#All],[RCP-RUBRO]],PAA[[#All],[Actividad3]],VLOOKUP(COMPROMISOS_2025[[#This Row],[Indicador Principal]],$AC$2:$AD$17,2,0),0),"")</f>
        <v/>
      </c>
    </row>
    <row r="1384" spans="1:25" hidden="1" x14ac:dyDescent="0.25">
      <c r="A1384">
        <v>877</v>
      </c>
      <c r="B1384" t="s">
        <v>4164</v>
      </c>
      <c r="C1384" t="s">
        <v>1936</v>
      </c>
      <c r="D1384" t="s">
        <v>4165</v>
      </c>
      <c r="F1384">
        <v>359</v>
      </c>
      <c r="G1384">
        <v>65</v>
      </c>
      <c r="H1384" t="s">
        <v>662</v>
      </c>
      <c r="I1384" t="s">
        <v>2271</v>
      </c>
      <c r="J1384">
        <v>500000</v>
      </c>
      <c r="K1384">
        <v>2025</v>
      </c>
      <c r="L1384">
        <v>1000764194</v>
      </c>
      <c r="M1384" t="s">
        <v>3943</v>
      </c>
      <c r="N1384" t="s">
        <v>1688</v>
      </c>
      <c r="O1384" t="s">
        <v>1686</v>
      </c>
      <c r="P1384">
        <v>0</v>
      </c>
      <c r="Q1384">
        <v>500000</v>
      </c>
      <c r="R1384">
        <v>0</v>
      </c>
      <c r="S1384">
        <v>0</v>
      </c>
      <c r="T1384" t="str">
        <f t="shared" si="42"/>
        <v>8772.43.4302.85.0-205128.2.3.3.08.06.</v>
      </c>
      <c r="U1384" t="e" cm="1">
        <f t="array" aca="1" ref="U1384" ca="1">+IF(COMPROMISOS_2025[[#This Row],[P]]="20","41080111",_xlfn.XLOOKUP(COMPROMISOS_2025[[#This Row],[concatenado]],PAA[[#All],[RCP-RUBRO]],PAA[[#All],[INDICADOR]],"",0))</f>
        <v>#NAME?</v>
      </c>
      <c r="V1384" s="144" t="str">
        <f t="shared" si="43"/>
        <v>85</v>
      </c>
      <c r="W1384" s="136">
        <f>+COMPROMISOS_2025[[#This Row],[valor_total]]-COMPROMISOS_2025[[#This Row],[total_cancelado]]</f>
        <v>500000</v>
      </c>
      <c r="X1384" s="136">
        <f>COMPROMISOS_2025[[#This Row],[total_ordenes]]</f>
        <v>500000</v>
      </c>
      <c r="Y1384" t="str" cm="1">
        <f t="array" aca="1" ref="Y1384" ca="1">IFERROR(_xlfn.XLOOKUP(COMPROMISOS_2025[[#This Row],[concatenado]],PAA[[#All],[RCP-RUBRO]],PAA[[#All],[Actividad3]],VLOOKUP(COMPROMISOS_2025[[#This Row],[Indicador Principal]],$AC$2:$AD$17,2,0),0),"")</f>
        <v/>
      </c>
    </row>
    <row r="1385" spans="1:25" hidden="1" x14ac:dyDescent="0.25">
      <c r="A1385">
        <v>878</v>
      </c>
      <c r="B1385" t="s">
        <v>4164</v>
      </c>
      <c r="C1385" t="s">
        <v>1936</v>
      </c>
      <c r="D1385" t="s">
        <v>4165</v>
      </c>
      <c r="F1385">
        <v>359</v>
      </c>
      <c r="G1385">
        <v>65</v>
      </c>
      <c r="H1385" t="s">
        <v>662</v>
      </c>
      <c r="I1385" t="s">
        <v>2271</v>
      </c>
      <c r="J1385">
        <v>500000</v>
      </c>
      <c r="K1385">
        <v>2025</v>
      </c>
      <c r="L1385">
        <v>1000870038</v>
      </c>
      <c r="M1385" t="s">
        <v>3593</v>
      </c>
      <c r="N1385" t="s">
        <v>1688</v>
      </c>
      <c r="O1385" t="s">
        <v>1686</v>
      </c>
      <c r="P1385">
        <v>0</v>
      </c>
      <c r="Q1385">
        <v>500000</v>
      </c>
      <c r="R1385">
        <v>0</v>
      </c>
      <c r="S1385">
        <v>0</v>
      </c>
      <c r="T1385" t="str">
        <f t="shared" si="42"/>
        <v>8782.43.4302.85.0-205128.2.3.3.08.06.</v>
      </c>
      <c r="U1385" t="e" cm="1">
        <f t="array" aca="1" ref="U1385" ca="1">+IF(COMPROMISOS_2025[[#This Row],[P]]="20","41080111",_xlfn.XLOOKUP(COMPROMISOS_2025[[#This Row],[concatenado]],PAA[[#All],[RCP-RUBRO]],PAA[[#All],[INDICADOR]],"",0))</f>
        <v>#NAME?</v>
      </c>
      <c r="V1385" s="144" t="str">
        <f t="shared" si="43"/>
        <v>85</v>
      </c>
      <c r="W1385" s="136">
        <f>+COMPROMISOS_2025[[#This Row],[valor_total]]-COMPROMISOS_2025[[#This Row],[total_cancelado]]</f>
        <v>500000</v>
      </c>
      <c r="X1385" s="136">
        <f>COMPROMISOS_2025[[#This Row],[total_ordenes]]</f>
        <v>500000</v>
      </c>
      <c r="Y1385" t="str" cm="1">
        <f t="array" aca="1" ref="Y1385" ca="1">IFERROR(_xlfn.XLOOKUP(COMPROMISOS_2025[[#This Row],[concatenado]],PAA[[#All],[RCP-RUBRO]],PAA[[#All],[Actividad3]],VLOOKUP(COMPROMISOS_2025[[#This Row],[Indicador Principal]],$AC$2:$AD$17,2,0),0),"")</f>
        <v/>
      </c>
    </row>
    <row r="1386" spans="1:25" hidden="1" x14ac:dyDescent="0.25">
      <c r="A1386">
        <v>879</v>
      </c>
      <c r="B1386" t="s">
        <v>4164</v>
      </c>
      <c r="C1386" t="s">
        <v>1936</v>
      </c>
      <c r="D1386" t="s">
        <v>4165</v>
      </c>
      <c r="F1386">
        <v>359</v>
      </c>
      <c r="G1386">
        <v>65</v>
      </c>
      <c r="H1386" t="s">
        <v>662</v>
      </c>
      <c r="I1386" t="s">
        <v>2271</v>
      </c>
      <c r="J1386">
        <v>500000</v>
      </c>
      <c r="K1386">
        <v>2025</v>
      </c>
      <c r="L1386">
        <v>1000874985</v>
      </c>
      <c r="M1386" t="s">
        <v>3944</v>
      </c>
      <c r="N1386" t="s">
        <v>1688</v>
      </c>
      <c r="O1386" t="s">
        <v>1686</v>
      </c>
      <c r="P1386">
        <v>0</v>
      </c>
      <c r="Q1386">
        <v>500000</v>
      </c>
      <c r="R1386">
        <v>0</v>
      </c>
      <c r="S1386">
        <v>0</v>
      </c>
      <c r="T1386" t="str">
        <f t="shared" si="42"/>
        <v>8792.43.4302.85.0-205128.2.3.3.08.06.</v>
      </c>
      <c r="U1386" t="e" cm="1">
        <f t="array" aca="1" ref="U1386" ca="1">+IF(COMPROMISOS_2025[[#This Row],[P]]="20","41080111",_xlfn.XLOOKUP(COMPROMISOS_2025[[#This Row],[concatenado]],PAA[[#All],[RCP-RUBRO]],PAA[[#All],[INDICADOR]],"",0))</f>
        <v>#NAME?</v>
      </c>
      <c r="V1386" s="144" t="str">
        <f t="shared" si="43"/>
        <v>85</v>
      </c>
      <c r="W1386" s="136">
        <f>+COMPROMISOS_2025[[#This Row],[valor_total]]-COMPROMISOS_2025[[#This Row],[total_cancelado]]</f>
        <v>500000</v>
      </c>
      <c r="X1386" s="136">
        <f>COMPROMISOS_2025[[#This Row],[total_ordenes]]</f>
        <v>500000</v>
      </c>
      <c r="Y1386" t="str" cm="1">
        <f t="array" aca="1" ref="Y1386" ca="1">IFERROR(_xlfn.XLOOKUP(COMPROMISOS_2025[[#This Row],[concatenado]],PAA[[#All],[RCP-RUBRO]],PAA[[#All],[Actividad3]],VLOOKUP(COMPROMISOS_2025[[#This Row],[Indicador Principal]],$AC$2:$AD$17,2,0),0),"")</f>
        <v/>
      </c>
    </row>
    <row r="1387" spans="1:25" hidden="1" x14ac:dyDescent="0.25">
      <c r="A1387">
        <v>880</v>
      </c>
      <c r="B1387" t="s">
        <v>4164</v>
      </c>
      <c r="C1387" t="s">
        <v>1936</v>
      </c>
      <c r="D1387" t="s">
        <v>4165</v>
      </c>
      <c r="F1387">
        <v>359</v>
      </c>
      <c r="G1387">
        <v>65</v>
      </c>
      <c r="H1387" t="s">
        <v>662</v>
      </c>
      <c r="I1387" t="s">
        <v>2271</v>
      </c>
      <c r="J1387">
        <v>500000</v>
      </c>
      <c r="K1387">
        <v>2025</v>
      </c>
      <c r="L1387">
        <v>1000884322</v>
      </c>
      <c r="M1387" t="s">
        <v>3945</v>
      </c>
      <c r="N1387" t="s">
        <v>1688</v>
      </c>
      <c r="O1387" t="s">
        <v>1686</v>
      </c>
      <c r="P1387">
        <v>0</v>
      </c>
      <c r="Q1387">
        <v>500000</v>
      </c>
      <c r="R1387">
        <v>0</v>
      </c>
      <c r="S1387">
        <v>0</v>
      </c>
      <c r="T1387" t="str">
        <f t="shared" si="42"/>
        <v>8802.43.4302.85.0-205128.2.3.3.08.06.</v>
      </c>
      <c r="U1387" t="e" cm="1">
        <f t="array" aca="1" ref="U1387" ca="1">+IF(COMPROMISOS_2025[[#This Row],[P]]="20","41080111",_xlfn.XLOOKUP(COMPROMISOS_2025[[#This Row],[concatenado]],PAA[[#All],[RCP-RUBRO]],PAA[[#All],[INDICADOR]],"",0))</f>
        <v>#NAME?</v>
      </c>
      <c r="V1387" s="144" t="str">
        <f t="shared" si="43"/>
        <v>85</v>
      </c>
      <c r="W1387" s="136">
        <f>+COMPROMISOS_2025[[#This Row],[valor_total]]-COMPROMISOS_2025[[#This Row],[total_cancelado]]</f>
        <v>500000</v>
      </c>
      <c r="X1387" s="136">
        <f>COMPROMISOS_2025[[#This Row],[total_ordenes]]</f>
        <v>500000</v>
      </c>
      <c r="Y1387" t="str" cm="1">
        <f t="array" aca="1" ref="Y1387" ca="1">IFERROR(_xlfn.XLOOKUP(COMPROMISOS_2025[[#This Row],[concatenado]],PAA[[#All],[RCP-RUBRO]],PAA[[#All],[Actividad3]],VLOOKUP(COMPROMISOS_2025[[#This Row],[Indicador Principal]],$AC$2:$AD$17,2,0),0),"")</f>
        <v/>
      </c>
    </row>
    <row r="1388" spans="1:25" hidden="1" x14ac:dyDescent="0.25">
      <c r="A1388">
        <v>881</v>
      </c>
      <c r="B1388" t="s">
        <v>4164</v>
      </c>
      <c r="C1388" t="s">
        <v>1936</v>
      </c>
      <c r="D1388" t="s">
        <v>4165</v>
      </c>
      <c r="F1388">
        <v>359</v>
      </c>
      <c r="G1388">
        <v>65</v>
      </c>
      <c r="H1388" t="s">
        <v>662</v>
      </c>
      <c r="I1388" t="s">
        <v>2271</v>
      </c>
      <c r="J1388">
        <v>500000</v>
      </c>
      <c r="K1388">
        <v>2025</v>
      </c>
      <c r="L1388">
        <v>1000888639</v>
      </c>
      <c r="M1388" t="s">
        <v>3946</v>
      </c>
      <c r="N1388" t="s">
        <v>1688</v>
      </c>
      <c r="O1388" t="s">
        <v>1686</v>
      </c>
      <c r="P1388">
        <v>0</v>
      </c>
      <c r="Q1388">
        <v>500000</v>
      </c>
      <c r="R1388">
        <v>0</v>
      </c>
      <c r="S1388">
        <v>0</v>
      </c>
      <c r="T1388" t="str">
        <f t="shared" si="42"/>
        <v>8812.43.4302.85.0-205128.2.3.3.08.06.</v>
      </c>
      <c r="U1388" t="e" cm="1">
        <f t="array" aca="1" ref="U1388" ca="1">+IF(COMPROMISOS_2025[[#This Row],[P]]="20","41080111",_xlfn.XLOOKUP(COMPROMISOS_2025[[#This Row],[concatenado]],PAA[[#All],[RCP-RUBRO]],PAA[[#All],[INDICADOR]],"",0))</f>
        <v>#NAME?</v>
      </c>
      <c r="V1388" s="144" t="str">
        <f t="shared" si="43"/>
        <v>85</v>
      </c>
      <c r="W1388" s="136">
        <f>+COMPROMISOS_2025[[#This Row],[valor_total]]-COMPROMISOS_2025[[#This Row],[total_cancelado]]</f>
        <v>500000</v>
      </c>
      <c r="X1388" s="136">
        <f>COMPROMISOS_2025[[#This Row],[total_ordenes]]</f>
        <v>500000</v>
      </c>
      <c r="Y1388" t="str" cm="1">
        <f t="array" aca="1" ref="Y1388" ca="1">IFERROR(_xlfn.XLOOKUP(COMPROMISOS_2025[[#This Row],[concatenado]],PAA[[#All],[RCP-RUBRO]],PAA[[#All],[Actividad3]],VLOOKUP(COMPROMISOS_2025[[#This Row],[Indicador Principal]],$AC$2:$AD$17,2,0),0),"")</f>
        <v/>
      </c>
    </row>
    <row r="1389" spans="1:25" hidden="1" x14ac:dyDescent="0.25">
      <c r="A1389">
        <v>882</v>
      </c>
      <c r="B1389" t="s">
        <v>4164</v>
      </c>
      <c r="C1389" t="s">
        <v>1936</v>
      </c>
      <c r="D1389" t="s">
        <v>4165</v>
      </c>
      <c r="F1389">
        <v>359</v>
      </c>
      <c r="G1389">
        <v>65</v>
      </c>
      <c r="H1389" t="s">
        <v>662</v>
      </c>
      <c r="I1389" t="s">
        <v>2271</v>
      </c>
      <c r="J1389">
        <v>500000</v>
      </c>
      <c r="K1389">
        <v>2025</v>
      </c>
      <c r="L1389">
        <v>1000894273</v>
      </c>
      <c r="M1389" t="s">
        <v>3947</v>
      </c>
      <c r="N1389" t="s">
        <v>1688</v>
      </c>
      <c r="O1389" t="s">
        <v>1686</v>
      </c>
      <c r="P1389">
        <v>0</v>
      </c>
      <c r="Q1389">
        <v>500000</v>
      </c>
      <c r="R1389">
        <v>0</v>
      </c>
      <c r="S1389">
        <v>0</v>
      </c>
      <c r="T1389" t="str">
        <f t="shared" si="42"/>
        <v>8822.43.4302.85.0-205128.2.3.3.08.06.</v>
      </c>
      <c r="U1389" t="e" cm="1">
        <f t="array" aca="1" ref="U1389" ca="1">+IF(COMPROMISOS_2025[[#This Row],[P]]="20","41080111",_xlfn.XLOOKUP(COMPROMISOS_2025[[#This Row],[concatenado]],PAA[[#All],[RCP-RUBRO]],PAA[[#All],[INDICADOR]],"",0))</f>
        <v>#NAME?</v>
      </c>
      <c r="V1389" s="144" t="str">
        <f t="shared" si="43"/>
        <v>85</v>
      </c>
      <c r="W1389" s="136">
        <f>+COMPROMISOS_2025[[#This Row],[valor_total]]-COMPROMISOS_2025[[#This Row],[total_cancelado]]</f>
        <v>500000</v>
      </c>
      <c r="X1389" s="136">
        <f>COMPROMISOS_2025[[#This Row],[total_ordenes]]</f>
        <v>500000</v>
      </c>
      <c r="Y1389" t="str" cm="1">
        <f t="array" aca="1" ref="Y1389" ca="1">IFERROR(_xlfn.XLOOKUP(COMPROMISOS_2025[[#This Row],[concatenado]],PAA[[#All],[RCP-RUBRO]],PAA[[#All],[Actividad3]],VLOOKUP(COMPROMISOS_2025[[#This Row],[Indicador Principal]],$AC$2:$AD$17,2,0),0),"")</f>
        <v/>
      </c>
    </row>
    <row r="1390" spans="1:25" hidden="1" x14ac:dyDescent="0.25">
      <c r="A1390">
        <v>883</v>
      </c>
      <c r="B1390" t="s">
        <v>4164</v>
      </c>
      <c r="C1390" t="s">
        <v>1936</v>
      </c>
      <c r="D1390" t="s">
        <v>4165</v>
      </c>
      <c r="F1390">
        <v>359</v>
      </c>
      <c r="G1390">
        <v>65</v>
      </c>
      <c r="H1390" t="s">
        <v>662</v>
      </c>
      <c r="I1390" t="s">
        <v>2271</v>
      </c>
      <c r="J1390">
        <v>500000</v>
      </c>
      <c r="K1390">
        <v>2025</v>
      </c>
      <c r="L1390">
        <v>1000894492</v>
      </c>
      <c r="M1390" t="s">
        <v>3595</v>
      </c>
      <c r="N1390" t="s">
        <v>1688</v>
      </c>
      <c r="O1390" t="s">
        <v>1686</v>
      </c>
      <c r="P1390">
        <v>0</v>
      </c>
      <c r="Q1390">
        <v>500000</v>
      </c>
      <c r="R1390">
        <v>0</v>
      </c>
      <c r="S1390">
        <v>0</v>
      </c>
      <c r="T1390" t="str">
        <f t="shared" si="42"/>
        <v>8832.43.4302.85.0-205128.2.3.3.08.06.</v>
      </c>
      <c r="U1390" t="e" cm="1">
        <f t="array" aca="1" ref="U1390" ca="1">+IF(COMPROMISOS_2025[[#This Row],[P]]="20","41080111",_xlfn.XLOOKUP(COMPROMISOS_2025[[#This Row],[concatenado]],PAA[[#All],[RCP-RUBRO]],PAA[[#All],[INDICADOR]],"",0))</f>
        <v>#NAME?</v>
      </c>
      <c r="V1390" s="144" t="str">
        <f t="shared" si="43"/>
        <v>85</v>
      </c>
      <c r="W1390" s="136">
        <f>+COMPROMISOS_2025[[#This Row],[valor_total]]-COMPROMISOS_2025[[#This Row],[total_cancelado]]</f>
        <v>500000</v>
      </c>
      <c r="X1390" s="136">
        <f>COMPROMISOS_2025[[#This Row],[total_ordenes]]</f>
        <v>500000</v>
      </c>
      <c r="Y1390" t="str" cm="1">
        <f t="array" aca="1" ref="Y1390" ca="1">IFERROR(_xlfn.XLOOKUP(COMPROMISOS_2025[[#This Row],[concatenado]],PAA[[#All],[RCP-RUBRO]],PAA[[#All],[Actividad3]],VLOOKUP(COMPROMISOS_2025[[#This Row],[Indicador Principal]],$AC$2:$AD$17,2,0),0),"")</f>
        <v/>
      </c>
    </row>
    <row r="1391" spans="1:25" hidden="1" x14ac:dyDescent="0.25">
      <c r="A1391">
        <v>884</v>
      </c>
      <c r="B1391" t="s">
        <v>4164</v>
      </c>
      <c r="C1391" t="s">
        <v>1936</v>
      </c>
      <c r="D1391" t="s">
        <v>4165</v>
      </c>
      <c r="F1391">
        <v>359</v>
      </c>
      <c r="G1391">
        <v>65</v>
      </c>
      <c r="H1391" t="s">
        <v>662</v>
      </c>
      <c r="I1391" t="s">
        <v>2271</v>
      </c>
      <c r="J1391">
        <v>500000</v>
      </c>
      <c r="K1391">
        <v>2025</v>
      </c>
      <c r="L1391">
        <v>1000895492</v>
      </c>
      <c r="M1391" t="s">
        <v>3201</v>
      </c>
      <c r="N1391" t="s">
        <v>1688</v>
      </c>
      <c r="O1391" t="s">
        <v>1686</v>
      </c>
      <c r="P1391">
        <v>0</v>
      </c>
      <c r="Q1391">
        <v>500000</v>
      </c>
      <c r="R1391">
        <v>0</v>
      </c>
      <c r="S1391">
        <v>0</v>
      </c>
      <c r="T1391" t="str">
        <f t="shared" si="42"/>
        <v>8842.43.4302.85.0-205128.2.3.3.08.06.</v>
      </c>
      <c r="U1391" t="e" cm="1">
        <f t="array" aca="1" ref="U1391" ca="1">+IF(COMPROMISOS_2025[[#This Row],[P]]="20","41080111",_xlfn.XLOOKUP(COMPROMISOS_2025[[#This Row],[concatenado]],PAA[[#All],[RCP-RUBRO]],PAA[[#All],[INDICADOR]],"",0))</f>
        <v>#NAME?</v>
      </c>
      <c r="V1391" s="144" t="str">
        <f t="shared" si="43"/>
        <v>85</v>
      </c>
      <c r="W1391" s="136">
        <f>+COMPROMISOS_2025[[#This Row],[valor_total]]-COMPROMISOS_2025[[#This Row],[total_cancelado]]</f>
        <v>500000</v>
      </c>
      <c r="X1391" s="136">
        <f>COMPROMISOS_2025[[#This Row],[total_ordenes]]</f>
        <v>500000</v>
      </c>
      <c r="Y1391" t="str" cm="1">
        <f t="array" aca="1" ref="Y1391" ca="1">IFERROR(_xlfn.XLOOKUP(COMPROMISOS_2025[[#This Row],[concatenado]],PAA[[#All],[RCP-RUBRO]],PAA[[#All],[Actividad3]],VLOOKUP(COMPROMISOS_2025[[#This Row],[Indicador Principal]],$AC$2:$AD$17,2,0),0),"")</f>
        <v/>
      </c>
    </row>
    <row r="1392" spans="1:25" hidden="1" x14ac:dyDescent="0.25">
      <c r="A1392">
        <v>885</v>
      </c>
      <c r="B1392" t="s">
        <v>4164</v>
      </c>
      <c r="C1392" t="s">
        <v>1936</v>
      </c>
      <c r="D1392" t="s">
        <v>4165</v>
      </c>
      <c r="F1392">
        <v>359</v>
      </c>
      <c r="G1392">
        <v>65</v>
      </c>
      <c r="H1392" t="s">
        <v>662</v>
      </c>
      <c r="I1392" t="s">
        <v>2271</v>
      </c>
      <c r="J1392">
        <v>500000</v>
      </c>
      <c r="K1392">
        <v>2025</v>
      </c>
      <c r="L1392">
        <v>1000896704</v>
      </c>
      <c r="M1392" t="s">
        <v>3948</v>
      </c>
      <c r="N1392" t="s">
        <v>1688</v>
      </c>
      <c r="O1392" t="s">
        <v>1686</v>
      </c>
      <c r="P1392">
        <v>0</v>
      </c>
      <c r="Q1392">
        <v>500000</v>
      </c>
      <c r="R1392">
        <v>0</v>
      </c>
      <c r="S1392">
        <v>0</v>
      </c>
      <c r="T1392" t="str">
        <f t="shared" si="42"/>
        <v>8852.43.4302.85.0-205128.2.3.3.08.06.</v>
      </c>
      <c r="U1392" t="e" cm="1">
        <f t="array" aca="1" ref="U1392" ca="1">+IF(COMPROMISOS_2025[[#This Row],[P]]="20","41080111",_xlfn.XLOOKUP(COMPROMISOS_2025[[#This Row],[concatenado]],PAA[[#All],[RCP-RUBRO]],PAA[[#All],[INDICADOR]],"",0))</f>
        <v>#NAME?</v>
      </c>
      <c r="V1392" s="144" t="str">
        <f t="shared" si="43"/>
        <v>85</v>
      </c>
      <c r="W1392" s="136">
        <f>+COMPROMISOS_2025[[#This Row],[valor_total]]-COMPROMISOS_2025[[#This Row],[total_cancelado]]</f>
        <v>500000</v>
      </c>
      <c r="X1392" s="136">
        <f>COMPROMISOS_2025[[#This Row],[total_ordenes]]</f>
        <v>500000</v>
      </c>
      <c r="Y1392" t="str" cm="1">
        <f t="array" aca="1" ref="Y1392" ca="1">IFERROR(_xlfn.XLOOKUP(COMPROMISOS_2025[[#This Row],[concatenado]],PAA[[#All],[RCP-RUBRO]],PAA[[#All],[Actividad3]],VLOOKUP(COMPROMISOS_2025[[#This Row],[Indicador Principal]],$AC$2:$AD$17,2,0),0),"")</f>
        <v/>
      </c>
    </row>
    <row r="1393" spans="1:25" hidden="1" x14ac:dyDescent="0.25">
      <c r="A1393">
        <v>886</v>
      </c>
      <c r="B1393" t="s">
        <v>4164</v>
      </c>
      <c r="C1393" t="s">
        <v>1936</v>
      </c>
      <c r="D1393" t="s">
        <v>4165</v>
      </c>
      <c r="F1393">
        <v>359</v>
      </c>
      <c r="G1393">
        <v>65</v>
      </c>
      <c r="H1393" t="s">
        <v>662</v>
      </c>
      <c r="I1393" t="s">
        <v>2271</v>
      </c>
      <c r="J1393">
        <v>1300000</v>
      </c>
      <c r="K1393">
        <v>2025</v>
      </c>
      <c r="L1393">
        <v>1000921491</v>
      </c>
      <c r="M1393" t="s">
        <v>3949</v>
      </c>
      <c r="N1393" t="s">
        <v>1688</v>
      </c>
      <c r="O1393" t="s">
        <v>1686</v>
      </c>
      <c r="P1393">
        <v>0</v>
      </c>
      <c r="Q1393">
        <v>1300000</v>
      </c>
      <c r="R1393">
        <v>0</v>
      </c>
      <c r="S1393">
        <v>0</v>
      </c>
      <c r="T1393" t="str">
        <f t="shared" si="42"/>
        <v>8862.43.4302.85.0-205128.2.3.3.08.06.</v>
      </c>
      <c r="U1393" t="e" cm="1">
        <f t="array" aca="1" ref="U1393" ca="1">+IF(COMPROMISOS_2025[[#This Row],[P]]="20","41080111",_xlfn.XLOOKUP(COMPROMISOS_2025[[#This Row],[concatenado]],PAA[[#All],[RCP-RUBRO]],PAA[[#All],[INDICADOR]],"",0))</f>
        <v>#NAME?</v>
      </c>
      <c r="V1393" s="144" t="str">
        <f t="shared" si="43"/>
        <v>85</v>
      </c>
      <c r="W1393" s="136">
        <f>+COMPROMISOS_2025[[#This Row],[valor_total]]-COMPROMISOS_2025[[#This Row],[total_cancelado]]</f>
        <v>1300000</v>
      </c>
      <c r="X1393" s="136">
        <f>COMPROMISOS_2025[[#This Row],[total_ordenes]]</f>
        <v>1300000</v>
      </c>
      <c r="Y1393" t="str" cm="1">
        <f t="array" aca="1" ref="Y1393" ca="1">IFERROR(_xlfn.XLOOKUP(COMPROMISOS_2025[[#This Row],[concatenado]],PAA[[#All],[RCP-RUBRO]],PAA[[#All],[Actividad3]],VLOOKUP(COMPROMISOS_2025[[#This Row],[Indicador Principal]],$AC$2:$AD$17,2,0),0),"")</f>
        <v/>
      </c>
    </row>
    <row r="1394" spans="1:25" hidden="1" x14ac:dyDescent="0.25">
      <c r="A1394">
        <v>887</v>
      </c>
      <c r="B1394" t="s">
        <v>4164</v>
      </c>
      <c r="C1394" t="s">
        <v>1936</v>
      </c>
      <c r="D1394" t="s">
        <v>4165</v>
      </c>
      <c r="F1394">
        <v>359</v>
      </c>
      <c r="G1394">
        <v>65</v>
      </c>
      <c r="H1394" t="s">
        <v>662</v>
      </c>
      <c r="I1394" t="s">
        <v>2271</v>
      </c>
      <c r="J1394">
        <v>500000</v>
      </c>
      <c r="K1394">
        <v>2025</v>
      </c>
      <c r="L1394">
        <v>1000940142</v>
      </c>
      <c r="M1394" t="s">
        <v>3950</v>
      </c>
      <c r="N1394" t="s">
        <v>1688</v>
      </c>
      <c r="O1394" t="s">
        <v>1686</v>
      </c>
      <c r="P1394">
        <v>0</v>
      </c>
      <c r="Q1394">
        <v>500000</v>
      </c>
      <c r="R1394">
        <v>0</v>
      </c>
      <c r="S1394">
        <v>0</v>
      </c>
      <c r="T1394" t="str">
        <f t="shared" si="42"/>
        <v>8872.43.4302.85.0-205128.2.3.3.08.06.</v>
      </c>
      <c r="U1394" t="e" cm="1">
        <f t="array" aca="1" ref="U1394" ca="1">+IF(COMPROMISOS_2025[[#This Row],[P]]="20","41080111",_xlfn.XLOOKUP(COMPROMISOS_2025[[#This Row],[concatenado]],PAA[[#All],[RCP-RUBRO]],PAA[[#All],[INDICADOR]],"",0))</f>
        <v>#NAME?</v>
      </c>
      <c r="V1394" s="144" t="str">
        <f t="shared" si="43"/>
        <v>85</v>
      </c>
      <c r="W1394" s="136">
        <f>+COMPROMISOS_2025[[#This Row],[valor_total]]-COMPROMISOS_2025[[#This Row],[total_cancelado]]</f>
        <v>500000</v>
      </c>
      <c r="X1394" s="136">
        <f>COMPROMISOS_2025[[#This Row],[total_ordenes]]</f>
        <v>500000</v>
      </c>
      <c r="Y1394" t="str" cm="1">
        <f t="array" aca="1" ref="Y1394" ca="1">IFERROR(_xlfn.XLOOKUP(COMPROMISOS_2025[[#This Row],[concatenado]],PAA[[#All],[RCP-RUBRO]],PAA[[#All],[Actividad3]],VLOOKUP(COMPROMISOS_2025[[#This Row],[Indicador Principal]],$AC$2:$AD$17,2,0),0),"")</f>
        <v/>
      </c>
    </row>
    <row r="1395" spans="1:25" hidden="1" x14ac:dyDescent="0.25">
      <c r="A1395">
        <v>888</v>
      </c>
      <c r="B1395" t="s">
        <v>4164</v>
      </c>
      <c r="C1395" t="s">
        <v>1936</v>
      </c>
      <c r="D1395" t="s">
        <v>4165</v>
      </c>
      <c r="F1395">
        <v>359</v>
      </c>
      <c r="G1395">
        <v>65</v>
      </c>
      <c r="H1395" t="s">
        <v>662</v>
      </c>
      <c r="I1395" t="s">
        <v>2271</v>
      </c>
      <c r="J1395">
        <v>500000</v>
      </c>
      <c r="K1395">
        <v>2025</v>
      </c>
      <c r="L1395">
        <v>1001010896</v>
      </c>
      <c r="M1395" t="s">
        <v>3951</v>
      </c>
      <c r="N1395" t="s">
        <v>1688</v>
      </c>
      <c r="O1395" t="s">
        <v>1686</v>
      </c>
      <c r="P1395">
        <v>0</v>
      </c>
      <c r="Q1395">
        <v>500000</v>
      </c>
      <c r="R1395">
        <v>0</v>
      </c>
      <c r="S1395">
        <v>0</v>
      </c>
      <c r="T1395" t="str">
        <f t="shared" si="42"/>
        <v>8882.43.4302.85.0-205128.2.3.3.08.06.</v>
      </c>
      <c r="U1395" t="e" cm="1">
        <f t="array" aca="1" ref="U1395" ca="1">+IF(COMPROMISOS_2025[[#This Row],[P]]="20","41080111",_xlfn.XLOOKUP(COMPROMISOS_2025[[#This Row],[concatenado]],PAA[[#All],[RCP-RUBRO]],PAA[[#All],[INDICADOR]],"",0))</f>
        <v>#NAME?</v>
      </c>
      <c r="V1395" s="144" t="str">
        <f t="shared" si="43"/>
        <v>85</v>
      </c>
      <c r="W1395" s="136">
        <f>+COMPROMISOS_2025[[#This Row],[valor_total]]-COMPROMISOS_2025[[#This Row],[total_cancelado]]</f>
        <v>500000</v>
      </c>
      <c r="X1395" s="136">
        <f>COMPROMISOS_2025[[#This Row],[total_ordenes]]</f>
        <v>500000</v>
      </c>
      <c r="Y1395" t="str" cm="1">
        <f t="array" aca="1" ref="Y1395" ca="1">IFERROR(_xlfn.XLOOKUP(COMPROMISOS_2025[[#This Row],[concatenado]],PAA[[#All],[RCP-RUBRO]],PAA[[#All],[Actividad3]],VLOOKUP(COMPROMISOS_2025[[#This Row],[Indicador Principal]],$AC$2:$AD$17,2,0),0),"")</f>
        <v/>
      </c>
    </row>
    <row r="1396" spans="1:25" hidden="1" x14ac:dyDescent="0.25">
      <c r="A1396">
        <v>889</v>
      </c>
      <c r="B1396" t="s">
        <v>4164</v>
      </c>
      <c r="C1396" t="s">
        <v>1936</v>
      </c>
      <c r="D1396" t="s">
        <v>4165</v>
      </c>
      <c r="F1396">
        <v>359</v>
      </c>
      <c r="G1396">
        <v>65</v>
      </c>
      <c r="H1396" t="s">
        <v>662</v>
      </c>
      <c r="I1396" t="s">
        <v>2271</v>
      </c>
      <c r="J1396">
        <v>500000</v>
      </c>
      <c r="K1396">
        <v>2025</v>
      </c>
      <c r="L1396">
        <v>1001016039</v>
      </c>
      <c r="M1396" t="s">
        <v>3952</v>
      </c>
      <c r="N1396" t="s">
        <v>1688</v>
      </c>
      <c r="O1396" t="s">
        <v>1686</v>
      </c>
      <c r="P1396">
        <v>0</v>
      </c>
      <c r="Q1396">
        <v>500000</v>
      </c>
      <c r="R1396">
        <v>0</v>
      </c>
      <c r="S1396">
        <v>0</v>
      </c>
      <c r="T1396" t="str">
        <f t="shared" si="42"/>
        <v>8892.43.4302.85.0-205128.2.3.3.08.06.</v>
      </c>
      <c r="U1396" t="e" cm="1">
        <f t="array" aca="1" ref="U1396" ca="1">+IF(COMPROMISOS_2025[[#This Row],[P]]="20","41080111",_xlfn.XLOOKUP(COMPROMISOS_2025[[#This Row],[concatenado]],PAA[[#All],[RCP-RUBRO]],PAA[[#All],[INDICADOR]],"",0))</f>
        <v>#NAME?</v>
      </c>
      <c r="V1396" s="144" t="str">
        <f t="shared" si="43"/>
        <v>85</v>
      </c>
      <c r="W1396" s="136">
        <f>+COMPROMISOS_2025[[#This Row],[valor_total]]-COMPROMISOS_2025[[#This Row],[total_cancelado]]</f>
        <v>500000</v>
      </c>
      <c r="X1396" s="136">
        <f>COMPROMISOS_2025[[#This Row],[total_ordenes]]</f>
        <v>500000</v>
      </c>
      <c r="Y1396" t="str" cm="1">
        <f t="array" aca="1" ref="Y1396" ca="1">IFERROR(_xlfn.XLOOKUP(COMPROMISOS_2025[[#This Row],[concatenado]],PAA[[#All],[RCP-RUBRO]],PAA[[#All],[Actividad3]],VLOOKUP(COMPROMISOS_2025[[#This Row],[Indicador Principal]],$AC$2:$AD$17,2,0),0),"")</f>
        <v/>
      </c>
    </row>
    <row r="1397" spans="1:25" hidden="1" x14ac:dyDescent="0.25">
      <c r="A1397">
        <v>890</v>
      </c>
      <c r="B1397" t="s">
        <v>4164</v>
      </c>
      <c r="C1397" t="s">
        <v>1936</v>
      </c>
      <c r="D1397" t="s">
        <v>4165</v>
      </c>
      <c r="F1397">
        <v>359</v>
      </c>
      <c r="G1397">
        <v>65</v>
      </c>
      <c r="H1397" t="s">
        <v>662</v>
      </c>
      <c r="I1397" t="s">
        <v>2271</v>
      </c>
      <c r="J1397">
        <v>500000</v>
      </c>
      <c r="K1397">
        <v>2025</v>
      </c>
      <c r="L1397">
        <v>1001017616</v>
      </c>
      <c r="M1397" t="s">
        <v>3953</v>
      </c>
      <c r="N1397" t="s">
        <v>1688</v>
      </c>
      <c r="O1397" t="s">
        <v>1686</v>
      </c>
      <c r="P1397">
        <v>0</v>
      </c>
      <c r="Q1397">
        <v>500000</v>
      </c>
      <c r="R1397">
        <v>0</v>
      </c>
      <c r="S1397">
        <v>0</v>
      </c>
      <c r="T1397" t="str">
        <f t="shared" si="42"/>
        <v>8902.43.4302.85.0-205128.2.3.3.08.06.</v>
      </c>
      <c r="U1397" t="e" cm="1">
        <f t="array" aca="1" ref="U1397" ca="1">+IF(COMPROMISOS_2025[[#This Row],[P]]="20","41080111",_xlfn.XLOOKUP(COMPROMISOS_2025[[#This Row],[concatenado]],PAA[[#All],[RCP-RUBRO]],PAA[[#All],[INDICADOR]],"",0))</f>
        <v>#NAME?</v>
      </c>
      <c r="V1397" s="144" t="str">
        <f t="shared" si="43"/>
        <v>85</v>
      </c>
      <c r="W1397" s="136">
        <f>+COMPROMISOS_2025[[#This Row],[valor_total]]-COMPROMISOS_2025[[#This Row],[total_cancelado]]</f>
        <v>500000</v>
      </c>
      <c r="X1397" s="136">
        <f>COMPROMISOS_2025[[#This Row],[total_ordenes]]</f>
        <v>500000</v>
      </c>
      <c r="Y1397" t="str" cm="1">
        <f t="array" aca="1" ref="Y1397" ca="1">IFERROR(_xlfn.XLOOKUP(COMPROMISOS_2025[[#This Row],[concatenado]],PAA[[#All],[RCP-RUBRO]],PAA[[#All],[Actividad3]],VLOOKUP(COMPROMISOS_2025[[#This Row],[Indicador Principal]],$AC$2:$AD$17,2,0),0),"")</f>
        <v/>
      </c>
    </row>
    <row r="1398" spans="1:25" hidden="1" x14ac:dyDescent="0.25">
      <c r="A1398">
        <v>891</v>
      </c>
      <c r="B1398" t="s">
        <v>4164</v>
      </c>
      <c r="C1398" t="s">
        <v>1936</v>
      </c>
      <c r="D1398" t="s">
        <v>4165</v>
      </c>
      <c r="F1398">
        <v>359</v>
      </c>
      <c r="G1398">
        <v>65</v>
      </c>
      <c r="H1398" t="s">
        <v>662</v>
      </c>
      <c r="I1398" t="s">
        <v>2271</v>
      </c>
      <c r="J1398">
        <v>1300000</v>
      </c>
      <c r="K1398">
        <v>2025</v>
      </c>
      <c r="L1398">
        <v>1001021746</v>
      </c>
      <c r="M1398" t="s">
        <v>3954</v>
      </c>
      <c r="N1398" t="s">
        <v>1688</v>
      </c>
      <c r="O1398" t="s">
        <v>1686</v>
      </c>
      <c r="P1398">
        <v>0</v>
      </c>
      <c r="Q1398">
        <v>1300000</v>
      </c>
      <c r="R1398">
        <v>0</v>
      </c>
      <c r="S1398">
        <v>0</v>
      </c>
      <c r="T1398" t="str">
        <f t="shared" si="42"/>
        <v>8912.43.4302.85.0-205128.2.3.3.08.06.</v>
      </c>
      <c r="U1398" t="e" cm="1">
        <f t="array" aca="1" ref="U1398" ca="1">+IF(COMPROMISOS_2025[[#This Row],[P]]="20","41080111",_xlfn.XLOOKUP(COMPROMISOS_2025[[#This Row],[concatenado]],PAA[[#All],[RCP-RUBRO]],PAA[[#All],[INDICADOR]],"",0))</f>
        <v>#NAME?</v>
      </c>
      <c r="V1398" s="144" t="str">
        <f t="shared" si="43"/>
        <v>85</v>
      </c>
      <c r="W1398" s="136">
        <f>+COMPROMISOS_2025[[#This Row],[valor_total]]-COMPROMISOS_2025[[#This Row],[total_cancelado]]</f>
        <v>1300000</v>
      </c>
      <c r="X1398" s="136">
        <f>COMPROMISOS_2025[[#This Row],[total_ordenes]]</f>
        <v>1300000</v>
      </c>
      <c r="Y1398" t="str" cm="1">
        <f t="array" aca="1" ref="Y1398" ca="1">IFERROR(_xlfn.XLOOKUP(COMPROMISOS_2025[[#This Row],[concatenado]],PAA[[#All],[RCP-RUBRO]],PAA[[#All],[Actividad3]],VLOOKUP(COMPROMISOS_2025[[#This Row],[Indicador Principal]],$AC$2:$AD$17,2,0),0),"")</f>
        <v/>
      </c>
    </row>
    <row r="1399" spans="1:25" hidden="1" x14ac:dyDescent="0.25">
      <c r="A1399">
        <v>892</v>
      </c>
      <c r="B1399" t="s">
        <v>4164</v>
      </c>
      <c r="C1399" t="s">
        <v>1936</v>
      </c>
      <c r="D1399" t="s">
        <v>4165</v>
      </c>
      <c r="F1399">
        <v>359</v>
      </c>
      <c r="G1399">
        <v>65</v>
      </c>
      <c r="H1399" t="s">
        <v>662</v>
      </c>
      <c r="I1399" t="s">
        <v>2271</v>
      </c>
      <c r="J1399">
        <v>500000</v>
      </c>
      <c r="K1399">
        <v>2025</v>
      </c>
      <c r="L1399">
        <v>1001021775</v>
      </c>
      <c r="M1399" t="s">
        <v>3955</v>
      </c>
      <c r="N1399" t="s">
        <v>1688</v>
      </c>
      <c r="O1399" t="s">
        <v>1686</v>
      </c>
      <c r="P1399">
        <v>0</v>
      </c>
      <c r="Q1399">
        <v>500000</v>
      </c>
      <c r="R1399">
        <v>0</v>
      </c>
      <c r="S1399">
        <v>0</v>
      </c>
      <c r="T1399" t="str">
        <f t="shared" si="42"/>
        <v>8922.43.4302.85.0-205128.2.3.3.08.06.</v>
      </c>
      <c r="U1399" t="e" cm="1">
        <f t="array" aca="1" ref="U1399" ca="1">+IF(COMPROMISOS_2025[[#This Row],[P]]="20","41080111",_xlfn.XLOOKUP(COMPROMISOS_2025[[#This Row],[concatenado]],PAA[[#All],[RCP-RUBRO]],PAA[[#All],[INDICADOR]],"",0))</f>
        <v>#NAME?</v>
      </c>
      <c r="V1399" s="144" t="str">
        <f t="shared" si="43"/>
        <v>85</v>
      </c>
      <c r="W1399" s="136">
        <f>+COMPROMISOS_2025[[#This Row],[valor_total]]-COMPROMISOS_2025[[#This Row],[total_cancelado]]</f>
        <v>500000</v>
      </c>
      <c r="X1399" s="136">
        <f>COMPROMISOS_2025[[#This Row],[total_ordenes]]</f>
        <v>500000</v>
      </c>
      <c r="Y1399" t="str" cm="1">
        <f t="array" aca="1" ref="Y1399" ca="1">IFERROR(_xlfn.XLOOKUP(COMPROMISOS_2025[[#This Row],[concatenado]],PAA[[#All],[RCP-RUBRO]],PAA[[#All],[Actividad3]],VLOOKUP(COMPROMISOS_2025[[#This Row],[Indicador Principal]],$AC$2:$AD$17,2,0),0),"")</f>
        <v/>
      </c>
    </row>
    <row r="1400" spans="1:25" hidden="1" x14ac:dyDescent="0.25">
      <c r="A1400">
        <v>893</v>
      </c>
      <c r="B1400" t="s">
        <v>4164</v>
      </c>
      <c r="C1400" t="s">
        <v>1936</v>
      </c>
      <c r="D1400" t="s">
        <v>4165</v>
      </c>
      <c r="F1400">
        <v>359</v>
      </c>
      <c r="G1400">
        <v>65</v>
      </c>
      <c r="H1400" t="s">
        <v>662</v>
      </c>
      <c r="I1400" t="s">
        <v>2271</v>
      </c>
      <c r="J1400">
        <v>500000</v>
      </c>
      <c r="K1400">
        <v>2025</v>
      </c>
      <c r="L1400">
        <v>1001023019</v>
      </c>
      <c r="M1400" t="s">
        <v>4167</v>
      </c>
      <c r="N1400" t="s">
        <v>1688</v>
      </c>
      <c r="O1400" t="s">
        <v>1686</v>
      </c>
      <c r="P1400">
        <v>0</v>
      </c>
      <c r="Q1400">
        <v>500000</v>
      </c>
      <c r="R1400">
        <v>0</v>
      </c>
      <c r="S1400">
        <v>0</v>
      </c>
      <c r="T1400" t="str">
        <f t="shared" si="42"/>
        <v>8932.43.4302.85.0-205128.2.3.3.08.06.</v>
      </c>
      <c r="U1400" t="e" cm="1">
        <f t="array" aca="1" ref="U1400" ca="1">+IF(COMPROMISOS_2025[[#This Row],[P]]="20","41080111",_xlfn.XLOOKUP(COMPROMISOS_2025[[#This Row],[concatenado]],PAA[[#All],[RCP-RUBRO]],PAA[[#All],[INDICADOR]],"",0))</f>
        <v>#NAME?</v>
      </c>
      <c r="V1400" s="144" t="str">
        <f t="shared" si="43"/>
        <v>85</v>
      </c>
      <c r="W1400" s="136">
        <f>+COMPROMISOS_2025[[#This Row],[valor_total]]-COMPROMISOS_2025[[#This Row],[total_cancelado]]</f>
        <v>500000</v>
      </c>
      <c r="X1400" s="136">
        <f>COMPROMISOS_2025[[#This Row],[total_ordenes]]</f>
        <v>500000</v>
      </c>
      <c r="Y1400" t="str" cm="1">
        <f t="array" aca="1" ref="Y1400" ca="1">IFERROR(_xlfn.XLOOKUP(COMPROMISOS_2025[[#This Row],[concatenado]],PAA[[#All],[RCP-RUBRO]],PAA[[#All],[Actividad3]],VLOOKUP(COMPROMISOS_2025[[#This Row],[Indicador Principal]],$AC$2:$AD$17,2,0),0),"")</f>
        <v/>
      </c>
    </row>
    <row r="1401" spans="1:25" hidden="1" x14ac:dyDescent="0.25">
      <c r="A1401">
        <v>894</v>
      </c>
      <c r="B1401" t="s">
        <v>4164</v>
      </c>
      <c r="C1401" t="s">
        <v>1936</v>
      </c>
      <c r="D1401" t="s">
        <v>4165</v>
      </c>
      <c r="F1401">
        <v>359</v>
      </c>
      <c r="G1401">
        <v>65</v>
      </c>
      <c r="H1401" t="s">
        <v>662</v>
      </c>
      <c r="I1401" t="s">
        <v>2271</v>
      </c>
      <c r="J1401">
        <v>1300000</v>
      </c>
      <c r="K1401">
        <v>2025</v>
      </c>
      <c r="L1401">
        <v>1001025993</v>
      </c>
      <c r="M1401" t="s">
        <v>3956</v>
      </c>
      <c r="N1401" t="s">
        <v>1688</v>
      </c>
      <c r="O1401" t="s">
        <v>1686</v>
      </c>
      <c r="P1401">
        <v>0</v>
      </c>
      <c r="Q1401">
        <v>1300000</v>
      </c>
      <c r="R1401">
        <v>0</v>
      </c>
      <c r="S1401">
        <v>0</v>
      </c>
      <c r="T1401" t="str">
        <f t="shared" si="42"/>
        <v>8942.43.4302.85.0-205128.2.3.3.08.06.</v>
      </c>
      <c r="U1401" t="e" cm="1">
        <f t="array" aca="1" ref="U1401" ca="1">+IF(COMPROMISOS_2025[[#This Row],[P]]="20","41080111",_xlfn.XLOOKUP(COMPROMISOS_2025[[#This Row],[concatenado]],PAA[[#All],[RCP-RUBRO]],PAA[[#All],[INDICADOR]],"",0))</f>
        <v>#NAME?</v>
      </c>
      <c r="V1401" s="144" t="str">
        <f t="shared" si="43"/>
        <v>85</v>
      </c>
      <c r="W1401" s="136">
        <f>+COMPROMISOS_2025[[#This Row],[valor_total]]-COMPROMISOS_2025[[#This Row],[total_cancelado]]</f>
        <v>1300000</v>
      </c>
      <c r="X1401" s="136">
        <f>COMPROMISOS_2025[[#This Row],[total_ordenes]]</f>
        <v>1300000</v>
      </c>
      <c r="Y1401" t="str" cm="1">
        <f t="array" aca="1" ref="Y1401" ca="1">IFERROR(_xlfn.XLOOKUP(COMPROMISOS_2025[[#This Row],[concatenado]],PAA[[#All],[RCP-RUBRO]],PAA[[#All],[Actividad3]],VLOOKUP(COMPROMISOS_2025[[#This Row],[Indicador Principal]],$AC$2:$AD$17,2,0),0),"")</f>
        <v/>
      </c>
    </row>
    <row r="1402" spans="1:25" hidden="1" x14ac:dyDescent="0.25">
      <c r="A1402">
        <v>895</v>
      </c>
      <c r="B1402" t="s">
        <v>4164</v>
      </c>
      <c r="C1402" t="s">
        <v>1936</v>
      </c>
      <c r="D1402" t="s">
        <v>4165</v>
      </c>
      <c r="F1402">
        <v>359</v>
      </c>
      <c r="G1402">
        <v>65</v>
      </c>
      <c r="H1402" t="s">
        <v>662</v>
      </c>
      <c r="I1402" t="s">
        <v>2271</v>
      </c>
      <c r="J1402">
        <v>500000</v>
      </c>
      <c r="K1402">
        <v>2025</v>
      </c>
      <c r="L1402">
        <v>1001026212</v>
      </c>
      <c r="M1402" t="s">
        <v>3957</v>
      </c>
      <c r="N1402" t="s">
        <v>1688</v>
      </c>
      <c r="O1402" t="s">
        <v>1686</v>
      </c>
      <c r="P1402">
        <v>0</v>
      </c>
      <c r="Q1402">
        <v>500000</v>
      </c>
      <c r="R1402">
        <v>0</v>
      </c>
      <c r="S1402">
        <v>0</v>
      </c>
      <c r="T1402" t="str">
        <f t="shared" si="42"/>
        <v>8952.43.4302.85.0-205128.2.3.3.08.06.</v>
      </c>
      <c r="U1402" t="e" cm="1">
        <f t="array" aca="1" ref="U1402" ca="1">+IF(COMPROMISOS_2025[[#This Row],[P]]="20","41080111",_xlfn.XLOOKUP(COMPROMISOS_2025[[#This Row],[concatenado]],PAA[[#All],[RCP-RUBRO]],PAA[[#All],[INDICADOR]],"",0))</f>
        <v>#NAME?</v>
      </c>
      <c r="V1402" s="144" t="str">
        <f t="shared" si="43"/>
        <v>85</v>
      </c>
      <c r="W1402" s="136">
        <f>+COMPROMISOS_2025[[#This Row],[valor_total]]-COMPROMISOS_2025[[#This Row],[total_cancelado]]</f>
        <v>500000</v>
      </c>
      <c r="X1402" s="136">
        <f>COMPROMISOS_2025[[#This Row],[total_ordenes]]</f>
        <v>500000</v>
      </c>
      <c r="Y1402" t="str" cm="1">
        <f t="array" aca="1" ref="Y1402" ca="1">IFERROR(_xlfn.XLOOKUP(COMPROMISOS_2025[[#This Row],[concatenado]],PAA[[#All],[RCP-RUBRO]],PAA[[#All],[Actividad3]],VLOOKUP(COMPROMISOS_2025[[#This Row],[Indicador Principal]],$AC$2:$AD$17,2,0),0),"")</f>
        <v/>
      </c>
    </row>
    <row r="1403" spans="1:25" hidden="1" x14ac:dyDescent="0.25">
      <c r="A1403">
        <v>897</v>
      </c>
      <c r="B1403" t="s">
        <v>4164</v>
      </c>
      <c r="C1403" t="s">
        <v>1936</v>
      </c>
      <c r="D1403" t="s">
        <v>4165</v>
      </c>
      <c r="F1403">
        <v>359</v>
      </c>
      <c r="G1403">
        <v>65</v>
      </c>
      <c r="H1403" t="s">
        <v>662</v>
      </c>
      <c r="I1403" t="s">
        <v>2271</v>
      </c>
      <c r="J1403">
        <v>800000</v>
      </c>
      <c r="K1403">
        <v>2025</v>
      </c>
      <c r="L1403">
        <v>1001028837</v>
      </c>
      <c r="M1403" t="s">
        <v>3958</v>
      </c>
      <c r="N1403" t="s">
        <v>1688</v>
      </c>
      <c r="O1403" t="s">
        <v>1686</v>
      </c>
      <c r="P1403">
        <v>0</v>
      </c>
      <c r="Q1403">
        <v>800000</v>
      </c>
      <c r="R1403">
        <v>0</v>
      </c>
      <c r="S1403">
        <v>0</v>
      </c>
      <c r="T1403" t="str">
        <f t="shared" si="42"/>
        <v>8972.43.4302.85.0-205128.2.3.3.08.06.</v>
      </c>
      <c r="U1403" t="e" cm="1">
        <f t="array" aca="1" ref="U1403" ca="1">+IF(COMPROMISOS_2025[[#This Row],[P]]="20","41080111",_xlfn.XLOOKUP(COMPROMISOS_2025[[#This Row],[concatenado]],PAA[[#All],[RCP-RUBRO]],PAA[[#All],[INDICADOR]],"",0))</f>
        <v>#NAME?</v>
      </c>
      <c r="V1403" s="144" t="str">
        <f t="shared" si="43"/>
        <v>85</v>
      </c>
      <c r="W1403" s="136">
        <f>+COMPROMISOS_2025[[#This Row],[valor_total]]-COMPROMISOS_2025[[#This Row],[total_cancelado]]</f>
        <v>800000</v>
      </c>
      <c r="X1403" s="136">
        <f>COMPROMISOS_2025[[#This Row],[total_ordenes]]</f>
        <v>800000</v>
      </c>
      <c r="Y1403" t="str" cm="1">
        <f t="array" aca="1" ref="Y1403" ca="1">IFERROR(_xlfn.XLOOKUP(COMPROMISOS_2025[[#This Row],[concatenado]],PAA[[#All],[RCP-RUBRO]],PAA[[#All],[Actividad3]],VLOOKUP(COMPROMISOS_2025[[#This Row],[Indicador Principal]],$AC$2:$AD$17,2,0),0),"")</f>
        <v/>
      </c>
    </row>
    <row r="1404" spans="1:25" hidden="1" x14ac:dyDescent="0.25">
      <c r="A1404">
        <v>898</v>
      </c>
      <c r="B1404" t="s">
        <v>4164</v>
      </c>
      <c r="C1404" t="s">
        <v>1936</v>
      </c>
      <c r="D1404" t="s">
        <v>4165</v>
      </c>
      <c r="F1404">
        <v>359</v>
      </c>
      <c r="G1404">
        <v>65</v>
      </c>
      <c r="H1404" t="s">
        <v>662</v>
      </c>
      <c r="I1404" t="s">
        <v>2271</v>
      </c>
      <c r="J1404">
        <v>1300000</v>
      </c>
      <c r="K1404">
        <v>2025</v>
      </c>
      <c r="L1404">
        <v>1001034376</v>
      </c>
      <c r="M1404" t="s">
        <v>3959</v>
      </c>
      <c r="N1404" t="s">
        <v>1688</v>
      </c>
      <c r="O1404" t="s">
        <v>1686</v>
      </c>
      <c r="P1404">
        <v>0</v>
      </c>
      <c r="Q1404">
        <v>1300000</v>
      </c>
      <c r="R1404">
        <v>0</v>
      </c>
      <c r="S1404">
        <v>0</v>
      </c>
      <c r="T1404" t="str">
        <f t="shared" si="42"/>
        <v>8982.43.4302.85.0-205128.2.3.3.08.06.</v>
      </c>
      <c r="U1404" t="e" cm="1">
        <f t="array" aca="1" ref="U1404" ca="1">+IF(COMPROMISOS_2025[[#This Row],[P]]="20","41080111",_xlfn.XLOOKUP(COMPROMISOS_2025[[#This Row],[concatenado]],PAA[[#All],[RCP-RUBRO]],PAA[[#All],[INDICADOR]],"",0))</f>
        <v>#NAME?</v>
      </c>
      <c r="V1404" s="144" t="str">
        <f t="shared" si="43"/>
        <v>85</v>
      </c>
      <c r="W1404" s="136">
        <f>+COMPROMISOS_2025[[#This Row],[valor_total]]-COMPROMISOS_2025[[#This Row],[total_cancelado]]</f>
        <v>1300000</v>
      </c>
      <c r="X1404" s="136">
        <f>COMPROMISOS_2025[[#This Row],[total_ordenes]]</f>
        <v>1300000</v>
      </c>
      <c r="Y1404" t="str" cm="1">
        <f t="array" aca="1" ref="Y1404" ca="1">IFERROR(_xlfn.XLOOKUP(COMPROMISOS_2025[[#This Row],[concatenado]],PAA[[#All],[RCP-RUBRO]],PAA[[#All],[Actividad3]],VLOOKUP(COMPROMISOS_2025[[#This Row],[Indicador Principal]],$AC$2:$AD$17,2,0),0),"")</f>
        <v/>
      </c>
    </row>
    <row r="1405" spans="1:25" hidden="1" x14ac:dyDescent="0.25">
      <c r="A1405">
        <v>899</v>
      </c>
      <c r="B1405" t="s">
        <v>4164</v>
      </c>
      <c r="C1405" t="s">
        <v>1936</v>
      </c>
      <c r="D1405" t="s">
        <v>4165</v>
      </c>
      <c r="F1405">
        <v>359</v>
      </c>
      <c r="G1405">
        <v>65</v>
      </c>
      <c r="H1405" t="s">
        <v>662</v>
      </c>
      <c r="I1405" t="s">
        <v>2271</v>
      </c>
      <c r="J1405">
        <v>500000</v>
      </c>
      <c r="K1405">
        <v>2025</v>
      </c>
      <c r="L1405">
        <v>1001131814</v>
      </c>
      <c r="M1405" t="s">
        <v>3960</v>
      </c>
      <c r="N1405" t="s">
        <v>1688</v>
      </c>
      <c r="O1405" t="s">
        <v>1686</v>
      </c>
      <c r="P1405">
        <v>0</v>
      </c>
      <c r="Q1405">
        <v>500000</v>
      </c>
      <c r="R1405">
        <v>0</v>
      </c>
      <c r="S1405">
        <v>0</v>
      </c>
      <c r="T1405" t="str">
        <f t="shared" si="42"/>
        <v>8992.43.4302.85.0-205128.2.3.3.08.06.</v>
      </c>
      <c r="U1405" t="e" cm="1">
        <f t="array" aca="1" ref="U1405" ca="1">+IF(COMPROMISOS_2025[[#This Row],[P]]="20","41080111",_xlfn.XLOOKUP(COMPROMISOS_2025[[#This Row],[concatenado]],PAA[[#All],[RCP-RUBRO]],PAA[[#All],[INDICADOR]],"",0))</f>
        <v>#NAME?</v>
      </c>
      <c r="V1405" s="144" t="str">
        <f t="shared" si="43"/>
        <v>85</v>
      </c>
      <c r="W1405" s="136">
        <f>+COMPROMISOS_2025[[#This Row],[valor_total]]-COMPROMISOS_2025[[#This Row],[total_cancelado]]</f>
        <v>500000</v>
      </c>
      <c r="X1405" s="136">
        <f>COMPROMISOS_2025[[#This Row],[total_ordenes]]</f>
        <v>500000</v>
      </c>
      <c r="Y1405" t="str" cm="1">
        <f t="array" aca="1" ref="Y1405" ca="1">IFERROR(_xlfn.XLOOKUP(COMPROMISOS_2025[[#This Row],[concatenado]],PAA[[#All],[RCP-RUBRO]],PAA[[#All],[Actividad3]],VLOOKUP(COMPROMISOS_2025[[#This Row],[Indicador Principal]],$AC$2:$AD$17,2,0),0),"")</f>
        <v/>
      </c>
    </row>
    <row r="1406" spans="1:25" hidden="1" x14ac:dyDescent="0.25">
      <c r="A1406">
        <v>900</v>
      </c>
      <c r="B1406" t="s">
        <v>4164</v>
      </c>
      <c r="C1406" t="s">
        <v>1936</v>
      </c>
      <c r="D1406" t="s">
        <v>4165</v>
      </c>
      <c r="F1406">
        <v>359</v>
      </c>
      <c r="G1406">
        <v>65</v>
      </c>
      <c r="H1406" t="s">
        <v>662</v>
      </c>
      <c r="I1406" t="s">
        <v>2271</v>
      </c>
      <c r="J1406">
        <v>500000</v>
      </c>
      <c r="K1406">
        <v>2025</v>
      </c>
      <c r="L1406">
        <v>1001131930</v>
      </c>
      <c r="M1406" t="s">
        <v>3961</v>
      </c>
      <c r="N1406" t="s">
        <v>1688</v>
      </c>
      <c r="O1406" t="s">
        <v>1686</v>
      </c>
      <c r="P1406">
        <v>0</v>
      </c>
      <c r="Q1406">
        <v>500000</v>
      </c>
      <c r="R1406">
        <v>0</v>
      </c>
      <c r="S1406">
        <v>0</v>
      </c>
      <c r="T1406" t="str">
        <f t="shared" si="42"/>
        <v>9002.43.4302.85.0-205128.2.3.3.08.06.</v>
      </c>
      <c r="U1406" t="e" cm="1">
        <f t="array" aca="1" ref="U1406" ca="1">+IF(COMPROMISOS_2025[[#This Row],[P]]="20","41080111",_xlfn.XLOOKUP(COMPROMISOS_2025[[#This Row],[concatenado]],PAA[[#All],[RCP-RUBRO]],PAA[[#All],[INDICADOR]],"",0))</f>
        <v>#NAME?</v>
      </c>
      <c r="V1406" s="144" t="str">
        <f t="shared" si="43"/>
        <v>85</v>
      </c>
      <c r="W1406" s="136">
        <f>+COMPROMISOS_2025[[#This Row],[valor_total]]-COMPROMISOS_2025[[#This Row],[total_cancelado]]</f>
        <v>500000</v>
      </c>
      <c r="X1406" s="136">
        <f>COMPROMISOS_2025[[#This Row],[total_ordenes]]</f>
        <v>500000</v>
      </c>
      <c r="Y1406" t="str" cm="1">
        <f t="array" aca="1" ref="Y1406" ca="1">IFERROR(_xlfn.XLOOKUP(COMPROMISOS_2025[[#This Row],[concatenado]],PAA[[#All],[RCP-RUBRO]],PAA[[#All],[Actividad3]],VLOOKUP(COMPROMISOS_2025[[#This Row],[Indicador Principal]],$AC$2:$AD$17,2,0),0),"")</f>
        <v/>
      </c>
    </row>
    <row r="1407" spans="1:25" hidden="1" x14ac:dyDescent="0.25">
      <c r="A1407">
        <v>901</v>
      </c>
      <c r="B1407" t="s">
        <v>4164</v>
      </c>
      <c r="C1407" t="s">
        <v>1936</v>
      </c>
      <c r="D1407" t="s">
        <v>4165</v>
      </c>
      <c r="F1407">
        <v>359</v>
      </c>
      <c r="G1407">
        <v>65</v>
      </c>
      <c r="H1407" t="s">
        <v>662</v>
      </c>
      <c r="I1407" t="s">
        <v>2271</v>
      </c>
      <c r="J1407">
        <v>500000</v>
      </c>
      <c r="K1407">
        <v>2025</v>
      </c>
      <c r="L1407">
        <v>1001132657</v>
      </c>
      <c r="M1407" t="s">
        <v>3962</v>
      </c>
      <c r="N1407" t="s">
        <v>1688</v>
      </c>
      <c r="O1407" t="s">
        <v>1686</v>
      </c>
      <c r="P1407">
        <v>0</v>
      </c>
      <c r="Q1407">
        <v>500000</v>
      </c>
      <c r="R1407">
        <v>0</v>
      </c>
      <c r="S1407">
        <v>0</v>
      </c>
      <c r="T1407" t="str">
        <f t="shared" si="42"/>
        <v>9012.43.4302.85.0-205128.2.3.3.08.06.</v>
      </c>
      <c r="U1407" t="e" cm="1">
        <f t="array" aca="1" ref="U1407" ca="1">+IF(COMPROMISOS_2025[[#This Row],[P]]="20","41080111",_xlfn.XLOOKUP(COMPROMISOS_2025[[#This Row],[concatenado]],PAA[[#All],[RCP-RUBRO]],PAA[[#All],[INDICADOR]],"",0))</f>
        <v>#NAME?</v>
      </c>
      <c r="V1407" s="144" t="str">
        <f t="shared" si="43"/>
        <v>85</v>
      </c>
      <c r="W1407" s="136">
        <f>+COMPROMISOS_2025[[#This Row],[valor_total]]-COMPROMISOS_2025[[#This Row],[total_cancelado]]</f>
        <v>500000</v>
      </c>
      <c r="X1407" s="136">
        <f>COMPROMISOS_2025[[#This Row],[total_ordenes]]</f>
        <v>500000</v>
      </c>
      <c r="Y1407" t="str" cm="1">
        <f t="array" aca="1" ref="Y1407" ca="1">IFERROR(_xlfn.XLOOKUP(COMPROMISOS_2025[[#This Row],[concatenado]],PAA[[#All],[RCP-RUBRO]],PAA[[#All],[Actividad3]],VLOOKUP(COMPROMISOS_2025[[#This Row],[Indicador Principal]],$AC$2:$AD$17,2,0),0),"")</f>
        <v/>
      </c>
    </row>
    <row r="1408" spans="1:25" hidden="1" x14ac:dyDescent="0.25">
      <c r="A1408">
        <v>902</v>
      </c>
      <c r="B1408" t="s">
        <v>4164</v>
      </c>
      <c r="C1408" t="s">
        <v>1936</v>
      </c>
      <c r="D1408" t="s">
        <v>4165</v>
      </c>
      <c r="F1408">
        <v>359</v>
      </c>
      <c r="G1408">
        <v>65</v>
      </c>
      <c r="H1408" t="s">
        <v>662</v>
      </c>
      <c r="I1408" t="s">
        <v>2271</v>
      </c>
      <c r="J1408">
        <v>500000</v>
      </c>
      <c r="K1408">
        <v>2025</v>
      </c>
      <c r="L1408">
        <v>1001137686</v>
      </c>
      <c r="M1408" t="s">
        <v>3963</v>
      </c>
      <c r="N1408" t="s">
        <v>1688</v>
      </c>
      <c r="O1408" t="s">
        <v>1686</v>
      </c>
      <c r="P1408">
        <v>0</v>
      </c>
      <c r="Q1408">
        <v>500000</v>
      </c>
      <c r="R1408">
        <v>0</v>
      </c>
      <c r="S1408">
        <v>0</v>
      </c>
      <c r="T1408" t="str">
        <f t="shared" si="42"/>
        <v>9022.43.4302.85.0-205128.2.3.3.08.06.</v>
      </c>
      <c r="U1408" t="e" cm="1">
        <f t="array" aca="1" ref="U1408" ca="1">+IF(COMPROMISOS_2025[[#This Row],[P]]="20","41080111",_xlfn.XLOOKUP(COMPROMISOS_2025[[#This Row],[concatenado]],PAA[[#All],[RCP-RUBRO]],PAA[[#All],[INDICADOR]],"",0))</f>
        <v>#NAME?</v>
      </c>
      <c r="V1408" s="144" t="str">
        <f t="shared" si="43"/>
        <v>85</v>
      </c>
      <c r="W1408" s="136">
        <f>+COMPROMISOS_2025[[#This Row],[valor_total]]-COMPROMISOS_2025[[#This Row],[total_cancelado]]</f>
        <v>500000</v>
      </c>
      <c r="X1408" s="136">
        <f>COMPROMISOS_2025[[#This Row],[total_ordenes]]</f>
        <v>500000</v>
      </c>
      <c r="Y1408" t="str" cm="1">
        <f t="array" aca="1" ref="Y1408" ca="1">IFERROR(_xlfn.XLOOKUP(COMPROMISOS_2025[[#This Row],[concatenado]],PAA[[#All],[RCP-RUBRO]],PAA[[#All],[Actividad3]],VLOOKUP(COMPROMISOS_2025[[#This Row],[Indicador Principal]],$AC$2:$AD$17,2,0),0),"")</f>
        <v/>
      </c>
    </row>
    <row r="1409" spans="1:25" hidden="1" x14ac:dyDescent="0.25">
      <c r="A1409">
        <v>903</v>
      </c>
      <c r="B1409" t="s">
        <v>4164</v>
      </c>
      <c r="C1409" t="s">
        <v>1936</v>
      </c>
      <c r="D1409" t="s">
        <v>4165</v>
      </c>
      <c r="F1409">
        <v>359</v>
      </c>
      <c r="G1409">
        <v>65</v>
      </c>
      <c r="H1409" t="s">
        <v>662</v>
      </c>
      <c r="I1409" t="s">
        <v>2271</v>
      </c>
      <c r="J1409">
        <v>500000</v>
      </c>
      <c r="K1409">
        <v>2025</v>
      </c>
      <c r="L1409">
        <v>1001227159</v>
      </c>
      <c r="M1409" t="s">
        <v>3964</v>
      </c>
      <c r="N1409" t="s">
        <v>1688</v>
      </c>
      <c r="O1409" t="s">
        <v>1686</v>
      </c>
      <c r="P1409">
        <v>0</v>
      </c>
      <c r="Q1409">
        <v>500000</v>
      </c>
      <c r="R1409">
        <v>0</v>
      </c>
      <c r="S1409">
        <v>0</v>
      </c>
      <c r="T1409" t="str">
        <f t="shared" si="42"/>
        <v>9032.43.4302.85.0-205128.2.3.3.08.06.</v>
      </c>
      <c r="U1409" t="e" cm="1">
        <f t="array" aca="1" ref="U1409" ca="1">+IF(COMPROMISOS_2025[[#This Row],[P]]="20","41080111",_xlfn.XLOOKUP(COMPROMISOS_2025[[#This Row],[concatenado]],PAA[[#All],[RCP-RUBRO]],PAA[[#All],[INDICADOR]],"",0))</f>
        <v>#NAME?</v>
      </c>
      <c r="V1409" s="144" t="str">
        <f t="shared" si="43"/>
        <v>85</v>
      </c>
      <c r="W1409" s="136">
        <f>+COMPROMISOS_2025[[#This Row],[valor_total]]-COMPROMISOS_2025[[#This Row],[total_cancelado]]</f>
        <v>500000</v>
      </c>
      <c r="X1409" s="136">
        <f>COMPROMISOS_2025[[#This Row],[total_ordenes]]</f>
        <v>500000</v>
      </c>
      <c r="Y1409" t="str" cm="1">
        <f t="array" aca="1" ref="Y1409" ca="1">IFERROR(_xlfn.XLOOKUP(COMPROMISOS_2025[[#This Row],[concatenado]],PAA[[#All],[RCP-RUBRO]],PAA[[#All],[Actividad3]],VLOOKUP(COMPROMISOS_2025[[#This Row],[Indicador Principal]],$AC$2:$AD$17,2,0),0),"")</f>
        <v/>
      </c>
    </row>
    <row r="1410" spans="1:25" hidden="1" x14ac:dyDescent="0.25">
      <c r="A1410">
        <v>904</v>
      </c>
      <c r="B1410" t="s">
        <v>4164</v>
      </c>
      <c r="C1410" t="s">
        <v>1936</v>
      </c>
      <c r="D1410" t="s">
        <v>4165</v>
      </c>
      <c r="F1410">
        <v>359</v>
      </c>
      <c r="G1410">
        <v>65</v>
      </c>
      <c r="H1410" t="s">
        <v>662</v>
      </c>
      <c r="I1410" t="s">
        <v>2271</v>
      </c>
      <c r="J1410">
        <v>500000</v>
      </c>
      <c r="K1410">
        <v>2025</v>
      </c>
      <c r="L1410">
        <v>1001228562</v>
      </c>
      <c r="M1410" t="s">
        <v>3965</v>
      </c>
      <c r="N1410" t="s">
        <v>1688</v>
      </c>
      <c r="O1410" t="s">
        <v>1686</v>
      </c>
      <c r="P1410">
        <v>0</v>
      </c>
      <c r="Q1410">
        <v>500000</v>
      </c>
      <c r="R1410">
        <v>0</v>
      </c>
      <c r="S1410">
        <v>0</v>
      </c>
      <c r="T1410" t="str">
        <f t="shared" ref="T1410:T1473" si="44">IF(A1410&gt;=0,CONCATENATE(A1410,H1410),"")</f>
        <v>9042.43.4302.85.0-205128.2.3.3.08.06.</v>
      </c>
      <c r="U1410" t="e" cm="1">
        <f t="array" aca="1" ref="U1410" ca="1">+IF(COMPROMISOS_2025[[#This Row],[P]]="20","41080111",_xlfn.XLOOKUP(COMPROMISOS_2025[[#This Row],[concatenado]],PAA[[#All],[RCP-RUBRO]],PAA[[#All],[INDICADOR]],"",0))</f>
        <v>#NAME?</v>
      </c>
      <c r="V1410" s="144" t="str">
        <f t="shared" ref="V1410:V1473" si="45">+MID(H1410,11,2)</f>
        <v>85</v>
      </c>
      <c r="W1410" s="136">
        <f>+COMPROMISOS_2025[[#This Row],[valor_total]]-COMPROMISOS_2025[[#This Row],[total_cancelado]]</f>
        <v>500000</v>
      </c>
      <c r="X1410" s="136">
        <f>COMPROMISOS_2025[[#This Row],[total_ordenes]]</f>
        <v>500000</v>
      </c>
      <c r="Y1410" t="str" cm="1">
        <f t="array" aca="1" ref="Y1410" ca="1">IFERROR(_xlfn.XLOOKUP(COMPROMISOS_2025[[#This Row],[concatenado]],PAA[[#All],[RCP-RUBRO]],PAA[[#All],[Actividad3]],VLOOKUP(COMPROMISOS_2025[[#This Row],[Indicador Principal]],$AC$2:$AD$17,2,0),0),"")</f>
        <v/>
      </c>
    </row>
    <row r="1411" spans="1:25" hidden="1" x14ac:dyDescent="0.25">
      <c r="A1411">
        <v>905</v>
      </c>
      <c r="B1411" t="s">
        <v>4164</v>
      </c>
      <c r="C1411" t="s">
        <v>1936</v>
      </c>
      <c r="D1411" t="s">
        <v>4165</v>
      </c>
      <c r="F1411">
        <v>359</v>
      </c>
      <c r="G1411">
        <v>65</v>
      </c>
      <c r="H1411" t="s">
        <v>662</v>
      </c>
      <c r="I1411" t="s">
        <v>2271</v>
      </c>
      <c r="J1411">
        <v>500000</v>
      </c>
      <c r="K1411">
        <v>2025</v>
      </c>
      <c r="L1411">
        <v>1001235897</v>
      </c>
      <c r="M1411" t="s">
        <v>3966</v>
      </c>
      <c r="N1411" t="s">
        <v>1688</v>
      </c>
      <c r="O1411" t="s">
        <v>1686</v>
      </c>
      <c r="P1411">
        <v>0</v>
      </c>
      <c r="Q1411">
        <v>500000</v>
      </c>
      <c r="R1411">
        <v>0</v>
      </c>
      <c r="S1411">
        <v>0</v>
      </c>
      <c r="T1411" t="str">
        <f t="shared" si="44"/>
        <v>9052.43.4302.85.0-205128.2.3.3.08.06.</v>
      </c>
      <c r="U1411" t="e" cm="1">
        <f t="array" aca="1" ref="U1411" ca="1">+IF(COMPROMISOS_2025[[#This Row],[P]]="20","41080111",_xlfn.XLOOKUP(COMPROMISOS_2025[[#This Row],[concatenado]],PAA[[#All],[RCP-RUBRO]],PAA[[#All],[INDICADOR]],"",0))</f>
        <v>#NAME?</v>
      </c>
      <c r="V1411" s="144" t="str">
        <f t="shared" si="45"/>
        <v>85</v>
      </c>
      <c r="W1411" s="136">
        <f>+COMPROMISOS_2025[[#This Row],[valor_total]]-COMPROMISOS_2025[[#This Row],[total_cancelado]]</f>
        <v>500000</v>
      </c>
      <c r="X1411" s="136">
        <f>COMPROMISOS_2025[[#This Row],[total_ordenes]]</f>
        <v>500000</v>
      </c>
      <c r="Y1411" t="str" cm="1">
        <f t="array" aca="1" ref="Y1411" ca="1">IFERROR(_xlfn.XLOOKUP(COMPROMISOS_2025[[#This Row],[concatenado]],PAA[[#All],[RCP-RUBRO]],PAA[[#All],[Actividad3]],VLOOKUP(COMPROMISOS_2025[[#This Row],[Indicador Principal]],$AC$2:$AD$17,2,0),0),"")</f>
        <v/>
      </c>
    </row>
    <row r="1412" spans="1:25" hidden="1" x14ac:dyDescent="0.25">
      <c r="A1412">
        <v>906</v>
      </c>
      <c r="B1412" t="s">
        <v>4164</v>
      </c>
      <c r="C1412" t="s">
        <v>1936</v>
      </c>
      <c r="D1412" t="s">
        <v>4165</v>
      </c>
      <c r="F1412">
        <v>359</v>
      </c>
      <c r="G1412">
        <v>65</v>
      </c>
      <c r="H1412" t="s">
        <v>662</v>
      </c>
      <c r="I1412" t="s">
        <v>2271</v>
      </c>
      <c r="J1412">
        <v>500000</v>
      </c>
      <c r="K1412">
        <v>2025</v>
      </c>
      <c r="L1412">
        <v>1001237127</v>
      </c>
      <c r="M1412" t="s">
        <v>3967</v>
      </c>
      <c r="N1412" t="s">
        <v>1688</v>
      </c>
      <c r="O1412" t="s">
        <v>1686</v>
      </c>
      <c r="P1412">
        <v>0</v>
      </c>
      <c r="Q1412">
        <v>500000</v>
      </c>
      <c r="R1412">
        <v>0</v>
      </c>
      <c r="S1412">
        <v>0</v>
      </c>
      <c r="T1412" t="str">
        <f t="shared" si="44"/>
        <v>9062.43.4302.85.0-205128.2.3.3.08.06.</v>
      </c>
      <c r="U1412" t="e" cm="1">
        <f t="array" aca="1" ref="U1412" ca="1">+IF(COMPROMISOS_2025[[#This Row],[P]]="20","41080111",_xlfn.XLOOKUP(COMPROMISOS_2025[[#This Row],[concatenado]],PAA[[#All],[RCP-RUBRO]],PAA[[#All],[INDICADOR]],"",0))</f>
        <v>#NAME?</v>
      </c>
      <c r="V1412" s="144" t="str">
        <f t="shared" si="45"/>
        <v>85</v>
      </c>
      <c r="W1412" s="136">
        <f>+COMPROMISOS_2025[[#This Row],[valor_total]]-COMPROMISOS_2025[[#This Row],[total_cancelado]]</f>
        <v>500000</v>
      </c>
      <c r="X1412" s="136">
        <f>COMPROMISOS_2025[[#This Row],[total_ordenes]]</f>
        <v>500000</v>
      </c>
      <c r="Y1412" t="str" cm="1">
        <f t="array" aca="1" ref="Y1412" ca="1">IFERROR(_xlfn.XLOOKUP(COMPROMISOS_2025[[#This Row],[concatenado]],PAA[[#All],[RCP-RUBRO]],PAA[[#All],[Actividad3]],VLOOKUP(COMPROMISOS_2025[[#This Row],[Indicador Principal]],$AC$2:$AD$17,2,0),0),"")</f>
        <v/>
      </c>
    </row>
    <row r="1413" spans="1:25" hidden="1" x14ac:dyDescent="0.25">
      <c r="A1413">
        <v>907</v>
      </c>
      <c r="B1413" t="s">
        <v>4164</v>
      </c>
      <c r="C1413" t="s">
        <v>1936</v>
      </c>
      <c r="D1413" t="s">
        <v>4165</v>
      </c>
      <c r="F1413">
        <v>359</v>
      </c>
      <c r="G1413">
        <v>65</v>
      </c>
      <c r="H1413" t="s">
        <v>662</v>
      </c>
      <c r="I1413" t="s">
        <v>2271</v>
      </c>
      <c r="J1413">
        <v>1300000</v>
      </c>
      <c r="K1413">
        <v>2025</v>
      </c>
      <c r="L1413">
        <v>1001249150</v>
      </c>
      <c r="M1413" t="s">
        <v>3968</v>
      </c>
      <c r="N1413" t="s">
        <v>1688</v>
      </c>
      <c r="O1413" t="s">
        <v>1686</v>
      </c>
      <c r="P1413">
        <v>0</v>
      </c>
      <c r="Q1413">
        <v>1300000</v>
      </c>
      <c r="R1413">
        <v>0</v>
      </c>
      <c r="S1413">
        <v>0</v>
      </c>
      <c r="T1413" t="str">
        <f t="shared" si="44"/>
        <v>9072.43.4302.85.0-205128.2.3.3.08.06.</v>
      </c>
      <c r="U1413" t="e" cm="1">
        <f t="array" aca="1" ref="U1413" ca="1">+IF(COMPROMISOS_2025[[#This Row],[P]]="20","41080111",_xlfn.XLOOKUP(COMPROMISOS_2025[[#This Row],[concatenado]],PAA[[#All],[RCP-RUBRO]],PAA[[#All],[INDICADOR]],"",0))</f>
        <v>#NAME?</v>
      </c>
      <c r="V1413" s="144" t="str">
        <f t="shared" si="45"/>
        <v>85</v>
      </c>
      <c r="W1413" s="136">
        <f>+COMPROMISOS_2025[[#This Row],[valor_total]]-COMPROMISOS_2025[[#This Row],[total_cancelado]]</f>
        <v>1300000</v>
      </c>
      <c r="X1413" s="136">
        <f>COMPROMISOS_2025[[#This Row],[total_ordenes]]</f>
        <v>1300000</v>
      </c>
      <c r="Y1413" t="str" cm="1">
        <f t="array" aca="1" ref="Y1413" ca="1">IFERROR(_xlfn.XLOOKUP(COMPROMISOS_2025[[#This Row],[concatenado]],PAA[[#All],[RCP-RUBRO]],PAA[[#All],[Actividad3]],VLOOKUP(COMPROMISOS_2025[[#This Row],[Indicador Principal]],$AC$2:$AD$17,2,0),0),"")</f>
        <v/>
      </c>
    </row>
    <row r="1414" spans="1:25" hidden="1" x14ac:dyDescent="0.25">
      <c r="A1414">
        <v>908</v>
      </c>
      <c r="B1414" t="s">
        <v>4164</v>
      </c>
      <c r="C1414" t="s">
        <v>1936</v>
      </c>
      <c r="D1414" t="s">
        <v>4165</v>
      </c>
      <c r="F1414">
        <v>359</v>
      </c>
      <c r="G1414">
        <v>65</v>
      </c>
      <c r="H1414" t="s">
        <v>662</v>
      </c>
      <c r="I1414" t="s">
        <v>2271</v>
      </c>
      <c r="J1414">
        <v>500000</v>
      </c>
      <c r="K1414">
        <v>2025</v>
      </c>
      <c r="L1414">
        <v>1001359975</v>
      </c>
      <c r="M1414" t="s">
        <v>3969</v>
      </c>
      <c r="N1414" t="s">
        <v>1688</v>
      </c>
      <c r="O1414" t="s">
        <v>1686</v>
      </c>
      <c r="P1414">
        <v>0</v>
      </c>
      <c r="Q1414">
        <v>500000</v>
      </c>
      <c r="R1414">
        <v>0</v>
      </c>
      <c r="S1414">
        <v>0</v>
      </c>
      <c r="T1414" t="str">
        <f t="shared" si="44"/>
        <v>9082.43.4302.85.0-205128.2.3.3.08.06.</v>
      </c>
      <c r="U1414" t="e" cm="1">
        <f t="array" aca="1" ref="U1414" ca="1">+IF(COMPROMISOS_2025[[#This Row],[P]]="20","41080111",_xlfn.XLOOKUP(COMPROMISOS_2025[[#This Row],[concatenado]],PAA[[#All],[RCP-RUBRO]],PAA[[#All],[INDICADOR]],"",0))</f>
        <v>#NAME?</v>
      </c>
      <c r="V1414" s="144" t="str">
        <f t="shared" si="45"/>
        <v>85</v>
      </c>
      <c r="W1414" s="136">
        <f>+COMPROMISOS_2025[[#This Row],[valor_total]]-COMPROMISOS_2025[[#This Row],[total_cancelado]]</f>
        <v>500000</v>
      </c>
      <c r="X1414" s="136">
        <f>COMPROMISOS_2025[[#This Row],[total_ordenes]]</f>
        <v>500000</v>
      </c>
      <c r="Y1414" t="str" cm="1">
        <f t="array" aca="1" ref="Y1414" ca="1">IFERROR(_xlfn.XLOOKUP(COMPROMISOS_2025[[#This Row],[concatenado]],PAA[[#All],[RCP-RUBRO]],PAA[[#All],[Actividad3]],VLOOKUP(COMPROMISOS_2025[[#This Row],[Indicador Principal]],$AC$2:$AD$17,2,0),0),"")</f>
        <v/>
      </c>
    </row>
    <row r="1415" spans="1:25" hidden="1" x14ac:dyDescent="0.25">
      <c r="A1415">
        <v>909</v>
      </c>
      <c r="B1415" t="s">
        <v>4164</v>
      </c>
      <c r="C1415" t="s">
        <v>1936</v>
      </c>
      <c r="D1415" t="s">
        <v>4165</v>
      </c>
      <c r="F1415">
        <v>359</v>
      </c>
      <c r="G1415">
        <v>65</v>
      </c>
      <c r="H1415" t="s">
        <v>662</v>
      </c>
      <c r="I1415" t="s">
        <v>2271</v>
      </c>
      <c r="J1415">
        <v>800000</v>
      </c>
      <c r="K1415">
        <v>2025</v>
      </c>
      <c r="L1415">
        <v>1001457334</v>
      </c>
      <c r="M1415" t="s">
        <v>3970</v>
      </c>
      <c r="N1415" t="s">
        <v>1688</v>
      </c>
      <c r="O1415" t="s">
        <v>1686</v>
      </c>
      <c r="P1415">
        <v>0</v>
      </c>
      <c r="Q1415">
        <v>800000</v>
      </c>
      <c r="R1415">
        <v>0</v>
      </c>
      <c r="S1415">
        <v>0</v>
      </c>
      <c r="T1415" t="str">
        <f t="shared" si="44"/>
        <v>9092.43.4302.85.0-205128.2.3.3.08.06.</v>
      </c>
      <c r="U1415" t="e" cm="1">
        <f t="array" aca="1" ref="U1415" ca="1">+IF(COMPROMISOS_2025[[#This Row],[P]]="20","41080111",_xlfn.XLOOKUP(COMPROMISOS_2025[[#This Row],[concatenado]],PAA[[#All],[RCP-RUBRO]],PAA[[#All],[INDICADOR]],"",0))</f>
        <v>#NAME?</v>
      </c>
      <c r="V1415" s="144" t="str">
        <f t="shared" si="45"/>
        <v>85</v>
      </c>
      <c r="W1415" s="136">
        <f>+COMPROMISOS_2025[[#This Row],[valor_total]]-COMPROMISOS_2025[[#This Row],[total_cancelado]]</f>
        <v>800000</v>
      </c>
      <c r="X1415" s="136">
        <f>COMPROMISOS_2025[[#This Row],[total_ordenes]]</f>
        <v>800000</v>
      </c>
      <c r="Y1415" t="str" cm="1">
        <f t="array" aca="1" ref="Y1415" ca="1">IFERROR(_xlfn.XLOOKUP(COMPROMISOS_2025[[#This Row],[concatenado]],PAA[[#All],[RCP-RUBRO]],PAA[[#All],[Actividad3]],VLOOKUP(COMPROMISOS_2025[[#This Row],[Indicador Principal]],$AC$2:$AD$17,2,0),0),"")</f>
        <v/>
      </c>
    </row>
    <row r="1416" spans="1:25" hidden="1" x14ac:dyDescent="0.25">
      <c r="A1416">
        <v>910</v>
      </c>
      <c r="B1416" t="s">
        <v>4164</v>
      </c>
      <c r="C1416" t="s">
        <v>1936</v>
      </c>
      <c r="D1416" t="s">
        <v>4165</v>
      </c>
      <c r="F1416">
        <v>359</v>
      </c>
      <c r="G1416">
        <v>65</v>
      </c>
      <c r="H1416" t="s">
        <v>662</v>
      </c>
      <c r="I1416" t="s">
        <v>2271</v>
      </c>
      <c r="J1416">
        <v>500000</v>
      </c>
      <c r="K1416">
        <v>2025</v>
      </c>
      <c r="L1416">
        <v>1001469593</v>
      </c>
      <c r="M1416" t="s">
        <v>3971</v>
      </c>
      <c r="N1416" t="s">
        <v>1688</v>
      </c>
      <c r="O1416" t="s">
        <v>1686</v>
      </c>
      <c r="P1416">
        <v>0</v>
      </c>
      <c r="Q1416">
        <v>500000</v>
      </c>
      <c r="R1416">
        <v>0</v>
      </c>
      <c r="S1416">
        <v>0</v>
      </c>
      <c r="T1416" t="str">
        <f t="shared" si="44"/>
        <v>9102.43.4302.85.0-205128.2.3.3.08.06.</v>
      </c>
      <c r="U1416" t="e" cm="1">
        <f t="array" aca="1" ref="U1416" ca="1">+IF(COMPROMISOS_2025[[#This Row],[P]]="20","41080111",_xlfn.XLOOKUP(COMPROMISOS_2025[[#This Row],[concatenado]],PAA[[#All],[RCP-RUBRO]],PAA[[#All],[INDICADOR]],"",0))</f>
        <v>#NAME?</v>
      </c>
      <c r="V1416" s="144" t="str">
        <f t="shared" si="45"/>
        <v>85</v>
      </c>
      <c r="W1416" s="136">
        <f>+COMPROMISOS_2025[[#This Row],[valor_total]]-COMPROMISOS_2025[[#This Row],[total_cancelado]]</f>
        <v>500000</v>
      </c>
      <c r="X1416" s="136">
        <f>COMPROMISOS_2025[[#This Row],[total_ordenes]]</f>
        <v>500000</v>
      </c>
      <c r="Y1416" t="str" cm="1">
        <f t="array" aca="1" ref="Y1416" ca="1">IFERROR(_xlfn.XLOOKUP(COMPROMISOS_2025[[#This Row],[concatenado]],PAA[[#All],[RCP-RUBRO]],PAA[[#All],[Actividad3]],VLOOKUP(COMPROMISOS_2025[[#This Row],[Indicador Principal]],$AC$2:$AD$17,2,0),0),"")</f>
        <v/>
      </c>
    </row>
    <row r="1417" spans="1:25" hidden="1" x14ac:dyDescent="0.25">
      <c r="A1417">
        <v>911</v>
      </c>
      <c r="B1417" t="s">
        <v>4164</v>
      </c>
      <c r="C1417" t="s">
        <v>1936</v>
      </c>
      <c r="D1417" t="s">
        <v>4165</v>
      </c>
      <c r="F1417">
        <v>359</v>
      </c>
      <c r="G1417">
        <v>65</v>
      </c>
      <c r="H1417" t="s">
        <v>662</v>
      </c>
      <c r="I1417" t="s">
        <v>2271</v>
      </c>
      <c r="J1417">
        <v>500000</v>
      </c>
      <c r="K1417">
        <v>2025</v>
      </c>
      <c r="L1417">
        <v>1001479260</v>
      </c>
      <c r="M1417" t="s">
        <v>4168</v>
      </c>
      <c r="N1417" t="s">
        <v>1688</v>
      </c>
      <c r="O1417" t="s">
        <v>1686</v>
      </c>
      <c r="P1417">
        <v>0</v>
      </c>
      <c r="Q1417">
        <v>500000</v>
      </c>
      <c r="R1417">
        <v>0</v>
      </c>
      <c r="S1417">
        <v>0</v>
      </c>
      <c r="T1417" t="str">
        <f t="shared" si="44"/>
        <v>9112.43.4302.85.0-205128.2.3.3.08.06.</v>
      </c>
      <c r="U1417" t="e" cm="1">
        <f t="array" aca="1" ref="U1417" ca="1">+IF(COMPROMISOS_2025[[#This Row],[P]]="20","41080111",_xlfn.XLOOKUP(COMPROMISOS_2025[[#This Row],[concatenado]],PAA[[#All],[RCP-RUBRO]],PAA[[#All],[INDICADOR]],"",0))</f>
        <v>#NAME?</v>
      </c>
      <c r="V1417" s="144" t="str">
        <f t="shared" si="45"/>
        <v>85</v>
      </c>
      <c r="W1417" s="136">
        <f>+COMPROMISOS_2025[[#This Row],[valor_total]]-COMPROMISOS_2025[[#This Row],[total_cancelado]]</f>
        <v>500000</v>
      </c>
      <c r="X1417" s="136">
        <f>COMPROMISOS_2025[[#This Row],[total_ordenes]]</f>
        <v>500000</v>
      </c>
      <c r="Y1417" t="str" cm="1">
        <f t="array" aca="1" ref="Y1417" ca="1">IFERROR(_xlfn.XLOOKUP(COMPROMISOS_2025[[#This Row],[concatenado]],PAA[[#All],[RCP-RUBRO]],PAA[[#All],[Actividad3]],VLOOKUP(COMPROMISOS_2025[[#This Row],[Indicador Principal]],$AC$2:$AD$17,2,0),0),"")</f>
        <v/>
      </c>
    </row>
    <row r="1418" spans="1:25" hidden="1" x14ac:dyDescent="0.25">
      <c r="A1418">
        <v>912</v>
      </c>
      <c r="B1418" t="s">
        <v>4164</v>
      </c>
      <c r="C1418" t="s">
        <v>1936</v>
      </c>
      <c r="D1418" t="s">
        <v>4165</v>
      </c>
      <c r="F1418">
        <v>359</v>
      </c>
      <c r="G1418">
        <v>65</v>
      </c>
      <c r="H1418" t="s">
        <v>662</v>
      </c>
      <c r="I1418" t="s">
        <v>2271</v>
      </c>
      <c r="J1418">
        <v>500000</v>
      </c>
      <c r="K1418">
        <v>2025</v>
      </c>
      <c r="L1418">
        <v>1001497137</v>
      </c>
      <c r="M1418" t="s">
        <v>3600</v>
      </c>
      <c r="N1418" t="s">
        <v>1688</v>
      </c>
      <c r="O1418" t="s">
        <v>1686</v>
      </c>
      <c r="P1418">
        <v>0</v>
      </c>
      <c r="Q1418">
        <v>500000</v>
      </c>
      <c r="R1418">
        <v>0</v>
      </c>
      <c r="S1418">
        <v>0</v>
      </c>
      <c r="T1418" t="str">
        <f t="shared" si="44"/>
        <v>9122.43.4302.85.0-205128.2.3.3.08.06.</v>
      </c>
      <c r="U1418" t="e" cm="1">
        <f t="array" aca="1" ref="U1418" ca="1">+IF(COMPROMISOS_2025[[#This Row],[P]]="20","41080111",_xlfn.XLOOKUP(COMPROMISOS_2025[[#This Row],[concatenado]],PAA[[#All],[RCP-RUBRO]],PAA[[#All],[INDICADOR]],"",0))</f>
        <v>#NAME?</v>
      </c>
      <c r="V1418" s="144" t="str">
        <f t="shared" si="45"/>
        <v>85</v>
      </c>
      <c r="W1418" s="136">
        <f>+COMPROMISOS_2025[[#This Row],[valor_total]]-COMPROMISOS_2025[[#This Row],[total_cancelado]]</f>
        <v>500000</v>
      </c>
      <c r="X1418" s="136">
        <f>COMPROMISOS_2025[[#This Row],[total_ordenes]]</f>
        <v>500000</v>
      </c>
      <c r="Y1418" t="str" cm="1">
        <f t="array" aca="1" ref="Y1418" ca="1">IFERROR(_xlfn.XLOOKUP(COMPROMISOS_2025[[#This Row],[concatenado]],PAA[[#All],[RCP-RUBRO]],PAA[[#All],[Actividad3]],VLOOKUP(COMPROMISOS_2025[[#This Row],[Indicador Principal]],$AC$2:$AD$17,2,0),0),"")</f>
        <v/>
      </c>
    </row>
    <row r="1419" spans="1:25" hidden="1" x14ac:dyDescent="0.25">
      <c r="A1419">
        <v>913</v>
      </c>
      <c r="B1419" t="s">
        <v>4164</v>
      </c>
      <c r="C1419" t="s">
        <v>1936</v>
      </c>
      <c r="D1419" t="s">
        <v>4165</v>
      </c>
      <c r="F1419">
        <v>359</v>
      </c>
      <c r="G1419">
        <v>65</v>
      </c>
      <c r="H1419" t="s">
        <v>662</v>
      </c>
      <c r="I1419" t="s">
        <v>2271</v>
      </c>
      <c r="J1419">
        <v>1300000</v>
      </c>
      <c r="K1419">
        <v>2025</v>
      </c>
      <c r="L1419">
        <v>1001534811</v>
      </c>
      <c r="M1419" t="s">
        <v>3972</v>
      </c>
      <c r="N1419" t="s">
        <v>1688</v>
      </c>
      <c r="O1419" t="s">
        <v>1686</v>
      </c>
      <c r="P1419">
        <v>0</v>
      </c>
      <c r="Q1419">
        <v>1300000</v>
      </c>
      <c r="R1419">
        <v>0</v>
      </c>
      <c r="S1419">
        <v>0</v>
      </c>
      <c r="T1419" t="str">
        <f t="shared" si="44"/>
        <v>9132.43.4302.85.0-205128.2.3.3.08.06.</v>
      </c>
      <c r="U1419" t="e" cm="1">
        <f t="array" aca="1" ref="U1419" ca="1">+IF(COMPROMISOS_2025[[#This Row],[P]]="20","41080111",_xlfn.XLOOKUP(COMPROMISOS_2025[[#This Row],[concatenado]],PAA[[#All],[RCP-RUBRO]],PAA[[#All],[INDICADOR]],"",0))</f>
        <v>#NAME?</v>
      </c>
      <c r="V1419" s="144" t="str">
        <f t="shared" si="45"/>
        <v>85</v>
      </c>
      <c r="W1419" s="136">
        <f>+COMPROMISOS_2025[[#This Row],[valor_total]]-COMPROMISOS_2025[[#This Row],[total_cancelado]]</f>
        <v>1300000</v>
      </c>
      <c r="X1419" s="136">
        <f>COMPROMISOS_2025[[#This Row],[total_ordenes]]</f>
        <v>1300000</v>
      </c>
      <c r="Y1419" t="str" cm="1">
        <f t="array" aca="1" ref="Y1419" ca="1">IFERROR(_xlfn.XLOOKUP(COMPROMISOS_2025[[#This Row],[concatenado]],PAA[[#All],[RCP-RUBRO]],PAA[[#All],[Actividad3]],VLOOKUP(COMPROMISOS_2025[[#This Row],[Indicador Principal]],$AC$2:$AD$17,2,0),0),"")</f>
        <v/>
      </c>
    </row>
    <row r="1420" spans="1:25" hidden="1" x14ac:dyDescent="0.25">
      <c r="A1420">
        <v>914</v>
      </c>
      <c r="B1420" t="s">
        <v>4164</v>
      </c>
      <c r="C1420" t="s">
        <v>1936</v>
      </c>
      <c r="D1420" t="s">
        <v>4165</v>
      </c>
      <c r="F1420">
        <v>359</v>
      </c>
      <c r="G1420">
        <v>65</v>
      </c>
      <c r="H1420" t="s">
        <v>662</v>
      </c>
      <c r="I1420" t="s">
        <v>2271</v>
      </c>
      <c r="J1420">
        <v>500000</v>
      </c>
      <c r="K1420">
        <v>2025</v>
      </c>
      <c r="L1420">
        <v>1001660240</v>
      </c>
      <c r="M1420" t="s">
        <v>3973</v>
      </c>
      <c r="N1420" t="s">
        <v>1688</v>
      </c>
      <c r="O1420" t="s">
        <v>1686</v>
      </c>
      <c r="P1420">
        <v>0</v>
      </c>
      <c r="Q1420">
        <v>500000</v>
      </c>
      <c r="R1420">
        <v>0</v>
      </c>
      <c r="S1420">
        <v>0</v>
      </c>
      <c r="T1420" t="str">
        <f t="shared" si="44"/>
        <v>9142.43.4302.85.0-205128.2.3.3.08.06.</v>
      </c>
      <c r="U1420" t="e" cm="1">
        <f t="array" aca="1" ref="U1420" ca="1">+IF(COMPROMISOS_2025[[#This Row],[P]]="20","41080111",_xlfn.XLOOKUP(COMPROMISOS_2025[[#This Row],[concatenado]],PAA[[#All],[RCP-RUBRO]],PAA[[#All],[INDICADOR]],"",0))</f>
        <v>#NAME?</v>
      </c>
      <c r="V1420" s="144" t="str">
        <f t="shared" si="45"/>
        <v>85</v>
      </c>
      <c r="W1420" s="136">
        <f>+COMPROMISOS_2025[[#This Row],[valor_total]]-COMPROMISOS_2025[[#This Row],[total_cancelado]]</f>
        <v>500000</v>
      </c>
      <c r="X1420" s="136">
        <f>COMPROMISOS_2025[[#This Row],[total_ordenes]]</f>
        <v>500000</v>
      </c>
      <c r="Y1420" t="str" cm="1">
        <f t="array" aca="1" ref="Y1420" ca="1">IFERROR(_xlfn.XLOOKUP(COMPROMISOS_2025[[#This Row],[concatenado]],PAA[[#All],[RCP-RUBRO]],PAA[[#All],[Actividad3]],VLOOKUP(COMPROMISOS_2025[[#This Row],[Indicador Principal]],$AC$2:$AD$17,2,0),0),"")</f>
        <v/>
      </c>
    </row>
    <row r="1421" spans="1:25" hidden="1" x14ac:dyDescent="0.25">
      <c r="A1421">
        <v>915</v>
      </c>
      <c r="B1421" t="s">
        <v>4164</v>
      </c>
      <c r="C1421" t="s">
        <v>1936</v>
      </c>
      <c r="D1421" t="s">
        <v>4165</v>
      </c>
      <c r="F1421">
        <v>359</v>
      </c>
      <c r="G1421">
        <v>65</v>
      </c>
      <c r="H1421" t="s">
        <v>662</v>
      </c>
      <c r="I1421" t="s">
        <v>2271</v>
      </c>
      <c r="J1421">
        <v>500000</v>
      </c>
      <c r="K1421">
        <v>2025</v>
      </c>
      <c r="L1421">
        <v>1001672406</v>
      </c>
      <c r="M1421" t="s">
        <v>3974</v>
      </c>
      <c r="N1421" t="s">
        <v>1688</v>
      </c>
      <c r="O1421" t="s">
        <v>1686</v>
      </c>
      <c r="P1421">
        <v>0</v>
      </c>
      <c r="Q1421">
        <v>500000</v>
      </c>
      <c r="R1421">
        <v>0</v>
      </c>
      <c r="S1421">
        <v>0</v>
      </c>
      <c r="T1421" t="str">
        <f t="shared" si="44"/>
        <v>9152.43.4302.85.0-205128.2.3.3.08.06.</v>
      </c>
      <c r="U1421" t="e" cm="1">
        <f t="array" aca="1" ref="U1421" ca="1">+IF(COMPROMISOS_2025[[#This Row],[P]]="20","41080111",_xlfn.XLOOKUP(COMPROMISOS_2025[[#This Row],[concatenado]],PAA[[#All],[RCP-RUBRO]],PAA[[#All],[INDICADOR]],"",0))</f>
        <v>#NAME?</v>
      </c>
      <c r="V1421" s="144" t="str">
        <f t="shared" si="45"/>
        <v>85</v>
      </c>
      <c r="W1421" s="136">
        <f>+COMPROMISOS_2025[[#This Row],[valor_total]]-COMPROMISOS_2025[[#This Row],[total_cancelado]]</f>
        <v>500000</v>
      </c>
      <c r="X1421" s="136">
        <f>COMPROMISOS_2025[[#This Row],[total_ordenes]]</f>
        <v>500000</v>
      </c>
      <c r="Y1421" t="str" cm="1">
        <f t="array" aca="1" ref="Y1421" ca="1">IFERROR(_xlfn.XLOOKUP(COMPROMISOS_2025[[#This Row],[concatenado]],PAA[[#All],[RCP-RUBRO]],PAA[[#All],[Actividad3]],VLOOKUP(COMPROMISOS_2025[[#This Row],[Indicador Principal]],$AC$2:$AD$17,2,0),0),"")</f>
        <v/>
      </c>
    </row>
    <row r="1422" spans="1:25" hidden="1" x14ac:dyDescent="0.25">
      <c r="A1422">
        <v>916</v>
      </c>
      <c r="B1422" t="s">
        <v>4164</v>
      </c>
      <c r="C1422" t="s">
        <v>1936</v>
      </c>
      <c r="D1422" t="s">
        <v>4165</v>
      </c>
      <c r="F1422">
        <v>359</v>
      </c>
      <c r="G1422">
        <v>65</v>
      </c>
      <c r="H1422" t="s">
        <v>662</v>
      </c>
      <c r="I1422" t="s">
        <v>2271</v>
      </c>
      <c r="J1422">
        <v>500000</v>
      </c>
      <c r="K1422">
        <v>2025</v>
      </c>
      <c r="L1422">
        <v>1001686544</v>
      </c>
      <c r="M1422" t="s">
        <v>3975</v>
      </c>
      <c r="N1422" t="s">
        <v>1688</v>
      </c>
      <c r="O1422" t="s">
        <v>1686</v>
      </c>
      <c r="P1422">
        <v>0</v>
      </c>
      <c r="Q1422">
        <v>500000</v>
      </c>
      <c r="R1422">
        <v>0</v>
      </c>
      <c r="S1422">
        <v>0</v>
      </c>
      <c r="T1422" t="str">
        <f t="shared" si="44"/>
        <v>9162.43.4302.85.0-205128.2.3.3.08.06.</v>
      </c>
      <c r="U1422" t="e" cm="1">
        <f t="array" aca="1" ref="U1422" ca="1">+IF(COMPROMISOS_2025[[#This Row],[P]]="20","41080111",_xlfn.XLOOKUP(COMPROMISOS_2025[[#This Row],[concatenado]],PAA[[#All],[RCP-RUBRO]],PAA[[#All],[INDICADOR]],"",0))</f>
        <v>#NAME?</v>
      </c>
      <c r="V1422" s="144" t="str">
        <f t="shared" si="45"/>
        <v>85</v>
      </c>
      <c r="W1422" s="136">
        <f>+COMPROMISOS_2025[[#This Row],[valor_total]]-COMPROMISOS_2025[[#This Row],[total_cancelado]]</f>
        <v>500000</v>
      </c>
      <c r="X1422" s="136">
        <f>COMPROMISOS_2025[[#This Row],[total_ordenes]]</f>
        <v>500000</v>
      </c>
      <c r="Y1422" t="str" cm="1">
        <f t="array" aca="1" ref="Y1422" ca="1">IFERROR(_xlfn.XLOOKUP(COMPROMISOS_2025[[#This Row],[concatenado]],PAA[[#All],[RCP-RUBRO]],PAA[[#All],[Actividad3]],VLOOKUP(COMPROMISOS_2025[[#This Row],[Indicador Principal]],$AC$2:$AD$17,2,0),0),"")</f>
        <v/>
      </c>
    </row>
    <row r="1423" spans="1:25" hidden="1" x14ac:dyDescent="0.25">
      <c r="A1423">
        <v>917</v>
      </c>
      <c r="B1423" t="s">
        <v>4164</v>
      </c>
      <c r="C1423" t="s">
        <v>1936</v>
      </c>
      <c r="D1423" t="s">
        <v>4165</v>
      </c>
      <c r="F1423">
        <v>359</v>
      </c>
      <c r="G1423">
        <v>65</v>
      </c>
      <c r="H1423" t="s">
        <v>662</v>
      </c>
      <c r="I1423" t="s">
        <v>2271</v>
      </c>
      <c r="J1423">
        <v>1300000</v>
      </c>
      <c r="K1423">
        <v>2025</v>
      </c>
      <c r="L1423">
        <v>1001987856</v>
      </c>
      <c r="M1423" t="s">
        <v>3976</v>
      </c>
      <c r="N1423" t="s">
        <v>1688</v>
      </c>
      <c r="O1423" t="s">
        <v>1686</v>
      </c>
      <c r="P1423">
        <v>0</v>
      </c>
      <c r="Q1423">
        <v>1300000</v>
      </c>
      <c r="R1423">
        <v>0</v>
      </c>
      <c r="S1423">
        <v>0</v>
      </c>
      <c r="T1423" t="str">
        <f t="shared" si="44"/>
        <v>9172.43.4302.85.0-205128.2.3.3.08.06.</v>
      </c>
      <c r="U1423" t="e" cm="1">
        <f t="array" aca="1" ref="U1423" ca="1">+IF(COMPROMISOS_2025[[#This Row],[P]]="20","41080111",_xlfn.XLOOKUP(COMPROMISOS_2025[[#This Row],[concatenado]],PAA[[#All],[RCP-RUBRO]],PAA[[#All],[INDICADOR]],"",0))</f>
        <v>#NAME?</v>
      </c>
      <c r="V1423" s="144" t="str">
        <f t="shared" si="45"/>
        <v>85</v>
      </c>
      <c r="W1423" s="136">
        <f>+COMPROMISOS_2025[[#This Row],[valor_total]]-COMPROMISOS_2025[[#This Row],[total_cancelado]]</f>
        <v>1300000</v>
      </c>
      <c r="X1423" s="136">
        <f>COMPROMISOS_2025[[#This Row],[total_ordenes]]</f>
        <v>1300000</v>
      </c>
      <c r="Y1423" t="str" cm="1">
        <f t="array" aca="1" ref="Y1423" ca="1">IFERROR(_xlfn.XLOOKUP(COMPROMISOS_2025[[#This Row],[concatenado]],PAA[[#All],[RCP-RUBRO]],PAA[[#All],[Actividad3]],VLOOKUP(COMPROMISOS_2025[[#This Row],[Indicador Principal]],$AC$2:$AD$17,2,0),0),"")</f>
        <v/>
      </c>
    </row>
    <row r="1424" spans="1:25" hidden="1" x14ac:dyDescent="0.25">
      <c r="A1424">
        <v>918</v>
      </c>
      <c r="B1424" t="s">
        <v>4164</v>
      </c>
      <c r="C1424" t="s">
        <v>1936</v>
      </c>
      <c r="D1424" t="s">
        <v>4165</v>
      </c>
      <c r="F1424">
        <v>359</v>
      </c>
      <c r="G1424">
        <v>65</v>
      </c>
      <c r="H1424" t="s">
        <v>662</v>
      </c>
      <c r="I1424" t="s">
        <v>2271</v>
      </c>
      <c r="J1424">
        <v>1300000</v>
      </c>
      <c r="K1424">
        <v>2025</v>
      </c>
      <c r="L1424">
        <v>1002061079</v>
      </c>
      <c r="M1424" t="s">
        <v>3977</v>
      </c>
      <c r="N1424" t="s">
        <v>1688</v>
      </c>
      <c r="O1424" t="s">
        <v>1686</v>
      </c>
      <c r="P1424">
        <v>0</v>
      </c>
      <c r="Q1424">
        <v>1300000</v>
      </c>
      <c r="R1424">
        <v>0</v>
      </c>
      <c r="S1424">
        <v>0</v>
      </c>
      <c r="T1424" t="str">
        <f t="shared" si="44"/>
        <v>9182.43.4302.85.0-205128.2.3.3.08.06.</v>
      </c>
      <c r="U1424" t="e" cm="1">
        <f t="array" aca="1" ref="U1424" ca="1">+IF(COMPROMISOS_2025[[#This Row],[P]]="20","41080111",_xlfn.XLOOKUP(COMPROMISOS_2025[[#This Row],[concatenado]],PAA[[#All],[RCP-RUBRO]],PAA[[#All],[INDICADOR]],"",0))</f>
        <v>#NAME?</v>
      </c>
      <c r="V1424" s="144" t="str">
        <f t="shared" si="45"/>
        <v>85</v>
      </c>
      <c r="W1424" s="136">
        <f>+COMPROMISOS_2025[[#This Row],[valor_total]]-COMPROMISOS_2025[[#This Row],[total_cancelado]]</f>
        <v>1300000</v>
      </c>
      <c r="X1424" s="136">
        <f>COMPROMISOS_2025[[#This Row],[total_ordenes]]</f>
        <v>1300000</v>
      </c>
      <c r="Y1424" t="str" cm="1">
        <f t="array" aca="1" ref="Y1424" ca="1">IFERROR(_xlfn.XLOOKUP(COMPROMISOS_2025[[#This Row],[concatenado]],PAA[[#All],[RCP-RUBRO]],PAA[[#All],[Actividad3]],VLOOKUP(COMPROMISOS_2025[[#This Row],[Indicador Principal]],$AC$2:$AD$17,2,0),0),"")</f>
        <v/>
      </c>
    </row>
    <row r="1425" spans="1:25" hidden="1" x14ac:dyDescent="0.25">
      <c r="A1425">
        <v>919</v>
      </c>
      <c r="B1425" t="s">
        <v>4164</v>
      </c>
      <c r="C1425" t="s">
        <v>1936</v>
      </c>
      <c r="D1425" t="s">
        <v>4165</v>
      </c>
      <c r="F1425">
        <v>359</v>
      </c>
      <c r="G1425">
        <v>65</v>
      </c>
      <c r="H1425" t="s">
        <v>662</v>
      </c>
      <c r="I1425" t="s">
        <v>2271</v>
      </c>
      <c r="J1425">
        <v>1300000</v>
      </c>
      <c r="K1425">
        <v>2025</v>
      </c>
      <c r="L1425">
        <v>1002088003</v>
      </c>
      <c r="M1425" t="s">
        <v>3978</v>
      </c>
      <c r="N1425" t="s">
        <v>1688</v>
      </c>
      <c r="O1425" t="s">
        <v>1686</v>
      </c>
      <c r="P1425">
        <v>0</v>
      </c>
      <c r="Q1425">
        <v>1300000</v>
      </c>
      <c r="R1425">
        <v>0</v>
      </c>
      <c r="S1425">
        <v>0</v>
      </c>
      <c r="T1425" t="str">
        <f t="shared" si="44"/>
        <v>9192.43.4302.85.0-205128.2.3.3.08.06.</v>
      </c>
      <c r="U1425" t="e" cm="1">
        <f t="array" aca="1" ref="U1425" ca="1">+IF(COMPROMISOS_2025[[#This Row],[P]]="20","41080111",_xlfn.XLOOKUP(COMPROMISOS_2025[[#This Row],[concatenado]],PAA[[#All],[RCP-RUBRO]],PAA[[#All],[INDICADOR]],"",0))</f>
        <v>#NAME?</v>
      </c>
      <c r="V1425" s="144" t="str">
        <f t="shared" si="45"/>
        <v>85</v>
      </c>
      <c r="W1425" s="136">
        <f>+COMPROMISOS_2025[[#This Row],[valor_total]]-COMPROMISOS_2025[[#This Row],[total_cancelado]]</f>
        <v>1300000</v>
      </c>
      <c r="X1425" s="136">
        <f>COMPROMISOS_2025[[#This Row],[total_ordenes]]</f>
        <v>1300000</v>
      </c>
      <c r="Y1425" t="str" cm="1">
        <f t="array" aca="1" ref="Y1425" ca="1">IFERROR(_xlfn.XLOOKUP(COMPROMISOS_2025[[#This Row],[concatenado]],PAA[[#All],[RCP-RUBRO]],PAA[[#All],[Actividad3]],VLOOKUP(COMPROMISOS_2025[[#This Row],[Indicador Principal]],$AC$2:$AD$17,2,0),0),"")</f>
        <v/>
      </c>
    </row>
    <row r="1426" spans="1:25" hidden="1" x14ac:dyDescent="0.25">
      <c r="A1426">
        <v>920</v>
      </c>
      <c r="B1426" t="s">
        <v>4164</v>
      </c>
      <c r="C1426" t="s">
        <v>1936</v>
      </c>
      <c r="D1426" t="s">
        <v>4165</v>
      </c>
      <c r="F1426">
        <v>359</v>
      </c>
      <c r="G1426">
        <v>65</v>
      </c>
      <c r="H1426" t="s">
        <v>662</v>
      </c>
      <c r="I1426" t="s">
        <v>2271</v>
      </c>
      <c r="J1426">
        <v>1300000</v>
      </c>
      <c r="K1426">
        <v>2025</v>
      </c>
      <c r="L1426">
        <v>1002539015</v>
      </c>
      <c r="M1426" t="s">
        <v>3601</v>
      </c>
      <c r="N1426" t="s">
        <v>1688</v>
      </c>
      <c r="O1426" t="s">
        <v>1686</v>
      </c>
      <c r="P1426">
        <v>0</v>
      </c>
      <c r="Q1426">
        <v>1300000</v>
      </c>
      <c r="R1426">
        <v>0</v>
      </c>
      <c r="S1426">
        <v>0</v>
      </c>
      <c r="T1426" t="str">
        <f t="shared" si="44"/>
        <v>9202.43.4302.85.0-205128.2.3.3.08.06.</v>
      </c>
      <c r="U1426" t="e" cm="1">
        <f t="array" aca="1" ref="U1426" ca="1">+IF(COMPROMISOS_2025[[#This Row],[P]]="20","41080111",_xlfn.XLOOKUP(COMPROMISOS_2025[[#This Row],[concatenado]],PAA[[#All],[RCP-RUBRO]],PAA[[#All],[INDICADOR]],"",0))</f>
        <v>#NAME?</v>
      </c>
      <c r="V1426" s="144" t="str">
        <f t="shared" si="45"/>
        <v>85</v>
      </c>
      <c r="W1426" s="136">
        <f>+COMPROMISOS_2025[[#This Row],[valor_total]]-COMPROMISOS_2025[[#This Row],[total_cancelado]]</f>
        <v>1300000</v>
      </c>
      <c r="X1426" s="136">
        <f>COMPROMISOS_2025[[#This Row],[total_ordenes]]</f>
        <v>1300000</v>
      </c>
      <c r="Y1426" t="str" cm="1">
        <f t="array" aca="1" ref="Y1426" ca="1">IFERROR(_xlfn.XLOOKUP(COMPROMISOS_2025[[#This Row],[concatenado]],PAA[[#All],[RCP-RUBRO]],PAA[[#All],[Actividad3]],VLOOKUP(COMPROMISOS_2025[[#This Row],[Indicador Principal]],$AC$2:$AD$17,2,0),0),"")</f>
        <v/>
      </c>
    </row>
    <row r="1427" spans="1:25" hidden="1" x14ac:dyDescent="0.25">
      <c r="A1427">
        <v>921</v>
      </c>
      <c r="B1427" t="s">
        <v>4164</v>
      </c>
      <c r="C1427" t="s">
        <v>1936</v>
      </c>
      <c r="D1427" t="s">
        <v>4165</v>
      </c>
      <c r="F1427">
        <v>359</v>
      </c>
      <c r="G1427">
        <v>65</v>
      </c>
      <c r="H1427" t="s">
        <v>662</v>
      </c>
      <c r="I1427" t="s">
        <v>2271</v>
      </c>
      <c r="J1427">
        <v>800000</v>
      </c>
      <c r="K1427">
        <v>2025</v>
      </c>
      <c r="L1427">
        <v>1002740316</v>
      </c>
      <c r="M1427" t="s">
        <v>3602</v>
      </c>
      <c r="N1427" t="s">
        <v>1688</v>
      </c>
      <c r="O1427" t="s">
        <v>1686</v>
      </c>
      <c r="P1427">
        <v>0</v>
      </c>
      <c r="Q1427">
        <v>800000</v>
      </c>
      <c r="R1427">
        <v>0</v>
      </c>
      <c r="S1427">
        <v>0</v>
      </c>
      <c r="T1427" t="str">
        <f t="shared" si="44"/>
        <v>9212.43.4302.85.0-205128.2.3.3.08.06.</v>
      </c>
      <c r="U1427" t="e" cm="1">
        <f t="array" aca="1" ref="U1427" ca="1">+IF(COMPROMISOS_2025[[#This Row],[P]]="20","41080111",_xlfn.XLOOKUP(COMPROMISOS_2025[[#This Row],[concatenado]],PAA[[#All],[RCP-RUBRO]],PAA[[#All],[INDICADOR]],"",0))</f>
        <v>#NAME?</v>
      </c>
      <c r="V1427" s="144" t="str">
        <f t="shared" si="45"/>
        <v>85</v>
      </c>
      <c r="W1427" s="136">
        <f>+COMPROMISOS_2025[[#This Row],[valor_total]]-COMPROMISOS_2025[[#This Row],[total_cancelado]]</f>
        <v>800000</v>
      </c>
      <c r="X1427" s="136">
        <f>COMPROMISOS_2025[[#This Row],[total_ordenes]]</f>
        <v>800000</v>
      </c>
      <c r="Y1427" t="str" cm="1">
        <f t="array" aca="1" ref="Y1427" ca="1">IFERROR(_xlfn.XLOOKUP(COMPROMISOS_2025[[#This Row],[concatenado]],PAA[[#All],[RCP-RUBRO]],PAA[[#All],[Actividad3]],VLOOKUP(COMPROMISOS_2025[[#This Row],[Indicador Principal]],$AC$2:$AD$17,2,0),0),"")</f>
        <v/>
      </c>
    </row>
    <row r="1428" spans="1:25" hidden="1" x14ac:dyDescent="0.25">
      <c r="A1428">
        <v>922</v>
      </c>
      <c r="B1428" t="s">
        <v>4164</v>
      </c>
      <c r="C1428" t="s">
        <v>1936</v>
      </c>
      <c r="D1428" t="s">
        <v>4165</v>
      </c>
      <c r="F1428">
        <v>359</v>
      </c>
      <c r="G1428">
        <v>65</v>
      </c>
      <c r="H1428" t="s">
        <v>662</v>
      </c>
      <c r="I1428" t="s">
        <v>2271</v>
      </c>
      <c r="J1428">
        <v>800000</v>
      </c>
      <c r="K1428">
        <v>2025</v>
      </c>
      <c r="L1428">
        <v>1003071631</v>
      </c>
      <c r="M1428" t="s">
        <v>3979</v>
      </c>
      <c r="N1428" t="s">
        <v>1688</v>
      </c>
      <c r="O1428" t="s">
        <v>1686</v>
      </c>
      <c r="P1428">
        <v>0</v>
      </c>
      <c r="Q1428">
        <v>800000</v>
      </c>
      <c r="R1428">
        <v>0</v>
      </c>
      <c r="S1428">
        <v>0</v>
      </c>
      <c r="T1428" t="str">
        <f t="shared" si="44"/>
        <v>9222.43.4302.85.0-205128.2.3.3.08.06.</v>
      </c>
      <c r="U1428" t="e" cm="1">
        <f t="array" aca="1" ref="U1428" ca="1">+IF(COMPROMISOS_2025[[#This Row],[P]]="20","41080111",_xlfn.XLOOKUP(COMPROMISOS_2025[[#This Row],[concatenado]],PAA[[#All],[RCP-RUBRO]],PAA[[#All],[INDICADOR]],"",0))</f>
        <v>#NAME?</v>
      </c>
      <c r="V1428" s="144" t="str">
        <f t="shared" si="45"/>
        <v>85</v>
      </c>
      <c r="W1428" s="136">
        <f>+COMPROMISOS_2025[[#This Row],[valor_total]]-COMPROMISOS_2025[[#This Row],[total_cancelado]]</f>
        <v>800000</v>
      </c>
      <c r="X1428" s="136">
        <f>COMPROMISOS_2025[[#This Row],[total_ordenes]]</f>
        <v>800000</v>
      </c>
      <c r="Y1428" t="str" cm="1">
        <f t="array" aca="1" ref="Y1428" ca="1">IFERROR(_xlfn.XLOOKUP(COMPROMISOS_2025[[#This Row],[concatenado]],PAA[[#All],[RCP-RUBRO]],PAA[[#All],[Actividad3]],VLOOKUP(COMPROMISOS_2025[[#This Row],[Indicador Principal]],$AC$2:$AD$17,2,0),0),"")</f>
        <v/>
      </c>
    </row>
    <row r="1429" spans="1:25" hidden="1" x14ac:dyDescent="0.25">
      <c r="A1429">
        <v>923</v>
      </c>
      <c r="B1429" t="s">
        <v>4164</v>
      </c>
      <c r="C1429" t="s">
        <v>1936</v>
      </c>
      <c r="D1429" t="s">
        <v>4165</v>
      </c>
      <c r="F1429">
        <v>359</v>
      </c>
      <c r="G1429">
        <v>65</v>
      </c>
      <c r="H1429" t="s">
        <v>662</v>
      </c>
      <c r="I1429" t="s">
        <v>2271</v>
      </c>
      <c r="J1429">
        <v>500000</v>
      </c>
      <c r="K1429">
        <v>2025</v>
      </c>
      <c r="L1429">
        <v>1003556936</v>
      </c>
      <c r="M1429" t="s">
        <v>3980</v>
      </c>
      <c r="N1429" t="s">
        <v>1688</v>
      </c>
      <c r="O1429" t="s">
        <v>1686</v>
      </c>
      <c r="P1429">
        <v>0</v>
      </c>
      <c r="Q1429">
        <v>500000</v>
      </c>
      <c r="R1429">
        <v>0</v>
      </c>
      <c r="S1429">
        <v>0</v>
      </c>
      <c r="T1429" t="str">
        <f t="shared" si="44"/>
        <v>9232.43.4302.85.0-205128.2.3.3.08.06.</v>
      </c>
      <c r="U1429" t="e" cm="1">
        <f t="array" aca="1" ref="U1429" ca="1">+IF(COMPROMISOS_2025[[#This Row],[P]]="20","41080111",_xlfn.XLOOKUP(COMPROMISOS_2025[[#This Row],[concatenado]],PAA[[#All],[RCP-RUBRO]],PAA[[#All],[INDICADOR]],"",0))</f>
        <v>#NAME?</v>
      </c>
      <c r="V1429" s="144" t="str">
        <f t="shared" si="45"/>
        <v>85</v>
      </c>
      <c r="W1429" s="136">
        <f>+COMPROMISOS_2025[[#This Row],[valor_total]]-COMPROMISOS_2025[[#This Row],[total_cancelado]]</f>
        <v>500000</v>
      </c>
      <c r="X1429" s="136">
        <f>COMPROMISOS_2025[[#This Row],[total_ordenes]]</f>
        <v>500000</v>
      </c>
      <c r="Y1429" t="str" cm="1">
        <f t="array" aca="1" ref="Y1429" ca="1">IFERROR(_xlfn.XLOOKUP(COMPROMISOS_2025[[#This Row],[concatenado]],PAA[[#All],[RCP-RUBRO]],PAA[[#All],[Actividad3]],VLOOKUP(COMPROMISOS_2025[[#This Row],[Indicador Principal]],$AC$2:$AD$17,2,0),0),"")</f>
        <v/>
      </c>
    </row>
    <row r="1430" spans="1:25" hidden="1" x14ac:dyDescent="0.25">
      <c r="A1430">
        <v>924</v>
      </c>
      <c r="B1430" t="s">
        <v>4164</v>
      </c>
      <c r="C1430" t="s">
        <v>1936</v>
      </c>
      <c r="D1430" t="s">
        <v>4165</v>
      </c>
      <c r="F1430">
        <v>359</v>
      </c>
      <c r="G1430">
        <v>65</v>
      </c>
      <c r="H1430" t="s">
        <v>662</v>
      </c>
      <c r="I1430" t="s">
        <v>2271</v>
      </c>
      <c r="J1430">
        <v>1300000</v>
      </c>
      <c r="K1430">
        <v>2025</v>
      </c>
      <c r="L1430">
        <v>1003656615</v>
      </c>
      <c r="M1430" t="s">
        <v>3981</v>
      </c>
      <c r="N1430" t="s">
        <v>1688</v>
      </c>
      <c r="O1430" t="s">
        <v>1686</v>
      </c>
      <c r="P1430">
        <v>0</v>
      </c>
      <c r="Q1430">
        <v>1300000</v>
      </c>
      <c r="R1430">
        <v>0</v>
      </c>
      <c r="S1430">
        <v>0</v>
      </c>
      <c r="T1430" t="str">
        <f t="shared" si="44"/>
        <v>9242.43.4302.85.0-205128.2.3.3.08.06.</v>
      </c>
      <c r="U1430" t="e" cm="1">
        <f t="array" aca="1" ref="U1430" ca="1">+IF(COMPROMISOS_2025[[#This Row],[P]]="20","41080111",_xlfn.XLOOKUP(COMPROMISOS_2025[[#This Row],[concatenado]],PAA[[#All],[RCP-RUBRO]],PAA[[#All],[INDICADOR]],"",0))</f>
        <v>#NAME?</v>
      </c>
      <c r="V1430" s="144" t="str">
        <f t="shared" si="45"/>
        <v>85</v>
      </c>
      <c r="W1430" s="136">
        <f>+COMPROMISOS_2025[[#This Row],[valor_total]]-COMPROMISOS_2025[[#This Row],[total_cancelado]]</f>
        <v>1300000</v>
      </c>
      <c r="X1430" s="136">
        <f>COMPROMISOS_2025[[#This Row],[total_ordenes]]</f>
        <v>1300000</v>
      </c>
      <c r="Y1430" t="str" cm="1">
        <f t="array" aca="1" ref="Y1430" ca="1">IFERROR(_xlfn.XLOOKUP(COMPROMISOS_2025[[#This Row],[concatenado]],PAA[[#All],[RCP-RUBRO]],PAA[[#All],[Actividad3]],VLOOKUP(COMPROMISOS_2025[[#This Row],[Indicador Principal]],$AC$2:$AD$17,2,0),0),"")</f>
        <v/>
      </c>
    </row>
    <row r="1431" spans="1:25" hidden="1" x14ac:dyDescent="0.25">
      <c r="A1431">
        <v>925</v>
      </c>
      <c r="B1431" t="s">
        <v>4164</v>
      </c>
      <c r="C1431" t="s">
        <v>1936</v>
      </c>
      <c r="D1431" t="s">
        <v>4165</v>
      </c>
      <c r="F1431">
        <v>359</v>
      </c>
      <c r="G1431">
        <v>65</v>
      </c>
      <c r="H1431" t="s">
        <v>662</v>
      </c>
      <c r="I1431" t="s">
        <v>2271</v>
      </c>
      <c r="J1431">
        <v>1000000</v>
      </c>
      <c r="K1431">
        <v>2025</v>
      </c>
      <c r="L1431">
        <v>1003854434</v>
      </c>
      <c r="M1431" t="s">
        <v>3982</v>
      </c>
      <c r="N1431" t="s">
        <v>1688</v>
      </c>
      <c r="O1431" t="s">
        <v>1686</v>
      </c>
      <c r="P1431">
        <v>0</v>
      </c>
      <c r="Q1431">
        <v>1000000</v>
      </c>
      <c r="R1431">
        <v>0</v>
      </c>
      <c r="S1431">
        <v>0</v>
      </c>
      <c r="T1431" t="str">
        <f t="shared" si="44"/>
        <v>9252.43.4302.85.0-205128.2.3.3.08.06.</v>
      </c>
      <c r="U1431" t="e" cm="1">
        <f t="array" aca="1" ref="U1431" ca="1">+IF(COMPROMISOS_2025[[#This Row],[P]]="20","41080111",_xlfn.XLOOKUP(COMPROMISOS_2025[[#This Row],[concatenado]],PAA[[#All],[RCP-RUBRO]],PAA[[#All],[INDICADOR]],"",0))</f>
        <v>#NAME?</v>
      </c>
      <c r="V1431" s="144" t="str">
        <f t="shared" si="45"/>
        <v>85</v>
      </c>
      <c r="W1431" s="136">
        <f>+COMPROMISOS_2025[[#This Row],[valor_total]]-COMPROMISOS_2025[[#This Row],[total_cancelado]]</f>
        <v>1000000</v>
      </c>
      <c r="X1431" s="136">
        <f>COMPROMISOS_2025[[#This Row],[total_ordenes]]</f>
        <v>1000000</v>
      </c>
      <c r="Y1431" t="str" cm="1">
        <f t="array" aca="1" ref="Y1431" ca="1">IFERROR(_xlfn.XLOOKUP(COMPROMISOS_2025[[#This Row],[concatenado]],PAA[[#All],[RCP-RUBRO]],PAA[[#All],[Actividad3]],VLOOKUP(COMPROMISOS_2025[[#This Row],[Indicador Principal]],$AC$2:$AD$17,2,0),0),"")</f>
        <v/>
      </c>
    </row>
    <row r="1432" spans="1:25" hidden="1" x14ac:dyDescent="0.25">
      <c r="A1432">
        <v>926</v>
      </c>
      <c r="B1432" t="s">
        <v>4164</v>
      </c>
      <c r="C1432" t="s">
        <v>1936</v>
      </c>
      <c r="D1432" t="s">
        <v>4165</v>
      </c>
      <c r="F1432">
        <v>359</v>
      </c>
      <c r="G1432">
        <v>65</v>
      </c>
      <c r="H1432" t="s">
        <v>662</v>
      </c>
      <c r="I1432" t="s">
        <v>2271</v>
      </c>
      <c r="J1432">
        <v>1300000</v>
      </c>
      <c r="K1432">
        <v>2025</v>
      </c>
      <c r="L1432">
        <v>1003933793</v>
      </c>
      <c r="M1432" t="s">
        <v>3983</v>
      </c>
      <c r="N1432" t="s">
        <v>1688</v>
      </c>
      <c r="O1432" t="s">
        <v>1686</v>
      </c>
      <c r="P1432">
        <v>0</v>
      </c>
      <c r="Q1432">
        <v>1300000</v>
      </c>
      <c r="R1432">
        <v>0</v>
      </c>
      <c r="S1432">
        <v>0</v>
      </c>
      <c r="T1432" t="str">
        <f t="shared" si="44"/>
        <v>9262.43.4302.85.0-205128.2.3.3.08.06.</v>
      </c>
      <c r="U1432" t="e" cm="1">
        <f t="array" aca="1" ref="U1432" ca="1">+IF(COMPROMISOS_2025[[#This Row],[P]]="20","41080111",_xlfn.XLOOKUP(COMPROMISOS_2025[[#This Row],[concatenado]],PAA[[#All],[RCP-RUBRO]],PAA[[#All],[INDICADOR]],"",0))</f>
        <v>#NAME?</v>
      </c>
      <c r="V1432" s="144" t="str">
        <f t="shared" si="45"/>
        <v>85</v>
      </c>
      <c r="W1432" s="136">
        <f>+COMPROMISOS_2025[[#This Row],[valor_total]]-COMPROMISOS_2025[[#This Row],[total_cancelado]]</f>
        <v>1300000</v>
      </c>
      <c r="X1432" s="136">
        <f>COMPROMISOS_2025[[#This Row],[total_ordenes]]</f>
        <v>1300000</v>
      </c>
      <c r="Y1432" t="str" cm="1">
        <f t="array" aca="1" ref="Y1432" ca="1">IFERROR(_xlfn.XLOOKUP(COMPROMISOS_2025[[#This Row],[concatenado]],PAA[[#All],[RCP-RUBRO]],PAA[[#All],[Actividad3]],VLOOKUP(COMPROMISOS_2025[[#This Row],[Indicador Principal]],$AC$2:$AD$17,2,0),0),"")</f>
        <v/>
      </c>
    </row>
    <row r="1433" spans="1:25" hidden="1" x14ac:dyDescent="0.25">
      <c r="A1433">
        <v>927</v>
      </c>
      <c r="B1433" t="s">
        <v>4164</v>
      </c>
      <c r="C1433" t="s">
        <v>1936</v>
      </c>
      <c r="D1433" t="s">
        <v>4165</v>
      </c>
      <c r="F1433">
        <v>359</v>
      </c>
      <c r="G1433">
        <v>65</v>
      </c>
      <c r="H1433" t="s">
        <v>662</v>
      </c>
      <c r="I1433" t="s">
        <v>2271</v>
      </c>
      <c r="J1433">
        <v>1300000</v>
      </c>
      <c r="K1433">
        <v>2025</v>
      </c>
      <c r="L1433">
        <v>1004010852</v>
      </c>
      <c r="M1433" t="s">
        <v>3984</v>
      </c>
      <c r="N1433" t="s">
        <v>1688</v>
      </c>
      <c r="O1433" t="s">
        <v>1686</v>
      </c>
      <c r="P1433">
        <v>0</v>
      </c>
      <c r="Q1433">
        <v>1300000</v>
      </c>
      <c r="R1433">
        <v>0</v>
      </c>
      <c r="S1433">
        <v>0</v>
      </c>
      <c r="T1433" t="str">
        <f t="shared" si="44"/>
        <v>9272.43.4302.85.0-205128.2.3.3.08.06.</v>
      </c>
      <c r="U1433" t="e" cm="1">
        <f t="array" aca="1" ref="U1433" ca="1">+IF(COMPROMISOS_2025[[#This Row],[P]]="20","41080111",_xlfn.XLOOKUP(COMPROMISOS_2025[[#This Row],[concatenado]],PAA[[#All],[RCP-RUBRO]],PAA[[#All],[INDICADOR]],"",0))</f>
        <v>#NAME?</v>
      </c>
      <c r="V1433" s="144" t="str">
        <f t="shared" si="45"/>
        <v>85</v>
      </c>
      <c r="W1433" s="136">
        <f>+COMPROMISOS_2025[[#This Row],[valor_total]]-COMPROMISOS_2025[[#This Row],[total_cancelado]]</f>
        <v>1300000</v>
      </c>
      <c r="X1433" s="136">
        <f>COMPROMISOS_2025[[#This Row],[total_ordenes]]</f>
        <v>1300000</v>
      </c>
      <c r="Y1433" t="str" cm="1">
        <f t="array" aca="1" ref="Y1433" ca="1">IFERROR(_xlfn.XLOOKUP(COMPROMISOS_2025[[#This Row],[concatenado]],PAA[[#All],[RCP-RUBRO]],PAA[[#All],[Actividad3]],VLOOKUP(COMPROMISOS_2025[[#This Row],[Indicador Principal]],$AC$2:$AD$17,2,0),0),"")</f>
        <v/>
      </c>
    </row>
    <row r="1434" spans="1:25" hidden="1" x14ac:dyDescent="0.25">
      <c r="A1434">
        <v>928</v>
      </c>
      <c r="B1434" t="s">
        <v>4164</v>
      </c>
      <c r="C1434" t="s">
        <v>1936</v>
      </c>
      <c r="D1434" t="s">
        <v>4165</v>
      </c>
      <c r="F1434">
        <v>359</v>
      </c>
      <c r="G1434">
        <v>65</v>
      </c>
      <c r="H1434" t="s">
        <v>662</v>
      </c>
      <c r="I1434" t="s">
        <v>2271</v>
      </c>
      <c r="J1434">
        <v>500000</v>
      </c>
      <c r="K1434">
        <v>2025</v>
      </c>
      <c r="L1434">
        <v>1004912774</v>
      </c>
      <c r="M1434" t="s">
        <v>3605</v>
      </c>
      <c r="N1434" t="s">
        <v>1688</v>
      </c>
      <c r="O1434" t="s">
        <v>1686</v>
      </c>
      <c r="P1434">
        <v>0</v>
      </c>
      <c r="Q1434">
        <v>500000</v>
      </c>
      <c r="R1434">
        <v>0</v>
      </c>
      <c r="S1434">
        <v>0</v>
      </c>
      <c r="T1434" t="str">
        <f t="shared" si="44"/>
        <v>9282.43.4302.85.0-205128.2.3.3.08.06.</v>
      </c>
      <c r="U1434" t="e" cm="1">
        <f t="array" aca="1" ref="U1434" ca="1">+IF(COMPROMISOS_2025[[#This Row],[P]]="20","41080111",_xlfn.XLOOKUP(COMPROMISOS_2025[[#This Row],[concatenado]],PAA[[#All],[RCP-RUBRO]],PAA[[#All],[INDICADOR]],"",0))</f>
        <v>#NAME?</v>
      </c>
      <c r="V1434" s="144" t="str">
        <f t="shared" si="45"/>
        <v>85</v>
      </c>
      <c r="W1434" s="136">
        <f>+COMPROMISOS_2025[[#This Row],[valor_total]]-COMPROMISOS_2025[[#This Row],[total_cancelado]]</f>
        <v>500000</v>
      </c>
      <c r="X1434" s="136">
        <f>COMPROMISOS_2025[[#This Row],[total_ordenes]]</f>
        <v>500000</v>
      </c>
      <c r="Y1434" t="str" cm="1">
        <f t="array" aca="1" ref="Y1434" ca="1">IFERROR(_xlfn.XLOOKUP(COMPROMISOS_2025[[#This Row],[concatenado]],PAA[[#All],[RCP-RUBRO]],PAA[[#All],[Actividad3]],VLOOKUP(COMPROMISOS_2025[[#This Row],[Indicador Principal]],$AC$2:$AD$17,2,0),0),"")</f>
        <v/>
      </c>
    </row>
    <row r="1435" spans="1:25" hidden="1" x14ac:dyDescent="0.25">
      <c r="A1435">
        <v>929</v>
      </c>
      <c r="B1435" t="s">
        <v>4164</v>
      </c>
      <c r="C1435" t="s">
        <v>1936</v>
      </c>
      <c r="D1435" t="s">
        <v>4165</v>
      </c>
      <c r="F1435">
        <v>359</v>
      </c>
      <c r="G1435">
        <v>65</v>
      </c>
      <c r="H1435" t="s">
        <v>662</v>
      </c>
      <c r="I1435" t="s">
        <v>2271</v>
      </c>
      <c r="J1435">
        <v>800000</v>
      </c>
      <c r="K1435">
        <v>2025</v>
      </c>
      <c r="L1435">
        <v>1006182134</v>
      </c>
      <c r="M1435" t="s">
        <v>3985</v>
      </c>
      <c r="N1435" t="s">
        <v>1688</v>
      </c>
      <c r="O1435" t="s">
        <v>1686</v>
      </c>
      <c r="P1435">
        <v>0</v>
      </c>
      <c r="Q1435">
        <v>800000</v>
      </c>
      <c r="R1435">
        <v>0</v>
      </c>
      <c r="S1435">
        <v>0</v>
      </c>
      <c r="T1435" t="str">
        <f t="shared" si="44"/>
        <v>9292.43.4302.85.0-205128.2.3.3.08.06.</v>
      </c>
      <c r="U1435" t="e" cm="1">
        <f t="array" aca="1" ref="U1435" ca="1">+IF(COMPROMISOS_2025[[#This Row],[P]]="20","41080111",_xlfn.XLOOKUP(COMPROMISOS_2025[[#This Row],[concatenado]],PAA[[#All],[RCP-RUBRO]],PAA[[#All],[INDICADOR]],"",0))</f>
        <v>#NAME?</v>
      </c>
      <c r="V1435" s="144" t="str">
        <f t="shared" si="45"/>
        <v>85</v>
      </c>
      <c r="W1435" s="136">
        <f>+COMPROMISOS_2025[[#This Row],[valor_total]]-COMPROMISOS_2025[[#This Row],[total_cancelado]]</f>
        <v>800000</v>
      </c>
      <c r="X1435" s="136">
        <f>COMPROMISOS_2025[[#This Row],[total_ordenes]]</f>
        <v>800000</v>
      </c>
      <c r="Y1435" t="str" cm="1">
        <f t="array" aca="1" ref="Y1435" ca="1">IFERROR(_xlfn.XLOOKUP(COMPROMISOS_2025[[#This Row],[concatenado]],PAA[[#All],[RCP-RUBRO]],PAA[[#All],[Actividad3]],VLOOKUP(COMPROMISOS_2025[[#This Row],[Indicador Principal]],$AC$2:$AD$17,2,0),0),"")</f>
        <v/>
      </c>
    </row>
    <row r="1436" spans="1:25" hidden="1" x14ac:dyDescent="0.25">
      <c r="A1436">
        <v>930</v>
      </c>
      <c r="B1436" t="s">
        <v>4164</v>
      </c>
      <c r="C1436" t="s">
        <v>1936</v>
      </c>
      <c r="D1436" t="s">
        <v>4165</v>
      </c>
      <c r="F1436">
        <v>359</v>
      </c>
      <c r="G1436">
        <v>65</v>
      </c>
      <c r="H1436" t="s">
        <v>662</v>
      </c>
      <c r="I1436" t="s">
        <v>2271</v>
      </c>
      <c r="J1436">
        <v>500000</v>
      </c>
      <c r="K1436">
        <v>2025</v>
      </c>
      <c r="L1436">
        <v>1006207346</v>
      </c>
      <c r="M1436" t="s">
        <v>3606</v>
      </c>
      <c r="N1436" t="s">
        <v>1688</v>
      </c>
      <c r="O1436" t="s">
        <v>1686</v>
      </c>
      <c r="P1436">
        <v>0</v>
      </c>
      <c r="Q1436">
        <v>500000</v>
      </c>
      <c r="R1436">
        <v>0</v>
      </c>
      <c r="S1436">
        <v>0</v>
      </c>
      <c r="T1436" t="str">
        <f t="shared" si="44"/>
        <v>9302.43.4302.85.0-205128.2.3.3.08.06.</v>
      </c>
      <c r="U1436" t="e" cm="1">
        <f t="array" aca="1" ref="U1436" ca="1">+IF(COMPROMISOS_2025[[#This Row],[P]]="20","41080111",_xlfn.XLOOKUP(COMPROMISOS_2025[[#This Row],[concatenado]],PAA[[#All],[RCP-RUBRO]],PAA[[#All],[INDICADOR]],"",0))</f>
        <v>#NAME?</v>
      </c>
      <c r="V1436" s="144" t="str">
        <f t="shared" si="45"/>
        <v>85</v>
      </c>
      <c r="W1436" s="136">
        <f>+COMPROMISOS_2025[[#This Row],[valor_total]]-COMPROMISOS_2025[[#This Row],[total_cancelado]]</f>
        <v>500000</v>
      </c>
      <c r="X1436" s="136">
        <f>COMPROMISOS_2025[[#This Row],[total_ordenes]]</f>
        <v>500000</v>
      </c>
      <c r="Y1436" t="str" cm="1">
        <f t="array" aca="1" ref="Y1436" ca="1">IFERROR(_xlfn.XLOOKUP(COMPROMISOS_2025[[#This Row],[concatenado]],PAA[[#All],[RCP-RUBRO]],PAA[[#All],[Actividad3]],VLOOKUP(COMPROMISOS_2025[[#This Row],[Indicador Principal]],$AC$2:$AD$17,2,0),0),"")</f>
        <v/>
      </c>
    </row>
    <row r="1437" spans="1:25" hidden="1" x14ac:dyDescent="0.25">
      <c r="A1437">
        <v>931</v>
      </c>
      <c r="B1437" t="s">
        <v>4164</v>
      </c>
      <c r="C1437" t="s">
        <v>1936</v>
      </c>
      <c r="D1437" t="s">
        <v>4165</v>
      </c>
      <c r="F1437">
        <v>359</v>
      </c>
      <c r="G1437">
        <v>65</v>
      </c>
      <c r="H1437" t="s">
        <v>662</v>
      </c>
      <c r="I1437" t="s">
        <v>2271</v>
      </c>
      <c r="J1437">
        <v>1300000</v>
      </c>
      <c r="K1437">
        <v>2025</v>
      </c>
      <c r="L1437">
        <v>1006318727</v>
      </c>
      <c r="M1437" t="s">
        <v>3607</v>
      </c>
      <c r="N1437" t="s">
        <v>1688</v>
      </c>
      <c r="O1437" t="s">
        <v>1686</v>
      </c>
      <c r="P1437">
        <v>0</v>
      </c>
      <c r="Q1437">
        <v>1300000</v>
      </c>
      <c r="R1437">
        <v>0</v>
      </c>
      <c r="S1437">
        <v>0</v>
      </c>
      <c r="T1437" t="str">
        <f t="shared" si="44"/>
        <v>9312.43.4302.85.0-205128.2.3.3.08.06.</v>
      </c>
      <c r="U1437" t="e" cm="1">
        <f t="array" aca="1" ref="U1437" ca="1">+IF(COMPROMISOS_2025[[#This Row],[P]]="20","41080111",_xlfn.XLOOKUP(COMPROMISOS_2025[[#This Row],[concatenado]],PAA[[#All],[RCP-RUBRO]],PAA[[#All],[INDICADOR]],"",0))</f>
        <v>#NAME?</v>
      </c>
      <c r="V1437" s="144" t="str">
        <f t="shared" si="45"/>
        <v>85</v>
      </c>
      <c r="W1437" s="136">
        <f>+COMPROMISOS_2025[[#This Row],[valor_total]]-COMPROMISOS_2025[[#This Row],[total_cancelado]]</f>
        <v>1300000</v>
      </c>
      <c r="X1437" s="136">
        <f>COMPROMISOS_2025[[#This Row],[total_ordenes]]</f>
        <v>1300000</v>
      </c>
      <c r="Y1437" t="str" cm="1">
        <f t="array" aca="1" ref="Y1437" ca="1">IFERROR(_xlfn.XLOOKUP(COMPROMISOS_2025[[#This Row],[concatenado]],PAA[[#All],[RCP-RUBRO]],PAA[[#All],[Actividad3]],VLOOKUP(COMPROMISOS_2025[[#This Row],[Indicador Principal]],$AC$2:$AD$17,2,0),0),"")</f>
        <v/>
      </c>
    </row>
    <row r="1438" spans="1:25" hidden="1" x14ac:dyDescent="0.25">
      <c r="A1438">
        <v>932</v>
      </c>
      <c r="B1438" t="s">
        <v>4164</v>
      </c>
      <c r="C1438" t="s">
        <v>1936</v>
      </c>
      <c r="D1438" t="s">
        <v>4165</v>
      </c>
      <c r="F1438">
        <v>359</v>
      </c>
      <c r="G1438">
        <v>65</v>
      </c>
      <c r="H1438" t="s">
        <v>662</v>
      </c>
      <c r="I1438" t="s">
        <v>2271</v>
      </c>
      <c r="J1438">
        <v>500000</v>
      </c>
      <c r="K1438">
        <v>2025</v>
      </c>
      <c r="L1438">
        <v>1006491022</v>
      </c>
      <c r="M1438" t="s">
        <v>3986</v>
      </c>
      <c r="N1438" t="s">
        <v>1688</v>
      </c>
      <c r="O1438" t="s">
        <v>1686</v>
      </c>
      <c r="P1438">
        <v>0</v>
      </c>
      <c r="Q1438">
        <v>500000</v>
      </c>
      <c r="R1438">
        <v>0</v>
      </c>
      <c r="S1438">
        <v>0</v>
      </c>
      <c r="T1438" t="str">
        <f t="shared" si="44"/>
        <v>9322.43.4302.85.0-205128.2.3.3.08.06.</v>
      </c>
      <c r="U1438" t="e" cm="1">
        <f t="array" aca="1" ref="U1438" ca="1">+IF(COMPROMISOS_2025[[#This Row],[P]]="20","41080111",_xlfn.XLOOKUP(COMPROMISOS_2025[[#This Row],[concatenado]],PAA[[#All],[RCP-RUBRO]],PAA[[#All],[INDICADOR]],"",0))</f>
        <v>#NAME?</v>
      </c>
      <c r="V1438" s="144" t="str">
        <f t="shared" si="45"/>
        <v>85</v>
      </c>
      <c r="W1438" s="136">
        <f>+COMPROMISOS_2025[[#This Row],[valor_total]]-COMPROMISOS_2025[[#This Row],[total_cancelado]]</f>
        <v>500000</v>
      </c>
      <c r="X1438" s="136">
        <f>COMPROMISOS_2025[[#This Row],[total_ordenes]]</f>
        <v>500000</v>
      </c>
      <c r="Y1438" t="str" cm="1">
        <f t="array" aca="1" ref="Y1438" ca="1">IFERROR(_xlfn.XLOOKUP(COMPROMISOS_2025[[#This Row],[concatenado]],PAA[[#All],[RCP-RUBRO]],PAA[[#All],[Actividad3]],VLOOKUP(COMPROMISOS_2025[[#This Row],[Indicador Principal]],$AC$2:$AD$17,2,0),0),"")</f>
        <v/>
      </c>
    </row>
    <row r="1439" spans="1:25" hidden="1" x14ac:dyDescent="0.25">
      <c r="A1439">
        <v>933</v>
      </c>
      <c r="B1439" t="s">
        <v>4164</v>
      </c>
      <c r="C1439" t="s">
        <v>1936</v>
      </c>
      <c r="D1439" t="s">
        <v>4165</v>
      </c>
      <c r="F1439">
        <v>359</v>
      </c>
      <c r="G1439">
        <v>65</v>
      </c>
      <c r="H1439" t="s">
        <v>662</v>
      </c>
      <c r="I1439" t="s">
        <v>2271</v>
      </c>
      <c r="J1439">
        <v>500000</v>
      </c>
      <c r="K1439">
        <v>2025</v>
      </c>
      <c r="L1439">
        <v>1006512612</v>
      </c>
      <c r="M1439" t="s">
        <v>3987</v>
      </c>
      <c r="N1439" t="s">
        <v>1688</v>
      </c>
      <c r="O1439" t="s">
        <v>1686</v>
      </c>
      <c r="P1439">
        <v>0</v>
      </c>
      <c r="Q1439">
        <v>500000</v>
      </c>
      <c r="R1439">
        <v>0</v>
      </c>
      <c r="S1439">
        <v>0</v>
      </c>
      <c r="T1439" t="str">
        <f t="shared" si="44"/>
        <v>9332.43.4302.85.0-205128.2.3.3.08.06.</v>
      </c>
      <c r="U1439" t="e" cm="1">
        <f t="array" aca="1" ref="U1439" ca="1">+IF(COMPROMISOS_2025[[#This Row],[P]]="20","41080111",_xlfn.XLOOKUP(COMPROMISOS_2025[[#This Row],[concatenado]],PAA[[#All],[RCP-RUBRO]],PAA[[#All],[INDICADOR]],"",0))</f>
        <v>#NAME?</v>
      </c>
      <c r="V1439" s="144" t="str">
        <f t="shared" si="45"/>
        <v>85</v>
      </c>
      <c r="W1439" s="136">
        <f>+COMPROMISOS_2025[[#This Row],[valor_total]]-COMPROMISOS_2025[[#This Row],[total_cancelado]]</f>
        <v>500000</v>
      </c>
      <c r="X1439" s="136">
        <f>COMPROMISOS_2025[[#This Row],[total_ordenes]]</f>
        <v>500000</v>
      </c>
      <c r="Y1439" t="str" cm="1">
        <f t="array" aca="1" ref="Y1439" ca="1">IFERROR(_xlfn.XLOOKUP(COMPROMISOS_2025[[#This Row],[concatenado]],PAA[[#All],[RCP-RUBRO]],PAA[[#All],[Actividad3]],VLOOKUP(COMPROMISOS_2025[[#This Row],[Indicador Principal]],$AC$2:$AD$17,2,0),0),"")</f>
        <v/>
      </c>
    </row>
    <row r="1440" spans="1:25" hidden="1" x14ac:dyDescent="0.25">
      <c r="A1440">
        <v>934</v>
      </c>
      <c r="B1440" t="s">
        <v>4164</v>
      </c>
      <c r="C1440" t="s">
        <v>1936</v>
      </c>
      <c r="D1440" t="s">
        <v>4165</v>
      </c>
      <c r="F1440">
        <v>359</v>
      </c>
      <c r="G1440">
        <v>65</v>
      </c>
      <c r="H1440" t="s">
        <v>662</v>
      </c>
      <c r="I1440" t="s">
        <v>2271</v>
      </c>
      <c r="J1440">
        <v>1300000</v>
      </c>
      <c r="K1440">
        <v>2025</v>
      </c>
      <c r="L1440">
        <v>1007271880</v>
      </c>
      <c r="M1440" t="s">
        <v>3988</v>
      </c>
      <c r="N1440" t="s">
        <v>1688</v>
      </c>
      <c r="O1440" t="s">
        <v>1686</v>
      </c>
      <c r="P1440">
        <v>0</v>
      </c>
      <c r="Q1440">
        <v>1300000</v>
      </c>
      <c r="R1440">
        <v>0</v>
      </c>
      <c r="S1440">
        <v>0</v>
      </c>
      <c r="T1440" t="str">
        <f t="shared" si="44"/>
        <v>9342.43.4302.85.0-205128.2.3.3.08.06.</v>
      </c>
      <c r="U1440" t="e" cm="1">
        <f t="array" aca="1" ref="U1440" ca="1">+IF(COMPROMISOS_2025[[#This Row],[P]]="20","41080111",_xlfn.XLOOKUP(COMPROMISOS_2025[[#This Row],[concatenado]],PAA[[#All],[RCP-RUBRO]],PAA[[#All],[INDICADOR]],"",0))</f>
        <v>#NAME?</v>
      </c>
      <c r="V1440" s="144" t="str">
        <f t="shared" si="45"/>
        <v>85</v>
      </c>
      <c r="W1440" s="136">
        <f>+COMPROMISOS_2025[[#This Row],[valor_total]]-COMPROMISOS_2025[[#This Row],[total_cancelado]]</f>
        <v>1300000</v>
      </c>
      <c r="X1440" s="136">
        <f>COMPROMISOS_2025[[#This Row],[total_ordenes]]</f>
        <v>1300000</v>
      </c>
      <c r="Y1440" t="str" cm="1">
        <f t="array" aca="1" ref="Y1440" ca="1">IFERROR(_xlfn.XLOOKUP(COMPROMISOS_2025[[#This Row],[concatenado]],PAA[[#All],[RCP-RUBRO]],PAA[[#All],[Actividad3]],VLOOKUP(COMPROMISOS_2025[[#This Row],[Indicador Principal]],$AC$2:$AD$17,2,0),0),"")</f>
        <v/>
      </c>
    </row>
    <row r="1441" spans="1:25" hidden="1" x14ac:dyDescent="0.25">
      <c r="A1441">
        <v>935</v>
      </c>
      <c r="B1441" t="s">
        <v>4164</v>
      </c>
      <c r="C1441" t="s">
        <v>1936</v>
      </c>
      <c r="D1441" t="s">
        <v>4165</v>
      </c>
      <c r="F1441">
        <v>359</v>
      </c>
      <c r="G1441">
        <v>65</v>
      </c>
      <c r="H1441" t="s">
        <v>662</v>
      </c>
      <c r="I1441" t="s">
        <v>2271</v>
      </c>
      <c r="J1441">
        <v>500000</v>
      </c>
      <c r="K1441">
        <v>2025</v>
      </c>
      <c r="L1441">
        <v>1007286498</v>
      </c>
      <c r="M1441" t="s">
        <v>3989</v>
      </c>
      <c r="N1441" t="s">
        <v>1688</v>
      </c>
      <c r="O1441" t="s">
        <v>1686</v>
      </c>
      <c r="P1441">
        <v>0</v>
      </c>
      <c r="Q1441">
        <v>500000</v>
      </c>
      <c r="R1441">
        <v>0</v>
      </c>
      <c r="S1441">
        <v>0</v>
      </c>
      <c r="T1441" t="str">
        <f t="shared" si="44"/>
        <v>9352.43.4302.85.0-205128.2.3.3.08.06.</v>
      </c>
      <c r="U1441" t="e" cm="1">
        <f t="array" aca="1" ref="U1441" ca="1">+IF(COMPROMISOS_2025[[#This Row],[P]]="20","41080111",_xlfn.XLOOKUP(COMPROMISOS_2025[[#This Row],[concatenado]],PAA[[#All],[RCP-RUBRO]],PAA[[#All],[INDICADOR]],"",0))</f>
        <v>#NAME?</v>
      </c>
      <c r="V1441" s="144" t="str">
        <f t="shared" si="45"/>
        <v>85</v>
      </c>
      <c r="W1441" s="136">
        <f>+COMPROMISOS_2025[[#This Row],[valor_total]]-COMPROMISOS_2025[[#This Row],[total_cancelado]]</f>
        <v>500000</v>
      </c>
      <c r="X1441" s="136">
        <f>COMPROMISOS_2025[[#This Row],[total_ordenes]]</f>
        <v>500000</v>
      </c>
      <c r="Y1441" t="str" cm="1">
        <f t="array" aca="1" ref="Y1441" ca="1">IFERROR(_xlfn.XLOOKUP(COMPROMISOS_2025[[#This Row],[concatenado]],PAA[[#All],[RCP-RUBRO]],PAA[[#All],[Actividad3]],VLOOKUP(COMPROMISOS_2025[[#This Row],[Indicador Principal]],$AC$2:$AD$17,2,0),0),"")</f>
        <v/>
      </c>
    </row>
    <row r="1442" spans="1:25" hidden="1" x14ac:dyDescent="0.25">
      <c r="A1442">
        <v>936</v>
      </c>
      <c r="B1442" t="s">
        <v>4164</v>
      </c>
      <c r="C1442" t="s">
        <v>1936</v>
      </c>
      <c r="D1442" t="s">
        <v>4165</v>
      </c>
      <c r="F1442">
        <v>359</v>
      </c>
      <c r="G1442">
        <v>65</v>
      </c>
      <c r="H1442" t="s">
        <v>662</v>
      </c>
      <c r="I1442" t="s">
        <v>2271</v>
      </c>
      <c r="J1442">
        <v>1000000</v>
      </c>
      <c r="K1442">
        <v>2025</v>
      </c>
      <c r="L1442">
        <v>1007374139</v>
      </c>
      <c r="M1442" t="s">
        <v>4169</v>
      </c>
      <c r="N1442" t="s">
        <v>1688</v>
      </c>
      <c r="O1442" t="s">
        <v>1686</v>
      </c>
      <c r="P1442">
        <v>0</v>
      </c>
      <c r="Q1442">
        <v>1000000</v>
      </c>
      <c r="R1442">
        <v>0</v>
      </c>
      <c r="S1442">
        <v>0</v>
      </c>
      <c r="T1442" t="str">
        <f t="shared" si="44"/>
        <v>9362.43.4302.85.0-205128.2.3.3.08.06.</v>
      </c>
      <c r="U1442" t="e" cm="1">
        <f t="array" aca="1" ref="U1442" ca="1">+IF(COMPROMISOS_2025[[#This Row],[P]]="20","41080111",_xlfn.XLOOKUP(COMPROMISOS_2025[[#This Row],[concatenado]],PAA[[#All],[RCP-RUBRO]],PAA[[#All],[INDICADOR]],"",0))</f>
        <v>#NAME?</v>
      </c>
      <c r="V1442" s="144" t="str">
        <f t="shared" si="45"/>
        <v>85</v>
      </c>
      <c r="W1442" s="136">
        <f>+COMPROMISOS_2025[[#This Row],[valor_total]]-COMPROMISOS_2025[[#This Row],[total_cancelado]]</f>
        <v>1000000</v>
      </c>
      <c r="X1442" s="136">
        <f>COMPROMISOS_2025[[#This Row],[total_ordenes]]</f>
        <v>1000000</v>
      </c>
      <c r="Y1442" t="str" cm="1">
        <f t="array" aca="1" ref="Y1442" ca="1">IFERROR(_xlfn.XLOOKUP(COMPROMISOS_2025[[#This Row],[concatenado]],PAA[[#All],[RCP-RUBRO]],PAA[[#All],[Actividad3]],VLOOKUP(COMPROMISOS_2025[[#This Row],[Indicador Principal]],$AC$2:$AD$17,2,0),0),"")</f>
        <v/>
      </c>
    </row>
    <row r="1443" spans="1:25" hidden="1" x14ac:dyDescent="0.25">
      <c r="A1443">
        <v>937</v>
      </c>
      <c r="B1443" t="s">
        <v>4164</v>
      </c>
      <c r="C1443" t="s">
        <v>1936</v>
      </c>
      <c r="D1443" t="s">
        <v>4165</v>
      </c>
      <c r="F1443">
        <v>359</v>
      </c>
      <c r="G1443">
        <v>65</v>
      </c>
      <c r="H1443" t="s">
        <v>662</v>
      </c>
      <c r="I1443" t="s">
        <v>2271</v>
      </c>
      <c r="J1443">
        <v>800000</v>
      </c>
      <c r="K1443">
        <v>2025</v>
      </c>
      <c r="L1443">
        <v>1007460942</v>
      </c>
      <c r="M1443" t="s">
        <v>3990</v>
      </c>
      <c r="N1443" t="s">
        <v>1688</v>
      </c>
      <c r="O1443" t="s">
        <v>1686</v>
      </c>
      <c r="P1443">
        <v>0</v>
      </c>
      <c r="Q1443">
        <v>800000</v>
      </c>
      <c r="R1443">
        <v>0</v>
      </c>
      <c r="S1443">
        <v>0</v>
      </c>
      <c r="T1443" t="str">
        <f t="shared" si="44"/>
        <v>9372.43.4302.85.0-205128.2.3.3.08.06.</v>
      </c>
      <c r="U1443" t="e" cm="1">
        <f t="array" aca="1" ref="U1443" ca="1">+IF(COMPROMISOS_2025[[#This Row],[P]]="20","41080111",_xlfn.XLOOKUP(COMPROMISOS_2025[[#This Row],[concatenado]],PAA[[#All],[RCP-RUBRO]],PAA[[#All],[INDICADOR]],"",0))</f>
        <v>#NAME?</v>
      </c>
      <c r="V1443" s="144" t="str">
        <f t="shared" si="45"/>
        <v>85</v>
      </c>
      <c r="W1443" s="136">
        <f>+COMPROMISOS_2025[[#This Row],[valor_total]]-COMPROMISOS_2025[[#This Row],[total_cancelado]]</f>
        <v>800000</v>
      </c>
      <c r="X1443" s="136">
        <f>COMPROMISOS_2025[[#This Row],[total_ordenes]]</f>
        <v>800000</v>
      </c>
      <c r="Y1443" t="str" cm="1">
        <f t="array" aca="1" ref="Y1443" ca="1">IFERROR(_xlfn.XLOOKUP(COMPROMISOS_2025[[#This Row],[concatenado]],PAA[[#All],[RCP-RUBRO]],PAA[[#All],[Actividad3]],VLOOKUP(COMPROMISOS_2025[[#This Row],[Indicador Principal]],$AC$2:$AD$17,2,0),0),"")</f>
        <v/>
      </c>
    </row>
    <row r="1444" spans="1:25" hidden="1" x14ac:dyDescent="0.25">
      <c r="A1444">
        <v>938</v>
      </c>
      <c r="B1444" t="s">
        <v>4164</v>
      </c>
      <c r="C1444" t="s">
        <v>1936</v>
      </c>
      <c r="D1444" t="s">
        <v>4165</v>
      </c>
      <c r="F1444">
        <v>359</v>
      </c>
      <c r="G1444">
        <v>65</v>
      </c>
      <c r="H1444" t="s">
        <v>662</v>
      </c>
      <c r="I1444" t="s">
        <v>2271</v>
      </c>
      <c r="J1444">
        <v>500000</v>
      </c>
      <c r="K1444">
        <v>2025</v>
      </c>
      <c r="L1444">
        <v>1007518947</v>
      </c>
      <c r="M1444" t="s">
        <v>4170</v>
      </c>
      <c r="N1444" t="s">
        <v>1688</v>
      </c>
      <c r="O1444" t="s">
        <v>1686</v>
      </c>
      <c r="P1444">
        <v>0</v>
      </c>
      <c r="Q1444">
        <v>500000</v>
      </c>
      <c r="R1444">
        <v>0</v>
      </c>
      <c r="S1444">
        <v>0</v>
      </c>
      <c r="T1444" t="str">
        <f t="shared" si="44"/>
        <v>9382.43.4302.85.0-205128.2.3.3.08.06.</v>
      </c>
      <c r="U1444" t="e" cm="1">
        <f t="array" aca="1" ref="U1444" ca="1">+IF(COMPROMISOS_2025[[#This Row],[P]]="20","41080111",_xlfn.XLOOKUP(COMPROMISOS_2025[[#This Row],[concatenado]],PAA[[#All],[RCP-RUBRO]],PAA[[#All],[INDICADOR]],"",0))</f>
        <v>#NAME?</v>
      </c>
      <c r="V1444" s="144" t="str">
        <f t="shared" si="45"/>
        <v>85</v>
      </c>
      <c r="W1444" s="136">
        <f>+COMPROMISOS_2025[[#This Row],[valor_total]]-COMPROMISOS_2025[[#This Row],[total_cancelado]]</f>
        <v>500000</v>
      </c>
      <c r="X1444" s="136">
        <f>COMPROMISOS_2025[[#This Row],[total_ordenes]]</f>
        <v>500000</v>
      </c>
      <c r="Y1444" t="str" cm="1">
        <f t="array" aca="1" ref="Y1444" ca="1">IFERROR(_xlfn.XLOOKUP(COMPROMISOS_2025[[#This Row],[concatenado]],PAA[[#All],[RCP-RUBRO]],PAA[[#All],[Actividad3]],VLOOKUP(COMPROMISOS_2025[[#This Row],[Indicador Principal]],$AC$2:$AD$17,2,0),0),"")</f>
        <v/>
      </c>
    </row>
    <row r="1445" spans="1:25" hidden="1" x14ac:dyDescent="0.25">
      <c r="A1445">
        <v>939</v>
      </c>
      <c r="B1445" t="s">
        <v>4164</v>
      </c>
      <c r="C1445" t="s">
        <v>1936</v>
      </c>
      <c r="D1445" t="s">
        <v>4165</v>
      </c>
      <c r="F1445">
        <v>359</v>
      </c>
      <c r="G1445">
        <v>65</v>
      </c>
      <c r="H1445" t="s">
        <v>662</v>
      </c>
      <c r="I1445" t="s">
        <v>2271</v>
      </c>
      <c r="J1445">
        <v>500000</v>
      </c>
      <c r="K1445">
        <v>2025</v>
      </c>
      <c r="L1445">
        <v>1007524533</v>
      </c>
      <c r="M1445" t="s">
        <v>3991</v>
      </c>
      <c r="N1445" t="s">
        <v>1688</v>
      </c>
      <c r="O1445" t="s">
        <v>1686</v>
      </c>
      <c r="P1445">
        <v>0</v>
      </c>
      <c r="Q1445">
        <v>500000</v>
      </c>
      <c r="R1445">
        <v>0</v>
      </c>
      <c r="S1445">
        <v>0</v>
      </c>
      <c r="T1445" t="str">
        <f t="shared" si="44"/>
        <v>9392.43.4302.85.0-205128.2.3.3.08.06.</v>
      </c>
      <c r="U1445" t="e" cm="1">
        <f t="array" aca="1" ref="U1445" ca="1">+IF(COMPROMISOS_2025[[#This Row],[P]]="20","41080111",_xlfn.XLOOKUP(COMPROMISOS_2025[[#This Row],[concatenado]],PAA[[#All],[RCP-RUBRO]],PAA[[#All],[INDICADOR]],"",0))</f>
        <v>#NAME?</v>
      </c>
      <c r="V1445" s="144" t="str">
        <f t="shared" si="45"/>
        <v>85</v>
      </c>
      <c r="W1445" s="136">
        <f>+COMPROMISOS_2025[[#This Row],[valor_total]]-COMPROMISOS_2025[[#This Row],[total_cancelado]]</f>
        <v>500000</v>
      </c>
      <c r="X1445" s="136">
        <f>COMPROMISOS_2025[[#This Row],[total_ordenes]]</f>
        <v>500000</v>
      </c>
      <c r="Y1445" t="str" cm="1">
        <f t="array" aca="1" ref="Y1445" ca="1">IFERROR(_xlfn.XLOOKUP(COMPROMISOS_2025[[#This Row],[concatenado]],PAA[[#All],[RCP-RUBRO]],PAA[[#All],[Actividad3]],VLOOKUP(COMPROMISOS_2025[[#This Row],[Indicador Principal]],$AC$2:$AD$17,2,0),0),"")</f>
        <v/>
      </c>
    </row>
    <row r="1446" spans="1:25" hidden="1" x14ac:dyDescent="0.25">
      <c r="A1446">
        <v>940</v>
      </c>
      <c r="B1446" t="s">
        <v>4164</v>
      </c>
      <c r="C1446" t="s">
        <v>1936</v>
      </c>
      <c r="D1446" t="s">
        <v>4165</v>
      </c>
      <c r="F1446">
        <v>359</v>
      </c>
      <c r="G1446">
        <v>65</v>
      </c>
      <c r="H1446" t="s">
        <v>662</v>
      </c>
      <c r="I1446" t="s">
        <v>2271</v>
      </c>
      <c r="J1446">
        <v>1300000</v>
      </c>
      <c r="K1446">
        <v>2025</v>
      </c>
      <c r="L1446">
        <v>1007526330</v>
      </c>
      <c r="M1446" t="s">
        <v>3613</v>
      </c>
      <c r="N1446" t="s">
        <v>1688</v>
      </c>
      <c r="O1446" t="s">
        <v>1686</v>
      </c>
      <c r="P1446">
        <v>0</v>
      </c>
      <c r="Q1446">
        <v>1300000</v>
      </c>
      <c r="R1446">
        <v>0</v>
      </c>
      <c r="S1446">
        <v>0</v>
      </c>
      <c r="T1446" t="str">
        <f t="shared" si="44"/>
        <v>9402.43.4302.85.0-205128.2.3.3.08.06.</v>
      </c>
      <c r="U1446" t="e" cm="1">
        <f t="array" aca="1" ref="U1446" ca="1">+IF(COMPROMISOS_2025[[#This Row],[P]]="20","41080111",_xlfn.XLOOKUP(COMPROMISOS_2025[[#This Row],[concatenado]],PAA[[#All],[RCP-RUBRO]],PAA[[#All],[INDICADOR]],"",0))</f>
        <v>#NAME?</v>
      </c>
      <c r="V1446" s="144" t="str">
        <f t="shared" si="45"/>
        <v>85</v>
      </c>
      <c r="W1446" s="136">
        <f>+COMPROMISOS_2025[[#This Row],[valor_total]]-COMPROMISOS_2025[[#This Row],[total_cancelado]]</f>
        <v>1300000</v>
      </c>
      <c r="X1446" s="136">
        <f>COMPROMISOS_2025[[#This Row],[total_ordenes]]</f>
        <v>1300000</v>
      </c>
      <c r="Y1446" t="str" cm="1">
        <f t="array" aca="1" ref="Y1446" ca="1">IFERROR(_xlfn.XLOOKUP(COMPROMISOS_2025[[#This Row],[concatenado]],PAA[[#All],[RCP-RUBRO]],PAA[[#All],[Actividad3]],VLOOKUP(COMPROMISOS_2025[[#This Row],[Indicador Principal]],$AC$2:$AD$17,2,0),0),"")</f>
        <v/>
      </c>
    </row>
    <row r="1447" spans="1:25" hidden="1" x14ac:dyDescent="0.25">
      <c r="A1447">
        <v>941</v>
      </c>
      <c r="B1447" t="s">
        <v>4164</v>
      </c>
      <c r="C1447" t="s">
        <v>1936</v>
      </c>
      <c r="D1447" t="s">
        <v>4165</v>
      </c>
      <c r="F1447">
        <v>359</v>
      </c>
      <c r="G1447">
        <v>65</v>
      </c>
      <c r="H1447" t="s">
        <v>662</v>
      </c>
      <c r="I1447" t="s">
        <v>2271</v>
      </c>
      <c r="J1447">
        <v>1300000</v>
      </c>
      <c r="K1447">
        <v>2025</v>
      </c>
      <c r="L1447">
        <v>1007546362</v>
      </c>
      <c r="M1447" t="s">
        <v>3992</v>
      </c>
      <c r="N1447" t="s">
        <v>1688</v>
      </c>
      <c r="O1447" t="s">
        <v>1686</v>
      </c>
      <c r="P1447">
        <v>0</v>
      </c>
      <c r="Q1447">
        <v>1300000</v>
      </c>
      <c r="R1447">
        <v>0</v>
      </c>
      <c r="S1447">
        <v>0</v>
      </c>
      <c r="T1447" t="str">
        <f t="shared" si="44"/>
        <v>9412.43.4302.85.0-205128.2.3.3.08.06.</v>
      </c>
      <c r="U1447" t="e" cm="1">
        <f t="array" aca="1" ref="U1447" ca="1">+IF(COMPROMISOS_2025[[#This Row],[P]]="20","41080111",_xlfn.XLOOKUP(COMPROMISOS_2025[[#This Row],[concatenado]],PAA[[#All],[RCP-RUBRO]],PAA[[#All],[INDICADOR]],"",0))</f>
        <v>#NAME?</v>
      </c>
      <c r="V1447" s="144" t="str">
        <f t="shared" si="45"/>
        <v>85</v>
      </c>
      <c r="W1447" s="136">
        <f>+COMPROMISOS_2025[[#This Row],[valor_total]]-COMPROMISOS_2025[[#This Row],[total_cancelado]]</f>
        <v>1300000</v>
      </c>
      <c r="X1447" s="136">
        <f>COMPROMISOS_2025[[#This Row],[total_ordenes]]</f>
        <v>1300000</v>
      </c>
      <c r="Y1447" t="str" cm="1">
        <f t="array" aca="1" ref="Y1447" ca="1">IFERROR(_xlfn.XLOOKUP(COMPROMISOS_2025[[#This Row],[concatenado]],PAA[[#All],[RCP-RUBRO]],PAA[[#All],[Actividad3]],VLOOKUP(COMPROMISOS_2025[[#This Row],[Indicador Principal]],$AC$2:$AD$17,2,0),0),"")</f>
        <v/>
      </c>
    </row>
    <row r="1448" spans="1:25" hidden="1" x14ac:dyDescent="0.25">
      <c r="A1448">
        <v>942</v>
      </c>
      <c r="B1448" t="s">
        <v>4164</v>
      </c>
      <c r="C1448" t="s">
        <v>1936</v>
      </c>
      <c r="D1448" t="s">
        <v>4165</v>
      </c>
      <c r="F1448">
        <v>359</v>
      </c>
      <c r="G1448">
        <v>65</v>
      </c>
      <c r="H1448" t="s">
        <v>662</v>
      </c>
      <c r="I1448" t="s">
        <v>2271</v>
      </c>
      <c r="J1448">
        <v>500000</v>
      </c>
      <c r="K1448">
        <v>2025</v>
      </c>
      <c r="L1448">
        <v>1007626015</v>
      </c>
      <c r="M1448" t="s">
        <v>3993</v>
      </c>
      <c r="N1448" t="s">
        <v>1688</v>
      </c>
      <c r="O1448" t="s">
        <v>1686</v>
      </c>
      <c r="P1448">
        <v>0</v>
      </c>
      <c r="Q1448">
        <v>500000</v>
      </c>
      <c r="R1448">
        <v>0</v>
      </c>
      <c r="S1448">
        <v>0</v>
      </c>
      <c r="T1448" t="str">
        <f t="shared" si="44"/>
        <v>9422.43.4302.85.0-205128.2.3.3.08.06.</v>
      </c>
      <c r="U1448" t="e" cm="1">
        <f t="array" aca="1" ref="U1448" ca="1">+IF(COMPROMISOS_2025[[#This Row],[P]]="20","41080111",_xlfn.XLOOKUP(COMPROMISOS_2025[[#This Row],[concatenado]],PAA[[#All],[RCP-RUBRO]],PAA[[#All],[INDICADOR]],"",0))</f>
        <v>#NAME?</v>
      </c>
      <c r="V1448" s="144" t="str">
        <f t="shared" si="45"/>
        <v>85</v>
      </c>
      <c r="W1448" s="136">
        <f>+COMPROMISOS_2025[[#This Row],[valor_total]]-COMPROMISOS_2025[[#This Row],[total_cancelado]]</f>
        <v>500000</v>
      </c>
      <c r="X1448" s="136">
        <f>COMPROMISOS_2025[[#This Row],[total_ordenes]]</f>
        <v>500000</v>
      </c>
      <c r="Y1448" t="str" cm="1">
        <f t="array" aca="1" ref="Y1448" ca="1">IFERROR(_xlfn.XLOOKUP(COMPROMISOS_2025[[#This Row],[concatenado]],PAA[[#All],[RCP-RUBRO]],PAA[[#All],[Actividad3]],VLOOKUP(COMPROMISOS_2025[[#This Row],[Indicador Principal]],$AC$2:$AD$17,2,0),0),"")</f>
        <v/>
      </c>
    </row>
    <row r="1449" spans="1:25" hidden="1" x14ac:dyDescent="0.25">
      <c r="A1449">
        <v>943</v>
      </c>
      <c r="B1449" t="s">
        <v>4164</v>
      </c>
      <c r="C1449" t="s">
        <v>1936</v>
      </c>
      <c r="D1449" t="s">
        <v>4165</v>
      </c>
      <c r="F1449">
        <v>359</v>
      </c>
      <c r="G1449">
        <v>65</v>
      </c>
      <c r="H1449" t="s">
        <v>662</v>
      </c>
      <c r="I1449" t="s">
        <v>2271</v>
      </c>
      <c r="J1449">
        <v>500000</v>
      </c>
      <c r="K1449">
        <v>2025</v>
      </c>
      <c r="L1449">
        <v>1007746450</v>
      </c>
      <c r="M1449" t="s">
        <v>3614</v>
      </c>
      <c r="N1449" t="s">
        <v>1688</v>
      </c>
      <c r="O1449" t="s">
        <v>1686</v>
      </c>
      <c r="P1449">
        <v>0</v>
      </c>
      <c r="Q1449">
        <v>500000</v>
      </c>
      <c r="R1449">
        <v>0</v>
      </c>
      <c r="S1449">
        <v>0</v>
      </c>
      <c r="T1449" t="str">
        <f t="shared" si="44"/>
        <v>9432.43.4302.85.0-205128.2.3.3.08.06.</v>
      </c>
      <c r="U1449" t="e" cm="1">
        <f t="array" aca="1" ref="U1449" ca="1">+IF(COMPROMISOS_2025[[#This Row],[P]]="20","41080111",_xlfn.XLOOKUP(COMPROMISOS_2025[[#This Row],[concatenado]],PAA[[#All],[RCP-RUBRO]],PAA[[#All],[INDICADOR]],"",0))</f>
        <v>#NAME?</v>
      </c>
      <c r="V1449" s="144" t="str">
        <f t="shared" si="45"/>
        <v>85</v>
      </c>
      <c r="W1449" s="136">
        <f>+COMPROMISOS_2025[[#This Row],[valor_total]]-COMPROMISOS_2025[[#This Row],[total_cancelado]]</f>
        <v>500000</v>
      </c>
      <c r="X1449" s="136">
        <f>COMPROMISOS_2025[[#This Row],[total_ordenes]]</f>
        <v>500000</v>
      </c>
      <c r="Y1449" t="str" cm="1">
        <f t="array" aca="1" ref="Y1449" ca="1">IFERROR(_xlfn.XLOOKUP(COMPROMISOS_2025[[#This Row],[concatenado]],PAA[[#All],[RCP-RUBRO]],PAA[[#All],[Actividad3]],VLOOKUP(COMPROMISOS_2025[[#This Row],[Indicador Principal]],$AC$2:$AD$17,2,0),0),"")</f>
        <v/>
      </c>
    </row>
    <row r="1450" spans="1:25" hidden="1" x14ac:dyDescent="0.25">
      <c r="A1450">
        <v>944</v>
      </c>
      <c r="B1450" t="s">
        <v>4164</v>
      </c>
      <c r="C1450" t="s">
        <v>1936</v>
      </c>
      <c r="D1450" t="s">
        <v>4165</v>
      </c>
      <c r="F1450">
        <v>359</v>
      </c>
      <c r="G1450">
        <v>65</v>
      </c>
      <c r="H1450" t="s">
        <v>662</v>
      </c>
      <c r="I1450" t="s">
        <v>2271</v>
      </c>
      <c r="J1450">
        <v>500000</v>
      </c>
      <c r="K1450">
        <v>2025</v>
      </c>
      <c r="L1450">
        <v>1007898956</v>
      </c>
      <c r="M1450" t="s">
        <v>3994</v>
      </c>
      <c r="N1450" t="s">
        <v>1688</v>
      </c>
      <c r="O1450" t="s">
        <v>1686</v>
      </c>
      <c r="P1450">
        <v>0</v>
      </c>
      <c r="Q1450">
        <v>500000</v>
      </c>
      <c r="R1450">
        <v>0</v>
      </c>
      <c r="S1450">
        <v>0</v>
      </c>
      <c r="T1450" t="str">
        <f t="shared" si="44"/>
        <v>9442.43.4302.85.0-205128.2.3.3.08.06.</v>
      </c>
      <c r="U1450" t="e" cm="1">
        <f t="array" aca="1" ref="U1450" ca="1">+IF(COMPROMISOS_2025[[#This Row],[P]]="20","41080111",_xlfn.XLOOKUP(COMPROMISOS_2025[[#This Row],[concatenado]],PAA[[#All],[RCP-RUBRO]],PAA[[#All],[INDICADOR]],"",0))</f>
        <v>#NAME?</v>
      </c>
      <c r="V1450" s="144" t="str">
        <f t="shared" si="45"/>
        <v>85</v>
      </c>
      <c r="W1450" s="136">
        <f>+COMPROMISOS_2025[[#This Row],[valor_total]]-COMPROMISOS_2025[[#This Row],[total_cancelado]]</f>
        <v>500000</v>
      </c>
      <c r="X1450" s="136">
        <f>COMPROMISOS_2025[[#This Row],[total_ordenes]]</f>
        <v>500000</v>
      </c>
      <c r="Y1450" t="str" cm="1">
        <f t="array" aca="1" ref="Y1450" ca="1">IFERROR(_xlfn.XLOOKUP(COMPROMISOS_2025[[#This Row],[concatenado]],PAA[[#All],[RCP-RUBRO]],PAA[[#All],[Actividad3]],VLOOKUP(COMPROMISOS_2025[[#This Row],[Indicador Principal]],$AC$2:$AD$17,2,0),0),"")</f>
        <v/>
      </c>
    </row>
    <row r="1451" spans="1:25" hidden="1" x14ac:dyDescent="0.25">
      <c r="A1451">
        <v>945</v>
      </c>
      <c r="B1451" t="s">
        <v>4164</v>
      </c>
      <c r="C1451" t="s">
        <v>1936</v>
      </c>
      <c r="D1451" t="s">
        <v>4165</v>
      </c>
      <c r="F1451">
        <v>359</v>
      </c>
      <c r="G1451">
        <v>65</v>
      </c>
      <c r="H1451" t="s">
        <v>662</v>
      </c>
      <c r="I1451" t="s">
        <v>2271</v>
      </c>
      <c r="J1451">
        <v>500000</v>
      </c>
      <c r="K1451">
        <v>2025</v>
      </c>
      <c r="L1451">
        <v>1010086502</v>
      </c>
      <c r="M1451" t="s">
        <v>4171</v>
      </c>
      <c r="N1451" t="s">
        <v>1688</v>
      </c>
      <c r="O1451" t="s">
        <v>1686</v>
      </c>
      <c r="P1451">
        <v>0</v>
      </c>
      <c r="Q1451">
        <v>500000</v>
      </c>
      <c r="R1451">
        <v>0</v>
      </c>
      <c r="S1451">
        <v>0</v>
      </c>
      <c r="T1451" t="str">
        <f t="shared" si="44"/>
        <v>9452.43.4302.85.0-205128.2.3.3.08.06.</v>
      </c>
      <c r="U1451" t="e" cm="1">
        <f t="array" aca="1" ref="U1451" ca="1">+IF(COMPROMISOS_2025[[#This Row],[P]]="20","41080111",_xlfn.XLOOKUP(COMPROMISOS_2025[[#This Row],[concatenado]],PAA[[#All],[RCP-RUBRO]],PAA[[#All],[INDICADOR]],"",0))</f>
        <v>#NAME?</v>
      </c>
      <c r="V1451" s="144" t="str">
        <f t="shared" si="45"/>
        <v>85</v>
      </c>
      <c r="W1451" s="136">
        <f>+COMPROMISOS_2025[[#This Row],[valor_total]]-COMPROMISOS_2025[[#This Row],[total_cancelado]]</f>
        <v>500000</v>
      </c>
      <c r="X1451" s="136">
        <f>COMPROMISOS_2025[[#This Row],[total_ordenes]]</f>
        <v>500000</v>
      </c>
      <c r="Y1451" t="str" cm="1">
        <f t="array" aca="1" ref="Y1451" ca="1">IFERROR(_xlfn.XLOOKUP(COMPROMISOS_2025[[#This Row],[concatenado]],PAA[[#All],[RCP-RUBRO]],PAA[[#All],[Actividad3]],VLOOKUP(COMPROMISOS_2025[[#This Row],[Indicador Principal]],$AC$2:$AD$17,2,0),0),"")</f>
        <v/>
      </c>
    </row>
    <row r="1452" spans="1:25" hidden="1" x14ac:dyDescent="0.25">
      <c r="A1452">
        <v>946</v>
      </c>
      <c r="B1452" t="s">
        <v>4164</v>
      </c>
      <c r="C1452" t="s">
        <v>1936</v>
      </c>
      <c r="D1452" t="s">
        <v>4165</v>
      </c>
      <c r="F1452">
        <v>359</v>
      </c>
      <c r="G1452">
        <v>65</v>
      </c>
      <c r="H1452" t="s">
        <v>662</v>
      </c>
      <c r="I1452" t="s">
        <v>2271</v>
      </c>
      <c r="J1452">
        <v>1300000</v>
      </c>
      <c r="K1452">
        <v>2025</v>
      </c>
      <c r="L1452">
        <v>1010099123</v>
      </c>
      <c r="M1452" t="s">
        <v>3995</v>
      </c>
      <c r="N1452" t="s">
        <v>1688</v>
      </c>
      <c r="O1452" t="s">
        <v>1686</v>
      </c>
      <c r="P1452">
        <v>0</v>
      </c>
      <c r="Q1452">
        <v>1300000</v>
      </c>
      <c r="R1452">
        <v>0</v>
      </c>
      <c r="S1452">
        <v>0</v>
      </c>
      <c r="T1452" t="str">
        <f t="shared" si="44"/>
        <v>9462.43.4302.85.0-205128.2.3.3.08.06.</v>
      </c>
      <c r="U1452" t="e" cm="1">
        <f t="array" aca="1" ref="U1452" ca="1">+IF(COMPROMISOS_2025[[#This Row],[P]]="20","41080111",_xlfn.XLOOKUP(COMPROMISOS_2025[[#This Row],[concatenado]],PAA[[#All],[RCP-RUBRO]],PAA[[#All],[INDICADOR]],"",0))</f>
        <v>#NAME?</v>
      </c>
      <c r="V1452" s="144" t="str">
        <f t="shared" si="45"/>
        <v>85</v>
      </c>
      <c r="W1452" s="136">
        <f>+COMPROMISOS_2025[[#This Row],[valor_total]]-COMPROMISOS_2025[[#This Row],[total_cancelado]]</f>
        <v>1300000</v>
      </c>
      <c r="X1452" s="136">
        <f>COMPROMISOS_2025[[#This Row],[total_ordenes]]</f>
        <v>1300000</v>
      </c>
      <c r="Y1452" t="str" cm="1">
        <f t="array" aca="1" ref="Y1452" ca="1">IFERROR(_xlfn.XLOOKUP(COMPROMISOS_2025[[#This Row],[concatenado]],PAA[[#All],[RCP-RUBRO]],PAA[[#All],[Actividad3]],VLOOKUP(COMPROMISOS_2025[[#This Row],[Indicador Principal]],$AC$2:$AD$17,2,0),0),"")</f>
        <v/>
      </c>
    </row>
    <row r="1453" spans="1:25" hidden="1" x14ac:dyDescent="0.25">
      <c r="A1453">
        <v>947</v>
      </c>
      <c r="B1453" t="s">
        <v>4164</v>
      </c>
      <c r="C1453" t="s">
        <v>1936</v>
      </c>
      <c r="D1453" t="s">
        <v>4165</v>
      </c>
      <c r="F1453">
        <v>359</v>
      </c>
      <c r="G1453">
        <v>65</v>
      </c>
      <c r="H1453" t="s">
        <v>662</v>
      </c>
      <c r="I1453" t="s">
        <v>2271</v>
      </c>
      <c r="J1453">
        <v>500000</v>
      </c>
      <c r="K1453">
        <v>2025</v>
      </c>
      <c r="L1453">
        <v>1011391775</v>
      </c>
      <c r="M1453" t="s">
        <v>3615</v>
      </c>
      <c r="N1453" t="s">
        <v>1688</v>
      </c>
      <c r="O1453" t="s">
        <v>1686</v>
      </c>
      <c r="P1453">
        <v>0</v>
      </c>
      <c r="Q1453">
        <v>500000</v>
      </c>
      <c r="R1453">
        <v>0</v>
      </c>
      <c r="S1453">
        <v>0</v>
      </c>
      <c r="T1453" t="str">
        <f t="shared" si="44"/>
        <v>9472.43.4302.85.0-205128.2.3.3.08.06.</v>
      </c>
      <c r="U1453" t="e" cm="1">
        <f t="array" aca="1" ref="U1453" ca="1">+IF(COMPROMISOS_2025[[#This Row],[P]]="20","41080111",_xlfn.XLOOKUP(COMPROMISOS_2025[[#This Row],[concatenado]],PAA[[#All],[RCP-RUBRO]],PAA[[#All],[INDICADOR]],"",0))</f>
        <v>#NAME?</v>
      </c>
      <c r="V1453" s="144" t="str">
        <f t="shared" si="45"/>
        <v>85</v>
      </c>
      <c r="W1453" s="136">
        <f>+COMPROMISOS_2025[[#This Row],[valor_total]]-COMPROMISOS_2025[[#This Row],[total_cancelado]]</f>
        <v>500000</v>
      </c>
      <c r="X1453" s="136">
        <f>COMPROMISOS_2025[[#This Row],[total_ordenes]]</f>
        <v>500000</v>
      </c>
      <c r="Y1453" t="str" cm="1">
        <f t="array" aca="1" ref="Y1453" ca="1">IFERROR(_xlfn.XLOOKUP(COMPROMISOS_2025[[#This Row],[concatenado]],PAA[[#All],[RCP-RUBRO]],PAA[[#All],[Actividad3]],VLOOKUP(COMPROMISOS_2025[[#This Row],[Indicador Principal]],$AC$2:$AD$17,2,0),0),"")</f>
        <v/>
      </c>
    </row>
    <row r="1454" spans="1:25" hidden="1" x14ac:dyDescent="0.25">
      <c r="A1454">
        <v>948</v>
      </c>
      <c r="B1454" t="s">
        <v>4164</v>
      </c>
      <c r="C1454" t="s">
        <v>1936</v>
      </c>
      <c r="D1454" t="s">
        <v>4165</v>
      </c>
      <c r="F1454">
        <v>359</v>
      </c>
      <c r="G1454">
        <v>65</v>
      </c>
      <c r="H1454" t="s">
        <v>662</v>
      </c>
      <c r="I1454" t="s">
        <v>2271</v>
      </c>
      <c r="J1454">
        <v>500000</v>
      </c>
      <c r="K1454">
        <v>2025</v>
      </c>
      <c r="L1454">
        <v>1011403525</v>
      </c>
      <c r="M1454" t="s">
        <v>3996</v>
      </c>
      <c r="N1454" t="s">
        <v>1688</v>
      </c>
      <c r="O1454" t="s">
        <v>1686</v>
      </c>
      <c r="P1454">
        <v>0</v>
      </c>
      <c r="Q1454">
        <v>500000</v>
      </c>
      <c r="R1454">
        <v>0</v>
      </c>
      <c r="S1454">
        <v>0</v>
      </c>
      <c r="T1454" t="str">
        <f t="shared" si="44"/>
        <v>9482.43.4302.85.0-205128.2.3.3.08.06.</v>
      </c>
      <c r="U1454" t="e" cm="1">
        <f t="array" aca="1" ref="U1454" ca="1">+IF(COMPROMISOS_2025[[#This Row],[P]]="20","41080111",_xlfn.XLOOKUP(COMPROMISOS_2025[[#This Row],[concatenado]],PAA[[#All],[RCP-RUBRO]],PAA[[#All],[INDICADOR]],"",0))</f>
        <v>#NAME?</v>
      </c>
      <c r="V1454" s="144" t="str">
        <f t="shared" si="45"/>
        <v>85</v>
      </c>
      <c r="W1454" s="136">
        <f>+COMPROMISOS_2025[[#This Row],[valor_total]]-COMPROMISOS_2025[[#This Row],[total_cancelado]]</f>
        <v>500000</v>
      </c>
      <c r="X1454" s="136">
        <f>COMPROMISOS_2025[[#This Row],[total_ordenes]]</f>
        <v>500000</v>
      </c>
      <c r="Y1454" t="str" cm="1">
        <f t="array" aca="1" ref="Y1454" ca="1">IFERROR(_xlfn.XLOOKUP(COMPROMISOS_2025[[#This Row],[concatenado]],PAA[[#All],[RCP-RUBRO]],PAA[[#All],[Actividad3]],VLOOKUP(COMPROMISOS_2025[[#This Row],[Indicador Principal]],$AC$2:$AD$17,2,0),0),"")</f>
        <v/>
      </c>
    </row>
    <row r="1455" spans="1:25" hidden="1" x14ac:dyDescent="0.25">
      <c r="A1455">
        <v>949</v>
      </c>
      <c r="B1455" t="s">
        <v>4164</v>
      </c>
      <c r="C1455" t="s">
        <v>1936</v>
      </c>
      <c r="D1455" t="s">
        <v>4165</v>
      </c>
      <c r="F1455">
        <v>359</v>
      </c>
      <c r="G1455">
        <v>65</v>
      </c>
      <c r="H1455" t="s">
        <v>662</v>
      </c>
      <c r="I1455" t="s">
        <v>2271</v>
      </c>
      <c r="J1455">
        <v>500000</v>
      </c>
      <c r="K1455">
        <v>2025</v>
      </c>
      <c r="L1455">
        <v>1011510140</v>
      </c>
      <c r="M1455" t="s">
        <v>3997</v>
      </c>
      <c r="N1455" t="s">
        <v>1688</v>
      </c>
      <c r="O1455" t="s">
        <v>1686</v>
      </c>
      <c r="P1455">
        <v>0</v>
      </c>
      <c r="Q1455">
        <v>500000</v>
      </c>
      <c r="R1455">
        <v>0</v>
      </c>
      <c r="S1455">
        <v>0</v>
      </c>
      <c r="T1455" t="str">
        <f t="shared" si="44"/>
        <v>9492.43.4302.85.0-205128.2.3.3.08.06.</v>
      </c>
      <c r="U1455" t="e" cm="1">
        <f t="array" aca="1" ref="U1455" ca="1">+IF(COMPROMISOS_2025[[#This Row],[P]]="20","41080111",_xlfn.XLOOKUP(COMPROMISOS_2025[[#This Row],[concatenado]],PAA[[#All],[RCP-RUBRO]],PAA[[#All],[INDICADOR]],"",0))</f>
        <v>#NAME?</v>
      </c>
      <c r="V1455" s="144" t="str">
        <f t="shared" si="45"/>
        <v>85</v>
      </c>
      <c r="W1455" s="136">
        <f>+COMPROMISOS_2025[[#This Row],[valor_total]]-COMPROMISOS_2025[[#This Row],[total_cancelado]]</f>
        <v>500000</v>
      </c>
      <c r="X1455" s="136">
        <f>COMPROMISOS_2025[[#This Row],[total_ordenes]]</f>
        <v>500000</v>
      </c>
      <c r="Y1455" t="str" cm="1">
        <f t="array" aca="1" ref="Y1455" ca="1">IFERROR(_xlfn.XLOOKUP(COMPROMISOS_2025[[#This Row],[concatenado]],PAA[[#All],[RCP-RUBRO]],PAA[[#All],[Actividad3]],VLOOKUP(COMPROMISOS_2025[[#This Row],[Indicador Principal]],$AC$2:$AD$17,2,0),0),"")</f>
        <v/>
      </c>
    </row>
    <row r="1456" spans="1:25" hidden="1" x14ac:dyDescent="0.25">
      <c r="A1456">
        <v>950</v>
      </c>
      <c r="B1456" t="s">
        <v>4164</v>
      </c>
      <c r="C1456" t="s">
        <v>1936</v>
      </c>
      <c r="D1456" t="s">
        <v>4165</v>
      </c>
      <c r="F1456">
        <v>359</v>
      </c>
      <c r="G1456">
        <v>65</v>
      </c>
      <c r="H1456" t="s">
        <v>662</v>
      </c>
      <c r="I1456" t="s">
        <v>2271</v>
      </c>
      <c r="J1456">
        <v>500000</v>
      </c>
      <c r="K1456">
        <v>2025</v>
      </c>
      <c r="L1456">
        <v>1013347565</v>
      </c>
      <c r="M1456" t="s">
        <v>3998</v>
      </c>
      <c r="N1456" t="s">
        <v>1688</v>
      </c>
      <c r="O1456" t="s">
        <v>1686</v>
      </c>
      <c r="P1456">
        <v>0</v>
      </c>
      <c r="Q1456">
        <v>500000</v>
      </c>
      <c r="R1456">
        <v>0</v>
      </c>
      <c r="S1456">
        <v>0</v>
      </c>
      <c r="T1456" t="str">
        <f t="shared" si="44"/>
        <v>9502.43.4302.85.0-205128.2.3.3.08.06.</v>
      </c>
      <c r="U1456" t="e" cm="1">
        <f t="array" aca="1" ref="U1456" ca="1">+IF(COMPROMISOS_2025[[#This Row],[P]]="20","41080111",_xlfn.XLOOKUP(COMPROMISOS_2025[[#This Row],[concatenado]],PAA[[#All],[RCP-RUBRO]],PAA[[#All],[INDICADOR]],"",0))</f>
        <v>#NAME?</v>
      </c>
      <c r="V1456" s="144" t="str">
        <f t="shared" si="45"/>
        <v>85</v>
      </c>
      <c r="W1456" s="136">
        <f>+COMPROMISOS_2025[[#This Row],[valor_total]]-COMPROMISOS_2025[[#This Row],[total_cancelado]]</f>
        <v>500000</v>
      </c>
      <c r="X1456" s="136">
        <f>COMPROMISOS_2025[[#This Row],[total_ordenes]]</f>
        <v>500000</v>
      </c>
      <c r="Y1456" t="str" cm="1">
        <f t="array" aca="1" ref="Y1456" ca="1">IFERROR(_xlfn.XLOOKUP(COMPROMISOS_2025[[#This Row],[concatenado]],PAA[[#All],[RCP-RUBRO]],PAA[[#All],[Actividad3]],VLOOKUP(COMPROMISOS_2025[[#This Row],[Indicador Principal]],$AC$2:$AD$17,2,0),0),"")</f>
        <v/>
      </c>
    </row>
    <row r="1457" spans="1:25" hidden="1" x14ac:dyDescent="0.25">
      <c r="A1457">
        <v>951</v>
      </c>
      <c r="B1457" t="s">
        <v>4164</v>
      </c>
      <c r="C1457" t="s">
        <v>1936</v>
      </c>
      <c r="D1457" t="s">
        <v>4165</v>
      </c>
      <c r="F1457">
        <v>359</v>
      </c>
      <c r="G1457">
        <v>65</v>
      </c>
      <c r="H1457" t="s">
        <v>662</v>
      </c>
      <c r="I1457" t="s">
        <v>2271</v>
      </c>
      <c r="J1457">
        <v>800000</v>
      </c>
      <c r="K1457">
        <v>2025</v>
      </c>
      <c r="L1457">
        <v>1013459357</v>
      </c>
      <c r="M1457" t="s">
        <v>3999</v>
      </c>
      <c r="N1457" t="s">
        <v>1688</v>
      </c>
      <c r="O1457" t="s">
        <v>1686</v>
      </c>
      <c r="P1457">
        <v>0</v>
      </c>
      <c r="Q1457">
        <v>800000</v>
      </c>
      <c r="R1457">
        <v>0</v>
      </c>
      <c r="S1457">
        <v>0</v>
      </c>
      <c r="T1457" t="str">
        <f t="shared" si="44"/>
        <v>9512.43.4302.85.0-205128.2.3.3.08.06.</v>
      </c>
      <c r="U1457" t="e" cm="1">
        <f t="array" aca="1" ref="U1457" ca="1">+IF(COMPROMISOS_2025[[#This Row],[P]]="20","41080111",_xlfn.XLOOKUP(COMPROMISOS_2025[[#This Row],[concatenado]],PAA[[#All],[RCP-RUBRO]],PAA[[#All],[INDICADOR]],"",0))</f>
        <v>#NAME?</v>
      </c>
      <c r="V1457" s="144" t="str">
        <f t="shared" si="45"/>
        <v>85</v>
      </c>
      <c r="W1457" s="136">
        <f>+COMPROMISOS_2025[[#This Row],[valor_total]]-COMPROMISOS_2025[[#This Row],[total_cancelado]]</f>
        <v>800000</v>
      </c>
      <c r="X1457" s="136">
        <f>COMPROMISOS_2025[[#This Row],[total_ordenes]]</f>
        <v>800000</v>
      </c>
      <c r="Y1457" t="str" cm="1">
        <f t="array" aca="1" ref="Y1457" ca="1">IFERROR(_xlfn.XLOOKUP(COMPROMISOS_2025[[#This Row],[concatenado]],PAA[[#All],[RCP-RUBRO]],PAA[[#All],[Actividad3]],VLOOKUP(COMPROMISOS_2025[[#This Row],[Indicador Principal]],$AC$2:$AD$17,2,0),0),"")</f>
        <v/>
      </c>
    </row>
    <row r="1458" spans="1:25" hidden="1" x14ac:dyDescent="0.25">
      <c r="A1458">
        <v>952</v>
      </c>
      <c r="B1458" t="s">
        <v>4164</v>
      </c>
      <c r="C1458" t="s">
        <v>1936</v>
      </c>
      <c r="D1458" t="s">
        <v>4165</v>
      </c>
      <c r="F1458">
        <v>359</v>
      </c>
      <c r="G1458">
        <v>65</v>
      </c>
      <c r="H1458" t="s">
        <v>662</v>
      </c>
      <c r="I1458" t="s">
        <v>2271</v>
      </c>
      <c r="J1458">
        <v>500000</v>
      </c>
      <c r="K1458">
        <v>2025</v>
      </c>
      <c r="L1458">
        <v>1014176211</v>
      </c>
      <c r="M1458" t="s">
        <v>4000</v>
      </c>
      <c r="N1458" t="s">
        <v>1688</v>
      </c>
      <c r="O1458" t="s">
        <v>1686</v>
      </c>
      <c r="P1458">
        <v>0</v>
      </c>
      <c r="Q1458">
        <v>500000</v>
      </c>
      <c r="R1458">
        <v>0</v>
      </c>
      <c r="S1458">
        <v>0</v>
      </c>
      <c r="T1458" t="str">
        <f t="shared" si="44"/>
        <v>9522.43.4302.85.0-205128.2.3.3.08.06.</v>
      </c>
      <c r="U1458" t="e" cm="1">
        <f t="array" aca="1" ref="U1458" ca="1">+IF(COMPROMISOS_2025[[#This Row],[P]]="20","41080111",_xlfn.XLOOKUP(COMPROMISOS_2025[[#This Row],[concatenado]],PAA[[#All],[RCP-RUBRO]],PAA[[#All],[INDICADOR]],"",0))</f>
        <v>#NAME?</v>
      </c>
      <c r="V1458" s="144" t="str">
        <f t="shared" si="45"/>
        <v>85</v>
      </c>
      <c r="W1458" s="136">
        <f>+COMPROMISOS_2025[[#This Row],[valor_total]]-COMPROMISOS_2025[[#This Row],[total_cancelado]]</f>
        <v>500000</v>
      </c>
      <c r="X1458" s="136">
        <f>COMPROMISOS_2025[[#This Row],[total_ordenes]]</f>
        <v>500000</v>
      </c>
      <c r="Y1458" t="str" cm="1">
        <f t="array" aca="1" ref="Y1458" ca="1">IFERROR(_xlfn.XLOOKUP(COMPROMISOS_2025[[#This Row],[concatenado]],PAA[[#All],[RCP-RUBRO]],PAA[[#All],[Actividad3]],VLOOKUP(COMPROMISOS_2025[[#This Row],[Indicador Principal]],$AC$2:$AD$17,2,0),0),"")</f>
        <v/>
      </c>
    </row>
    <row r="1459" spans="1:25" hidden="1" x14ac:dyDescent="0.25">
      <c r="A1459">
        <v>953</v>
      </c>
      <c r="B1459" t="s">
        <v>4164</v>
      </c>
      <c r="C1459" t="s">
        <v>1936</v>
      </c>
      <c r="D1459" t="s">
        <v>4165</v>
      </c>
      <c r="F1459">
        <v>359</v>
      </c>
      <c r="G1459">
        <v>65</v>
      </c>
      <c r="H1459" t="s">
        <v>662</v>
      </c>
      <c r="I1459" t="s">
        <v>2271</v>
      </c>
      <c r="J1459">
        <v>1000000</v>
      </c>
      <c r="K1459">
        <v>2025</v>
      </c>
      <c r="L1459">
        <v>1014291928</v>
      </c>
      <c r="M1459" t="s">
        <v>3630</v>
      </c>
      <c r="N1459" t="s">
        <v>1688</v>
      </c>
      <c r="O1459" t="s">
        <v>1686</v>
      </c>
      <c r="P1459">
        <v>0</v>
      </c>
      <c r="Q1459">
        <v>1000000</v>
      </c>
      <c r="R1459">
        <v>0</v>
      </c>
      <c r="S1459">
        <v>0</v>
      </c>
      <c r="T1459" t="str">
        <f t="shared" si="44"/>
        <v>9532.43.4302.85.0-205128.2.3.3.08.06.</v>
      </c>
      <c r="U1459" t="e" cm="1">
        <f t="array" aca="1" ref="U1459" ca="1">+IF(COMPROMISOS_2025[[#This Row],[P]]="20","41080111",_xlfn.XLOOKUP(COMPROMISOS_2025[[#This Row],[concatenado]],PAA[[#All],[RCP-RUBRO]],PAA[[#All],[INDICADOR]],"",0))</f>
        <v>#NAME?</v>
      </c>
      <c r="V1459" s="144" t="str">
        <f t="shared" si="45"/>
        <v>85</v>
      </c>
      <c r="W1459" s="136">
        <f>+COMPROMISOS_2025[[#This Row],[valor_total]]-COMPROMISOS_2025[[#This Row],[total_cancelado]]</f>
        <v>1000000</v>
      </c>
      <c r="X1459" s="136">
        <f>COMPROMISOS_2025[[#This Row],[total_ordenes]]</f>
        <v>1000000</v>
      </c>
      <c r="Y1459" t="str" cm="1">
        <f t="array" aca="1" ref="Y1459" ca="1">IFERROR(_xlfn.XLOOKUP(COMPROMISOS_2025[[#This Row],[concatenado]],PAA[[#All],[RCP-RUBRO]],PAA[[#All],[Actividad3]],VLOOKUP(COMPROMISOS_2025[[#This Row],[Indicador Principal]],$AC$2:$AD$17,2,0),0),"")</f>
        <v/>
      </c>
    </row>
    <row r="1460" spans="1:25" hidden="1" x14ac:dyDescent="0.25">
      <c r="A1460">
        <v>954</v>
      </c>
      <c r="B1460" t="s">
        <v>4164</v>
      </c>
      <c r="C1460" t="s">
        <v>1936</v>
      </c>
      <c r="D1460" t="s">
        <v>4165</v>
      </c>
      <c r="F1460">
        <v>359</v>
      </c>
      <c r="G1460">
        <v>65</v>
      </c>
      <c r="H1460" t="s">
        <v>662</v>
      </c>
      <c r="I1460" t="s">
        <v>2271</v>
      </c>
      <c r="J1460">
        <v>500000</v>
      </c>
      <c r="K1460">
        <v>2025</v>
      </c>
      <c r="L1460">
        <v>1015482075</v>
      </c>
      <c r="M1460" t="s">
        <v>4001</v>
      </c>
      <c r="N1460" t="s">
        <v>1688</v>
      </c>
      <c r="O1460" t="s">
        <v>1686</v>
      </c>
      <c r="P1460">
        <v>0</v>
      </c>
      <c r="Q1460">
        <v>500000</v>
      </c>
      <c r="R1460">
        <v>0</v>
      </c>
      <c r="S1460">
        <v>0</v>
      </c>
      <c r="T1460" t="str">
        <f t="shared" si="44"/>
        <v>9542.43.4302.85.0-205128.2.3.3.08.06.</v>
      </c>
      <c r="U1460" t="e" cm="1">
        <f t="array" aca="1" ref="U1460" ca="1">+IF(COMPROMISOS_2025[[#This Row],[P]]="20","41080111",_xlfn.XLOOKUP(COMPROMISOS_2025[[#This Row],[concatenado]],PAA[[#All],[RCP-RUBRO]],PAA[[#All],[INDICADOR]],"",0))</f>
        <v>#NAME?</v>
      </c>
      <c r="V1460" s="144" t="str">
        <f t="shared" si="45"/>
        <v>85</v>
      </c>
      <c r="W1460" s="136">
        <f>+COMPROMISOS_2025[[#This Row],[valor_total]]-COMPROMISOS_2025[[#This Row],[total_cancelado]]</f>
        <v>500000</v>
      </c>
      <c r="X1460" s="136">
        <f>COMPROMISOS_2025[[#This Row],[total_ordenes]]</f>
        <v>500000</v>
      </c>
      <c r="Y1460" t="str" cm="1">
        <f t="array" aca="1" ref="Y1460" ca="1">IFERROR(_xlfn.XLOOKUP(COMPROMISOS_2025[[#This Row],[concatenado]],PAA[[#All],[RCP-RUBRO]],PAA[[#All],[Actividad3]],VLOOKUP(COMPROMISOS_2025[[#This Row],[Indicador Principal]],$AC$2:$AD$17,2,0),0),"")</f>
        <v/>
      </c>
    </row>
    <row r="1461" spans="1:25" hidden="1" x14ac:dyDescent="0.25">
      <c r="A1461">
        <v>955</v>
      </c>
      <c r="B1461" t="s">
        <v>4164</v>
      </c>
      <c r="C1461" t="s">
        <v>1936</v>
      </c>
      <c r="D1461" t="s">
        <v>4165</v>
      </c>
      <c r="F1461">
        <v>359</v>
      </c>
      <c r="G1461">
        <v>65</v>
      </c>
      <c r="H1461" t="s">
        <v>662</v>
      </c>
      <c r="I1461" t="s">
        <v>2271</v>
      </c>
      <c r="J1461">
        <v>500000</v>
      </c>
      <c r="K1461">
        <v>2025</v>
      </c>
      <c r="L1461">
        <v>1017156382</v>
      </c>
      <c r="M1461" t="s">
        <v>4002</v>
      </c>
      <c r="N1461" t="s">
        <v>1688</v>
      </c>
      <c r="O1461" t="s">
        <v>1686</v>
      </c>
      <c r="P1461">
        <v>0</v>
      </c>
      <c r="Q1461">
        <v>500000</v>
      </c>
      <c r="R1461">
        <v>0</v>
      </c>
      <c r="S1461">
        <v>0</v>
      </c>
      <c r="T1461" t="str">
        <f t="shared" si="44"/>
        <v>9552.43.4302.85.0-205128.2.3.3.08.06.</v>
      </c>
      <c r="U1461" t="e" cm="1">
        <f t="array" aca="1" ref="U1461" ca="1">+IF(COMPROMISOS_2025[[#This Row],[P]]="20","41080111",_xlfn.XLOOKUP(COMPROMISOS_2025[[#This Row],[concatenado]],PAA[[#All],[RCP-RUBRO]],PAA[[#All],[INDICADOR]],"",0))</f>
        <v>#NAME?</v>
      </c>
      <c r="V1461" s="144" t="str">
        <f t="shared" si="45"/>
        <v>85</v>
      </c>
      <c r="W1461" s="136">
        <f>+COMPROMISOS_2025[[#This Row],[valor_total]]-COMPROMISOS_2025[[#This Row],[total_cancelado]]</f>
        <v>500000</v>
      </c>
      <c r="X1461" s="136">
        <f>COMPROMISOS_2025[[#This Row],[total_ordenes]]</f>
        <v>500000</v>
      </c>
      <c r="Y1461" t="str" cm="1">
        <f t="array" aca="1" ref="Y1461" ca="1">IFERROR(_xlfn.XLOOKUP(COMPROMISOS_2025[[#This Row],[concatenado]],PAA[[#All],[RCP-RUBRO]],PAA[[#All],[Actividad3]],VLOOKUP(COMPROMISOS_2025[[#This Row],[Indicador Principal]],$AC$2:$AD$17,2,0),0),"")</f>
        <v/>
      </c>
    </row>
    <row r="1462" spans="1:25" hidden="1" x14ac:dyDescent="0.25">
      <c r="A1462">
        <v>956</v>
      </c>
      <c r="B1462" t="s">
        <v>4164</v>
      </c>
      <c r="C1462" t="s">
        <v>1936</v>
      </c>
      <c r="D1462" t="s">
        <v>4165</v>
      </c>
      <c r="F1462">
        <v>359</v>
      </c>
      <c r="G1462">
        <v>65</v>
      </c>
      <c r="H1462" t="s">
        <v>662</v>
      </c>
      <c r="I1462" t="s">
        <v>2271</v>
      </c>
      <c r="J1462">
        <v>500000</v>
      </c>
      <c r="K1462">
        <v>2025</v>
      </c>
      <c r="L1462">
        <v>1017211051</v>
      </c>
      <c r="M1462" t="s">
        <v>4003</v>
      </c>
      <c r="N1462" t="s">
        <v>1688</v>
      </c>
      <c r="O1462" t="s">
        <v>1686</v>
      </c>
      <c r="P1462">
        <v>0</v>
      </c>
      <c r="Q1462">
        <v>500000</v>
      </c>
      <c r="R1462">
        <v>0</v>
      </c>
      <c r="S1462">
        <v>0</v>
      </c>
      <c r="T1462" t="str">
        <f t="shared" si="44"/>
        <v>9562.43.4302.85.0-205128.2.3.3.08.06.</v>
      </c>
      <c r="U1462" t="e" cm="1">
        <f t="array" aca="1" ref="U1462" ca="1">+IF(COMPROMISOS_2025[[#This Row],[P]]="20","41080111",_xlfn.XLOOKUP(COMPROMISOS_2025[[#This Row],[concatenado]],PAA[[#All],[RCP-RUBRO]],PAA[[#All],[INDICADOR]],"",0))</f>
        <v>#NAME?</v>
      </c>
      <c r="V1462" s="144" t="str">
        <f t="shared" si="45"/>
        <v>85</v>
      </c>
      <c r="W1462" s="136">
        <f>+COMPROMISOS_2025[[#This Row],[valor_total]]-COMPROMISOS_2025[[#This Row],[total_cancelado]]</f>
        <v>500000</v>
      </c>
      <c r="X1462" s="136">
        <f>COMPROMISOS_2025[[#This Row],[total_ordenes]]</f>
        <v>500000</v>
      </c>
      <c r="Y1462" t="str" cm="1">
        <f t="array" aca="1" ref="Y1462" ca="1">IFERROR(_xlfn.XLOOKUP(COMPROMISOS_2025[[#This Row],[concatenado]],PAA[[#All],[RCP-RUBRO]],PAA[[#All],[Actividad3]],VLOOKUP(COMPROMISOS_2025[[#This Row],[Indicador Principal]],$AC$2:$AD$17,2,0),0),"")</f>
        <v/>
      </c>
    </row>
    <row r="1463" spans="1:25" hidden="1" x14ac:dyDescent="0.25">
      <c r="A1463">
        <v>957</v>
      </c>
      <c r="B1463" t="s">
        <v>4164</v>
      </c>
      <c r="C1463" t="s">
        <v>1936</v>
      </c>
      <c r="D1463" t="s">
        <v>4165</v>
      </c>
      <c r="F1463">
        <v>359</v>
      </c>
      <c r="G1463">
        <v>65</v>
      </c>
      <c r="H1463" t="s">
        <v>662</v>
      </c>
      <c r="I1463" t="s">
        <v>2271</v>
      </c>
      <c r="J1463">
        <v>500000</v>
      </c>
      <c r="K1463">
        <v>2025</v>
      </c>
      <c r="L1463">
        <v>1017225603</v>
      </c>
      <c r="M1463" t="s">
        <v>4004</v>
      </c>
      <c r="N1463" t="s">
        <v>1688</v>
      </c>
      <c r="O1463" t="s">
        <v>1686</v>
      </c>
      <c r="P1463">
        <v>0</v>
      </c>
      <c r="Q1463">
        <v>500000</v>
      </c>
      <c r="R1463">
        <v>0</v>
      </c>
      <c r="S1463">
        <v>0</v>
      </c>
      <c r="T1463" t="str">
        <f t="shared" si="44"/>
        <v>9572.43.4302.85.0-205128.2.3.3.08.06.</v>
      </c>
      <c r="U1463" t="e" cm="1">
        <f t="array" aca="1" ref="U1463" ca="1">+IF(COMPROMISOS_2025[[#This Row],[P]]="20","41080111",_xlfn.XLOOKUP(COMPROMISOS_2025[[#This Row],[concatenado]],PAA[[#All],[RCP-RUBRO]],PAA[[#All],[INDICADOR]],"",0))</f>
        <v>#NAME?</v>
      </c>
      <c r="V1463" s="144" t="str">
        <f t="shared" si="45"/>
        <v>85</v>
      </c>
      <c r="W1463" s="136">
        <f>+COMPROMISOS_2025[[#This Row],[valor_total]]-COMPROMISOS_2025[[#This Row],[total_cancelado]]</f>
        <v>500000</v>
      </c>
      <c r="X1463" s="136">
        <f>COMPROMISOS_2025[[#This Row],[total_ordenes]]</f>
        <v>500000</v>
      </c>
      <c r="Y1463" t="str" cm="1">
        <f t="array" aca="1" ref="Y1463" ca="1">IFERROR(_xlfn.XLOOKUP(COMPROMISOS_2025[[#This Row],[concatenado]],PAA[[#All],[RCP-RUBRO]],PAA[[#All],[Actividad3]],VLOOKUP(COMPROMISOS_2025[[#This Row],[Indicador Principal]],$AC$2:$AD$17,2,0),0),"")</f>
        <v/>
      </c>
    </row>
    <row r="1464" spans="1:25" hidden="1" x14ac:dyDescent="0.25">
      <c r="A1464">
        <v>958</v>
      </c>
      <c r="B1464" t="s">
        <v>4164</v>
      </c>
      <c r="C1464" t="s">
        <v>1936</v>
      </c>
      <c r="D1464" t="s">
        <v>4165</v>
      </c>
      <c r="F1464">
        <v>359</v>
      </c>
      <c r="G1464">
        <v>65</v>
      </c>
      <c r="H1464" t="s">
        <v>662</v>
      </c>
      <c r="I1464" t="s">
        <v>2271</v>
      </c>
      <c r="J1464">
        <v>500000</v>
      </c>
      <c r="K1464">
        <v>2025</v>
      </c>
      <c r="L1464">
        <v>1017231782</v>
      </c>
      <c r="M1464" t="s">
        <v>4005</v>
      </c>
      <c r="N1464" t="s">
        <v>1688</v>
      </c>
      <c r="O1464" t="s">
        <v>1686</v>
      </c>
      <c r="P1464">
        <v>0</v>
      </c>
      <c r="Q1464">
        <v>500000</v>
      </c>
      <c r="R1464">
        <v>0</v>
      </c>
      <c r="S1464">
        <v>0</v>
      </c>
      <c r="T1464" t="str">
        <f t="shared" si="44"/>
        <v>9582.43.4302.85.0-205128.2.3.3.08.06.</v>
      </c>
      <c r="U1464" t="e" cm="1">
        <f t="array" aca="1" ref="U1464" ca="1">+IF(COMPROMISOS_2025[[#This Row],[P]]="20","41080111",_xlfn.XLOOKUP(COMPROMISOS_2025[[#This Row],[concatenado]],PAA[[#All],[RCP-RUBRO]],PAA[[#All],[INDICADOR]],"",0))</f>
        <v>#NAME?</v>
      </c>
      <c r="V1464" s="144" t="str">
        <f t="shared" si="45"/>
        <v>85</v>
      </c>
      <c r="W1464" s="136">
        <f>+COMPROMISOS_2025[[#This Row],[valor_total]]-COMPROMISOS_2025[[#This Row],[total_cancelado]]</f>
        <v>500000</v>
      </c>
      <c r="X1464" s="136">
        <f>COMPROMISOS_2025[[#This Row],[total_ordenes]]</f>
        <v>500000</v>
      </c>
      <c r="Y1464" t="str" cm="1">
        <f t="array" aca="1" ref="Y1464" ca="1">IFERROR(_xlfn.XLOOKUP(COMPROMISOS_2025[[#This Row],[concatenado]],PAA[[#All],[RCP-RUBRO]],PAA[[#All],[Actividad3]],VLOOKUP(COMPROMISOS_2025[[#This Row],[Indicador Principal]],$AC$2:$AD$17,2,0),0),"")</f>
        <v/>
      </c>
    </row>
    <row r="1465" spans="1:25" hidden="1" x14ac:dyDescent="0.25">
      <c r="A1465">
        <v>959</v>
      </c>
      <c r="B1465" t="s">
        <v>4164</v>
      </c>
      <c r="C1465" t="s">
        <v>1936</v>
      </c>
      <c r="D1465" t="s">
        <v>4165</v>
      </c>
      <c r="F1465">
        <v>359</v>
      </c>
      <c r="G1465">
        <v>65</v>
      </c>
      <c r="H1465" t="s">
        <v>662</v>
      </c>
      <c r="I1465" t="s">
        <v>2271</v>
      </c>
      <c r="J1465">
        <v>1300000</v>
      </c>
      <c r="K1465">
        <v>2025</v>
      </c>
      <c r="L1465">
        <v>1017234088</v>
      </c>
      <c r="M1465" t="s">
        <v>4006</v>
      </c>
      <c r="N1465" t="s">
        <v>1688</v>
      </c>
      <c r="O1465" t="s">
        <v>1686</v>
      </c>
      <c r="P1465">
        <v>0</v>
      </c>
      <c r="Q1465">
        <v>1300000</v>
      </c>
      <c r="R1465">
        <v>0</v>
      </c>
      <c r="S1465">
        <v>0</v>
      </c>
      <c r="T1465" t="str">
        <f t="shared" si="44"/>
        <v>9592.43.4302.85.0-205128.2.3.3.08.06.</v>
      </c>
      <c r="U1465" t="e" cm="1">
        <f t="array" aca="1" ref="U1465" ca="1">+IF(COMPROMISOS_2025[[#This Row],[P]]="20","41080111",_xlfn.XLOOKUP(COMPROMISOS_2025[[#This Row],[concatenado]],PAA[[#All],[RCP-RUBRO]],PAA[[#All],[INDICADOR]],"",0))</f>
        <v>#NAME?</v>
      </c>
      <c r="V1465" s="144" t="str">
        <f t="shared" si="45"/>
        <v>85</v>
      </c>
      <c r="W1465" s="136">
        <f>+COMPROMISOS_2025[[#This Row],[valor_total]]-COMPROMISOS_2025[[#This Row],[total_cancelado]]</f>
        <v>1300000</v>
      </c>
      <c r="X1465" s="136">
        <f>COMPROMISOS_2025[[#This Row],[total_ordenes]]</f>
        <v>1300000</v>
      </c>
      <c r="Y1465" t="str" cm="1">
        <f t="array" aca="1" ref="Y1465" ca="1">IFERROR(_xlfn.XLOOKUP(COMPROMISOS_2025[[#This Row],[concatenado]],PAA[[#All],[RCP-RUBRO]],PAA[[#All],[Actividad3]],VLOOKUP(COMPROMISOS_2025[[#This Row],[Indicador Principal]],$AC$2:$AD$17,2,0),0),"")</f>
        <v/>
      </c>
    </row>
    <row r="1466" spans="1:25" hidden="1" x14ac:dyDescent="0.25">
      <c r="A1466">
        <v>960</v>
      </c>
      <c r="B1466" t="s">
        <v>4164</v>
      </c>
      <c r="C1466" t="s">
        <v>1936</v>
      </c>
      <c r="D1466" t="s">
        <v>4165</v>
      </c>
      <c r="F1466">
        <v>359</v>
      </c>
      <c r="G1466">
        <v>65</v>
      </c>
      <c r="H1466" t="s">
        <v>662</v>
      </c>
      <c r="I1466" t="s">
        <v>2271</v>
      </c>
      <c r="J1466">
        <v>1000000</v>
      </c>
      <c r="K1466">
        <v>2025</v>
      </c>
      <c r="L1466">
        <v>1017243459</v>
      </c>
      <c r="M1466" t="s">
        <v>3642</v>
      </c>
      <c r="N1466" t="s">
        <v>1688</v>
      </c>
      <c r="O1466" t="s">
        <v>1686</v>
      </c>
      <c r="P1466">
        <v>0</v>
      </c>
      <c r="Q1466">
        <v>1000000</v>
      </c>
      <c r="R1466">
        <v>0</v>
      </c>
      <c r="S1466">
        <v>0</v>
      </c>
      <c r="T1466" t="str">
        <f t="shared" si="44"/>
        <v>9602.43.4302.85.0-205128.2.3.3.08.06.</v>
      </c>
      <c r="U1466" t="e" cm="1">
        <f t="array" aca="1" ref="U1466" ca="1">+IF(COMPROMISOS_2025[[#This Row],[P]]="20","41080111",_xlfn.XLOOKUP(COMPROMISOS_2025[[#This Row],[concatenado]],PAA[[#All],[RCP-RUBRO]],PAA[[#All],[INDICADOR]],"",0))</f>
        <v>#NAME?</v>
      </c>
      <c r="V1466" s="144" t="str">
        <f t="shared" si="45"/>
        <v>85</v>
      </c>
      <c r="W1466" s="136">
        <f>+COMPROMISOS_2025[[#This Row],[valor_total]]-COMPROMISOS_2025[[#This Row],[total_cancelado]]</f>
        <v>1000000</v>
      </c>
      <c r="X1466" s="136">
        <f>COMPROMISOS_2025[[#This Row],[total_ordenes]]</f>
        <v>1000000</v>
      </c>
      <c r="Y1466" t="str" cm="1">
        <f t="array" aca="1" ref="Y1466" ca="1">IFERROR(_xlfn.XLOOKUP(COMPROMISOS_2025[[#This Row],[concatenado]],PAA[[#All],[RCP-RUBRO]],PAA[[#All],[Actividad3]],VLOOKUP(COMPROMISOS_2025[[#This Row],[Indicador Principal]],$AC$2:$AD$17,2,0),0),"")</f>
        <v/>
      </c>
    </row>
    <row r="1467" spans="1:25" hidden="1" x14ac:dyDescent="0.25">
      <c r="A1467">
        <v>961</v>
      </c>
      <c r="B1467" t="s">
        <v>4164</v>
      </c>
      <c r="C1467" t="s">
        <v>1936</v>
      </c>
      <c r="D1467" t="s">
        <v>4165</v>
      </c>
      <c r="F1467">
        <v>359</v>
      </c>
      <c r="G1467">
        <v>65</v>
      </c>
      <c r="H1467" t="s">
        <v>662</v>
      </c>
      <c r="I1467" t="s">
        <v>2271</v>
      </c>
      <c r="J1467">
        <v>500000</v>
      </c>
      <c r="K1467">
        <v>2025</v>
      </c>
      <c r="L1467">
        <v>1017247281</v>
      </c>
      <c r="M1467" t="s">
        <v>4007</v>
      </c>
      <c r="N1467" t="s">
        <v>1688</v>
      </c>
      <c r="O1467" t="s">
        <v>1686</v>
      </c>
      <c r="P1467">
        <v>0</v>
      </c>
      <c r="Q1467">
        <v>500000</v>
      </c>
      <c r="R1467">
        <v>0</v>
      </c>
      <c r="S1467">
        <v>0</v>
      </c>
      <c r="T1467" t="str">
        <f t="shared" si="44"/>
        <v>9612.43.4302.85.0-205128.2.3.3.08.06.</v>
      </c>
      <c r="U1467" t="e" cm="1">
        <f t="array" aca="1" ref="U1467" ca="1">+IF(COMPROMISOS_2025[[#This Row],[P]]="20","41080111",_xlfn.XLOOKUP(COMPROMISOS_2025[[#This Row],[concatenado]],PAA[[#All],[RCP-RUBRO]],PAA[[#All],[INDICADOR]],"",0))</f>
        <v>#NAME?</v>
      </c>
      <c r="V1467" s="144" t="str">
        <f t="shared" si="45"/>
        <v>85</v>
      </c>
      <c r="W1467" s="136">
        <f>+COMPROMISOS_2025[[#This Row],[valor_total]]-COMPROMISOS_2025[[#This Row],[total_cancelado]]</f>
        <v>500000</v>
      </c>
      <c r="X1467" s="136">
        <f>COMPROMISOS_2025[[#This Row],[total_ordenes]]</f>
        <v>500000</v>
      </c>
      <c r="Y1467" t="str" cm="1">
        <f t="array" aca="1" ref="Y1467" ca="1">IFERROR(_xlfn.XLOOKUP(COMPROMISOS_2025[[#This Row],[concatenado]],PAA[[#All],[RCP-RUBRO]],PAA[[#All],[Actividad3]],VLOOKUP(COMPROMISOS_2025[[#This Row],[Indicador Principal]],$AC$2:$AD$17,2,0),0),"")</f>
        <v/>
      </c>
    </row>
    <row r="1468" spans="1:25" hidden="1" x14ac:dyDescent="0.25">
      <c r="A1468">
        <v>962</v>
      </c>
      <c r="B1468" t="s">
        <v>4164</v>
      </c>
      <c r="C1468" t="s">
        <v>1936</v>
      </c>
      <c r="D1468" t="s">
        <v>4165</v>
      </c>
      <c r="F1468">
        <v>359</v>
      </c>
      <c r="G1468">
        <v>65</v>
      </c>
      <c r="H1468" t="s">
        <v>662</v>
      </c>
      <c r="I1468" t="s">
        <v>2271</v>
      </c>
      <c r="J1468">
        <v>500000</v>
      </c>
      <c r="K1468">
        <v>2025</v>
      </c>
      <c r="L1468">
        <v>1017247931</v>
      </c>
      <c r="M1468" t="s">
        <v>4008</v>
      </c>
      <c r="N1468" t="s">
        <v>1688</v>
      </c>
      <c r="O1468" t="s">
        <v>1686</v>
      </c>
      <c r="P1468">
        <v>0</v>
      </c>
      <c r="Q1468">
        <v>500000</v>
      </c>
      <c r="R1468">
        <v>0</v>
      </c>
      <c r="S1468">
        <v>0</v>
      </c>
      <c r="T1468" t="str">
        <f t="shared" si="44"/>
        <v>9622.43.4302.85.0-205128.2.3.3.08.06.</v>
      </c>
      <c r="U1468" t="e" cm="1">
        <f t="array" aca="1" ref="U1468" ca="1">+IF(COMPROMISOS_2025[[#This Row],[P]]="20","41080111",_xlfn.XLOOKUP(COMPROMISOS_2025[[#This Row],[concatenado]],PAA[[#All],[RCP-RUBRO]],PAA[[#All],[INDICADOR]],"",0))</f>
        <v>#NAME?</v>
      </c>
      <c r="V1468" s="144" t="str">
        <f t="shared" si="45"/>
        <v>85</v>
      </c>
      <c r="W1468" s="136">
        <f>+COMPROMISOS_2025[[#This Row],[valor_total]]-COMPROMISOS_2025[[#This Row],[total_cancelado]]</f>
        <v>500000</v>
      </c>
      <c r="X1468" s="136">
        <f>COMPROMISOS_2025[[#This Row],[total_ordenes]]</f>
        <v>500000</v>
      </c>
      <c r="Y1468" t="str" cm="1">
        <f t="array" aca="1" ref="Y1468" ca="1">IFERROR(_xlfn.XLOOKUP(COMPROMISOS_2025[[#This Row],[concatenado]],PAA[[#All],[RCP-RUBRO]],PAA[[#All],[Actividad3]],VLOOKUP(COMPROMISOS_2025[[#This Row],[Indicador Principal]],$AC$2:$AD$17,2,0),0),"")</f>
        <v/>
      </c>
    </row>
    <row r="1469" spans="1:25" hidden="1" x14ac:dyDescent="0.25">
      <c r="A1469">
        <v>963</v>
      </c>
      <c r="B1469" t="s">
        <v>4164</v>
      </c>
      <c r="C1469" t="s">
        <v>1936</v>
      </c>
      <c r="D1469" t="s">
        <v>4165</v>
      </c>
      <c r="F1469">
        <v>359</v>
      </c>
      <c r="G1469">
        <v>65</v>
      </c>
      <c r="H1469" t="s">
        <v>662</v>
      </c>
      <c r="I1469" t="s">
        <v>2271</v>
      </c>
      <c r="J1469">
        <v>500000</v>
      </c>
      <c r="K1469">
        <v>2025</v>
      </c>
      <c r="L1469">
        <v>1017263035</v>
      </c>
      <c r="M1469" t="s">
        <v>3643</v>
      </c>
      <c r="N1469" t="s">
        <v>1688</v>
      </c>
      <c r="O1469" t="s">
        <v>1686</v>
      </c>
      <c r="P1469">
        <v>0</v>
      </c>
      <c r="Q1469">
        <v>500000</v>
      </c>
      <c r="R1469">
        <v>0</v>
      </c>
      <c r="S1469">
        <v>0</v>
      </c>
      <c r="T1469" t="str">
        <f t="shared" si="44"/>
        <v>9632.43.4302.85.0-205128.2.3.3.08.06.</v>
      </c>
      <c r="U1469" t="e" cm="1">
        <f t="array" aca="1" ref="U1469" ca="1">+IF(COMPROMISOS_2025[[#This Row],[P]]="20","41080111",_xlfn.XLOOKUP(COMPROMISOS_2025[[#This Row],[concatenado]],PAA[[#All],[RCP-RUBRO]],PAA[[#All],[INDICADOR]],"",0))</f>
        <v>#NAME?</v>
      </c>
      <c r="V1469" s="144" t="str">
        <f t="shared" si="45"/>
        <v>85</v>
      </c>
      <c r="W1469" s="136">
        <f>+COMPROMISOS_2025[[#This Row],[valor_total]]-COMPROMISOS_2025[[#This Row],[total_cancelado]]</f>
        <v>500000</v>
      </c>
      <c r="X1469" s="136">
        <f>COMPROMISOS_2025[[#This Row],[total_ordenes]]</f>
        <v>500000</v>
      </c>
      <c r="Y1469" t="str" cm="1">
        <f t="array" aca="1" ref="Y1469" ca="1">IFERROR(_xlfn.XLOOKUP(COMPROMISOS_2025[[#This Row],[concatenado]],PAA[[#All],[RCP-RUBRO]],PAA[[#All],[Actividad3]],VLOOKUP(COMPROMISOS_2025[[#This Row],[Indicador Principal]],$AC$2:$AD$17,2,0),0),"")</f>
        <v/>
      </c>
    </row>
    <row r="1470" spans="1:25" hidden="1" x14ac:dyDescent="0.25">
      <c r="A1470">
        <v>964</v>
      </c>
      <c r="B1470" t="s">
        <v>4164</v>
      </c>
      <c r="C1470" t="s">
        <v>1936</v>
      </c>
      <c r="D1470" t="s">
        <v>4165</v>
      </c>
      <c r="F1470">
        <v>359</v>
      </c>
      <c r="G1470">
        <v>65</v>
      </c>
      <c r="H1470" t="s">
        <v>662</v>
      </c>
      <c r="I1470" t="s">
        <v>2271</v>
      </c>
      <c r="J1470">
        <v>500000</v>
      </c>
      <c r="K1470">
        <v>2025</v>
      </c>
      <c r="L1470">
        <v>1017265361</v>
      </c>
      <c r="M1470" t="s">
        <v>3644</v>
      </c>
      <c r="N1470" t="s">
        <v>1688</v>
      </c>
      <c r="O1470" t="s">
        <v>1686</v>
      </c>
      <c r="P1470">
        <v>0</v>
      </c>
      <c r="Q1470">
        <v>500000</v>
      </c>
      <c r="R1470">
        <v>0</v>
      </c>
      <c r="S1470">
        <v>0</v>
      </c>
      <c r="T1470" t="str">
        <f t="shared" si="44"/>
        <v>9642.43.4302.85.0-205128.2.3.3.08.06.</v>
      </c>
      <c r="U1470" t="e" cm="1">
        <f t="array" aca="1" ref="U1470" ca="1">+IF(COMPROMISOS_2025[[#This Row],[P]]="20","41080111",_xlfn.XLOOKUP(COMPROMISOS_2025[[#This Row],[concatenado]],PAA[[#All],[RCP-RUBRO]],PAA[[#All],[INDICADOR]],"",0))</f>
        <v>#NAME?</v>
      </c>
      <c r="V1470" s="144" t="str">
        <f t="shared" si="45"/>
        <v>85</v>
      </c>
      <c r="W1470" s="136">
        <f>+COMPROMISOS_2025[[#This Row],[valor_total]]-COMPROMISOS_2025[[#This Row],[total_cancelado]]</f>
        <v>500000</v>
      </c>
      <c r="X1470" s="136">
        <f>COMPROMISOS_2025[[#This Row],[total_ordenes]]</f>
        <v>500000</v>
      </c>
      <c r="Y1470" t="str" cm="1">
        <f t="array" aca="1" ref="Y1470" ca="1">IFERROR(_xlfn.XLOOKUP(COMPROMISOS_2025[[#This Row],[concatenado]],PAA[[#All],[RCP-RUBRO]],PAA[[#All],[Actividad3]],VLOOKUP(COMPROMISOS_2025[[#This Row],[Indicador Principal]],$AC$2:$AD$17,2,0),0),"")</f>
        <v/>
      </c>
    </row>
    <row r="1471" spans="1:25" hidden="1" x14ac:dyDescent="0.25">
      <c r="A1471">
        <v>965</v>
      </c>
      <c r="B1471" t="s">
        <v>4164</v>
      </c>
      <c r="C1471" t="s">
        <v>1936</v>
      </c>
      <c r="D1471" t="s">
        <v>4165</v>
      </c>
      <c r="F1471">
        <v>359</v>
      </c>
      <c r="G1471">
        <v>65</v>
      </c>
      <c r="H1471" t="s">
        <v>662</v>
      </c>
      <c r="I1471" t="s">
        <v>2271</v>
      </c>
      <c r="J1471">
        <v>500000</v>
      </c>
      <c r="K1471">
        <v>2025</v>
      </c>
      <c r="L1471">
        <v>1017268216</v>
      </c>
      <c r="M1471" t="s">
        <v>4009</v>
      </c>
      <c r="N1471" t="s">
        <v>1688</v>
      </c>
      <c r="O1471" t="s">
        <v>1686</v>
      </c>
      <c r="P1471">
        <v>0</v>
      </c>
      <c r="Q1471">
        <v>500000</v>
      </c>
      <c r="R1471">
        <v>0</v>
      </c>
      <c r="S1471">
        <v>0</v>
      </c>
      <c r="T1471" t="str">
        <f t="shared" si="44"/>
        <v>9652.43.4302.85.0-205128.2.3.3.08.06.</v>
      </c>
      <c r="U1471" t="e" cm="1">
        <f t="array" aca="1" ref="U1471" ca="1">+IF(COMPROMISOS_2025[[#This Row],[P]]="20","41080111",_xlfn.XLOOKUP(COMPROMISOS_2025[[#This Row],[concatenado]],PAA[[#All],[RCP-RUBRO]],PAA[[#All],[INDICADOR]],"",0))</f>
        <v>#NAME?</v>
      </c>
      <c r="V1471" s="144" t="str">
        <f t="shared" si="45"/>
        <v>85</v>
      </c>
      <c r="W1471" s="136">
        <f>+COMPROMISOS_2025[[#This Row],[valor_total]]-COMPROMISOS_2025[[#This Row],[total_cancelado]]</f>
        <v>500000</v>
      </c>
      <c r="X1471" s="136">
        <f>COMPROMISOS_2025[[#This Row],[total_ordenes]]</f>
        <v>500000</v>
      </c>
      <c r="Y1471" t="str" cm="1">
        <f t="array" aca="1" ref="Y1471" ca="1">IFERROR(_xlfn.XLOOKUP(COMPROMISOS_2025[[#This Row],[concatenado]],PAA[[#All],[RCP-RUBRO]],PAA[[#All],[Actividad3]],VLOOKUP(COMPROMISOS_2025[[#This Row],[Indicador Principal]],$AC$2:$AD$17,2,0),0),"")</f>
        <v/>
      </c>
    </row>
    <row r="1472" spans="1:25" hidden="1" x14ac:dyDescent="0.25">
      <c r="A1472">
        <v>966</v>
      </c>
      <c r="B1472" t="s">
        <v>4164</v>
      </c>
      <c r="C1472" t="s">
        <v>1936</v>
      </c>
      <c r="D1472" t="s">
        <v>4165</v>
      </c>
      <c r="F1472">
        <v>359</v>
      </c>
      <c r="G1472">
        <v>65</v>
      </c>
      <c r="H1472" t="s">
        <v>662</v>
      </c>
      <c r="I1472" t="s">
        <v>2271</v>
      </c>
      <c r="J1472">
        <v>500000</v>
      </c>
      <c r="K1472">
        <v>2025</v>
      </c>
      <c r="L1472">
        <v>1017270409</v>
      </c>
      <c r="M1472" t="s">
        <v>4010</v>
      </c>
      <c r="N1472" t="s">
        <v>1688</v>
      </c>
      <c r="O1472" t="s">
        <v>1686</v>
      </c>
      <c r="P1472">
        <v>0</v>
      </c>
      <c r="Q1472">
        <v>500000</v>
      </c>
      <c r="R1472">
        <v>0</v>
      </c>
      <c r="S1472">
        <v>0</v>
      </c>
      <c r="T1472" t="str">
        <f t="shared" si="44"/>
        <v>9662.43.4302.85.0-205128.2.3.3.08.06.</v>
      </c>
      <c r="U1472" t="e" cm="1">
        <f t="array" aca="1" ref="U1472" ca="1">+IF(COMPROMISOS_2025[[#This Row],[P]]="20","41080111",_xlfn.XLOOKUP(COMPROMISOS_2025[[#This Row],[concatenado]],PAA[[#All],[RCP-RUBRO]],PAA[[#All],[INDICADOR]],"",0))</f>
        <v>#NAME?</v>
      </c>
      <c r="V1472" s="144" t="str">
        <f t="shared" si="45"/>
        <v>85</v>
      </c>
      <c r="W1472" s="136">
        <f>+COMPROMISOS_2025[[#This Row],[valor_total]]-COMPROMISOS_2025[[#This Row],[total_cancelado]]</f>
        <v>500000</v>
      </c>
      <c r="X1472" s="136">
        <f>COMPROMISOS_2025[[#This Row],[total_ordenes]]</f>
        <v>500000</v>
      </c>
      <c r="Y1472" t="str" cm="1">
        <f t="array" aca="1" ref="Y1472" ca="1">IFERROR(_xlfn.XLOOKUP(COMPROMISOS_2025[[#This Row],[concatenado]],PAA[[#All],[RCP-RUBRO]],PAA[[#All],[Actividad3]],VLOOKUP(COMPROMISOS_2025[[#This Row],[Indicador Principal]],$AC$2:$AD$17,2,0),0),"")</f>
        <v/>
      </c>
    </row>
    <row r="1473" spans="1:25" hidden="1" x14ac:dyDescent="0.25">
      <c r="A1473">
        <v>967</v>
      </c>
      <c r="B1473" t="s">
        <v>4164</v>
      </c>
      <c r="C1473" t="s">
        <v>1936</v>
      </c>
      <c r="D1473" t="s">
        <v>4165</v>
      </c>
      <c r="F1473">
        <v>359</v>
      </c>
      <c r="G1473">
        <v>65</v>
      </c>
      <c r="H1473" t="s">
        <v>662</v>
      </c>
      <c r="I1473" t="s">
        <v>2271</v>
      </c>
      <c r="J1473">
        <v>500000</v>
      </c>
      <c r="K1473">
        <v>2025</v>
      </c>
      <c r="L1473">
        <v>1017271509</v>
      </c>
      <c r="M1473" t="s">
        <v>4011</v>
      </c>
      <c r="N1473" t="s">
        <v>1688</v>
      </c>
      <c r="O1473" t="s">
        <v>1686</v>
      </c>
      <c r="P1473">
        <v>0</v>
      </c>
      <c r="Q1473">
        <v>500000</v>
      </c>
      <c r="R1473">
        <v>0</v>
      </c>
      <c r="S1473">
        <v>0</v>
      </c>
      <c r="T1473" t="str">
        <f t="shared" si="44"/>
        <v>9672.43.4302.85.0-205128.2.3.3.08.06.</v>
      </c>
      <c r="U1473" t="e" cm="1">
        <f t="array" aca="1" ref="U1473" ca="1">+IF(COMPROMISOS_2025[[#This Row],[P]]="20","41080111",_xlfn.XLOOKUP(COMPROMISOS_2025[[#This Row],[concatenado]],PAA[[#All],[RCP-RUBRO]],PAA[[#All],[INDICADOR]],"",0))</f>
        <v>#NAME?</v>
      </c>
      <c r="V1473" s="144" t="str">
        <f t="shared" si="45"/>
        <v>85</v>
      </c>
      <c r="W1473" s="136">
        <f>+COMPROMISOS_2025[[#This Row],[valor_total]]-COMPROMISOS_2025[[#This Row],[total_cancelado]]</f>
        <v>500000</v>
      </c>
      <c r="X1473" s="136">
        <f>COMPROMISOS_2025[[#This Row],[total_ordenes]]</f>
        <v>500000</v>
      </c>
      <c r="Y1473" t="str" cm="1">
        <f t="array" aca="1" ref="Y1473" ca="1">IFERROR(_xlfn.XLOOKUP(COMPROMISOS_2025[[#This Row],[concatenado]],PAA[[#All],[RCP-RUBRO]],PAA[[#All],[Actividad3]],VLOOKUP(COMPROMISOS_2025[[#This Row],[Indicador Principal]],$AC$2:$AD$17,2,0),0),"")</f>
        <v/>
      </c>
    </row>
    <row r="1474" spans="1:25" hidden="1" x14ac:dyDescent="0.25">
      <c r="A1474">
        <v>968</v>
      </c>
      <c r="B1474" t="s">
        <v>4164</v>
      </c>
      <c r="C1474" t="s">
        <v>1936</v>
      </c>
      <c r="D1474" t="s">
        <v>4165</v>
      </c>
      <c r="F1474">
        <v>359</v>
      </c>
      <c r="G1474">
        <v>65</v>
      </c>
      <c r="H1474" t="s">
        <v>662</v>
      </c>
      <c r="I1474" t="s">
        <v>2271</v>
      </c>
      <c r="J1474">
        <v>1300000</v>
      </c>
      <c r="K1474">
        <v>2025</v>
      </c>
      <c r="L1474">
        <v>1017272625</v>
      </c>
      <c r="M1474" t="s">
        <v>4012</v>
      </c>
      <c r="N1474" t="s">
        <v>1688</v>
      </c>
      <c r="O1474" t="s">
        <v>1686</v>
      </c>
      <c r="P1474">
        <v>0</v>
      </c>
      <c r="Q1474">
        <v>1300000</v>
      </c>
      <c r="R1474">
        <v>0</v>
      </c>
      <c r="S1474">
        <v>0</v>
      </c>
      <c r="T1474" t="str">
        <f t="shared" ref="T1474:T1537" si="46">IF(A1474&gt;=0,CONCATENATE(A1474,H1474),"")</f>
        <v>9682.43.4302.85.0-205128.2.3.3.08.06.</v>
      </c>
      <c r="U1474" t="e" cm="1">
        <f t="array" aca="1" ref="U1474" ca="1">+IF(COMPROMISOS_2025[[#This Row],[P]]="20","41080111",_xlfn.XLOOKUP(COMPROMISOS_2025[[#This Row],[concatenado]],PAA[[#All],[RCP-RUBRO]],PAA[[#All],[INDICADOR]],"",0))</f>
        <v>#NAME?</v>
      </c>
      <c r="V1474" s="144" t="str">
        <f t="shared" ref="V1474:V1537" si="47">+MID(H1474,11,2)</f>
        <v>85</v>
      </c>
      <c r="W1474" s="136">
        <f>+COMPROMISOS_2025[[#This Row],[valor_total]]-COMPROMISOS_2025[[#This Row],[total_cancelado]]</f>
        <v>1300000</v>
      </c>
      <c r="X1474" s="136">
        <f>COMPROMISOS_2025[[#This Row],[total_ordenes]]</f>
        <v>1300000</v>
      </c>
      <c r="Y1474" t="str" cm="1">
        <f t="array" aca="1" ref="Y1474" ca="1">IFERROR(_xlfn.XLOOKUP(COMPROMISOS_2025[[#This Row],[concatenado]],PAA[[#All],[RCP-RUBRO]],PAA[[#All],[Actividad3]],VLOOKUP(COMPROMISOS_2025[[#This Row],[Indicador Principal]],$AC$2:$AD$17,2,0),0),"")</f>
        <v/>
      </c>
    </row>
    <row r="1475" spans="1:25" hidden="1" x14ac:dyDescent="0.25">
      <c r="A1475">
        <v>969</v>
      </c>
      <c r="B1475" t="s">
        <v>4164</v>
      </c>
      <c r="C1475" t="s">
        <v>1936</v>
      </c>
      <c r="D1475" t="s">
        <v>4165</v>
      </c>
      <c r="F1475">
        <v>359</v>
      </c>
      <c r="G1475">
        <v>65</v>
      </c>
      <c r="H1475" t="s">
        <v>662</v>
      </c>
      <c r="I1475" t="s">
        <v>2271</v>
      </c>
      <c r="J1475">
        <v>500000</v>
      </c>
      <c r="K1475">
        <v>2025</v>
      </c>
      <c r="L1475">
        <v>1017923099</v>
      </c>
      <c r="M1475" t="s">
        <v>4013</v>
      </c>
      <c r="N1475" t="s">
        <v>1688</v>
      </c>
      <c r="O1475" t="s">
        <v>1686</v>
      </c>
      <c r="P1475">
        <v>0</v>
      </c>
      <c r="Q1475">
        <v>500000</v>
      </c>
      <c r="R1475">
        <v>0</v>
      </c>
      <c r="S1475">
        <v>0</v>
      </c>
      <c r="T1475" t="str">
        <f t="shared" si="46"/>
        <v>9692.43.4302.85.0-205128.2.3.3.08.06.</v>
      </c>
      <c r="U1475" t="e" cm="1">
        <f t="array" aca="1" ref="U1475" ca="1">+IF(COMPROMISOS_2025[[#This Row],[P]]="20","41080111",_xlfn.XLOOKUP(COMPROMISOS_2025[[#This Row],[concatenado]],PAA[[#All],[RCP-RUBRO]],PAA[[#All],[INDICADOR]],"",0))</f>
        <v>#NAME?</v>
      </c>
      <c r="V1475" s="144" t="str">
        <f t="shared" si="47"/>
        <v>85</v>
      </c>
      <c r="W1475" s="136">
        <f>+COMPROMISOS_2025[[#This Row],[valor_total]]-COMPROMISOS_2025[[#This Row],[total_cancelado]]</f>
        <v>500000</v>
      </c>
      <c r="X1475" s="136">
        <f>COMPROMISOS_2025[[#This Row],[total_ordenes]]</f>
        <v>500000</v>
      </c>
      <c r="Y1475" t="str" cm="1">
        <f t="array" aca="1" ref="Y1475" ca="1">IFERROR(_xlfn.XLOOKUP(COMPROMISOS_2025[[#This Row],[concatenado]],PAA[[#All],[RCP-RUBRO]],PAA[[#All],[Actividad3]],VLOOKUP(COMPROMISOS_2025[[#This Row],[Indicador Principal]],$AC$2:$AD$17,2,0),0),"")</f>
        <v/>
      </c>
    </row>
    <row r="1476" spans="1:25" hidden="1" x14ac:dyDescent="0.25">
      <c r="A1476">
        <v>970</v>
      </c>
      <c r="B1476" t="s">
        <v>4164</v>
      </c>
      <c r="C1476" t="s">
        <v>1936</v>
      </c>
      <c r="D1476" t="s">
        <v>4165</v>
      </c>
      <c r="F1476">
        <v>359</v>
      </c>
      <c r="G1476">
        <v>65</v>
      </c>
      <c r="H1476" t="s">
        <v>662</v>
      </c>
      <c r="I1476" t="s">
        <v>2271</v>
      </c>
      <c r="J1476">
        <v>500000</v>
      </c>
      <c r="K1476">
        <v>2025</v>
      </c>
      <c r="L1476">
        <v>1017923366</v>
      </c>
      <c r="M1476" t="s">
        <v>4014</v>
      </c>
      <c r="N1476" t="s">
        <v>1688</v>
      </c>
      <c r="O1476" t="s">
        <v>1686</v>
      </c>
      <c r="P1476">
        <v>0</v>
      </c>
      <c r="Q1476">
        <v>500000</v>
      </c>
      <c r="R1476">
        <v>0</v>
      </c>
      <c r="S1476">
        <v>0</v>
      </c>
      <c r="T1476" t="str">
        <f t="shared" si="46"/>
        <v>9702.43.4302.85.0-205128.2.3.3.08.06.</v>
      </c>
      <c r="U1476" t="e" cm="1">
        <f t="array" aca="1" ref="U1476" ca="1">+IF(COMPROMISOS_2025[[#This Row],[P]]="20","41080111",_xlfn.XLOOKUP(COMPROMISOS_2025[[#This Row],[concatenado]],PAA[[#All],[RCP-RUBRO]],PAA[[#All],[INDICADOR]],"",0))</f>
        <v>#NAME?</v>
      </c>
      <c r="V1476" s="144" t="str">
        <f t="shared" si="47"/>
        <v>85</v>
      </c>
      <c r="W1476" s="136">
        <f>+COMPROMISOS_2025[[#This Row],[valor_total]]-COMPROMISOS_2025[[#This Row],[total_cancelado]]</f>
        <v>500000</v>
      </c>
      <c r="X1476" s="136">
        <f>COMPROMISOS_2025[[#This Row],[total_ordenes]]</f>
        <v>500000</v>
      </c>
      <c r="Y1476" t="str" cm="1">
        <f t="array" aca="1" ref="Y1476" ca="1">IFERROR(_xlfn.XLOOKUP(COMPROMISOS_2025[[#This Row],[concatenado]],PAA[[#All],[RCP-RUBRO]],PAA[[#All],[Actividad3]],VLOOKUP(COMPROMISOS_2025[[#This Row],[Indicador Principal]],$AC$2:$AD$17,2,0),0),"")</f>
        <v/>
      </c>
    </row>
    <row r="1477" spans="1:25" hidden="1" x14ac:dyDescent="0.25">
      <c r="A1477">
        <v>971</v>
      </c>
      <c r="B1477" t="s">
        <v>4164</v>
      </c>
      <c r="C1477" t="s">
        <v>1936</v>
      </c>
      <c r="D1477" t="s">
        <v>4165</v>
      </c>
      <c r="F1477">
        <v>359</v>
      </c>
      <c r="G1477">
        <v>65</v>
      </c>
      <c r="H1477" t="s">
        <v>662</v>
      </c>
      <c r="I1477" t="s">
        <v>2271</v>
      </c>
      <c r="J1477">
        <v>500000</v>
      </c>
      <c r="K1477">
        <v>2025</v>
      </c>
      <c r="L1477">
        <v>1017923607</v>
      </c>
      <c r="M1477" t="s">
        <v>4015</v>
      </c>
      <c r="N1477" t="s">
        <v>1688</v>
      </c>
      <c r="O1477" t="s">
        <v>1686</v>
      </c>
      <c r="P1477">
        <v>0</v>
      </c>
      <c r="Q1477">
        <v>500000</v>
      </c>
      <c r="R1477">
        <v>0</v>
      </c>
      <c r="S1477">
        <v>0</v>
      </c>
      <c r="T1477" t="str">
        <f t="shared" si="46"/>
        <v>9712.43.4302.85.0-205128.2.3.3.08.06.</v>
      </c>
      <c r="U1477" t="e" cm="1">
        <f t="array" aca="1" ref="U1477" ca="1">+IF(COMPROMISOS_2025[[#This Row],[P]]="20","41080111",_xlfn.XLOOKUP(COMPROMISOS_2025[[#This Row],[concatenado]],PAA[[#All],[RCP-RUBRO]],PAA[[#All],[INDICADOR]],"",0))</f>
        <v>#NAME?</v>
      </c>
      <c r="V1477" s="144" t="str">
        <f t="shared" si="47"/>
        <v>85</v>
      </c>
      <c r="W1477" s="136">
        <f>+COMPROMISOS_2025[[#This Row],[valor_total]]-COMPROMISOS_2025[[#This Row],[total_cancelado]]</f>
        <v>500000</v>
      </c>
      <c r="X1477" s="136">
        <f>COMPROMISOS_2025[[#This Row],[total_ordenes]]</f>
        <v>500000</v>
      </c>
      <c r="Y1477" t="str" cm="1">
        <f t="array" aca="1" ref="Y1477" ca="1">IFERROR(_xlfn.XLOOKUP(COMPROMISOS_2025[[#This Row],[concatenado]],PAA[[#All],[RCP-RUBRO]],PAA[[#All],[Actividad3]],VLOOKUP(COMPROMISOS_2025[[#This Row],[Indicador Principal]],$AC$2:$AD$17,2,0),0),"")</f>
        <v/>
      </c>
    </row>
    <row r="1478" spans="1:25" hidden="1" x14ac:dyDescent="0.25">
      <c r="A1478">
        <v>972</v>
      </c>
      <c r="B1478" t="s">
        <v>4164</v>
      </c>
      <c r="C1478" t="s">
        <v>1936</v>
      </c>
      <c r="D1478" t="s">
        <v>4165</v>
      </c>
      <c r="F1478">
        <v>359</v>
      </c>
      <c r="G1478">
        <v>65</v>
      </c>
      <c r="H1478" t="s">
        <v>662</v>
      </c>
      <c r="I1478" t="s">
        <v>2271</v>
      </c>
      <c r="J1478">
        <v>500000</v>
      </c>
      <c r="K1478">
        <v>2025</v>
      </c>
      <c r="L1478">
        <v>1017931622</v>
      </c>
      <c r="M1478" t="s">
        <v>3650</v>
      </c>
      <c r="N1478" t="s">
        <v>1688</v>
      </c>
      <c r="O1478" t="s">
        <v>1686</v>
      </c>
      <c r="P1478">
        <v>0</v>
      </c>
      <c r="Q1478">
        <v>500000</v>
      </c>
      <c r="R1478">
        <v>0</v>
      </c>
      <c r="S1478">
        <v>0</v>
      </c>
      <c r="T1478" t="str">
        <f t="shared" si="46"/>
        <v>9722.43.4302.85.0-205128.2.3.3.08.06.</v>
      </c>
      <c r="U1478" t="e" cm="1">
        <f t="array" aca="1" ref="U1478" ca="1">+IF(COMPROMISOS_2025[[#This Row],[P]]="20","41080111",_xlfn.XLOOKUP(COMPROMISOS_2025[[#This Row],[concatenado]],PAA[[#All],[RCP-RUBRO]],PAA[[#All],[INDICADOR]],"",0))</f>
        <v>#NAME?</v>
      </c>
      <c r="V1478" s="144" t="str">
        <f t="shared" si="47"/>
        <v>85</v>
      </c>
      <c r="W1478" s="136">
        <f>+COMPROMISOS_2025[[#This Row],[valor_total]]-COMPROMISOS_2025[[#This Row],[total_cancelado]]</f>
        <v>500000</v>
      </c>
      <c r="X1478" s="136">
        <f>COMPROMISOS_2025[[#This Row],[total_ordenes]]</f>
        <v>500000</v>
      </c>
      <c r="Y1478" t="str" cm="1">
        <f t="array" aca="1" ref="Y1478" ca="1">IFERROR(_xlfn.XLOOKUP(COMPROMISOS_2025[[#This Row],[concatenado]],PAA[[#All],[RCP-RUBRO]],PAA[[#All],[Actividad3]],VLOOKUP(COMPROMISOS_2025[[#This Row],[Indicador Principal]],$AC$2:$AD$17,2,0),0),"")</f>
        <v/>
      </c>
    </row>
    <row r="1479" spans="1:25" hidden="1" x14ac:dyDescent="0.25">
      <c r="A1479">
        <v>973</v>
      </c>
      <c r="B1479" t="s">
        <v>4164</v>
      </c>
      <c r="C1479" t="s">
        <v>1936</v>
      </c>
      <c r="D1479" t="s">
        <v>4165</v>
      </c>
      <c r="F1479">
        <v>359</v>
      </c>
      <c r="G1479">
        <v>65</v>
      </c>
      <c r="H1479" t="s">
        <v>662</v>
      </c>
      <c r="I1479" t="s">
        <v>2271</v>
      </c>
      <c r="J1479">
        <v>1300000</v>
      </c>
      <c r="K1479">
        <v>2025</v>
      </c>
      <c r="L1479">
        <v>1018225068</v>
      </c>
      <c r="M1479" t="s">
        <v>4016</v>
      </c>
      <c r="N1479" t="s">
        <v>1688</v>
      </c>
      <c r="O1479" t="s">
        <v>1686</v>
      </c>
      <c r="P1479">
        <v>0</v>
      </c>
      <c r="Q1479">
        <v>1300000</v>
      </c>
      <c r="R1479">
        <v>0</v>
      </c>
      <c r="S1479">
        <v>0</v>
      </c>
      <c r="T1479" t="str">
        <f t="shared" si="46"/>
        <v>9732.43.4302.85.0-205128.2.3.3.08.06.</v>
      </c>
      <c r="U1479" t="e" cm="1">
        <f t="array" aca="1" ref="U1479" ca="1">+IF(COMPROMISOS_2025[[#This Row],[P]]="20","41080111",_xlfn.XLOOKUP(COMPROMISOS_2025[[#This Row],[concatenado]],PAA[[#All],[RCP-RUBRO]],PAA[[#All],[INDICADOR]],"",0))</f>
        <v>#NAME?</v>
      </c>
      <c r="V1479" s="144" t="str">
        <f t="shared" si="47"/>
        <v>85</v>
      </c>
      <c r="W1479" s="136">
        <f>+COMPROMISOS_2025[[#This Row],[valor_total]]-COMPROMISOS_2025[[#This Row],[total_cancelado]]</f>
        <v>1300000</v>
      </c>
      <c r="X1479" s="136">
        <f>COMPROMISOS_2025[[#This Row],[total_ordenes]]</f>
        <v>1300000</v>
      </c>
      <c r="Y1479" t="str" cm="1">
        <f t="array" aca="1" ref="Y1479" ca="1">IFERROR(_xlfn.XLOOKUP(COMPROMISOS_2025[[#This Row],[concatenado]],PAA[[#All],[RCP-RUBRO]],PAA[[#All],[Actividad3]],VLOOKUP(COMPROMISOS_2025[[#This Row],[Indicador Principal]],$AC$2:$AD$17,2,0),0),"")</f>
        <v/>
      </c>
    </row>
    <row r="1480" spans="1:25" hidden="1" x14ac:dyDescent="0.25">
      <c r="A1480">
        <v>974</v>
      </c>
      <c r="B1480" t="s">
        <v>4164</v>
      </c>
      <c r="C1480" t="s">
        <v>1936</v>
      </c>
      <c r="D1480" t="s">
        <v>4165</v>
      </c>
      <c r="F1480">
        <v>359</v>
      </c>
      <c r="G1480">
        <v>65</v>
      </c>
      <c r="H1480" t="s">
        <v>662</v>
      </c>
      <c r="I1480" t="s">
        <v>2271</v>
      </c>
      <c r="J1480">
        <v>500000</v>
      </c>
      <c r="K1480">
        <v>2025</v>
      </c>
      <c r="L1480">
        <v>1018226256</v>
      </c>
      <c r="M1480" t="s">
        <v>4017</v>
      </c>
      <c r="N1480" t="s">
        <v>1688</v>
      </c>
      <c r="O1480" t="s">
        <v>1686</v>
      </c>
      <c r="P1480">
        <v>0</v>
      </c>
      <c r="Q1480">
        <v>500000</v>
      </c>
      <c r="R1480">
        <v>0</v>
      </c>
      <c r="S1480">
        <v>0</v>
      </c>
      <c r="T1480" t="str">
        <f t="shared" si="46"/>
        <v>9742.43.4302.85.0-205128.2.3.3.08.06.</v>
      </c>
      <c r="U1480" t="e" cm="1">
        <f t="array" aca="1" ref="U1480" ca="1">+IF(COMPROMISOS_2025[[#This Row],[P]]="20","41080111",_xlfn.XLOOKUP(COMPROMISOS_2025[[#This Row],[concatenado]],PAA[[#All],[RCP-RUBRO]],PAA[[#All],[INDICADOR]],"",0))</f>
        <v>#NAME?</v>
      </c>
      <c r="V1480" s="144" t="str">
        <f t="shared" si="47"/>
        <v>85</v>
      </c>
      <c r="W1480" s="136">
        <f>+COMPROMISOS_2025[[#This Row],[valor_total]]-COMPROMISOS_2025[[#This Row],[total_cancelado]]</f>
        <v>500000</v>
      </c>
      <c r="X1480" s="136">
        <f>COMPROMISOS_2025[[#This Row],[total_ordenes]]</f>
        <v>500000</v>
      </c>
      <c r="Y1480" t="str" cm="1">
        <f t="array" aca="1" ref="Y1480" ca="1">IFERROR(_xlfn.XLOOKUP(COMPROMISOS_2025[[#This Row],[concatenado]],PAA[[#All],[RCP-RUBRO]],PAA[[#All],[Actividad3]],VLOOKUP(COMPROMISOS_2025[[#This Row],[Indicador Principal]],$AC$2:$AD$17,2,0),0),"")</f>
        <v/>
      </c>
    </row>
    <row r="1481" spans="1:25" hidden="1" x14ac:dyDescent="0.25">
      <c r="A1481">
        <v>975</v>
      </c>
      <c r="B1481" t="s">
        <v>4164</v>
      </c>
      <c r="C1481" t="s">
        <v>1936</v>
      </c>
      <c r="D1481" t="s">
        <v>4165</v>
      </c>
      <c r="F1481">
        <v>359</v>
      </c>
      <c r="G1481">
        <v>65</v>
      </c>
      <c r="H1481" t="s">
        <v>662</v>
      </c>
      <c r="I1481" t="s">
        <v>2271</v>
      </c>
      <c r="J1481">
        <v>500000</v>
      </c>
      <c r="K1481">
        <v>2025</v>
      </c>
      <c r="L1481">
        <v>1018226257</v>
      </c>
      <c r="M1481" t="s">
        <v>4172</v>
      </c>
      <c r="N1481" t="s">
        <v>1688</v>
      </c>
      <c r="O1481" t="s">
        <v>1686</v>
      </c>
      <c r="P1481">
        <v>0</v>
      </c>
      <c r="Q1481">
        <v>500000</v>
      </c>
      <c r="R1481">
        <v>0</v>
      </c>
      <c r="S1481">
        <v>0</v>
      </c>
      <c r="T1481" t="str">
        <f t="shared" si="46"/>
        <v>9752.43.4302.85.0-205128.2.3.3.08.06.</v>
      </c>
      <c r="U1481" t="e" cm="1">
        <f t="array" aca="1" ref="U1481" ca="1">+IF(COMPROMISOS_2025[[#This Row],[P]]="20","41080111",_xlfn.XLOOKUP(COMPROMISOS_2025[[#This Row],[concatenado]],PAA[[#All],[RCP-RUBRO]],PAA[[#All],[INDICADOR]],"",0))</f>
        <v>#NAME?</v>
      </c>
      <c r="V1481" s="144" t="str">
        <f t="shared" si="47"/>
        <v>85</v>
      </c>
      <c r="W1481" s="136">
        <f>+COMPROMISOS_2025[[#This Row],[valor_total]]-COMPROMISOS_2025[[#This Row],[total_cancelado]]</f>
        <v>500000</v>
      </c>
      <c r="X1481" s="136">
        <f>COMPROMISOS_2025[[#This Row],[total_ordenes]]</f>
        <v>500000</v>
      </c>
      <c r="Y1481" t="str" cm="1">
        <f t="array" aca="1" ref="Y1481" ca="1">IFERROR(_xlfn.XLOOKUP(COMPROMISOS_2025[[#This Row],[concatenado]],PAA[[#All],[RCP-RUBRO]],PAA[[#All],[Actividad3]],VLOOKUP(COMPROMISOS_2025[[#This Row],[Indicador Principal]],$AC$2:$AD$17,2,0),0),"")</f>
        <v/>
      </c>
    </row>
    <row r="1482" spans="1:25" hidden="1" x14ac:dyDescent="0.25">
      <c r="A1482">
        <v>976</v>
      </c>
      <c r="B1482" t="s">
        <v>4164</v>
      </c>
      <c r="C1482" t="s">
        <v>1936</v>
      </c>
      <c r="D1482" t="s">
        <v>4165</v>
      </c>
      <c r="F1482">
        <v>359</v>
      </c>
      <c r="G1482">
        <v>65</v>
      </c>
      <c r="H1482" t="s">
        <v>662</v>
      </c>
      <c r="I1482" t="s">
        <v>2271</v>
      </c>
      <c r="J1482">
        <v>500000</v>
      </c>
      <c r="K1482">
        <v>2025</v>
      </c>
      <c r="L1482">
        <v>1018226620</v>
      </c>
      <c r="M1482" t="s">
        <v>4018</v>
      </c>
      <c r="N1482" t="s">
        <v>1688</v>
      </c>
      <c r="O1482" t="s">
        <v>1686</v>
      </c>
      <c r="P1482">
        <v>0</v>
      </c>
      <c r="Q1482">
        <v>500000</v>
      </c>
      <c r="R1482">
        <v>0</v>
      </c>
      <c r="S1482">
        <v>0</v>
      </c>
      <c r="T1482" t="str">
        <f t="shared" si="46"/>
        <v>9762.43.4302.85.0-205128.2.3.3.08.06.</v>
      </c>
      <c r="U1482" t="e" cm="1">
        <f t="array" aca="1" ref="U1482" ca="1">+IF(COMPROMISOS_2025[[#This Row],[P]]="20","41080111",_xlfn.XLOOKUP(COMPROMISOS_2025[[#This Row],[concatenado]],PAA[[#All],[RCP-RUBRO]],PAA[[#All],[INDICADOR]],"",0))</f>
        <v>#NAME?</v>
      </c>
      <c r="V1482" s="144" t="str">
        <f t="shared" si="47"/>
        <v>85</v>
      </c>
      <c r="W1482" s="136">
        <f>+COMPROMISOS_2025[[#This Row],[valor_total]]-COMPROMISOS_2025[[#This Row],[total_cancelado]]</f>
        <v>500000</v>
      </c>
      <c r="X1482" s="136">
        <f>COMPROMISOS_2025[[#This Row],[total_ordenes]]</f>
        <v>500000</v>
      </c>
      <c r="Y1482" t="str" cm="1">
        <f t="array" aca="1" ref="Y1482" ca="1">IFERROR(_xlfn.XLOOKUP(COMPROMISOS_2025[[#This Row],[concatenado]],PAA[[#All],[RCP-RUBRO]],PAA[[#All],[Actividad3]],VLOOKUP(COMPROMISOS_2025[[#This Row],[Indicador Principal]],$AC$2:$AD$17,2,0),0),"")</f>
        <v/>
      </c>
    </row>
    <row r="1483" spans="1:25" hidden="1" x14ac:dyDescent="0.25">
      <c r="A1483">
        <v>977</v>
      </c>
      <c r="B1483" t="s">
        <v>4164</v>
      </c>
      <c r="C1483" t="s">
        <v>1936</v>
      </c>
      <c r="D1483" t="s">
        <v>4165</v>
      </c>
      <c r="F1483">
        <v>359</v>
      </c>
      <c r="G1483">
        <v>65</v>
      </c>
      <c r="H1483" t="s">
        <v>662</v>
      </c>
      <c r="I1483" t="s">
        <v>2271</v>
      </c>
      <c r="J1483">
        <v>500000</v>
      </c>
      <c r="K1483">
        <v>2025</v>
      </c>
      <c r="L1483">
        <v>1018230336</v>
      </c>
      <c r="M1483" t="s">
        <v>4019</v>
      </c>
      <c r="N1483" t="s">
        <v>1688</v>
      </c>
      <c r="O1483" t="s">
        <v>1686</v>
      </c>
      <c r="P1483">
        <v>0</v>
      </c>
      <c r="Q1483">
        <v>500000</v>
      </c>
      <c r="R1483">
        <v>0</v>
      </c>
      <c r="S1483">
        <v>0</v>
      </c>
      <c r="T1483" t="str">
        <f t="shared" si="46"/>
        <v>9772.43.4302.85.0-205128.2.3.3.08.06.</v>
      </c>
      <c r="U1483" t="e" cm="1">
        <f t="array" aca="1" ref="U1483" ca="1">+IF(COMPROMISOS_2025[[#This Row],[P]]="20","41080111",_xlfn.XLOOKUP(COMPROMISOS_2025[[#This Row],[concatenado]],PAA[[#All],[RCP-RUBRO]],PAA[[#All],[INDICADOR]],"",0))</f>
        <v>#NAME?</v>
      </c>
      <c r="V1483" s="144" t="str">
        <f t="shared" si="47"/>
        <v>85</v>
      </c>
      <c r="W1483" s="136">
        <f>+COMPROMISOS_2025[[#This Row],[valor_total]]-COMPROMISOS_2025[[#This Row],[total_cancelado]]</f>
        <v>500000</v>
      </c>
      <c r="X1483" s="136">
        <f>COMPROMISOS_2025[[#This Row],[total_ordenes]]</f>
        <v>500000</v>
      </c>
      <c r="Y1483" t="str" cm="1">
        <f t="array" aca="1" ref="Y1483" ca="1">IFERROR(_xlfn.XLOOKUP(COMPROMISOS_2025[[#This Row],[concatenado]],PAA[[#All],[RCP-RUBRO]],PAA[[#All],[Actividad3]],VLOOKUP(COMPROMISOS_2025[[#This Row],[Indicador Principal]],$AC$2:$AD$17,2,0),0),"")</f>
        <v/>
      </c>
    </row>
    <row r="1484" spans="1:25" hidden="1" x14ac:dyDescent="0.25">
      <c r="A1484">
        <v>978</v>
      </c>
      <c r="B1484" t="s">
        <v>4164</v>
      </c>
      <c r="C1484" t="s">
        <v>1936</v>
      </c>
      <c r="D1484" t="s">
        <v>4165</v>
      </c>
      <c r="F1484">
        <v>359</v>
      </c>
      <c r="G1484">
        <v>65</v>
      </c>
      <c r="H1484" t="s">
        <v>662</v>
      </c>
      <c r="I1484" t="s">
        <v>2271</v>
      </c>
      <c r="J1484">
        <v>1300000</v>
      </c>
      <c r="K1484">
        <v>2025</v>
      </c>
      <c r="L1484">
        <v>1018234219</v>
      </c>
      <c r="M1484" t="s">
        <v>4020</v>
      </c>
      <c r="N1484" t="s">
        <v>1688</v>
      </c>
      <c r="O1484" t="s">
        <v>1686</v>
      </c>
      <c r="P1484">
        <v>0</v>
      </c>
      <c r="Q1484">
        <v>1300000</v>
      </c>
      <c r="R1484">
        <v>0</v>
      </c>
      <c r="S1484">
        <v>0</v>
      </c>
      <c r="T1484" t="str">
        <f t="shared" si="46"/>
        <v>9782.43.4302.85.0-205128.2.3.3.08.06.</v>
      </c>
      <c r="U1484" t="e" cm="1">
        <f t="array" aca="1" ref="U1484" ca="1">+IF(COMPROMISOS_2025[[#This Row],[P]]="20","41080111",_xlfn.XLOOKUP(COMPROMISOS_2025[[#This Row],[concatenado]],PAA[[#All],[RCP-RUBRO]],PAA[[#All],[INDICADOR]],"",0))</f>
        <v>#NAME?</v>
      </c>
      <c r="V1484" s="144" t="str">
        <f t="shared" si="47"/>
        <v>85</v>
      </c>
      <c r="W1484" s="136">
        <f>+COMPROMISOS_2025[[#This Row],[valor_total]]-COMPROMISOS_2025[[#This Row],[total_cancelado]]</f>
        <v>1300000</v>
      </c>
      <c r="X1484" s="136">
        <f>COMPROMISOS_2025[[#This Row],[total_ordenes]]</f>
        <v>1300000</v>
      </c>
      <c r="Y1484" t="str" cm="1">
        <f t="array" aca="1" ref="Y1484" ca="1">IFERROR(_xlfn.XLOOKUP(COMPROMISOS_2025[[#This Row],[concatenado]],PAA[[#All],[RCP-RUBRO]],PAA[[#All],[Actividad3]],VLOOKUP(COMPROMISOS_2025[[#This Row],[Indicador Principal]],$AC$2:$AD$17,2,0),0),"")</f>
        <v/>
      </c>
    </row>
    <row r="1485" spans="1:25" hidden="1" x14ac:dyDescent="0.25">
      <c r="A1485">
        <v>979</v>
      </c>
      <c r="B1485" t="s">
        <v>4164</v>
      </c>
      <c r="C1485" t="s">
        <v>1936</v>
      </c>
      <c r="D1485" t="s">
        <v>4165</v>
      </c>
      <c r="F1485">
        <v>359</v>
      </c>
      <c r="G1485">
        <v>65</v>
      </c>
      <c r="H1485" t="s">
        <v>662</v>
      </c>
      <c r="I1485" t="s">
        <v>2271</v>
      </c>
      <c r="J1485">
        <v>500000</v>
      </c>
      <c r="K1485">
        <v>2025</v>
      </c>
      <c r="L1485">
        <v>1018238388</v>
      </c>
      <c r="M1485" t="s">
        <v>3653</v>
      </c>
      <c r="N1485" t="s">
        <v>1688</v>
      </c>
      <c r="O1485" t="s">
        <v>1686</v>
      </c>
      <c r="P1485">
        <v>0</v>
      </c>
      <c r="Q1485">
        <v>500000</v>
      </c>
      <c r="R1485">
        <v>0</v>
      </c>
      <c r="S1485">
        <v>0</v>
      </c>
      <c r="T1485" t="str">
        <f t="shared" si="46"/>
        <v>9792.43.4302.85.0-205128.2.3.3.08.06.</v>
      </c>
      <c r="U1485" t="e" cm="1">
        <f t="array" aca="1" ref="U1485" ca="1">+IF(COMPROMISOS_2025[[#This Row],[P]]="20","41080111",_xlfn.XLOOKUP(COMPROMISOS_2025[[#This Row],[concatenado]],PAA[[#All],[RCP-RUBRO]],PAA[[#All],[INDICADOR]],"",0))</f>
        <v>#NAME?</v>
      </c>
      <c r="V1485" s="144" t="str">
        <f t="shared" si="47"/>
        <v>85</v>
      </c>
      <c r="W1485" s="136">
        <f>+COMPROMISOS_2025[[#This Row],[valor_total]]-COMPROMISOS_2025[[#This Row],[total_cancelado]]</f>
        <v>500000</v>
      </c>
      <c r="X1485" s="136">
        <f>COMPROMISOS_2025[[#This Row],[total_ordenes]]</f>
        <v>500000</v>
      </c>
      <c r="Y1485" t="str" cm="1">
        <f t="array" aca="1" ref="Y1485" ca="1">IFERROR(_xlfn.XLOOKUP(COMPROMISOS_2025[[#This Row],[concatenado]],PAA[[#All],[RCP-RUBRO]],PAA[[#All],[Actividad3]],VLOOKUP(COMPROMISOS_2025[[#This Row],[Indicador Principal]],$AC$2:$AD$17,2,0),0),"")</f>
        <v/>
      </c>
    </row>
    <row r="1486" spans="1:25" hidden="1" x14ac:dyDescent="0.25">
      <c r="A1486">
        <v>980</v>
      </c>
      <c r="B1486" t="s">
        <v>4164</v>
      </c>
      <c r="C1486" t="s">
        <v>1936</v>
      </c>
      <c r="D1486" t="s">
        <v>4165</v>
      </c>
      <c r="F1486">
        <v>359</v>
      </c>
      <c r="G1486">
        <v>65</v>
      </c>
      <c r="H1486" t="s">
        <v>662</v>
      </c>
      <c r="I1486" t="s">
        <v>2271</v>
      </c>
      <c r="J1486">
        <v>500000</v>
      </c>
      <c r="K1486">
        <v>2025</v>
      </c>
      <c r="L1486">
        <v>1018342382</v>
      </c>
      <c r="M1486" t="s">
        <v>4021</v>
      </c>
      <c r="N1486" t="s">
        <v>1688</v>
      </c>
      <c r="O1486" t="s">
        <v>1686</v>
      </c>
      <c r="P1486">
        <v>0</v>
      </c>
      <c r="Q1486">
        <v>500000</v>
      </c>
      <c r="R1486">
        <v>0</v>
      </c>
      <c r="S1486">
        <v>0</v>
      </c>
      <c r="T1486" t="str">
        <f t="shared" si="46"/>
        <v>9802.43.4302.85.0-205128.2.3.3.08.06.</v>
      </c>
      <c r="U1486" t="e" cm="1">
        <f t="array" aca="1" ref="U1486" ca="1">+IF(COMPROMISOS_2025[[#This Row],[P]]="20","41080111",_xlfn.XLOOKUP(COMPROMISOS_2025[[#This Row],[concatenado]],PAA[[#All],[RCP-RUBRO]],PAA[[#All],[INDICADOR]],"",0))</f>
        <v>#NAME?</v>
      </c>
      <c r="V1486" s="144" t="str">
        <f t="shared" si="47"/>
        <v>85</v>
      </c>
      <c r="W1486" s="136">
        <f>+COMPROMISOS_2025[[#This Row],[valor_total]]-COMPROMISOS_2025[[#This Row],[total_cancelado]]</f>
        <v>500000</v>
      </c>
      <c r="X1486" s="136">
        <f>COMPROMISOS_2025[[#This Row],[total_ordenes]]</f>
        <v>500000</v>
      </c>
      <c r="Y1486" t="str" cm="1">
        <f t="array" aca="1" ref="Y1486" ca="1">IFERROR(_xlfn.XLOOKUP(COMPROMISOS_2025[[#This Row],[concatenado]],PAA[[#All],[RCP-RUBRO]],PAA[[#All],[Actividad3]],VLOOKUP(COMPROMISOS_2025[[#This Row],[Indicador Principal]],$AC$2:$AD$17,2,0),0),"")</f>
        <v/>
      </c>
    </row>
    <row r="1487" spans="1:25" hidden="1" x14ac:dyDescent="0.25">
      <c r="A1487">
        <v>981</v>
      </c>
      <c r="B1487" t="s">
        <v>4164</v>
      </c>
      <c r="C1487" t="s">
        <v>1936</v>
      </c>
      <c r="D1487" t="s">
        <v>4165</v>
      </c>
      <c r="F1487">
        <v>359</v>
      </c>
      <c r="G1487">
        <v>65</v>
      </c>
      <c r="H1487" t="s">
        <v>662</v>
      </c>
      <c r="I1487" t="s">
        <v>2271</v>
      </c>
      <c r="J1487">
        <v>800000</v>
      </c>
      <c r="K1487">
        <v>2025</v>
      </c>
      <c r="L1487">
        <v>1018513690</v>
      </c>
      <c r="M1487" t="s">
        <v>4022</v>
      </c>
      <c r="N1487" t="s">
        <v>1688</v>
      </c>
      <c r="O1487" t="s">
        <v>1686</v>
      </c>
      <c r="P1487">
        <v>0</v>
      </c>
      <c r="Q1487">
        <v>800000</v>
      </c>
      <c r="R1487">
        <v>0</v>
      </c>
      <c r="S1487">
        <v>0</v>
      </c>
      <c r="T1487" t="str">
        <f t="shared" si="46"/>
        <v>9812.43.4302.85.0-205128.2.3.3.08.06.</v>
      </c>
      <c r="U1487" t="e" cm="1">
        <f t="array" aca="1" ref="U1487" ca="1">+IF(COMPROMISOS_2025[[#This Row],[P]]="20","41080111",_xlfn.XLOOKUP(COMPROMISOS_2025[[#This Row],[concatenado]],PAA[[#All],[RCP-RUBRO]],PAA[[#All],[INDICADOR]],"",0))</f>
        <v>#NAME?</v>
      </c>
      <c r="V1487" s="144" t="str">
        <f t="shared" si="47"/>
        <v>85</v>
      </c>
      <c r="W1487" s="136">
        <f>+COMPROMISOS_2025[[#This Row],[valor_total]]-COMPROMISOS_2025[[#This Row],[total_cancelado]]</f>
        <v>800000</v>
      </c>
      <c r="X1487" s="136">
        <f>COMPROMISOS_2025[[#This Row],[total_ordenes]]</f>
        <v>800000</v>
      </c>
      <c r="Y1487" t="str" cm="1">
        <f t="array" aca="1" ref="Y1487" ca="1">IFERROR(_xlfn.XLOOKUP(COMPROMISOS_2025[[#This Row],[concatenado]],PAA[[#All],[RCP-RUBRO]],PAA[[#All],[Actividad3]],VLOOKUP(COMPROMISOS_2025[[#This Row],[Indicador Principal]],$AC$2:$AD$17,2,0),0),"")</f>
        <v/>
      </c>
    </row>
    <row r="1488" spans="1:25" hidden="1" x14ac:dyDescent="0.25">
      <c r="A1488">
        <v>982</v>
      </c>
      <c r="B1488" t="s">
        <v>4164</v>
      </c>
      <c r="C1488" t="s">
        <v>1936</v>
      </c>
      <c r="D1488" t="s">
        <v>4165</v>
      </c>
      <c r="F1488">
        <v>359</v>
      </c>
      <c r="G1488">
        <v>65</v>
      </c>
      <c r="H1488" t="s">
        <v>662</v>
      </c>
      <c r="I1488" t="s">
        <v>2271</v>
      </c>
      <c r="J1488">
        <v>500000</v>
      </c>
      <c r="K1488">
        <v>2025</v>
      </c>
      <c r="L1488">
        <v>1019984910</v>
      </c>
      <c r="M1488" t="s">
        <v>4023</v>
      </c>
      <c r="N1488" t="s">
        <v>1688</v>
      </c>
      <c r="O1488" t="s">
        <v>1686</v>
      </c>
      <c r="P1488">
        <v>0</v>
      </c>
      <c r="Q1488">
        <v>500000</v>
      </c>
      <c r="R1488">
        <v>0</v>
      </c>
      <c r="S1488">
        <v>0</v>
      </c>
      <c r="T1488" t="str">
        <f t="shared" si="46"/>
        <v>9822.43.4302.85.0-205128.2.3.3.08.06.</v>
      </c>
      <c r="U1488" t="e" cm="1">
        <f t="array" aca="1" ref="U1488" ca="1">+IF(COMPROMISOS_2025[[#This Row],[P]]="20","41080111",_xlfn.XLOOKUP(COMPROMISOS_2025[[#This Row],[concatenado]],PAA[[#All],[RCP-RUBRO]],PAA[[#All],[INDICADOR]],"",0))</f>
        <v>#NAME?</v>
      </c>
      <c r="V1488" s="144" t="str">
        <f t="shared" si="47"/>
        <v>85</v>
      </c>
      <c r="W1488" s="136">
        <f>+COMPROMISOS_2025[[#This Row],[valor_total]]-COMPROMISOS_2025[[#This Row],[total_cancelado]]</f>
        <v>500000</v>
      </c>
      <c r="X1488" s="136">
        <f>COMPROMISOS_2025[[#This Row],[total_ordenes]]</f>
        <v>500000</v>
      </c>
      <c r="Y1488" t="str" cm="1">
        <f t="array" aca="1" ref="Y1488" ca="1">IFERROR(_xlfn.XLOOKUP(COMPROMISOS_2025[[#This Row],[concatenado]],PAA[[#All],[RCP-RUBRO]],PAA[[#All],[Actividad3]],VLOOKUP(COMPROMISOS_2025[[#This Row],[Indicador Principal]],$AC$2:$AD$17,2,0),0),"")</f>
        <v/>
      </c>
    </row>
    <row r="1489" spans="1:25" hidden="1" x14ac:dyDescent="0.25">
      <c r="A1489">
        <v>983</v>
      </c>
      <c r="B1489" t="s">
        <v>4164</v>
      </c>
      <c r="C1489" t="s">
        <v>1936</v>
      </c>
      <c r="D1489" t="s">
        <v>4165</v>
      </c>
      <c r="F1489">
        <v>359</v>
      </c>
      <c r="G1489">
        <v>65</v>
      </c>
      <c r="H1489" t="s">
        <v>662</v>
      </c>
      <c r="I1489" t="s">
        <v>2271</v>
      </c>
      <c r="J1489">
        <v>500000</v>
      </c>
      <c r="K1489">
        <v>2025</v>
      </c>
      <c r="L1489">
        <v>1019997875</v>
      </c>
      <c r="M1489" t="s">
        <v>4024</v>
      </c>
      <c r="N1489" t="s">
        <v>1688</v>
      </c>
      <c r="O1489" t="s">
        <v>1686</v>
      </c>
      <c r="P1489">
        <v>0</v>
      </c>
      <c r="Q1489">
        <v>500000</v>
      </c>
      <c r="R1489">
        <v>0</v>
      </c>
      <c r="S1489">
        <v>0</v>
      </c>
      <c r="T1489" t="str">
        <f t="shared" si="46"/>
        <v>9832.43.4302.85.0-205128.2.3.3.08.06.</v>
      </c>
      <c r="U1489" t="e" cm="1">
        <f t="array" aca="1" ref="U1489" ca="1">+IF(COMPROMISOS_2025[[#This Row],[P]]="20","41080111",_xlfn.XLOOKUP(COMPROMISOS_2025[[#This Row],[concatenado]],PAA[[#All],[RCP-RUBRO]],PAA[[#All],[INDICADOR]],"",0))</f>
        <v>#NAME?</v>
      </c>
      <c r="V1489" s="144" t="str">
        <f t="shared" si="47"/>
        <v>85</v>
      </c>
      <c r="W1489" s="136">
        <f>+COMPROMISOS_2025[[#This Row],[valor_total]]-COMPROMISOS_2025[[#This Row],[total_cancelado]]</f>
        <v>500000</v>
      </c>
      <c r="X1489" s="136">
        <f>COMPROMISOS_2025[[#This Row],[total_ordenes]]</f>
        <v>500000</v>
      </c>
      <c r="Y1489" t="str" cm="1">
        <f t="array" aca="1" ref="Y1489" ca="1">IFERROR(_xlfn.XLOOKUP(COMPROMISOS_2025[[#This Row],[concatenado]],PAA[[#All],[RCP-RUBRO]],PAA[[#All],[Actividad3]],VLOOKUP(COMPROMISOS_2025[[#This Row],[Indicador Principal]],$AC$2:$AD$17,2,0),0),"")</f>
        <v/>
      </c>
    </row>
    <row r="1490" spans="1:25" hidden="1" x14ac:dyDescent="0.25">
      <c r="A1490">
        <v>984</v>
      </c>
      <c r="B1490" t="s">
        <v>4164</v>
      </c>
      <c r="C1490" t="s">
        <v>1936</v>
      </c>
      <c r="D1490" t="s">
        <v>4165</v>
      </c>
      <c r="F1490">
        <v>359</v>
      </c>
      <c r="G1490">
        <v>65</v>
      </c>
      <c r="H1490" t="s">
        <v>662</v>
      </c>
      <c r="I1490" t="s">
        <v>2271</v>
      </c>
      <c r="J1490">
        <v>500000</v>
      </c>
      <c r="K1490">
        <v>2025</v>
      </c>
      <c r="L1490">
        <v>1020104801</v>
      </c>
      <c r="M1490" t="s">
        <v>4025</v>
      </c>
      <c r="N1490" t="s">
        <v>1688</v>
      </c>
      <c r="O1490" t="s">
        <v>1686</v>
      </c>
      <c r="P1490">
        <v>0</v>
      </c>
      <c r="Q1490">
        <v>500000</v>
      </c>
      <c r="R1490">
        <v>0</v>
      </c>
      <c r="S1490">
        <v>0</v>
      </c>
      <c r="T1490" t="str">
        <f t="shared" si="46"/>
        <v>9842.43.4302.85.0-205128.2.3.3.08.06.</v>
      </c>
      <c r="U1490" t="e" cm="1">
        <f t="array" aca="1" ref="U1490" ca="1">+IF(COMPROMISOS_2025[[#This Row],[P]]="20","41080111",_xlfn.XLOOKUP(COMPROMISOS_2025[[#This Row],[concatenado]],PAA[[#All],[RCP-RUBRO]],PAA[[#All],[INDICADOR]],"",0))</f>
        <v>#NAME?</v>
      </c>
      <c r="V1490" s="144" t="str">
        <f t="shared" si="47"/>
        <v>85</v>
      </c>
      <c r="W1490" s="136">
        <f>+COMPROMISOS_2025[[#This Row],[valor_total]]-COMPROMISOS_2025[[#This Row],[total_cancelado]]</f>
        <v>500000</v>
      </c>
      <c r="X1490" s="136">
        <f>COMPROMISOS_2025[[#This Row],[total_ordenes]]</f>
        <v>500000</v>
      </c>
      <c r="Y1490" t="str" cm="1">
        <f t="array" aca="1" ref="Y1490" ca="1">IFERROR(_xlfn.XLOOKUP(COMPROMISOS_2025[[#This Row],[concatenado]],PAA[[#All],[RCP-RUBRO]],PAA[[#All],[Actividad3]],VLOOKUP(COMPROMISOS_2025[[#This Row],[Indicador Principal]],$AC$2:$AD$17,2,0),0),"")</f>
        <v/>
      </c>
    </row>
    <row r="1491" spans="1:25" hidden="1" x14ac:dyDescent="0.25">
      <c r="A1491">
        <v>985</v>
      </c>
      <c r="B1491" t="s">
        <v>4164</v>
      </c>
      <c r="C1491" t="s">
        <v>1936</v>
      </c>
      <c r="D1491" t="s">
        <v>4165</v>
      </c>
      <c r="F1491">
        <v>359</v>
      </c>
      <c r="G1491">
        <v>65</v>
      </c>
      <c r="H1491" t="s">
        <v>662</v>
      </c>
      <c r="I1491" t="s">
        <v>2271</v>
      </c>
      <c r="J1491">
        <v>500000</v>
      </c>
      <c r="K1491">
        <v>2025</v>
      </c>
      <c r="L1491">
        <v>1020106175</v>
      </c>
      <c r="M1491" t="s">
        <v>4026</v>
      </c>
      <c r="N1491" t="s">
        <v>1688</v>
      </c>
      <c r="O1491" t="s">
        <v>1686</v>
      </c>
      <c r="P1491">
        <v>0</v>
      </c>
      <c r="Q1491">
        <v>500000</v>
      </c>
      <c r="R1491">
        <v>0</v>
      </c>
      <c r="S1491">
        <v>0</v>
      </c>
      <c r="T1491" t="str">
        <f t="shared" si="46"/>
        <v>9852.43.4302.85.0-205128.2.3.3.08.06.</v>
      </c>
      <c r="U1491" t="e" cm="1">
        <f t="array" aca="1" ref="U1491" ca="1">+IF(COMPROMISOS_2025[[#This Row],[P]]="20","41080111",_xlfn.XLOOKUP(COMPROMISOS_2025[[#This Row],[concatenado]],PAA[[#All],[RCP-RUBRO]],PAA[[#All],[INDICADOR]],"",0))</f>
        <v>#NAME?</v>
      </c>
      <c r="V1491" s="144" t="str">
        <f t="shared" si="47"/>
        <v>85</v>
      </c>
      <c r="W1491" s="136">
        <f>+COMPROMISOS_2025[[#This Row],[valor_total]]-COMPROMISOS_2025[[#This Row],[total_cancelado]]</f>
        <v>500000</v>
      </c>
      <c r="X1491" s="136">
        <f>COMPROMISOS_2025[[#This Row],[total_ordenes]]</f>
        <v>500000</v>
      </c>
      <c r="Y1491" t="str" cm="1">
        <f t="array" aca="1" ref="Y1491" ca="1">IFERROR(_xlfn.XLOOKUP(COMPROMISOS_2025[[#This Row],[concatenado]],PAA[[#All],[RCP-RUBRO]],PAA[[#All],[Actividad3]],VLOOKUP(COMPROMISOS_2025[[#This Row],[Indicador Principal]],$AC$2:$AD$17,2,0),0),"")</f>
        <v/>
      </c>
    </row>
    <row r="1492" spans="1:25" hidden="1" x14ac:dyDescent="0.25">
      <c r="A1492">
        <v>986</v>
      </c>
      <c r="B1492" t="s">
        <v>4164</v>
      </c>
      <c r="C1492" t="s">
        <v>1936</v>
      </c>
      <c r="D1492" t="s">
        <v>4165</v>
      </c>
      <c r="F1492">
        <v>359</v>
      </c>
      <c r="G1492">
        <v>65</v>
      </c>
      <c r="H1492" t="s">
        <v>662</v>
      </c>
      <c r="I1492" t="s">
        <v>2271</v>
      </c>
      <c r="J1492">
        <v>500000</v>
      </c>
      <c r="K1492">
        <v>2025</v>
      </c>
      <c r="L1492">
        <v>1020115396</v>
      </c>
      <c r="M1492" t="s">
        <v>4027</v>
      </c>
      <c r="N1492" t="s">
        <v>1688</v>
      </c>
      <c r="O1492" t="s">
        <v>1686</v>
      </c>
      <c r="P1492">
        <v>0</v>
      </c>
      <c r="Q1492">
        <v>500000</v>
      </c>
      <c r="R1492">
        <v>0</v>
      </c>
      <c r="S1492">
        <v>0</v>
      </c>
      <c r="T1492" t="str">
        <f t="shared" si="46"/>
        <v>9862.43.4302.85.0-205128.2.3.3.08.06.</v>
      </c>
      <c r="U1492" t="e" cm="1">
        <f t="array" aca="1" ref="U1492" ca="1">+IF(COMPROMISOS_2025[[#This Row],[P]]="20","41080111",_xlfn.XLOOKUP(COMPROMISOS_2025[[#This Row],[concatenado]],PAA[[#All],[RCP-RUBRO]],PAA[[#All],[INDICADOR]],"",0))</f>
        <v>#NAME?</v>
      </c>
      <c r="V1492" s="144" t="str">
        <f t="shared" si="47"/>
        <v>85</v>
      </c>
      <c r="W1492" s="136">
        <f>+COMPROMISOS_2025[[#This Row],[valor_total]]-COMPROMISOS_2025[[#This Row],[total_cancelado]]</f>
        <v>500000</v>
      </c>
      <c r="X1492" s="136">
        <f>COMPROMISOS_2025[[#This Row],[total_ordenes]]</f>
        <v>500000</v>
      </c>
      <c r="Y1492" t="str" cm="1">
        <f t="array" aca="1" ref="Y1492" ca="1">IFERROR(_xlfn.XLOOKUP(COMPROMISOS_2025[[#This Row],[concatenado]],PAA[[#All],[RCP-RUBRO]],PAA[[#All],[Actividad3]],VLOOKUP(COMPROMISOS_2025[[#This Row],[Indicador Principal]],$AC$2:$AD$17,2,0),0),"")</f>
        <v/>
      </c>
    </row>
    <row r="1493" spans="1:25" hidden="1" x14ac:dyDescent="0.25">
      <c r="A1493">
        <v>987</v>
      </c>
      <c r="B1493" t="s">
        <v>4164</v>
      </c>
      <c r="C1493" t="s">
        <v>1936</v>
      </c>
      <c r="D1493" t="s">
        <v>4165</v>
      </c>
      <c r="F1493">
        <v>359</v>
      </c>
      <c r="G1493">
        <v>65</v>
      </c>
      <c r="H1493" t="s">
        <v>662</v>
      </c>
      <c r="I1493" t="s">
        <v>2271</v>
      </c>
      <c r="J1493">
        <v>500000</v>
      </c>
      <c r="K1493">
        <v>2025</v>
      </c>
      <c r="L1493">
        <v>1020116076</v>
      </c>
      <c r="M1493" t="s">
        <v>3664</v>
      </c>
      <c r="N1493" t="s">
        <v>1688</v>
      </c>
      <c r="O1493" t="s">
        <v>1686</v>
      </c>
      <c r="P1493">
        <v>0</v>
      </c>
      <c r="Q1493">
        <v>500000</v>
      </c>
      <c r="R1493">
        <v>0</v>
      </c>
      <c r="S1493">
        <v>0</v>
      </c>
      <c r="T1493" t="str">
        <f t="shared" si="46"/>
        <v>9872.43.4302.85.0-205128.2.3.3.08.06.</v>
      </c>
      <c r="U1493" t="e" cm="1">
        <f t="array" aca="1" ref="U1493" ca="1">+IF(COMPROMISOS_2025[[#This Row],[P]]="20","41080111",_xlfn.XLOOKUP(COMPROMISOS_2025[[#This Row],[concatenado]],PAA[[#All],[RCP-RUBRO]],PAA[[#All],[INDICADOR]],"",0))</f>
        <v>#NAME?</v>
      </c>
      <c r="V1493" s="144" t="str">
        <f t="shared" si="47"/>
        <v>85</v>
      </c>
      <c r="W1493" s="136">
        <f>+COMPROMISOS_2025[[#This Row],[valor_total]]-COMPROMISOS_2025[[#This Row],[total_cancelado]]</f>
        <v>500000</v>
      </c>
      <c r="X1493" s="136">
        <f>COMPROMISOS_2025[[#This Row],[total_ordenes]]</f>
        <v>500000</v>
      </c>
      <c r="Y1493" t="str" cm="1">
        <f t="array" aca="1" ref="Y1493" ca="1">IFERROR(_xlfn.XLOOKUP(COMPROMISOS_2025[[#This Row],[concatenado]],PAA[[#All],[RCP-RUBRO]],PAA[[#All],[Actividad3]],VLOOKUP(COMPROMISOS_2025[[#This Row],[Indicador Principal]],$AC$2:$AD$17,2,0),0),"")</f>
        <v/>
      </c>
    </row>
    <row r="1494" spans="1:25" hidden="1" x14ac:dyDescent="0.25">
      <c r="A1494">
        <v>988</v>
      </c>
      <c r="B1494" t="s">
        <v>4164</v>
      </c>
      <c r="C1494" t="s">
        <v>1936</v>
      </c>
      <c r="D1494" t="s">
        <v>4165</v>
      </c>
      <c r="F1494">
        <v>359</v>
      </c>
      <c r="G1494">
        <v>65</v>
      </c>
      <c r="H1494" t="s">
        <v>662</v>
      </c>
      <c r="I1494" t="s">
        <v>2271</v>
      </c>
      <c r="J1494">
        <v>500000</v>
      </c>
      <c r="K1494">
        <v>2025</v>
      </c>
      <c r="L1494">
        <v>1020117961</v>
      </c>
      <c r="M1494" t="s">
        <v>3665</v>
      </c>
      <c r="N1494" t="s">
        <v>1688</v>
      </c>
      <c r="O1494" t="s">
        <v>1686</v>
      </c>
      <c r="P1494">
        <v>0</v>
      </c>
      <c r="Q1494">
        <v>500000</v>
      </c>
      <c r="R1494">
        <v>0</v>
      </c>
      <c r="S1494">
        <v>0</v>
      </c>
      <c r="T1494" t="str">
        <f t="shared" si="46"/>
        <v>9882.43.4302.85.0-205128.2.3.3.08.06.</v>
      </c>
      <c r="U1494" t="e" cm="1">
        <f t="array" aca="1" ref="U1494" ca="1">+IF(COMPROMISOS_2025[[#This Row],[P]]="20","41080111",_xlfn.XLOOKUP(COMPROMISOS_2025[[#This Row],[concatenado]],PAA[[#All],[RCP-RUBRO]],PAA[[#All],[INDICADOR]],"",0))</f>
        <v>#NAME?</v>
      </c>
      <c r="V1494" s="144" t="str">
        <f t="shared" si="47"/>
        <v>85</v>
      </c>
      <c r="W1494" s="136">
        <f>+COMPROMISOS_2025[[#This Row],[valor_total]]-COMPROMISOS_2025[[#This Row],[total_cancelado]]</f>
        <v>500000</v>
      </c>
      <c r="X1494" s="136">
        <f>COMPROMISOS_2025[[#This Row],[total_ordenes]]</f>
        <v>500000</v>
      </c>
      <c r="Y1494" t="str" cm="1">
        <f t="array" aca="1" ref="Y1494" ca="1">IFERROR(_xlfn.XLOOKUP(COMPROMISOS_2025[[#This Row],[concatenado]],PAA[[#All],[RCP-RUBRO]],PAA[[#All],[Actividad3]],VLOOKUP(COMPROMISOS_2025[[#This Row],[Indicador Principal]],$AC$2:$AD$17,2,0),0),"")</f>
        <v/>
      </c>
    </row>
    <row r="1495" spans="1:25" hidden="1" x14ac:dyDescent="0.25">
      <c r="A1495">
        <v>989</v>
      </c>
      <c r="B1495" t="s">
        <v>4164</v>
      </c>
      <c r="C1495" t="s">
        <v>1936</v>
      </c>
      <c r="D1495" t="s">
        <v>4165</v>
      </c>
      <c r="F1495">
        <v>359</v>
      </c>
      <c r="G1495">
        <v>65</v>
      </c>
      <c r="H1495" t="s">
        <v>662</v>
      </c>
      <c r="I1495" t="s">
        <v>2271</v>
      </c>
      <c r="J1495">
        <v>500000</v>
      </c>
      <c r="K1495">
        <v>2025</v>
      </c>
      <c r="L1495">
        <v>1020490539</v>
      </c>
      <c r="M1495" t="s">
        <v>4028</v>
      </c>
      <c r="N1495" t="s">
        <v>1688</v>
      </c>
      <c r="O1495" t="s">
        <v>1686</v>
      </c>
      <c r="P1495">
        <v>0</v>
      </c>
      <c r="Q1495">
        <v>500000</v>
      </c>
      <c r="R1495">
        <v>0</v>
      </c>
      <c r="S1495">
        <v>0</v>
      </c>
      <c r="T1495" t="str">
        <f t="shared" si="46"/>
        <v>9892.43.4302.85.0-205128.2.3.3.08.06.</v>
      </c>
      <c r="U1495" t="e" cm="1">
        <f t="array" aca="1" ref="U1495" ca="1">+IF(COMPROMISOS_2025[[#This Row],[P]]="20","41080111",_xlfn.XLOOKUP(COMPROMISOS_2025[[#This Row],[concatenado]],PAA[[#All],[RCP-RUBRO]],PAA[[#All],[INDICADOR]],"",0))</f>
        <v>#NAME?</v>
      </c>
      <c r="V1495" s="144" t="str">
        <f t="shared" si="47"/>
        <v>85</v>
      </c>
      <c r="W1495" s="136">
        <f>+COMPROMISOS_2025[[#This Row],[valor_total]]-COMPROMISOS_2025[[#This Row],[total_cancelado]]</f>
        <v>500000</v>
      </c>
      <c r="X1495" s="136">
        <f>COMPROMISOS_2025[[#This Row],[total_ordenes]]</f>
        <v>500000</v>
      </c>
      <c r="Y1495" t="str" cm="1">
        <f t="array" aca="1" ref="Y1495" ca="1">IFERROR(_xlfn.XLOOKUP(COMPROMISOS_2025[[#This Row],[concatenado]],PAA[[#All],[RCP-RUBRO]],PAA[[#All],[Actividad3]],VLOOKUP(COMPROMISOS_2025[[#This Row],[Indicador Principal]],$AC$2:$AD$17,2,0),0),"")</f>
        <v/>
      </c>
    </row>
    <row r="1496" spans="1:25" hidden="1" x14ac:dyDescent="0.25">
      <c r="A1496">
        <v>990</v>
      </c>
      <c r="B1496" t="s">
        <v>4164</v>
      </c>
      <c r="C1496" t="s">
        <v>1936</v>
      </c>
      <c r="D1496" t="s">
        <v>4165</v>
      </c>
      <c r="F1496">
        <v>359</v>
      </c>
      <c r="G1496">
        <v>65</v>
      </c>
      <c r="H1496" t="s">
        <v>662</v>
      </c>
      <c r="I1496" t="s">
        <v>2271</v>
      </c>
      <c r="J1496">
        <v>500000</v>
      </c>
      <c r="K1496">
        <v>2025</v>
      </c>
      <c r="L1496">
        <v>1020490926</v>
      </c>
      <c r="M1496" t="s">
        <v>4029</v>
      </c>
      <c r="N1496" t="s">
        <v>1688</v>
      </c>
      <c r="O1496" t="s">
        <v>1686</v>
      </c>
      <c r="P1496">
        <v>0</v>
      </c>
      <c r="Q1496">
        <v>500000</v>
      </c>
      <c r="R1496">
        <v>0</v>
      </c>
      <c r="S1496">
        <v>0</v>
      </c>
      <c r="T1496" t="str">
        <f t="shared" si="46"/>
        <v>9902.43.4302.85.0-205128.2.3.3.08.06.</v>
      </c>
      <c r="U1496" t="e" cm="1">
        <f t="array" aca="1" ref="U1496" ca="1">+IF(COMPROMISOS_2025[[#This Row],[P]]="20","41080111",_xlfn.XLOOKUP(COMPROMISOS_2025[[#This Row],[concatenado]],PAA[[#All],[RCP-RUBRO]],PAA[[#All],[INDICADOR]],"",0))</f>
        <v>#NAME?</v>
      </c>
      <c r="V1496" s="144" t="str">
        <f t="shared" si="47"/>
        <v>85</v>
      </c>
      <c r="W1496" s="136">
        <f>+COMPROMISOS_2025[[#This Row],[valor_total]]-COMPROMISOS_2025[[#This Row],[total_cancelado]]</f>
        <v>500000</v>
      </c>
      <c r="X1496" s="136">
        <f>COMPROMISOS_2025[[#This Row],[total_ordenes]]</f>
        <v>500000</v>
      </c>
      <c r="Y1496" t="str" cm="1">
        <f t="array" aca="1" ref="Y1496" ca="1">IFERROR(_xlfn.XLOOKUP(COMPROMISOS_2025[[#This Row],[concatenado]],PAA[[#All],[RCP-RUBRO]],PAA[[#All],[Actividad3]],VLOOKUP(COMPROMISOS_2025[[#This Row],[Indicador Principal]],$AC$2:$AD$17,2,0),0),"")</f>
        <v/>
      </c>
    </row>
    <row r="1497" spans="1:25" hidden="1" x14ac:dyDescent="0.25">
      <c r="A1497">
        <v>991</v>
      </c>
      <c r="B1497" t="s">
        <v>4164</v>
      </c>
      <c r="C1497" t="s">
        <v>1936</v>
      </c>
      <c r="D1497" t="s">
        <v>4165</v>
      </c>
      <c r="F1497">
        <v>359</v>
      </c>
      <c r="G1497">
        <v>65</v>
      </c>
      <c r="H1497" t="s">
        <v>662</v>
      </c>
      <c r="I1497" t="s">
        <v>2271</v>
      </c>
      <c r="J1497">
        <v>800000</v>
      </c>
      <c r="K1497">
        <v>2025</v>
      </c>
      <c r="L1497">
        <v>1020494272</v>
      </c>
      <c r="M1497" t="s">
        <v>4030</v>
      </c>
      <c r="N1497" t="s">
        <v>1688</v>
      </c>
      <c r="O1497" t="s">
        <v>1686</v>
      </c>
      <c r="P1497">
        <v>0</v>
      </c>
      <c r="Q1497">
        <v>800000</v>
      </c>
      <c r="R1497">
        <v>0</v>
      </c>
      <c r="S1497">
        <v>0</v>
      </c>
      <c r="T1497" t="str">
        <f t="shared" si="46"/>
        <v>9912.43.4302.85.0-205128.2.3.3.08.06.</v>
      </c>
      <c r="U1497" t="e" cm="1">
        <f t="array" aca="1" ref="U1497" ca="1">+IF(COMPROMISOS_2025[[#This Row],[P]]="20","41080111",_xlfn.XLOOKUP(COMPROMISOS_2025[[#This Row],[concatenado]],PAA[[#All],[RCP-RUBRO]],PAA[[#All],[INDICADOR]],"",0))</f>
        <v>#NAME?</v>
      </c>
      <c r="V1497" s="144" t="str">
        <f t="shared" si="47"/>
        <v>85</v>
      </c>
      <c r="W1497" s="136">
        <f>+COMPROMISOS_2025[[#This Row],[valor_total]]-COMPROMISOS_2025[[#This Row],[total_cancelado]]</f>
        <v>800000</v>
      </c>
      <c r="X1497" s="136">
        <f>COMPROMISOS_2025[[#This Row],[total_ordenes]]</f>
        <v>800000</v>
      </c>
      <c r="Y1497" t="str" cm="1">
        <f t="array" aca="1" ref="Y1497" ca="1">IFERROR(_xlfn.XLOOKUP(COMPROMISOS_2025[[#This Row],[concatenado]],PAA[[#All],[RCP-RUBRO]],PAA[[#All],[Actividad3]],VLOOKUP(COMPROMISOS_2025[[#This Row],[Indicador Principal]],$AC$2:$AD$17,2,0),0),"")</f>
        <v/>
      </c>
    </row>
    <row r="1498" spans="1:25" hidden="1" x14ac:dyDescent="0.25">
      <c r="A1498">
        <v>992</v>
      </c>
      <c r="B1498" t="s">
        <v>4164</v>
      </c>
      <c r="C1498" t="s">
        <v>1936</v>
      </c>
      <c r="D1498" t="s">
        <v>4165</v>
      </c>
      <c r="F1498">
        <v>359</v>
      </c>
      <c r="G1498">
        <v>65</v>
      </c>
      <c r="H1498" t="s">
        <v>662</v>
      </c>
      <c r="I1498" t="s">
        <v>2271</v>
      </c>
      <c r="J1498">
        <v>500000</v>
      </c>
      <c r="K1498">
        <v>2025</v>
      </c>
      <c r="L1498">
        <v>1021398644</v>
      </c>
      <c r="M1498" t="s">
        <v>3670</v>
      </c>
      <c r="N1498" t="s">
        <v>1688</v>
      </c>
      <c r="O1498" t="s">
        <v>1686</v>
      </c>
      <c r="P1498">
        <v>0</v>
      </c>
      <c r="Q1498">
        <v>500000</v>
      </c>
      <c r="R1498">
        <v>0</v>
      </c>
      <c r="S1498">
        <v>0</v>
      </c>
      <c r="T1498" t="str">
        <f t="shared" si="46"/>
        <v>9922.43.4302.85.0-205128.2.3.3.08.06.</v>
      </c>
      <c r="U1498" t="e" cm="1">
        <f t="array" aca="1" ref="U1498" ca="1">+IF(COMPROMISOS_2025[[#This Row],[P]]="20","41080111",_xlfn.XLOOKUP(COMPROMISOS_2025[[#This Row],[concatenado]],PAA[[#All],[RCP-RUBRO]],PAA[[#All],[INDICADOR]],"",0))</f>
        <v>#NAME?</v>
      </c>
      <c r="V1498" s="144" t="str">
        <f t="shared" si="47"/>
        <v>85</v>
      </c>
      <c r="W1498" s="136">
        <f>+COMPROMISOS_2025[[#This Row],[valor_total]]-COMPROMISOS_2025[[#This Row],[total_cancelado]]</f>
        <v>500000</v>
      </c>
      <c r="X1498" s="136">
        <f>COMPROMISOS_2025[[#This Row],[total_ordenes]]</f>
        <v>500000</v>
      </c>
      <c r="Y1498" t="str" cm="1">
        <f t="array" aca="1" ref="Y1498" ca="1">IFERROR(_xlfn.XLOOKUP(COMPROMISOS_2025[[#This Row],[concatenado]],PAA[[#All],[RCP-RUBRO]],PAA[[#All],[Actividad3]],VLOOKUP(COMPROMISOS_2025[[#This Row],[Indicador Principal]],$AC$2:$AD$17,2,0),0),"")</f>
        <v/>
      </c>
    </row>
    <row r="1499" spans="1:25" hidden="1" x14ac:dyDescent="0.25">
      <c r="A1499">
        <v>993</v>
      </c>
      <c r="B1499" t="s">
        <v>4164</v>
      </c>
      <c r="C1499" t="s">
        <v>1936</v>
      </c>
      <c r="D1499" t="s">
        <v>4165</v>
      </c>
      <c r="F1499">
        <v>359</v>
      </c>
      <c r="G1499">
        <v>65</v>
      </c>
      <c r="H1499" t="s">
        <v>662</v>
      </c>
      <c r="I1499" t="s">
        <v>2271</v>
      </c>
      <c r="J1499">
        <v>500000</v>
      </c>
      <c r="K1499">
        <v>2025</v>
      </c>
      <c r="L1499">
        <v>1021803306</v>
      </c>
      <c r="M1499" t="s">
        <v>3671</v>
      </c>
      <c r="N1499" t="s">
        <v>1688</v>
      </c>
      <c r="O1499" t="s">
        <v>1686</v>
      </c>
      <c r="P1499">
        <v>0</v>
      </c>
      <c r="Q1499">
        <v>500000</v>
      </c>
      <c r="R1499">
        <v>0</v>
      </c>
      <c r="S1499">
        <v>0</v>
      </c>
      <c r="T1499" t="str">
        <f t="shared" si="46"/>
        <v>9932.43.4302.85.0-205128.2.3.3.08.06.</v>
      </c>
      <c r="U1499" t="e" cm="1">
        <f t="array" aca="1" ref="U1499" ca="1">+IF(COMPROMISOS_2025[[#This Row],[P]]="20","41080111",_xlfn.XLOOKUP(COMPROMISOS_2025[[#This Row],[concatenado]],PAA[[#All],[RCP-RUBRO]],PAA[[#All],[INDICADOR]],"",0))</f>
        <v>#NAME?</v>
      </c>
      <c r="V1499" s="144" t="str">
        <f t="shared" si="47"/>
        <v>85</v>
      </c>
      <c r="W1499" s="136">
        <f>+COMPROMISOS_2025[[#This Row],[valor_total]]-COMPROMISOS_2025[[#This Row],[total_cancelado]]</f>
        <v>500000</v>
      </c>
      <c r="X1499" s="136">
        <f>COMPROMISOS_2025[[#This Row],[total_ordenes]]</f>
        <v>500000</v>
      </c>
      <c r="Y1499" t="str" cm="1">
        <f t="array" aca="1" ref="Y1499" ca="1">IFERROR(_xlfn.XLOOKUP(COMPROMISOS_2025[[#This Row],[concatenado]],PAA[[#All],[RCP-RUBRO]],PAA[[#All],[Actividad3]],VLOOKUP(COMPROMISOS_2025[[#This Row],[Indicador Principal]],$AC$2:$AD$17,2,0),0),"")</f>
        <v/>
      </c>
    </row>
    <row r="1500" spans="1:25" hidden="1" x14ac:dyDescent="0.25">
      <c r="A1500">
        <v>994</v>
      </c>
      <c r="B1500" t="s">
        <v>4164</v>
      </c>
      <c r="C1500" t="s">
        <v>1936</v>
      </c>
      <c r="D1500" t="s">
        <v>4165</v>
      </c>
      <c r="F1500">
        <v>359</v>
      </c>
      <c r="G1500">
        <v>65</v>
      </c>
      <c r="H1500" t="s">
        <v>662</v>
      </c>
      <c r="I1500" t="s">
        <v>2271</v>
      </c>
      <c r="J1500">
        <v>500000</v>
      </c>
      <c r="K1500">
        <v>2025</v>
      </c>
      <c r="L1500">
        <v>1021803737</v>
      </c>
      <c r="M1500" t="s">
        <v>4031</v>
      </c>
      <c r="N1500" t="s">
        <v>1688</v>
      </c>
      <c r="O1500" t="s">
        <v>1686</v>
      </c>
      <c r="P1500">
        <v>0</v>
      </c>
      <c r="Q1500">
        <v>500000</v>
      </c>
      <c r="R1500">
        <v>0</v>
      </c>
      <c r="S1500">
        <v>0</v>
      </c>
      <c r="T1500" t="str">
        <f t="shared" si="46"/>
        <v>9942.43.4302.85.0-205128.2.3.3.08.06.</v>
      </c>
      <c r="U1500" t="e" cm="1">
        <f t="array" aca="1" ref="U1500" ca="1">+IF(COMPROMISOS_2025[[#This Row],[P]]="20","41080111",_xlfn.XLOOKUP(COMPROMISOS_2025[[#This Row],[concatenado]],PAA[[#All],[RCP-RUBRO]],PAA[[#All],[INDICADOR]],"",0))</f>
        <v>#NAME?</v>
      </c>
      <c r="V1500" s="144" t="str">
        <f t="shared" si="47"/>
        <v>85</v>
      </c>
      <c r="W1500" s="136">
        <f>+COMPROMISOS_2025[[#This Row],[valor_total]]-COMPROMISOS_2025[[#This Row],[total_cancelado]]</f>
        <v>500000</v>
      </c>
      <c r="X1500" s="136">
        <f>COMPROMISOS_2025[[#This Row],[total_ordenes]]</f>
        <v>500000</v>
      </c>
      <c r="Y1500" t="str" cm="1">
        <f t="array" aca="1" ref="Y1500" ca="1">IFERROR(_xlfn.XLOOKUP(COMPROMISOS_2025[[#This Row],[concatenado]],PAA[[#All],[RCP-RUBRO]],PAA[[#All],[Actividad3]],VLOOKUP(COMPROMISOS_2025[[#This Row],[Indicador Principal]],$AC$2:$AD$17,2,0),0),"")</f>
        <v/>
      </c>
    </row>
    <row r="1501" spans="1:25" hidden="1" x14ac:dyDescent="0.25">
      <c r="A1501">
        <v>995</v>
      </c>
      <c r="B1501" t="s">
        <v>4164</v>
      </c>
      <c r="C1501" t="s">
        <v>1936</v>
      </c>
      <c r="D1501" t="s">
        <v>4165</v>
      </c>
      <c r="F1501">
        <v>359</v>
      </c>
      <c r="G1501">
        <v>65</v>
      </c>
      <c r="H1501" t="s">
        <v>662</v>
      </c>
      <c r="I1501" t="s">
        <v>2271</v>
      </c>
      <c r="J1501">
        <v>500000</v>
      </c>
      <c r="K1501">
        <v>2025</v>
      </c>
      <c r="L1501">
        <v>1021923426</v>
      </c>
      <c r="M1501" t="s">
        <v>3673</v>
      </c>
      <c r="N1501" t="s">
        <v>1688</v>
      </c>
      <c r="O1501" t="s">
        <v>1686</v>
      </c>
      <c r="P1501">
        <v>0</v>
      </c>
      <c r="Q1501">
        <v>500000</v>
      </c>
      <c r="R1501">
        <v>0</v>
      </c>
      <c r="S1501">
        <v>0</v>
      </c>
      <c r="T1501" t="str">
        <f t="shared" si="46"/>
        <v>9952.43.4302.85.0-205128.2.3.3.08.06.</v>
      </c>
      <c r="U1501" t="e" cm="1">
        <f t="array" aca="1" ref="U1501" ca="1">+IF(COMPROMISOS_2025[[#This Row],[P]]="20","41080111",_xlfn.XLOOKUP(COMPROMISOS_2025[[#This Row],[concatenado]],PAA[[#All],[RCP-RUBRO]],PAA[[#All],[INDICADOR]],"",0))</f>
        <v>#NAME?</v>
      </c>
      <c r="V1501" s="144" t="str">
        <f t="shared" si="47"/>
        <v>85</v>
      </c>
      <c r="W1501" s="136">
        <f>+COMPROMISOS_2025[[#This Row],[valor_total]]-COMPROMISOS_2025[[#This Row],[total_cancelado]]</f>
        <v>500000</v>
      </c>
      <c r="X1501" s="136">
        <f>COMPROMISOS_2025[[#This Row],[total_ordenes]]</f>
        <v>500000</v>
      </c>
      <c r="Y1501" t="str" cm="1">
        <f t="array" aca="1" ref="Y1501" ca="1">IFERROR(_xlfn.XLOOKUP(COMPROMISOS_2025[[#This Row],[concatenado]],PAA[[#All],[RCP-RUBRO]],PAA[[#All],[Actividad3]],VLOOKUP(COMPROMISOS_2025[[#This Row],[Indicador Principal]],$AC$2:$AD$17,2,0),0),"")</f>
        <v/>
      </c>
    </row>
    <row r="1502" spans="1:25" hidden="1" x14ac:dyDescent="0.25">
      <c r="A1502">
        <v>996</v>
      </c>
      <c r="B1502" t="s">
        <v>4164</v>
      </c>
      <c r="C1502" t="s">
        <v>1936</v>
      </c>
      <c r="D1502" t="s">
        <v>4165</v>
      </c>
      <c r="F1502">
        <v>359</v>
      </c>
      <c r="G1502">
        <v>65</v>
      </c>
      <c r="H1502" t="s">
        <v>662</v>
      </c>
      <c r="I1502" t="s">
        <v>2271</v>
      </c>
      <c r="J1502">
        <v>500000</v>
      </c>
      <c r="K1502">
        <v>2025</v>
      </c>
      <c r="L1502">
        <v>1022004608</v>
      </c>
      <c r="M1502" t="s">
        <v>3676</v>
      </c>
      <c r="N1502" t="s">
        <v>1688</v>
      </c>
      <c r="O1502" t="s">
        <v>1686</v>
      </c>
      <c r="P1502">
        <v>0</v>
      </c>
      <c r="Q1502">
        <v>500000</v>
      </c>
      <c r="R1502">
        <v>0</v>
      </c>
      <c r="S1502">
        <v>0</v>
      </c>
      <c r="T1502" t="str">
        <f t="shared" si="46"/>
        <v>9962.43.4302.85.0-205128.2.3.3.08.06.</v>
      </c>
      <c r="U1502" t="e" cm="1">
        <f t="array" aca="1" ref="U1502" ca="1">+IF(COMPROMISOS_2025[[#This Row],[P]]="20","41080111",_xlfn.XLOOKUP(COMPROMISOS_2025[[#This Row],[concatenado]],PAA[[#All],[RCP-RUBRO]],PAA[[#All],[INDICADOR]],"",0))</f>
        <v>#NAME?</v>
      </c>
      <c r="V1502" s="144" t="str">
        <f t="shared" si="47"/>
        <v>85</v>
      </c>
      <c r="W1502" s="136">
        <f>+COMPROMISOS_2025[[#This Row],[valor_total]]-COMPROMISOS_2025[[#This Row],[total_cancelado]]</f>
        <v>500000</v>
      </c>
      <c r="X1502" s="136">
        <f>COMPROMISOS_2025[[#This Row],[total_ordenes]]</f>
        <v>500000</v>
      </c>
      <c r="Y1502" t="str" cm="1">
        <f t="array" aca="1" ref="Y1502" ca="1">IFERROR(_xlfn.XLOOKUP(COMPROMISOS_2025[[#This Row],[concatenado]],PAA[[#All],[RCP-RUBRO]],PAA[[#All],[Actividad3]],VLOOKUP(COMPROMISOS_2025[[#This Row],[Indicador Principal]],$AC$2:$AD$17,2,0),0),"")</f>
        <v/>
      </c>
    </row>
    <row r="1503" spans="1:25" hidden="1" x14ac:dyDescent="0.25">
      <c r="A1503">
        <v>997</v>
      </c>
      <c r="B1503" t="s">
        <v>4164</v>
      </c>
      <c r="C1503" t="s">
        <v>1936</v>
      </c>
      <c r="D1503" t="s">
        <v>4165</v>
      </c>
      <c r="F1503">
        <v>359</v>
      </c>
      <c r="G1503">
        <v>65</v>
      </c>
      <c r="H1503" t="s">
        <v>662</v>
      </c>
      <c r="I1503" t="s">
        <v>2271</v>
      </c>
      <c r="J1503">
        <v>500000</v>
      </c>
      <c r="K1503">
        <v>2025</v>
      </c>
      <c r="L1503">
        <v>1022005459</v>
      </c>
      <c r="M1503" t="s">
        <v>4032</v>
      </c>
      <c r="N1503" t="s">
        <v>1688</v>
      </c>
      <c r="O1503" t="s">
        <v>1686</v>
      </c>
      <c r="P1503">
        <v>0</v>
      </c>
      <c r="Q1503">
        <v>500000</v>
      </c>
      <c r="R1503">
        <v>0</v>
      </c>
      <c r="S1503">
        <v>0</v>
      </c>
      <c r="T1503" t="str">
        <f t="shared" si="46"/>
        <v>9972.43.4302.85.0-205128.2.3.3.08.06.</v>
      </c>
      <c r="U1503" t="e" cm="1">
        <f t="array" aca="1" ref="U1503" ca="1">+IF(COMPROMISOS_2025[[#This Row],[P]]="20","41080111",_xlfn.XLOOKUP(COMPROMISOS_2025[[#This Row],[concatenado]],PAA[[#All],[RCP-RUBRO]],PAA[[#All],[INDICADOR]],"",0))</f>
        <v>#NAME?</v>
      </c>
      <c r="V1503" s="144" t="str">
        <f t="shared" si="47"/>
        <v>85</v>
      </c>
      <c r="W1503" s="136">
        <f>+COMPROMISOS_2025[[#This Row],[valor_total]]-COMPROMISOS_2025[[#This Row],[total_cancelado]]</f>
        <v>500000</v>
      </c>
      <c r="X1503" s="136">
        <f>COMPROMISOS_2025[[#This Row],[total_ordenes]]</f>
        <v>500000</v>
      </c>
      <c r="Y1503" t="str" cm="1">
        <f t="array" aca="1" ref="Y1503" ca="1">IFERROR(_xlfn.XLOOKUP(COMPROMISOS_2025[[#This Row],[concatenado]],PAA[[#All],[RCP-RUBRO]],PAA[[#All],[Actividad3]],VLOOKUP(COMPROMISOS_2025[[#This Row],[Indicador Principal]],$AC$2:$AD$17,2,0),0),"")</f>
        <v/>
      </c>
    </row>
    <row r="1504" spans="1:25" hidden="1" x14ac:dyDescent="0.25">
      <c r="A1504">
        <v>998</v>
      </c>
      <c r="B1504" t="s">
        <v>4164</v>
      </c>
      <c r="C1504" t="s">
        <v>1936</v>
      </c>
      <c r="D1504" t="s">
        <v>4165</v>
      </c>
      <c r="F1504">
        <v>359</v>
      </c>
      <c r="G1504">
        <v>65</v>
      </c>
      <c r="H1504" t="s">
        <v>662</v>
      </c>
      <c r="I1504" t="s">
        <v>2271</v>
      </c>
      <c r="J1504">
        <v>500000</v>
      </c>
      <c r="K1504">
        <v>2025</v>
      </c>
      <c r="L1504">
        <v>1023374722</v>
      </c>
      <c r="M1504" t="s">
        <v>4033</v>
      </c>
      <c r="N1504" t="s">
        <v>1688</v>
      </c>
      <c r="O1504" t="s">
        <v>1686</v>
      </c>
      <c r="P1504">
        <v>0</v>
      </c>
      <c r="Q1504">
        <v>500000</v>
      </c>
      <c r="R1504">
        <v>0</v>
      </c>
      <c r="S1504">
        <v>0</v>
      </c>
      <c r="T1504" t="str">
        <f t="shared" si="46"/>
        <v>9982.43.4302.85.0-205128.2.3.3.08.06.</v>
      </c>
      <c r="U1504" t="e" cm="1">
        <f t="array" aca="1" ref="U1504" ca="1">+IF(COMPROMISOS_2025[[#This Row],[P]]="20","41080111",_xlfn.XLOOKUP(COMPROMISOS_2025[[#This Row],[concatenado]],PAA[[#All],[RCP-RUBRO]],PAA[[#All],[INDICADOR]],"",0))</f>
        <v>#NAME?</v>
      </c>
      <c r="V1504" s="144" t="str">
        <f t="shared" si="47"/>
        <v>85</v>
      </c>
      <c r="W1504" s="136">
        <f>+COMPROMISOS_2025[[#This Row],[valor_total]]-COMPROMISOS_2025[[#This Row],[total_cancelado]]</f>
        <v>500000</v>
      </c>
      <c r="X1504" s="136">
        <f>COMPROMISOS_2025[[#This Row],[total_ordenes]]</f>
        <v>500000</v>
      </c>
      <c r="Y1504" t="str" cm="1">
        <f t="array" aca="1" ref="Y1504" ca="1">IFERROR(_xlfn.XLOOKUP(COMPROMISOS_2025[[#This Row],[concatenado]],PAA[[#All],[RCP-RUBRO]],PAA[[#All],[Actividad3]],VLOOKUP(COMPROMISOS_2025[[#This Row],[Indicador Principal]],$AC$2:$AD$17,2,0),0),"")</f>
        <v/>
      </c>
    </row>
    <row r="1505" spans="1:25" hidden="1" x14ac:dyDescent="0.25">
      <c r="A1505">
        <v>999</v>
      </c>
      <c r="B1505" t="s">
        <v>4164</v>
      </c>
      <c r="C1505" t="s">
        <v>1936</v>
      </c>
      <c r="D1505" t="s">
        <v>4165</v>
      </c>
      <c r="F1505">
        <v>359</v>
      </c>
      <c r="G1505">
        <v>65</v>
      </c>
      <c r="H1505" t="s">
        <v>662</v>
      </c>
      <c r="I1505" t="s">
        <v>2271</v>
      </c>
      <c r="J1505">
        <v>500000</v>
      </c>
      <c r="K1505">
        <v>2025</v>
      </c>
      <c r="L1505">
        <v>1023523023</v>
      </c>
      <c r="M1505" t="s">
        <v>4034</v>
      </c>
      <c r="N1505" t="s">
        <v>1688</v>
      </c>
      <c r="O1505" t="s">
        <v>1686</v>
      </c>
      <c r="P1505">
        <v>0</v>
      </c>
      <c r="Q1505">
        <v>500000</v>
      </c>
      <c r="R1505">
        <v>0</v>
      </c>
      <c r="S1505">
        <v>0</v>
      </c>
      <c r="T1505" t="str">
        <f t="shared" si="46"/>
        <v>9992.43.4302.85.0-205128.2.3.3.08.06.</v>
      </c>
      <c r="U1505" t="e" cm="1">
        <f t="array" aca="1" ref="U1505" ca="1">+IF(COMPROMISOS_2025[[#This Row],[P]]="20","41080111",_xlfn.XLOOKUP(COMPROMISOS_2025[[#This Row],[concatenado]],PAA[[#All],[RCP-RUBRO]],PAA[[#All],[INDICADOR]],"",0))</f>
        <v>#NAME?</v>
      </c>
      <c r="V1505" s="144" t="str">
        <f t="shared" si="47"/>
        <v>85</v>
      </c>
      <c r="W1505" s="136">
        <f>+COMPROMISOS_2025[[#This Row],[valor_total]]-COMPROMISOS_2025[[#This Row],[total_cancelado]]</f>
        <v>500000</v>
      </c>
      <c r="X1505" s="136">
        <f>COMPROMISOS_2025[[#This Row],[total_ordenes]]</f>
        <v>500000</v>
      </c>
      <c r="Y1505" t="str" cm="1">
        <f t="array" aca="1" ref="Y1505" ca="1">IFERROR(_xlfn.XLOOKUP(COMPROMISOS_2025[[#This Row],[concatenado]],PAA[[#All],[RCP-RUBRO]],PAA[[#All],[Actividad3]],VLOOKUP(COMPROMISOS_2025[[#This Row],[Indicador Principal]],$AC$2:$AD$17,2,0),0),"")</f>
        <v/>
      </c>
    </row>
    <row r="1506" spans="1:25" hidden="1" x14ac:dyDescent="0.25">
      <c r="A1506">
        <v>1000</v>
      </c>
      <c r="B1506" t="s">
        <v>4164</v>
      </c>
      <c r="C1506" t="s">
        <v>1936</v>
      </c>
      <c r="D1506" t="s">
        <v>4165</v>
      </c>
      <c r="F1506">
        <v>359</v>
      </c>
      <c r="G1506">
        <v>65</v>
      </c>
      <c r="H1506" t="s">
        <v>662</v>
      </c>
      <c r="I1506" t="s">
        <v>2271</v>
      </c>
      <c r="J1506">
        <v>500000</v>
      </c>
      <c r="K1506">
        <v>2025</v>
      </c>
      <c r="L1506">
        <v>1023625491</v>
      </c>
      <c r="M1506" t="s">
        <v>4035</v>
      </c>
      <c r="N1506" t="s">
        <v>1688</v>
      </c>
      <c r="O1506" t="s">
        <v>1686</v>
      </c>
      <c r="P1506">
        <v>0</v>
      </c>
      <c r="Q1506">
        <v>500000</v>
      </c>
      <c r="R1506">
        <v>0</v>
      </c>
      <c r="S1506">
        <v>0</v>
      </c>
      <c r="T1506" t="str">
        <f t="shared" si="46"/>
        <v>10002.43.4302.85.0-205128.2.3.3.08.06.</v>
      </c>
      <c r="U1506" t="e" cm="1">
        <f t="array" aca="1" ref="U1506" ca="1">+IF(COMPROMISOS_2025[[#This Row],[P]]="20","41080111",_xlfn.XLOOKUP(COMPROMISOS_2025[[#This Row],[concatenado]],PAA[[#All],[RCP-RUBRO]],PAA[[#All],[INDICADOR]],"",0))</f>
        <v>#NAME?</v>
      </c>
      <c r="V1506" s="144" t="str">
        <f t="shared" si="47"/>
        <v>85</v>
      </c>
      <c r="W1506" s="136">
        <f>+COMPROMISOS_2025[[#This Row],[valor_total]]-COMPROMISOS_2025[[#This Row],[total_cancelado]]</f>
        <v>500000</v>
      </c>
      <c r="X1506" s="136">
        <f>COMPROMISOS_2025[[#This Row],[total_ordenes]]</f>
        <v>500000</v>
      </c>
      <c r="Y1506" t="str" cm="1">
        <f t="array" aca="1" ref="Y1506" ca="1">IFERROR(_xlfn.XLOOKUP(COMPROMISOS_2025[[#This Row],[concatenado]],PAA[[#All],[RCP-RUBRO]],PAA[[#All],[Actividad3]],VLOOKUP(COMPROMISOS_2025[[#This Row],[Indicador Principal]],$AC$2:$AD$17,2,0),0),"")</f>
        <v/>
      </c>
    </row>
    <row r="1507" spans="1:25" hidden="1" x14ac:dyDescent="0.25">
      <c r="A1507">
        <v>1001</v>
      </c>
      <c r="B1507" t="s">
        <v>4164</v>
      </c>
      <c r="C1507" t="s">
        <v>1936</v>
      </c>
      <c r="D1507" t="s">
        <v>4165</v>
      </c>
      <c r="F1507">
        <v>359</v>
      </c>
      <c r="G1507">
        <v>65</v>
      </c>
      <c r="H1507" t="s">
        <v>662</v>
      </c>
      <c r="I1507" t="s">
        <v>2271</v>
      </c>
      <c r="J1507">
        <v>500000</v>
      </c>
      <c r="K1507">
        <v>2025</v>
      </c>
      <c r="L1507">
        <v>1023629534</v>
      </c>
      <c r="M1507" t="s">
        <v>3684</v>
      </c>
      <c r="N1507" t="s">
        <v>1688</v>
      </c>
      <c r="O1507" t="s">
        <v>1686</v>
      </c>
      <c r="P1507">
        <v>0</v>
      </c>
      <c r="Q1507">
        <v>500000</v>
      </c>
      <c r="R1507">
        <v>0</v>
      </c>
      <c r="S1507">
        <v>0</v>
      </c>
      <c r="T1507" t="str">
        <f t="shared" si="46"/>
        <v>10012.43.4302.85.0-205128.2.3.3.08.06.</v>
      </c>
      <c r="U1507" t="e" cm="1">
        <f t="array" aca="1" ref="U1507" ca="1">+IF(COMPROMISOS_2025[[#This Row],[P]]="20","41080111",_xlfn.XLOOKUP(COMPROMISOS_2025[[#This Row],[concatenado]],PAA[[#All],[RCP-RUBRO]],PAA[[#All],[INDICADOR]],"",0))</f>
        <v>#NAME?</v>
      </c>
      <c r="V1507" s="144" t="str">
        <f t="shared" si="47"/>
        <v>85</v>
      </c>
      <c r="W1507" s="136">
        <f>+COMPROMISOS_2025[[#This Row],[valor_total]]-COMPROMISOS_2025[[#This Row],[total_cancelado]]</f>
        <v>500000</v>
      </c>
      <c r="X1507" s="136">
        <f>COMPROMISOS_2025[[#This Row],[total_ordenes]]</f>
        <v>500000</v>
      </c>
      <c r="Y1507" t="str" cm="1">
        <f t="array" aca="1" ref="Y1507" ca="1">IFERROR(_xlfn.XLOOKUP(COMPROMISOS_2025[[#This Row],[concatenado]],PAA[[#All],[RCP-RUBRO]],PAA[[#All],[Actividad3]],VLOOKUP(COMPROMISOS_2025[[#This Row],[Indicador Principal]],$AC$2:$AD$17,2,0),0),"")</f>
        <v/>
      </c>
    </row>
    <row r="1508" spans="1:25" hidden="1" x14ac:dyDescent="0.25">
      <c r="A1508">
        <v>1002</v>
      </c>
      <c r="B1508" t="s">
        <v>4164</v>
      </c>
      <c r="C1508" t="s">
        <v>1936</v>
      </c>
      <c r="D1508" t="s">
        <v>4165</v>
      </c>
      <c r="F1508">
        <v>359</v>
      </c>
      <c r="G1508">
        <v>65</v>
      </c>
      <c r="H1508" t="s">
        <v>662</v>
      </c>
      <c r="I1508" t="s">
        <v>2271</v>
      </c>
      <c r="J1508">
        <v>500000</v>
      </c>
      <c r="K1508">
        <v>2025</v>
      </c>
      <c r="L1508">
        <v>1023630469</v>
      </c>
      <c r="M1508" t="s">
        <v>4036</v>
      </c>
      <c r="N1508" t="s">
        <v>1688</v>
      </c>
      <c r="O1508" t="s">
        <v>1686</v>
      </c>
      <c r="P1508">
        <v>0</v>
      </c>
      <c r="Q1508">
        <v>500000</v>
      </c>
      <c r="R1508">
        <v>0</v>
      </c>
      <c r="S1508">
        <v>0</v>
      </c>
      <c r="T1508" t="str">
        <f t="shared" si="46"/>
        <v>10022.43.4302.85.0-205128.2.3.3.08.06.</v>
      </c>
      <c r="U1508" t="e" cm="1">
        <f t="array" aca="1" ref="U1508" ca="1">+IF(COMPROMISOS_2025[[#This Row],[P]]="20","41080111",_xlfn.XLOOKUP(COMPROMISOS_2025[[#This Row],[concatenado]],PAA[[#All],[RCP-RUBRO]],PAA[[#All],[INDICADOR]],"",0))</f>
        <v>#NAME?</v>
      </c>
      <c r="V1508" s="144" t="str">
        <f t="shared" si="47"/>
        <v>85</v>
      </c>
      <c r="W1508" s="136">
        <f>+COMPROMISOS_2025[[#This Row],[valor_total]]-COMPROMISOS_2025[[#This Row],[total_cancelado]]</f>
        <v>500000</v>
      </c>
      <c r="X1508" s="136">
        <f>COMPROMISOS_2025[[#This Row],[total_ordenes]]</f>
        <v>500000</v>
      </c>
      <c r="Y1508" t="str" cm="1">
        <f t="array" aca="1" ref="Y1508" ca="1">IFERROR(_xlfn.XLOOKUP(COMPROMISOS_2025[[#This Row],[concatenado]],PAA[[#All],[RCP-RUBRO]],PAA[[#All],[Actividad3]],VLOOKUP(COMPROMISOS_2025[[#This Row],[Indicador Principal]],$AC$2:$AD$17,2,0),0),"")</f>
        <v/>
      </c>
    </row>
    <row r="1509" spans="1:25" hidden="1" x14ac:dyDescent="0.25">
      <c r="A1509">
        <v>1003</v>
      </c>
      <c r="B1509" t="s">
        <v>4164</v>
      </c>
      <c r="C1509" t="s">
        <v>1936</v>
      </c>
      <c r="D1509" t="s">
        <v>4165</v>
      </c>
      <c r="F1509">
        <v>359</v>
      </c>
      <c r="G1509">
        <v>65</v>
      </c>
      <c r="H1509" t="s">
        <v>662</v>
      </c>
      <c r="I1509" t="s">
        <v>2271</v>
      </c>
      <c r="J1509">
        <v>500000</v>
      </c>
      <c r="K1509">
        <v>2025</v>
      </c>
      <c r="L1509">
        <v>1023637643</v>
      </c>
      <c r="M1509" t="s">
        <v>4037</v>
      </c>
      <c r="N1509" t="s">
        <v>1688</v>
      </c>
      <c r="O1509" t="s">
        <v>1686</v>
      </c>
      <c r="P1509">
        <v>0</v>
      </c>
      <c r="Q1509">
        <v>500000</v>
      </c>
      <c r="R1509">
        <v>0</v>
      </c>
      <c r="S1509">
        <v>0</v>
      </c>
      <c r="T1509" t="str">
        <f t="shared" si="46"/>
        <v>10032.43.4302.85.0-205128.2.3.3.08.06.</v>
      </c>
      <c r="U1509" t="e" cm="1">
        <f t="array" aca="1" ref="U1509" ca="1">+IF(COMPROMISOS_2025[[#This Row],[P]]="20","41080111",_xlfn.XLOOKUP(COMPROMISOS_2025[[#This Row],[concatenado]],PAA[[#All],[RCP-RUBRO]],PAA[[#All],[INDICADOR]],"",0))</f>
        <v>#NAME?</v>
      </c>
      <c r="V1509" s="144" t="str">
        <f t="shared" si="47"/>
        <v>85</v>
      </c>
      <c r="W1509" s="136">
        <f>+COMPROMISOS_2025[[#This Row],[valor_total]]-COMPROMISOS_2025[[#This Row],[total_cancelado]]</f>
        <v>500000</v>
      </c>
      <c r="X1509" s="136">
        <f>COMPROMISOS_2025[[#This Row],[total_ordenes]]</f>
        <v>500000</v>
      </c>
      <c r="Y1509" t="str" cm="1">
        <f t="array" aca="1" ref="Y1509" ca="1">IFERROR(_xlfn.XLOOKUP(COMPROMISOS_2025[[#This Row],[concatenado]],PAA[[#All],[RCP-RUBRO]],PAA[[#All],[Actividad3]],VLOOKUP(COMPROMISOS_2025[[#This Row],[Indicador Principal]],$AC$2:$AD$17,2,0),0),"")</f>
        <v/>
      </c>
    </row>
    <row r="1510" spans="1:25" hidden="1" x14ac:dyDescent="0.25">
      <c r="A1510">
        <v>1004</v>
      </c>
      <c r="B1510" t="s">
        <v>4164</v>
      </c>
      <c r="C1510" t="s">
        <v>1936</v>
      </c>
      <c r="D1510" t="s">
        <v>4165</v>
      </c>
      <c r="F1510">
        <v>359</v>
      </c>
      <c r="G1510">
        <v>65</v>
      </c>
      <c r="H1510" t="s">
        <v>662</v>
      </c>
      <c r="I1510" t="s">
        <v>2271</v>
      </c>
      <c r="J1510">
        <v>500000</v>
      </c>
      <c r="K1510">
        <v>2025</v>
      </c>
      <c r="L1510">
        <v>1025655725</v>
      </c>
      <c r="M1510" t="s">
        <v>4038</v>
      </c>
      <c r="N1510" t="s">
        <v>1688</v>
      </c>
      <c r="O1510" t="s">
        <v>1686</v>
      </c>
      <c r="P1510">
        <v>0</v>
      </c>
      <c r="Q1510">
        <v>500000</v>
      </c>
      <c r="R1510">
        <v>0</v>
      </c>
      <c r="S1510">
        <v>0</v>
      </c>
      <c r="T1510" t="str">
        <f t="shared" si="46"/>
        <v>10042.43.4302.85.0-205128.2.3.3.08.06.</v>
      </c>
      <c r="U1510" t="e" cm="1">
        <f t="array" aca="1" ref="U1510" ca="1">+IF(COMPROMISOS_2025[[#This Row],[P]]="20","41080111",_xlfn.XLOOKUP(COMPROMISOS_2025[[#This Row],[concatenado]],PAA[[#All],[RCP-RUBRO]],PAA[[#All],[INDICADOR]],"",0))</f>
        <v>#NAME?</v>
      </c>
      <c r="V1510" s="144" t="str">
        <f t="shared" si="47"/>
        <v>85</v>
      </c>
      <c r="W1510" s="136">
        <f>+COMPROMISOS_2025[[#This Row],[valor_total]]-COMPROMISOS_2025[[#This Row],[total_cancelado]]</f>
        <v>500000</v>
      </c>
      <c r="X1510" s="136">
        <f>COMPROMISOS_2025[[#This Row],[total_ordenes]]</f>
        <v>500000</v>
      </c>
      <c r="Y1510" t="str" cm="1">
        <f t="array" aca="1" ref="Y1510" ca="1">IFERROR(_xlfn.XLOOKUP(COMPROMISOS_2025[[#This Row],[concatenado]],PAA[[#All],[RCP-RUBRO]],PAA[[#All],[Actividad3]],VLOOKUP(COMPROMISOS_2025[[#This Row],[Indicador Principal]],$AC$2:$AD$17,2,0),0),"")</f>
        <v/>
      </c>
    </row>
    <row r="1511" spans="1:25" hidden="1" x14ac:dyDescent="0.25">
      <c r="A1511">
        <v>1005</v>
      </c>
      <c r="B1511" t="s">
        <v>4164</v>
      </c>
      <c r="C1511" t="s">
        <v>1936</v>
      </c>
      <c r="D1511" t="s">
        <v>4165</v>
      </c>
      <c r="F1511">
        <v>359</v>
      </c>
      <c r="G1511">
        <v>65</v>
      </c>
      <c r="H1511" t="s">
        <v>662</v>
      </c>
      <c r="I1511" t="s">
        <v>2271</v>
      </c>
      <c r="J1511">
        <v>500000</v>
      </c>
      <c r="K1511">
        <v>2025</v>
      </c>
      <c r="L1511">
        <v>1025881448</v>
      </c>
      <c r="M1511" t="s">
        <v>4039</v>
      </c>
      <c r="N1511" t="s">
        <v>1688</v>
      </c>
      <c r="O1511" t="s">
        <v>1686</v>
      </c>
      <c r="P1511">
        <v>0</v>
      </c>
      <c r="Q1511">
        <v>500000</v>
      </c>
      <c r="R1511">
        <v>0</v>
      </c>
      <c r="S1511">
        <v>0</v>
      </c>
      <c r="T1511" t="str">
        <f t="shared" si="46"/>
        <v>10052.43.4302.85.0-205128.2.3.3.08.06.</v>
      </c>
      <c r="U1511" t="e" cm="1">
        <f t="array" aca="1" ref="U1511" ca="1">+IF(COMPROMISOS_2025[[#This Row],[P]]="20","41080111",_xlfn.XLOOKUP(COMPROMISOS_2025[[#This Row],[concatenado]],PAA[[#All],[RCP-RUBRO]],PAA[[#All],[INDICADOR]],"",0))</f>
        <v>#NAME?</v>
      </c>
      <c r="V1511" s="144" t="str">
        <f t="shared" si="47"/>
        <v>85</v>
      </c>
      <c r="W1511" s="136">
        <f>+COMPROMISOS_2025[[#This Row],[valor_total]]-COMPROMISOS_2025[[#This Row],[total_cancelado]]</f>
        <v>500000</v>
      </c>
      <c r="X1511" s="136">
        <f>COMPROMISOS_2025[[#This Row],[total_ordenes]]</f>
        <v>500000</v>
      </c>
      <c r="Y1511" t="str" cm="1">
        <f t="array" aca="1" ref="Y1511" ca="1">IFERROR(_xlfn.XLOOKUP(COMPROMISOS_2025[[#This Row],[concatenado]],PAA[[#All],[RCP-RUBRO]],PAA[[#All],[Actividad3]],VLOOKUP(COMPROMISOS_2025[[#This Row],[Indicador Principal]],$AC$2:$AD$17,2,0),0),"")</f>
        <v/>
      </c>
    </row>
    <row r="1512" spans="1:25" hidden="1" x14ac:dyDescent="0.25">
      <c r="A1512">
        <v>1006</v>
      </c>
      <c r="B1512" t="s">
        <v>4164</v>
      </c>
      <c r="C1512" t="s">
        <v>1936</v>
      </c>
      <c r="D1512" t="s">
        <v>4165</v>
      </c>
      <c r="F1512">
        <v>359</v>
      </c>
      <c r="G1512">
        <v>65</v>
      </c>
      <c r="H1512" t="s">
        <v>662</v>
      </c>
      <c r="I1512" t="s">
        <v>2271</v>
      </c>
      <c r="J1512">
        <v>1000000</v>
      </c>
      <c r="K1512">
        <v>2025</v>
      </c>
      <c r="L1512">
        <v>1025882497</v>
      </c>
      <c r="M1512" t="s">
        <v>4040</v>
      </c>
      <c r="N1512" t="s">
        <v>1688</v>
      </c>
      <c r="O1512" t="s">
        <v>1686</v>
      </c>
      <c r="P1512">
        <v>0</v>
      </c>
      <c r="Q1512">
        <v>1000000</v>
      </c>
      <c r="R1512">
        <v>0</v>
      </c>
      <c r="S1512">
        <v>0</v>
      </c>
      <c r="T1512" t="str">
        <f t="shared" si="46"/>
        <v>10062.43.4302.85.0-205128.2.3.3.08.06.</v>
      </c>
      <c r="U1512" t="e" cm="1">
        <f t="array" aca="1" ref="U1512" ca="1">+IF(COMPROMISOS_2025[[#This Row],[P]]="20","41080111",_xlfn.XLOOKUP(COMPROMISOS_2025[[#This Row],[concatenado]],PAA[[#All],[RCP-RUBRO]],PAA[[#All],[INDICADOR]],"",0))</f>
        <v>#NAME?</v>
      </c>
      <c r="V1512" s="144" t="str">
        <f t="shared" si="47"/>
        <v>85</v>
      </c>
      <c r="W1512" s="136">
        <f>+COMPROMISOS_2025[[#This Row],[valor_total]]-COMPROMISOS_2025[[#This Row],[total_cancelado]]</f>
        <v>1000000</v>
      </c>
      <c r="X1512" s="136">
        <f>COMPROMISOS_2025[[#This Row],[total_ordenes]]</f>
        <v>1000000</v>
      </c>
      <c r="Y1512" t="str" cm="1">
        <f t="array" aca="1" ref="Y1512" ca="1">IFERROR(_xlfn.XLOOKUP(COMPROMISOS_2025[[#This Row],[concatenado]],PAA[[#All],[RCP-RUBRO]],PAA[[#All],[Actividad3]],VLOOKUP(COMPROMISOS_2025[[#This Row],[Indicador Principal]],$AC$2:$AD$17,2,0),0),"")</f>
        <v/>
      </c>
    </row>
    <row r="1513" spans="1:25" hidden="1" x14ac:dyDescent="0.25">
      <c r="A1513">
        <v>1007</v>
      </c>
      <c r="B1513" t="s">
        <v>4164</v>
      </c>
      <c r="C1513" t="s">
        <v>1936</v>
      </c>
      <c r="D1513" t="s">
        <v>4165</v>
      </c>
      <c r="F1513">
        <v>359</v>
      </c>
      <c r="G1513">
        <v>65</v>
      </c>
      <c r="H1513" t="s">
        <v>662</v>
      </c>
      <c r="I1513" t="s">
        <v>2271</v>
      </c>
      <c r="J1513">
        <v>500000</v>
      </c>
      <c r="K1513">
        <v>2025</v>
      </c>
      <c r="L1513">
        <v>1025883399</v>
      </c>
      <c r="M1513" t="s">
        <v>4041</v>
      </c>
      <c r="N1513" t="s">
        <v>1688</v>
      </c>
      <c r="O1513" t="s">
        <v>1686</v>
      </c>
      <c r="P1513">
        <v>0</v>
      </c>
      <c r="Q1513">
        <v>500000</v>
      </c>
      <c r="R1513">
        <v>0</v>
      </c>
      <c r="S1513">
        <v>0</v>
      </c>
      <c r="T1513" t="str">
        <f t="shared" si="46"/>
        <v>10072.43.4302.85.0-205128.2.3.3.08.06.</v>
      </c>
      <c r="U1513" t="e" cm="1">
        <f t="array" aca="1" ref="U1513" ca="1">+IF(COMPROMISOS_2025[[#This Row],[P]]="20","41080111",_xlfn.XLOOKUP(COMPROMISOS_2025[[#This Row],[concatenado]],PAA[[#All],[RCP-RUBRO]],PAA[[#All],[INDICADOR]],"",0))</f>
        <v>#NAME?</v>
      </c>
      <c r="V1513" s="144" t="str">
        <f t="shared" si="47"/>
        <v>85</v>
      </c>
      <c r="W1513" s="136">
        <f>+COMPROMISOS_2025[[#This Row],[valor_total]]-COMPROMISOS_2025[[#This Row],[total_cancelado]]</f>
        <v>500000</v>
      </c>
      <c r="X1513" s="136">
        <f>COMPROMISOS_2025[[#This Row],[total_ordenes]]</f>
        <v>500000</v>
      </c>
      <c r="Y1513" t="str" cm="1">
        <f t="array" aca="1" ref="Y1513" ca="1">IFERROR(_xlfn.XLOOKUP(COMPROMISOS_2025[[#This Row],[concatenado]],PAA[[#All],[RCP-RUBRO]],PAA[[#All],[Actividad3]],VLOOKUP(COMPROMISOS_2025[[#This Row],[Indicador Principal]],$AC$2:$AD$17,2,0),0),"")</f>
        <v/>
      </c>
    </row>
    <row r="1514" spans="1:25" hidden="1" x14ac:dyDescent="0.25">
      <c r="A1514">
        <v>1008</v>
      </c>
      <c r="B1514" t="s">
        <v>4164</v>
      </c>
      <c r="C1514" t="s">
        <v>1936</v>
      </c>
      <c r="D1514" t="s">
        <v>4165</v>
      </c>
      <c r="F1514">
        <v>359</v>
      </c>
      <c r="G1514">
        <v>65</v>
      </c>
      <c r="H1514" t="s">
        <v>662</v>
      </c>
      <c r="I1514" t="s">
        <v>2271</v>
      </c>
      <c r="J1514">
        <v>500000</v>
      </c>
      <c r="K1514">
        <v>2025</v>
      </c>
      <c r="L1514">
        <v>1027661588</v>
      </c>
      <c r="M1514" t="s">
        <v>3708</v>
      </c>
      <c r="N1514" t="s">
        <v>1688</v>
      </c>
      <c r="O1514" t="s">
        <v>1686</v>
      </c>
      <c r="P1514">
        <v>0</v>
      </c>
      <c r="Q1514">
        <v>500000</v>
      </c>
      <c r="R1514">
        <v>0</v>
      </c>
      <c r="S1514">
        <v>0</v>
      </c>
      <c r="T1514" t="str">
        <f t="shared" si="46"/>
        <v>10082.43.4302.85.0-205128.2.3.3.08.06.</v>
      </c>
      <c r="U1514" t="e" cm="1">
        <f t="array" aca="1" ref="U1514" ca="1">+IF(COMPROMISOS_2025[[#This Row],[P]]="20","41080111",_xlfn.XLOOKUP(COMPROMISOS_2025[[#This Row],[concatenado]],PAA[[#All],[RCP-RUBRO]],PAA[[#All],[INDICADOR]],"",0))</f>
        <v>#NAME?</v>
      </c>
      <c r="V1514" s="144" t="str">
        <f t="shared" si="47"/>
        <v>85</v>
      </c>
      <c r="W1514" s="136">
        <f>+COMPROMISOS_2025[[#This Row],[valor_total]]-COMPROMISOS_2025[[#This Row],[total_cancelado]]</f>
        <v>500000</v>
      </c>
      <c r="X1514" s="136">
        <f>COMPROMISOS_2025[[#This Row],[total_ordenes]]</f>
        <v>500000</v>
      </c>
      <c r="Y1514" t="str" cm="1">
        <f t="array" aca="1" ref="Y1514" ca="1">IFERROR(_xlfn.XLOOKUP(COMPROMISOS_2025[[#This Row],[concatenado]],PAA[[#All],[RCP-RUBRO]],PAA[[#All],[Actividad3]],VLOOKUP(COMPROMISOS_2025[[#This Row],[Indicador Principal]],$AC$2:$AD$17,2,0),0),"")</f>
        <v/>
      </c>
    </row>
    <row r="1515" spans="1:25" hidden="1" x14ac:dyDescent="0.25">
      <c r="A1515">
        <v>1009</v>
      </c>
      <c r="B1515" t="s">
        <v>4164</v>
      </c>
      <c r="C1515" t="s">
        <v>1936</v>
      </c>
      <c r="D1515" t="s">
        <v>4165</v>
      </c>
      <c r="F1515">
        <v>359</v>
      </c>
      <c r="G1515">
        <v>65</v>
      </c>
      <c r="H1515" t="s">
        <v>662</v>
      </c>
      <c r="I1515" t="s">
        <v>2271</v>
      </c>
      <c r="J1515">
        <v>500000</v>
      </c>
      <c r="K1515">
        <v>2025</v>
      </c>
      <c r="L1515">
        <v>1027889605</v>
      </c>
      <c r="M1515" t="s">
        <v>4042</v>
      </c>
      <c r="N1515" t="s">
        <v>1688</v>
      </c>
      <c r="O1515" t="s">
        <v>1686</v>
      </c>
      <c r="P1515">
        <v>0</v>
      </c>
      <c r="Q1515">
        <v>500000</v>
      </c>
      <c r="R1515">
        <v>0</v>
      </c>
      <c r="S1515">
        <v>0</v>
      </c>
      <c r="T1515" t="str">
        <f t="shared" si="46"/>
        <v>10092.43.4302.85.0-205128.2.3.3.08.06.</v>
      </c>
      <c r="U1515" t="e" cm="1">
        <f t="array" aca="1" ref="U1515" ca="1">+IF(COMPROMISOS_2025[[#This Row],[P]]="20","41080111",_xlfn.XLOOKUP(COMPROMISOS_2025[[#This Row],[concatenado]],PAA[[#All],[RCP-RUBRO]],PAA[[#All],[INDICADOR]],"",0))</f>
        <v>#NAME?</v>
      </c>
      <c r="V1515" s="144" t="str">
        <f t="shared" si="47"/>
        <v>85</v>
      </c>
      <c r="W1515" s="136">
        <f>+COMPROMISOS_2025[[#This Row],[valor_total]]-COMPROMISOS_2025[[#This Row],[total_cancelado]]</f>
        <v>500000</v>
      </c>
      <c r="X1515" s="136">
        <f>COMPROMISOS_2025[[#This Row],[total_ordenes]]</f>
        <v>500000</v>
      </c>
      <c r="Y1515" t="str" cm="1">
        <f t="array" aca="1" ref="Y1515" ca="1">IFERROR(_xlfn.XLOOKUP(COMPROMISOS_2025[[#This Row],[concatenado]],PAA[[#All],[RCP-RUBRO]],PAA[[#All],[Actividad3]],VLOOKUP(COMPROMISOS_2025[[#This Row],[Indicador Principal]],$AC$2:$AD$17,2,0),0),"")</f>
        <v/>
      </c>
    </row>
    <row r="1516" spans="1:25" hidden="1" x14ac:dyDescent="0.25">
      <c r="A1516">
        <v>1010</v>
      </c>
      <c r="B1516" t="s">
        <v>4164</v>
      </c>
      <c r="C1516" t="s">
        <v>1936</v>
      </c>
      <c r="D1516" t="s">
        <v>4165</v>
      </c>
      <c r="F1516">
        <v>359</v>
      </c>
      <c r="G1516">
        <v>65</v>
      </c>
      <c r="H1516" t="s">
        <v>662</v>
      </c>
      <c r="I1516" t="s">
        <v>2271</v>
      </c>
      <c r="J1516">
        <v>1300000</v>
      </c>
      <c r="K1516">
        <v>2025</v>
      </c>
      <c r="L1516">
        <v>1027942953</v>
      </c>
      <c r="M1516" t="s">
        <v>4043</v>
      </c>
      <c r="N1516" t="s">
        <v>1688</v>
      </c>
      <c r="O1516" t="s">
        <v>1686</v>
      </c>
      <c r="P1516">
        <v>0</v>
      </c>
      <c r="Q1516">
        <v>1300000</v>
      </c>
      <c r="R1516">
        <v>0</v>
      </c>
      <c r="S1516">
        <v>0</v>
      </c>
      <c r="T1516" t="str">
        <f t="shared" si="46"/>
        <v>10102.43.4302.85.0-205128.2.3.3.08.06.</v>
      </c>
      <c r="U1516" t="e" cm="1">
        <f t="array" aca="1" ref="U1516" ca="1">+IF(COMPROMISOS_2025[[#This Row],[P]]="20","41080111",_xlfn.XLOOKUP(COMPROMISOS_2025[[#This Row],[concatenado]],PAA[[#All],[RCP-RUBRO]],PAA[[#All],[INDICADOR]],"",0))</f>
        <v>#NAME?</v>
      </c>
      <c r="V1516" s="144" t="str">
        <f t="shared" si="47"/>
        <v>85</v>
      </c>
      <c r="W1516" s="136">
        <f>+COMPROMISOS_2025[[#This Row],[valor_total]]-COMPROMISOS_2025[[#This Row],[total_cancelado]]</f>
        <v>1300000</v>
      </c>
      <c r="X1516" s="136">
        <f>COMPROMISOS_2025[[#This Row],[total_ordenes]]</f>
        <v>1300000</v>
      </c>
      <c r="Y1516" t="str" cm="1">
        <f t="array" aca="1" ref="Y1516" ca="1">IFERROR(_xlfn.XLOOKUP(COMPROMISOS_2025[[#This Row],[concatenado]],PAA[[#All],[RCP-RUBRO]],PAA[[#All],[Actividad3]],VLOOKUP(COMPROMISOS_2025[[#This Row],[Indicador Principal]],$AC$2:$AD$17,2,0),0),"")</f>
        <v/>
      </c>
    </row>
    <row r="1517" spans="1:25" hidden="1" x14ac:dyDescent="0.25">
      <c r="A1517">
        <v>1011</v>
      </c>
      <c r="B1517" t="s">
        <v>4164</v>
      </c>
      <c r="C1517" t="s">
        <v>1936</v>
      </c>
      <c r="D1517" t="s">
        <v>4165</v>
      </c>
      <c r="F1517">
        <v>359</v>
      </c>
      <c r="G1517">
        <v>65</v>
      </c>
      <c r="H1517" t="s">
        <v>662</v>
      </c>
      <c r="I1517" t="s">
        <v>2271</v>
      </c>
      <c r="J1517">
        <v>500000</v>
      </c>
      <c r="K1517">
        <v>2025</v>
      </c>
      <c r="L1517">
        <v>1027943559</v>
      </c>
      <c r="M1517" t="s">
        <v>4044</v>
      </c>
      <c r="N1517" t="s">
        <v>1688</v>
      </c>
      <c r="O1517" t="s">
        <v>1686</v>
      </c>
      <c r="P1517">
        <v>0</v>
      </c>
      <c r="Q1517">
        <v>500000</v>
      </c>
      <c r="R1517">
        <v>0</v>
      </c>
      <c r="S1517">
        <v>0</v>
      </c>
      <c r="T1517" t="str">
        <f t="shared" si="46"/>
        <v>10112.43.4302.85.0-205128.2.3.3.08.06.</v>
      </c>
      <c r="U1517" t="e" cm="1">
        <f t="array" aca="1" ref="U1517" ca="1">+IF(COMPROMISOS_2025[[#This Row],[P]]="20","41080111",_xlfn.XLOOKUP(COMPROMISOS_2025[[#This Row],[concatenado]],PAA[[#All],[RCP-RUBRO]],PAA[[#All],[INDICADOR]],"",0))</f>
        <v>#NAME?</v>
      </c>
      <c r="V1517" s="144" t="str">
        <f t="shared" si="47"/>
        <v>85</v>
      </c>
      <c r="W1517" s="136">
        <f>+COMPROMISOS_2025[[#This Row],[valor_total]]-COMPROMISOS_2025[[#This Row],[total_cancelado]]</f>
        <v>500000</v>
      </c>
      <c r="X1517" s="136">
        <f>COMPROMISOS_2025[[#This Row],[total_ordenes]]</f>
        <v>500000</v>
      </c>
      <c r="Y1517" t="str" cm="1">
        <f t="array" aca="1" ref="Y1517" ca="1">IFERROR(_xlfn.XLOOKUP(COMPROMISOS_2025[[#This Row],[concatenado]],PAA[[#All],[RCP-RUBRO]],PAA[[#All],[Actividad3]],VLOOKUP(COMPROMISOS_2025[[#This Row],[Indicador Principal]],$AC$2:$AD$17,2,0),0),"")</f>
        <v/>
      </c>
    </row>
    <row r="1518" spans="1:25" hidden="1" x14ac:dyDescent="0.25">
      <c r="A1518">
        <v>1012</v>
      </c>
      <c r="B1518" t="s">
        <v>4164</v>
      </c>
      <c r="C1518" t="s">
        <v>1936</v>
      </c>
      <c r="D1518" t="s">
        <v>4165</v>
      </c>
      <c r="F1518">
        <v>359</v>
      </c>
      <c r="G1518">
        <v>65</v>
      </c>
      <c r="H1518" t="s">
        <v>662</v>
      </c>
      <c r="I1518" t="s">
        <v>2271</v>
      </c>
      <c r="J1518">
        <v>500000</v>
      </c>
      <c r="K1518">
        <v>2025</v>
      </c>
      <c r="L1518">
        <v>1027944653</v>
      </c>
      <c r="M1518" t="s">
        <v>4045</v>
      </c>
      <c r="N1518" t="s">
        <v>1688</v>
      </c>
      <c r="O1518" t="s">
        <v>1686</v>
      </c>
      <c r="P1518">
        <v>0</v>
      </c>
      <c r="Q1518">
        <v>500000</v>
      </c>
      <c r="R1518">
        <v>0</v>
      </c>
      <c r="S1518">
        <v>0</v>
      </c>
      <c r="T1518" t="str">
        <f t="shared" si="46"/>
        <v>10122.43.4302.85.0-205128.2.3.3.08.06.</v>
      </c>
      <c r="U1518" t="e" cm="1">
        <f t="array" aca="1" ref="U1518" ca="1">+IF(COMPROMISOS_2025[[#This Row],[P]]="20","41080111",_xlfn.XLOOKUP(COMPROMISOS_2025[[#This Row],[concatenado]],PAA[[#All],[RCP-RUBRO]],PAA[[#All],[INDICADOR]],"",0))</f>
        <v>#NAME?</v>
      </c>
      <c r="V1518" s="144" t="str">
        <f t="shared" si="47"/>
        <v>85</v>
      </c>
      <c r="W1518" s="136">
        <f>+COMPROMISOS_2025[[#This Row],[valor_total]]-COMPROMISOS_2025[[#This Row],[total_cancelado]]</f>
        <v>500000</v>
      </c>
      <c r="X1518" s="136">
        <f>COMPROMISOS_2025[[#This Row],[total_ordenes]]</f>
        <v>500000</v>
      </c>
      <c r="Y1518" t="str" cm="1">
        <f t="array" aca="1" ref="Y1518" ca="1">IFERROR(_xlfn.XLOOKUP(COMPROMISOS_2025[[#This Row],[concatenado]],PAA[[#All],[RCP-RUBRO]],PAA[[#All],[Actividad3]],VLOOKUP(COMPROMISOS_2025[[#This Row],[Indicador Principal]],$AC$2:$AD$17,2,0),0),"")</f>
        <v/>
      </c>
    </row>
    <row r="1519" spans="1:25" hidden="1" x14ac:dyDescent="0.25">
      <c r="A1519">
        <v>1013</v>
      </c>
      <c r="B1519" t="s">
        <v>4164</v>
      </c>
      <c r="C1519" t="s">
        <v>1936</v>
      </c>
      <c r="D1519" t="s">
        <v>4165</v>
      </c>
      <c r="F1519">
        <v>359</v>
      </c>
      <c r="G1519">
        <v>65</v>
      </c>
      <c r="H1519" t="s">
        <v>662</v>
      </c>
      <c r="I1519" t="s">
        <v>2271</v>
      </c>
      <c r="J1519">
        <v>1300000</v>
      </c>
      <c r="K1519">
        <v>2025</v>
      </c>
      <c r="L1519">
        <v>1027946487</v>
      </c>
      <c r="M1519" t="s">
        <v>3713</v>
      </c>
      <c r="N1519" t="s">
        <v>1688</v>
      </c>
      <c r="O1519" t="s">
        <v>1686</v>
      </c>
      <c r="P1519">
        <v>0</v>
      </c>
      <c r="Q1519">
        <v>1300000</v>
      </c>
      <c r="R1519">
        <v>0</v>
      </c>
      <c r="S1519">
        <v>0</v>
      </c>
      <c r="T1519" t="str">
        <f t="shared" si="46"/>
        <v>10132.43.4302.85.0-205128.2.3.3.08.06.</v>
      </c>
      <c r="U1519" t="e" cm="1">
        <f t="array" aca="1" ref="U1519" ca="1">+IF(COMPROMISOS_2025[[#This Row],[P]]="20","41080111",_xlfn.XLOOKUP(COMPROMISOS_2025[[#This Row],[concatenado]],PAA[[#All],[RCP-RUBRO]],PAA[[#All],[INDICADOR]],"",0))</f>
        <v>#NAME?</v>
      </c>
      <c r="V1519" s="144" t="str">
        <f t="shared" si="47"/>
        <v>85</v>
      </c>
      <c r="W1519" s="136">
        <f>+COMPROMISOS_2025[[#This Row],[valor_total]]-COMPROMISOS_2025[[#This Row],[total_cancelado]]</f>
        <v>1300000</v>
      </c>
      <c r="X1519" s="136">
        <f>COMPROMISOS_2025[[#This Row],[total_ordenes]]</f>
        <v>1300000</v>
      </c>
      <c r="Y1519" t="str" cm="1">
        <f t="array" aca="1" ref="Y1519" ca="1">IFERROR(_xlfn.XLOOKUP(COMPROMISOS_2025[[#This Row],[concatenado]],PAA[[#All],[RCP-RUBRO]],PAA[[#All],[Actividad3]],VLOOKUP(COMPROMISOS_2025[[#This Row],[Indicador Principal]],$AC$2:$AD$17,2,0),0),"")</f>
        <v/>
      </c>
    </row>
    <row r="1520" spans="1:25" hidden="1" x14ac:dyDescent="0.25">
      <c r="A1520">
        <v>1014</v>
      </c>
      <c r="B1520" t="s">
        <v>4164</v>
      </c>
      <c r="C1520" t="s">
        <v>1936</v>
      </c>
      <c r="D1520" t="s">
        <v>4165</v>
      </c>
      <c r="F1520">
        <v>359</v>
      </c>
      <c r="G1520">
        <v>65</v>
      </c>
      <c r="H1520" t="s">
        <v>662</v>
      </c>
      <c r="I1520" t="s">
        <v>2271</v>
      </c>
      <c r="J1520">
        <v>1300000</v>
      </c>
      <c r="K1520">
        <v>2025</v>
      </c>
      <c r="L1520">
        <v>1027947439</v>
      </c>
      <c r="M1520" t="s">
        <v>3714</v>
      </c>
      <c r="N1520" t="s">
        <v>1688</v>
      </c>
      <c r="O1520" t="s">
        <v>1686</v>
      </c>
      <c r="P1520">
        <v>0</v>
      </c>
      <c r="Q1520">
        <v>1300000</v>
      </c>
      <c r="R1520">
        <v>0</v>
      </c>
      <c r="S1520">
        <v>0</v>
      </c>
      <c r="T1520" t="str">
        <f t="shared" si="46"/>
        <v>10142.43.4302.85.0-205128.2.3.3.08.06.</v>
      </c>
      <c r="U1520" t="e" cm="1">
        <f t="array" aca="1" ref="U1520" ca="1">+IF(COMPROMISOS_2025[[#This Row],[P]]="20","41080111",_xlfn.XLOOKUP(COMPROMISOS_2025[[#This Row],[concatenado]],PAA[[#All],[RCP-RUBRO]],PAA[[#All],[INDICADOR]],"",0))</f>
        <v>#NAME?</v>
      </c>
      <c r="V1520" s="144" t="str">
        <f t="shared" si="47"/>
        <v>85</v>
      </c>
      <c r="W1520" s="136">
        <f>+COMPROMISOS_2025[[#This Row],[valor_total]]-COMPROMISOS_2025[[#This Row],[total_cancelado]]</f>
        <v>1300000</v>
      </c>
      <c r="X1520" s="136">
        <f>COMPROMISOS_2025[[#This Row],[total_ordenes]]</f>
        <v>1300000</v>
      </c>
      <c r="Y1520" t="str" cm="1">
        <f t="array" aca="1" ref="Y1520" ca="1">IFERROR(_xlfn.XLOOKUP(COMPROMISOS_2025[[#This Row],[concatenado]],PAA[[#All],[RCP-RUBRO]],PAA[[#All],[Actividad3]],VLOOKUP(COMPROMISOS_2025[[#This Row],[Indicador Principal]],$AC$2:$AD$17,2,0),0),"")</f>
        <v/>
      </c>
    </row>
    <row r="1521" spans="1:25" hidden="1" x14ac:dyDescent="0.25">
      <c r="A1521">
        <v>1015</v>
      </c>
      <c r="B1521" t="s">
        <v>4164</v>
      </c>
      <c r="C1521" t="s">
        <v>1936</v>
      </c>
      <c r="D1521" t="s">
        <v>4165</v>
      </c>
      <c r="F1521">
        <v>359</v>
      </c>
      <c r="G1521">
        <v>65</v>
      </c>
      <c r="H1521" t="s">
        <v>662</v>
      </c>
      <c r="I1521" t="s">
        <v>2271</v>
      </c>
      <c r="J1521">
        <v>1300000</v>
      </c>
      <c r="K1521">
        <v>2025</v>
      </c>
      <c r="L1521">
        <v>1027948308</v>
      </c>
      <c r="M1521" t="s">
        <v>3715</v>
      </c>
      <c r="N1521" t="s">
        <v>1688</v>
      </c>
      <c r="O1521" t="s">
        <v>1686</v>
      </c>
      <c r="P1521">
        <v>0</v>
      </c>
      <c r="Q1521">
        <v>1300000</v>
      </c>
      <c r="R1521">
        <v>0</v>
      </c>
      <c r="S1521">
        <v>0</v>
      </c>
      <c r="T1521" t="str">
        <f t="shared" si="46"/>
        <v>10152.43.4302.85.0-205128.2.3.3.08.06.</v>
      </c>
      <c r="U1521" t="e" cm="1">
        <f t="array" aca="1" ref="U1521" ca="1">+IF(COMPROMISOS_2025[[#This Row],[P]]="20","41080111",_xlfn.XLOOKUP(COMPROMISOS_2025[[#This Row],[concatenado]],PAA[[#All],[RCP-RUBRO]],PAA[[#All],[INDICADOR]],"",0))</f>
        <v>#NAME?</v>
      </c>
      <c r="V1521" s="144" t="str">
        <f t="shared" si="47"/>
        <v>85</v>
      </c>
      <c r="W1521" s="136">
        <f>+COMPROMISOS_2025[[#This Row],[valor_total]]-COMPROMISOS_2025[[#This Row],[total_cancelado]]</f>
        <v>1300000</v>
      </c>
      <c r="X1521" s="136">
        <f>COMPROMISOS_2025[[#This Row],[total_ordenes]]</f>
        <v>1300000</v>
      </c>
      <c r="Y1521" t="str" cm="1">
        <f t="array" aca="1" ref="Y1521" ca="1">IFERROR(_xlfn.XLOOKUP(COMPROMISOS_2025[[#This Row],[concatenado]],PAA[[#All],[RCP-RUBRO]],PAA[[#All],[Actividad3]],VLOOKUP(COMPROMISOS_2025[[#This Row],[Indicador Principal]],$AC$2:$AD$17,2,0),0),"")</f>
        <v/>
      </c>
    </row>
    <row r="1522" spans="1:25" hidden="1" x14ac:dyDescent="0.25">
      <c r="A1522">
        <v>1016</v>
      </c>
      <c r="B1522" t="s">
        <v>4164</v>
      </c>
      <c r="C1522" t="s">
        <v>1936</v>
      </c>
      <c r="D1522" t="s">
        <v>4165</v>
      </c>
      <c r="F1522">
        <v>359</v>
      </c>
      <c r="G1522">
        <v>65</v>
      </c>
      <c r="H1522" t="s">
        <v>662</v>
      </c>
      <c r="I1522" t="s">
        <v>2271</v>
      </c>
      <c r="J1522">
        <v>1300000</v>
      </c>
      <c r="K1522">
        <v>2025</v>
      </c>
      <c r="L1522">
        <v>1027949081</v>
      </c>
      <c r="M1522" t="s">
        <v>4046</v>
      </c>
      <c r="N1522" t="s">
        <v>1688</v>
      </c>
      <c r="O1522" t="s">
        <v>1686</v>
      </c>
      <c r="P1522">
        <v>0</v>
      </c>
      <c r="Q1522">
        <v>1300000</v>
      </c>
      <c r="R1522">
        <v>0</v>
      </c>
      <c r="S1522">
        <v>0</v>
      </c>
      <c r="T1522" t="str">
        <f t="shared" si="46"/>
        <v>10162.43.4302.85.0-205128.2.3.3.08.06.</v>
      </c>
      <c r="U1522" t="e" cm="1">
        <f t="array" aca="1" ref="U1522" ca="1">+IF(COMPROMISOS_2025[[#This Row],[P]]="20","41080111",_xlfn.XLOOKUP(COMPROMISOS_2025[[#This Row],[concatenado]],PAA[[#All],[RCP-RUBRO]],PAA[[#All],[INDICADOR]],"",0))</f>
        <v>#NAME?</v>
      </c>
      <c r="V1522" s="144" t="str">
        <f t="shared" si="47"/>
        <v>85</v>
      </c>
      <c r="W1522" s="136">
        <f>+COMPROMISOS_2025[[#This Row],[valor_total]]-COMPROMISOS_2025[[#This Row],[total_cancelado]]</f>
        <v>1300000</v>
      </c>
      <c r="X1522" s="136">
        <f>COMPROMISOS_2025[[#This Row],[total_ordenes]]</f>
        <v>1300000</v>
      </c>
      <c r="Y1522" t="str" cm="1">
        <f t="array" aca="1" ref="Y1522" ca="1">IFERROR(_xlfn.XLOOKUP(COMPROMISOS_2025[[#This Row],[concatenado]],PAA[[#All],[RCP-RUBRO]],PAA[[#All],[Actividad3]],VLOOKUP(COMPROMISOS_2025[[#This Row],[Indicador Principal]],$AC$2:$AD$17,2,0),0),"")</f>
        <v/>
      </c>
    </row>
    <row r="1523" spans="1:25" hidden="1" x14ac:dyDescent="0.25">
      <c r="A1523">
        <v>1017</v>
      </c>
      <c r="B1523" t="s">
        <v>4164</v>
      </c>
      <c r="C1523" t="s">
        <v>1936</v>
      </c>
      <c r="D1523" t="s">
        <v>4165</v>
      </c>
      <c r="F1523">
        <v>359</v>
      </c>
      <c r="G1523">
        <v>65</v>
      </c>
      <c r="H1523" t="s">
        <v>662</v>
      </c>
      <c r="I1523" t="s">
        <v>2271</v>
      </c>
      <c r="J1523">
        <v>1300000</v>
      </c>
      <c r="K1523">
        <v>2025</v>
      </c>
      <c r="L1523">
        <v>1027949936</v>
      </c>
      <c r="M1523" t="s">
        <v>4047</v>
      </c>
      <c r="N1523" t="s">
        <v>1688</v>
      </c>
      <c r="O1523" t="s">
        <v>1686</v>
      </c>
      <c r="P1523">
        <v>0</v>
      </c>
      <c r="Q1523">
        <v>1300000</v>
      </c>
      <c r="R1523">
        <v>0</v>
      </c>
      <c r="S1523">
        <v>0</v>
      </c>
      <c r="T1523" t="str">
        <f t="shared" si="46"/>
        <v>10172.43.4302.85.0-205128.2.3.3.08.06.</v>
      </c>
      <c r="U1523" t="e" cm="1">
        <f t="array" aca="1" ref="U1523" ca="1">+IF(COMPROMISOS_2025[[#This Row],[P]]="20","41080111",_xlfn.XLOOKUP(COMPROMISOS_2025[[#This Row],[concatenado]],PAA[[#All],[RCP-RUBRO]],PAA[[#All],[INDICADOR]],"",0))</f>
        <v>#NAME?</v>
      </c>
      <c r="V1523" s="144" t="str">
        <f t="shared" si="47"/>
        <v>85</v>
      </c>
      <c r="W1523" s="136">
        <f>+COMPROMISOS_2025[[#This Row],[valor_total]]-COMPROMISOS_2025[[#This Row],[total_cancelado]]</f>
        <v>1300000</v>
      </c>
      <c r="X1523" s="136">
        <f>COMPROMISOS_2025[[#This Row],[total_ordenes]]</f>
        <v>1300000</v>
      </c>
      <c r="Y1523" t="str" cm="1">
        <f t="array" aca="1" ref="Y1523" ca="1">IFERROR(_xlfn.XLOOKUP(COMPROMISOS_2025[[#This Row],[concatenado]],PAA[[#All],[RCP-RUBRO]],PAA[[#All],[Actividad3]],VLOOKUP(COMPROMISOS_2025[[#This Row],[Indicador Principal]],$AC$2:$AD$17,2,0),0),"")</f>
        <v/>
      </c>
    </row>
    <row r="1524" spans="1:25" hidden="1" x14ac:dyDescent="0.25">
      <c r="A1524">
        <v>1018</v>
      </c>
      <c r="B1524" t="s">
        <v>4164</v>
      </c>
      <c r="C1524" t="s">
        <v>1936</v>
      </c>
      <c r="D1524" t="s">
        <v>4165</v>
      </c>
      <c r="F1524">
        <v>359</v>
      </c>
      <c r="G1524">
        <v>65</v>
      </c>
      <c r="H1524" t="s">
        <v>662</v>
      </c>
      <c r="I1524" t="s">
        <v>2271</v>
      </c>
      <c r="J1524">
        <v>1300000</v>
      </c>
      <c r="K1524">
        <v>2025</v>
      </c>
      <c r="L1524">
        <v>1027950756</v>
      </c>
      <c r="M1524" t="s">
        <v>4048</v>
      </c>
      <c r="N1524" t="s">
        <v>1688</v>
      </c>
      <c r="O1524" t="s">
        <v>1686</v>
      </c>
      <c r="P1524">
        <v>0</v>
      </c>
      <c r="Q1524">
        <v>1300000</v>
      </c>
      <c r="R1524">
        <v>0</v>
      </c>
      <c r="S1524">
        <v>0</v>
      </c>
      <c r="T1524" t="str">
        <f t="shared" si="46"/>
        <v>10182.43.4302.85.0-205128.2.3.3.08.06.</v>
      </c>
      <c r="U1524" t="e" cm="1">
        <f t="array" aca="1" ref="U1524" ca="1">+IF(COMPROMISOS_2025[[#This Row],[P]]="20","41080111",_xlfn.XLOOKUP(COMPROMISOS_2025[[#This Row],[concatenado]],PAA[[#All],[RCP-RUBRO]],PAA[[#All],[INDICADOR]],"",0))</f>
        <v>#NAME?</v>
      </c>
      <c r="V1524" s="144" t="str">
        <f t="shared" si="47"/>
        <v>85</v>
      </c>
      <c r="W1524" s="136">
        <f>+COMPROMISOS_2025[[#This Row],[valor_total]]-COMPROMISOS_2025[[#This Row],[total_cancelado]]</f>
        <v>1300000</v>
      </c>
      <c r="X1524" s="136">
        <f>COMPROMISOS_2025[[#This Row],[total_ordenes]]</f>
        <v>1300000</v>
      </c>
      <c r="Y1524" t="str" cm="1">
        <f t="array" aca="1" ref="Y1524" ca="1">IFERROR(_xlfn.XLOOKUP(COMPROMISOS_2025[[#This Row],[concatenado]],PAA[[#All],[RCP-RUBRO]],PAA[[#All],[Actividad3]],VLOOKUP(COMPROMISOS_2025[[#This Row],[Indicador Principal]],$AC$2:$AD$17,2,0),0),"")</f>
        <v/>
      </c>
    </row>
    <row r="1525" spans="1:25" hidden="1" x14ac:dyDescent="0.25">
      <c r="A1525">
        <v>1019</v>
      </c>
      <c r="B1525" t="s">
        <v>4164</v>
      </c>
      <c r="C1525" t="s">
        <v>1936</v>
      </c>
      <c r="D1525" t="s">
        <v>4165</v>
      </c>
      <c r="F1525">
        <v>359</v>
      </c>
      <c r="G1525">
        <v>65</v>
      </c>
      <c r="H1525" t="s">
        <v>662</v>
      </c>
      <c r="I1525" t="s">
        <v>2271</v>
      </c>
      <c r="J1525">
        <v>1300000</v>
      </c>
      <c r="K1525">
        <v>2025</v>
      </c>
      <c r="L1525">
        <v>1027951989</v>
      </c>
      <c r="M1525" t="s">
        <v>3719</v>
      </c>
      <c r="N1525" t="s">
        <v>1688</v>
      </c>
      <c r="O1525" t="s">
        <v>1686</v>
      </c>
      <c r="P1525">
        <v>0</v>
      </c>
      <c r="Q1525">
        <v>1300000</v>
      </c>
      <c r="R1525">
        <v>0</v>
      </c>
      <c r="S1525">
        <v>0</v>
      </c>
      <c r="T1525" t="str">
        <f t="shared" si="46"/>
        <v>10192.43.4302.85.0-205128.2.3.3.08.06.</v>
      </c>
      <c r="U1525" t="e" cm="1">
        <f t="array" aca="1" ref="U1525" ca="1">+IF(COMPROMISOS_2025[[#This Row],[P]]="20","41080111",_xlfn.XLOOKUP(COMPROMISOS_2025[[#This Row],[concatenado]],PAA[[#All],[RCP-RUBRO]],PAA[[#All],[INDICADOR]],"",0))</f>
        <v>#NAME?</v>
      </c>
      <c r="V1525" s="144" t="str">
        <f t="shared" si="47"/>
        <v>85</v>
      </c>
      <c r="W1525" s="136">
        <f>+COMPROMISOS_2025[[#This Row],[valor_total]]-COMPROMISOS_2025[[#This Row],[total_cancelado]]</f>
        <v>1300000</v>
      </c>
      <c r="X1525" s="136">
        <f>COMPROMISOS_2025[[#This Row],[total_ordenes]]</f>
        <v>1300000</v>
      </c>
      <c r="Y1525" t="str" cm="1">
        <f t="array" aca="1" ref="Y1525" ca="1">IFERROR(_xlfn.XLOOKUP(COMPROMISOS_2025[[#This Row],[concatenado]],PAA[[#All],[RCP-RUBRO]],PAA[[#All],[Actividad3]],VLOOKUP(COMPROMISOS_2025[[#This Row],[Indicador Principal]],$AC$2:$AD$17,2,0),0),"")</f>
        <v/>
      </c>
    </row>
    <row r="1526" spans="1:25" hidden="1" x14ac:dyDescent="0.25">
      <c r="A1526">
        <v>1020</v>
      </c>
      <c r="B1526" t="s">
        <v>4164</v>
      </c>
      <c r="C1526" t="s">
        <v>1936</v>
      </c>
      <c r="D1526" t="s">
        <v>4165</v>
      </c>
      <c r="F1526">
        <v>359</v>
      </c>
      <c r="G1526">
        <v>65</v>
      </c>
      <c r="H1526" t="s">
        <v>662</v>
      </c>
      <c r="I1526" t="s">
        <v>2271</v>
      </c>
      <c r="J1526">
        <v>1300000</v>
      </c>
      <c r="K1526">
        <v>2025</v>
      </c>
      <c r="L1526">
        <v>1027952406</v>
      </c>
      <c r="M1526" t="s">
        <v>3720</v>
      </c>
      <c r="N1526" t="s">
        <v>1688</v>
      </c>
      <c r="O1526" t="s">
        <v>1686</v>
      </c>
      <c r="P1526">
        <v>0</v>
      </c>
      <c r="Q1526">
        <v>1300000</v>
      </c>
      <c r="R1526">
        <v>0</v>
      </c>
      <c r="S1526">
        <v>0</v>
      </c>
      <c r="T1526" t="str">
        <f t="shared" si="46"/>
        <v>10202.43.4302.85.0-205128.2.3.3.08.06.</v>
      </c>
      <c r="U1526" t="e" cm="1">
        <f t="array" aca="1" ref="U1526" ca="1">+IF(COMPROMISOS_2025[[#This Row],[P]]="20","41080111",_xlfn.XLOOKUP(COMPROMISOS_2025[[#This Row],[concatenado]],PAA[[#All],[RCP-RUBRO]],PAA[[#All],[INDICADOR]],"",0))</f>
        <v>#NAME?</v>
      </c>
      <c r="V1526" s="144" t="str">
        <f t="shared" si="47"/>
        <v>85</v>
      </c>
      <c r="W1526" s="136">
        <f>+COMPROMISOS_2025[[#This Row],[valor_total]]-COMPROMISOS_2025[[#This Row],[total_cancelado]]</f>
        <v>1300000</v>
      </c>
      <c r="X1526" s="136">
        <f>COMPROMISOS_2025[[#This Row],[total_ordenes]]</f>
        <v>1300000</v>
      </c>
      <c r="Y1526" t="str" cm="1">
        <f t="array" aca="1" ref="Y1526" ca="1">IFERROR(_xlfn.XLOOKUP(COMPROMISOS_2025[[#This Row],[concatenado]],PAA[[#All],[RCP-RUBRO]],PAA[[#All],[Actividad3]],VLOOKUP(COMPROMISOS_2025[[#This Row],[Indicador Principal]],$AC$2:$AD$17,2,0),0),"")</f>
        <v/>
      </c>
    </row>
    <row r="1527" spans="1:25" hidden="1" x14ac:dyDescent="0.25">
      <c r="A1527">
        <v>1021</v>
      </c>
      <c r="B1527" t="s">
        <v>4164</v>
      </c>
      <c r="C1527" t="s">
        <v>1936</v>
      </c>
      <c r="D1527" t="s">
        <v>4165</v>
      </c>
      <c r="F1527">
        <v>359</v>
      </c>
      <c r="G1527">
        <v>65</v>
      </c>
      <c r="H1527" t="s">
        <v>662</v>
      </c>
      <c r="I1527" t="s">
        <v>2271</v>
      </c>
      <c r="J1527">
        <v>500000</v>
      </c>
      <c r="K1527">
        <v>2025</v>
      </c>
      <c r="L1527">
        <v>1027953359</v>
      </c>
      <c r="M1527" t="s">
        <v>4173</v>
      </c>
      <c r="N1527" t="s">
        <v>1688</v>
      </c>
      <c r="O1527" t="s">
        <v>1686</v>
      </c>
      <c r="P1527">
        <v>0</v>
      </c>
      <c r="Q1527">
        <v>500000</v>
      </c>
      <c r="R1527">
        <v>0</v>
      </c>
      <c r="S1527">
        <v>0</v>
      </c>
      <c r="T1527" t="str">
        <f t="shared" si="46"/>
        <v>10212.43.4302.85.0-205128.2.3.3.08.06.</v>
      </c>
      <c r="U1527" t="e" cm="1">
        <f t="array" aca="1" ref="U1527" ca="1">+IF(COMPROMISOS_2025[[#This Row],[P]]="20","41080111",_xlfn.XLOOKUP(COMPROMISOS_2025[[#This Row],[concatenado]],PAA[[#All],[RCP-RUBRO]],PAA[[#All],[INDICADOR]],"",0))</f>
        <v>#NAME?</v>
      </c>
      <c r="V1527" s="144" t="str">
        <f t="shared" si="47"/>
        <v>85</v>
      </c>
      <c r="W1527" s="136">
        <f>+COMPROMISOS_2025[[#This Row],[valor_total]]-COMPROMISOS_2025[[#This Row],[total_cancelado]]</f>
        <v>500000</v>
      </c>
      <c r="X1527" s="136">
        <f>COMPROMISOS_2025[[#This Row],[total_ordenes]]</f>
        <v>500000</v>
      </c>
      <c r="Y1527" t="str" cm="1">
        <f t="array" aca="1" ref="Y1527" ca="1">IFERROR(_xlfn.XLOOKUP(COMPROMISOS_2025[[#This Row],[concatenado]],PAA[[#All],[RCP-RUBRO]],PAA[[#All],[Actividad3]],VLOOKUP(COMPROMISOS_2025[[#This Row],[Indicador Principal]],$AC$2:$AD$17,2,0),0),"")</f>
        <v/>
      </c>
    </row>
    <row r="1528" spans="1:25" hidden="1" x14ac:dyDescent="0.25">
      <c r="A1528">
        <v>1022</v>
      </c>
      <c r="B1528" t="s">
        <v>4164</v>
      </c>
      <c r="C1528" t="s">
        <v>1936</v>
      </c>
      <c r="D1528" t="s">
        <v>4165</v>
      </c>
      <c r="F1528">
        <v>359</v>
      </c>
      <c r="G1528">
        <v>65</v>
      </c>
      <c r="H1528" t="s">
        <v>662</v>
      </c>
      <c r="I1528" t="s">
        <v>2271</v>
      </c>
      <c r="J1528">
        <v>1300000</v>
      </c>
      <c r="K1528">
        <v>2025</v>
      </c>
      <c r="L1528">
        <v>1027955036</v>
      </c>
      <c r="M1528" t="s">
        <v>3722</v>
      </c>
      <c r="N1528" t="s">
        <v>1688</v>
      </c>
      <c r="O1528" t="s">
        <v>1686</v>
      </c>
      <c r="P1528">
        <v>0</v>
      </c>
      <c r="Q1528">
        <v>1300000</v>
      </c>
      <c r="R1528">
        <v>0</v>
      </c>
      <c r="S1528">
        <v>0</v>
      </c>
      <c r="T1528" t="str">
        <f t="shared" si="46"/>
        <v>10222.43.4302.85.0-205128.2.3.3.08.06.</v>
      </c>
      <c r="U1528" t="e" cm="1">
        <f t="array" aca="1" ref="U1528" ca="1">+IF(COMPROMISOS_2025[[#This Row],[P]]="20","41080111",_xlfn.XLOOKUP(COMPROMISOS_2025[[#This Row],[concatenado]],PAA[[#All],[RCP-RUBRO]],PAA[[#All],[INDICADOR]],"",0))</f>
        <v>#NAME?</v>
      </c>
      <c r="V1528" s="144" t="str">
        <f t="shared" si="47"/>
        <v>85</v>
      </c>
      <c r="W1528" s="136">
        <f>+COMPROMISOS_2025[[#This Row],[valor_total]]-COMPROMISOS_2025[[#This Row],[total_cancelado]]</f>
        <v>1300000</v>
      </c>
      <c r="X1528" s="136">
        <f>COMPROMISOS_2025[[#This Row],[total_ordenes]]</f>
        <v>1300000</v>
      </c>
      <c r="Y1528" t="str" cm="1">
        <f t="array" aca="1" ref="Y1528" ca="1">IFERROR(_xlfn.XLOOKUP(COMPROMISOS_2025[[#This Row],[concatenado]],PAA[[#All],[RCP-RUBRO]],PAA[[#All],[Actividad3]],VLOOKUP(COMPROMISOS_2025[[#This Row],[Indicador Principal]],$AC$2:$AD$17,2,0),0),"")</f>
        <v/>
      </c>
    </row>
    <row r="1529" spans="1:25" hidden="1" x14ac:dyDescent="0.25">
      <c r="A1529">
        <v>1023</v>
      </c>
      <c r="B1529" t="s">
        <v>4164</v>
      </c>
      <c r="C1529" t="s">
        <v>1936</v>
      </c>
      <c r="D1529" t="s">
        <v>4165</v>
      </c>
      <c r="F1529">
        <v>359</v>
      </c>
      <c r="G1529">
        <v>65</v>
      </c>
      <c r="H1529" t="s">
        <v>662</v>
      </c>
      <c r="I1529" t="s">
        <v>2271</v>
      </c>
      <c r="J1529">
        <v>1300000</v>
      </c>
      <c r="K1529">
        <v>2025</v>
      </c>
      <c r="L1529">
        <v>1027956059</v>
      </c>
      <c r="M1529" t="s">
        <v>3723</v>
      </c>
      <c r="N1529" t="s">
        <v>1688</v>
      </c>
      <c r="O1529" t="s">
        <v>1686</v>
      </c>
      <c r="P1529">
        <v>0</v>
      </c>
      <c r="Q1529">
        <v>1300000</v>
      </c>
      <c r="R1529">
        <v>0</v>
      </c>
      <c r="S1529">
        <v>0</v>
      </c>
      <c r="T1529" t="str">
        <f t="shared" si="46"/>
        <v>10232.43.4302.85.0-205128.2.3.3.08.06.</v>
      </c>
      <c r="U1529" t="e" cm="1">
        <f t="array" aca="1" ref="U1529" ca="1">+IF(COMPROMISOS_2025[[#This Row],[P]]="20","41080111",_xlfn.XLOOKUP(COMPROMISOS_2025[[#This Row],[concatenado]],PAA[[#All],[RCP-RUBRO]],PAA[[#All],[INDICADOR]],"",0))</f>
        <v>#NAME?</v>
      </c>
      <c r="V1529" s="144" t="str">
        <f t="shared" si="47"/>
        <v>85</v>
      </c>
      <c r="W1529" s="136">
        <f>+COMPROMISOS_2025[[#This Row],[valor_total]]-COMPROMISOS_2025[[#This Row],[total_cancelado]]</f>
        <v>1300000</v>
      </c>
      <c r="X1529" s="136">
        <f>COMPROMISOS_2025[[#This Row],[total_ordenes]]</f>
        <v>1300000</v>
      </c>
      <c r="Y1529" t="str" cm="1">
        <f t="array" aca="1" ref="Y1529" ca="1">IFERROR(_xlfn.XLOOKUP(COMPROMISOS_2025[[#This Row],[concatenado]],PAA[[#All],[RCP-RUBRO]],PAA[[#All],[Actividad3]],VLOOKUP(COMPROMISOS_2025[[#This Row],[Indicador Principal]],$AC$2:$AD$17,2,0),0),"")</f>
        <v/>
      </c>
    </row>
    <row r="1530" spans="1:25" hidden="1" x14ac:dyDescent="0.25">
      <c r="A1530">
        <v>1024</v>
      </c>
      <c r="B1530" t="s">
        <v>4164</v>
      </c>
      <c r="C1530" t="s">
        <v>1936</v>
      </c>
      <c r="D1530" t="s">
        <v>4165</v>
      </c>
      <c r="F1530">
        <v>359</v>
      </c>
      <c r="G1530">
        <v>65</v>
      </c>
      <c r="H1530" t="s">
        <v>662</v>
      </c>
      <c r="I1530" t="s">
        <v>2271</v>
      </c>
      <c r="J1530">
        <v>800000</v>
      </c>
      <c r="K1530">
        <v>2025</v>
      </c>
      <c r="L1530">
        <v>1027959863</v>
      </c>
      <c r="M1530" t="s">
        <v>4049</v>
      </c>
      <c r="N1530" t="s">
        <v>1688</v>
      </c>
      <c r="O1530" t="s">
        <v>1686</v>
      </c>
      <c r="P1530">
        <v>0</v>
      </c>
      <c r="Q1530">
        <v>800000</v>
      </c>
      <c r="R1530">
        <v>0</v>
      </c>
      <c r="S1530">
        <v>0</v>
      </c>
      <c r="T1530" t="str">
        <f t="shared" si="46"/>
        <v>10242.43.4302.85.0-205128.2.3.3.08.06.</v>
      </c>
      <c r="U1530" t="e" cm="1">
        <f t="array" aca="1" ref="U1530" ca="1">+IF(COMPROMISOS_2025[[#This Row],[P]]="20","41080111",_xlfn.XLOOKUP(COMPROMISOS_2025[[#This Row],[concatenado]],PAA[[#All],[RCP-RUBRO]],PAA[[#All],[INDICADOR]],"",0))</f>
        <v>#NAME?</v>
      </c>
      <c r="V1530" s="144" t="str">
        <f t="shared" si="47"/>
        <v>85</v>
      </c>
      <c r="W1530" s="136">
        <f>+COMPROMISOS_2025[[#This Row],[valor_total]]-COMPROMISOS_2025[[#This Row],[total_cancelado]]</f>
        <v>800000</v>
      </c>
      <c r="X1530" s="136">
        <f>COMPROMISOS_2025[[#This Row],[total_ordenes]]</f>
        <v>800000</v>
      </c>
      <c r="Y1530" t="str" cm="1">
        <f t="array" aca="1" ref="Y1530" ca="1">IFERROR(_xlfn.XLOOKUP(COMPROMISOS_2025[[#This Row],[concatenado]],PAA[[#All],[RCP-RUBRO]],PAA[[#All],[Actividad3]],VLOOKUP(COMPROMISOS_2025[[#This Row],[Indicador Principal]],$AC$2:$AD$17,2,0),0),"")</f>
        <v/>
      </c>
    </row>
    <row r="1531" spans="1:25" hidden="1" x14ac:dyDescent="0.25">
      <c r="A1531">
        <v>1025</v>
      </c>
      <c r="B1531" t="s">
        <v>4164</v>
      </c>
      <c r="C1531" t="s">
        <v>1936</v>
      </c>
      <c r="D1531" t="s">
        <v>4165</v>
      </c>
      <c r="F1531">
        <v>359</v>
      </c>
      <c r="G1531">
        <v>65</v>
      </c>
      <c r="H1531" t="s">
        <v>662</v>
      </c>
      <c r="I1531" t="s">
        <v>2271</v>
      </c>
      <c r="J1531">
        <v>500000</v>
      </c>
      <c r="K1531">
        <v>2025</v>
      </c>
      <c r="L1531">
        <v>1027963235</v>
      </c>
      <c r="M1531" t="s">
        <v>3725</v>
      </c>
      <c r="N1531" t="s">
        <v>1688</v>
      </c>
      <c r="O1531" t="s">
        <v>1686</v>
      </c>
      <c r="P1531">
        <v>0</v>
      </c>
      <c r="Q1531">
        <v>500000</v>
      </c>
      <c r="R1531">
        <v>0</v>
      </c>
      <c r="S1531">
        <v>0</v>
      </c>
      <c r="T1531" t="str">
        <f t="shared" si="46"/>
        <v>10252.43.4302.85.0-205128.2.3.3.08.06.</v>
      </c>
      <c r="U1531" t="e" cm="1">
        <f t="array" aca="1" ref="U1531" ca="1">+IF(COMPROMISOS_2025[[#This Row],[P]]="20","41080111",_xlfn.XLOOKUP(COMPROMISOS_2025[[#This Row],[concatenado]],PAA[[#All],[RCP-RUBRO]],PAA[[#All],[INDICADOR]],"",0))</f>
        <v>#NAME?</v>
      </c>
      <c r="V1531" s="144" t="str">
        <f t="shared" si="47"/>
        <v>85</v>
      </c>
      <c r="W1531" s="136">
        <f>+COMPROMISOS_2025[[#This Row],[valor_total]]-COMPROMISOS_2025[[#This Row],[total_cancelado]]</f>
        <v>500000</v>
      </c>
      <c r="X1531" s="136">
        <f>COMPROMISOS_2025[[#This Row],[total_ordenes]]</f>
        <v>500000</v>
      </c>
      <c r="Y1531" t="str" cm="1">
        <f t="array" aca="1" ref="Y1531" ca="1">IFERROR(_xlfn.XLOOKUP(COMPROMISOS_2025[[#This Row],[concatenado]],PAA[[#All],[RCP-RUBRO]],PAA[[#All],[Actividad3]],VLOOKUP(COMPROMISOS_2025[[#This Row],[Indicador Principal]],$AC$2:$AD$17,2,0),0),"")</f>
        <v/>
      </c>
    </row>
    <row r="1532" spans="1:25" hidden="1" x14ac:dyDescent="0.25">
      <c r="A1532">
        <v>1026</v>
      </c>
      <c r="B1532" t="s">
        <v>4164</v>
      </c>
      <c r="C1532" t="s">
        <v>1936</v>
      </c>
      <c r="D1532" t="s">
        <v>4165</v>
      </c>
      <c r="F1532">
        <v>359</v>
      </c>
      <c r="G1532">
        <v>65</v>
      </c>
      <c r="H1532" t="s">
        <v>662</v>
      </c>
      <c r="I1532" t="s">
        <v>2271</v>
      </c>
      <c r="J1532">
        <v>500000</v>
      </c>
      <c r="K1532">
        <v>2025</v>
      </c>
      <c r="L1532">
        <v>1028001738</v>
      </c>
      <c r="M1532" t="s">
        <v>4050</v>
      </c>
      <c r="N1532" t="s">
        <v>1688</v>
      </c>
      <c r="O1532" t="s">
        <v>1686</v>
      </c>
      <c r="P1532">
        <v>0</v>
      </c>
      <c r="Q1532">
        <v>500000</v>
      </c>
      <c r="R1532">
        <v>0</v>
      </c>
      <c r="S1532">
        <v>0</v>
      </c>
      <c r="T1532" t="str">
        <f t="shared" si="46"/>
        <v>10262.43.4302.85.0-205128.2.3.3.08.06.</v>
      </c>
      <c r="U1532" t="e" cm="1">
        <f t="array" aca="1" ref="U1532" ca="1">+IF(COMPROMISOS_2025[[#This Row],[P]]="20","41080111",_xlfn.XLOOKUP(COMPROMISOS_2025[[#This Row],[concatenado]],PAA[[#All],[RCP-RUBRO]],PAA[[#All],[INDICADOR]],"",0))</f>
        <v>#NAME?</v>
      </c>
      <c r="V1532" s="144" t="str">
        <f t="shared" si="47"/>
        <v>85</v>
      </c>
      <c r="W1532" s="136">
        <f>+COMPROMISOS_2025[[#This Row],[valor_total]]-COMPROMISOS_2025[[#This Row],[total_cancelado]]</f>
        <v>500000</v>
      </c>
      <c r="X1532" s="136">
        <f>COMPROMISOS_2025[[#This Row],[total_ordenes]]</f>
        <v>500000</v>
      </c>
      <c r="Y1532" t="str" cm="1">
        <f t="array" aca="1" ref="Y1532" ca="1">IFERROR(_xlfn.XLOOKUP(COMPROMISOS_2025[[#This Row],[concatenado]],PAA[[#All],[RCP-RUBRO]],PAA[[#All],[Actividad3]],VLOOKUP(COMPROMISOS_2025[[#This Row],[Indicador Principal]],$AC$2:$AD$17,2,0),0),"")</f>
        <v/>
      </c>
    </row>
    <row r="1533" spans="1:25" hidden="1" x14ac:dyDescent="0.25">
      <c r="A1533">
        <v>1027</v>
      </c>
      <c r="B1533" t="s">
        <v>4164</v>
      </c>
      <c r="C1533" t="s">
        <v>1936</v>
      </c>
      <c r="D1533" t="s">
        <v>4165</v>
      </c>
      <c r="F1533">
        <v>359</v>
      </c>
      <c r="G1533">
        <v>65</v>
      </c>
      <c r="H1533" t="s">
        <v>662</v>
      </c>
      <c r="I1533" t="s">
        <v>2271</v>
      </c>
      <c r="J1533">
        <v>800000</v>
      </c>
      <c r="K1533">
        <v>2025</v>
      </c>
      <c r="L1533">
        <v>10280137243</v>
      </c>
      <c r="M1533" t="s">
        <v>4051</v>
      </c>
      <c r="N1533" t="s">
        <v>1688</v>
      </c>
      <c r="O1533" t="s">
        <v>1686</v>
      </c>
      <c r="P1533">
        <v>0</v>
      </c>
      <c r="Q1533">
        <v>800000</v>
      </c>
      <c r="R1533">
        <v>0</v>
      </c>
      <c r="S1533">
        <v>0</v>
      </c>
      <c r="T1533" t="str">
        <f t="shared" si="46"/>
        <v>10272.43.4302.85.0-205128.2.3.3.08.06.</v>
      </c>
      <c r="U1533" t="e" cm="1">
        <f t="array" aca="1" ref="U1533" ca="1">+IF(COMPROMISOS_2025[[#This Row],[P]]="20","41080111",_xlfn.XLOOKUP(COMPROMISOS_2025[[#This Row],[concatenado]],PAA[[#All],[RCP-RUBRO]],PAA[[#All],[INDICADOR]],"",0))</f>
        <v>#NAME?</v>
      </c>
      <c r="V1533" s="144" t="str">
        <f t="shared" si="47"/>
        <v>85</v>
      </c>
      <c r="W1533" s="136">
        <f>+COMPROMISOS_2025[[#This Row],[valor_total]]-COMPROMISOS_2025[[#This Row],[total_cancelado]]</f>
        <v>800000</v>
      </c>
      <c r="X1533" s="136">
        <f>COMPROMISOS_2025[[#This Row],[total_ordenes]]</f>
        <v>800000</v>
      </c>
      <c r="Y1533" t="str" cm="1">
        <f t="array" aca="1" ref="Y1533" ca="1">IFERROR(_xlfn.XLOOKUP(COMPROMISOS_2025[[#This Row],[concatenado]],PAA[[#All],[RCP-RUBRO]],PAA[[#All],[Actividad3]],VLOOKUP(COMPROMISOS_2025[[#This Row],[Indicador Principal]],$AC$2:$AD$17,2,0),0),"")</f>
        <v/>
      </c>
    </row>
    <row r="1534" spans="1:25" hidden="1" x14ac:dyDescent="0.25">
      <c r="A1534">
        <v>1028</v>
      </c>
      <c r="B1534" t="s">
        <v>4164</v>
      </c>
      <c r="C1534" t="s">
        <v>1936</v>
      </c>
      <c r="D1534" t="s">
        <v>4165</v>
      </c>
      <c r="F1534">
        <v>359</v>
      </c>
      <c r="G1534">
        <v>65</v>
      </c>
      <c r="H1534" t="s">
        <v>662</v>
      </c>
      <c r="I1534" t="s">
        <v>2271</v>
      </c>
      <c r="J1534">
        <v>1300000</v>
      </c>
      <c r="K1534">
        <v>2025</v>
      </c>
      <c r="L1534">
        <v>1028038160</v>
      </c>
      <c r="M1534" t="s">
        <v>4052</v>
      </c>
      <c r="N1534" t="s">
        <v>1688</v>
      </c>
      <c r="O1534" t="s">
        <v>1686</v>
      </c>
      <c r="P1534">
        <v>0</v>
      </c>
      <c r="Q1534">
        <v>1300000</v>
      </c>
      <c r="R1534">
        <v>0</v>
      </c>
      <c r="S1534">
        <v>0</v>
      </c>
      <c r="T1534" t="str">
        <f t="shared" si="46"/>
        <v>10282.43.4302.85.0-205128.2.3.3.08.06.</v>
      </c>
      <c r="U1534" t="e" cm="1">
        <f t="array" aca="1" ref="U1534" ca="1">+IF(COMPROMISOS_2025[[#This Row],[P]]="20","41080111",_xlfn.XLOOKUP(COMPROMISOS_2025[[#This Row],[concatenado]],PAA[[#All],[RCP-RUBRO]],PAA[[#All],[INDICADOR]],"",0))</f>
        <v>#NAME?</v>
      </c>
      <c r="V1534" s="144" t="str">
        <f t="shared" si="47"/>
        <v>85</v>
      </c>
      <c r="W1534" s="136">
        <f>+COMPROMISOS_2025[[#This Row],[valor_total]]-COMPROMISOS_2025[[#This Row],[total_cancelado]]</f>
        <v>1300000</v>
      </c>
      <c r="X1534" s="136">
        <f>COMPROMISOS_2025[[#This Row],[total_ordenes]]</f>
        <v>1300000</v>
      </c>
      <c r="Y1534" t="str" cm="1">
        <f t="array" aca="1" ref="Y1534" ca="1">IFERROR(_xlfn.XLOOKUP(COMPROMISOS_2025[[#This Row],[concatenado]],PAA[[#All],[RCP-RUBRO]],PAA[[#All],[Actividad3]],VLOOKUP(COMPROMISOS_2025[[#This Row],[Indicador Principal]],$AC$2:$AD$17,2,0),0),"")</f>
        <v/>
      </c>
    </row>
    <row r="1535" spans="1:25" hidden="1" x14ac:dyDescent="0.25">
      <c r="A1535">
        <v>1029</v>
      </c>
      <c r="B1535" t="s">
        <v>4164</v>
      </c>
      <c r="C1535" t="s">
        <v>1936</v>
      </c>
      <c r="D1535" t="s">
        <v>4165</v>
      </c>
      <c r="F1535">
        <v>359</v>
      </c>
      <c r="G1535">
        <v>65</v>
      </c>
      <c r="H1535" t="s">
        <v>662</v>
      </c>
      <c r="I1535" t="s">
        <v>2271</v>
      </c>
      <c r="J1535">
        <v>1300000</v>
      </c>
      <c r="K1535">
        <v>2025</v>
      </c>
      <c r="L1535">
        <v>1029140649</v>
      </c>
      <c r="M1535" t="s">
        <v>4053</v>
      </c>
      <c r="N1535" t="s">
        <v>1688</v>
      </c>
      <c r="O1535" t="s">
        <v>1686</v>
      </c>
      <c r="P1535">
        <v>0</v>
      </c>
      <c r="Q1535">
        <v>1300000</v>
      </c>
      <c r="R1535">
        <v>0</v>
      </c>
      <c r="S1535">
        <v>0</v>
      </c>
      <c r="T1535" t="str">
        <f t="shared" si="46"/>
        <v>10292.43.4302.85.0-205128.2.3.3.08.06.</v>
      </c>
      <c r="U1535" t="e" cm="1">
        <f t="array" aca="1" ref="U1535" ca="1">+IF(COMPROMISOS_2025[[#This Row],[P]]="20","41080111",_xlfn.XLOOKUP(COMPROMISOS_2025[[#This Row],[concatenado]],PAA[[#All],[RCP-RUBRO]],PAA[[#All],[INDICADOR]],"",0))</f>
        <v>#NAME?</v>
      </c>
      <c r="V1535" s="144" t="str">
        <f t="shared" si="47"/>
        <v>85</v>
      </c>
      <c r="W1535" s="136">
        <f>+COMPROMISOS_2025[[#This Row],[valor_total]]-COMPROMISOS_2025[[#This Row],[total_cancelado]]</f>
        <v>1300000</v>
      </c>
      <c r="X1535" s="136">
        <f>COMPROMISOS_2025[[#This Row],[total_ordenes]]</f>
        <v>1300000</v>
      </c>
      <c r="Y1535" t="str" cm="1">
        <f t="array" aca="1" ref="Y1535" ca="1">IFERROR(_xlfn.XLOOKUP(COMPROMISOS_2025[[#This Row],[concatenado]],PAA[[#All],[RCP-RUBRO]],PAA[[#All],[Actividad3]],VLOOKUP(COMPROMISOS_2025[[#This Row],[Indicador Principal]],$AC$2:$AD$17,2,0),0),"")</f>
        <v/>
      </c>
    </row>
    <row r="1536" spans="1:25" hidden="1" x14ac:dyDescent="0.25">
      <c r="A1536">
        <v>1030</v>
      </c>
      <c r="B1536" t="s">
        <v>4164</v>
      </c>
      <c r="C1536" t="s">
        <v>1936</v>
      </c>
      <c r="D1536" t="s">
        <v>4165</v>
      </c>
      <c r="F1536">
        <v>359</v>
      </c>
      <c r="G1536">
        <v>65</v>
      </c>
      <c r="H1536" t="s">
        <v>662</v>
      </c>
      <c r="I1536" t="s">
        <v>2271</v>
      </c>
      <c r="J1536">
        <v>500000</v>
      </c>
      <c r="K1536">
        <v>2025</v>
      </c>
      <c r="L1536">
        <v>1029300329</v>
      </c>
      <c r="M1536" t="s">
        <v>3728</v>
      </c>
      <c r="N1536" t="s">
        <v>1688</v>
      </c>
      <c r="O1536" t="s">
        <v>1686</v>
      </c>
      <c r="P1536">
        <v>0</v>
      </c>
      <c r="Q1536">
        <v>500000</v>
      </c>
      <c r="R1536">
        <v>0</v>
      </c>
      <c r="S1536">
        <v>0</v>
      </c>
      <c r="T1536" t="str">
        <f t="shared" si="46"/>
        <v>10302.43.4302.85.0-205128.2.3.3.08.06.</v>
      </c>
      <c r="U1536" t="e" cm="1">
        <f t="array" aca="1" ref="U1536" ca="1">+IF(COMPROMISOS_2025[[#This Row],[P]]="20","41080111",_xlfn.XLOOKUP(COMPROMISOS_2025[[#This Row],[concatenado]],PAA[[#All],[RCP-RUBRO]],PAA[[#All],[INDICADOR]],"",0))</f>
        <v>#NAME?</v>
      </c>
      <c r="V1536" s="144" t="str">
        <f t="shared" si="47"/>
        <v>85</v>
      </c>
      <c r="W1536" s="136">
        <f>+COMPROMISOS_2025[[#This Row],[valor_total]]-COMPROMISOS_2025[[#This Row],[total_cancelado]]</f>
        <v>500000</v>
      </c>
      <c r="X1536" s="136">
        <f>COMPROMISOS_2025[[#This Row],[total_ordenes]]</f>
        <v>500000</v>
      </c>
      <c r="Y1536" t="str" cm="1">
        <f t="array" aca="1" ref="Y1536" ca="1">IFERROR(_xlfn.XLOOKUP(COMPROMISOS_2025[[#This Row],[concatenado]],PAA[[#All],[RCP-RUBRO]],PAA[[#All],[Actividad3]],VLOOKUP(COMPROMISOS_2025[[#This Row],[Indicador Principal]],$AC$2:$AD$17,2,0),0),"")</f>
        <v/>
      </c>
    </row>
    <row r="1537" spans="1:25" hidden="1" x14ac:dyDescent="0.25">
      <c r="A1537">
        <v>1031</v>
      </c>
      <c r="B1537" t="s">
        <v>4164</v>
      </c>
      <c r="C1537" t="s">
        <v>1936</v>
      </c>
      <c r="D1537" t="s">
        <v>4165</v>
      </c>
      <c r="F1537">
        <v>359</v>
      </c>
      <c r="G1537">
        <v>65</v>
      </c>
      <c r="H1537" t="s">
        <v>662</v>
      </c>
      <c r="I1537" t="s">
        <v>2271</v>
      </c>
      <c r="J1537">
        <v>500000</v>
      </c>
      <c r="K1537">
        <v>2025</v>
      </c>
      <c r="L1537">
        <v>1031650720</v>
      </c>
      <c r="M1537" t="s">
        <v>4054</v>
      </c>
      <c r="N1537" t="s">
        <v>1688</v>
      </c>
      <c r="O1537" t="s">
        <v>1686</v>
      </c>
      <c r="P1537">
        <v>0</v>
      </c>
      <c r="Q1537">
        <v>500000</v>
      </c>
      <c r="R1537">
        <v>0</v>
      </c>
      <c r="S1537">
        <v>0</v>
      </c>
      <c r="T1537" t="str">
        <f t="shared" si="46"/>
        <v>10312.43.4302.85.0-205128.2.3.3.08.06.</v>
      </c>
      <c r="U1537" t="e" cm="1">
        <f t="array" aca="1" ref="U1537" ca="1">+IF(COMPROMISOS_2025[[#This Row],[P]]="20","41080111",_xlfn.XLOOKUP(COMPROMISOS_2025[[#This Row],[concatenado]],PAA[[#All],[RCP-RUBRO]],PAA[[#All],[INDICADOR]],"",0))</f>
        <v>#NAME?</v>
      </c>
      <c r="V1537" s="144" t="str">
        <f t="shared" si="47"/>
        <v>85</v>
      </c>
      <c r="W1537" s="136">
        <f>+COMPROMISOS_2025[[#This Row],[valor_total]]-COMPROMISOS_2025[[#This Row],[total_cancelado]]</f>
        <v>500000</v>
      </c>
      <c r="X1537" s="136">
        <f>COMPROMISOS_2025[[#This Row],[total_ordenes]]</f>
        <v>500000</v>
      </c>
      <c r="Y1537" t="str" cm="1">
        <f t="array" aca="1" ref="Y1537" ca="1">IFERROR(_xlfn.XLOOKUP(COMPROMISOS_2025[[#This Row],[concatenado]],PAA[[#All],[RCP-RUBRO]],PAA[[#All],[Actividad3]],VLOOKUP(COMPROMISOS_2025[[#This Row],[Indicador Principal]],$AC$2:$AD$17,2,0),0),"")</f>
        <v/>
      </c>
    </row>
    <row r="1538" spans="1:25" hidden="1" x14ac:dyDescent="0.25">
      <c r="A1538">
        <v>1032</v>
      </c>
      <c r="B1538" t="s">
        <v>4164</v>
      </c>
      <c r="C1538" t="s">
        <v>1936</v>
      </c>
      <c r="D1538" t="s">
        <v>4165</v>
      </c>
      <c r="F1538">
        <v>359</v>
      </c>
      <c r="G1538">
        <v>65</v>
      </c>
      <c r="H1538" t="s">
        <v>662</v>
      </c>
      <c r="I1538" t="s">
        <v>2271</v>
      </c>
      <c r="J1538">
        <v>500000</v>
      </c>
      <c r="K1538">
        <v>2025</v>
      </c>
      <c r="L1538">
        <v>1032017528</v>
      </c>
      <c r="M1538" t="s">
        <v>3736</v>
      </c>
      <c r="N1538" t="s">
        <v>1688</v>
      </c>
      <c r="O1538" t="s">
        <v>1686</v>
      </c>
      <c r="P1538">
        <v>0</v>
      </c>
      <c r="Q1538">
        <v>500000</v>
      </c>
      <c r="R1538">
        <v>0</v>
      </c>
      <c r="S1538">
        <v>0</v>
      </c>
      <c r="T1538" t="str">
        <f t="shared" ref="T1538:T1601" si="48">IF(A1538&gt;=0,CONCATENATE(A1538,H1538),"")</f>
        <v>10322.43.4302.85.0-205128.2.3.3.08.06.</v>
      </c>
      <c r="U1538" t="e" cm="1">
        <f t="array" aca="1" ref="U1538" ca="1">+IF(COMPROMISOS_2025[[#This Row],[P]]="20","41080111",_xlfn.XLOOKUP(COMPROMISOS_2025[[#This Row],[concatenado]],PAA[[#All],[RCP-RUBRO]],PAA[[#All],[INDICADOR]],"",0))</f>
        <v>#NAME?</v>
      </c>
      <c r="V1538" s="144" t="str">
        <f t="shared" ref="V1538:V1601" si="49">+MID(H1538,11,2)</f>
        <v>85</v>
      </c>
      <c r="W1538" s="136">
        <f>+COMPROMISOS_2025[[#This Row],[valor_total]]-COMPROMISOS_2025[[#This Row],[total_cancelado]]</f>
        <v>500000</v>
      </c>
      <c r="X1538" s="136">
        <f>COMPROMISOS_2025[[#This Row],[total_ordenes]]</f>
        <v>500000</v>
      </c>
      <c r="Y1538" t="str" cm="1">
        <f t="array" aca="1" ref="Y1538" ca="1">IFERROR(_xlfn.XLOOKUP(COMPROMISOS_2025[[#This Row],[concatenado]],PAA[[#All],[RCP-RUBRO]],PAA[[#All],[Actividad3]],VLOOKUP(COMPROMISOS_2025[[#This Row],[Indicador Principal]],$AC$2:$AD$17,2,0),0),"")</f>
        <v/>
      </c>
    </row>
    <row r="1539" spans="1:25" hidden="1" x14ac:dyDescent="0.25">
      <c r="A1539">
        <v>1033</v>
      </c>
      <c r="B1539" t="s">
        <v>4164</v>
      </c>
      <c r="C1539" t="s">
        <v>1936</v>
      </c>
      <c r="D1539" t="s">
        <v>4165</v>
      </c>
      <c r="F1539">
        <v>359</v>
      </c>
      <c r="G1539">
        <v>65</v>
      </c>
      <c r="H1539" t="s">
        <v>662</v>
      </c>
      <c r="I1539" t="s">
        <v>2271</v>
      </c>
      <c r="J1539">
        <v>500000</v>
      </c>
      <c r="K1539">
        <v>2025</v>
      </c>
      <c r="L1539">
        <v>1032177898</v>
      </c>
      <c r="M1539" t="s">
        <v>4056</v>
      </c>
      <c r="N1539" t="s">
        <v>1688</v>
      </c>
      <c r="O1539" t="s">
        <v>1686</v>
      </c>
      <c r="P1539">
        <v>0</v>
      </c>
      <c r="Q1539">
        <v>500000</v>
      </c>
      <c r="R1539">
        <v>0</v>
      </c>
      <c r="S1539">
        <v>0</v>
      </c>
      <c r="T1539" t="str">
        <f t="shared" si="48"/>
        <v>10332.43.4302.85.0-205128.2.3.3.08.06.</v>
      </c>
      <c r="U1539" t="e" cm="1">
        <f t="array" aca="1" ref="U1539" ca="1">+IF(COMPROMISOS_2025[[#This Row],[P]]="20","41080111",_xlfn.XLOOKUP(COMPROMISOS_2025[[#This Row],[concatenado]],PAA[[#All],[RCP-RUBRO]],PAA[[#All],[INDICADOR]],"",0))</f>
        <v>#NAME?</v>
      </c>
      <c r="V1539" s="144" t="str">
        <f t="shared" si="49"/>
        <v>85</v>
      </c>
      <c r="W1539" s="136">
        <f>+COMPROMISOS_2025[[#This Row],[valor_total]]-COMPROMISOS_2025[[#This Row],[total_cancelado]]</f>
        <v>500000</v>
      </c>
      <c r="X1539" s="136">
        <f>COMPROMISOS_2025[[#This Row],[total_ordenes]]</f>
        <v>500000</v>
      </c>
      <c r="Y1539" t="str" cm="1">
        <f t="array" aca="1" ref="Y1539" ca="1">IFERROR(_xlfn.XLOOKUP(COMPROMISOS_2025[[#This Row],[concatenado]],PAA[[#All],[RCP-RUBRO]],PAA[[#All],[Actividad3]],VLOOKUP(COMPROMISOS_2025[[#This Row],[Indicador Principal]],$AC$2:$AD$17,2,0),0),"")</f>
        <v/>
      </c>
    </row>
    <row r="1540" spans="1:25" hidden="1" x14ac:dyDescent="0.25">
      <c r="A1540">
        <v>1034</v>
      </c>
      <c r="B1540" t="s">
        <v>4164</v>
      </c>
      <c r="C1540" t="s">
        <v>1936</v>
      </c>
      <c r="D1540" t="s">
        <v>4165</v>
      </c>
      <c r="F1540">
        <v>359</v>
      </c>
      <c r="G1540">
        <v>65</v>
      </c>
      <c r="H1540" t="s">
        <v>662</v>
      </c>
      <c r="I1540" t="s">
        <v>2271</v>
      </c>
      <c r="J1540">
        <v>1300000</v>
      </c>
      <c r="K1540">
        <v>2025</v>
      </c>
      <c r="L1540">
        <v>1032178455</v>
      </c>
      <c r="M1540" t="s">
        <v>4057</v>
      </c>
      <c r="N1540" t="s">
        <v>1688</v>
      </c>
      <c r="O1540" t="s">
        <v>1686</v>
      </c>
      <c r="P1540">
        <v>0</v>
      </c>
      <c r="Q1540">
        <v>1300000</v>
      </c>
      <c r="R1540">
        <v>0</v>
      </c>
      <c r="S1540">
        <v>0</v>
      </c>
      <c r="T1540" t="str">
        <f t="shared" si="48"/>
        <v>10342.43.4302.85.0-205128.2.3.3.08.06.</v>
      </c>
      <c r="U1540" t="e" cm="1">
        <f t="array" aca="1" ref="U1540" ca="1">+IF(COMPROMISOS_2025[[#This Row],[P]]="20","41080111",_xlfn.XLOOKUP(COMPROMISOS_2025[[#This Row],[concatenado]],PAA[[#All],[RCP-RUBRO]],PAA[[#All],[INDICADOR]],"",0))</f>
        <v>#NAME?</v>
      </c>
      <c r="V1540" s="144" t="str">
        <f t="shared" si="49"/>
        <v>85</v>
      </c>
      <c r="W1540" s="136">
        <f>+COMPROMISOS_2025[[#This Row],[valor_total]]-COMPROMISOS_2025[[#This Row],[total_cancelado]]</f>
        <v>1300000</v>
      </c>
      <c r="X1540" s="136">
        <f>COMPROMISOS_2025[[#This Row],[total_ordenes]]</f>
        <v>1300000</v>
      </c>
      <c r="Y1540" t="str" cm="1">
        <f t="array" aca="1" ref="Y1540" ca="1">IFERROR(_xlfn.XLOOKUP(COMPROMISOS_2025[[#This Row],[concatenado]],PAA[[#All],[RCP-RUBRO]],PAA[[#All],[Actividad3]],VLOOKUP(COMPROMISOS_2025[[#This Row],[Indicador Principal]],$AC$2:$AD$17,2,0),0),"")</f>
        <v/>
      </c>
    </row>
    <row r="1541" spans="1:25" hidden="1" x14ac:dyDescent="0.25">
      <c r="A1541">
        <v>1035</v>
      </c>
      <c r="B1541" t="s">
        <v>4164</v>
      </c>
      <c r="C1541" t="s">
        <v>1936</v>
      </c>
      <c r="D1541" t="s">
        <v>4165</v>
      </c>
      <c r="F1541">
        <v>359</v>
      </c>
      <c r="G1541">
        <v>65</v>
      </c>
      <c r="H1541" t="s">
        <v>662</v>
      </c>
      <c r="I1541" t="s">
        <v>2271</v>
      </c>
      <c r="J1541">
        <v>500000</v>
      </c>
      <c r="K1541">
        <v>2025</v>
      </c>
      <c r="L1541">
        <v>1033180779</v>
      </c>
      <c r="M1541" t="s">
        <v>3741</v>
      </c>
      <c r="N1541" t="s">
        <v>1688</v>
      </c>
      <c r="O1541" t="s">
        <v>1686</v>
      </c>
      <c r="P1541">
        <v>0</v>
      </c>
      <c r="Q1541">
        <v>500000</v>
      </c>
      <c r="R1541">
        <v>0</v>
      </c>
      <c r="S1541">
        <v>0</v>
      </c>
      <c r="T1541" t="str">
        <f t="shared" si="48"/>
        <v>10352.43.4302.85.0-205128.2.3.3.08.06.</v>
      </c>
      <c r="U1541" t="e" cm="1">
        <f t="array" aca="1" ref="U1541" ca="1">+IF(COMPROMISOS_2025[[#This Row],[P]]="20","41080111",_xlfn.XLOOKUP(COMPROMISOS_2025[[#This Row],[concatenado]],PAA[[#All],[RCP-RUBRO]],PAA[[#All],[INDICADOR]],"",0))</f>
        <v>#NAME?</v>
      </c>
      <c r="V1541" s="144" t="str">
        <f t="shared" si="49"/>
        <v>85</v>
      </c>
      <c r="W1541" s="136">
        <f>+COMPROMISOS_2025[[#This Row],[valor_total]]-COMPROMISOS_2025[[#This Row],[total_cancelado]]</f>
        <v>500000</v>
      </c>
      <c r="X1541" s="136">
        <f>COMPROMISOS_2025[[#This Row],[total_ordenes]]</f>
        <v>500000</v>
      </c>
      <c r="Y1541" t="str" cm="1">
        <f t="array" aca="1" ref="Y1541" ca="1">IFERROR(_xlfn.XLOOKUP(COMPROMISOS_2025[[#This Row],[concatenado]],PAA[[#All],[RCP-RUBRO]],PAA[[#All],[Actividad3]],VLOOKUP(COMPROMISOS_2025[[#This Row],[Indicador Principal]],$AC$2:$AD$17,2,0),0),"")</f>
        <v/>
      </c>
    </row>
    <row r="1542" spans="1:25" hidden="1" x14ac:dyDescent="0.25">
      <c r="A1542">
        <v>1036</v>
      </c>
      <c r="B1542" t="s">
        <v>4164</v>
      </c>
      <c r="C1542" t="s">
        <v>1936</v>
      </c>
      <c r="D1542" t="s">
        <v>4165</v>
      </c>
      <c r="F1542">
        <v>359</v>
      </c>
      <c r="G1542">
        <v>65</v>
      </c>
      <c r="H1542" t="s">
        <v>662</v>
      </c>
      <c r="I1542" t="s">
        <v>2271</v>
      </c>
      <c r="J1542">
        <v>500000</v>
      </c>
      <c r="K1542">
        <v>2025</v>
      </c>
      <c r="L1542">
        <v>1033182657</v>
      </c>
      <c r="M1542" t="s">
        <v>4058</v>
      </c>
      <c r="N1542" t="s">
        <v>1688</v>
      </c>
      <c r="O1542" t="s">
        <v>1686</v>
      </c>
      <c r="P1542">
        <v>0</v>
      </c>
      <c r="Q1542">
        <v>500000</v>
      </c>
      <c r="R1542">
        <v>0</v>
      </c>
      <c r="S1542">
        <v>0</v>
      </c>
      <c r="T1542" t="str">
        <f t="shared" si="48"/>
        <v>10362.43.4302.85.0-205128.2.3.3.08.06.</v>
      </c>
      <c r="U1542" t="e" cm="1">
        <f t="array" aca="1" ref="U1542" ca="1">+IF(COMPROMISOS_2025[[#This Row],[P]]="20","41080111",_xlfn.XLOOKUP(COMPROMISOS_2025[[#This Row],[concatenado]],PAA[[#All],[RCP-RUBRO]],PAA[[#All],[INDICADOR]],"",0))</f>
        <v>#NAME?</v>
      </c>
      <c r="V1542" s="144" t="str">
        <f t="shared" si="49"/>
        <v>85</v>
      </c>
      <c r="W1542" s="136">
        <f>+COMPROMISOS_2025[[#This Row],[valor_total]]-COMPROMISOS_2025[[#This Row],[total_cancelado]]</f>
        <v>500000</v>
      </c>
      <c r="X1542" s="136">
        <f>COMPROMISOS_2025[[#This Row],[total_ordenes]]</f>
        <v>500000</v>
      </c>
      <c r="Y1542" t="str" cm="1">
        <f t="array" aca="1" ref="Y1542" ca="1">IFERROR(_xlfn.XLOOKUP(COMPROMISOS_2025[[#This Row],[concatenado]],PAA[[#All],[RCP-RUBRO]],PAA[[#All],[Actividad3]],VLOOKUP(COMPROMISOS_2025[[#This Row],[Indicador Principal]],$AC$2:$AD$17,2,0),0),"")</f>
        <v/>
      </c>
    </row>
    <row r="1543" spans="1:25" hidden="1" x14ac:dyDescent="0.25">
      <c r="A1543">
        <v>1037</v>
      </c>
      <c r="B1543" t="s">
        <v>4164</v>
      </c>
      <c r="C1543" t="s">
        <v>1936</v>
      </c>
      <c r="D1543" t="s">
        <v>4165</v>
      </c>
      <c r="F1543">
        <v>359</v>
      </c>
      <c r="G1543">
        <v>65</v>
      </c>
      <c r="H1543" t="s">
        <v>662</v>
      </c>
      <c r="I1543" t="s">
        <v>2271</v>
      </c>
      <c r="J1543">
        <v>500000</v>
      </c>
      <c r="K1543">
        <v>2025</v>
      </c>
      <c r="L1543">
        <v>1033184234</v>
      </c>
      <c r="M1543" t="s">
        <v>3745</v>
      </c>
      <c r="N1543" t="s">
        <v>1688</v>
      </c>
      <c r="O1543" t="s">
        <v>1686</v>
      </c>
      <c r="P1543">
        <v>0</v>
      </c>
      <c r="Q1543">
        <v>500000</v>
      </c>
      <c r="R1543">
        <v>0</v>
      </c>
      <c r="S1543">
        <v>0</v>
      </c>
      <c r="T1543" t="str">
        <f t="shared" si="48"/>
        <v>10372.43.4302.85.0-205128.2.3.3.08.06.</v>
      </c>
      <c r="U1543" t="e" cm="1">
        <f t="array" aca="1" ref="U1543" ca="1">+IF(COMPROMISOS_2025[[#This Row],[P]]="20","41080111",_xlfn.XLOOKUP(COMPROMISOS_2025[[#This Row],[concatenado]],PAA[[#All],[RCP-RUBRO]],PAA[[#All],[INDICADOR]],"",0))</f>
        <v>#NAME?</v>
      </c>
      <c r="V1543" s="144" t="str">
        <f t="shared" si="49"/>
        <v>85</v>
      </c>
      <c r="W1543" s="136">
        <f>+COMPROMISOS_2025[[#This Row],[valor_total]]-COMPROMISOS_2025[[#This Row],[total_cancelado]]</f>
        <v>500000</v>
      </c>
      <c r="X1543" s="136">
        <f>COMPROMISOS_2025[[#This Row],[total_ordenes]]</f>
        <v>500000</v>
      </c>
      <c r="Y1543" t="str" cm="1">
        <f t="array" aca="1" ref="Y1543" ca="1">IFERROR(_xlfn.XLOOKUP(COMPROMISOS_2025[[#This Row],[concatenado]],PAA[[#All],[RCP-RUBRO]],PAA[[#All],[Actividad3]],VLOOKUP(COMPROMISOS_2025[[#This Row],[Indicador Principal]],$AC$2:$AD$17,2,0),0),"")</f>
        <v/>
      </c>
    </row>
    <row r="1544" spans="1:25" hidden="1" x14ac:dyDescent="0.25">
      <c r="A1544">
        <v>1038</v>
      </c>
      <c r="B1544" t="s">
        <v>4164</v>
      </c>
      <c r="C1544" t="s">
        <v>1936</v>
      </c>
      <c r="D1544" t="s">
        <v>4165</v>
      </c>
      <c r="F1544">
        <v>359</v>
      </c>
      <c r="G1544">
        <v>65</v>
      </c>
      <c r="H1544" t="s">
        <v>662</v>
      </c>
      <c r="I1544" t="s">
        <v>2271</v>
      </c>
      <c r="J1544">
        <v>500000</v>
      </c>
      <c r="K1544">
        <v>2025</v>
      </c>
      <c r="L1544">
        <v>1033184738</v>
      </c>
      <c r="M1544" t="s">
        <v>3746</v>
      </c>
      <c r="N1544" t="s">
        <v>1688</v>
      </c>
      <c r="O1544" t="s">
        <v>1686</v>
      </c>
      <c r="P1544">
        <v>0</v>
      </c>
      <c r="Q1544">
        <v>500000</v>
      </c>
      <c r="R1544">
        <v>0</v>
      </c>
      <c r="S1544">
        <v>0</v>
      </c>
      <c r="T1544" t="str">
        <f t="shared" si="48"/>
        <v>10382.43.4302.85.0-205128.2.3.3.08.06.</v>
      </c>
      <c r="U1544" t="e" cm="1">
        <f t="array" aca="1" ref="U1544" ca="1">+IF(COMPROMISOS_2025[[#This Row],[P]]="20","41080111",_xlfn.XLOOKUP(COMPROMISOS_2025[[#This Row],[concatenado]],PAA[[#All],[RCP-RUBRO]],PAA[[#All],[INDICADOR]],"",0))</f>
        <v>#NAME?</v>
      </c>
      <c r="V1544" s="144" t="str">
        <f t="shared" si="49"/>
        <v>85</v>
      </c>
      <c r="W1544" s="136">
        <f>+COMPROMISOS_2025[[#This Row],[valor_total]]-COMPROMISOS_2025[[#This Row],[total_cancelado]]</f>
        <v>500000</v>
      </c>
      <c r="X1544" s="136">
        <f>COMPROMISOS_2025[[#This Row],[total_ordenes]]</f>
        <v>500000</v>
      </c>
      <c r="Y1544" t="str" cm="1">
        <f t="array" aca="1" ref="Y1544" ca="1">IFERROR(_xlfn.XLOOKUP(COMPROMISOS_2025[[#This Row],[concatenado]],PAA[[#All],[RCP-RUBRO]],PAA[[#All],[Actividad3]],VLOOKUP(COMPROMISOS_2025[[#This Row],[Indicador Principal]],$AC$2:$AD$17,2,0),0),"")</f>
        <v/>
      </c>
    </row>
    <row r="1545" spans="1:25" hidden="1" x14ac:dyDescent="0.25">
      <c r="A1545">
        <v>1039</v>
      </c>
      <c r="B1545" t="s">
        <v>4164</v>
      </c>
      <c r="C1545" t="s">
        <v>1936</v>
      </c>
      <c r="D1545" t="s">
        <v>4165</v>
      </c>
      <c r="F1545">
        <v>359</v>
      </c>
      <c r="G1545">
        <v>65</v>
      </c>
      <c r="H1545" t="s">
        <v>662</v>
      </c>
      <c r="I1545" t="s">
        <v>2271</v>
      </c>
      <c r="J1545">
        <v>800000</v>
      </c>
      <c r="K1545">
        <v>2025</v>
      </c>
      <c r="L1545">
        <v>1033260221</v>
      </c>
      <c r="M1545" t="s">
        <v>4059</v>
      </c>
      <c r="N1545" t="s">
        <v>1688</v>
      </c>
      <c r="O1545" t="s">
        <v>1686</v>
      </c>
      <c r="P1545">
        <v>0</v>
      </c>
      <c r="Q1545">
        <v>800000</v>
      </c>
      <c r="R1545">
        <v>0</v>
      </c>
      <c r="S1545">
        <v>0</v>
      </c>
      <c r="T1545" t="str">
        <f t="shared" si="48"/>
        <v>10392.43.4302.85.0-205128.2.3.3.08.06.</v>
      </c>
      <c r="U1545" t="e" cm="1">
        <f t="array" aca="1" ref="U1545" ca="1">+IF(COMPROMISOS_2025[[#This Row],[P]]="20","41080111",_xlfn.XLOOKUP(COMPROMISOS_2025[[#This Row],[concatenado]],PAA[[#All],[RCP-RUBRO]],PAA[[#All],[INDICADOR]],"",0))</f>
        <v>#NAME?</v>
      </c>
      <c r="V1545" s="144" t="str">
        <f t="shared" si="49"/>
        <v>85</v>
      </c>
      <c r="W1545" s="136">
        <f>+COMPROMISOS_2025[[#This Row],[valor_total]]-COMPROMISOS_2025[[#This Row],[total_cancelado]]</f>
        <v>800000</v>
      </c>
      <c r="X1545" s="136">
        <f>COMPROMISOS_2025[[#This Row],[total_ordenes]]</f>
        <v>800000</v>
      </c>
      <c r="Y1545" t="str" cm="1">
        <f t="array" aca="1" ref="Y1545" ca="1">IFERROR(_xlfn.XLOOKUP(COMPROMISOS_2025[[#This Row],[concatenado]],PAA[[#All],[RCP-RUBRO]],PAA[[#All],[Actividad3]],VLOOKUP(COMPROMISOS_2025[[#This Row],[Indicador Principal]],$AC$2:$AD$17,2,0),0),"")</f>
        <v/>
      </c>
    </row>
    <row r="1546" spans="1:25" hidden="1" x14ac:dyDescent="0.25">
      <c r="A1546">
        <v>1040</v>
      </c>
      <c r="B1546" t="s">
        <v>4164</v>
      </c>
      <c r="C1546" t="s">
        <v>1936</v>
      </c>
      <c r="D1546" t="s">
        <v>4165</v>
      </c>
      <c r="F1546">
        <v>359</v>
      </c>
      <c r="G1546">
        <v>65</v>
      </c>
      <c r="H1546" t="s">
        <v>662</v>
      </c>
      <c r="I1546" t="s">
        <v>2271</v>
      </c>
      <c r="J1546">
        <v>500000</v>
      </c>
      <c r="K1546">
        <v>2025</v>
      </c>
      <c r="L1546">
        <v>1033426095</v>
      </c>
      <c r="M1546" t="s">
        <v>4060</v>
      </c>
      <c r="N1546" t="s">
        <v>1688</v>
      </c>
      <c r="O1546" t="s">
        <v>1686</v>
      </c>
      <c r="P1546">
        <v>0</v>
      </c>
      <c r="Q1546">
        <v>500000</v>
      </c>
      <c r="R1546">
        <v>0</v>
      </c>
      <c r="S1546">
        <v>0</v>
      </c>
      <c r="T1546" t="str">
        <f t="shared" si="48"/>
        <v>10402.43.4302.85.0-205128.2.3.3.08.06.</v>
      </c>
      <c r="U1546" t="e" cm="1">
        <f t="array" aca="1" ref="U1546" ca="1">+IF(COMPROMISOS_2025[[#This Row],[P]]="20","41080111",_xlfn.XLOOKUP(COMPROMISOS_2025[[#This Row],[concatenado]],PAA[[#All],[RCP-RUBRO]],PAA[[#All],[INDICADOR]],"",0))</f>
        <v>#NAME?</v>
      </c>
      <c r="V1546" s="144" t="str">
        <f t="shared" si="49"/>
        <v>85</v>
      </c>
      <c r="W1546" s="136">
        <f>+COMPROMISOS_2025[[#This Row],[valor_total]]-COMPROMISOS_2025[[#This Row],[total_cancelado]]</f>
        <v>500000</v>
      </c>
      <c r="X1546" s="136">
        <f>COMPROMISOS_2025[[#This Row],[total_ordenes]]</f>
        <v>500000</v>
      </c>
      <c r="Y1546" t="str" cm="1">
        <f t="array" aca="1" ref="Y1546" ca="1">IFERROR(_xlfn.XLOOKUP(COMPROMISOS_2025[[#This Row],[concatenado]],PAA[[#All],[RCP-RUBRO]],PAA[[#All],[Actividad3]],VLOOKUP(COMPROMISOS_2025[[#This Row],[Indicador Principal]],$AC$2:$AD$17,2,0),0),"")</f>
        <v/>
      </c>
    </row>
    <row r="1547" spans="1:25" hidden="1" x14ac:dyDescent="0.25">
      <c r="A1547">
        <v>1041</v>
      </c>
      <c r="B1547" t="s">
        <v>4164</v>
      </c>
      <c r="C1547" t="s">
        <v>1936</v>
      </c>
      <c r="D1547" t="s">
        <v>4165</v>
      </c>
      <c r="F1547">
        <v>359</v>
      </c>
      <c r="G1547">
        <v>65</v>
      </c>
      <c r="H1547" t="s">
        <v>662</v>
      </c>
      <c r="I1547" t="s">
        <v>2271</v>
      </c>
      <c r="J1547">
        <v>500000</v>
      </c>
      <c r="K1547">
        <v>2025</v>
      </c>
      <c r="L1547">
        <v>1033646308</v>
      </c>
      <c r="M1547" t="s">
        <v>4061</v>
      </c>
      <c r="N1547" t="s">
        <v>1688</v>
      </c>
      <c r="O1547" t="s">
        <v>1686</v>
      </c>
      <c r="P1547">
        <v>0</v>
      </c>
      <c r="Q1547">
        <v>500000</v>
      </c>
      <c r="R1547">
        <v>0</v>
      </c>
      <c r="S1547">
        <v>0</v>
      </c>
      <c r="T1547" t="str">
        <f t="shared" si="48"/>
        <v>10412.43.4302.85.0-205128.2.3.3.08.06.</v>
      </c>
      <c r="U1547" t="e" cm="1">
        <f t="array" aca="1" ref="U1547" ca="1">+IF(COMPROMISOS_2025[[#This Row],[P]]="20","41080111",_xlfn.XLOOKUP(COMPROMISOS_2025[[#This Row],[concatenado]],PAA[[#All],[RCP-RUBRO]],PAA[[#All],[INDICADOR]],"",0))</f>
        <v>#NAME?</v>
      </c>
      <c r="V1547" s="144" t="str">
        <f t="shared" si="49"/>
        <v>85</v>
      </c>
      <c r="W1547" s="136">
        <f>+COMPROMISOS_2025[[#This Row],[valor_total]]-COMPROMISOS_2025[[#This Row],[total_cancelado]]</f>
        <v>500000</v>
      </c>
      <c r="X1547" s="136">
        <f>COMPROMISOS_2025[[#This Row],[total_ordenes]]</f>
        <v>500000</v>
      </c>
      <c r="Y1547" t="str" cm="1">
        <f t="array" aca="1" ref="Y1547" ca="1">IFERROR(_xlfn.XLOOKUP(COMPROMISOS_2025[[#This Row],[concatenado]],PAA[[#All],[RCP-RUBRO]],PAA[[#All],[Actividad3]],VLOOKUP(COMPROMISOS_2025[[#This Row],[Indicador Principal]],$AC$2:$AD$17,2,0),0),"")</f>
        <v/>
      </c>
    </row>
    <row r="1548" spans="1:25" hidden="1" x14ac:dyDescent="0.25">
      <c r="A1548">
        <v>1042</v>
      </c>
      <c r="B1548" t="s">
        <v>4164</v>
      </c>
      <c r="C1548" t="s">
        <v>1936</v>
      </c>
      <c r="D1548" t="s">
        <v>4165</v>
      </c>
      <c r="F1548">
        <v>359</v>
      </c>
      <c r="G1548">
        <v>65</v>
      </c>
      <c r="H1548" t="s">
        <v>662</v>
      </c>
      <c r="I1548" t="s">
        <v>2271</v>
      </c>
      <c r="J1548">
        <v>500000</v>
      </c>
      <c r="K1548">
        <v>2025</v>
      </c>
      <c r="L1548">
        <v>1034917651</v>
      </c>
      <c r="M1548" t="s">
        <v>4174</v>
      </c>
      <c r="N1548" t="s">
        <v>1688</v>
      </c>
      <c r="O1548" t="s">
        <v>1686</v>
      </c>
      <c r="P1548">
        <v>0</v>
      </c>
      <c r="Q1548">
        <v>500000</v>
      </c>
      <c r="R1548">
        <v>0</v>
      </c>
      <c r="S1548">
        <v>0</v>
      </c>
      <c r="T1548" t="str">
        <f t="shared" si="48"/>
        <v>10422.43.4302.85.0-205128.2.3.3.08.06.</v>
      </c>
      <c r="U1548" t="e" cm="1">
        <f t="array" aca="1" ref="U1548" ca="1">+IF(COMPROMISOS_2025[[#This Row],[P]]="20","41080111",_xlfn.XLOOKUP(COMPROMISOS_2025[[#This Row],[concatenado]],PAA[[#All],[RCP-RUBRO]],PAA[[#All],[INDICADOR]],"",0))</f>
        <v>#NAME?</v>
      </c>
      <c r="V1548" s="144" t="str">
        <f t="shared" si="49"/>
        <v>85</v>
      </c>
      <c r="W1548" s="136">
        <f>+COMPROMISOS_2025[[#This Row],[valor_total]]-COMPROMISOS_2025[[#This Row],[total_cancelado]]</f>
        <v>500000</v>
      </c>
      <c r="X1548" s="136">
        <f>COMPROMISOS_2025[[#This Row],[total_ordenes]]</f>
        <v>500000</v>
      </c>
      <c r="Y1548" t="str" cm="1">
        <f t="array" aca="1" ref="Y1548" ca="1">IFERROR(_xlfn.XLOOKUP(COMPROMISOS_2025[[#This Row],[concatenado]],PAA[[#All],[RCP-RUBRO]],PAA[[#All],[Actividad3]],VLOOKUP(COMPROMISOS_2025[[#This Row],[Indicador Principal]],$AC$2:$AD$17,2,0),0),"")</f>
        <v/>
      </c>
    </row>
    <row r="1549" spans="1:25" hidden="1" x14ac:dyDescent="0.25">
      <c r="A1549">
        <v>1043</v>
      </c>
      <c r="B1549" t="s">
        <v>4164</v>
      </c>
      <c r="C1549" t="s">
        <v>1936</v>
      </c>
      <c r="D1549" t="s">
        <v>4165</v>
      </c>
      <c r="F1549">
        <v>359</v>
      </c>
      <c r="G1549">
        <v>65</v>
      </c>
      <c r="H1549" t="s">
        <v>662</v>
      </c>
      <c r="I1549" t="s">
        <v>2271</v>
      </c>
      <c r="J1549">
        <v>500000</v>
      </c>
      <c r="K1549">
        <v>2025</v>
      </c>
      <c r="L1549">
        <v>1034987017</v>
      </c>
      <c r="M1549" t="s">
        <v>4062</v>
      </c>
      <c r="N1549" t="s">
        <v>1688</v>
      </c>
      <c r="O1549" t="s">
        <v>1686</v>
      </c>
      <c r="P1549">
        <v>0</v>
      </c>
      <c r="Q1549">
        <v>500000</v>
      </c>
      <c r="R1549">
        <v>0</v>
      </c>
      <c r="S1549">
        <v>0</v>
      </c>
      <c r="T1549" t="str">
        <f t="shared" si="48"/>
        <v>10432.43.4302.85.0-205128.2.3.3.08.06.</v>
      </c>
      <c r="U1549" t="e" cm="1">
        <f t="array" aca="1" ref="U1549" ca="1">+IF(COMPROMISOS_2025[[#This Row],[P]]="20","41080111",_xlfn.XLOOKUP(COMPROMISOS_2025[[#This Row],[concatenado]],PAA[[#All],[RCP-RUBRO]],PAA[[#All],[INDICADOR]],"",0))</f>
        <v>#NAME?</v>
      </c>
      <c r="V1549" s="144" t="str">
        <f t="shared" si="49"/>
        <v>85</v>
      </c>
      <c r="W1549" s="136">
        <f>+COMPROMISOS_2025[[#This Row],[valor_total]]-COMPROMISOS_2025[[#This Row],[total_cancelado]]</f>
        <v>500000</v>
      </c>
      <c r="X1549" s="136">
        <f>COMPROMISOS_2025[[#This Row],[total_ordenes]]</f>
        <v>500000</v>
      </c>
      <c r="Y1549" t="str" cm="1">
        <f t="array" aca="1" ref="Y1549" ca="1">IFERROR(_xlfn.XLOOKUP(COMPROMISOS_2025[[#This Row],[concatenado]],PAA[[#All],[RCP-RUBRO]],PAA[[#All],[Actividad3]],VLOOKUP(COMPROMISOS_2025[[#This Row],[Indicador Principal]],$AC$2:$AD$17,2,0),0),"")</f>
        <v/>
      </c>
    </row>
    <row r="1550" spans="1:25" hidden="1" x14ac:dyDescent="0.25">
      <c r="A1550">
        <v>1044</v>
      </c>
      <c r="B1550" t="s">
        <v>4164</v>
      </c>
      <c r="C1550" t="s">
        <v>1936</v>
      </c>
      <c r="D1550" t="s">
        <v>4165</v>
      </c>
      <c r="F1550">
        <v>359</v>
      </c>
      <c r="G1550">
        <v>65</v>
      </c>
      <c r="H1550" t="s">
        <v>662</v>
      </c>
      <c r="I1550" t="s">
        <v>2271</v>
      </c>
      <c r="J1550">
        <v>500000</v>
      </c>
      <c r="K1550">
        <v>2025</v>
      </c>
      <c r="L1550">
        <v>1034987578</v>
      </c>
      <c r="M1550" t="s">
        <v>3749</v>
      </c>
      <c r="N1550" t="s">
        <v>1688</v>
      </c>
      <c r="O1550" t="s">
        <v>1686</v>
      </c>
      <c r="P1550">
        <v>0</v>
      </c>
      <c r="Q1550">
        <v>500000</v>
      </c>
      <c r="R1550">
        <v>0</v>
      </c>
      <c r="S1550">
        <v>0</v>
      </c>
      <c r="T1550" t="str">
        <f t="shared" si="48"/>
        <v>10442.43.4302.85.0-205128.2.3.3.08.06.</v>
      </c>
      <c r="U1550" t="e" cm="1">
        <f t="array" aca="1" ref="U1550" ca="1">+IF(COMPROMISOS_2025[[#This Row],[P]]="20","41080111",_xlfn.XLOOKUP(COMPROMISOS_2025[[#This Row],[concatenado]],PAA[[#All],[RCP-RUBRO]],PAA[[#All],[INDICADOR]],"",0))</f>
        <v>#NAME?</v>
      </c>
      <c r="V1550" s="144" t="str">
        <f t="shared" si="49"/>
        <v>85</v>
      </c>
      <c r="W1550" s="136">
        <f>+COMPROMISOS_2025[[#This Row],[valor_total]]-COMPROMISOS_2025[[#This Row],[total_cancelado]]</f>
        <v>500000</v>
      </c>
      <c r="X1550" s="136">
        <f>COMPROMISOS_2025[[#This Row],[total_ordenes]]</f>
        <v>500000</v>
      </c>
      <c r="Y1550" t="str" cm="1">
        <f t="array" aca="1" ref="Y1550" ca="1">IFERROR(_xlfn.XLOOKUP(COMPROMISOS_2025[[#This Row],[concatenado]],PAA[[#All],[RCP-RUBRO]],PAA[[#All],[Actividad3]],VLOOKUP(COMPROMISOS_2025[[#This Row],[Indicador Principal]],$AC$2:$AD$17,2,0),0),"")</f>
        <v/>
      </c>
    </row>
    <row r="1551" spans="1:25" hidden="1" x14ac:dyDescent="0.25">
      <c r="A1551">
        <v>1045</v>
      </c>
      <c r="B1551" t="s">
        <v>4164</v>
      </c>
      <c r="C1551" t="s">
        <v>1936</v>
      </c>
      <c r="D1551" t="s">
        <v>4165</v>
      </c>
      <c r="F1551">
        <v>359</v>
      </c>
      <c r="G1551">
        <v>65</v>
      </c>
      <c r="H1551" t="s">
        <v>662</v>
      </c>
      <c r="I1551" t="s">
        <v>2271</v>
      </c>
      <c r="J1551">
        <v>500000</v>
      </c>
      <c r="K1551">
        <v>2025</v>
      </c>
      <c r="L1551">
        <v>1034988595</v>
      </c>
      <c r="M1551" t="s">
        <v>4063</v>
      </c>
      <c r="N1551" t="s">
        <v>1688</v>
      </c>
      <c r="O1551" t="s">
        <v>1686</v>
      </c>
      <c r="P1551">
        <v>0</v>
      </c>
      <c r="Q1551">
        <v>500000</v>
      </c>
      <c r="R1551">
        <v>0</v>
      </c>
      <c r="S1551">
        <v>0</v>
      </c>
      <c r="T1551" t="str">
        <f t="shared" si="48"/>
        <v>10452.43.4302.85.0-205128.2.3.3.08.06.</v>
      </c>
      <c r="U1551" t="e" cm="1">
        <f t="array" aca="1" ref="U1551" ca="1">+IF(COMPROMISOS_2025[[#This Row],[P]]="20","41080111",_xlfn.XLOOKUP(COMPROMISOS_2025[[#This Row],[concatenado]],PAA[[#All],[RCP-RUBRO]],PAA[[#All],[INDICADOR]],"",0))</f>
        <v>#NAME?</v>
      </c>
      <c r="V1551" s="144" t="str">
        <f t="shared" si="49"/>
        <v>85</v>
      </c>
      <c r="W1551" s="136">
        <f>+COMPROMISOS_2025[[#This Row],[valor_total]]-COMPROMISOS_2025[[#This Row],[total_cancelado]]</f>
        <v>500000</v>
      </c>
      <c r="X1551" s="136">
        <f>COMPROMISOS_2025[[#This Row],[total_ordenes]]</f>
        <v>500000</v>
      </c>
      <c r="Y1551" t="str" cm="1">
        <f t="array" aca="1" ref="Y1551" ca="1">IFERROR(_xlfn.XLOOKUP(COMPROMISOS_2025[[#This Row],[concatenado]],PAA[[#All],[RCP-RUBRO]],PAA[[#All],[Actividad3]],VLOOKUP(COMPROMISOS_2025[[#This Row],[Indicador Principal]],$AC$2:$AD$17,2,0),0),"")</f>
        <v/>
      </c>
    </row>
    <row r="1552" spans="1:25" hidden="1" x14ac:dyDescent="0.25">
      <c r="A1552">
        <v>1046</v>
      </c>
      <c r="B1552" t="s">
        <v>4164</v>
      </c>
      <c r="C1552" t="s">
        <v>1936</v>
      </c>
      <c r="D1552" t="s">
        <v>4165</v>
      </c>
      <c r="F1552">
        <v>359</v>
      </c>
      <c r="G1552">
        <v>65</v>
      </c>
      <c r="H1552" t="s">
        <v>662</v>
      </c>
      <c r="I1552" t="s">
        <v>2271</v>
      </c>
      <c r="J1552">
        <v>500000</v>
      </c>
      <c r="K1552">
        <v>2025</v>
      </c>
      <c r="L1552">
        <v>1035066840</v>
      </c>
      <c r="M1552" t="s">
        <v>3760</v>
      </c>
      <c r="N1552" t="s">
        <v>1688</v>
      </c>
      <c r="O1552" t="s">
        <v>1686</v>
      </c>
      <c r="P1552">
        <v>0</v>
      </c>
      <c r="Q1552">
        <v>500000</v>
      </c>
      <c r="R1552">
        <v>0</v>
      </c>
      <c r="S1552">
        <v>0</v>
      </c>
      <c r="T1552" t="str">
        <f t="shared" si="48"/>
        <v>10462.43.4302.85.0-205128.2.3.3.08.06.</v>
      </c>
      <c r="U1552" t="e" cm="1">
        <f t="array" aca="1" ref="U1552" ca="1">+IF(COMPROMISOS_2025[[#This Row],[P]]="20","41080111",_xlfn.XLOOKUP(COMPROMISOS_2025[[#This Row],[concatenado]],PAA[[#All],[RCP-RUBRO]],PAA[[#All],[INDICADOR]],"",0))</f>
        <v>#NAME?</v>
      </c>
      <c r="V1552" s="144" t="str">
        <f t="shared" si="49"/>
        <v>85</v>
      </c>
      <c r="W1552" s="136">
        <f>+COMPROMISOS_2025[[#This Row],[valor_total]]-COMPROMISOS_2025[[#This Row],[total_cancelado]]</f>
        <v>500000</v>
      </c>
      <c r="X1552" s="136">
        <f>COMPROMISOS_2025[[#This Row],[total_ordenes]]</f>
        <v>500000</v>
      </c>
      <c r="Y1552" t="str" cm="1">
        <f t="array" aca="1" ref="Y1552" ca="1">IFERROR(_xlfn.XLOOKUP(COMPROMISOS_2025[[#This Row],[concatenado]],PAA[[#All],[RCP-RUBRO]],PAA[[#All],[Actividad3]],VLOOKUP(COMPROMISOS_2025[[#This Row],[Indicador Principal]],$AC$2:$AD$17,2,0),0),"")</f>
        <v/>
      </c>
    </row>
    <row r="1553" spans="1:25" hidden="1" x14ac:dyDescent="0.25">
      <c r="A1553">
        <v>1047</v>
      </c>
      <c r="B1553" t="s">
        <v>4164</v>
      </c>
      <c r="C1553" t="s">
        <v>1936</v>
      </c>
      <c r="D1553" t="s">
        <v>4165</v>
      </c>
      <c r="F1553">
        <v>359</v>
      </c>
      <c r="G1553">
        <v>65</v>
      </c>
      <c r="H1553" t="s">
        <v>662</v>
      </c>
      <c r="I1553" t="s">
        <v>2271</v>
      </c>
      <c r="J1553">
        <v>500000</v>
      </c>
      <c r="K1553">
        <v>2025</v>
      </c>
      <c r="L1553">
        <v>1035390018</v>
      </c>
      <c r="M1553" t="s">
        <v>4175</v>
      </c>
      <c r="N1553" t="s">
        <v>1688</v>
      </c>
      <c r="O1553" t="s">
        <v>1686</v>
      </c>
      <c r="P1553">
        <v>0</v>
      </c>
      <c r="Q1553">
        <v>500000</v>
      </c>
      <c r="R1553">
        <v>0</v>
      </c>
      <c r="S1553">
        <v>0</v>
      </c>
      <c r="T1553" t="str">
        <f t="shared" si="48"/>
        <v>10472.43.4302.85.0-205128.2.3.3.08.06.</v>
      </c>
      <c r="U1553" t="e" cm="1">
        <f t="array" aca="1" ref="U1553" ca="1">+IF(COMPROMISOS_2025[[#This Row],[P]]="20","41080111",_xlfn.XLOOKUP(COMPROMISOS_2025[[#This Row],[concatenado]],PAA[[#All],[RCP-RUBRO]],PAA[[#All],[INDICADOR]],"",0))</f>
        <v>#NAME?</v>
      </c>
      <c r="V1553" s="144" t="str">
        <f t="shared" si="49"/>
        <v>85</v>
      </c>
      <c r="W1553" s="136">
        <f>+COMPROMISOS_2025[[#This Row],[valor_total]]-COMPROMISOS_2025[[#This Row],[total_cancelado]]</f>
        <v>500000</v>
      </c>
      <c r="X1553" s="136">
        <f>COMPROMISOS_2025[[#This Row],[total_ordenes]]</f>
        <v>500000</v>
      </c>
      <c r="Y1553" t="str" cm="1">
        <f t="array" aca="1" ref="Y1553" ca="1">IFERROR(_xlfn.XLOOKUP(COMPROMISOS_2025[[#This Row],[concatenado]],PAA[[#All],[RCP-RUBRO]],PAA[[#All],[Actividad3]],VLOOKUP(COMPROMISOS_2025[[#This Row],[Indicador Principal]],$AC$2:$AD$17,2,0),0),"")</f>
        <v/>
      </c>
    </row>
    <row r="1554" spans="1:25" hidden="1" x14ac:dyDescent="0.25">
      <c r="A1554">
        <v>1048</v>
      </c>
      <c r="B1554" t="s">
        <v>4164</v>
      </c>
      <c r="C1554" t="s">
        <v>1936</v>
      </c>
      <c r="D1554" t="s">
        <v>4165</v>
      </c>
      <c r="F1554">
        <v>359</v>
      </c>
      <c r="G1554">
        <v>65</v>
      </c>
      <c r="H1554" t="s">
        <v>662</v>
      </c>
      <c r="I1554" t="s">
        <v>2271</v>
      </c>
      <c r="J1554">
        <v>1300000</v>
      </c>
      <c r="K1554">
        <v>2025</v>
      </c>
      <c r="L1554">
        <v>1035642460</v>
      </c>
      <c r="M1554" t="s">
        <v>4064</v>
      </c>
      <c r="N1554" t="s">
        <v>1688</v>
      </c>
      <c r="O1554" t="s">
        <v>1686</v>
      </c>
      <c r="P1554">
        <v>0</v>
      </c>
      <c r="Q1554">
        <v>1300000</v>
      </c>
      <c r="R1554">
        <v>0</v>
      </c>
      <c r="S1554">
        <v>0</v>
      </c>
      <c r="T1554" t="str">
        <f t="shared" si="48"/>
        <v>10482.43.4302.85.0-205128.2.3.3.08.06.</v>
      </c>
      <c r="U1554" t="e" cm="1">
        <f t="array" aca="1" ref="U1554" ca="1">+IF(COMPROMISOS_2025[[#This Row],[P]]="20","41080111",_xlfn.XLOOKUP(COMPROMISOS_2025[[#This Row],[concatenado]],PAA[[#All],[RCP-RUBRO]],PAA[[#All],[INDICADOR]],"",0))</f>
        <v>#NAME?</v>
      </c>
      <c r="V1554" s="144" t="str">
        <f t="shared" si="49"/>
        <v>85</v>
      </c>
      <c r="W1554" s="136">
        <f>+COMPROMISOS_2025[[#This Row],[valor_total]]-COMPROMISOS_2025[[#This Row],[total_cancelado]]</f>
        <v>1300000</v>
      </c>
      <c r="X1554" s="136">
        <f>COMPROMISOS_2025[[#This Row],[total_ordenes]]</f>
        <v>1300000</v>
      </c>
      <c r="Y1554" t="str" cm="1">
        <f t="array" aca="1" ref="Y1554" ca="1">IFERROR(_xlfn.XLOOKUP(COMPROMISOS_2025[[#This Row],[concatenado]],PAA[[#All],[RCP-RUBRO]],PAA[[#All],[Actividad3]],VLOOKUP(COMPROMISOS_2025[[#This Row],[Indicador Principal]],$AC$2:$AD$17,2,0),0),"")</f>
        <v/>
      </c>
    </row>
    <row r="1555" spans="1:25" hidden="1" x14ac:dyDescent="0.25">
      <c r="A1555">
        <v>1049</v>
      </c>
      <c r="B1555" t="s">
        <v>4164</v>
      </c>
      <c r="C1555" t="s">
        <v>1936</v>
      </c>
      <c r="D1555" t="s">
        <v>4165</v>
      </c>
      <c r="F1555">
        <v>359</v>
      </c>
      <c r="G1555">
        <v>65</v>
      </c>
      <c r="H1555" t="s">
        <v>662</v>
      </c>
      <c r="I1555" t="s">
        <v>2271</v>
      </c>
      <c r="J1555">
        <v>1000000</v>
      </c>
      <c r="K1555">
        <v>2025</v>
      </c>
      <c r="L1555">
        <v>1035878289</v>
      </c>
      <c r="M1555" t="s">
        <v>4065</v>
      </c>
      <c r="N1555" t="s">
        <v>1688</v>
      </c>
      <c r="O1555" t="s">
        <v>1686</v>
      </c>
      <c r="P1555">
        <v>0</v>
      </c>
      <c r="Q1555">
        <v>1000000</v>
      </c>
      <c r="R1555">
        <v>0</v>
      </c>
      <c r="S1555">
        <v>0</v>
      </c>
      <c r="T1555" t="str">
        <f t="shared" si="48"/>
        <v>10492.43.4302.85.0-205128.2.3.3.08.06.</v>
      </c>
      <c r="U1555" t="e" cm="1">
        <f t="array" aca="1" ref="U1555" ca="1">+IF(COMPROMISOS_2025[[#This Row],[P]]="20","41080111",_xlfn.XLOOKUP(COMPROMISOS_2025[[#This Row],[concatenado]],PAA[[#All],[RCP-RUBRO]],PAA[[#All],[INDICADOR]],"",0))</f>
        <v>#NAME?</v>
      </c>
      <c r="V1555" s="144" t="str">
        <f t="shared" si="49"/>
        <v>85</v>
      </c>
      <c r="W1555" s="136">
        <f>+COMPROMISOS_2025[[#This Row],[valor_total]]-COMPROMISOS_2025[[#This Row],[total_cancelado]]</f>
        <v>1000000</v>
      </c>
      <c r="X1555" s="136">
        <f>COMPROMISOS_2025[[#This Row],[total_ordenes]]</f>
        <v>1000000</v>
      </c>
      <c r="Y1555" t="str" cm="1">
        <f t="array" aca="1" ref="Y1555" ca="1">IFERROR(_xlfn.XLOOKUP(COMPROMISOS_2025[[#This Row],[concatenado]],PAA[[#All],[RCP-RUBRO]],PAA[[#All],[Actividad3]],VLOOKUP(COMPROMISOS_2025[[#This Row],[Indicador Principal]],$AC$2:$AD$17,2,0),0),"")</f>
        <v/>
      </c>
    </row>
    <row r="1556" spans="1:25" hidden="1" x14ac:dyDescent="0.25">
      <c r="A1556">
        <v>1050</v>
      </c>
      <c r="B1556" t="s">
        <v>4164</v>
      </c>
      <c r="C1556" t="s">
        <v>1936</v>
      </c>
      <c r="D1556" t="s">
        <v>4165</v>
      </c>
      <c r="F1556">
        <v>359</v>
      </c>
      <c r="G1556">
        <v>65</v>
      </c>
      <c r="H1556" t="s">
        <v>662</v>
      </c>
      <c r="I1556" t="s">
        <v>2271</v>
      </c>
      <c r="J1556">
        <v>500000</v>
      </c>
      <c r="K1556">
        <v>2025</v>
      </c>
      <c r="L1556">
        <v>1035972397</v>
      </c>
      <c r="M1556" t="s">
        <v>4066</v>
      </c>
      <c r="N1556" t="s">
        <v>1688</v>
      </c>
      <c r="O1556" t="s">
        <v>1686</v>
      </c>
      <c r="P1556">
        <v>0</v>
      </c>
      <c r="Q1556">
        <v>500000</v>
      </c>
      <c r="R1556">
        <v>0</v>
      </c>
      <c r="S1556">
        <v>0</v>
      </c>
      <c r="T1556" t="str">
        <f t="shared" si="48"/>
        <v>10502.43.4302.85.0-205128.2.3.3.08.06.</v>
      </c>
      <c r="U1556" t="e" cm="1">
        <f t="array" aca="1" ref="U1556" ca="1">+IF(COMPROMISOS_2025[[#This Row],[P]]="20","41080111",_xlfn.XLOOKUP(COMPROMISOS_2025[[#This Row],[concatenado]],PAA[[#All],[RCP-RUBRO]],PAA[[#All],[INDICADOR]],"",0))</f>
        <v>#NAME?</v>
      </c>
      <c r="V1556" s="144" t="str">
        <f t="shared" si="49"/>
        <v>85</v>
      </c>
      <c r="W1556" s="136">
        <f>+COMPROMISOS_2025[[#This Row],[valor_total]]-COMPROMISOS_2025[[#This Row],[total_cancelado]]</f>
        <v>500000</v>
      </c>
      <c r="X1556" s="136">
        <f>COMPROMISOS_2025[[#This Row],[total_ordenes]]</f>
        <v>500000</v>
      </c>
      <c r="Y1556" t="str" cm="1">
        <f t="array" aca="1" ref="Y1556" ca="1">IFERROR(_xlfn.XLOOKUP(COMPROMISOS_2025[[#This Row],[concatenado]],PAA[[#All],[RCP-RUBRO]],PAA[[#All],[Actividad3]],VLOOKUP(COMPROMISOS_2025[[#This Row],[Indicador Principal]],$AC$2:$AD$17,2,0),0),"")</f>
        <v/>
      </c>
    </row>
    <row r="1557" spans="1:25" hidden="1" x14ac:dyDescent="0.25">
      <c r="A1557">
        <v>1051</v>
      </c>
      <c r="B1557" t="s">
        <v>4164</v>
      </c>
      <c r="C1557" t="s">
        <v>1936</v>
      </c>
      <c r="D1557" t="s">
        <v>4165</v>
      </c>
      <c r="F1557">
        <v>359</v>
      </c>
      <c r="G1557">
        <v>65</v>
      </c>
      <c r="H1557" t="s">
        <v>662</v>
      </c>
      <c r="I1557" t="s">
        <v>2271</v>
      </c>
      <c r="J1557">
        <v>800000</v>
      </c>
      <c r="K1557">
        <v>2025</v>
      </c>
      <c r="L1557">
        <v>1035975429</v>
      </c>
      <c r="M1557" t="s">
        <v>4067</v>
      </c>
      <c r="N1557" t="s">
        <v>1688</v>
      </c>
      <c r="O1557" t="s">
        <v>1686</v>
      </c>
      <c r="P1557">
        <v>0</v>
      </c>
      <c r="Q1557">
        <v>800000</v>
      </c>
      <c r="R1557">
        <v>0</v>
      </c>
      <c r="S1557">
        <v>0</v>
      </c>
      <c r="T1557" t="str">
        <f t="shared" si="48"/>
        <v>10512.43.4302.85.0-205128.2.3.3.08.06.</v>
      </c>
      <c r="U1557" t="e" cm="1">
        <f t="array" aca="1" ref="U1557" ca="1">+IF(COMPROMISOS_2025[[#This Row],[P]]="20","41080111",_xlfn.XLOOKUP(COMPROMISOS_2025[[#This Row],[concatenado]],PAA[[#All],[RCP-RUBRO]],PAA[[#All],[INDICADOR]],"",0))</f>
        <v>#NAME?</v>
      </c>
      <c r="V1557" s="144" t="str">
        <f t="shared" si="49"/>
        <v>85</v>
      </c>
      <c r="W1557" s="136">
        <f>+COMPROMISOS_2025[[#This Row],[valor_total]]-COMPROMISOS_2025[[#This Row],[total_cancelado]]</f>
        <v>800000</v>
      </c>
      <c r="X1557" s="136">
        <f>COMPROMISOS_2025[[#This Row],[total_ordenes]]</f>
        <v>800000</v>
      </c>
      <c r="Y1557" t="str" cm="1">
        <f t="array" aca="1" ref="Y1557" ca="1">IFERROR(_xlfn.XLOOKUP(COMPROMISOS_2025[[#This Row],[concatenado]],PAA[[#All],[RCP-RUBRO]],PAA[[#All],[Actividad3]],VLOOKUP(COMPROMISOS_2025[[#This Row],[Indicador Principal]],$AC$2:$AD$17,2,0),0),"")</f>
        <v/>
      </c>
    </row>
    <row r="1558" spans="1:25" hidden="1" x14ac:dyDescent="0.25">
      <c r="A1558">
        <v>1052</v>
      </c>
      <c r="B1558" t="s">
        <v>4164</v>
      </c>
      <c r="C1558" t="s">
        <v>1936</v>
      </c>
      <c r="D1558" t="s">
        <v>4165</v>
      </c>
      <c r="F1558">
        <v>359</v>
      </c>
      <c r="G1558">
        <v>65</v>
      </c>
      <c r="H1558" t="s">
        <v>662</v>
      </c>
      <c r="I1558" t="s">
        <v>2271</v>
      </c>
      <c r="J1558">
        <v>1300000</v>
      </c>
      <c r="K1558">
        <v>2025</v>
      </c>
      <c r="L1558">
        <v>1036252405</v>
      </c>
      <c r="M1558" t="s">
        <v>4068</v>
      </c>
      <c r="N1558" t="s">
        <v>1688</v>
      </c>
      <c r="O1558" t="s">
        <v>1686</v>
      </c>
      <c r="P1558">
        <v>0</v>
      </c>
      <c r="Q1558">
        <v>1300000</v>
      </c>
      <c r="R1558">
        <v>0</v>
      </c>
      <c r="S1558">
        <v>0</v>
      </c>
      <c r="T1558" t="str">
        <f t="shared" si="48"/>
        <v>10522.43.4302.85.0-205128.2.3.3.08.06.</v>
      </c>
      <c r="U1558" t="e" cm="1">
        <f t="array" aca="1" ref="U1558" ca="1">+IF(COMPROMISOS_2025[[#This Row],[P]]="20","41080111",_xlfn.XLOOKUP(COMPROMISOS_2025[[#This Row],[concatenado]],PAA[[#All],[RCP-RUBRO]],PAA[[#All],[INDICADOR]],"",0))</f>
        <v>#NAME?</v>
      </c>
      <c r="V1558" s="144" t="str">
        <f t="shared" si="49"/>
        <v>85</v>
      </c>
      <c r="W1558" s="136">
        <f>+COMPROMISOS_2025[[#This Row],[valor_total]]-COMPROMISOS_2025[[#This Row],[total_cancelado]]</f>
        <v>1300000</v>
      </c>
      <c r="X1558" s="136">
        <f>COMPROMISOS_2025[[#This Row],[total_ordenes]]</f>
        <v>1300000</v>
      </c>
      <c r="Y1558" t="str" cm="1">
        <f t="array" aca="1" ref="Y1558" ca="1">IFERROR(_xlfn.XLOOKUP(COMPROMISOS_2025[[#This Row],[concatenado]],PAA[[#All],[RCP-RUBRO]],PAA[[#All],[Actividad3]],VLOOKUP(COMPROMISOS_2025[[#This Row],[Indicador Principal]],$AC$2:$AD$17,2,0),0),"")</f>
        <v/>
      </c>
    </row>
    <row r="1559" spans="1:25" hidden="1" x14ac:dyDescent="0.25">
      <c r="A1559">
        <v>1053</v>
      </c>
      <c r="B1559" t="s">
        <v>4164</v>
      </c>
      <c r="C1559" t="s">
        <v>1936</v>
      </c>
      <c r="D1559" t="s">
        <v>4165</v>
      </c>
      <c r="F1559">
        <v>359</v>
      </c>
      <c r="G1559">
        <v>65</v>
      </c>
      <c r="H1559" t="s">
        <v>662</v>
      </c>
      <c r="I1559" t="s">
        <v>2271</v>
      </c>
      <c r="J1559">
        <v>500000</v>
      </c>
      <c r="K1559">
        <v>2025</v>
      </c>
      <c r="L1559">
        <v>1036254662</v>
      </c>
      <c r="M1559" t="s">
        <v>4069</v>
      </c>
      <c r="N1559" t="s">
        <v>1688</v>
      </c>
      <c r="O1559" t="s">
        <v>1686</v>
      </c>
      <c r="P1559">
        <v>0</v>
      </c>
      <c r="Q1559">
        <v>500000</v>
      </c>
      <c r="R1559">
        <v>0</v>
      </c>
      <c r="S1559">
        <v>0</v>
      </c>
      <c r="T1559" t="str">
        <f t="shared" si="48"/>
        <v>10532.43.4302.85.0-205128.2.3.3.08.06.</v>
      </c>
      <c r="U1559" t="e" cm="1">
        <f t="array" aca="1" ref="U1559" ca="1">+IF(COMPROMISOS_2025[[#This Row],[P]]="20","41080111",_xlfn.XLOOKUP(COMPROMISOS_2025[[#This Row],[concatenado]],PAA[[#All],[RCP-RUBRO]],PAA[[#All],[INDICADOR]],"",0))</f>
        <v>#NAME?</v>
      </c>
      <c r="V1559" s="144" t="str">
        <f t="shared" si="49"/>
        <v>85</v>
      </c>
      <c r="W1559" s="136">
        <f>+COMPROMISOS_2025[[#This Row],[valor_total]]-COMPROMISOS_2025[[#This Row],[total_cancelado]]</f>
        <v>500000</v>
      </c>
      <c r="X1559" s="136">
        <f>COMPROMISOS_2025[[#This Row],[total_ordenes]]</f>
        <v>500000</v>
      </c>
      <c r="Y1559" t="str" cm="1">
        <f t="array" aca="1" ref="Y1559" ca="1">IFERROR(_xlfn.XLOOKUP(COMPROMISOS_2025[[#This Row],[concatenado]],PAA[[#All],[RCP-RUBRO]],PAA[[#All],[Actividad3]],VLOOKUP(COMPROMISOS_2025[[#This Row],[Indicador Principal]],$AC$2:$AD$17,2,0),0),"")</f>
        <v/>
      </c>
    </row>
    <row r="1560" spans="1:25" hidden="1" x14ac:dyDescent="0.25">
      <c r="A1560">
        <v>1054</v>
      </c>
      <c r="B1560" t="s">
        <v>4164</v>
      </c>
      <c r="C1560" t="s">
        <v>1936</v>
      </c>
      <c r="D1560" t="s">
        <v>4165</v>
      </c>
      <c r="F1560">
        <v>359</v>
      </c>
      <c r="G1560">
        <v>65</v>
      </c>
      <c r="H1560" t="s">
        <v>662</v>
      </c>
      <c r="I1560" t="s">
        <v>2271</v>
      </c>
      <c r="J1560">
        <v>1300000</v>
      </c>
      <c r="K1560">
        <v>2025</v>
      </c>
      <c r="L1560">
        <v>1036402172</v>
      </c>
      <c r="M1560" t="s">
        <v>4070</v>
      </c>
      <c r="N1560" t="s">
        <v>1688</v>
      </c>
      <c r="O1560" t="s">
        <v>1686</v>
      </c>
      <c r="P1560">
        <v>0</v>
      </c>
      <c r="Q1560">
        <v>1300000</v>
      </c>
      <c r="R1560">
        <v>0</v>
      </c>
      <c r="S1560">
        <v>0</v>
      </c>
      <c r="T1560" t="str">
        <f t="shared" si="48"/>
        <v>10542.43.4302.85.0-205128.2.3.3.08.06.</v>
      </c>
      <c r="U1560" t="e" cm="1">
        <f t="array" aca="1" ref="U1560" ca="1">+IF(COMPROMISOS_2025[[#This Row],[P]]="20","41080111",_xlfn.XLOOKUP(COMPROMISOS_2025[[#This Row],[concatenado]],PAA[[#All],[RCP-RUBRO]],PAA[[#All],[INDICADOR]],"",0))</f>
        <v>#NAME?</v>
      </c>
      <c r="V1560" s="144" t="str">
        <f t="shared" si="49"/>
        <v>85</v>
      </c>
      <c r="W1560" s="136">
        <f>+COMPROMISOS_2025[[#This Row],[valor_total]]-COMPROMISOS_2025[[#This Row],[total_cancelado]]</f>
        <v>1300000</v>
      </c>
      <c r="X1560" s="136">
        <f>COMPROMISOS_2025[[#This Row],[total_ordenes]]</f>
        <v>1300000</v>
      </c>
      <c r="Y1560" t="str" cm="1">
        <f t="array" aca="1" ref="Y1560" ca="1">IFERROR(_xlfn.XLOOKUP(COMPROMISOS_2025[[#This Row],[concatenado]],PAA[[#All],[RCP-RUBRO]],PAA[[#All],[Actividad3]],VLOOKUP(COMPROMISOS_2025[[#This Row],[Indicador Principal]],$AC$2:$AD$17,2,0),0),"")</f>
        <v/>
      </c>
    </row>
    <row r="1561" spans="1:25" hidden="1" x14ac:dyDescent="0.25">
      <c r="A1561">
        <v>1055</v>
      </c>
      <c r="B1561" t="s">
        <v>4164</v>
      </c>
      <c r="C1561" t="s">
        <v>1936</v>
      </c>
      <c r="D1561" t="s">
        <v>4165</v>
      </c>
      <c r="F1561">
        <v>359</v>
      </c>
      <c r="G1561">
        <v>65</v>
      </c>
      <c r="H1561" t="s">
        <v>662</v>
      </c>
      <c r="I1561" t="s">
        <v>2271</v>
      </c>
      <c r="J1561">
        <v>500000</v>
      </c>
      <c r="K1561">
        <v>2025</v>
      </c>
      <c r="L1561">
        <v>1036449496</v>
      </c>
      <c r="M1561" t="s">
        <v>4071</v>
      </c>
      <c r="N1561" t="s">
        <v>1688</v>
      </c>
      <c r="O1561" t="s">
        <v>1686</v>
      </c>
      <c r="P1561">
        <v>0</v>
      </c>
      <c r="Q1561">
        <v>500000</v>
      </c>
      <c r="R1561">
        <v>0</v>
      </c>
      <c r="S1561">
        <v>0</v>
      </c>
      <c r="T1561" t="str">
        <f t="shared" si="48"/>
        <v>10552.43.4302.85.0-205128.2.3.3.08.06.</v>
      </c>
      <c r="U1561" t="e" cm="1">
        <f t="array" aca="1" ref="U1561" ca="1">+IF(COMPROMISOS_2025[[#This Row],[P]]="20","41080111",_xlfn.XLOOKUP(COMPROMISOS_2025[[#This Row],[concatenado]],PAA[[#All],[RCP-RUBRO]],PAA[[#All],[INDICADOR]],"",0))</f>
        <v>#NAME?</v>
      </c>
      <c r="V1561" s="144" t="str">
        <f t="shared" si="49"/>
        <v>85</v>
      </c>
      <c r="W1561" s="136">
        <f>+COMPROMISOS_2025[[#This Row],[valor_total]]-COMPROMISOS_2025[[#This Row],[total_cancelado]]</f>
        <v>500000</v>
      </c>
      <c r="X1561" s="136">
        <f>COMPROMISOS_2025[[#This Row],[total_ordenes]]</f>
        <v>500000</v>
      </c>
      <c r="Y1561" t="str" cm="1">
        <f t="array" aca="1" ref="Y1561" ca="1">IFERROR(_xlfn.XLOOKUP(COMPROMISOS_2025[[#This Row],[concatenado]],PAA[[#All],[RCP-RUBRO]],PAA[[#All],[Actividad3]],VLOOKUP(COMPROMISOS_2025[[#This Row],[Indicador Principal]],$AC$2:$AD$17,2,0),0),"")</f>
        <v/>
      </c>
    </row>
    <row r="1562" spans="1:25" hidden="1" x14ac:dyDescent="0.25">
      <c r="A1562">
        <v>1056</v>
      </c>
      <c r="B1562" t="s">
        <v>4164</v>
      </c>
      <c r="C1562" t="s">
        <v>1936</v>
      </c>
      <c r="D1562" t="s">
        <v>4165</v>
      </c>
      <c r="F1562">
        <v>359</v>
      </c>
      <c r="G1562">
        <v>65</v>
      </c>
      <c r="H1562" t="s">
        <v>662</v>
      </c>
      <c r="I1562" t="s">
        <v>2271</v>
      </c>
      <c r="J1562">
        <v>500000</v>
      </c>
      <c r="K1562">
        <v>2025</v>
      </c>
      <c r="L1562">
        <v>1036452388</v>
      </c>
      <c r="M1562" t="s">
        <v>3781</v>
      </c>
      <c r="N1562" t="s">
        <v>1688</v>
      </c>
      <c r="O1562" t="s">
        <v>1686</v>
      </c>
      <c r="P1562">
        <v>0</v>
      </c>
      <c r="Q1562">
        <v>500000</v>
      </c>
      <c r="R1562">
        <v>0</v>
      </c>
      <c r="S1562">
        <v>0</v>
      </c>
      <c r="T1562" t="str">
        <f t="shared" si="48"/>
        <v>10562.43.4302.85.0-205128.2.3.3.08.06.</v>
      </c>
      <c r="U1562" t="e" cm="1">
        <f t="array" aca="1" ref="U1562" ca="1">+IF(COMPROMISOS_2025[[#This Row],[P]]="20","41080111",_xlfn.XLOOKUP(COMPROMISOS_2025[[#This Row],[concatenado]],PAA[[#All],[RCP-RUBRO]],PAA[[#All],[INDICADOR]],"",0))</f>
        <v>#NAME?</v>
      </c>
      <c r="V1562" s="144" t="str">
        <f t="shared" si="49"/>
        <v>85</v>
      </c>
      <c r="W1562" s="136">
        <f>+COMPROMISOS_2025[[#This Row],[valor_total]]-COMPROMISOS_2025[[#This Row],[total_cancelado]]</f>
        <v>500000</v>
      </c>
      <c r="X1562" s="136">
        <f>COMPROMISOS_2025[[#This Row],[total_ordenes]]</f>
        <v>500000</v>
      </c>
      <c r="Y1562" t="str" cm="1">
        <f t="array" aca="1" ref="Y1562" ca="1">IFERROR(_xlfn.XLOOKUP(COMPROMISOS_2025[[#This Row],[concatenado]],PAA[[#All],[RCP-RUBRO]],PAA[[#All],[Actividad3]],VLOOKUP(COMPROMISOS_2025[[#This Row],[Indicador Principal]],$AC$2:$AD$17,2,0),0),"")</f>
        <v/>
      </c>
    </row>
    <row r="1563" spans="1:25" hidden="1" x14ac:dyDescent="0.25">
      <c r="A1563">
        <v>1057</v>
      </c>
      <c r="B1563" t="s">
        <v>4164</v>
      </c>
      <c r="C1563" t="s">
        <v>1936</v>
      </c>
      <c r="D1563" t="s">
        <v>4165</v>
      </c>
      <c r="F1563">
        <v>359</v>
      </c>
      <c r="G1563">
        <v>65</v>
      </c>
      <c r="H1563" t="s">
        <v>662</v>
      </c>
      <c r="I1563" t="s">
        <v>2271</v>
      </c>
      <c r="J1563">
        <v>500000</v>
      </c>
      <c r="K1563">
        <v>2025</v>
      </c>
      <c r="L1563">
        <v>1036635661</v>
      </c>
      <c r="M1563" t="s">
        <v>4072</v>
      </c>
      <c r="N1563" t="s">
        <v>1688</v>
      </c>
      <c r="O1563" t="s">
        <v>1686</v>
      </c>
      <c r="P1563">
        <v>0</v>
      </c>
      <c r="Q1563">
        <v>500000</v>
      </c>
      <c r="R1563">
        <v>0</v>
      </c>
      <c r="S1563">
        <v>0</v>
      </c>
      <c r="T1563" t="str">
        <f t="shared" si="48"/>
        <v>10572.43.4302.85.0-205128.2.3.3.08.06.</v>
      </c>
      <c r="U1563" t="e" cm="1">
        <f t="array" aca="1" ref="U1563" ca="1">+IF(COMPROMISOS_2025[[#This Row],[P]]="20","41080111",_xlfn.XLOOKUP(COMPROMISOS_2025[[#This Row],[concatenado]],PAA[[#All],[RCP-RUBRO]],PAA[[#All],[INDICADOR]],"",0))</f>
        <v>#NAME?</v>
      </c>
      <c r="V1563" s="144" t="str">
        <f t="shared" si="49"/>
        <v>85</v>
      </c>
      <c r="W1563" s="136">
        <f>+COMPROMISOS_2025[[#This Row],[valor_total]]-COMPROMISOS_2025[[#This Row],[total_cancelado]]</f>
        <v>500000</v>
      </c>
      <c r="X1563" s="136">
        <f>COMPROMISOS_2025[[#This Row],[total_ordenes]]</f>
        <v>500000</v>
      </c>
      <c r="Y1563" t="str" cm="1">
        <f t="array" aca="1" ref="Y1563" ca="1">IFERROR(_xlfn.XLOOKUP(COMPROMISOS_2025[[#This Row],[concatenado]],PAA[[#All],[RCP-RUBRO]],PAA[[#All],[Actividad3]],VLOOKUP(COMPROMISOS_2025[[#This Row],[Indicador Principal]],$AC$2:$AD$17,2,0),0),"")</f>
        <v/>
      </c>
    </row>
    <row r="1564" spans="1:25" hidden="1" x14ac:dyDescent="0.25">
      <c r="A1564">
        <v>1058</v>
      </c>
      <c r="B1564" t="s">
        <v>4164</v>
      </c>
      <c r="C1564" t="s">
        <v>1936</v>
      </c>
      <c r="D1564" t="s">
        <v>4165</v>
      </c>
      <c r="F1564">
        <v>359</v>
      </c>
      <c r="G1564">
        <v>65</v>
      </c>
      <c r="H1564" t="s">
        <v>662</v>
      </c>
      <c r="I1564" t="s">
        <v>2271</v>
      </c>
      <c r="J1564">
        <v>800000</v>
      </c>
      <c r="K1564">
        <v>2025</v>
      </c>
      <c r="L1564">
        <v>1036671857</v>
      </c>
      <c r="M1564" t="s">
        <v>4073</v>
      </c>
      <c r="N1564" t="s">
        <v>1688</v>
      </c>
      <c r="O1564" t="s">
        <v>1686</v>
      </c>
      <c r="P1564">
        <v>0</v>
      </c>
      <c r="Q1564">
        <v>800000</v>
      </c>
      <c r="R1564">
        <v>0</v>
      </c>
      <c r="S1564">
        <v>0</v>
      </c>
      <c r="T1564" t="str">
        <f t="shared" si="48"/>
        <v>10582.43.4302.85.0-205128.2.3.3.08.06.</v>
      </c>
      <c r="U1564" t="e" cm="1">
        <f t="array" aca="1" ref="U1564" ca="1">+IF(COMPROMISOS_2025[[#This Row],[P]]="20","41080111",_xlfn.XLOOKUP(COMPROMISOS_2025[[#This Row],[concatenado]],PAA[[#All],[RCP-RUBRO]],PAA[[#All],[INDICADOR]],"",0))</f>
        <v>#NAME?</v>
      </c>
      <c r="V1564" s="144" t="str">
        <f t="shared" si="49"/>
        <v>85</v>
      </c>
      <c r="W1564" s="136">
        <f>+COMPROMISOS_2025[[#This Row],[valor_total]]-COMPROMISOS_2025[[#This Row],[total_cancelado]]</f>
        <v>800000</v>
      </c>
      <c r="X1564" s="136">
        <f>COMPROMISOS_2025[[#This Row],[total_ordenes]]</f>
        <v>800000</v>
      </c>
      <c r="Y1564" t="str" cm="1">
        <f t="array" aca="1" ref="Y1564" ca="1">IFERROR(_xlfn.XLOOKUP(COMPROMISOS_2025[[#This Row],[concatenado]],PAA[[#All],[RCP-RUBRO]],PAA[[#All],[Actividad3]],VLOOKUP(COMPROMISOS_2025[[#This Row],[Indicador Principal]],$AC$2:$AD$17,2,0),0),"")</f>
        <v/>
      </c>
    </row>
    <row r="1565" spans="1:25" hidden="1" x14ac:dyDescent="0.25">
      <c r="A1565">
        <v>1059</v>
      </c>
      <c r="B1565" t="s">
        <v>4164</v>
      </c>
      <c r="C1565" t="s">
        <v>1936</v>
      </c>
      <c r="D1565" t="s">
        <v>4165</v>
      </c>
      <c r="F1565">
        <v>359</v>
      </c>
      <c r="G1565">
        <v>65</v>
      </c>
      <c r="H1565" t="s">
        <v>662</v>
      </c>
      <c r="I1565" t="s">
        <v>2271</v>
      </c>
      <c r="J1565">
        <v>500000</v>
      </c>
      <c r="K1565">
        <v>2025</v>
      </c>
      <c r="L1565">
        <v>1036671884</v>
      </c>
      <c r="M1565" t="s">
        <v>4074</v>
      </c>
      <c r="N1565" t="s">
        <v>1688</v>
      </c>
      <c r="O1565" t="s">
        <v>1686</v>
      </c>
      <c r="P1565">
        <v>0</v>
      </c>
      <c r="Q1565">
        <v>500000</v>
      </c>
      <c r="R1565">
        <v>0</v>
      </c>
      <c r="S1565">
        <v>0</v>
      </c>
      <c r="T1565" t="str">
        <f t="shared" si="48"/>
        <v>10592.43.4302.85.0-205128.2.3.3.08.06.</v>
      </c>
      <c r="U1565" t="e" cm="1">
        <f t="array" aca="1" ref="U1565" ca="1">+IF(COMPROMISOS_2025[[#This Row],[P]]="20","41080111",_xlfn.XLOOKUP(COMPROMISOS_2025[[#This Row],[concatenado]],PAA[[#All],[RCP-RUBRO]],PAA[[#All],[INDICADOR]],"",0))</f>
        <v>#NAME?</v>
      </c>
      <c r="V1565" s="144" t="str">
        <f t="shared" si="49"/>
        <v>85</v>
      </c>
      <c r="W1565" s="136">
        <f>+COMPROMISOS_2025[[#This Row],[valor_total]]-COMPROMISOS_2025[[#This Row],[total_cancelado]]</f>
        <v>500000</v>
      </c>
      <c r="X1565" s="136">
        <f>COMPROMISOS_2025[[#This Row],[total_ordenes]]</f>
        <v>500000</v>
      </c>
      <c r="Y1565" t="str" cm="1">
        <f t="array" aca="1" ref="Y1565" ca="1">IFERROR(_xlfn.XLOOKUP(COMPROMISOS_2025[[#This Row],[concatenado]],PAA[[#All],[RCP-RUBRO]],PAA[[#All],[Actividad3]],VLOOKUP(COMPROMISOS_2025[[#This Row],[Indicador Principal]],$AC$2:$AD$17,2,0),0),"")</f>
        <v/>
      </c>
    </row>
    <row r="1566" spans="1:25" hidden="1" x14ac:dyDescent="0.25">
      <c r="A1566">
        <v>1060</v>
      </c>
      <c r="B1566" t="s">
        <v>4164</v>
      </c>
      <c r="C1566" t="s">
        <v>1936</v>
      </c>
      <c r="D1566" t="s">
        <v>4165</v>
      </c>
      <c r="F1566">
        <v>359</v>
      </c>
      <c r="G1566">
        <v>65</v>
      </c>
      <c r="H1566" t="s">
        <v>662</v>
      </c>
      <c r="I1566" t="s">
        <v>2271</v>
      </c>
      <c r="J1566">
        <v>500000</v>
      </c>
      <c r="K1566">
        <v>2025</v>
      </c>
      <c r="L1566">
        <v>10366860575</v>
      </c>
      <c r="M1566" t="s">
        <v>3213</v>
      </c>
      <c r="N1566" t="s">
        <v>1688</v>
      </c>
      <c r="O1566" t="s">
        <v>1686</v>
      </c>
      <c r="P1566">
        <v>0</v>
      </c>
      <c r="Q1566">
        <v>500000</v>
      </c>
      <c r="R1566">
        <v>0</v>
      </c>
      <c r="S1566">
        <v>0</v>
      </c>
      <c r="T1566" t="str">
        <f t="shared" si="48"/>
        <v>10602.43.4302.85.0-205128.2.3.3.08.06.</v>
      </c>
      <c r="U1566" t="e" cm="1">
        <f t="array" aca="1" ref="U1566" ca="1">+IF(COMPROMISOS_2025[[#This Row],[P]]="20","41080111",_xlfn.XLOOKUP(COMPROMISOS_2025[[#This Row],[concatenado]],PAA[[#All],[RCP-RUBRO]],PAA[[#All],[INDICADOR]],"",0))</f>
        <v>#NAME?</v>
      </c>
      <c r="V1566" s="144" t="str">
        <f t="shared" si="49"/>
        <v>85</v>
      </c>
      <c r="W1566" s="136">
        <f>+COMPROMISOS_2025[[#This Row],[valor_total]]-COMPROMISOS_2025[[#This Row],[total_cancelado]]</f>
        <v>500000</v>
      </c>
      <c r="X1566" s="136">
        <f>COMPROMISOS_2025[[#This Row],[total_ordenes]]</f>
        <v>500000</v>
      </c>
      <c r="Y1566" t="str" cm="1">
        <f t="array" aca="1" ref="Y1566" ca="1">IFERROR(_xlfn.XLOOKUP(COMPROMISOS_2025[[#This Row],[concatenado]],PAA[[#All],[RCP-RUBRO]],PAA[[#All],[Actividad3]],VLOOKUP(COMPROMISOS_2025[[#This Row],[Indicador Principal]],$AC$2:$AD$17,2,0),0),"")</f>
        <v/>
      </c>
    </row>
    <row r="1567" spans="1:25" hidden="1" x14ac:dyDescent="0.25">
      <c r="A1567">
        <v>1061</v>
      </c>
      <c r="B1567" t="s">
        <v>4164</v>
      </c>
      <c r="C1567" t="s">
        <v>1936</v>
      </c>
      <c r="D1567" t="s">
        <v>4165</v>
      </c>
      <c r="F1567">
        <v>359</v>
      </c>
      <c r="G1567">
        <v>65</v>
      </c>
      <c r="H1567" t="s">
        <v>662</v>
      </c>
      <c r="I1567" t="s">
        <v>2271</v>
      </c>
      <c r="J1567">
        <v>500000</v>
      </c>
      <c r="K1567">
        <v>2025</v>
      </c>
      <c r="L1567">
        <v>1036864446</v>
      </c>
      <c r="M1567" t="s">
        <v>4075</v>
      </c>
      <c r="N1567" t="s">
        <v>1688</v>
      </c>
      <c r="O1567" t="s">
        <v>1686</v>
      </c>
      <c r="P1567">
        <v>0</v>
      </c>
      <c r="Q1567">
        <v>500000</v>
      </c>
      <c r="R1567">
        <v>0</v>
      </c>
      <c r="S1567">
        <v>0</v>
      </c>
      <c r="T1567" t="str">
        <f t="shared" si="48"/>
        <v>10612.43.4302.85.0-205128.2.3.3.08.06.</v>
      </c>
      <c r="U1567" t="e" cm="1">
        <f t="array" aca="1" ref="U1567" ca="1">+IF(COMPROMISOS_2025[[#This Row],[P]]="20","41080111",_xlfn.XLOOKUP(COMPROMISOS_2025[[#This Row],[concatenado]],PAA[[#All],[RCP-RUBRO]],PAA[[#All],[INDICADOR]],"",0))</f>
        <v>#NAME?</v>
      </c>
      <c r="V1567" s="144" t="str">
        <f t="shared" si="49"/>
        <v>85</v>
      </c>
      <c r="W1567" s="136">
        <f>+COMPROMISOS_2025[[#This Row],[valor_total]]-COMPROMISOS_2025[[#This Row],[total_cancelado]]</f>
        <v>500000</v>
      </c>
      <c r="X1567" s="136">
        <f>COMPROMISOS_2025[[#This Row],[total_ordenes]]</f>
        <v>500000</v>
      </c>
      <c r="Y1567" t="str" cm="1">
        <f t="array" aca="1" ref="Y1567" ca="1">IFERROR(_xlfn.XLOOKUP(COMPROMISOS_2025[[#This Row],[concatenado]],PAA[[#All],[RCP-RUBRO]],PAA[[#All],[Actividad3]],VLOOKUP(COMPROMISOS_2025[[#This Row],[Indicador Principal]],$AC$2:$AD$17,2,0),0),"")</f>
        <v/>
      </c>
    </row>
    <row r="1568" spans="1:25" hidden="1" x14ac:dyDescent="0.25">
      <c r="A1568">
        <v>1062</v>
      </c>
      <c r="B1568" t="s">
        <v>4164</v>
      </c>
      <c r="C1568" t="s">
        <v>1936</v>
      </c>
      <c r="D1568" t="s">
        <v>4165</v>
      </c>
      <c r="F1568">
        <v>359</v>
      </c>
      <c r="G1568">
        <v>65</v>
      </c>
      <c r="H1568" t="s">
        <v>662</v>
      </c>
      <c r="I1568" t="s">
        <v>2271</v>
      </c>
      <c r="J1568">
        <v>500000</v>
      </c>
      <c r="K1568">
        <v>2025</v>
      </c>
      <c r="L1568">
        <v>1036934809</v>
      </c>
      <c r="M1568" t="s">
        <v>3786</v>
      </c>
      <c r="N1568" t="s">
        <v>1688</v>
      </c>
      <c r="O1568" t="s">
        <v>1686</v>
      </c>
      <c r="P1568">
        <v>0</v>
      </c>
      <c r="Q1568">
        <v>500000</v>
      </c>
      <c r="R1568">
        <v>0</v>
      </c>
      <c r="S1568">
        <v>0</v>
      </c>
      <c r="T1568" t="str">
        <f t="shared" si="48"/>
        <v>10622.43.4302.85.0-205128.2.3.3.08.06.</v>
      </c>
      <c r="U1568" t="e" cm="1">
        <f t="array" aca="1" ref="U1568" ca="1">+IF(COMPROMISOS_2025[[#This Row],[P]]="20","41080111",_xlfn.XLOOKUP(COMPROMISOS_2025[[#This Row],[concatenado]],PAA[[#All],[RCP-RUBRO]],PAA[[#All],[INDICADOR]],"",0))</f>
        <v>#NAME?</v>
      </c>
      <c r="V1568" s="144" t="str">
        <f t="shared" si="49"/>
        <v>85</v>
      </c>
      <c r="W1568" s="136">
        <f>+COMPROMISOS_2025[[#This Row],[valor_total]]-COMPROMISOS_2025[[#This Row],[total_cancelado]]</f>
        <v>500000</v>
      </c>
      <c r="X1568" s="136">
        <f>COMPROMISOS_2025[[#This Row],[total_ordenes]]</f>
        <v>500000</v>
      </c>
      <c r="Y1568" t="str" cm="1">
        <f t="array" aca="1" ref="Y1568" ca="1">IFERROR(_xlfn.XLOOKUP(COMPROMISOS_2025[[#This Row],[concatenado]],PAA[[#All],[RCP-RUBRO]],PAA[[#All],[Actividad3]],VLOOKUP(COMPROMISOS_2025[[#This Row],[Indicador Principal]],$AC$2:$AD$17,2,0),0),"")</f>
        <v/>
      </c>
    </row>
    <row r="1569" spans="1:25" hidden="1" x14ac:dyDescent="0.25">
      <c r="A1569">
        <v>1063</v>
      </c>
      <c r="B1569" t="s">
        <v>4164</v>
      </c>
      <c r="C1569" t="s">
        <v>1936</v>
      </c>
      <c r="D1569" t="s">
        <v>4165</v>
      </c>
      <c r="F1569">
        <v>359</v>
      </c>
      <c r="G1569">
        <v>65</v>
      </c>
      <c r="H1569" t="s">
        <v>662</v>
      </c>
      <c r="I1569" t="s">
        <v>2271</v>
      </c>
      <c r="J1569">
        <v>500000</v>
      </c>
      <c r="K1569">
        <v>2025</v>
      </c>
      <c r="L1569">
        <v>1036944154</v>
      </c>
      <c r="M1569" t="s">
        <v>3788</v>
      </c>
      <c r="N1569" t="s">
        <v>1688</v>
      </c>
      <c r="O1569" t="s">
        <v>1686</v>
      </c>
      <c r="P1569">
        <v>0</v>
      </c>
      <c r="Q1569">
        <v>500000</v>
      </c>
      <c r="R1569">
        <v>0</v>
      </c>
      <c r="S1569">
        <v>0</v>
      </c>
      <c r="T1569" t="str">
        <f t="shared" si="48"/>
        <v>10632.43.4302.85.0-205128.2.3.3.08.06.</v>
      </c>
      <c r="U1569" t="e" cm="1">
        <f t="array" aca="1" ref="U1569" ca="1">+IF(COMPROMISOS_2025[[#This Row],[P]]="20","41080111",_xlfn.XLOOKUP(COMPROMISOS_2025[[#This Row],[concatenado]],PAA[[#All],[RCP-RUBRO]],PAA[[#All],[INDICADOR]],"",0))</f>
        <v>#NAME?</v>
      </c>
      <c r="V1569" s="144" t="str">
        <f t="shared" si="49"/>
        <v>85</v>
      </c>
      <c r="W1569" s="136">
        <f>+COMPROMISOS_2025[[#This Row],[valor_total]]-COMPROMISOS_2025[[#This Row],[total_cancelado]]</f>
        <v>500000</v>
      </c>
      <c r="X1569" s="136">
        <f>COMPROMISOS_2025[[#This Row],[total_ordenes]]</f>
        <v>500000</v>
      </c>
      <c r="Y1569" t="str" cm="1">
        <f t="array" aca="1" ref="Y1569" ca="1">IFERROR(_xlfn.XLOOKUP(COMPROMISOS_2025[[#This Row],[concatenado]],PAA[[#All],[RCP-RUBRO]],PAA[[#All],[Actividad3]],VLOOKUP(COMPROMISOS_2025[[#This Row],[Indicador Principal]],$AC$2:$AD$17,2,0),0),"")</f>
        <v/>
      </c>
    </row>
    <row r="1570" spans="1:25" hidden="1" x14ac:dyDescent="0.25">
      <c r="A1570">
        <v>1064</v>
      </c>
      <c r="B1570" t="s">
        <v>4164</v>
      </c>
      <c r="C1570" t="s">
        <v>1936</v>
      </c>
      <c r="D1570" t="s">
        <v>4165</v>
      </c>
      <c r="F1570">
        <v>359</v>
      </c>
      <c r="G1570">
        <v>65</v>
      </c>
      <c r="H1570" t="s">
        <v>662</v>
      </c>
      <c r="I1570" t="s">
        <v>2271</v>
      </c>
      <c r="J1570">
        <v>500000</v>
      </c>
      <c r="K1570">
        <v>2025</v>
      </c>
      <c r="L1570">
        <v>1036955838</v>
      </c>
      <c r="M1570" t="s">
        <v>4076</v>
      </c>
      <c r="N1570" t="s">
        <v>1688</v>
      </c>
      <c r="O1570" t="s">
        <v>1686</v>
      </c>
      <c r="P1570">
        <v>0</v>
      </c>
      <c r="Q1570">
        <v>500000</v>
      </c>
      <c r="R1570">
        <v>0</v>
      </c>
      <c r="S1570">
        <v>0</v>
      </c>
      <c r="T1570" t="str">
        <f t="shared" si="48"/>
        <v>10642.43.4302.85.0-205128.2.3.3.08.06.</v>
      </c>
      <c r="U1570" t="e" cm="1">
        <f t="array" aca="1" ref="U1570" ca="1">+IF(COMPROMISOS_2025[[#This Row],[P]]="20","41080111",_xlfn.XLOOKUP(COMPROMISOS_2025[[#This Row],[concatenado]],PAA[[#All],[RCP-RUBRO]],PAA[[#All],[INDICADOR]],"",0))</f>
        <v>#NAME?</v>
      </c>
      <c r="V1570" s="144" t="str">
        <f t="shared" si="49"/>
        <v>85</v>
      </c>
      <c r="W1570" s="136">
        <f>+COMPROMISOS_2025[[#This Row],[valor_total]]-COMPROMISOS_2025[[#This Row],[total_cancelado]]</f>
        <v>500000</v>
      </c>
      <c r="X1570" s="136">
        <f>COMPROMISOS_2025[[#This Row],[total_ordenes]]</f>
        <v>500000</v>
      </c>
      <c r="Y1570" t="str" cm="1">
        <f t="array" aca="1" ref="Y1570" ca="1">IFERROR(_xlfn.XLOOKUP(COMPROMISOS_2025[[#This Row],[concatenado]],PAA[[#All],[RCP-RUBRO]],PAA[[#All],[Actividad3]],VLOOKUP(COMPROMISOS_2025[[#This Row],[Indicador Principal]],$AC$2:$AD$17,2,0),0),"")</f>
        <v/>
      </c>
    </row>
    <row r="1571" spans="1:25" hidden="1" x14ac:dyDescent="0.25">
      <c r="A1571">
        <v>1065</v>
      </c>
      <c r="B1571" t="s">
        <v>4164</v>
      </c>
      <c r="C1571" t="s">
        <v>1936</v>
      </c>
      <c r="D1571" t="s">
        <v>4165</v>
      </c>
      <c r="F1571">
        <v>359</v>
      </c>
      <c r="G1571">
        <v>65</v>
      </c>
      <c r="H1571" t="s">
        <v>662</v>
      </c>
      <c r="I1571" t="s">
        <v>2271</v>
      </c>
      <c r="J1571">
        <v>1300000</v>
      </c>
      <c r="K1571">
        <v>2025</v>
      </c>
      <c r="L1571">
        <v>1036960412</v>
      </c>
      <c r="M1571" t="s">
        <v>4077</v>
      </c>
      <c r="N1571" t="s">
        <v>1688</v>
      </c>
      <c r="O1571" t="s">
        <v>1686</v>
      </c>
      <c r="P1571">
        <v>0</v>
      </c>
      <c r="Q1571">
        <v>1300000</v>
      </c>
      <c r="R1571">
        <v>0</v>
      </c>
      <c r="S1571">
        <v>0</v>
      </c>
      <c r="T1571" t="str">
        <f t="shared" si="48"/>
        <v>10652.43.4302.85.0-205128.2.3.3.08.06.</v>
      </c>
      <c r="U1571" t="e" cm="1">
        <f t="array" aca="1" ref="U1571" ca="1">+IF(COMPROMISOS_2025[[#This Row],[P]]="20","41080111",_xlfn.XLOOKUP(COMPROMISOS_2025[[#This Row],[concatenado]],PAA[[#All],[RCP-RUBRO]],PAA[[#All],[INDICADOR]],"",0))</f>
        <v>#NAME?</v>
      </c>
      <c r="V1571" s="144" t="str">
        <f t="shared" si="49"/>
        <v>85</v>
      </c>
      <c r="W1571" s="136">
        <f>+COMPROMISOS_2025[[#This Row],[valor_total]]-COMPROMISOS_2025[[#This Row],[total_cancelado]]</f>
        <v>1300000</v>
      </c>
      <c r="X1571" s="136">
        <f>COMPROMISOS_2025[[#This Row],[total_ordenes]]</f>
        <v>1300000</v>
      </c>
      <c r="Y1571" t="str" cm="1">
        <f t="array" aca="1" ref="Y1571" ca="1">IFERROR(_xlfn.XLOOKUP(COMPROMISOS_2025[[#This Row],[concatenado]],PAA[[#All],[RCP-RUBRO]],PAA[[#All],[Actividad3]],VLOOKUP(COMPROMISOS_2025[[#This Row],[Indicador Principal]],$AC$2:$AD$17,2,0),0),"")</f>
        <v/>
      </c>
    </row>
    <row r="1572" spans="1:25" hidden="1" x14ac:dyDescent="0.25">
      <c r="A1572">
        <v>1066</v>
      </c>
      <c r="B1572" t="s">
        <v>4164</v>
      </c>
      <c r="C1572" t="s">
        <v>1936</v>
      </c>
      <c r="D1572" t="s">
        <v>4165</v>
      </c>
      <c r="F1572">
        <v>359</v>
      </c>
      <c r="G1572">
        <v>65</v>
      </c>
      <c r="H1572" t="s">
        <v>662</v>
      </c>
      <c r="I1572" t="s">
        <v>2271</v>
      </c>
      <c r="J1572">
        <v>500000</v>
      </c>
      <c r="K1572">
        <v>2025</v>
      </c>
      <c r="L1572">
        <v>1037072664</v>
      </c>
      <c r="M1572" t="s">
        <v>4078</v>
      </c>
      <c r="N1572" t="s">
        <v>1688</v>
      </c>
      <c r="O1572" t="s">
        <v>1686</v>
      </c>
      <c r="P1572">
        <v>0</v>
      </c>
      <c r="Q1572">
        <v>500000</v>
      </c>
      <c r="R1572">
        <v>0</v>
      </c>
      <c r="S1572">
        <v>0</v>
      </c>
      <c r="T1572" t="str">
        <f t="shared" si="48"/>
        <v>10662.43.4302.85.0-205128.2.3.3.08.06.</v>
      </c>
      <c r="U1572" t="e" cm="1">
        <f t="array" aca="1" ref="U1572" ca="1">+IF(COMPROMISOS_2025[[#This Row],[P]]="20","41080111",_xlfn.XLOOKUP(COMPROMISOS_2025[[#This Row],[concatenado]],PAA[[#All],[RCP-RUBRO]],PAA[[#All],[INDICADOR]],"",0))</f>
        <v>#NAME?</v>
      </c>
      <c r="V1572" s="144" t="str">
        <f t="shared" si="49"/>
        <v>85</v>
      </c>
      <c r="W1572" s="136">
        <f>+COMPROMISOS_2025[[#This Row],[valor_total]]-COMPROMISOS_2025[[#This Row],[total_cancelado]]</f>
        <v>500000</v>
      </c>
      <c r="X1572" s="136">
        <f>COMPROMISOS_2025[[#This Row],[total_ordenes]]</f>
        <v>500000</v>
      </c>
      <c r="Y1572" t="str" cm="1">
        <f t="array" aca="1" ref="Y1572" ca="1">IFERROR(_xlfn.XLOOKUP(COMPROMISOS_2025[[#This Row],[concatenado]],PAA[[#All],[RCP-RUBRO]],PAA[[#All],[Actividad3]],VLOOKUP(COMPROMISOS_2025[[#This Row],[Indicador Principal]],$AC$2:$AD$17,2,0),0),"")</f>
        <v/>
      </c>
    </row>
    <row r="1573" spans="1:25" hidden="1" x14ac:dyDescent="0.25">
      <c r="A1573">
        <v>1067</v>
      </c>
      <c r="B1573" t="s">
        <v>4164</v>
      </c>
      <c r="C1573" t="s">
        <v>1936</v>
      </c>
      <c r="D1573" t="s">
        <v>4165</v>
      </c>
      <c r="F1573">
        <v>359</v>
      </c>
      <c r="G1573">
        <v>65</v>
      </c>
      <c r="H1573" t="s">
        <v>662</v>
      </c>
      <c r="I1573" t="s">
        <v>2271</v>
      </c>
      <c r="J1573">
        <v>500000</v>
      </c>
      <c r="K1573">
        <v>2025</v>
      </c>
      <c r="L1573">
        <v>1037121565</v>
      </c>
      <c r="M1573" t="s">
        <v>4079</v>
      </c>
      <c r="N1573" t="s">
        <v>1688</v>
      </c>
      <c r="O1573" t="s">
        <v>1686</v>
      </c>
      <c r="P1573">
        <v>0</v>
      </c>
      <c r="Q1573">
        <v>500000</v>
      </c>
      <c r="R1573">
        <v>0</v>
      </c>
      <c r="S1573">
        <v>0</v>
      </c>
      <c r="T1573" t="str">
        <f t="shared" si="48"/>
        <v>10672.43.4302.85.0-205128.2.3.3.08.06.</v>
      </c>
      <c r="U1573" t="e" cm="1">
        <f t="array" aca="1" ref="U1573" ca="1">+IF(COMPROMISOS_2025[[#This Row],[P]]="20","41080111",_xlfn.XLOOKUP(COMPROMISOS_2025[[#This Row],[concatenado]],PAA[[#All],[RCP-RUBRO]],PAA[[#All],[INDICADOR]],"",0))</f>
        <v>#NAME?</v>
      </c>
      <c r="V1573" s="144" t="str">
        <f t="shared" si="49"/>
        <v>85</v>
      </c>
      <c r="W1573" s="136">
        <f>+COMPROMISOS_2025[[#This Row],[valor_total]]-COMPROMISOS_2025[[#This Row],[total_cancelado]]</f>
        <v>500000</v>
      </c>
      <c r="X1573" s="136">
        <f>COMPROMISOS_2025[[#This Row],[total_ordenes]]</f>
        <v>500000</v>
      </c>
      <c r="Y1573" t="str" cm="1">
        <f t="array" aca="1" ref="Y1573" ca="1">IFERROR(_xlfn.XLOOKUP(COMPROMISOS_2025[[#This Row],[concatenado]],PAA[[#All],[RCP-RUBRO]],PAA[[#All],[Actividad3]],VLOOKUP(COMPROMISOS_2025[[#This Row],[Indicador Principal]],$AC$2:$AD$17,2,0),0),"")</f>
        <v/>
      </c>
    </row>
    <row r="1574" spans="1:25" hidden="1" x14ac:dyDescent="0.25">
      <c r="A1574">
        <v>1068</v>
      </c>
      <c r="B1574" t="s">
        <v>4164</v>
      </c>
      <c r="C1574" t="s">
        <v>1936</v>
      </c>
      <c r="D1574" t="s">
        <v>4165</v>
      </c>
      <c r="F1574">
        <v>359</v>
      </c>
      <c r="G1574">
        <v>65</v>
      </c>
      <c r="H1574" t="s">
        <v>662</v>
      </c>
      <c r="I1574" t="s">
        <v>2271</v>
      </c>
      <c r="J1574">
        <v>500000</v>
      </c>
      <c r="K1574">
        <v>2025</v>
      </c>
      <c r="L1574">
        <v>1037236023</v>
      </c>
      <c r="M1574" t="s">
        <v>4080</v>
      </c>
      <c r="N1574" t="s">
        <v>1688</v>
      </c>
      <c r="O1574" t="s">
        <v>1686</v>
      </c>
      <c r="P1574">
        <v>0</v>
      </c>
      <c r="Q1574">
        <v>500000</v>
      </c>
      <c r="R1574">
        <v>0</v>
      </c>
      <c r="S1574">
        <v>0</v>
      </c>
      <c r="T1574" t="str">
        <f t="shared" si="48"/>
        <v>10682.43.4302.85.0-205128.2.3.3.08.06.</v>
      </c>
      <c r="U1574" t="e" cm="1">
        <f t="array" aca="1" ref="U1574" ca="1">+IF(COMPROMISOS_2025[[#This Row],[P]]="20","41080111",_xlfn.XLOOKUP(COMPROMISOS_2025[[#This Row],[concatenado]],PAA[[#All],[RCP-RUBRO]],PAA[[#All],[INDICADOR]],"",0))</f>
        <v>#NAME?</v>
      </c>
      <c r="V1574" s="144" t="str">
        <f t="shared" si="49"/>
        <v>85</v>
      </c>
      <c r="W1574" s="136">
        <f>+COMPROMISOS_2025[[#This Row],[valor_total]]-COMPROMISOS_2025[[#This Row],[total_cancelado]]</f>
        <v>500000</v>
      </c>
      <c r="X1574" s="136">
        <f>COMPROMISOS_2025[[#This Row],[total_ordenes]]</f>
        <v>500000</v>
      </c>
      <c r="Y1574" t="str" cm="1">
        <f t="array" aca="1" ref="Y1574" ca="1">IFERROR(_xlfn.XLOOKUP(COMPROMISOS_2025[[#This Row],[concatenado]],PAA[[#All],[RCP-RUBRO]],PAA[[#All],[Actividad3]],VLOOKUP(COMPROMISOS_2025[[#This Row],[Indicador Principal]],$AC$2:$AD$17,2,0),0),"")</f>
        <v/>
      </c>
    </row>
    <row r="1575" spans="1:25" hidden="1" x14ac:dyDescent="0.25">
      <c r="A1575">
        <v>1069</v>
      </c>
      <c r="B1575" t="s">
        <v>4164</v>
      </c>
      <c r="C1575" t="s">
        <v>1936</v>
      </c>
      <c r="D1575" t="s">
        <v>4165</v>
      </c>
      <c r="F1575">
        <v>359</v>
      </c>
      <c r="G1575">
        <v>65</v>
      </c>
      <c r="H1575" t="s">
        <v>662</v>
      </c>
      <c r="I1575" t="s">
        <v>2271</v>
      </c>
      <c r="J1575">
        <v>500000</v>
      </c>
      <c r="K1575">
        <v>2025</v>
      </c>
      <c r="L1575">
        <v>1037237413</v>
      </c>
      <c r="M1575" t="s">
        <v>3791</v>
      </c>
      <c r="N1575" t="s">
        <v>1688</v>
      </c>
      <c r="O1575" t="s">
        <v>1686</v>
      </c>
      <c r="P1575">
        <v>0</v>
      </c>
      <c r="Q1575">
        <v>500000</v>
      </c>
      <c r="R1575">
        <v>0</v>
      </c>
      <c r="S1575">
        <v>0</v>
      </c>
      <c r="T1575" t="str">
        <f t="shared" si="48"/>
        <v>10692.43.4302.85.0-205128.2.3.3.08.06.</v>
      </c>
      <c r="U1575" t="e" cm="1">
        <f t="array" aca="1" ref="U1575" ca="1">+IF(COMPROMISOS_2025[[#This Row],[P]]="20","41080111",_xlfn.XLOOKUP(COMPROMISOS_2025[[#This Row],[concatenado]],PAA[[#All],[RCP-RUBRO]],PAA[[#All],[INDICADOR]],"",0))</f>
        <v>#NAME?</v>
      </c>
      <c r="V1575" s="144" t="str">
        <f t="shared" si="49"/>
        <v>85</v>
      </c>
      <c r="W1575" s="136">
        <f>+COMPROMISOS_2025[[#This Row],[valor_total]]-COMPROMISOS_2025[[#This Row],[total_cancelado]]</f>
        <v>500000</v>
      </c>
      <c r="X1575" s="136">
        <f>COMPROMISOS_2025[[#This Row],[total_ordenes]]</f>
        <v>500000</v>
      </c>
      <c r="Y1575" t="str" cm="1">
        <f t="array" aca="1" ref="Y1575" ca="1">IFERROR(_xlfn.XLOOKUP(COMPROMISOS_2025[[#This Row],[concatenado]],PAA[[#All],[RCP-RUBRO]],PAA[[#All],[Actividad3]],VLOOKUP(COMPROMISOS_2025[[#This Row],[Indicador Principal]],$AC$2:$AD$17,2,0),0),"")</f>
        <v/>
      </c>
    </row>
    <row r="1576" spans="1:25" hidden="1" x14ac:dyDescent="0.25">
      <c r="A1576">
        <v>1070</v>
      </c>
      <c r="B1576" t="s">
        <v>4164</v>
      </c>
      <c r="C1576" t="s">
        <v>1936</v>
      </c>
      <c r="D1576" t="s">
        <v>4165</v>
      </c>
      <c r="F1576">
        <v>359</v>
      </c>
      <c r="G1576">
        <v>65</v>
      </c>
      <c r="H1576" t="s">
        <v>662</v>
      </c>
      <c r="I1576" t="s">
        <v>2271</v>
      </c>
      <c r="J1576">
        <v>500000</v>
      </c>
      <c r="K1576">
        <v>2025</v>
      </c>
      <c r="L1576">
        <v>1037237460</v>
      </c>
      <c r="M1576" t="s">
        <v>3792</v>
      </c>
      <c r="N1576" t="s">
        <v>1688</v>
      </c>
      <c r="O1576" t="s">
        <v>1686</v>
      </c>
      <c r="P1576">
        <v>0</v>
      </c>
      <c r="Q1576">
        <v>500000</v>
      </c>
      <c r="R1576">
        <v>0</v>
      </c>
      <c r="S1576">
        <v>0</v>
      </c>
      <c r="T1576" t="str">
        <f t="shared" si="48"/>
        <v>10702.43.4302.85.0-205128.2.3.3.08.06.</v>
      </c>
      <c r="U1576" t="e" cm="1">
        <f t="array" aca="1" ref="U1576" ca="1">+IF(COMPROMISOS_2025[[#This Row],[P]]="20","41080111",_xlfn.XLOOKUP(COMPROMISOS_2025[[#This Row],[concatenado]],PAA[[#All],[RCP-RUBRO]],PAA[[#All],[INDICADOR]],"",0))</f>
        <v>#NAME?</v>
      </c>
      <c r="V1576" s="144" t="str">
        <f t="shared" si="49"/>
        <v>85</v>
      </c>
      <c r="W1576" s="136">
        <f>+COMPROMISOS_2025[[#This Row],[valor_total]]-COMPROMISOS_2025[[#This Row],[total_cancelado]]</f>
        <v>500000</v>
      </c>
      <c r="X1576" s="136">
        <f>COMPROMISOS_2025[[#This Row],[total_ordenes]]</f>
        <v>500000</v>
      </c>
      <c r="Y1576" t="str" cm="1">
        <f t="array" aca="1" ref="Y1576" ca="1">IFERROR(_xlfn.XLOOKUP(COMPROMISOS_2025[[#This Row],[concatenado]],PAA[[#All],[RCP-RUBRO]],PAA[[#All],[Actividad3]],VLOOKUP(COMPROMISOS_2025[[#This Row],[Indicador Principal]],$AC$2:$AD$17,2,0),0),"")</f>
        <v/>
      </c>
    </row>
    <row r="1577" spans="1:25" hidden="1" x14ac:dyDescent="0.25">
      <c r="A1577">
        <v>1071</v>
      </c>
      <c r="B1577" t="s">
        <v>4164</v>
      </c>
      <c r="C1577" t="s">
        <v>1936</v>
      </c>
      <c r="D1577" t="s">
        <v>4165</v>
      </c>
      <c r="F1577">
        <v>359</v>
      </c>
      <c r="G1577">
        <v>65</v>
      </c>
      <c r="H1577" t="s">
        <v>662</v>
      </c>
      <c r="I1577" t="s">
        <v>2271</v>
      </c>
      <c r="J1577">
        <v>1300000</v>
      </c>
      <c r="K1577">
        <v>2025</v>
      </c>
      <c r="L1577">
        <v>1037469368</v>
      </c>
      <c r="M1577" t="s">
        <v>3794</v>
      </c>
      <c r="N1577" t="s">
        <v>1688</v>
      </c>
      <c r="O1577" t="s">
        <v>1686</v>
      </c>
      <c r="P1577">
        <v>0</v>
      </c>
      <c r="Q1577">
        <v>1300000</v>
      </c>
      <c r="R1577">
        <v>0</v>
      </c>
      <c r="S1577">
        <v>0</v>
      </c>
      <c r="T1577" t="str">
        <f t="shared" si="48"/>
        <v>10712.43.4302.85.0-205128.2.3.3.08.06.</v>
      </c>
      <c r="U1577" t="e" cm="1">
        <f t="array" aca="1" ref="U1577" ca="1">+IF(COMPROMISOS_2025[[#This Row],[P]]="20","41080111",_xlfn.XLOOKUP(COMPROMISOS_2025[[#This Row],[concatenado]],PAA[[#All],[RCP-RUBRO]],PAA[[#All],[INDICADOR]],"",0))</f>
        <v>#NAME?</v>
      </c>
      <c r="V1577" s="144" t="str">
        <f t="shared" si="49"/>
        <v>85</v>
      </c>
      <c r="W1577" s="136">
        <f>+COMPROMISOS_2025[[#This Row],[valor_total]]-COMPROMISOS_2025[[#This Row],[total_cancelado]]</f>
        <v>1300000</v>
      </c>
      <c r="X1577" s="136">
        <f>COMPROMISOS_2025[[#This Row],[total_ordenes]]</f>
        <v>1300000</v>
      </c>
      <c r="Y1577" t="str" cm="1">
        <f t="array" aca="1" ref="Y1577" ca="1">IFERROR(_xlfn.XLOOKUP(COMPROMISOS_2025[[#This Row],[concatenado]],PAA[[#All],[RCP-RUBRO]],PAA[[#All],[Actividad3]],VLOOKUP(COMPROMISOS_2025[[#This Row],[Indicador Principal]],$AC$2:$AD$17,2,0),0),"")</f>
        <v/>
      </c>
    </row>
    <row r="1578" spans="1:25" hidden="1" x14ac:dyDescent="0.25">
      <c r="A1578">
        <v>1072</v>
      </c>
      <c r="B1578" t="s">
        <v>4164</v>
      </c>
      <c r="C1578" t="s">
        <v>1936</v>
      </c>
      <c r="D1578" t="s">
        <v>4165</v>
      </c>
      <c r="F1578">
        <v>359</v>
      </c>
      <c r="G1578">
        <v>65</v>
      </c>
      <c r="H1578" t="s">
        <v>662</v>
      </c>
      <c r="I1578" t="s">
        <v>2271</v>
      </c>
      <c r="J1578">
        <v>1300000</v>
      </c>
      <c r="K1578">
        <v>2025</v>
      </c>
      <c r="L1578">
        <v>1037469938</v>
      </c>
      <c r="M1578" t="s">
        <v>3795</v>
      </c>
      <c r="N1578" t="s">
        <v>1688</v>
      </c>
      <c r="O1578" t="s">
        <v>1686</v>
      </c>
      <c r="P1578">
        <v>0</v>
      </c>
      <c r="Q1578">
        <v>1300000</v>
      </c>
      <c r="R1578">
        <v>0</v>
      </c>
      <c r="S1578">
        <v>0</v>
      </c>
      <c r="T1578" t="str">
        <f t="shared" si="48"/>
        <v>10722.43.4302.85.0-205128.2.3.3.08.06.</v>
      </c>
      <c r="U1578" t="e" cm="1">
        <f t="array" aca="1" ref="U1578" ca="1">+IF(COMPROMISOS_2025[[#This Row],[P]]="20","41080111",_xlfn.XLOOKUP(COMPROMISOS_2025[[#This Row],[concatenado]],PAA[[#All],[RCP-RUBRO]],PAA[[#All],[INDICADOR]],"",0))</f>
        <v>#NAME?</v>
      </c>
      <c r="V1578" s="144" t="str">
        <f t="shared" si="49"/>
        <v>85</v>
      </c>
      <c r="W1578" s="136">
        <f>+COMPROMISOS_2025[[#This Row],[valor_total]]-COMPROMISOS_2025[[#This Row],[total_cancelado]]</f>
        <v>1300000</v>
      </c>
      <c r="X1578" s="136">
        <f>COMPROMISOS_2025[[#This Row],[total_ordenes]]</f>
        <v>1300000</v>
      </c>
      <c r="Y1578" t="str" cm="1">
        <f t="array" aca="1" ref="Y1578" ca="1">IFERROR(_xlfn.XLOOKUP(COMPROMISOS_2025[[#This Row],[concatenado]],PAA[[#All],[RCP-RUBRO]],PAA[[#All],[Actividad3]],VLOOKUP(COMPROMISOS_2025[[#This Row],[Indicador Principal]],$AC$2:$AD$17,2,0),0),"")</f>
        <v/>
      </c>
    </row>
    <row r="1579" spans="1:25" hidden="1" x14ac:dyDescent="0.25">
      <c r="A1579">
        <v>1073</v>
      </c>
      <c r="B1579" t="s">
        <v>4164</v>
      </c>
      <c r="C1579" t="s">
        <v>1936</v>
      </c>
      <c r="D1579" t="s">
        <v>4165</v>
      </c>
      <c r="F1579">
        <v>359</v>
      </c>
      <c r="G1579">
        <v>65</v>
      </c>
      <c r="H1579" t="s">
        <v>662</v>
      </c>
      <c r="I1579" t="s">
        <v>2271</v>
      </c>
      <c r="J1579">
        <v>500000</v>
      </c>
      <c r="K1579">
        <v>2025</v>
      </c>
      <c r="L1579">
        <v>1037470069</v>
      </c>
      <c r="M1579" t="s">
        <v>3796</v>
      </c>
      <c r="N1579" t="s">
        <v>1688</v>
      </c>
      <c r="O1579" t="s">
        <v>1686</v>
      </c>
      <c r="P1579">
        <v>0</v>
      </c>
      <c r="Q1579">
        <v>500000</v>
      </c>
      <c r="R1579">
        <v>0</v>
      </c>
      <c r="S1579">
        <v>0</v>
      </c>
      <c r="T1579" t="str">
        <f t="shared" si="48"/>
        <v>10732.43.4302.85.0-205128.2.3.3.08.06.</v>
      </c>
      <c r="U1579" t="e" cm="1">
        <f t="array" aca="1" ref="U1579" ca="1">+IF(COMPROMISOS_2025[[#This Row],[P]]="20","41080111",_xlfn.XLOOKUP(COMPROMISOS_2025[[#This Row],[concatenado]],PAA[[#All],[RCP-RUBRO]],PAA[[#All],[INDICADOR]],"",0))</f>
        <v>#NAME?</v>
      </c>
      <c r="V1579" s="144" t="str">
        <f t="shared" si="49"/>
        <v>85</v>
      </c>
      <c r="W1579" s="136">
        <f>+COMPROMISOS_2025[[#This Row],[valor_total]]-COMPROMISOS_2025[[#This Row],[total_cancelado]]</f>
        <v>500000</v>
      </c>
      <c r="X1579" s="136">
        <f>COMPROMISOS_2025[[#This Row],[total_ordenes]]</f>
        <v>500000</v>
      </c>
      <c r="Y1579" t="str" cm="1">
        <f t="array" aca="1" ref="Y1579" ca="1">IFERROR(_xlfn.XLOOKUP(COMPROMISOS_2025[[#This Row],[concatenado]],PAA[[#All],[RCP-RUBRO]],PAA[[#All],[Actividad3]],VLOOKUP(COMPROMISOS_2025[[#This Row],[Indicador Principal]],$AC$2:$AD$17,2,0),0),"")</f>
        <v/>
      </c>
    </row>
    <row r="1580" spans="1:25" hidden="1" x14ac:dyDescent="0.25">
      <c r="A1580">
        <v>1074</v>
      </c>
      <c r="B1580" t="s">
        <v>4164</v>
      </c>
      <c r="C1580" t="s">
        <v>1936</v>
      </c>
      <c r="D1580" t="s">
        <v>4165</v>
      </c>
      <c r="F1580">
        <v>359</v>
      </c>
      <c r="G1580">
        <v>65</v>
      </c>
      <c r="H1580" t="s">
        <v>662</v>
      </c>
      <c r="I1580" t="s">
        <v>2271</v>
      </c>
      <c r="J1580">
        <v>500000</v>
      </c>
      <c r="K1580">
        <v>2025</v>
      </c>
      <c r="L1580">
        <v>1037549251</v>
      </c>
      <c r="M1580" t="s">
        <v>4081</v>
      </c>
      <c r="N1580" t="s">
        <v>1688</v>
      </c>
      <c r="O1580" t="s">
        <v>1686</v>
      </c>
      <c r="P1580">
        <v>0</v>
      </c>
      <c r="Q1580">
        <v>500000</v>
      </c>
      <c r="R1580">
        <v>0</v>
      </c>
      <c r="S1580">
        <v>0</v>
      </c>
      <c r="T1580" t="str">
        <f t="shared" si="48"/>
        <v>10742.43.4302.85.0-205128.2.3.3.08.06.</v>
      </c>
      <c r="U1580" t="e" cm="1">
        <f t="array" aca="1" ref="U1580" ca="1">+IF(COMPROMISOS_2025[[#This Row],[P]]="20","41080111",_xlfn.XLOOKUP(COMPROMISOS_2025[[#This Row],[concatenado]],PAA[[#All],[RCP-RUBRO]],PAA[[#All],[INDICADOR]],"",0))</f>
        <v>#NAME?</v>
      </c>
      <c r="V1580" s="144" t="str">
        <f t="shared" si="49"/>
        <v>85</v>
      </c>
      <c r="W1580" s="136">
        <f>+COMPROMISOS_2025[[#This Row],[valor_total]]-COMPROMISOS_2025[[#This Row],[total_cancelado]]</f>
        <v>500000</v>
      </c>
      <c r="X1580" s="136">
        <f>COMPROMISOS_2025[[#This Row],[total_ordenes]]</f>
        <v>500000</v>
      </c>
      <c r="Y1580" t="str" cm="1">
        <f t="array" aca="1" ref="Y1580" ca="1">IFERROR(_xlfn.XLOOKUP(COMPROMISOS_2025[[#This Row],[concatenado]],PAA[[#All],[RCP-RUBRO]],PAA[[#All],[Actividad3]],VLOOKUP(COMPROMISOS_2025[[#This Row],[Indicador Principal]],$AC$2:$AD$17,2,0),0),"")</f>
        <v/>
      </c>
    </row>
    <row r="1581" spans="1:25" hidden="1" x14ac:dyDescent="0.25">
      <c r="A1581">
        <v>1075</v>
      </c>
      <c r="B1581" t="s">
        <v>4164</v>
      </c>
      <c r="C1581" t="s">
        <v>1936</v>
      </c>
      <c r="D1581" t="s">
        <v>4165</v>
      </c>
      <c r="F1581">
        <v>359</v>
      </c>
      <c r="G1581">
        <v>65</v>
      </c>
      <c r="H1581" t="s">
        <v>662</v>
      </c>
      <c r="I1581" t="s">
        <v>2271</v>
      </c>
      <c r="J1581">
        <v>800000</v>
      </c>
      <c r="K1581">
        <v>2025</v>
      </c>
      <c r="L1581">
        <v>1037630984</v>
      </c>
      <c r="M1581" t="s">
        <v>4082</v>
      </c>
      <c r="N1581" t="s">
        <v>1688</v>
      </c>
      <c r="O1581" t="s">
        <v>1686</v>
      </c>
      <c r="P1581">
        <v>0</v>
      </c>
      <c r="Q1581">
        <v>800000</v>
      </c>
      <c r="R1581">
        <v>0</v>
      </c>
      <c r="S1581">
        <v>0</v>
      </c>
      <c r="T1581" t="str">
        <f t="shared" si="48"/>
        <v>10752.43.4302.85.0-205128.2.3.3.08.06.</v>
      </c>
      <c r="U1581" t="e" cm="1">
        <f t="array" aca="1" ref="U1581" ca="1">+IF(COMPROMISOS_2025[[#This Row],[P]]="20","41080111",_xlfn.XLOOKUP(COMPROMISOS_2025[[#This Row],[concatenado]],PAA[[#All],[RCP-RUBRO]],PAA[[#All],[INDICADOR]],"",0))</f>
        <v>#NAME?</v>
      </c>
      <c r="V1581" s="144" t="str">
        <f t="shared" si="49"/>
        <v>85</v>
      </c>
      <c r="W1581" s="136">
        <f>+COMPROMISOS_2025[[#This Row],[valor_total]]-COMPROMISOS_2025[[#This Row],[total_cancelado]]</f>
        <v>800000</v>
      </c>
      <c r="X1581" s="136">
        <f>COMPROMISOS_2025[[#This Row],[total_ordenes]]</f>
        <v>800000</v>
      </c>
      <c r="Y1581" t="str" cm="1">
        <f t="array" aca="1" ref="Y1581" ca="1">IFERROR(_xlfn.XLOOKUP(COMPROMISOS_2025[[#This Row],[concatenado]],PAA[[#All],[RCP-RUBRO]],PAA[[#All],[Actividad3]],VLOOKUP(COMPROMISOS_2025[[#This Row],[Indicador Principal]],$AC$2:$AD$17,2,0),0),"")</f>
        <v/>
      </c>
    </row>
    <row r="1582" spans="1:25" hidden="1" x14ac:dyDescent="0.25">
      <c r="A1582">
        <v>1076</v>
      </c>
      <c r="B1582" t="s">
        <v>4164</v>
      </c>
      <c r="C1582" t="s">
        <v>1936</v>
      </c>
      <c r="D1582" t="s">
        <v>4165</v>
      </c>
      <c r="F1582">
        <v>359</v>
      </c>
      <c r="G1582">
        <v>65</v>
      </c>
      <c r="H1582" t="s">
        <v>662</v>
      </c>
      <c r="I1582" t="s">
        <v>2271</v>
      </c>
      <c r="J1582">
        <v>500000</v>
      </c>
      <c r="K1582">
        <v>2025</v>
      </c>
      <c r="L1582">
        <v>1037643238</v>
      </c>
      <c r="M1582" t="s">
        <v>4083</v>
      </c>
      <c r="N1582" t="s">
        <v>1688</v>
      </c>
      <c r="O1582" t="s">
        <v>1686</v>
      </c>
      <c r="P1582">
        <v>0</v>
      </c>
      <c r="Q1582">
        <v>500000</v>
      </c>
      <c r="R1582">
        <v>0</v>
      </c>
      <c r="S1582">
        <v>0</v>
      </c>
      <c r="T1582" t="str">
        <f t="shared" si="48"/>
        <v>10762.43.4302.85.0-205128.2.3.3.08.06.</v>
      </c>
      <c r="U1582" t="e" cm="1">
        <f t="array" aca="1" ref="U1582" ca="1">+IF(COMPROMISOS_2025[[#This Row],[P]]="20","41080111",_xlfn.XLOOKUP(COMPROMISOS_2025[[#This Row],[concatenado]],PAA[[#All],[RCP-RUBRO]],PAA[[#All],[INDICADOR]],"",0))</f>
        <v>#NAME?</v>
      </c>
      <c r="V1582" s="144" t="str">
        <f t="shared" si="49"/>
        <v>85</v>
      </c>
      <c r="W1582" s="136">
        <f>+COMPROMISOS_2025[[#This Row],[valor_total]]-COMPROMISOS_2025[[#This Row],[total_cancelado]]</f>
        <v>500000</v>
      </c>
      <c r="X1582" s="136">
        <f>COMPROMISOS_2025[[#This Row],[total_ordenes]]</f>
        <v>500000</v>
      </c>
      <c r="Y1582" t="str" cm="1">
        <f t="array" aca="1" ref="Y1582" ca="1">IFERROR(_xlfn.XLOOKUP(COMPROMISOS_2025[[#This Row],[concatenado]],PAA[[#All],[RCP-RUBRO]],PAA[[#All],[Actividad3]],VLOOKUP(COMPROMISOS_2025[[#This Row],[Indicador Principal]],$AC$2:$AD$17,2,0),0),"")</f>
        <v/>
      </c>
    </row>
    <row r="1583" spans="1:25" hidden="1" x14ac:dyDescent="0.25">
      <c r="A1583">
        <v>1077</v>
      </c>
      <c r="B1583" t="s">
        <v>4164</v>
      </c>
      <c r="C1583" t="s">
        <v>1936</v>
      </c>
      <c r="D1583" t="s">
        <v>4165</v>
      </c>
      <c r="F1583">
        <v>359</v>
      </c>
      <c r="G1583">
        <v>65</v>
      </c>
      <c r="H1583" t="s">
        <v>662</v>
      </c>
      <c r="I1583" t="s">
        <v>2271</v>
      </c>
      <c r="J1583">
        <v>500000</v>
      </c>
      <c r="K1583">
        <v>2025</v>
      </c>
      <c r="L1583">
        <v>1037643922</v>
      </c>
      <c r="M1583" t="s">
        <v>4084</v>
      </c>
      <c r="N1583" t="s">
        <v>1688</v>
      </c>
      <c r="O1583" t="s">
        <v>1686</v>
      </c>
      <c r="P1583">
        <v>0</v>
      </c>
      <c r="Q1583">
        <v>500000</v>
      </c>
      <c r="R1583">
        <v>0</v>
      </c>
      <c r="S1583">
        <v>0</v>
      </c>
      <c r="T1583" t="str">
        <f t="shared" si="48"/>
        <v>10772.43.4302.85.0-205128.2.3.3.08.06.</v>
      </c>
      <c r="U1583" t="e" cm="1">
        <f t="array" aca="1" ref="U1583" ca="1">+IF(COMPROMISOS_2025[[#This Row],[P]]="20","41080111",_xlfn.XLOOKUP(COMPROMISOS_2025[[#This Row],[concatenado]],PAA[[#All],[RCP-RUBRO]],PAA[[#All],[INDICADOR]],"",0))</f>
        <v>#NAME?</v>
      </c>
      <c r="V1583" s="144" t="str">
        <f t="shared" si="49"/>
        <v>85</v>
      </c>
      <c r="W1583" s="136">
        <f>+COMPROMISOS_2025[[#This Row],[valor_total]]-COMPROMISOS_2025[[#This Row],[total_cancelado]]</f>
        <v>500000</v>
      </c>
      <c r="X1583" s="136">
        <f>COMPROMISOS_2025[[#This Row],[total_ordenes]]</f>
        <v>500000</v>
      </c>
      <c r="Y1583" t="str" cm="1">
        <f t="array" aca="1" ref="Y1583" ca="1">IFERROR(_xlfn.XLOOKUP(COMPROMISOS_2025[[#This Row],[concatenado]],PAA[[#All],[RCP-RUBRO]],PAA[[#All],[Actividad3]],VLOOKUP(COMPROMISOS_2025[[#This Row],[Indicador Principal]],$AC$2:$AD$17,2,0),0),"")</f>
        <v/>
      </c>
    </row>
    <row r="1584" spans="1:25" hidden="1" x14ac:dyDescent="0.25">
      <c r="A1584">
        <v>1078</v>
      </c>
      <c r="B1584" t="s">
        <v>4164</v>
      </c>
      <c r="C1584" t="s">
        <v>1936</v>
      </c>
      <c r="D1584" t="s">
        <v>4165</v>
      </c>
      <c r="F1584">
        <v>359</v>
      </c>
      <c r="G1584">
        <v>65</v>
      </c>
      <c r="H1584" t="s">
        <v>662</v>
      </c>
      <c r="I1584" t="s">
        <v>2271</v>
      </c>
      <c r="J1584">
        <v>500000</v>
      </c>
      <c r="K1584">
        <v>2025</v>
      </c>
      <c r="L1584">
        <v>1037666430</v>
      </c>
      <c r="M1584" t="s">
        <v>4085</v>
      </c>
      <c r="N1584" t="s">
        <v>1688</v>
      </c>
      <c r="O1584" t="s">
        <v>1686</v>
      </c>
      <c r="P1584">
        <v>0</v>
      </c>
      <c r="Q1584">
        <v>500000</v>
      </c>
      <c r="R1584">
        <v>0</v>
      </c>
      <c r="S1584">
        <v>0</v>
      </c>
      <c r="T1584" t="str">
        <f t="shared" si="48"/>
        <v>10782.43.4302.85.0-205128.2.3.3.08.06.</v>
      </c>
      <c r="U1584" t="e" cm="1">
        <f t="array" aca="1" ref="U1584" ca="1">+IF(COMPROMISOS_2025[[#This Row],[P]]="20","41080111",_xlfn.XLOOKUP(COMPROMISOS_2025[[#This Row],[concatenado]],PAA[[#All],[RCP-RUBRO]],PAA[[#All],[INDICADOR]],"",0))</f>
        <v>#NAME?</v>
      </c>
      <c r="V1584" s="144" t="str">
        <f t="shared" si="49"/>
        <v>85</v>
      </c>
      <c r="W1584" s="136">
        <f>+COMPROMISOS_2025[[#This Row],[valor_total]]-COMPROMISOS_2025[[#This Row],[total_cancelado]]</f>
        <v>500000</v>
      </c>
      <c r="X1584" s="136">
        <f>COMPROMISOS_2025[[#This Row],[total_ordenes]]</f>
        <v>500000</v>
      </c>
      <c r="Y1584" t="str" cm="1">
        <f t="array" aca="1" ref="Y1584" ca="1">IFERROR(_xlfn.XLOOKUP(COMPROMISOS_2025[[#This Row],[concatenado]],PAA[[#All],[RCP-RUBRO]],PAA[[#All],[Actividad3]],VLOOKUP(COMPROMISOS_2025[[#This Row],[Indicador Principal]],$AC$2:$AD$17,2,0),0),"")</f>
        <v/>
      </c>
    </row>
    <row r="1585" spans="1:25" hidden="1" x14ac:dyDescent="0.25">
      <c r="A1585">
        <v>1079</v>
      </c>
      <c r="B1585" t="s">
        <v>4164</v>
      </c>
      <c r="C1585" t="s">
        <v>1936</v>
      </c>
      <c r="D1585" t="s">
        <v>4165</v>
      </c>
      <c r="F1585">
        <v>359</v>
      </c>
      <c r="G1585">
        <v>65</v>
      </c>
      <c r="H1585" t="s">
        <v>662</v>
      </c>
      <c r="I1585" t="s">
        <v>2271</v>
      </c>
      <c r="J1585">
        <v>500000</v>
      </c>
      <c r="K1585">
        <v>2025</v>
      </c>
      <c r="L1585">
        <v>1037667511</v>
      </c>
      <c r="M1585" t="s">
        <v>3799</v>
      </c>
      <c r="N1585" t="s">
        <v>1688</v>
      </c>
      <c r="O1585" t="s">
        <v>1686</v>
      </c>
      <c r="P1585">
        <v>0</v>
      </c>
      <c r="Q1585">
        <v>500000</v>
      </c>
      <c r="R1585">
        <v>0</v>
      </c>
      <c r="S1585">
        <v>0</v>
      </c>
      <c r="T1585" t="str">
        <f t="shared" si="48"/>
        <v>10792.43.4302.85.0-205128.2.3.3.08.06.</v>
      </c>
      <c r="U1585" t="e" cm="1">
        <f t="array" aca="1" ref="U1585" ca="1">+IF(COMPROMISOS_2025[[#This Row],[P]]="20","41080111",_xlfn.XLOOKUP(COMPROMISOS_2025[[#This Row],[concatenado]],PAA[[#All],[RCP-RUBRO]],PAA[[#All],[INDICADOR]],"",0))</f>
        <v>#NAME?</v>
      </c>
      <c r="V1585" s="144" t="str">
        <f t="shared" si="49"/>
        <v>85</v>
      </c>
      <c r="W1585" s="136">
        <f>+COMPROMISOS_2025[[#This Row],[valor_total]]-COMPROMISOS_2025[[#This Row],[total_cancelado]]</f>
        <v>500000</v>
      </c>
      <c r="X1585" s="136">
        <f>COMPROMISOS_2025[[#This Row],[total_ordenes]]</f>
        <v>500000</v>
      </c>
      <c r="Y1585" t="str" cm="1">
        <f t="array" aca="1" ref="Y1585" ca="1">IFERROR(_xlfn.XLOOKUP(COMPROMISOS_2025[[#This Row],[concatenado]],PAA[[#All],[RCP-RUBRO]],PAA[[#All],[Actividad3]],VLOOKUP(COMPROMISOS_2025[[#This Row],[Indicador Principal]],$AC$2:$AD$17,2,0),0),"")</f>
        <v/>
      </c>
    </row>
    <row r="1586" spans="1:25" hidden="1" x14ac:dyDescent="0.25">
      <c r="A1586">
        <v>1080</v>
      </c>
      <c r="B1586" t="s">
        <v>4164</v>
      </c>
      <c r="C1586" t="s">
        <v>1936</v>
      </c>
      <c r="D1586" t="s">
        <v>4165</v>
      </c>
      <c r="F1586">
        <v>359</v>
      </c>
      <c r="G1586">
        <v>65</v>
      </c>
      <c r="H1586" t="s">
        <v>662</v>
      </c>
      <c r="I1586" t="s">
        <v>2271</v>
      </c>
      <c r="J1586">
        <v>500000</v>
      </c>
      <c r="K1586">
        <v>2025</v>
      </c>
      <c r="L1586">
        <v>1037667906</v>
      </c>
      <c r="M1586" t="s">
        <v>4086</v>
      </c>
      <c r="N1586" t="s">
        <v>1688</v>
      </c>
      <c r="O1586" t="s">
        <v>1686</v>
      </c>
      <c r="P1586">
        <v>0</v>
      </c>
      <c r="Q1586">
        <v>500000</v>
      </c>
      <c r="R1586">
        <v>0</v>
      </c>
      <c r="S1586">
        <v>0</v>
      </c>
      <c r="T1586" t="str">
        <f t="shared" si="48"/>
        <v>10802.43.4302.85.0-205128.2.3.3.08.06.</v>
      </c>
      <c r="U1586" t="e" cm="1">
        <f t="array" aca="1" ref="U1586" ca="1">+IF(COMPROMISOS_2025[[#This Row],[P]]="20","41080111",_xlfn.XLOOKUP(COMPROMISOS_2025[[#This Row],[concatenado]],PAA[[#All],[RCP-RUBRO]],PAA[[#All],[INDICADOR]],"",0))</f>
        <v>#NAME?</v>
      </c>
      <c r="V1586" s="144" t="str">
        <f t="shared" si="49"/>
        <v>85</v>
      </c>
      <c r="W1586" s="136">
        <f>+COMPROMISOS_2025[[#This Row],[valor_total]]-COMPROMISOS_2025[[#This Row],[total_cancelado]]</f>
        <v>500000</v>
      </c>
      <c r="X1586" s="136">
        <f>COMPROMISOS_2025[[#This Row],[total_ordenes]]</f>
        <v>500000</v>
      </c>
      <c r="Y1586" t="str" cm="1">
        <f t="array" aca="1" ref="Y1586" ca="1">IFERROR(_xlfn.XLOOKUP(COMPROMISOS_2025[[#This Row],[concatenado]],PAA[[#All],[RCP-RUBRO]],PAA[[#All],[Actividad3]],VLOOKUP(COMPROMISOS_2025[[#This Row],[Indicador Principal]],$AC$2:$AD$17,2,0),0),"")</f>
        <v/>
      </c>
    </row>
    <row r="1587" spans="1:25" hidden="1" x14ac:dyDescent="0.25">
      <c r="A1587">
        <v>1081</v>
      </c>
      <c r="B1587" t="s">
        <v>4164</v>
      </c>
      <c r="C1587" t="s">
        <v>1936</v>
      </c>
      <c r="D1587" t="s">
        <v>4165</v>
      </c>
      <c r="F1587">
        <v>359</v>
      </c>
      <c r="G1587">
        <v>65</v>
      </c>
      <c r="H1587" t="s">
        <v>662</v>
      </c>
      <c r="I1587" t="s">
        <v>2271</v>
      </c>
      <c r="J1587">
        <v>1300000</v>
      </c>
      <c r="K1587">
        <v>2025</v>
      </c>
      <c r="L1587">
        <v>1037668563</v>
      </c>
      <c r="M1587" t="s">
        <v>4087</v>
      </c>
      <c r="N1587" t="s">
        <v>1688</v>
      </c>
      <c r="O1587" t="s">
        <v>1686</v>
      </c>
      <c r="P1587">
        <v>0</v>
      </c>
      <c r="Q1587">
        <v>1300000</v>
      </c>
      <c r="R1587">
        <v>0</v>
      </c>
      <c r="S1587">
        <v>0</v>
      </c>
      <c r="T1587" t="str">
        <f t="shared" si="48"/>
        <v>10812.43.4302.85.0-205128.2.3.3.08.06.</v>
      </c>
      <c r="U1587" t="e" cm="1">
        <f t="array" aca="1" ref="U1587" ca="1">+IF(COMPROMISOS_2025[[#This Row],[P]]="20","41080111",_xlfn.XLOOKUP(COMPROMISOS_2025[[#This Row],[concatenado]],PAA[[#All],[RCP-RUBRO]],PAA[[#All],[INDICADOR]],"",0))</f>
        <v>#NAME?</v>
      </c>
      <c r="V1587" s="144" t="str">
        <f t="shared" si="49"/>
        <v>85</v>
      </c>
      <c r="W1587" s="136">
        <f>+COMPROMISOS_2025[[#This Row],[valor_total]]-COMPROMISOS_2025[[#This Row],[total_cancelado]]</f>
        <v>1300000</v>
      </c>
      <c r="X1587" s="136">
        <f>COMPROMISOS_2025[[#This Row],[total_ordenes]]</f>
        <v>1300000</v>
      </c>
      <c r="Y1587" t="str" cm="1">
        <f t="array" aca="1" ref="Y1587" ca="1">IFERROR(_xlfn.XLOOKUP(COMPROMISOS_2025[[#This Row],[concatenado]],PAA[[#All],[RCP-RUBRO]],PAA[[#All],[Actividad3]],VLOOKUP(COMPROMISOS_2025[[#This Row],[Indicador Principal]],$AC$2:$AD$17,2,0),0),"")</f>
        <v/>
      </c>
    </row>
    <row r="1588" spans="1:25" hidden="1" x14ac:dyDescent="0.25">
      <c r="A1588">
        <v>1082</v>
      </c>
      <c r="B1588" t="s">
        <v>4164</v>
      </c>
      <c r="C1588" t="s">
        <v>1936</v>
      </c>
      <c r="D1588" t="s">
        <v>4165</v>
      </c>
      <c r="F1588">
        <v>359</v>
      </c>
      <c r="G1588">
        <v>65</v>
      </c>
      <c r="H1588" t="s">
        <v>662</v>
      </c>
      <c r="I1588" t="s">
        <v>2271</v>
      </c>
      <c r="J1588">
        <v>500000</v>
      </c>
      <c r="K1588">
        <v>2025</v>
      </c>
      <c r="L1588">
        <v>1037886705</v>
      </c>
      <c r="M1588" t="s">
        <v>3800</v>
      </c>
      <c r="N1588" t="s">
        <v>1688</v>
      </c>
      <c r="O1588" t="s">
        <v>1686</v>
      </c>
      <c r="P1588">
        <v>0</v>
      </c>
      <c r="Q1588">
        <v>500000</v>
      </c>
      <c r="R1588">
        <v>0</v>
      </c>
      <c r="S1588">
        <v>0</v>
      </c>
      <c r="T1588" t="str">
        <f t="shared" si="48"/>
        <v>10822.43.4302.85.0-205128.2.3.3.08.06.</v>
      </c>
      <c r="U1588" t="e" cm="1">
        <f t="array" aca="1" ref="U1588" ca="1">+IF(COMPROMISOS_2025[[#This Row],[P]]="20","41080111",_xlfn.XLOOKUP(COMPROMISOS_2025[[#This Row],[concatenado]],PAA[[#All],[RCP-RUBRO]],PAA[[#All],[INDICADOR]],"",0))</f>
        <v>#NAME?</v>
      </c>
      <c r="V1588" s="144" t="str">
        <f t="shared" si="49"/>
        <v>85</v>
      </c>
      <c r="W1588" s="136">
        <f>+COMPROMISOS_2025[[#This Row],[valor_total]]-COMPROMISOS_2025[[#This Row],[total_cancelado]]</f>
        <v>500000</v>
      </c>
      <c r="X1588" s="136">
        <f>COMPROMISOS_2025[[#This Row],[total_ordenes]]</f>
        <v>500000</v>
      </c>
      <c r="Y1588" t="str" cm="1">
        <f t="array" aca="1" ref="Y1588" ca="1">IFERROR(_xlfn.XLOOKUP(COMPROMISOS_2025[[#This Row],[concatenado]],PAA[[#All],[RCP-RUBRO]],PAA[[#All],[Actividad3]],VLOOKUP(COMPROMISOS_2025[[#This Row],[Indicador Principal]],$AC$2:$AD$17,2,0),0),"")</f>
        <v/>
      </c>
    </row>
    <row r="1589" spans="1:25" hidden="1" x14ac:dyDescent="0.25">
      <c r="A1589">
        <v>1083</v>
      </c>
      <c r="B1589" t="s">
        <v>4164</v>
      </c>
      <c r="C1589" t="s">
        <v>1936</v>
      </c>
      <c r="D1589" t="s">
        <v>4165</v>
      </c>
      <c r="F1589">
        <v>359</v>
      </c>
      <c r="G1589">
        <v>65</v>
      </c>
      <c r="H1589" t="s">
        <v>662</v>
      </c>
      <c r="I1589" t="s">
        <v>2271</v>
      </c>
      <c r="J1589">
        <v>500000</v>
      </c>
      <c r="K1589">
        <v>2025</v>
      </c>
      <c r="L1589">
        <v>1038407424</v>
      </c>
      <c r="M1589" t="s">
        <v>4088</v>
      </c>
      <c r="N1589" t="s">
        <v>1688</v>
      </c>
      <c r="O1589" t="s">
        <v>1686</v>
      </c>
      <c r="P1589">
        <v>0</v>
      </c>
      <c r="Q1589">
        <v>500000</v>
      </c>
      <c r="R1589">
        <v>0</v>
      </c>
      <c r="S1589">
        <v>0</v>
      </c>
      <c r="T1589" t="str">
        <f t="shared" si="48"/>
        <v>10832.43.4302.85.0-205128.2.3.3.08.06.</v>
      </c>
      <c r="U1589" t="e" cm="1">
        <f t="array" aca="1" ref="U1589" ca="1">+IF(COMPROMISOS_2025[[#This Row],[P]]="20","41080111",_xlfn.XLOOKUP(COMPROMISOS_2025[[#This Row],[concatenado]],PAA[[#All],[RCP-RUBRO]],PAA[[#All],[INDICADOR]],"",0))</f>
        <v>#NAME?</v>
      </c>
      <c r="V1589" s="144" t="str">
        <f t="shared" si="49"/>
        <v>85</v>
      </c>
      <c r="W1589" s="136">
        <f>+COMPROMISOS_2025[[#This Row],[valor_total]]-COMPROMISOS_2025[[#This Row],[total_cancelado]]</f>
        <v>500000</v>
      </c>
      <c r="X1589" s="136">
        <f>COMPROMISOS_2025[[#This Row],[total_ordenes]]</f>
        <v>500000</v>
      </c>
      <c r="Y1589" t="str" cm="1">
        <f t="array" aca="1" ref="Y1589" ca="1">IFERROR(_xlfn.XLOOKUP(COMPROMISOS_2025[[#This Row],[concatenado]],PAA[[#All],[RCP-RUBRO]],PAA[[#All],[Actividad3]],VLOOKUP(COMPROMISOS_2025[[#This Row],[Indicador Principal]],$AC$2:$AD$17,2,0),0),"")</f>
        <v/>
      </c>
    </row>
    <row r="1590" spans="1:25" hidden="1" x14ac:dyDescent="0.25">
      <c r="A1590">
        <v>1084</v>
      </c>
      <c r="B1590" t="s">
        <v>4164</v>
      </c>
      <c r="C1590" t="s">
        <v>1936</v>
      </c>
      <c r="D1590" t="s">
        <v>4165</v>
      </c>
      <c r="F1590">
        <v>359</v>
      </c>
      <c r="G1590">
        <v>65</v>
      </c>
      <c r="H1590" t="s">
        <v>662</v>
      </c>
      <c r="I1590" t="s">
        <v>2271</v>
      </c>
      <c r="J1590">
        <v>1300000</v>
      </c>
      <c r="K1590">
        <v>2025</v>
      </c>
      <c r="L1590">
        <v>1038417807</v>
      </c>
      <c r="M1590" t="s">
        <v>4089</v>
      </c>
      <c r="N1590" t="s">
        <v>1688</v>
      </c>
      <c r="O1590" t="s">
        <v>1686</v>
      </c>
      <c r="P1590">
        <v>0</v>
      </c>
      <c r="Q1590">
        <v>1300000</v>
      </c>
      <c r="R1590">
        <v>0</v>
      </c>
      <c r="S1590">
        <v>0</v>
      </c>
      <c r="T1590" t="str">
        <f t="shared" si="48"/>
        <v>10842.43.4302.85.0-205128.2.3.3.08.06.</v>
      </c>
      <c r="U1590" t="e" cm="1">
        <f t="array" aca="1" ref="U1590" ca="1">+IF(COMPROMISOS_2025[[#This Row],[P]]="20","41080111",_xlfn.XLOOKUP(COMPROMISOS_2025[[#This Row],[concatenado]],PAA[[#All],[RCP-RUBRO]],PAA[[#All],[INDICADOR]],"",0))</f>
        <v>#NAME?</v>
      </c>
      <c r="V1590" s="144" t="str">
        <f t="shared" si="49"/>
        <v>85</v>
      </c>
      <c r="W1590" s="136">
        <f>+COMPROMISOS_2025[[#This Row],[valor_total]]-COMPROMISOS_2025[[#This Row],[total_cancelado]]</f>
        <v>1300000</v>
      </c>
      <c r="X1590" s="136">
        <f>COMPROMISOS_2025[[#This Row],[total_ordenes]]</f>
        <v>1300000</v>
      </c>
      <c r="Y1590" t="str" cm="1">
        <f t="array" aca="1" ref="Y1590" ca="1">IFERROR(_xlfn.XLOOKUP(COMPROMISOS_2025[[#This Row],[concatenado]],PAA[[#All],[RCP-RUBRO]],PAA[[#All],[Actividad3]],VLOOKUP(COMPROMISOS_2025[[#This Row],[Indicador Principal]],$AC$2:$AD$17,2,0),0),"")</f>
        <v/>
      </c>
    </row>
    <row r="1591" spans="1:25" hidden="1" x14ac:dyDescent="0.25">
      <c r="A1591">
        <v>1085</v>
      </c>
      <c r="B1591" t="s">
        <v>4164</v>
      </c>
      <c r="C1591" t="s">
        <v>1936</v>
      </c>
      <c r="D1591" t="s">
        <v>4165</v>
      </c>
      <c r="F1591">
        <v>359</v>
      </c>
      <c r="G1591">
        <v>65</v>
      </c>
      <c r="H1591" t="s">
        <v>662</v>
      </c>
      <c r="I1591" t="s">
        <v>2271</v>
      </c>
      <c r="J1591">
        <v>1300000</v>
      </c>
      <c r="K1591">
        <v>2025</v>
      </c>
      <c r="L1591">
        <v>1038800625</v>
      </c>
      <c r="M1591" t="s">
        <v>3805</v>
      </c>
      <c r="N1591" t="s">
        <v>1688</v>
      </c>
      <c r="O1591" t="s">
        <v>1686</v>
      </c>
      <c r="P1591">
        <v>0</v>
      </c>
      <c r="Q1591">
        <v>1300000</v>
      </c>
      <c r="R1591">
        <v>0</v>
      </c>
      <c r="S1591">
        <v>0</v>
      </c>
      <c r="T1591" t="str">
        <f t="shared" si="48"/>
        <v>10852.43.4302.85.0-205128.2.3.3.08.06.</v>
      </c>
      <c r="U1591" t="e" cm="1">
        <f t="array" aca="1" ref="U1591" ca="1">+IF(COMPROMISOS_2025[[#This Row],[P]]="20","41080111",_xlfn.XLOOKUP(COMPROMISOS_2025[[#This Row],[concatenado]],PAA[[#All],[RCP-RUBRO]],PAA[[#All],[INDICADOR]],"",0))</f>
        <v>#NAME?</v>
      </c>
      <c r="V1591" s="144" t="str">
        <f t="shared" si="49"/>
        <v>85</v>
      </c>
      <c r="W1591" s="136">
        <f>+COMPROMISOS_2025[[#This Row],[valor_total]]-COMPROMISOS_2025[[#This Row],[total_cancelado]]</f>
        <v>1300000</v>
      </c>
      <c r="X1591" s="136">
        <f>COMPROMISOS_2025[[#This Row],[total_ordenes]]</f>
        <v>1300000</v>
      </c>
      <c r="Y1591" t="str" cm="1">
        <f t="array" aca="1" ref="Y1591" ca="1">IFERROR(_xlfn.XLOOKUP(COMPROMISOS_2025[[#This Row],[concatenado]],PAA[[#All],[RCP-RUBRO]],PAA[[#All],[Actividad3]],VLOOKUP(COMPROMISOS_2025[[#This Row],[Indicador Principal]],$AC$2:$AD$17,2,0),0),"")</f>
        <v/>
      </c>
    </row>
    <row r="1592" spans="1:25" hidden="1" x14ac:dyDescent="0.25">
      <c r="A1592">
        <v>1086</v>
      </c>
      <c r="B1592" t="s">
        <v>4164</v>
      </c>
      <c r="C1592" t="s">
        <v>1936</v>
      </c>
      <c r="D1592" t="s">
        <v>4165</v>
      </c>
      <c r="F1592">
        <v>359</v>
      </c>
      <c r="G1592">
        <v>65</v>
      </c>
      <c r="H1592" t="s">
        <v>662</v>
      </c>
      <c r="I1592" t="s">
        <v>2271</v>
      </c>
      <c r="J1592">
        <v>500000</v>
      </c>
      <c r="K1592">
        <v>2025</v>
      </c>
      <c r="L1592">
        <v>1038802466</v>
      </c>
      <c r="M1592" t="s">
        <v>4090</v>
      </c>
      <c r="N1592" t="s">
        <v>1688</v>
      </c>
      <c r="O1592" t="s">
        <v>1686</v>
      </c>
      <c r="P1592">
        <v>0</v>
      </c>
      <c r="Q1592">
        <v>500000</v>
      </c>
      <c r="R1592">
        <v>0</v>
      </c>
      <c r="S1592">
        <v>0</v>
      </c>
      <c r="T1592" t="str">
        <f t="shared" si="48"/>
        <v>10862.43.4302.85.0-205128.2.3.3.08.06.</v>
      </c>
      <c r="U1592" t="e" cm="1">
        <f t="array" aca="1" ref="U1592" ca="1">+IF(COMPROMISOS_2025[[#This Row],[P]]="20","41080111",_xlfn.XLOOKUP(COMPROMISOS_2025[[#This Row],[concatenado]],PAA[[#All],[RCP-RUBRO]],PAA[[#All],[INDICADOR]],"",0))</f>
        <v>#NAME?</v>
      </c>
      <c r="V1592" s="144" t="str">
        <f t="shared" si="49"/>
        <v>85</v>
      </c>
      <c r="W1592" s="136">
        <f>+COMPROMISOS_2025[[#This Row],[valor_total]]-COMPROMISOS_2025[[#This Row],[total_cancelado]]</f>
        <v>500000</v>
      </c>
      <c r="X1592" s="136">
        <f>COMPROMISOS_2025[[#This Row],[total_ordenes]]</f>
        <v>500000</v>
      </c>
      <c r="Y1592" t="str" cm="1">
        <f t="array" aca="1" ref="Y1592" ca="1">IFERROR(_xlfn.XLOOKUP(COMPROMISOS_2025[[#This Row],[concatenado]],PAA[[#All],[RCP-RUBRO]],PAA[[#All],[Actividad3]],VLOOKUP(COMPROMISOS_2025[[#This Row],[Indicador Principal]],$AC$2:$AD$17,2,0),0),"")</f>
        <v/>
      </c>
    </row>
    <row r="1593" spans="1:25" hidden="1" x14ac:dyDescent="0.25">
      <c r="A1593">
        <v>1087</v>
      </c>
      <c r="B1593" t="s">
        <v>4164</v>
      </c>
      <c r="C1593" t="s">
        <v>1936</v>
      </c>
      <c r="D1593" t="s">
        <v>4165</v>
      </c>
      <c r="F1593">
        <v>359</v>
      </c>
      <c r="G1593">
        <v>65</v>
      </c>
      <c r="H1593" t="s">
        <v>662</v>
      </c>
      <c r="I1593" t="s">
        <v>2271</v>
      </c>
      <c r="J1593">
        <v>500000</v>
      </c>
      <c r="K1593">
        <v>2025</v>
      </c>
      <c r="L1593">
        <v>1038803562</v>
      </c>
      <c r="M1593" t="s">
        <v>4091</v>
      </c>
      <c r="N1593" t="s">
        <v>1688</v>
      </c>
      <c r="O1593" t="s">
        <v>1686</v>
      </c>
      <c r="P1593">
        <v>0</v>
      </c>
      <c r="Q1593">
        <v>500000</v>
      </c>
      <c r="R1593">
        <v>0</v>
      </c>
      <c r="S1593">
        <v>0</v>
      </c>
      <c r="T1593" t="str">
        <f t="shared" si="48"/>
        <v>10872.43.4302.85.0-205128.2.3.3.08.06.</v>
      </c>
      <c r="U1593" t="e" cm="1">
        <f t="array" aca="1" ref="U1593" ca="1">+IF(COMPROMISOS_2025[[#This Row],[P]]="20","41080111",_xlfn.XLOOKUP(COMPROMISOS_2025[[#This Row],[concatenado]],PAA[[#All],[RCP-RUBRO]],PAA[[#All],[INDICADOR]],"",0))</f>
        <v>#NAME?</v>
      </c>
      <c r="V1593" s="144" t="str">
        <f t="shared" si="49"/>
        <v>85</v>
      </c>
      <c r="W1593" s="136">
        <f>+COMPROMISOS_2025[[#This Row],[valor_total]]-COMPROMISOS_2025[[#This Row],[total_cancelado]]</f>
        <v>500000</v>
      </c>
      <c r="X1593" s="136">
        <f>COMPROMISOS_2025[[#This Row],[total_ordenes]]</f>
        <v>500000</v>
      </c>
      <c r="Y1593" t="str" cm="1">
        <f t="array" aca="1" ref="Y1593" ca="1">IFERROR(_xlfn.XLOOKUP(COMPROMISOS_2025[[#This Row],[concatenado]],PAA[[#All],[RCP-RUBRO]],PAA[[#All],[Actividad3]],VLOOKUP(COMPROMISOS_2025[[#This Row],[Indicador Principal]],$AC$2:$AD$17,2,0),0),"")</f>
        <v/>
      </c>
    </row>
    <row r="1594" spans="1:25" hidden="1" x14ac:dyDescent="0.25">
      <c r="A1594">
        <v>1088</v>
      </c>
      <c r="B1594" t="s">
        <v>4164</v>
      </c>
      <c r="C1594" t="s">
        <v>1936</v>
      </c>
      <c r="D1594" t="s">
        <v>4165</v>
      </c>
      <c r="F1594">
        <v>359</v>
      </c>
      <c r="G1594">
        <v>65</v>
      </c>
      <c r="H1594" t="s">
        <v>662</v>
      </c>
      <c r="I1594" t="s">
        <v>2271</v>
      </c>
      <c r="J1594">
        <v>500000</v>
      </c>
      <c r="K1594">
        <v>2025</v>
      </c>
      <c r="L1594">
        <v>1038803612</v>
      </c>
      <c r="M1594" t="s">
        <v>4176</v>
      </c>
      <c r="N1594" t="s">
        <v>1688</v>
      </c>
      <c r="O1594" t="s">
        <v>1686</v>
      </c>
      <c r="P1594">
        <v>0</v>
      </c>
      <c r="Q1594">
        <v>500000</v>
      </c>
      <c r="R1594">
        <v>0</v>
      </c>
      <c r="S1594">
        <v>0</v>
      </c>
      <c r="T1594" t="str">
        <f t="shared" si="48"/>
        <v>10882.43.4302.85.0-205128.2.3.3.08.06.</v>
      </c>
      <c r="U1594" t="e" cm="1">
        <f t="array" aca="1" ref="U1594" ca="1">+IF(COMPROMISOS_2025[[#This Row],[P]]="20","41080111",_xlfn.XLOOKUP(COMPROMISOS_2025[[#This Row],[concatenado]],PAA[[#All],[RCP-RUBRO]],PAA[[#All],[INDICADOR]],"",0))</f>
        <v>#NAME?</v>
      </c>
      <c r="V1594" s="144" t="str">
        <f t="shared" si="49"/>
        <v>85</v>
      </c>
      <c r="W1594" s="136">
        <f>+COMPROMISOS_2025[[#This Row],[valor_total]]-COMPROMISOS_2025[[#This Row],[total_cancelado]]</f>
        <v>500000</v>
      </c>
      <c r="X1594" s="136">
        <f>COMPROMISOS_2025[[#This Row],[total_ordenes]]</f>
        <v>500000</v>
      </c>
      <c r="Y1594" t="str" cm="1">
        <f t="array" aca="1" ref="Y1594" ca="1">IFERROR(_xlfn.XLOOKUP(COMPROMISOS_2025[[#This Row],[concatenado]],PAA[[#All],[RCP-RUBRO]],PAA[[#All],[Actividad3]],VLOOKUP(COMPROMISOS_2025[[#This Row],[Indicador Principal]],$AC$2:$AD$17,2,0),0),"")</f>
        <v/>
      </c>
    </row>
    <row r="1595" spans="1:25" hidden="1" x14ac:dyDescent="0.25">
      <c r="A1595">
        <v>1089</v>
      </c>
      <c r="B1595" t="s">
        <v>4164</v>
      </c>
      <c r="C1595" t="s">
        <v>1936</v>
      </c>
      <c r="D1595" t="s">
        <v>4165</v>
      </c>
      <c r="F1595">
        <v>359</v>
      </c>
      <c r="G1595">
        <v>65</v>
      </c>
      <c r="H1595" t="s">
        <v>662</v>
      </c>
      <c r="I1595" t="s">
        <v>2271</v>
      </c>
      <c r="J1595">
        <v>500000</v>
      </c>
      <c r="K1595">
        <v>2025</v>
      </c>
      <c r="L1595">
        <v>1038820708</v>
      </c>
      <c r="M1595" t="s">
        <v>4092</v>
      </c>
      <c r="N1595" t="s">
        <v>1688</v>
      </c>
      <c r="O1595" t="s">
        <v>1686</v>
      </c>
      <c r="P1595">
        <v>0</v>
      </c>
      <c r="Q1595">
        <v>500000</v>
      </c>
      <c r="R1595">
        <v>0</v>
      </c>
      <c r="S1595">
        <v>0</v>
      </c>
      <c r="T1595" t="str">
        <f t="shared" si="48"/>
        <v>10892.43.4302.85.0-205128.2.3.3.08.06.</v>
      </c>
      <c r="U1595" t="e" cm="1">
        <f t="array" aca="1" ref="U1595" ca="1">+IF(COMPROMISOS_2025[[#This Row],[P]]="20","41080111",_xlfn.XLOOKUP(COMPROMISOS_2025[[#This Row],[concatenado]],PAA[[#All],[RCP-RUBRO]],PAA[[#All],[INDICADOR]],"",0))</f>
        <v>#NAME?</v>
      </c>
      <c r="V1595" s="144" t="str">
        <f t="shared" si="49"/>
        <v>85</v>
      </c>
      <c r="W1595" s="136">
        <f>+COMPROMISOS_2025[[#This Row],[valor_total]]-COMPROMISOS_2025[[#This Row],[total_cancelado]]</f>
        <v>500000</v>
      </c>
      <c r="X1595" s="136">
        <f>COMPROMISOS_2025[[#This Row],[total_ordenes]]</f>
        <v>500000</v>
      </c>
      <c r="Y1595" t="str" cm="1">
        <f t="array" aca="1" ref="Y1595" ca="1">IFERROR(_xlfn.XLOOKUP(COMPROMISOS_2025[[#This Row],[concatenado]],PAA[[#All],[RCP-RUBRO]],PAA[[#All],[Actividad3]],VLOOKUP(COMPROMISOS_2025[[#This Row],[Indicador Principal]],$AC$2:$AD$17,2,0),0),"")</f>
        <v/>
      </c>
    </row>
    <row r="1596" spans="1:25" hidden="1" x14ac:dyDescent="0.25">
      <c r="A1596">
        <v>1090</v>
      </c>
      <c r="B1596" t="s">
        <v>4164</v>
      </c>
      <c r="C1596" t="s">
        <v>1936</v>
      </c>
      <c r="D1596" t="s">
        <v>4165</v>
      </c>
      <c r="F1596">
        <v>359</v>
      </c>
      <c r="G1596">
        <v>65</v>
      </c>
      <c r="H1596" t="s">
        <v>662</v>
      </c>
      <c r="I1596" t="s">
        <v>2271</v>
      </c>
      <c r="J1596">
        <v>500000</v>
      </c>
      <c r="K1596">
        <v>2025</v>
      </c>
      <c r="L1596">
        <v>1038821086</v>
      </c>
      <c r="M1596" t="s">
        <v>4093</v>
      </c>
      <c r="N1596" t="s">
        <v>1688</v>
      </c>
      <c r="O1596" t="s">
        <v>1686</v>
      </c>
      <c r="P1596">
        <v>0</v>
      </c>
      <c r="Q1596">
        <v>500000</v>
      </c>
      <c r="R1596">
        <v>0</v>
      </c>
      <c r="S1596">
        <v>0</v>
      </c>
      <c r="T1596" t="str">
        <f t="shared" si="48"/>
        <v>10902.43.4302.85.0-205128.2.3.3.08.06.</v>
      </c>
      <c r="U1596" t="e" cm="1">
        <f t="array" aca="1" ref="U1596" ca="1">+IF(COMPROMISOS_2025[[#This Row],[P]]="20","41080111",_xlfn.XLOOKUP(COMPROMISOS_2025[[#This Row],[concatenado]],PAA[[#All],[RCP-RUBRO]],PAA[[#All],[INDICADOR]],"",0))</f>
        <v>#NAME?</v>
      </c>
      <c r="V1596" s="144" t="str">
        <f t="shared" si="49"/>
        <v>85</v>
      </c>
      <c r="W1596" s="136">
        <f>+COMPROMISOS_2025[[#This Row],[valor_total]]-COMPROMISOS_2025[[#This Row],[total_cancelado]]</f>
        <v>500000</v>
      </c>
      <c r="X1596" s="136">
        <f>COMPROMISOS_2025[[#This Row],[total_ordenes]]</f>
        <v>500000</v>
      </c>
      <c r="Y1596" t="str" cm="1">
        <f t="array" aca="1" ref="Y1596" ca="1">IFERROR(_xlfn.XLOOKUP(COMPROMISOS_2025[[#This Row],[concatenado]],PAA[[#All],[RCP-RUBRO]],PAA[[#All],[Actividad3]],VLOOKUP(COMPROMISOS_2025[[#This Row],[Indicador Principal]],$AC$2:$AD$17,2,0),0),"")</f>
        <v/>
      </c>
    </row>
    <row r="1597" spans="1:25" hidden="1" x14ac:dyDescent="0.25">
      <c r="A1597">
        <v>1091</v>
      </c>
      <c r="B1597" t="s">
        <v>4164</v>
      </c>
      <c r="C1597" t="s">
        <v>1936</v>
      </c>
      <c r="D1597" t="s">
        <v>4165</v>
      </c>
      <c r="F1597">
        <v>359</v>
      </c>
      <c r="G1597">
        <v>65</v>
      </c>
      <c r="H1597" t="s">
        <v>662</v>
      </c>
      <c r="I1597" t="s">
        <v>2271</v>
      </c>
      <c r="J1597">
        <v>1300000</v>
      </c>
      <c r="K1597">
        <v>2025</v>
      </c>
      <c r="L1597">
        <v>1038822618</v>
      </c>
      <c r="M1597" t="s">
        <v>4094</v>
      </c>
      <c r="N1597" t="s">
        <v>1688</v>
      </c>
      <c r="O1597" t="s">
        <v>1686</v>
      </c>
      <c r="P1597">
        <v>0</v>
      </c>
      <c r="Q1597">
        <v>1300000</v>
      </c>
      <c r="R1597">
        <v>0</v>
      </c>
      <c r="S1597">
        <v>0</v>
      </c>
      <c r="T1597" t="str">
        <f t="shared" si="48"/>
        <v>10912.43.4302.85.0-205128.2.3.3.08.06.</v>
      </c>
      <c r="U1597" t="e" cm="1">
        <f t="array" aca="1" ref="U1597" ca="1">+IF(COMPROMISOS_2025[[#This Row],[P]]="20","41080111",_xlfn.XLOOKUP(COMPROMISOS_2025[[#This Row],[concatenado]],PAA[[#All],[RCP-RUBRO]],PAA[[#All],[INDICADOR]],"",0))</f>
        <v>#NAME?</v>
      </c>
      <c r="V1597" s="144" t="str">
        <f t="shared" si="49"/>
        <v>85</v>
      </c>
      <c r="W1597" s="136">
        <f>+COMPROMISOS_2025[[#This Row],[valor_total]]-COMPROMISOS_2025[[#This Row],[total_cancelado]]</f>
        <v>1300000</v>
      </c>
      <c r="X1597" s="136">
        <f>COMPROMISOS_2025[[#This Row],[total_ordenes]]</f>
        <v>1300000</v>
      </c>
      <c r="Y1597" t="str" cm="1">
        <f t="array" aca="1" ref="Y1597" ca="1">IFERROR(_xlfn.XLOOKUP(COMPROMISOS_2025[[#This Row],[concatenado]],PAA[[#All],[RCP-RUBRO]],PAA[[#All],[Actividad3]],VLOOKUP(COMPROMISOS_2025[[#This Row],[Indicador Principal]],$AC$2:$AD$17,2,0),0),"")</f>
        <v/>
      </c>
    </row>
    <row r="1598" spans="1:25" hidden="1" x14ac:dyDescent="0.25">
      <c r="A1598">
        <v>1092</v>
      </c>
      <c r="B1598" t="s">
        <v>4164</v>
      </c>
      <c r="C1598" t="s">
        <v>1936</v>
      </c>
      <c r="D1598" t="s">
        <v>4165</v>
      </c>
      <c r="F1598">
        <v>359</v>
      </c>
      <c r="G1598">
        <v>65</v>
      </c>
      <c r="H1598" t="s">
        <v>662</v>
      </c>
      <c r="I1598" t="s">
        <v>2271</v>
      </c>
      <c r="J1598">
        <v>500000</v>
      </c>
      <c r="K1598">
        <v>2025</v>
      </c>
      <c r="L1598">
        <v>1039024518</v>
      </c>
      <c r="M1598" t="s">
        <v>3811</v>
      </c>
      <c r="N1598" t="s">
        <v>1688</v>
      </c>
      <c r="O1598" t="s">
        <v>1686</v>
      </c>
      <c r="P1598">
        <v>0</v>
      </c>
      <c r="Q1598">
        <v>500000</v>
      </c>
      <c r="R1598">
        <v>0</v>
      </c>
      <c r="S1598">
        <v>0</v>
      </c>
      <c r="T1598" t="str">
        <f t="shared" si="48"/>
        <v>10922.43.4302.85.0-205128.2.3.3.08.06.</v>
      </c>
      <c r="U1598" t="e" cm="1">
        <f t="array" aca="1" ref="U1598" ca="1">+IF(COMPROMISOS_2025[[#This Row],[P]]="20","41080111",_xlfn.XLOOKUP(COMPROMISOS_2025[[#This Row],[concatenado]],PAA[[#All],[RCP-RUBRO]],PAA[[#All],[INDICADOR]],"",0))</f>
        <v>#NAME?</v>
      </c>
      <c r="V1598" s="144" t="str">
        <f t="shared" si="49"/>
        <v>85</v>
      </c>
      <c r="W1598" s="136">
        <f>+COMPROMISOS_2025[[#This Row],[valor_total]]-COMPROMISOS_2025[[#This Row],[total_cancelado]]</f>
        <v>500000</v>
      </c>
      <c r="X1598" s="136">
        <f>COMPROMISOS_2025[[#This Row],[total_ordenes]]</f>
        <v>500000</v>
      </c>
      <c r="Y1598" t="str" cm="1">
        <f t="array" aca="1" ref="Y1598" ca="1">IFERROR(_xlfn.XLOOKUP(COMPROMISOS_2025[[#This Row],[concatenado]],PAA[[#All],[RCP-RUBRO]],PAA[[#All],[Actividad3]],VLOOKUP(COMPROMISOS_2025[[#This Row],[Indicador Principal]],$AC$2:$AD$17,2,0),0),"")</f>
        <v/>
      </c>
    </row>
    <row r="1599" spans="1:25" hidden="1" x14ac:dyDescent="0.25">
      <c r="A1599">
        <v>1093</v>
      </c>
      <c r="B1599" t="s">
        <v>4164</v>
      </c>
      <c r="C1599" t="s">
        <v>1936</v>
      </c>
      <c r="D1599" t="s">
        <v>4165</v>
      </c>
      <c r="F1599">
        <v>359</v>
      </c>
      <c r="G1599">
        <v>65</v>
      </c>
      <c r="H1599" t="s">
        <v>662</v>
      </c>
      <c r="I1599" t="s">
        <v>2271</v>
      </c>
      <c r="J1599">
        <v>500000</v>
      </c>
      <c r="K1599">
        <v>2025</v>
      </c>
      <c r="L1599">
        <v>1039463012</v>
      </c>
      <c r="M1599" t="s">
        <v>4095</v>
      </c>
      <c r="N1599" t="s">
        <v>1688</v>
      </c>
      <c r="O1599" t="s">
        <v>1686</v>
      </c>
      <c r="P1599">
        <v>0</v>
      </c>
      <c r="Q1599">
        <v>500000</v>
      </c>
      <c r="R1599">
        <v>0</v>
      </c>
      <c r="S1599">
        <v>0</v>
      </c>
      <c r="T1599" t="str">
        <f t="shared" si="48"/>
        <v>10932.43.4302.85.0-205128.2.3.3.08.06.</v>
      </c>
      <c r="U1599" t="e" cm="1">
        <f t="array" aca="1" ref="U1599" ca="1">+IF(COMPROMISOS_2025[[#This Row],[P]]="20","41080111",_xlfn.XLOOKUP(COMPROMISOS_2025[[#This Row],[concatenado]],PAA[[#All],[RCP-RUBRO]],PAA[[#All],[INDICADOR]],"",0))</f>
        <v>#NAME?</v>
      </c>
      <c r="V1599" s="144" t="str">
        <f t="shared" si="49"/>
        <v>85</v>
      </c>
      <c r="W1599" s="136">
        <f>+COMPROMISOS_2025[[#This Row],[valor_total]]-COMPROMISOS_2025[[#This Row],[total_cancelado]]</f>
        <v>500000</v>
      </c>
      <c r="X1599" s="136">
        <f>COMPROMISOS_2025[[#This Row],[total_ordenes]]</f>
        <v>500000</v>
      </c>
      <c r="Y1599" t="str" cm="1">
        <f t="array" aca="1" ref="Y1599" ca="1">IFERROR(_xlfn.XLOOKUP(COMPROMISOS_2025[[#This Row],[concatenado]],PAA[[#All],[RCP-RUBRO]],PAA[[#All],[Actividad3]],VLOOKUP(COMPROMISOS_2025[[#This Row],[Indicador Principal]],$AC$2:$AD$17,2,0),0),"")</f>
        <v/>
      </c>
    </row>
    <row r="1600" spans="1:25" hidden="1" x14ac:dyDescent="0.25">
      <c r="A1600">
        <v>1094</v>
      </c>
      <c r="B1600" t="s">
        <v>4164</v>
      </c>
      <c r="C1600" t="s">
        <v>1936</v>
      </c>
      <c r="D1600" t="s">
        <v>4165</v>
      </c>
      <c r="F1600">
        <v>359</v>
      </c>
      <c r="G1600">
        <v>65</v>
      </c>
      <c r="H1600" t="s">
        <v>662</v>
      </c>
      <c r="I1600" t="s">
        <v>2271</v>
      </c>
      <c r="J1600">
        <v>500000</v>
      </c>
      <c r="K1600">
        <v>2025</v>
      </c>
      <c r="L1600">
        <v>1039464250</v>
      </c>
      <c r="M1600" t="s">
        <v>4096</v>
      </c>
      <c r="N1600" t="s">
        <v>1688</v>
      </c>
      <c r="O1600" t="s">
        <v>1686</v>
      </c>
      <c r="P1600">
        <v>0</v>
      </c>
      <c r="Q1600">
        <v>500000</v>
      </c>
      <c r="R1600">
        <v>0</v>
      </c>
      <c r="S1600">
        <v>0</v>
      </c>
      <c r="T1600" t="str">
        <f t="shared" si="48"/>
        <v>10942.43.4302.85.0-205128.2.3.3.08.06.</v>
      </c>
      <c r="U1600" t="e" cm="1">
        <f t="array" aca="1" ref="U1600" ca="1">+IF(COMPROMISOS_2025[[#This Row],[P]]="20","41080111",_xlfn.XLOOKUP(COMPROMISOS_2025[[#This Row],[concatenado]],PAA[[#All],[RCP-RUBRO]],PAA[[#All],[INDICADOR]],"",0))</f>
        <v>#NAME?</v>
      </c>
      <c r="V1600" s="144" t="str">
        <f t="shared" si="49"/>
        <v>85</v>
      </c>
      <c r="W1600" s="136">
        <f>+COMPROMISOS_2025[[#This Row],[valor_total]]-COMPROMISOS_2025[[#This Row],[total_cancelado]]</f>
        <v>500000</v>
      </c>
      <c r="X1600" s="136">
        <f>COMPROMISOS_2025[[#This Row],[total_ordenes]]</f>
        <v>500000</v>
      </c>
      <c r="Y1600" t="str" cm="1">
        <f t="array" aca="1" ref="Y1600" ca="1">IFERROR(_xlfn.XLOOKUP(COMPROMISOS_2025[[#This Row],[concatenado]],PAA[[#All],[RCP-RUBRO]],PAA[[#All],[Actividad3]],VLOOKUP(COMPROMISOS_2025[[#This Row],[Indicador Principal]],$AC$2:$AD$17,2,0),0),"")</f>
        <v/>
      </c>
    </row>
    <row r="1601" spans="1:25" hidden="1" x14ac:dyDescent="0.25">
      <c r="A1601">
        <v>1095</v>
      </c>
      <c r="B1601" t="s">
        <v>4164</v>
      </c>
      <c r="C1601" t="s">
        <v>1936</v>
      </c>
      <c r="D1601" t="s">
        <v>4165</v>
      </c>
      <c r="F1601">
        <v>359</v>
      </c>
      <c r="G1601">
        <v>65</v>
      </c>
      <c r="H1601" t="s">
        <v>662</v>
      </c>
      <c r="I1601" t="s">
        <v>2271</v>
      </c>
      <c r="J1601">
        <v>500000</v>
      </c>
      <c r="K1601">
        <v>2025</v>
      </c>
      <c r="L1601">
        <v>1040181256</v>
      </c>
      <c r="M1601" t="s">
        <v>3815</v>
      </c>
      <c r="N1601" t="s">
        <v>1688</v>
      </c>
      <c r="O1601" t="s">
        <v>1686</v>
      </c>
      <c r="P1601">
        <v>0</v>
      </c>
      <c r="Q1601">
        <v>500000</v>
      </c>
      <c r="R1601">
        <v>0</v>
      </c>
      <c r="S1601">
        <v>0</v>
      </c>
      <c r="T1601" t="str">
        <f t="shared" si="48"/>
        <v>10952.43.4302.85.0-205128.2.3.3.08.06.</v>
      </c>
      <c r="U1601" t="e" cm="1">
        <f t="array" aca="1" ref="U1601" ca="1">+IF(COMPROMISOS_2025[[#This Row],[P]]="20","41080111",_xlfn.XLOOKUP(COMPROMISOS_2025[[#This Row],[concatenado]],PAA[[#All],[RCP-RUBRO]],PAA[[#All],[INDICADOR]],"",0))</f>
        <v>#NAME?</v>
      </c>
      <c r="V1601" s="144" t="str">
        <f t="shared" si="49"/>
        <v>85</v>
      </c>
      <c r="W1601" s="136">
        <f>+COMPROMISOS_2025[[#This Row],[valor_total]]-COMPROMISOS_2025[[#This Row],[total_cancelado]]</f>
        <v>500000</v>
      </c>
      <c r="X1601" s="136">
        <f>COMPROMISOS_2025[[#This Row],[total_ordenes]]</f>
        <v>500000</v>
      </c>
      <c r="Y1601" t="str" cm="1">
        <f t="array" aca="1" ref="Y1601" ca="1">IFERROR(_xlfn.XLOOKUP(COMPROMISOS_2025[[#This Row],[concatenado]],PAA[[#All],[RCP-RUBRO]],PAA[[#All],[Actividad3]],VLOOKUP(COMPROMISOS_2025[[#This Row],[Indicador Principal]],$AC$2:$AD$17,2,0),0),"")</f>
        <v/>
      </c>
    </row>
    <row r="1602" spans="1:25" hidden="1" x14ac:dyDescent="0.25">
      <c r="A1602">
        <v>1096</v>
      </c>
      <c r="B1602" t="s">
        <v>4164</v>
      </c>
      <c r="C1602" t="s">
        <v>1936</v>
      </c>
      <c r="D1602" t="s">
        <v>4165</v>
      </c>
      <c r="F1602">
        <v>359</v>
      </c>
      <c r="G1602">
        <v>65</v>
      </c>
      <c r="H1602" t="s">
        <v>662</v>
      </c>
      <c r="I1602" t="s">
        <v>2271</v>
      </c>
      <c r="J1602">
        <v>800000</v>
      </c>
      <c r="K1602">
        <v>2025</v>
      </c>
      <c r="L1602">
        <v>1040182080</v>
      </c>
      <c r="M1602" t="s">
        <v>4097</v>
      </c>
      <c r="N1602" t="s">
        <v>1688</v>
      </c>
      <c r="O1602" t="s">
        <v>1686</v>
      </c>
      <c r="P1602">
        <v>0</v>
      </c>
      <c r="Q1602">
        <v>800000</v>
      </c>
      <c r="R1602">
        <v>0</v>
      </c>
      <c r="S1602">
        <v>0</v>
      </c>
      <c r="T1602" t="str">
        <f t="shared" ref="T1602:T1665" si="50">IF(A1602&gt;=0,CONCATENATE(A1602,H1602),"")</f>
        <v>10962.43.4302.85.0-205128.2.3.3.08.06.</v>
      </c>
      <c r="U1602" t="e" cm="1">
        <f t="array" aca="1" ref="U1602" ca="1">+IF(COMPROMISOS_2025[[#This Row],[P]]="20","41080111",_xlfn.XLOOKUP(COMPROMISOS_2025[[#This Row],[concatenado]],PAA[[#All],[RCP-RUBRO]],PAA[[#All],[INDICADOR]],"",0))</f>
        <v>#NAME?</v>
      </c>
      <c r="V1602" s="144" t="str">
        <f t="shared" ref="V1602:V1665" si="51">+MID(H1602,11,2)</f>
        <v>85</v>
      </c>
      <c r="W1602" s="136">
        <f>+COMPROMISOS_2025[[#This Row],[valor_total]]-COMPROMISOS_2025[[#This Row],[total_cancelado]]</f>
        <v>800000</v>
      </c>
      <c r="X1602" s="136">
        <f>COMPROMISOS_2025[[#This Row],[total_ordenes]]</f>
        <v>800000</v>
      </c>
      <c r="Y1602" t="str" cm="1">
        <f t="array" aca="1" ref="Y1602" ca="1">IFERROR(_xlfn.XLOOKUP(COMPROMISOS_2025[[#This Row],[concatenado]],PAA[[#All],[RCP-RUBRO]],PAA[[#All],[Actividad3]],VLOOKUP(COMPROMISOS_2025[[#This Row],[Indicador Principal]],$AC$2:$AD$17,2,0),0),"")</f>
        <v/>
      </c>
    </row>
    <row r="1603" spans="1:25" hidden="1" x14ac:dyDescent="0.25">
      <c r="A1603">
        <v>1097</v>
      </c>
      <c r="B1603" t="s">
        <v>4164</v>
      </c>
      <c r="C1603" t="s">
        <v>1936</v>
      </c>
      <c r="D1603" t="s">
        <v>4165</v>
      </c>
      <c r="F1603">
        <v>359</v>
      </c>
      <c r="G1603">
        <v>65</v>
      </c>
      <c r="H1603" t="s">
        <v>662</v>
      </c>
      <c r="I1603" t="s">
        <v>2271</v>
      </c>
      <c r="J1603">
        <v>1300000</v>
      </c>
      <c r="K1603">
        <v>2025</v>
      </c>
      <c r="L1603">
        <v>1040351861</v>
      </c>
      <c r="M1603" t="s">
        <v>4098</v>
      </c>
      <c r="N1603" t="s">
        <v>1688</v>
      </c>
      <c r="O1603" t="s">
        <v>1686</v>
      </c>
      <c r="P1603">
        <v>0</v>
      </c>
      <c r="Q1603">
        <v>1300000</v>
      </c>
      <c r="R1603">
        <v>0</v>
      </c>
      <c r="S1603">
        <v>0</v>
      </c>
      <c r="T1603" t="str">
        <f t="shared" si="50"/>
        <v>10972.43.4302.85.0-205128.2.3.3.08.06.</v>
      </c>
      <c r="U1603" t="e" cm="1">
        <f t="array" aca="1" ref="U1603" ca="1">+IF(COMPROMISOS_2025[[#This Row],[P]]="20","41080111",_xlfn.XLOOKUP(COMPROMISOS_2025[[#This Row],[concatenado]],PAA[[#All],[RCP-RUBRO]],PAA[[#All],[INDICADOR]],"",0))</f>
        <v>#NAME?</v>
      </c>
      <c r="V1603" s="144" t="str">
        <f t="shared" si="51"/>
        <v>85</v>
      </c>
      <c r="W1603" s="136">
        <f>+COMPROMISOS_2025[[#This Row],[valor_total]]-COMPROMISOS_2025[[#This Row],[total_cancelado]]</f>
        <v>1300000</v>
      </c>
      <c r="X1603" s="136">
        <f>COMPROMISOS_2025[[#This Row],[total_ordenes]]</f>
        <v>1300000</v>
      </c>
      <c r="Y1603" t="str" cm="1">
        <f t="array" aca="1" ref="Y1603" ca="1">IFERROR(_xlfn.XLOOKUP(COMPROMISOS_2025[[#This Row],[concatenado]],PAA[[#All],[RCP-RUBRO]],PAA[[#All],[Actividad3]],VLOOKUP(COMPROMISOS_2025[[#This Row],[Indicador Principal]],$AC$2:$AD$17,2,0),0),"")</f>
        <v/>
      </c>
    </row>
    <row r="1604" spans="1:25" hidden="1" x14ac:dyDescent="0.25">
      <c r="A1604">
        <v>1098</v>
      </c>
      <c r="B1604" t="s">
        <v>4164</v>
      </c>
      <c r="C1604" t="s">
        <v>1936</v>
      </c>
      <c r="D1604" t="s">
        <v>4165</v>
      </c>
      <c r="F1604">
        <v>359</v>
      </c>
      <c r="G1604">
        <v>65</v>
      </c>
      <c r="H1604" t="s">
        <v>662</v>
      </c>
      <c r="I1604" t="s">
        <v>2271</v>
      </c>
      <c r="J1604">
        <v>1300000</v>
      </c>
      <c r="K1604">
        <v>2025</v>
      </c>
      <c r="L1604">
        <v>1040358221</v>
      </c>
      <c r="M1604" t="s">
        <v>4099</v>
      </c>
      <c r="N1604" t="s">
        <v>1688</v>
      </c>
      <c r="O1604" t="s">
        <v>1686</v>
      </c>
      <c r="P1604">
        <v>0</v>
      </c>
      <c r="Q1604">
        <v>1300000</v>
      </c>
      <c r="R1604">
        <v>0</v>
      </c>
      <c r="S1604">
        <v>0</v>
      </c>
      <c r="T1604" t="str">
        <f t="shared" si="50"/>
        <v>10982.43.4302.85.0-205128.2.3.3.08.06.</v>
      </c>
      <c r="U1604" t="e" cm="1">
        <f t="array" aca="1" ref="U1604" ca="1">+IF(COMPROMISOS_2025[[#This Row],[P]]="20","41080111",_xlfn.XLOOKUP(COMPROMISOS_2025[[#This Row],[concatenado]],PAA[[#All],[RCP-RUBRO]],PAA[[#All],[INDICADOR]],"",0))</f>
        <v>#NAME?</v>
      </c>
      <c r="V1604" s="144" t="str">
        <f t="shared" si="51"/>
        <v>85</v>
      </c>
      <c r="W1604" s="136">
        <f>+COMPROMISOS_2025[[#This Row],[valor_total]]-COMPROMISOS_2025[[#This Row],[total_cancelado]]</f>
        <v>1300000</v>
      </c>
      <c r="X1604" s="136">
        <f>COMPROMISOS_2025[[#This Row],[total_ordenes]]</f>
        <v>1300000</v>
      </c>
      <c r="Y1604" t="str" cm="1">
        <f t="array" aca="1" ref="Y1604" ca="1">IFERROR(_xlfn.XLOOKUP(COMPROMISOS_2025[[#This Row],[concatenado]],PAA[[#All],[RCP-RUBRO]],PAA[[#All],[Actividad3]],VLOOKUP(COMPROMISOS_2025[[#This Row],[Indicador Principal]],$AC$2:$AD$17,2,0),0),"")</f>
        <v/>
      </c>
    </row>
    <row r="1605" spans="1:25" hidden="1" x14ac:dyDescent="0.25">
      <c r="A1605">
        <v>1099</v>
      </c>
      <c r="B1605" t="s">
        <v>4164</v>
      </c>
      <c r="C1605" t="s">
        <v>1936</v>
      </c>
      <c r="D1605" t="s">
        <v>4165</v>
      </c>
      <c r="F1605">
        <v>359</v>
      </c>
      <c r="G1605">
        <v>65</v>
      </c>
      <c r="H1605" t="s">
        <v>662</v>
      </c>
      <c r="I1605" t="s">
        <v>2271</v>
      </c>
      <c r="J1605">
        <v>1300000</v>
      </c>
      <c r="K1605">
        <v>2025</v>
      </c>
      <c r="L1605">
        <v>1040358334</v>
      </c>
      <c r="M1605" t="s">
        <v>3816</v>
      </c>
      <c r="N1605" t="s">
        <v>1688</v>
      </c>
      <c r="O1605" t="s">
        <v>1686</v>
      </c>
      <c r="P1605">
        <v>0</v>
      </c>
      <c r="Q1605">
        <v>1300000</v>
      </c>
      <c r="R1605">
        <v>0</v>
      </c>
      <c r="S1605">
        <v>0</v>
      </c>
      <c r="T1605" t="str">
        <f t="shared" si="50"/>
        <v>10992.43.4302.85.0-205128.2.3.3.08.06.</v>
      </c>
      <c r="U1605" t="e" cm="1">
        <f t="array" aca="1" ref="U1605" ca="1">+IF(COMPROMISOS_2025[[#This Row],[P]]="20","41080111",_xlfn.XLOOKUP(COMPROMISOS_2025[[#This Row],[concatenado]],PAA[[#All],[RCP-RUBRO]],PAA[[#All],[INDICADOR]],"",0))</f>
        <v>#NAME?</v>
      </c>
      <c r="V1605" s="144" t="str">
        <f t="shared" si="51"/>
        <v>85</v>
      </c>
      <c r="W1605" s="136">
        <f>+COMPROMISOS_2025[[#This Row],[valor_total]]-COMPROMISOS_2025[[#This Row],[total_cancelado]]</f>
        <v>1300000</v>
      </c>
      <c r="X1605" s="136">
        <f>COMPROMISOS_2025[[#This Row],[total_ordenes]]</f>
        <v>1300000</v>
      </c>
      <c r="Y1605" t="str" cm="1">
        <f t="array" aca="1" ref="Y1605" ca="1">IFERROR(_xlfn.XLOOKUP(COMPROMISOS_2025[[#This Row],[concatenado]],PAA[[#All],[RCP-RUBRO]],PAA[[#All],[Actividad3]],VLOOKUP(COMPROMISOS_2025[[#This Row],[Indicador Principal]],$AC$2:$AD$17,2,0),0),"")</f>
        <v/>
      </c>
    </row>
    <row r="1606" spans="1:25" hidden="1" x14ac:dyDescent="0.25">
      <c r="A1606">
        <v>1100</v>
      </c>
      <c r="B1606" t="s">
        <v>4164</v>
      </c>
      <c r="C1606" t="s">
        <v>1936</v>
      </c>
      <c r="D1606" t="s">
        <v>4165</v>
      </c>
      <c r="F1606">
        <v>359</v>
      </c>
      <c r="G1606">
        <v>65</v>
      </c>
      <c r="H1606" t="s">
        <v>662</v>
      </c>
      <c r="I1606" t="s">
        <v>2271</v>
      </c>
      <c r="J1606">
        <v>1300000</v>
      </c>
      <c r="K1606">
        <v>2025</v>
      </c>
      <c r="L1606">
        <v>1040368312</v>
      </c>
      <c r="M1606" t="s">
        <v>3819</v>
      </c>
      <c r="N1606" t="s">
        <v>1688</v>
      </c>
      <c r="O1606" t="s">
        <v>1686</v>
      </c>
      <c r="P1606">
        <v>0</v>
      </c>
      <c r="Q1606">
        <v>1300000</v>
      </c>
      <c r="R1606">
        <v>0</v>
      </c>
      <c r="S1606">
        <v>0</v>
      </c>
      <c r="T1606" t="str">
        <f t="shared" si="50"/>
        <v>11002.43.4302.85.0-205128.2.3.3.08.06.</v>
      </c>
      <c r="U1606" t="e" cm="1">
        <f t="array" aca="1" ref="U1606" ca="1">+IF(COMPROMISOS_2025[[#This Row],[P]]="20","41080111",_xlfn.XLOOKUP(COMPROMISOS_2025[[#This Row],[concatenado]],PAA[[#All],[RCP-RUBRO]],PAA[[#All],[INDICADOR]],"",0))</f>
        <v>#NAME?</v>
      </c>
      <c r="V1606" s="144" t="str">
        <f t="shared" si="51"/>
        <v>85</v>
      </c>
      <c r="W1606" s="136">
        <f>+COMPROMISOS_2025[[#This Row],[valor_total]]-COMPROMISOS_2025[[#This Row],[total_cancelado]]</f>
        <v>1300000</v>
      </c>
      <c r="X1606" s="136">
        <f>COMPROMISOS_2025[[#This Row],[total_ordenes]]</f>
        <v>1300000</v>
      </c>
      <c r="Y1606" t="str" cm="1">
        <f t="array" aca="1" ref="Y1606" ca="1">IFERROR(_xlfn.XLOOKUP(COMPROMISOS_2025[[#This Row],[concatenado]],PAA[[#All],[RCP-RUBRO]],PAA[[#All],[Actividad3]],VLOOKUP(COMPROMISOS_2025[[#This Row],[Indicador Principal]],$AC$2:$AD$17,2,0),0),"")</f>
        <v/>
      </c>
    </row>
    <row r="1607" spans="1:25" hidden="1" x14ac:dyDescent="0.25">
      <c r="A1607">
        <v>1101</v>
      </c>
      <c r="B1607" t="s">
        <v>4164</v>
      </c>
      <c r="C1607" t="s">
        <v>1936</v>
      </c>
      <c r="D1607" t="s">
        <v>4165</v>
      </c>
      <c r="F1607">
        <v>359</v>
      </c>
      <c r="G1607">
        <v>65</v>
      </c>
      <c r="H1607" t="s">
        <v>662</v>
      </c>
      <c r="I1607" t="s">
        <v>2271</v>
      </c>
      <c r="J1607">
        <v>500000</v>
      </c>
      <c r="K1607">
        <v>2025</v>
      </c>
      <c r="L1607">
        <v>1040370251</v>
      </c>
      <c r="M1607" t="s">
        <v>4100</v>
      </c>
      <c r="N1607" t="s">
        <v>1688</v>
      </c>
      <c r="O1607" t="s">
        <v>1686</v>
      </c>
      <c r="P1607">
        <v>0</v>
      </c>
      <c r="Q1607">
        <v>500000</v>
      </c>
      <c r="R1607">
        <v>0</v>
      </c>
      <c r="S1607">
        <v>0</v>
      </c>
      <c r="T1607" t="str">
        <f t="shared" si="50"/>
        <v>11012.43.4302.85.0-205128.2.3.3.08.06.</v>
      </c>
      <c r="U1607" t="e" cm="1">
        <f t="array" aca="1" ref="U1607" ca="1">+IF(COMPROMISOS_2025[[#This Row],[P]]="20","41080111",_xlfn.XLOOKUP(COMPROMISOS_2025[[#This Row],[concatenado]],PAA[[#All],[RCP-RUBRO]],PAA[[#All],[INDICADOR]],"",0))</f>
        <v>#NAME?</v>
      </c>
      <c r="V1607" s="144" t="str">
        <f t="shared" si="51"/>
        <v>85</v>
      </c>
      <c r="W1607" s="136">
        <f>+COMPROMISOS_2025[[#This Row],[valor_total]]-COMPROMISOS_2025[[#This Row],[total_cancelado]]</f>
        <v>500000</v>
      </c>
      <c r="X1607" s="136">
        <f>COMPROMISOS_2025[[#This Row],[total_ordenes]]</f>
        <v>500000</v>
      </c>
      <c r="Y1607" t="str" cm="1">
        <f t="array" aca="1" ref="Y1607" ca="1">IFERROR(_xlfn.XLOOKUP(COMPROMISOS_2025[[#This Row],[concatenado]],PAA[[#All],[RCP-RUBRO]],PAA[[#All],[Actividad3]],VLOOKUP(COMPROMISOS_2025[[#This Row],[Indicador Principal]],$AC$2:$AD$17,2,0),0),"")</f>
        <v/>
      </c>
    </row>
    <row r="1608" spans="1:25" hidden="1" x14ac:dyDescent="0.25">
      <c r="A1608">
        <v>1102</v>
      </c>
      <c r="B1608" t="s">
        <v>4164</v>
      </c>
      <c r="C1608" t="s">
        <v>1936</v>
      </c>
      <c r="D1608" t="s">
        <v>4165</v>
      </c>
      <c r="F1608">
        <v>359</v>
      </c>
      <c r="G1608">
        <v>65</v>
      </c>
      <c r="H1608" t="s">
        <v>662</v>
      </c>
      <c r="I1608" t="s">
        <v>2271</v>
      </c>
      <c r="J1608">
        <v>500000</v>
      </c>
      <c r="K1608">
        <v>2025</v>
      </c>
      <c r="L1608">
        <v>1040506785</v>
      </c>
      <c r="M1608" t="s">
        <v>4101</v>
      </c>
      <c r="N1608" t="s">
        <v>1688</v>
      </c>
      <c r="O1608" t="s">
        <v>1686</v>
      </c>
      <c r="P1608">
        <v>0</v>
      </c>
      <c r="Q1608">
        <v>500000</v>
      </c>
      <c r="R1608">
        <v>0</v>
      </c>
      <c r="S1608">
        <v>0</v>
      </c>
      <c r="T1608" t="str">
        <f t="shared" si="50"/>
        <v>11022.43.4302.85.0-205128.2.3.3.08.06.</v>
      </c>
      <c r="U1608" t="e" cm="1">
        <f t="array" aca="1" ref="U1608" ca="1">+IF(COMPROMISOS_2025[[#This Row],[P]]="20","41080111",_xlfn.XLOOKUP(COMPROMISOS_2025[[#This Row],[concatenado]],PAA[[#All],[RCP-RUBRO]],PAA[[#All],[INDICADOR]],"",0))</f>
        <v>#NAME?</v>
      </c>
      <c r="V1608" s="144" t="str">
        <f t="shared" si="51"/>
        <v>85</v>
      </c>
      <c r="W1608" s="136">
        <f>+COMPROMISOS_2025[[#This Row],[valor_total]]-COMPROMISOS_2025[[#This Row],[total_cancelado]]</f>
        <v>500000</v>
      </c>
      <c r="X1608" s="136">
        <f>COMPROMISOS_2025[[#This Row],[total_ordenes]]</f>
        <v>500000</v>
      </c>
      <c r="Y1608" t="str" cm="1">
        <f t="array" aca="1" ref="Y1608" ca="1">IFERROR(_xlfn.XLOOKUP(COMPROMISOS_2025[[#This Row],[concatenado]],PAA[[#All],[RCP-RUBRO]],PAA[[#All],[Actividad3]],VLOOKUP(COMPROMISOS_2025[[#This Row],[Indicador Principal]],$AC$2:$AD$17,2,0),0),"")</f>
        <v/>
      </c>
    </row>
    <row r="1609" spans="1:25" hidden="1" x14ac:dyDescent="0.25">
      <c r="A1609">
        <v>1103</v>
      </c>
      <c r="B1609" t="s">
        <v>4164</v>
      </c>
      <c r="C1609" t="s">
        <v>1936</v>
      </c>
      <c r="D1609" t="s">
        <v>4165</v>
      </c>
      <c r="F1609">
        <v>359</v>
      </c>
      <c r="G1609">
        <v>65</v>
      </c>
      <c r="H1609" t="s">
        <v>662</v>
      </c>
      <c r="I1609" t="s">
        <v>2271</v>
      </c>
      <c r="J1609">
        <v>800000</v>
      </c>
      <c r="K1609">
        <v>2025</v>
      </c>
      <c r="L1609">
        <v>1040750941</v>
      </c>
      <c r="M1609" t="s">
        <v>3822</v>
      </c>
      <c r="N1609" t="s">
        <v>1688</v>
      </c>
      <c r="O1609" t="s">
        <v>1686</v>
      </c>
      <c r="P1609">
        <v>0</v>
      </c>
      <c r="Q1609">
        <v>800000</v>
      </c>
      <c r="R1609">
        <v>0</v>
      </c>
      <c r="S1609">
        <v>0</v>
      </c>
      <c r="T1609" t="str">
        <f t="shared" si="50"/>
        <v>11032.43.4302.85.0-205128.2.3.3.08.06.</v>
      </c>
      <c r="U1609" t="e" cm="1">
        <f t="array" aca="1" ref="U1609" ca="1">+IF(COMPROMISOS_2025[[#This Row],[P]]="20","41080111",_xlfn.XLOOKUP(COMPROMISOS_2025[[#This Row],[concatenado]],PAA[[#All],[RCP-RUBRO]],PAA[[#All],[INDICADOR]],"",0))</f>
        <v>#NAME?</v>
      </c>
      <c r="V1609" s="144" t="str">
        <f t="shared" si="51"/>
        <v>85</v>
      </c>
      <c r="W1609" s="136">
        <f>+COMPROMISOS_2025[[#This Row],[valor_total]]-COMPROMISOS_2025[[#This Row],[total_cancelado]]</f>
        <v>800000</v>
      </c>
      <c r="X1609" s="136">
        <f>COMPROMISOS_2025[[#This Row],[total_ordenes]]</f>
        <v>800000</v>
      </c>
      <c r="Y1609" t="str" cm="1">
        <f t="array" aca="1" ref="Y1609" ca="1">IFERROR(_xlfn.XLOOKUP(COMPROMISOS_2025[[#This Row],[concatenado]],PAA[[#All],[RCP-RUBRO]],PAA[[#All],[Actividad3]],VLOOKUP(COMPROMISOS_2025[[#This Row],[Indicador Principal]],$AC$2:$AD$17,2,0),0),"")</f>
        <v/>
      </c>
    </row>
    <row r="1610" spans="1:25" hidden="1" x14ac:dyDescent="0.25">
      <c r="A1610">
        <v>1104</v>
      </c>
      <c r="B1610" t="s">
        <v>4164</v>
      </c>
      <c r="C1610" t="s">
        <v>1936</v>
      </c>
      <c r="D1610" t="s">
        <v>4165</v>
      </c>
      <c r="F1610">
        <v>359</v>
      </c>
      <c r="G1610">
        <v>65</v>
      </c>
      <c r="H1610" t="s">
        <v>662</v>
      </c>
      <c r="I1610" t="s">
        <v>2271</v>
      </c>
      <c r="J1610">
        <v>500000</v>
      </c>
      <c r="K1610">
        <v>2025</v>
      </c>
      <c r="L1610">
        <v>1040872930</v>
      </c>
      <c r="M1610" t="s">
        <v>4102</v>
      </c>
      <c r="N1610" t="s">
        <v>1688</v>
      </c>
      <c r="O1610" t="s">
        <v>1686</v>
      </c>
      <c r="P1610">
        <v>0</v>
      </c>
      <c r="Q1610">
        <v>500000</v>
      </c>
      <c r="R1610">
        <v>0</v>
      </c>
      <c r="S1610">
        <v>0</v>
      </c>
      <c r="T1610" t="str">
        <f t="shared" si="50"/>
        <v>11042.43.4302.85.0-205128.2.3.3.08.06.</v>
      </c>
      <c r="U1610" t="e" cm="1">
        <f t="array" aca="1" ref="U1610" ca="1">+IF(COMPROMISOS_2025[[#This Row],[P]]="20","41080111",_xlfn.XLOOKUP(COMPROMISOS_2025[[#This Row],[concatenado]],PAA[[#All],[RCP-RUBRO]],PAA[[#All],[INDICADOR]],"",0))</f>
        <v>#NAME?</v>
      </c>
      <c r="V1610" s="144" t="str">
        <f t="shared" si="51"/>
        <v>85</v>
      </c>
      <c r="W1610" s="136">
        <f>+COMPROMISOS_2025[[#This Row],[valor_total]]-COMPROMISOS_2025[[#This Row],[total_cancelado]]</f>
        <v>500000</v>
      </c>
      <c r="X1610" s="136">
        <f>COMPROMISOS_2025[[#This Row],[total_ordenes]]</f>
        <v>500000</v>
      </c>
      <c r="Y1610" t="str" cm="1">
        <f t="array" aca="1" ref="Y1610" ca="1">IFERROR(_xlfn.XLOOKUP(COMPROMISOS_2025[[#This Row],[concatenado]],PAA[[#All],[RCP-RUBRO]],PAA[[#All],[Actividad3]],VLOOKUP(COMPROMISOS_2025[[#This Row],[Indicador Principal]],$AC$2:$AD$17,2,0),0),"")</f>
        <v/>
      </c>
    </row>
    <row r="1611" spans="1:25" hidden="1" x14ac:dyDescent="0.25">
      <c r="A1611">
        <v>1105</v>
      </c>
      <c r="B1611" t="s">
        <v>4164</v>
      </c>
      <c r="C1611" t="s">
        <v>1936</v>
      </c>
      <c r="D1611" t="s">
        <v>4165</v>
      </c>
      <c r="F1611">
        <v>359</v>
      </c>
      <c r="G1611">
        <v>65</v>
      </c>
      <c r="H1611" t="s">
        <v>662</v>
      </c>
      <c r="I1611" t="s">
        <v>2271</v>
      </c>
      <c r="J1611">
        <v>500000</v>
      </c>
      <c r="K1611">
        <v>2025</v>
      </c>
      <c r="L1611">
        <v>1040876263</v>
      </c>
      <c r="M1611" t="s">
        <v>4103</v>
      </c>
      <c r="N1611" t="s">
        <v>1688</v>
      </c>
      <c r="O1611" t="s">
        <v>1686</v>
      </c>
      <c r="P1611">
        <v>0</v>
      </c>
      <c r="Q1611">
        <v>500000</v>
      </c>
      <c r="R1611">
        <v>0</v>
      </c>
      <c r="S1611">
        <v>0</v>
      </c>
      <c r="T1611" t="str">
        <f t="shared" si="50"/>
        <v>11052.43.4302.85.0-205128.2.3.3.08.06.</v>
      </c>
      <c r="U1611" t="e" cm="1">
        <f t="array" aca="1" ref="U1611" ca="1">+IF(COMPROMISOS_2025[[#This Row],[P]]="20","41080111",_xlfn.XLOOKUP(COMPROMISOS_2025[[#This Row],[concatenado]],PAA[[#All],[RCP-RUBRO]],PAA[[#All],[INDICADOR]],"",0))</f>
        <v>#NAME?</v>
      </c>
      <c r="V1611" s="144" t="str">
        <f t="shared" si="51"/>
        <v>85</v>
      </c>
      <c r="W1611" s="136">
        <f>+COMPROMISOS_2025[[#This Row],[valor_total]]-COMPROMISOS_2025[[#This Row],[total_cancelado]]</f>
        <v>500000</v>
      </c>
      <c r="X1611" s="136">
        <f>COMPROMISOS_2025[[#This Row],[total_ordenes]]</f>
        <v>500000</v>
      </c>
      <c r="Y1611" t="str" cm="1">
        <f t="array" aca="1" ref="Y1611" ca="1">IFERROR(_xlfn.XLOOKUP(COMPROMISOS_2025[[#This Row],[concatenado]],PAA[[#All],[RCP-RUBRO]],PAA[[#All],[Actividad3]],VLOOKUP(COMPROMISOS_2025[[#This Row],[Indicador Principal]],$AC$2:$AD$17,2,0),0),"")</f>
        <v/>
      </c>
    </row>
    <row r="1612" spans="1:25" hidden="1" x14ac:dyDescent="0.25">
      <c r="A1612">
        <v>1106</v>
      </c>
      <c r="B1612" t="s">
        <v>4164</v>
      </c>
      <c r="C1612" t="s">
        <v>1936</v>
      </c>
      <c r="D1612" t="s">
        <v>4165</v>
      </c>
      <c r="F1612">
        <v>359</v>
      </c>
      <c r="G1612">
        <v>65</v>
      </c>
      <c r="H1612" t="s">
        <v>662</v>
      </c>
      <c r="I1612" t="s">
        <v>2271</v>
      </c>
      <c r="J1612">
        <v>1000000</v>
      </c>
      <c r="K1612">
        <v>2025</v>
      </c>
      <c r="L1612">
        <v>1040878283</v>
      </c>
      <c r="M1612" t="s">
        <v>4104</v>
      </c>
      <c r="N1612" t="s">
        <v>1688</v>
      </c>
      <c r="O1612" t="s">
        <v>1686</v>
      </c>
      <c r="P1612">
        <v>0</v>
      </c>
      <c r="Q1612">
        <v>1000000</v>
      </c>
      <c r="R1612">
        <v>0</v>
      </c>
      <c r="S1612">
        <v>0</v>
      </c>
      <c r="T1612" t="str">
        <f t="shared" si="50"/>
        <v>11062.43.4302.85.0-205128.2.3.3.08.06.</v>
      </c>
      <c r="U1612" t="e" cm="1">
        <f t="array" aca="1" ref="U1612" ca="1">+IF(COMPROMISOS_2025[[#This Row],[P]]="20","41080111",_xlfn.XLOOKUP(COMPROMISOS_2025[[#This Row],[concatenado]],PAA[[#All],[RCP-RUBRO]],PAA[[#All],[INDICADOR]],"",0))</f>
        <v>#NAME?</v>
      </c>
      <c r="V1612" s="144" t="str">
        <f t="shared" si="51"/>
        <v>85</v>
      </c>
      <c r="W1612" s="136">
        <f>+COMPROMISOS_2025[[#This Row],[valor_total]]-COMPROMISOS_2025[[#This Row],[total_cancelado]]</f>
        <v>1000000</v>
      </c>
      <c r="X1612" s="136">
        <f>COMPROMISOS_2025[[#This Row],[total_ordenes]]</f>
        <v>1000000</v>
      </c>
      <c r="Y1612" t="str" cm="1">
        <f t="array" aca="1" ref="Y1612" ca="1">IFERROR(_xlfn.XLOOKUP(COMPROMISOS_2025[[#This Row],[concatenado]],PAA[[#All],[RCP-RUBRO]],PAA[[#All],[Actividad3]],VLOOKUP(COMPROMISOS_2025[[#This Row],[Indicador Principal]],$AC$2:$AD$17,2,0),0),"")</f>
        <v/>
      </c>
    </row>
    <row r="1613" spans="1:25" hidden="1" x14ac:dyDescent="0.25">
      <c r="A1613">
        <v>1107</v>
      </c>
      <c r="B1613" t="s">
        <v>4164</v>
      </c>
      <c r="C1613" t="s">
        <v>1936</v>
      </c>
      <c r="D1613" t="s">
        <v>4165</v>
      </c>
      <c r="F1613">
        <v>359</v>
      </c>
      <c r="G1613">
        <v>65</v>
      </c>
      <c r="H1613" t="s">
        <v>662</v>
      </c>
      <c r="I1613" t="s">
        <v>2271</v>
      </c>
      <c r="J1613">
        <v>500000</v>
      </c>
      <c r="K1613">
        <v>2025</v>
      </c>
      <c r="L1613">
        <v>1041089477</v>
      </c>
      <c r="M1613" t="s">
        <v>4105</v>
      </c>
      <c r="N1613" t="s">
        <v>1688</v>
      </c>
      <c r="O1613" t="s">
        <v>1686</v>
      </c>
      <c r="P1613">
        <v>0</v>
      </c>
      <c r="Q1613">
        <v>500000</v>
      </c>
      <c r="R1613">
        <v>0</v>
      </c>
      <c r="S1613">
        <v>0</v>
      </c>
      <c r="T1613" t="str">
        <f t="shared" si="50"/>
        <v>11072.43.4302.85.0-205128.2.3.3.08.06.</v>
      </c>
      <c r="U1613" t="e" cm="1">
        <f t="array" aca="1" ref="U1613" ca="1">+IF(COMPROMISOS_2025[[#This Row],[P]]="20","41080111",_xlfn.XLOOKUP(COMPROMISOS_2025[[#This Row],[concatenado]],PAA[[#All],[RCP-RUBRO]],PAA[[#All],[INDICADOR]],"",0))</f>
        <v>#NAME?</v>
      </c>
      <c r="V1613" s="144" t="str">
        <f t="shared" si="51"/>
        <v>85</v>
      </c>
      <c r="W1613" s="136">
        <f>+COMPROMISOS_2025[[#This Row],[valor_total]]-COMPROMISOS_2025[[#This Row],[total_cancelado]]</f>
        <v>500000</v>
      </c>
      <c r="X1613" s="136">
        <f>COMPROMISOS_2025[[#This Row],[total_ordenes]]</f>
        <v>500000</v>
      </c>
      <c r="Y1613" t="str" cm="1">
        <f t="array" aca="1" ref="Y1613" ca="1">IFERROR(_xlfn.XLOOKUP(COMPROMISOS_2025[[#This Row],[concatenado]],PAA[[#All],[RCP-RUBRO]],PAA[[#All],[Actividad3]],VLOOKUP(COMPROMISOS_2025[[#This Row],[Indicador Principal]],$AC$2:$AD$17,2,0),0),"")</f>
        <v/>
      </c>
    </row>
    <row r="1614" spans="1:25" hidden="1" x14ac:dyDescent="0.25">
      <c r="A1614">
        <v>1108</v>
      </c>
      <c r="B1614" t="s">
        <v>4164</v>
      </c>
      <c r="C1614" t="s">
        <v>1936</v>
      </c>
      <c r="D1614" t="s">
        <v>4165</v>
      </c>
      <c r="F1614">
        <v>359</v>
      </c>
      <c r="G1614">
        <v>65</v>
      </c>
      <c r="H1614" t="s">
        <v>662</v>
      </c>
      <c r="I1614" t="s">
        <v>2271</v>
      </c>
      <c r="J1614">
        <v>500000</v>
      </c>
      <c r="K1614">
        <v>2025</v>
      </c>
      <c r="L1614">
        <v>1041263095</v>
      </c>
      <c r="M1614" t="s">
        <v>4106</v>
      </c>
      <c r="N1614" t="s">
        <v>1688</v>
      </c>
      <c r="O1614" t="s">
        <v>1686</v>
      </c>
      <c r="P1614">
        <v>0</v>
      </c>
      <c r="Q1614">
        <v>500000</v>
      </c>
      <c r="R1614">
        <v>0</v>
      </c>
      <c r="S1614">
        <v>0</v>
      </c>
      <c r="T1614" t="str">
        <f t="shared" si="50"/>
        <v>11082.43.4302.85.0-205128.2.3.3.08.06.</v>
      </c>
      <c r="U1614" t="e" cm="1">
        <f t="array" aca="1" ref="U1614" ca="1">+IF(COMPROMISOS_2025[[#This Row],[P]]="20","41080111",_xlfn.XLOOKUP(COMPROMISOS_2025[[#This Row],[concatenado]],PAA[[#All],[RCP-RUBRO]],PAA[[#All],[INDICADOR]],"",0))</f>
        <v>#NAME?</v>
      </c>
      <c r="V1614" s="144" t="str">
        <f t="shared" si="51"/>
        <v>85</v>
      </c>
      <c r="W1614" s="136">
        <f>+COMPROMISOS_2025[[#This Row],[valor_total]]-COMPROMISOS_2025[[#This Row],[total_cancelado]]</f>
        <v>500000</v>
      </c>
      <c r="X1614" s="136">
        <f>COMPROMISOS_2025[[#This Row],[total_ordenes]]</f>
        <v>500000</v>
      </c>
      <c r="Y1614" t="str" cm="1">
        <f t="array" aca="1" ref="Y1614" ca="1">IFERROR(_xlfn.XLOOKUP(COMPROMISOS_2025[[#This Row],[concatenado]],PAA[[#All],[RCP-RUBRO]],PAA[[#All],[Actividad3]],VLOOKUP(COMPROMISOS_2025[[#This Row],[Indicador Principal]],$AC$2:$AD$17,2,0),0),"")</f>
        <v/>
      </c>
    </row>
    <row r="1615" spans="1:25" hidden="1" x14ac:dyDescent="0.25">
      <c r="A1615">
        <v>1109</v>
      </c>
      <c r="B1615" t="s">
        <v>4164</v>
      </c>
      <c r="C1615" t="s">
        <v>1936</v>
      </c>
      <c r="D1615" t="s">
        <v>4165</v>
      </c>
      <c r="F1615">
        <v>359</v>
      </c>
      <c r="G1615">
        <v>65</v>
      </c>
      <c r="H1615" t="s">
        <v>662</v>
      </c>
      <c r="I1615" t="s">
        <v>2271</v>
      </c>
      <c r="J1615">
        <v>1300000</v>
      </c>
      <c r="K1615">
        <v>2025</v>
      </c>
      <c r="L1615">
        <v>1044210266</v>
      </c>
      <c r="M1615" t="s">
        <v>4107</v>
      </c>
      <c r="N1615" t="s">
        <v>1688</v>
      </c>
      <c r="O1615" t="s">
        <v>1686</v>
      </c>
      <c r="P1615">
        <v>0</v>
      </c>
      <c r="Q1615">
        <v>1300000</v>
      </c>
      <c r="R1615">
        <v>0</v>
      </c>
      <c r="S1615">
        <v>0</v>
      </c>
      <c r="T1615" t="str">
        <f t="shared" si="50"/>
        <v>11092.43.4302.85.0-205128.2.3.3.08.06.</v>
      </c>
      <c r="U1615" t="e" cm="1">
        <f t="array" aca="1" ref="U1615" ca="1">+IF(COMPROMISOS_2025[[#This Row],[P]]="20","41080111",_xlfn.XLOOKUP(COMPROMISOS_2025[[#This Row],[concatenado]],PAA[[#All],[RCP-RUBRO]],PAA[[#All],[INDICADOR]],"",0))</f>
        <v>#NAME?</v>
      </c>
      <c r="V1615" s="144" t="str">
        <f t="shared" si="51"/>
        <v>85</v>
      </c>
      <c r="W1615" s="136">
        <f>+COMPROMISOS_2025[[#This Row],[valor_total]]-COMPROMISOS_2025[[#This Row],[total_cancelado]]</f>
        <v>1300000</v>
      </c>
      <c r="X1615" s="136">
        <f>COMPROMISOS_2025[[#This Row],[total_ordenes]]</f>
        <v>1300000</v>
      </c>
      <c r="Y1615" t="str" cm="1">
        <f t="array" aca="1" ref="Y1615" ca="1">IFERROR(_xlfn.XLOOKUP(COMPROMISOS_2025[[#This Row],[concatenado]],PAA[[#All],[RCP-RUBRO]],PAA[[#All],[Actividad3]],VLOOKUP(COMPROMISOS_2025[[#This Row],[Indicador Principal]],$AC$2:$AD$17,2,0),0),"")</f>
        <v/>
      </c>
    </row>
    <row r="1616" spans="1:25" hidden="1" x14ac:dyDescent="0.25">
      <c r="A1616">
        <v>1110</v>
      </c>
      <c r="B1616" t="s">
        <v>4164</v>
      </c>
      <c r="C1616" t="s">
        <v>1936</v>
      </c>
      <c r="D1616" t="s">
        <v>4165</v>
      </c>
      <c r="F1616">
        <v>359</v>
      </c>
      <c r="G1616">
        <v>65</v>
      </c>
      <c r="H1616" t="s">
        <v>662</v>
      </c>
      <c r="I1616" t="s">
        <v>2271</v>
      </c>
      <c r="J1616">
        <v>500000</v>
      </c>
      <c r="K1616">
        <v>2025</v>
      </c>
      <c r="L1616">
        <v>1045327659</v>
      </c>
      <c r="M1616" t="s">
        <v>4108</v>
      </c>
      <c r="N1616" t="s">
        <v>1688</v>
      </c>
      <c r="O1616" t="s">
        <v>1686</v>
      </c>
      <c r="P1616">
        <v>0</v>
      </c>
      <c r="Q1616">
        <v>500000</v>
      </c>
      <c r="R1616">
        <v>0</v>
      </c>
      <c r="S1616">
        <v>0</v>
      </c>
      <c r="T1616" t="str">
        <f t="shared" si="50"/>
        <v>11102.43.4302.85.0-205128.2.3.3.08.06.</v>
      </c>
      <c r="U1616" t="e" cm="1">
        <f t="array" aca="1" ref="U1616" ca="1">+IF(COMPROMISOS_2025[[#This Row],[P]]="20","41080111",_xlfn.XLOOKUP(COMPROMISOS_2025[[#This Row],[concatenado]],PAA[[#All],[RCP-RUBRO]],PAA[[#All],[INDICADOR]],"",0))</f>
        <v>#NAME?</v>
      </c>
      <c r="V1616" s="144" t="str">
        <f t="shared" si="51"/>
        <v>85</v>
      </c>
      <c r="W1616" s="136">
        <f>+COMPROMISOS_2025[[#This Row],[valor_total]]-COMPROMISOS_2025[[#This Row],[total_cancelado]]</f>
        <v>500000</v>
      </c>
      <c r="X1616" s="136">
        <f>COMPROMISOS_2025[[#This Row],[total_ordenes]]</f>
        <v>500000</v>
      </c>
      <c r="Y1616" t="str" cm="1">
        <f t="array" aca="1" ref="Y1616" ca="1">IFERROR(_xlfn.XLOOKUP(COMPROMISOS_2025[[#This Row],[concatenado]],PAA[[#All],[RCP-RUBRO]],PAA[[#All],[Actividad3]],VLOOKUP(COMPROMISOS_2025[[#This Row],[Indicador Principal]],$AC$2:$AD$17,2,0),0),"")</f>
        <v/>
      </c>
    </row>
    <row r="1617" spans="1:25" hidden="1" x14ac:dyDescent="0.25">
      <c r="A1617">
        <v>1111</v>
      </c>
      <c r="B1617" t="s">
        <v>4164</v>
      </c>
      <c r="C1617" t="s">
        <v>1936</v>
      </c>
      <c r="D1617" t="s">
        <v>4165</v>
      </c>
      <c r="F1617">
        <v>359</v>
      </c>
      <c r="G1617">
        <v>65</v>
      </c>
      <c r="H1617" t="s">
        <v>662</v>
      </c>
      <c r="I1617" t="s">
        <v>2271</v>
      </c>
      <c r="J1617">
        <v>1300000</v>
      </c>
      <c r="K1617">
        <v>2025</v>
      </c>
      <c r="L1617">
        <v>1045489879</v>
      </c>
      <c r="M1617" t="s">
        <v>4109</v>
      </c>
      <c r="N1617" t="s">
        <v>1688</v>
      </c>
      <c r="O1617" t="s">
        <v>1686</v>
      </c>
      <c r="P1617">
        <v>0</v>
      </c>
      <c r="Q1617">
        <v>1300000</v>
      </c>
      <c r="R1617">
        <v>0</v>
      </c>
      <c r="S1617">
        <v>0</v>
      </c>
      <c r="T1617" t="str">
        <f t="shared" si="50"/>
        <v>11112.43.4302.85.0-205128.2.3.3.08.06.</v>
      </c>
      <c r="U1617" t="e" cm="1">
        <f t="array" aca="1" ref="U1617" ca="1">+IF(COMPROMISOS_2025[[#This Row],[P]]="20","41080111",_xlfn.XLOOKUP(COMPROMISOS_2025[[#This Row],[concatenado]],PAA[[#All],[RCP-RUBRO]],PAA[[#All],[INDICADOR]],"",0))</f>
        <v>#NAME?</v>
      </c>
      <c r="V1617" s="144" t="str">
        <f t="shared" si="51"/>
        <v>85</v>
      </c>
      <c r="W1617" s="136">
        <f>+COMPROMISOS_2025[[#This Row],[valor_total]]-COMPROMISOS_2025[[#This Row],[total_cancelado]]</f>
        <v>1300000</v>
      </c>
      <c r="X1617" s="136">
        <f>COMPROMISOS_2025[[#This Row],[total_ordenes]]</f>
        <v>1300000</v>
      </c>
      <c r="Y1617" t="str" cm="1">
        <f t="array" aca="1" ref="Y1617" ca="1">IFERROR(_xlfn.XLOOKUP(COMPROMISOS_2025[[#This Row],[concatenado]],PAA[[#All],[RCP-RUBRO]],PAA[[#All],[Actividad3]],VLOOKUP(COMPROMISOS_2025[[#This Row],[Indicador Principal]],$AC$2:$AD$17,2,0),0),"")</f>
        <v/>
      </c>
    </row>
    <row r="1618" spans="1:25" hidden="1" x14ac:dyDescent="0.25">
      <c r="A1618">
        <v>1112</v>
      </c>
      <c r="B1618" t="s">
        <v>4164</v>
      </c>
      <c r="C1618" t="s">
        <v>1936</v>
      </c>
      <c r="D1618" t="s">
        <v>4165</v>
      </c>
      <c r="F1618">
        <v>359</v>
      </c>
      <c r="G1618">
        <v>65</v>
      </c>
      <c r="H1618" t="s">
        <v>662</v>
      </c>
      <c r="I1618" t="s">
        <v>2271</v>
      </c>
      <c r="J1618">
        <v>1300000</v>
      </c>
      <c r="K1618">
        <v>2025</v>
      </c>
      <c r="L1618">
        <v>1045493703</v>
      </c>
      <c r="M1618" t="s">
        <v>3835</v>
      </c>
      <c r="N1618" t="s">
        <v>1688</v>
      </c>
      <c r="O1618" t="s">
        <v>1686</v>
      </c>
      <c r="P1618">
        <v>0</v>
      </c>
      <c r="Q1618">
        <v>1300000</v>
      </c>
      <c r="R1618">
        <v>0</v>
      </c>
      <c r="S1618">
        <v>0</v>
      </c>
      <c r="T1618" t="str">
        <f t="shared" si="50"/>
        <v>11122.43.4302.85.0-205128.2.3.3.08.06.</v>
      </c>
      <c r="U1618" t="e" cm="1">
        <f t="array" aca="1" ref="U1618" ca="1">+IF(COMPROMISOS_2025[[#This Row],[P]]="20","41080111",_xlfn.XLOOKUP(COMPROMISOS_2025[[#This Row],[concatenado]],PAA[[#All],[RCP-RUBRO]],PAA[[#All],[INDICADOR]],"",0))</f>
        <v>#NAME?</v>
      </c>
      <c r="V1618" s="144" t="str">
        <f t="shared" si="51"/>
        <v>85</v>
      </c>
      <c r="W1618" s="136">
        <f>+COMPROMISOS_2025[[#This Row],[valor_total]]-COMPROMISOS_2025[[#This Row],[total_cancelado]]</f>
        <v>1300000</v>
      </c>
      <c r="X1618" s="136">
        <f>COMPROMISOS_2025[[#This Row],[total_ordenes]]</f>
        <v>1300000</v>
      </c>
      <c r="Y1618" t="str" cm="1">
        <f t="array" aca="1" ref="Y1618" ca="1">IFERROR(_xlfn.XLOOKUP(COMPROMISOS_2025[[#This Row],[concatenado]],PAA[[#All],[RCP-RUBRO]],PAA[[#All],[Actividad3]],VLOOKUP(COMPROMISOS_2025[[#This Row],[Indicador Principal]],$AC$2:$AD$17,2,0),0),"")</f>
        <v/>
      </c>
    </row>
    <row r="1619" spans="1:25" hidden="1" x14ac:dyDescent="0.25">
      <c r="A1619">
        <v>1113</v>
      </c>
      <c r="B1619" t="s">
        <v>4164</v>
      </c>
      <c r="C1619" t="s">
        <v>1936</v>
      </c>
      <c r="D1619" t="s">
        <v>4165</v>
      </c>
      <c r="F1619">
        <v>359</v>
      </c>
      <c r="G1619">
        <v>65</v>
      </c>
      <c r="H1619" t="s">
        <v>662</v>
      </c>
      <c r="I1619" t="s">
        <v>2271</v>
      </c>
      <c r="J1619">
        <v>500000</v>
      </c>
      <c r="K1619">
        <v>2025</v>
      </c>
      <c r="L1619">
        <v>1045506612</v>
      </c>
      <c r="M1619" t="s">
        <v>4177</v>
      </c>
      <c r="N1619" t="s">
        <v>1688</v>
      </c>
      <c r="O1619" t="s">
        <v>1686</v>
      </c>
      <c r="P1619">
        <v>0</v>
      </c>
      <c r="Q1619">
        <v>500000</v>
      </c>
      <c r="R1619">
        <v>0</v>
      </c>
      <c r="S1619">
        <v>0</v>
      </c>
      <c r="T1619" t="str">
        <f t="shared" si="50"/>
        <v>11132.43.4302.85.0-205128.2.3.3.08.06.</v>
      </c>
      <c r="U1619" t="e" cm="1">
        <f t="array" aca="1" ref="U1619" ca="1">+IF(COMPROMISOS_2025[[#This Row],[P]]="20","41080111",_xlfn.XLOOKUP(COMPROMISOS_2025[[#This Row],[concatenado]],PAA[[#All],[RCP-RUBRO]],PAA[[#All],[INDICADOR]],"",0))</f>
        <v>#NAME?</v>
      </c>
      <c r="V1619" s="144" t="str">
        <f t="shared" si="51"/>
        <v>85</v>
      </c>
      <c r="W1619" s="136">
        <f>+COMPROMISOS_2025[[#This Row],[valor_total]]-COMPROMISOS_2025[[#This Row],[total_cancelado]]</f>
        <v>500000</v>
      </c>
      <c r="X1619" s="136">
        <f>COMPROMISOS_2025[[#This Row],[total_ordenes]]</f>
        <v>500000</v>
      </c>
      <c r="Y1619" t="str" cm="1">
        <f t="array" aca="1" ref="Y1619" ca="1">IFERROR(_xlfn.XLOOKUP(COMPROMISOS_2025[[#This Row],[concatenado]],PAA[[#All],[RCP-RUBRO]],PAA[[#All],[Actividad3]],VLOOKUP(COMPROMISOS_2025[[#This Row],[Indicador Principal]],$AC$2:$AD$17,2,0),0),"")</f>
        <v/>
      </c>
    </row>
    <row r="1620" spans="1:25" hidden="1" x14ac:dyDescent="0.25">
      <c r="A1620">
        <v>1114</v>
      </c>
      <c r="B1620" t="s">
        <v>4164</v>
      </c>
      <c r="C1620" t="s">
        <v>1936</v>
      </c>
      <c r="D1620" t="s">
        <v>4165</v>
      </c>
      <c r="F1620">
        <v>359</v>
      </c>
      <c r="G1620">
        <v>65</v>
      </c>
      <c r="H1620" t="s">
        <v>662</v>
      </c>
      <c r="I1620" t="s">
        <v>2271</v>
      </c>
      <c r="J1620">
        <v>1300000</v>
      </c>
      <c r="K1620">
        <v>2025</v>
      </c>
      <c r="L1620">
        <v>1045522082</v>
      </c>
      <c r="M1620" t="s">
        <v>4110</v>
      </c>
      <c r="N1620" t="s">
        <v>1688</v>
      </c>
      <c r="O1620" t="s">
        <v>1686</v>
      </c>
      <c r="P1620">
        <v>0</v>
      </c>
      <c r="Q1620">
        <v>1300000</v>
      </c>
      <c r="R1620">
        <v>0</v>
      </c>
      <c r="S1620">
        <v>0</v>
      </c>
      <c r="T1620" t="str">
        <f t="shared" si="50"/>
        <v>11142.43.4302.85.0-205128.2.3.3.08.06.</v>
      </c>
      <c r="U1620" t="e" cm="1">
        <f t="array" aca="1" ref="U1620" ca="1">+IF(COMPROMISOS_2025[[#This Row],[P]]="20","41080111",_xlfn.XLOOKUP(COMPROMISOS_2025[[#This Row],[concatenado]],PAA[[#All],[RCP-RUBRO]],PAA[[#All],[INDICADOR]],"",0))</f>
        <v>#NAME?</v>
      </c>
      <c r="V1620" s="144" t="str">
        <f t="shared" si="51"/>
        <v>85</v>
      </c>
      <c r="W1620" s="136">
        <f>+COMPROMISOS_2025[[#This Row],[valor_total]]-COMPROMISOS_2025[[#This Row],[total_cancelado]]</f>
        <v>1300000</v>
      </c>
      <c r="X1620" s="136">
        <f>COMPROMISOS_2025[[#This Row],[total_ordenes]]</f>
        <v>1300000</v>
      </c>
      <c r="Y1620" t="str" cm="1">
        <f t="array" aca="1" ref="Y1620" ca="1">IFERROR(_xlfn.XLOOKUP(COMPROMISOS_2025[[#This Row],[concatenado]],PAA[[#All],[RCP-RUBRO]],PAA[[#All],[Actividad3]],VLOOKUP(COMPROMISOS_2025[[#This Row],[Indicador Principal]],$AC$2:$AD$17,2,0),0),"")</f>
        <v/>
      </c>
    </row>
    <row r="1621" spans="1:25" hidden="1" x14ac:dyDescent="0.25">
      <c r="A1621">
        <v>1115</v>
      </c>
      <c r="B1621" t="s">
        <v>4164</v>
      </c>
      <c r="C1621" t="s">
        <v>1936</v>
      </c>
      <c r="D1621" t="s">
        <v>4165</v>
      </c>
      <c r="F1621">
        <v>359</v>
      </c>
      <c r="G1621">
        <v>65</v>
      </c>
      <c r="H1621" t="s">
        <v>662</v>
      </c>
      <c r="I1621" t="s">
        <v>2271</v>
      </c>
      <c r="J1621">
        <v>500000</v>
      </c>
      <c r="K1621">
        <v>2025</v>
      </c>
      <c r="L1621">
        <v>1045524538</v>
      </c>
      <c r="M1621" t="s">
        <v>3839</v>
      </c>
      <c r="N1621" t="s">
        <v>1688</v>
      </c>
      <c r="O1621" t="s">
        <v>1686</v>
      </c>
      <c r="P1621">
        <v>0</v>
      </c>
      <c r="Q1621">
        <v>500000</v>
      </c>
      <c r="R1621">
        <v>0</v>
      </c>
      <c r="S1621">
        <v>0</v>
      </c>
      <c r="T1621" t="str">
        <f t="shared" si="50"/>
        <v>11152.43.4302.85.0-205128.2.3.3.08.06.</v>
      </c>
      <c r="U1621" t="e" cm="1">
        <f t="array" aca="1" ref="U1621" ca="1">+IF(COMPROMISOS_2025[[#This Row],[P]]="20","41080111",_xlfn.XLOOKUP(COMPROMISOS_2025[[#This Row],[concatenado]],PAA[[#All],[RCP-RUBRO]],PAA[[#All],[INDICADOR]],"",0))</f>
        <v>#NAME?</v>
      </c>
      <c r="V1621" s="144" t="str">
        <f t="shared" si="51"/>
        <v>85</v>
      </c>
      <c r="W1621" s="136">
        <f>+COMPROMISOS_2025[[#This Row],[valor_total]]-COMPROMISOS_2025[[#This Row],[total_cancelado]]</f>
        <v>500000</v>
      </c>
      <c r="X1621" s="136">
        <f>COMPROMISOS_2025[[#This Row],[total_ordenes]]</f>
        <v>500000</v>
      </c>
      <c r="Y1621" t="str" cm="1">
        <f t="array" aca="1" ref="Y1621" ca="1">IFERROR(_xlfn.XLOOKUP(COMPROMISOS_2025[[#This Row],[concatenado]],PAA[[#All],[RCP-RUBRO]],PAA[[#All],[Actividad3]],VLOOKUP(COMPROMISOS_2025[[#This Row],[Indicador Principal]],$AC$2:$AD$17,2,0),0),"")</f>
        <v/>
      </c>
    </row>
    <row r="1622" spans="1:25" hidden="1" x14ac:dyDescent="0.25">
      <c r="A1622">
        <v>1116</v>
      </c>
      <c r="B1622" t="s">
        <v>4164</v>
      </c>
      <c r="C1622" t="s">
        <v>1936</v>
      </c>
      <c r="D1622" t="s">
        <v>4165</v>
      </c>
      <c r="F1622">
        <v>359</v>
      </c>
      <c r="G1622">
        <v>65</v>
      </c>
      <c r="H1622" t="s">
        <v>662</v>
      </c>
      <c r="I1622" t="s">
        <v>2271</v>
      </c>
      <c r="J1622">
        <v>1300000</v>
      </c>
      <c r="K1622">
        <v>2025</v>
      </c>
      <c r="L1622">
        <v>1045524540</v>
      </c>
      <c r="M1622" t="s">
        <v>4111</v>
      </c>
      <c r="N1622" t="s">
        <v>1688</v>
      </c>
      <c r="O1622" t="s">
        <v>1686</v>
      </c>
      <c r="P1622">
        <v>0</v>
      </c>
      <c r="Q1622">
        <v>1300000</v>
      </c>
      <c r="R1622">
        <v>0</v>
      </c>
      <c r="S1622">
        <v>0</v>
      </c>
      <c r="T1622" t="str">
        <f t="shared" si="50"/>
        <v>11162.43.4302.85.0-205128.2.3.3.08.06.</v>
      </c>
      <c r="U1622" t="e" cm="1">
        <f t="array" aca="1" ref="U1622" ca="1">+IF(COMPROMISOS_2025[[#This Row],[P]]="20","41080111",_xlfn.XLOOKUP(COMPROMISOS_2025[[#This Row],[concatenado]],PAA[[#All],[RCP-RUBRO]],PAA[[#All],[INDICADOR]],"",0))</f>
        <v>#NAME?</v>
      </c>
      <c r="V1622" s="144" t="str">
        <f t="shared" si="51"/>
        <v>85</v>
      </c>
      <c r="W1622" s="136">
        <f>+COMPROMISOS_2025[[#This Row],[valor_total]]-COMPROMISOS_2025[[#This Row],[total_cancelado]]</f>
        <v>1300000</v>
      </c>
      <c r="X1622" s="136">
        <f>COMPROMISOS_2025[[#This Row],[total_ordenes]]</f>
        <v>1300000</v>
      </c>
      <c r="Y1622" t="str" cm="1">
        <f t="array" aca="1" ref="Y1622" ca="1">IFERROR(_xlfn.XLOOKUP(COMPROMISOS_2025[[#This Row],[concatenado]],PAA[[#All],[RCP-RUBRO]],PAA[[#All],[Actividad3]],VLOOKUP(COMPROMISOS_2025[[#This Row],[Indicador Principal]],$AC$2:$AD$17,2,0),0),"")</f>
        <v/>
      </c>
    </row>
    <row r="1623" spans="1:25" hidden="1" x14ac:dyDescent="0.25">
      <c r="A1623">
        <v>1117</v>
      </c>
      <c r="B1623" t="s">
        <v>4164</v>
      </c>
      <c r="C1623" t="s">
        <v>1936</v>
      </c>
      <c r="D1623" t="s">
        <v>4165</v>
      </c>
      <c r="F1623">
        <v>359</v>
      </c>
      <c r="G1623">
        <v>65</v>
      </c>
      <c r="H1623" t="s">
        <v>662</v>
      </c>
      <c r="I1623" t="s">
        <v>2271</v>
      </c>
      <c r="J1623">
        <v>1300000</v>
      </c>
      <c r="K1623">
        <v>2025</v>
      </c>
      <c r="L1623">
        <v>1045524599</v>
      </c>
      <c r="M1623" t="s">
        <v>4112</v>
      </c>
      <c r="N1623" t="s">
        <v>1688</v>
      </c>
      <c r="O1623" t="s">
        <v>1686</v>
      </c>
      <c r="P1623">
        <v>0</v>
      </c>
      <c r="Q1623">
        <v>1300000</v>
      </c>
      <c r="R1623">
        <v>0</v>
      </c>
      <c r="S1623">
        <v>0</v>
      </c>
      <c r="T1623" t="str">
        <f t="shared" si="50"/>
        <v>11172.43.4302.85.0-205128.2.3.3.08.06.</v>
      </c>
      <c r="U1623" t="e" cm="1">
        <f t="array" aca="1" ref="U1623" ca="1">+IF(COMPROMISOS_2025[[#This Row],[P]]="20","41080111",_xlfn.XLOOKUP(COMPROMISOS_2025[[#This Row],[concatenado]],PAA[[#All],[RCP-RUBRO]],PAA[[#All],[INDICADOR]],"",0))</f>
        <v>#NAME?</v>
      </c>
      <c r="V1623" s="144" t="str">
        <f t="shared" si="51"/>
        <v>85</v>
      </c>
      <c r="W1623" s="136">
        <f>+COMPROMISOS_2025[[#This Row],[valor_total]]-COMPROMISOS_2025[[#This Row],[total_cancelado]]</f>
        <v>1300000</v>
      </c>
      <c r="X1623" s="136">
        <f>COMPROMISOS_2025[[#This Row],[total_ordenes]]</f>
        <v>1300000</v>
      </c>
      <c r="Y1623" t="str" cm="1">
        <f t="array" aca="1" ref="Y1623" ca="1">IFERROR(_xlfn.XLOOKUP(COMPROMISOS_2025[[#This Row],[concatenado]],PAA[[#All],[RCP-RUBRO]],PAA[[#All],[Actividad3]],VLOOKUP(COMPROMISOS_2025[[#This Row],[Indicador Principal]],$AC$2:$AD$17,2,0),0),"")</f>
        <v/>
      </c>
    </row>
    <row r="1624" spans="1:25" hidden="1" x14ac:dyDescent="0.25">
      <c r="A1624">
        <v>1118</v>
      </c>
      <c r="B1624" t="s">
        <v>4164</v>
      </c>
      <c r="C1624" t="s">
        <v>1936</v>
      </c>
      <c r="D1624" t="s">
        <v>4165</v>
      </c>
      <c r="F1624">
        <v>359</v>
      </c>
      <c r="G1624">
        <v>65</v>
      </c>
      <c r="H1624" t="s">
        <v>662</v>
      </c>
      <c r="I1624" t="s">
        <v>2271</v>
      </c>
      <c r="J1624">
        <v>500000</v>
      </c>
      <c r="K1624">
        <v>2025</v>
      </c>
      <c r="L1624">
        <v>1045525247</v>
      </c>
      <c r="M1624" t="s">
        <v>4113</v>
      </c>
      <c r="N1624" t="s">
        <v>1688</v>
      </c>
      <c r="O1624" t="s">
        <v>1686</v>
      </c>
      <c r="P1624">
        <v>0</v>
      </c>
      <c r="Q1624">
        <v>500000</v>
      </c>
      <c r="R1624">
        <v>0</v>
      </c>
      <c r="S1624">
        <v>0</v>
      </c>
      <c r="T1624" t="str">
        <f t="shared" si="50"/>
        <v>11182.43.4302.85.0-205128.2.3.3.08.06.</v>
      </c>
      <c r="U1624" t="e" cm="1">
        <f t="array" aca="1" ref="U1624" ca="1">+IF(COMPROMISOS_2025[[#This Row],[P]]="20","41080111",_xlfn.XLOOKUP(COMPROMISOS_2025[[#This Row],[concatenado]],PAA[[#All],[RCP-RUBRO]],PAA[[#All],[INDICADOR]],"",0))</f>
        <v>#NAME?</v>
      </c>
      <c r="V1624" s="144" t="str">
        <f t="shared" si="51"/>
        <v>85</v>
      </c>
      <c r="W1624" s="136">
        <f>+COMPROMISOS_2025[[#This Row],[valor_total]]-COMPROMISOS_2025[[#This Row],[total_cancelado]]</f>
        <v>500000</v>
      </c>
      <c r="X1624" s="136">
        <f>COMPROMISOS_2025[[#This Row],[total_ordenes]]</f>
        <v>500000</v>
      </c>
      <c r="Y1624" t="str" cm="1">
        <f t="array" aca="1" ref="Y1624" ca="1">IFERROR(_xlfn.XLOOKUP(COMPROMISOS_2025[[#This Row],[concatenado]],PAA[[#All],[RCP-RUBRO]],PAA[[#All],[Actividad3]],VLOOKUP(COMPROMISOS_2025[[#This Row],[Indicador Principal]],$AC$2:$AD$17,2,0),0),"")</f>
        <v/>
      </c>
    </row>
    <row r="1625" spans="1:25" hidden="1" x14ac:dyDescent="0.25">
      <c r="A1625">
        <v>1119</v>
      </c>
      <c r="B1625" t="s">
        <v>4164</v>
      </c>
      <c r="C1625" t="s">
        <v>1936</v>
      </c>
      <c r="D1625" t="s">
        <v>4165</v>
      </c>
      <c r="F1625">
        <v>359</v>
      </c>
      <c r="G1625">
        <v>65</v>
      </c>
      <c r="H1625" t="s">
        <v>662</v>
      </c>
      <c r="I1625" t="s">
        <v>2271</v>
      </c>
      <c r="J1625">
        <v>500000</v>
      </c>
      <c r="K1625">
        <v>2025</v>
      </c>
      <c r="L1625">
        <v>1045525965</v>
      </c>
      <c r="M1625" t="s">
        <v>4178</v>
      </c>
      <c r="N1625" t="s">
        <v>1688</v>
      </c>
      <c r="O1625" t="s">
        <v>1686</v>
      </c>
      <c r="P1625">
        <v>0</v>
      </c>
      <c r="Q1625">
        <v>500000</v>
      </c>
      <c r="R1625">
        <v>0</v>
      </c>
      <c r="S1625">
        <v>0</v>
      </c>
      <c r="T1625" t="str">
        <f t="shared" si="50"/>
        <v>11192.43.4302.85.0-205128.2.3.3.08.06.</v>
      </c>
      <c r="U1625" t="e" cm="1">
        <f t="array" aca="1" ref="U1625" ca="1">+IF(COMPROMISOS_2025[[#This Row],[P]]="20","41080111",_xlfn.XLOOKUP(COMPROMISOS_2025[[#This Row],[concatenado]],PAA[[#All],[RCP-RUBRO]],PAA[[#All],[INDICADOR]],"",0))</f>
        <v>#NAME?</v>
      </c>
      <c r="V1625" s="144" t="str">
        <f t="shared" si="51"/>
        <v>85</v>
      </c>
      <c r="W1625" s="136">
        <f>+COMPROMISOS_2025[[#This Row],[valor_total]]-COMPROMISOS_2025[[#This Row],[total_cancelado]]</f>
        <v>500000</v>
      </c>
      <c r="X1625" s="136">
        <f>COMPROMISOS_2025[[#This Row],[total_ordenes]]</f>
        <v>500000</v>
      </c>
      <c r="Y1625" t="str" cm="1">
        <f t="array" aca="1" ref="Y1625" ca="1">IFERROR(_xlfn.XLOOKUP(COMPROMISOS_2025[[#This Row],[concatenado]],PAA[[#All],[RCP-RUBRO]],PAA[[#All],[Actividad3]],VLOOKUP(COMPROMISOS_2025[[#This Row],[Indicador Principal]],$AC$2:$AD$17,2,0),0),"")</f>
        <v/>
      </c>
    </row>
    <row r="1626" spans="1:25" hidden="1" x14ac:dyDescent="0.25">
      <c r="A1626">
        <v>1120</v>
      </c>
      <c r="B1626" t="s">
        <v>4164</v>
      </c>
      <c r="C1626" t="s">
        <v>1936</v>
      </c>
      <c r="D1626" t="s">
        <v>4165</v>
      </c>
      <c r="F1626">
        <v>359</v>
      </c>
      <c r="G1626">
        <v>65</v>
      </c>
      <c r="H1626" t="s">
        <v>662</v>
      </c>
      <c r="I1626" t="s">
        <v>2271</v>
      </c>
      <c r="J1626">
        <v>500000</v>
      </c>
      <c r="K1626">
        <v>2025</v>
      </c>
      <c r="L1626">
        <v>1045606438</v>
      </c>
      <c r="M1626" t="s">
        <v>4114</v>
      </c>
      <c r="N1626" t="s">
        <v>1688</v>
      </c>
      <c r="O1626" t="s">
        <v>1686</v>
      </c>
      <c r="P1626">
        <v>0</v>
      </c>
      <c r="Q1626">
        <v>500000</v>
      </c>
      <c r="R1626">
        <v>0</v>
      </c>
      <c r="S1626">
        <v>0</v>
      </c>
      <c r="T1626" t="str">
        <f t="shared" si="50"/>
        <v>11202.43.4302.85.0-205128.2.3.3.08.06.</v>
      </c>
      <c r="U1626" t="e" cm="1">
        <f t="array" aca="1" ref="U1626" ca="1">+IF(COMPROMISOS_2025[[#This Row],[P]]="20","41080111",_xlfn.XLOOKUP(COMPROMISOS_2025[[#This Row],[concatenado]],PAA[[#All],[RCP-RUBRO]],PAA[[#All],[INDICADOR]],"",0))</f>
        <v>#NAME?</v>
      </c>
      <c r="V1626" s="144" t="str">
        <f t="shared" si="51"/>
        <v>85</v>
      </c>
      <c r="W1626" s="136">
        <f>+COMPROMISOS_2025[[#This Row],[valor_total]]-COMPROMISOS_2025[[#This Row],[total_cancelado]]</f>
        <v>500000</v>
      </c>
      <c r="X1626" s="136">
        <f>COMPROMISOS_2025[[#This Row],[total_ordenes]]</f>
        <v>500000</v>
      </c>
      <c r="Y1626" t="str" cm="1">
        <f t="array" aca="1" ref="Y1626" ca="1">IFERROR(_xlfn.XLOOKUP(COMPROMISOS_2025[[#This Row],[concatenado]],PAA[[#All],[RCP-RUBRO]],PAA[[#All],[Actividad3]],VLOOKUP(COMPROMISOS_2025[[#This Row],[Indicador Principal]],$AC$2:$AD$17,2,0),0),"")</f>
        <v/>
      </c>
    </row>
    <row r="1627" spans="1:25" hidden="1" x14ac:dyDescent="0.25">
      <c r="A1627">
        <v>1121</v>
      </c>
      <c r="B1627" t="s">
        <v>4164</v>
      </c>
      <c r="C1627" t="s">
        <v>1936</v>
      </c>
      <c r="D1627" t="s">
        <v>4165</v>
      </c>
      <c r="F1627">
        <v>359</v>
      </c>
      <c r="G1627">
        <v>65</v>
      </c>
      <c r="H1627" t="s">
        <v>662</v>
      </c>
      <c r="I1627" t="s">
        <v>2271</v>
      </c>
      <c r="J1627">
        <v>1300000</v>
      </c>
      <c r="K1627">
        <v>2025</v>
      </c>
      <c r="L1627">
        <v>1045745758</v>
      </c>
      <c r="M1627" t="s">
        <v>4115</v>
      </c>
      <c r="N1627" t="s">
        <v>1688</v>
      </c>
      <c r="O1627" t="s">
        <v>1686</v>
      </c>
      <c r="P1627">
        <v>0</v>
      </c>
      <c r="Q1627">
        <v>1300000</v>
      </c>
      <c r="R1627">
        <v>0</v>
      </c>
      <c r="S1627">
        <v>0</v>
      </c>
      <c r="T1627" t="str">
        <f t="shared" si="50"/>
        <v>11212.43.4302.85.0-205128.2.3.3.08.06.</v>
      </c>
      <c r="U1627" t="e" cm="1">
        <f t="array" aca="1" ref="U1627" ca="1">+IF(COMPROMISOS_2025[[#This Row],[P]]="20","41080111",_xlfn.XLOOKUP(COMPROMISOS_2025[[#This Row],[concatenado]],PAA[[#All],[RCP-RUBRO]],PAA[[#All],[INDICADOR]],"",0))</f>
        <v>#NAME?</v>
      </c>
      <c r="V1627" s="144" t="str">
        <f t="shared" si="51"/>
        <v>85</v>
      </c>
      <c r="W1627" s="136">
        <f>+COMPROMISOS_2025[[#This Row],[valor_total]]-COMPROMISOS_2025[[#This Row],[total_cancelado]]</f>
        <v>1300000</v>
      </c>
      <c r="X1627" s="136">
        <f>COMPROMISOS_2025[[#This Row],[total_ordenes]]</f>
        <v>1300000</v>
      </c>
      <c r="Y1627" t="str" cm="1">
        <f t="array" aca="1" ref="Y1627" ca="1">IFERROR(_xlfn.XLOOKUP(COMPROMISOS_2025[[#This Row],[concatenado]],PAA[[#All],[RCP-RUBRO]],PAA[[#All],[Actividad3]],VLOOKUP(COMPROMISOS_2025[[#This Row],[Indicador Principal]],$AC$2:$AD$17,2,0),0),"")</f>
        <v/>
      </c>
    </row>
    <row r="1628" spans="1:25" hidden="1" x14ac:dyDescent="0.25">
      <c r="A1628">
        <v>1122</v>
      </c>
      <c r="B1628" t="s">
        <v>4164</v>
      </c>
      <c r="C1628" t="s">
        <v>1936</v>
      </c>
      <c r="D1628" t="s">
        <v>4165</v>
      </c>
      <c r="F1628">
        <v>359</v>
      </c>
      <c r="G1628">
        <v>65</v>
      </c>
      <c r="H1628" t="s">
        <v>662</v>
      </c>
      <c r="I1628" t="s">
        <v>2271</v>
      </c>
      <c r="J1628">
        <v>1300000</v>
      </c>
      <c r="K1628">
        <v>2025</v>
      </c>
      <c r="L1628">
        <v>1046527532</v>
      </c>
      <c r="M1628" t="s">
        <v>3842</v>
      </c>
      <c r="N1628" t="s">
        <v>1688</v>
      </c>
      <c r="O1628" t="s">
        <v>1686</v>
      </c>
      <c r="P1628">
        <v>0</v>
      </c>
      <c r="Q1628">
        <v>1300000</v>
      </c>
      <c r="R1628">
        <v>0</v>
      </c>
      <c r="S1628">
        <v>0</v>
      </c>
      <c r="T1628" t="str">
        <f t="shared" si="50"/>
        <v>11222.43.4302.85.0-205128.2.3.3.08.06.</v>
      </c>
      <c r="U1628" t="e" cm="1">
        <f t="array" aca="1" ref="U1628" ca="1">+IF(COMPROMISOS_2025[[#This Row],[P]]="20","41080111",_xlfn.XLOOKUP(COMPROMISOS_2025[[#This Row],[concatenado]],PAA[[#All],[RCP-RUBRO]],PAA[[#All],[INDICADOR]],"",0))</f>
        <v>#NAME?</v>
      </c>
      <c r="V1628" s="144" t="str">
        <f t="shared" si="51"/>
        <v>85</v>
      </c>
      <c r="W1628" s="136">
        <f>+COMPROMISOS_2025[[#This Row],[valor_total]]-COMPROMISOS_2025[[#This Row],[total_cancelado]]</f>
        <v>1300000</v>
      </c>
      <c r="X1628" s="136">
        <f>COMPROMISOS_2025[[#This Row],[total_ordenes]]</f>
        <v>1300000</v>
      </c>
      <c r="Y1628" t="str" cm="1">
        <f t="array" aca="1" ref="Y1628" ca="1">IFERROR(_xlfn.XLOOKUP(COMPROMISOS_2025[[#This Row],[concatenado]],PAA[[#All],[RCP-RUBRO]],PAA[[#All],[Actividad3]],VLOOKUP(COMPROMISOS_2025[[#This Row],[Indicador Principal]],$AC$2:$AD$17,2,0),0),"")</f>
        <v/>
      </c>
    </row>
    <row r="1629" spans="1:25" hidden="1" x14ac:dyDescent="0.25">
      <c r="A1629">
        <v>1123</v>
      </c>
      <c r="B1629" t="s">
        <v>4164</v>
      </c>
      <c r="C1629" t="s">
        <v>1936</v>
      </c>
      <c r="D1629" t="s">
        <v>4165</v>
      </c>
      <c r="F1629">
        <v>359</v>
      </c>
      <c r="G1629">
        <v>65</v>
      </c>
      <c r="H1629" t="s">
        <v>662</v>
      </c>
      <c r="I1629" t="s">
        <v>2271</v>
      </c>
      <c r="J1629">
        <v>1300000</v>
      </c>
      <c r="K1629">
        <v>2025</v>
      </c>
      <c r="L1629">
        <v>1046528276</v>
      </c>
      <c r="M1629" t="s">
        <v>3843</v>
      </c>
      <c r="N1629" t="s">
        <v>1688</v>
      </c>
      <c r="O1629" t="s">
        <v>1686</v>
      </c>
      <c r="P1629">
        <v>0</v>
      </c>
      <c r="Q1629">
        <v>1300000</v>
      </c>
      <c r="R1629">
        <v>0</v>
      </c>
      <c r="S1629">
        <v>0</v>
      </c>
      <c r="T1629" t="str">
        <f t="shared" si="50"/>
        <v>11232.43.4302.85.0-205128.2.3.3.08.06.</v>
      </c>
      <c r="U1629" t="e" cm="1">
        <f t="array" aca="1" ref="U1629" ca="1">+IF(COMPROMISOS_2025[[#This Row],[P]]="20","41080111",_xlfn.XLOOKUP(COMPROMISOS_2025[[#This Row],[concatenado]],PAA[[#All],[RCP-RUBRO]],PAA[[#All],[INDICADOR]],"",0))</f>
        <v>#NAME?</v>
      </c>
      <c r="V1629" s="144" t="str">
        <f t="shared" si="51"/>
        <v>85</v>
      </c>
      <c r="W1629" s="136">
        <f>+COMPROMISOS_2025[[#This Row],[valor_total]]-COMPROMISOS_2025[[#This Row],[total_cancelado]]</f>
        <v>1300000</v>
      </c>
      <c r="X1629" s="136">
        <f>COMPROMISOS_2025[[#This Row],[total_ordenes]]</f>
        <v>1300000</v>
      </c>
      <c r="Y1629" t="str" cm="1">
        <f t="array" aca="1" ref="Y1629" ca="1">IFERROR(_xlfn.XLOOKUP(COMPROMISOS_2025[[#This Row],[concatenado]],PAA[[#All],[RCP-RUBRO]],PAA[[#All],[Actividad3]],VLOOKUP(COMPROMISOS_2025[[#This Row],[Indicador Principal]],$AC$2:$AD$17,2,0),0),"")</f>
        <v/>
      </c>
    </row>
    <row r="1630" spans="1:25" hidden="1" x14ac:dyDescent="0.25">
      <c r="A1630">
        <v>1124</v>
      </c>
      <c r="B1630" t="s">
        <v>4164</v>
      </c>
      <c r="C1630" t="s">
        <v>1936</v>
      </c>
      <c r="D1630" t="s">
        <v>4165</v>
      </c>
      <c r="F1630">
        <v>359</v>
      </c>
      <c r="G1630">
        <v>65</v>
      </c>
      <c r="H1630" t="s">
        <v>662</v>
      </c>
      <c r="I1630" t="s">
        <v>2271</v>
      </c>
      <c r="J1630">
        <v>500000</v>
      </c>
      <c r="K1630">
        <v>2025</v>
      </c>
      <c r="L1630">
        <v>1046528436</v>
      </c>
      <c r="M1630" t="s">
        <v>3844</v>
      </c>
      <c r="N1630" t="s">
        <v>1688</v>
      </c>
      <c r="O1630" t="s">
        <v>1686</v>
      </c>
      <c r="P1630">
        <v>0</v>
      </c>
      <c r="Q1630">
        <v>500000</v>
      </c>
      <c r="R1630">
        <v>0</v>
      </c>
      <c r="S1630">
        <v>0</v>
      </c>
      <c r="T1630" t="str">
        <f t="shared" si="50"/>
        <v>11242.43.4302.85.0-205128.2.3.3.08.06.</v>
      </c>
      <c r="U1630" t="e" cm="1">
        <f t="array" aca="1" ref="U1630" ca="1">+IF(COMPROMISOS_2025[[#This Row],[P]]="20","41080111",_xlfn.XLOOKUP(COMPROMISOS_2025[[#This Row],[concatenado]],PAA[[#All],[RCP-RUBRO]],PAA[[#All],[INDICADOR]],"",0))</f>
        <v>#NAME?</v>
      </c>
      <c r="V1630" s="144" t="str">
        <f t="shared" si="51"/>
        <v>85</v>
      </c>
      <c r="W1630" s="136">
        <f>+COMPROMISOS_2025[[#This Row],[valor_total]]-COMPROMISOS_2025[[#This Row],[total_cancelado]]</f>
        <v>500000</v>
      </c>
      <c r="X1630" s="136">
        <f>COMPROMISOS_2025[[#This Row],[total_ordenes]]</f>
        <v>500000</v>
      </c>
      <c r="Y1630" t="str" cm="1">
        <f t="array" aca="1" ref="Y1630" ca="1">IFERROR(_xlfn.XLOOKUP(COMPROMISOS_2025[[#This Row],[concatenado]],PAA[[#All],[RCP-RUBRO]],PAA[[#All],[Actividad3]],VLOOKUP(COMPROMISOS_2025[[#This Row],[Indicador Principal]],$AC$2:$AD$17,2,0),0),"")</f>
        <v/>
      </c>
    </row>
    <row r="1631" spans="1:25" hidden="1" x14ac:dyDescent="0.25">
      <c r="A1631">
        <v>1125</v>
      </c>
      <c r="B1631" t="s">
        <v>4164</v>
      </c>
      <c r="C1631" t="s">
        <v>1936</v>
      </c>
      <c r="D1631" t="s">
        <v>4165</v>
      </c>
      <c r="F1631">
        <v>359</v>
      </c>
      <c r="G1631">
        <v>65</v>
      </c>
      <c r="H1631" t="s">
        <v>662</v>
      </c>
      <c r="I1631" t="s">
        <v>2271</v>
      </c>
      <c r="J1631">
        <v>500000</v>
      </c>
      <c r="K1631">
        <v>2025</v>
      </c>
      <c r="L1631">
        <v>1046529577</v>
      </c>
      <c r="M1631" t="s">
        <v>3846</v>
      </c>
      <c r="N1631" t="s">
        <v>1688</v>
      </c>
      <c r="O1631" t="s">
        <v>1686</v>
      </c>
      <c r="P1631">
        <v>0</v>
      </c>
      <c r="Q1631">
        <v>500000</v>
      </c>
      <c r="R1631">
        <v>0</v>
      </c>
      <c r="S1631">
        <v>0</v>
      </c>
      <c r="T1631" t="str">
        <f t="shared" si="50"/>
        <v>11252.43.4302.85.0-205128.2.3.3.08.06.</v>
      </c>
      <c r="U1631" t="e" cm="1">
        <f t="array" aca="1" ref="U1631" ca="1">+IF(COMPROMISOS_2025[[#This Row],[P]]="20","41080111",_xlfn.XLOOKUP(COMPROMISOS_2025[[#This Row],[concatenado]],PAA[[#All],[RCP-RUBRO]],PAA[[#All],[INDICADOR]],"",0))</f>
        <v>#NAME?</v>
      </c>
      <c r="V1631" s="144" t="str">
        <f t="shared" si="51"/>
        <v>85</v>
      </c>
      <c r="W1631" s="136">
        <f>+COMPROMISOS_2025[[#This Row],[valor_total]]-COMPROMISOS_2025[[#This Row],[total_cancelado]]</f>
        <v>500000</v>
      </c>
      <c r="X1631" s="136">
        <f>COMPROMISOS_2025[[#This Row],[total_ordenes]]</f>
        <v>500000</v>
      </c>
      <c r="Y1631" t="str" cm="1">
        <f t="array" aca="1" ref="Y1631" ca="1">IFERROR(_xlfn.XLOOKUP(COMPROMISOS_2025[[#This Row],[concatenado]],PAA[[#All],[RCP-RUBRO]],PAA[[#All],[Actividad3]],VLOOKUP(COMPROMISOS_2025[[#This Row],[Indicador Principal]],$AC$2:$AD$17,2,0),0),"")</f>
        <v/>
      </c>
    </row>
    <row r="1632" spans="1:25" hidden="1" x14ac:dyDescent="0.25">
      <c r="A1632">
        <v>1126</v>
      </c>
      <c r="B1632" t="s">
        <v>4164</v>
      </c>
      <c r="C1632" t="s">
        <v>1936</v>
      </c>
      <c r="D1632" t="s">
        <v>4165</v>
      </c>
      <c r="F1632">
        <v>359</v>
      </c>
      <c r="G1632">
        <v>65</v>
      </c>
      <c r="H1632" t="s">
        <v>662</v>
      </c>
      <c r="I1632" t="s">
        <v>2271</v>
      </c>
      <c r="J1632">
        <v>500000</v>
      </c>
      <c r="K1632">
        <v>2025</v>
      </c>
      <c r="L1632">
        <v>1047996543</v>
      </c>
      <c r="M1632" t="s">
        <v>4116</v>
      </c>
      <c r="N1632" t="s">
        <v>1688</v>
      </c>
      <c r="O1632" t="s">
        <v>1686</v>
      </c>
      <c r="P1632">
        <v>0</v>
      </c>
      <c r="Q1632">
        <v>500000</v>
      </c>
      <c r="R1632">
        <v>0</v>
      </c>
      <c r="S1632">
        <v>0</v>
      </c>
      <c r="T1632" t="str">
        <f t="shared" si="50"/>
        <v>11262.43.4302.85.0-205128.2.3.3.08.06.</v>
      </c>
      <c r="U1632" t="e" cm="1">
        <f t="array" aca="1" ref="U1632" ca="1">+IF(COMPROMISOS_2025[[#This Row],[P]]="20","41080111",_xlfn.XLOOKUP(COMPROMISOS_2025[[#This Row],[concatenado]],PAA[[#All],[RCP-RUBRO]],PAA[[#All],[INDICADOR]],"",0))</f>
        <v>#NAME?</v>
      </c>
      <c r="V1632" s="144" t="str">
        <f t="shared" si="51"/>
        <v>85</v>
      </c>
      <c r="W1632" s="136">
        <f>+COMPROMISOS_2025[[#This Row],[valor_total]]-COMPROMISOS_2025[[#This Row],[total_cancelado]]</f>
        <v>500000</v>
      </c>
      <c r="X1632" s="136">
        <f>COMPROMISOS_2025[[#This Row],[total_ordenes]]</f>
        <v>500000</v>
      </c>
      <c r="Y1632" t="str" cm="1">
        <f t="array" aca="1" ref="Y1632" ca="1">IFERROR(_xlfn.XLOOKUP(COMPROMISOS_2025[[#This Row],[concatenado]],PAA[[#All],[RCP-RUBRO]],PAA[[#All],[Actividad3]],VLOOKUP(COMPROMISOS_2025[[#This Row],[Indicador Principal]],$AC$2:$AD$17,2,0),0),"")</f>
        <v/>
      </c>
    </row>
    <row r="1633" spans="1:25" hidden="1" x14ac:dyDescent="0.25">
      <c r="A1633">
        <v>1127</v>
      </c>
      <c r="B1633" t="s">
        <v>4164</v>
      </c>
      <c r="C1633" t="s">
        <v>1936</v>
      </c>
      <c r="D1633" t="s">
        <v>4165</v>
      </c>
      <c r="F1633">
        <v>359</v>
      </c>
      <c r="G1633">
        <v>65</v>
      </c>
      <c r="H1633" t="s">
        <v>662</v>
      </c>
      <c r="I1633" t="s">
        <v>2271</v>
      </c>
      <c r="J1633">
        <v>500000</v>
      </c>
      <c r="K1633">
        <v>2025</v>
      </c>
      <c r="L1633">
        <v>1054856974</v>
      </c>
      <c r="M1633" t="s">
        <v>4117</v>
      </c>
      <c r="N1633" t="s">
        <v>1688</v>
      </c>
      <c r="O1633" t="s">
        <v>1686</v>
      </c>
      <c r="P1633">
        <v>0</v>
      </c>
      <c r="Q1633">
        <v>500000</v>
      </c>
      <c r="R1633">
        <v>0</v>
      </c>
      <c r="S1633">
        <v>0</v>
      </c>
      <c r="T1633" t="str">
        <f t="shared" si="50"/>
        <v>11272.43.4302.85.0-205128.2.3.3.08.06.</v>
      </c>
      <c r="U1633" t="e" cm="1">
        <f t="array" aca="1" ref="U1633" ca="1">+IF(COMPROMISOS_2025[[#This Row],[P]]="20","41080111",_xlfn.XLOOKUP(COMPROMISOS_2025[[#This Row],[concatenado]],PAA[[#All],[RCP-RUBRO]],PAA[[#All],[INDICADOR]],"",0))</f>
        <v>#NAME?</v>
      </c>
      <c r="V1633" s="144" t="str">
        <f t="shared" si="51"/>
        <v>85</v>
      </c>
      <c r="W1633" s="136">
        <f>+COMPROMISOS_2025[[#This Row],[valor_total]]-COMPROMISOS_2025[[#This Row],[total_cancelado]]</f>
        <v>500000</v>
      </c>
      <c r="X1633" s="136">
        <f>COMPROMISOS_2025[[#This Row],[total_ordenes]]</f>
        <v>500000</v>
      </c>
      <c r="Y1633" t="str" cm="1">
        <f t="array" aca="1" ref="Y1633" ca="1">IFERROR(_xlfn.XLOOKUP(COMPROMISOS_2025[[#This Row],[concatenado]],PAA[[#All],[RCP-RUBRO]],PAA[[#All],[Actividad3]],VLOOKUP(COMPROMISOS_2025[[#This Row],[Indicador Principal]],$AC$2:$AD$17,2,0),0),"")</f>
        <v/>
      </c>
    </row>
    <row r="1634" spans="1:25" hidden="1" x14ac:dyDescent="0.25">
      <c r="A1634">
        <v>1128</v>
      </c>
      <c r="B1634" t="s">
        <v>4164</v>
      </c>
      <c r="C1634" t="s">
        <v>1936</v>
      </c>
      <c r="D1634" t="s">
        <v>4165</v>
      </c>
      <c r="F1634">
        <v>359</v>
      </c>
      <c r="G1634">
        <v>65</v>
      </c>
      <c r="H1634" t="s">
        <v>662</v>
      </c>
      <c r="I1634" t="s">
        <v>2271</v>
      </c>
      <c r="J1634">
        <v>500000</v>
      </c>
      <c r="K1634">
        <v>2025</v>
      </c>
      <c r="L1634">
        <v>1058078519</v>
      </c>
      <c r="M1634" t="s">
        <v>4118</v>
      </c>
      <c r="N1634" t="s">
        <v>1688</v>
      </c>
      <c r="O1634" t="s">
        <v>1686</v>
      </c>
      <c r="P1634">
        <v>0</v>
      </c>
      <c r="Q1634">
        <v>500000</v>
      </c>
      <c r="R1634">
        <v>0</v>
      </c>
      <c r="S1634">
        <v>0</v>
      </c>
      <c r="T1634" t="str">
        <f t="shared" si="50"/>
        <v>11282.43.4302.85.0-205128.2.3.3.08.06.</v>
      </c>
      <c r="U1634" t="e" cm="1">
        <f t="array" aca="1" ref="U1634" ca="1">+IF(COMPROMISOS_2025[[#This Row],[P]]="20","41080111",_xlfn.XLOOKUP(COMPROMISOS_2025[[#This Row],[concatenado]],PAA[[#All],[RCP-RUBRO]],PAA[[#All],[INDICADOR]],"",0))</f>
        <v>#NAME?</v>
      </c>
      <c r="V1634" s="144" t="str">
        <f t="shared" si="51"/>
        <v>85</v>
      </c>
      <c r="W1634" s="136">
        <f>+COMPROMISOS_2025[[#This Row],[valor_total]]-COMPROMISOS_2025[[#This Row],[total_cancelado]]</f>
        <v>500000</v>
      </c>
      <c r="X1634" s="136">
        <f>COMPROMISOS_2025[[#This Row],[total_ordenes]]</f>
        <v>500000</v>
      </c>
      <c r="Y1634" t="str" cm="1">
        <f t="array" aca="1" ref="Y1634" ca="1">IFERROR(_xlfn.XLOOKUP(COMPROMISOS_2025[[#This Row],[concatenado]],PAA[[#All],[RCP-RUBRO]],PAA[[#All],[Actividad3]],VLOOKUP(COMPROMISOS_2025[[#This Row],[Indicador Principal]],$AC$2:$AD$17,2,0),0),"")</f>
        <v/>
      </c>
    </row>
    <row r="1635" spans="1:25" hidden="1" x14ac:dyDescent="0.25">
      <c r="A1635">
        <v>1129</v>
      </c>
      <c r="B1635" t="s">
        <v>4164</v>
      </c>
      <c r="C1635" t="s">
        <v>1936</v>
      </c>
      <c r="D1635" t="s">
        <v>4165</v>
      </c>
      <c r="F1635">
        <v>359</v>
      </c>
      <c r="G1635">
        <v>65</v>
      </c>
      <c r="H1635" t="s">
        <v>662</v>
      </c>
      <c r="I1635" t="s">
        <v>2271</v>
      </c>
      <c r="J1635">
        <v>500000</v>
      </c>
      <c r="K1635">
        <v>2025</v>
      </c>
      <c r="L1635">
        <v>1062606601</v>
      </c>
      <c r="M1635" t="s">
        <v>3851</v>
      </c>
      <c r="N1635" t="s">
        <v>1688</v>
      </c>
      <c r="O1635" t="s">
        <v>1686</v>
      </c>
      <c r="P1635">
        <v>0</v>
      </c>
      <c r="Q1635">
        <v>500000</v>
      </c>
      <c r="R1635">
        <v>0</v>
      </c>
      <c r="S1635">
        <v>0</v>
      </c>
      <c r="T1635" t="str">
        <f t="shared" si="50"/>
        <v>11292.43.4302.85.0-205128.2.3.3.08.06.</v>
      </c>
      <c r="U1635" t="e" cm="1">
        <f t="array" aca="1" ref="U1635" ca="1">+IF(COMPROMISOS_2025[[#This Row],[P]]="20","41080111",_xlfn.XLOOKUP(COMPROMISOS_2025[[#This Row],[concatenado]],PAA[[#All],[RCP-RUBRO]],PAA[[#All],[INDICADOR]],"",0))</f>
        <v>#NAME?</v>
      </c>
      <c r="V1635" s="144" t="str">
        <f t="shared" si="51"/>
        <v>85</v>
      </c>
      <c r="W1635" s="136">
        <f>+COMPROMISOS_2025[[#This Row],[valor_total]]-COMPROMISOS_2025[[#This Row],[total_cancelado]]</f>
        <v>500000</v>
      </c>
      <c r="X1635" s="136">
        <f>COMPROMISOS_2025[[#This Row],[total_ordenes]]</f>
        <v>500000</v>
      </c>
      <c r="Y1635" t="str" cm="1">
        <f t="array" aca="1" ref="Y1635" ca="1">IFERROR(_xlfn.XLOOKUP(COMPROMISOS_2025[[#This Row],[concatenado]],PAA[[#All],[RCP-RUBRO]],PAA[[#All],[Actividad3]],VLOOKUP(COMPROMISOS_2025[[#This Row],[Indicador Principal]],$AC$2:$AD$17,2,0),0),"")</f>
        <v/>
      </c>
    </row>
    <row r="1636" spans="1:25" hidden="1" x14ac:dyDescent="0.25">
      <c r="A1636">
        <v>1130</v>
      </c>
      <c r="B1636" t="s">
        <v>4164</v>
      </c>
      <c r="C1636" t="s">
        <v>1936</v>
      </c>
      <c r="D1636" t="s">
        <v>4165</v>
      </c>
      <c r="F1636">
        <v>359</v>
      </c>
      <c r="G1636">
        <v>65</v>
      </c>
      <c r="H1636" t="s">
        <v>662</v>
      </c>
      <c r="I1636" t="s">
        <v>2271</v>
      </c>
      <c r="J1636">
        <v>1300000</v>
      </c>
      <c r="K1636">
        <v>2025</v>
      </c>
      <c r="L1636">
        <v>1064187599</v>
      </c>
      <c r="M1636" t="s">
        <v>3852</v>
      </c>
      <c r="N1636" t="s">
        <v>1688</v>
      </c>
      <c r="O1636" t="s">
        <v>1686</v>
      </c>
      <c r="P1636">
        <v>0</v>
      </c>
      <c r="Q1636">
        <v>1300000</v>
      </c>
      <c r="R1636">
        <v>0</v>
      </c>
      <c r="S1636">
        <v>0</v>
      </c>
      <c r="T1636" t="str">
        <f t="shared" si="50"/>
        <v>11302.43.4302.85.0-205128.2.3.3.08.06.</v>
      </c>
      <c r="U1636" t="e" cm="1">
        <f t="array" aca="1" ref="U1636" ca="1">+IF(COMPROMISOS_2025[[#This Row],[P]]="20","41080111",_xlfn.XLOOKUP(COMPROMISOS_2025[[#This Row],[concatenado]],PAA[[#All],[RCP-RUBRO]],PAA[[#All],[INDICADOR]],"",0))</f>
        <v>#NAME?</v>
      </c>
      <c r="V1636" s="144" t="str">
        <f t="shared" si="51"/>
        <v>85</v>
      </c>
      <c r="W1636" s="136">
        <f>+COMPROMISOS_2025[[#This Row],[valor_total]]-COMPROMISOS_2025[[#This Row],[total_cancelado]]</f>
        <v>1300000</v>
      </c>
      <c r="X1636" s="136">
        <f>COMPROMISOS_2025[[#This Row],[total_ordenes]]</f>
        <v>1300000</v>
      </c>
      <c r="Y1636" t="str" cm="1">
        <f t="array" aca="1" ref="Y1636" ca="1">IFERROR(_xlfn.XLOOKUP(COMPROMISOS_2025[[#This Row],[concatenado]],PAA[[#All],[RCP-RUBRO]],PAA[[#All],[Actividad3]],VLOOKUP(COMPROMISOS_2025[[#This Row],[Indicador Principal]],$AC$2:$AD$17,2,0),0),"")</f>
        <v/>
      </c>
    </row>
    <row r="1637" spans="1:25" hidden="1" x14ac:dyDescent="0.25">
      <c r="A1637">
        <v>1131</v>
      </c>
      <c r="B1637" t="s">
        <v>4164</v>
      </c>
      <c r="C1637" t="s">
        <v>1936</v>
      </c>
      <c r="D1637" t="s">
        <v>4165</v>
      </c>
      <c r="F1637">
        <v>359</v>
      </c>
      <c r="G1637">
        <v>65</v>
      </c>
      <c r="H1637" t="s">
        <v>662</v>
      </c>
      <c r="I1637" t="s">
        <v>2271</v>
      </c>
      <c r="J1637">
        <v>500000</v>
      </c>
      <c r="K1637">
        <v>2025</v>
      </c>
      <c r="L1637">
        <v>1067879191</v>
      </c>
      <c r="M1637" t="s">
        <v>3853</v>
      </c>
      <c r="N1637" t="s">
        <v>1688</v>
      </c>
      <c r="O1637" t="s">
        <v>1686</v>
      </c>
      <c r="P1637">
        <v>0</v>
      </c>
      <c r="Q1637">
        <v>500000</v>
      </c>
      <c r="R1637">
        <v>0</v>
      </c>
      <c r="S1637">
        <v>0</v>
      </c>
      <c r="T1637" t="str">
        <f t="shared" si="50"/>
        <v>11312.43.4302.85.0-205128.2.3.3.08.06.</v>
      </c>
      <c r="U1637" t="e" cm="1">
        <f t="array" aca="1" ref="U1637" ca="1">+IF(COMPROMISOS_2025[[#This Row],[P]]="20","41080111",_xlfn.XLOOKUP(COMPROMISOS_2025[[#This Row],[concatenado]],PAA[[#All],[RCP-RUBRO]],PAA[[#All],[INDICADOR]],"",0))</f>
        <v>#NAME?</v>
      </c>
      <c r="V1637" s="144" t="str">
        <f t="shared" si="51"/>
        <v>85</v>
      </c>
      <c r="W1637" s="136">
        <f>+COMPROMISOS_2025[[#This Row],[valor_total]]-COMPROMISOS_2025[[#This Row],[total_cancelado]]</f>
        <v>500000</v>
      </c>
      <c r="X1637" s="136">
        <f>COMPROMISOS_2025[[#This Row],[total_ordenes]]</f>
        <v>500000</v>
      </c>
      <c r="Y1637" t="str" cm="1">
        <f t="array" aca="1" ref="Y1637" ca="1">IFERROR(_xlfn.XLOOKUP(COMPROMISOS_2025[[#This Row],[concatenado]],PAA[[#All],[RCP-RUBRO]],PAA[[#All],[Actividad3]],VLOOKUP(COMPROMISOS_2025[[#This Row],[Indicador Principal]],$AC$2:$AD$17,2,0),0),"")</f>
        <v/>
      </c>
    </row>
    <row r="1638" spans="1:25" hidden="1" x14ac:dyDescent="0.25">
      <c r="A1638">
        <v>1132</v>
      </c>
      <c r="B1638" t="s">
        <v>4164</v>
      </c>
      <c r="C1638" t="s">
        <v>1936</v>
      </c>
      <c r="D1638" t="s">
        <v>4165</v>
      </c>
      <c r="F1638">
        <v>359</v>
      </c>
      <c r="G1638">
        <v>65</v>
      </c>
      <c r="H1638" t="s">
        <v>662</v>
      </c>
      <c r="I1638" t="s">
        <v>2271</v>
      </c>
      <c r="J1638">
        <v>500000</v>
      </c>
      <c r="K1638">
        <v>2025</v>
      </c>
      <c r="L1638">
        <v>1075673624</v>
      </c>
      <c r="M1638" t="s">
        <v>4119</v>
      </c>
      <c r="N1638" t="s">
        <v>1688</v>
      </c>
      <c r="O1638" t="s">
        <v>1686</v>
      </c>
      <c r="P1638">
        <v>0</v>
      </c>
      <c r="Q1638">
        <v>500000</v>
      </c>
      <c r="R1638">
        <v>0</v>
      </c>
      <c r="S1638">
        <v>0</v>
      </c>
      <c r="T1638" t="str">
        <f t="shared" si="50"/>
        <v>11322.43.4302.85.0-205128.2.3.3.08.06.</v>
      </c>
      <c r="U1638" t="e" cm="1">
        <f t="array" aca="1" ref="U1638" ca="1">+IF(COMPROMISOS_2025[[#This Row],[P]]="20","41080111",_xlfn.XLOOKUP(COMPROMISOS_2025[[#This Row],[concatenado]],PAA[[#All],[RCP-RUBRO]],PAA[[#All],[INDICADOR]],"",0))</f>
        <v>#NAME?</v>
      </c>
      <c r="V1638" s="144" t="str">
        <f t="shared" si="51"/>
        <v>85</v>
      </c>
      <c r="W1638" s="136">
        <f>+COMPROMISOS_2025[[#This Row],[valor_total]]-COMPROMISOS_2025[[#This Row],[total_cancelado]]</f>
        <v>500000</v>
      </c>
      <c r="X1638" s="136">
        <f>COMPROMISOS_2025[[#This Row],[total_ordenes]]</f>
        <v>500000</v>
      </c>
      <c r="Y1638" t="str" cm="1">
        <f t="array" aca="1" ref="Y1638" ca="1">IFERROR(_xlfn.XLOOKUP(COMPROMISOS_2025[[#This Row],[concatenado]],PAA[[#All],[RCP-RUBRO]],PAA[[#All],[Actividad3]],VLOOKUP(COMPROMISOS_2025[[#This Row],[Indicador Principal]],$AC$2:$AD$17,2,0),0),"")</f>
        <v/>
      </c>
    </row>
    <row r="1639" spans="1:25" hidden="1" x14ac:dyDescent="0.25">
      <c r="A1639">
        <v>1133</v>
      </c>
      <c r="B1639" t="s">
        <v>4164</v>
      </c>
      <c r="C1639" t="s">
        <v>1936</v>
      </c>
      <c r="D1639" t="s">
        <v>4165</v>
      </c>
      <c r="F1639">
        <v>359</v>
      </c>
      <c r="G1639">
        <v>65</v>
      </c>
      <c r="H1639" t="s">
        <v>662</v>
      </c>
      <c r="I1639" t="s">
        <v>2271</v>
      </c>
      <c r="J1639">
        <v>500000</v>
      </c>
      <c r="K1639">
        <v>2025</v>
      </c>
      <c r="L1639">
        <v>1076502084</v>
      </c>
      <c r="M1639" t="s">
        <v>4120</v>
      </c>
      <c r="N1639" t="s">
        <v>1688</v>
      </c>
      <c r="O1639" t="s">
        <v>1686</v>
      </c>
      <c r="P1639">
        <v>0</v>
      </c>
      <c r="Q1639">
        <v>500000</v>
      </c>
      <c r="R1639">
        <v>0</v>
      </c>
      <c r="S1639">
        <v>0</v>
      </c>
      <c r="T1639" t="str">
        <f t="shared" si="50"/>
        <v>11332.43.4302.85.0-205128.2.3.3.08.06.</v>
      </c>
      <c r="U1639" t="e" cm="1">
        <f t="array" aca="1" ref="U1639" ca="1">+IF(COMPROMISOS_2025[[#This Row],[P]]="20","41080111",_xlfn.XLOOKUP(COMPROMISOS_2025[[#This Row],[concatenado]],PAA[[#All],[RCP-RUBRO]],PAA[[#All],[INDICADOR]],"",0))</f>
        <v>#NAME?</v>
      </c>
      <c r="V1639" s="144" t="str">
        <f t="shared" si="51"/>
        <v>85</v>
      </c>
      <c r="W1639" s="136">
        <f>+COMPROMISOS_2025[[#This Row],[valor_total]]-COMPROMISOS_2025[[#This Row],[total_cancelado]]</f>
        <v>500000</v>
      </c>
      <c r="X1639" s="136">
        <f>COMPROMISOS_2025[[#This Row],[total_ordenes]]</f>
        <v>500000</v>
      </c>
      <c r="Y1639" t="str" cm="1">
        <f t="array" aca="1" ref="Y1639" ca="1">IFERROR(_xlfn.XLOOKUP(COMPROMISOS_2025[[#This Row],[concatenado]],PAA[[#All],[RCP-RUBRO]],PAA[[#All],[Actividad3]],VLOOKUP(COMPROMISOS_2025[[#This Row],[Indicador Principal]],$AC$2:$AD$17,2,0),0),"")</f>
        <v/>
      </c>
    </row>
    <row r="1640" spans="1:25" hidden="1" x14ac:dyDescent="0.25">
      <c r="A1640">
        <v>1134</v>
      </c>
      <c r="B1640" t="s">
        <v>4164</v>
      </c>
      <c r="C1640" t="s">
        <v>1936</v>
      </c>
      <c r="D1640" t="s">
        <v>4165</v>
      </c>
      <c r="F1640">
        <v>359</v>
      </c>
      <c r="G1640">
        <v>65</v>
      </c>
      <c r="H1640" t="s">
        <v>662</v>
      </c>
      <c r="I1640" t="s">
        <v>2271</v>
      </c>
      <c r="J1640">
        <v>500000</v>
      </c>
      <c r="K1640">
        <v>2025</v>
      </c>
      <c r="L1640">
        <v>1077175447</v>
      </c>
      <c r="M1640" t="s">
        <v>3856</v>
      </c>
      <c r="N1640" t="s">
        <v>1688</v>
      </c>
      <c r="O1640" t="s">
        <v>1686</v>
      </c>
      <c r="P1640">
        <v>0</v>
      </c>
      <c r="Q1640">
        <v>500000</v>
      </c>
      <c r="R1640">
        <v>0</v>
      </c>
      <c r="S1640">
        <v>0</v>
      </c>
      <c r="T1640" t="str">
        <f t="shared" si="50"/>
        <v>11342.43.4302.85.0-205128.2.3.3.08.06.</v>
      </c>
      <c r="U1640" t="e" cm="1">
        <f t="array" aca="1" ref="U1640" ca="1">+IF(COMPROMISOS_2025[[#This Row],[P]]="20","41080111",_xlfn.XLOOKUP(COMPROMISOS_2025[[#This Row],[concatenado]],PAA[[#All],[RCP-RUBRO]],PAA[[#All],[INDICADOR]],"",0))</f>
        <v>#NAME?</v>
      </c>
      <c r="V1640" s="144" t="str">
        <f t="shared" si="51"/>
        <v>85</v>
      </c>
      <c r="W1640" s="136">
        <f>+COMPROMISOS_2025[[#This Row],[valor_total]]-COMPROMISOS_2025[[#This Row],[total_cancelado]]</f>
        <v>500000</v>
      </c>
      <c r="X1640" s="136">
        <f>COMPROMISOS_2025[[#This Row],[total_ordenes]]</f>
        <v>500000</v>
      </c>
      <c r="Y1640" t="str" cm="1">
        <f t="array" aca="1" ref="Y1640" ca="1">IFERROR(_xlfn.XLOOKUP(COMPROMISOS_2025[[#This Row],[concatenado]],PAA[[#All],[RCP-RUBRO]],PAA[[#All],[Actividad3]],VLOOKUP(COMPROMISOS_2025[[#This Row],[Indicador Principal]],$AC$2:$AD$17,2,0),0),"")</f>
        <v/>
      </c>
    </row>
    <row r="1641" spans="1:25" hidden="1" x14ac:dyDescent="0.25">
      <c r="A1641">
        <v>1135</v>
      </c>
      <c r="B1641" t="s">
        <v>4164</v>
      </c>
      <c r="C1641" t="s">
        <v>1936</v>
      </c>
      <c r="D1641" t="s">
        <v>4165</v>
      </c>
      <c r="F1641">
        <v>359</v>
      </c>
      <c r="G1641">
        <v>65</v>
      </c>
      <c r="H1641" t="s">
        <v>662</v>
      </c>
      <c r="I1641" t="s">
        <v>2271</v>
      </c>
      <c r="J1641">
        <v>500000</v>
      </c>
      <c r="K1641">
        <v>2025</v>
      </c>
      <c r="L1641">
        <v>1077427445</v>
      </c>
      <c r="M1641" t="s">
        <v>4179</v>
      </c>
      <c r="N1641" t="s">
        <v>1688</v>
      </c>
      <c r="O1641" t="s">
        <v>1686</v>
      </c>
      <c r="P1641">
        <v>0</v>
      </c>
      <c r="Q1641">
        <v>500000</v>
      </c>
      <c r="R1641">
        <v>0</v>
      </c>
      <c r="S1641">
        <v>0</v>
      </c>
      <c r="T1641" t="str">
        <f t="shared" si="50"/>
        <v>11352.43.4302.85.0-205128.2.3.3.08.06.</v>
      </c>
      <c r="U1641" t="e" cm="1">
        <f t="array" aca="1" ref="U1641" ca="1">+IF(COMPROMISOS_2025[[#This Row],[P]]="20","41080111",_xlfn.XLOOKUP(COMPROMISOS_2025[[#This Row],[concatenado]],PAA[[#All],[RCP-RUBRO]],PAA[[#All],[INDICADOR]],"",0))</f>
        <v>#NAME?</v>
      </c>
      <c r="V1641" s="144" t="str">
        <f t="shared" si="51"/>
        <v>85</v>
      </c>
      <c r="W1641" s="136">
        <f>+COMPROMISOS_2025[[#This Row],[valor_total]]-COMPROMISOS_2025[[#This Row],[total_cancelado]]</f>
        <v>500000</v>
      </c>
      <c r="X1641" s="136">
        <f>COMPROMISOS_2025[[#This Row],[total_ordenes]]</f>
        <v>500000</v>
      </c>
      <c r="Y1641" t="str" cm="1">
        <f t="array" aca="1" ref="Y1641" ca="1">IFERROR(_xlfn.XLOOKUP(COMPROMISOS_2025[[#This Row],[concatenado]],PAA[[#All],[RCP-RUBRO]],PAA[[#All],[Actividad3]],VLOOKUP(COMPROMISOS_2025[[#This Row],[Indicador Principal]],$AC$2:$AD$17,2,0),0),"")</f>
        <v/>
      </c>
    </row>
    <row r="1642" spans="1:25" hidden="1" x14ac:dyDescent="0.25">
      <c r="A1642">
        <v>1136</v>
      </c>
      <c r="B1642" t="s">
        <v>4164</v>
      </c>
      <c r="C1642" t="s">
        <v>1936</v>
      </c>
      <c r="D1642" t="s">
        <v>4165</v>
      </c>
      <c r="F1642">
        <v>359</v>
      </c>
      <c r="G1642">
        <v>65</v>
      </c>
      <c r="H1642" t="s">
        <v>662</v>
      </c>
      <c r="I1642" t="s">
        <v>2271</v>
      </c>
      <c r="J1642">
        <v>500000</v>
      </c>
      <c r="K1642">
        <v>2025</v>
      </c>
      <c r="L1642">
        <v>1077437321</v>
      </c>
      <c r="M1642" t="s">
        <v>4121</v>
      </c>
      <c r="N1642" t="s">
        <v>1688</v>
      </c>
      <c r="O1642" t="s">
        <v>1686</v>
      </c>
      <c r="P1642">
        <v>0</v>
      </c>
      <c r="Q1642">
        <v>500000</v>
      </c>
      <c r="R1642">
        <v>0</v>
      </c>
      <c r="S1642">
        <v>0</v>
      </c>
      <c r="T1642" t="str">
        <f t="shared" si="50"/>
        <v>11362.43.4302.85.0-205128.2.3.3.08.06.</v>
      </c>
      <c r="U1642" t="e" cm="1">
        <f t="array" aca="1" ref="U1642" ca="1">+IF(COMPROMISOS_2025[[#This Row],[P]]="20","41080111",_xlfn.XLOOKUP(COMPROMISOS_2025[[#This Row],[concatenado]],PAA[[#All],[RCP-RUBRO]],PAA[[#All],[INDICADOR]],"",0))</f>
        <v>#NAME?</v>
      </c>
      <c r="V1642" s="144" t="str">
        <f t="shared" si="51"/>
        <v>85</v>
      </c>
      <c r="W1642" s="136">
        <f>+COMPROMISOS_2025[[#This Row],[valor_total]]-COMPROMISOS_2025[[#This Row],[total_cancelado]]</f>
        <v>500000</v>
      </c>
      <c r="X1642" s="136">
        <f>COMPROMISOS_2025[[#This Row],[total_ordenes]]</f>
        <v>500000</v>
      </c>
      <c r="Y1642" t="str" cm="1">
        <f t="array" aca="1" ref="Y1642" ca="1">IFERROR(_xlfn.XLOOKUP(COMPROMISOS_2025[[#This Row],[concatenado]],PAA[[#All],[RCP-RUBRO]],PAA[[#All],[Actividad3]],VLOOKUP(COMPROMISOS_2025[[#This Row],[Indicador Principal]],$AC$2:$AD$17,2,0),0),"")</f>
        <v/>
      </c>
    </row>
    <row r="1643" spans="1:25" hidden="1" x14ac:dyDescent="0.25">
      <c r="A1643">
        <v>1137</v>
      </c>
      <c r="B1643" t="s">
        <v>4164</v>
      </c>
      <c r="C1643" t="s">
        <v>1936</v>
      </c>
      <c r="D1643" t="s">
        <v>4165</v>
      </c>
      <c r="F1643">
        <v>359</v>
      </c>
      <c r="G1643">
        <v>65</v>
      </c>
      <c r="H1643" t="s">
        <v>662</v>
      </c>
      <c r="I1643" t="s">
        <v>2271</v>
      </c>
      <c r="J1643">
        <v>500000</v>
      </c>
      <c r="K1643">
        <v>2025</v>
      </c>
      <c r="L1643">
        <v>1077721749</v>
      </c>
      <c r="M1643" t="s">
        <v>4122</v>
      </c>
      <c r="N1643" t="s">
        <v>1688</v>
      </c>
      <c r="O1643" t="s">
        <v>1686</v>
      </c>
      <c r="P1643">
        <v>0</v>
      </c>
      <c r="Q1643">
        <v>500000</v>
      </c>
      <c r="R1643">
        <v>0</v>
      </c>
      <c r="S1643">
        <v>0</v>
      </c>
      <c r="T1643" t="str">
        <f t="shared" si="50"/>
        <v>11372.43.4302.85.0-205128.2.3.3.08.06.</v>
      </c>
      <c r="U1643" t="e" cm="1">
        <f t="array" aca="1" ref="U1643" ca="1">+IF(COMPROMISOS_2025[[#This Row],[P]]="20","41080111",_xlfn.XLOOKUP(COMPROMISOS_2025[[#This Row],[concatenado]],PAA[[#All],[RCP-RUBRO]],PAA[[#All],[INDICADOR]],"",0))</f>
        <v>#NAME?</v>
      </c>
      <c r="V1643" s="144" t="str">
        <f t="shared" si="51"/>
        <v>85</v>
      </c>
      <c r="W1643" s="136">
        <f>+COMPROMISOS_2025[[#This Row],[valor_total]]-COMPROMISOS_2025[[#This Row],[total_cancelado]]</f>
        <v>500000</v>
      </c>
      <c r="X1643" s="136">
        <f>COMPROMISOS_2025[[#This Row],[total_ordenes]]</f>
        <v>500000</v>
      </c>
      <c r="Y1643" t="str" cm="1">
        <f t="array" aca="1" ref="Y1643" ca="1">IFERROR(_xlfn.XLOOKUP(COMPROMISOS_2025[[#This Row],[concatenado]],PAA[[#All],[RCP-RUBRO]],PAA[[#All],[Actividad3]],VLOOKUP(COMPROMISOS_2025[[#This Row],[Indicador Principal]],$AC$2:$AD$17,2,0),0),"")</f>
        <v/>
      </c>
    </row>
    <row r="1644" spans="1:25" hidden="1" x14ac:dyDescent="0.25">
      <c r="A1644">
        <v>1138</v>
      </c>
      <c r="B1644" t="s">
        <v>4164</v>
      </c>
      <c r="C1644" t="s">
        <v>1936</v>
      </c>
      <c r="D1644" t="s">
        <v>4165</v>
      </c>
      <c r="F1644">
        <v>359</v>
      </c>
      <c r="G1644">
        <v>65</v>
      </c>
      <c r="H1644" t="s">
        <v>662</v>
      </c>
      <c r="I1644" t="s">
        <v>2271</v>
      </c>
      <c r="J1644">
        <v>1300000</v>
      </c>
      <c r="K1644">
        <v>2025</v>
      </c>
      <c r="L1644">
        <v>1077999141</v>
      </c>
      <c r="M1644" t="s">
        <v>3858</v>
      </c>
      <c r="N1644" t="s">
        <v>1688</v>
      </c>
      <c r="O1644" t="s">
        <v>1686</v>
      </c>
      <c r="P1644">
        <v>0</v>
      </c>
      <c r="Q1644">
        <v>1300000</v>
      </c>
      <c r="R1644">
        <v>0</v>
      </c>
      <c r="S1644">
        <v>0</v>
      </c>
      <c r="T1644" t="str">
        <f t="shared" si="50"/>
        <v>11382.43.4302.85.0-205128.2.3.3.08.06.</v>
      </c>
      <c r="U1644" t="e" cm="1">
        <f t="array" aca="1" ref="U1644" ca="1">+IF(COMPROMISOS_2025[[#This Row],[P]]="20","41080111",_xlfn.XLOOKUP(COMPROMISOS_2025[[#This Row],[concatenado]],PAA[[#All],[RCP-RUBRO]],PAA[[#All],[INDICADOR]],"",0))</f>
        <v>#NAME?</v>
      </c>
      <c r="V1644" s="144" t="str">
        <f t="shared" si="51"/>
        <v>85</v>
      </c>
      <c r="W1644" s="136">
        <f>+COMPROMISOS_2025[[#This Row],[valor_total]]-COMPROMISOS_2025[[#This Row],[total_cancelado]]</f>
        <v>1300000</v>
      </c>
      <c r="X1644" s="136">
        <f>COMPROMISOS_2025[[#This Row],[total_ordenes]]</f>
        <v>1300000</v>
      </c>
      <c r="Y1644" t="str" cm="1">
        <f t="array" aca="1" ref="Y1644" ca="1">IFERROR(_xlfn.XLOOKUP(COMPROMISOS_2025[[#This Row],[concatenado]],PAA[[#All],[RCP-RUBRO]],PAA[[#All],[Actividad3]],VLOOKUP(COMPROMISOS_2025[[#This Row],[Indicador Principal]],$AC$2:$AD$17,2,0),0),"")</f>
        <v/>
      </c>
    </row>
    <row r="1645" spans="1:25" hidden="1" x14ac:dyDescent="0.25">
      <c r="A1645">
        <v>1139</v>
      </c>
      <c r="B1645" t="s">
        <v>4164</v>
      </c>
      <c r="C1645" t="s">
        <v>1936</v>
      </c>
      <c r="D1645" t="s">
        <v>4165</v>
      </c>
      <c r="F1645">
        <v>359</v>
      </c>
      <c r="G1645">
        <v>65</v>
      </c>
      <c r="H1645" t="s">
        <v>662</v>
      </c>
      <c r="I1645" t="s">
        <v>2271</v>
      </c>
      <c r="J1645">
        <v>500000</v>
      </c>
      <c r="K1645">
        <v>2025</v>
      </c>
      <c r="L1645">
        <v>1078576614</v>
      </c>
      <c r="M1645" t="s">
        <v>4123</v>
      </c>
      <c r="N1645" t="s">
        <v>1688</v>
      </c>
      <c r="O1645" t="s">
        <v>1686</v>
      </c>
      <c r="P1645">
        <v>0</v>
      </c>
      <c r="Q1645">
        <v>500000</v>
      </c>
      <c r="R1645">
        <v>0</v>
      </c>
      <c r="S1645">
        <v>0</v>
      </c>
      <c r="T1645" t="str">
        <f t="shared" si="50"/>
        <v>11392.43.4302.85.0-205128.2.3.3.08.06.</v>
      </c>
      <c r="U1645" t="e" cm="1">
        <f t="array" aca="1" ref="U1645" ca="1">+IF(COMPROMISOS_2025[[#This Row],[P]]="20","41080111",_xlfn.XLOOKUP(COMPROMISOS_2025[[#This Row],[concatenado]],PAA[[#All],[RCP-RUBRO]],PAA[[#All],[INDICADOR]],"",0))</f>
        <v>#NAME?</v>
      </c>
      <c r="V1645" s="144" t="str">
        <f t="shared" si="51"/>
        <v>85</v>
      </c>
      <c r="W1645" s="136">
        <f>+COMPROMISOS_2025[[#This Row],[valor_total]]-COMPROMISOS_2025[[#This Row],[total_cancelado]]</f>
        <v>500000</v>
      </c>
      <c r="X1645" s="136">
        <f>COMPROMISOS_2025[[#This Row],[total_ordenes]]</f>
        <v>500000</v>
      </c>
      <c r="Y1645" t="str" cm="1">
        <f t="array" aca="1" ref="Y1645" ca="1">IFERROR(_xlfn.XLOOKUP(COMPROMISOS_2025[[#This Row],[concatenado]],PAA[[#All],[RCP-RUBRO]],PAA[[#All],[Actividad3]],VLOOKUP(COMPROMISOS_2025[[#This Row],[Indicador Principal]],$AC$2:$AD$17,2,0),0),"")</f>
        <v/>
      </c>
    </row>
    <row r="1646" spans="1:25" hidden="1" x14ac:dyDescent="0.25">
      <c r="A1646">
        <v>1140</v>
      </c>
      <c r="B1646" t="s">
        <v>4164</v>
      </c>
      <c r="C1646" t="s">
        <v>1936</v>
      </c>
      <c r="D1646" t="s">
        <v>4165</v>
      </c>
      <c r="F1646">
        <v>359</v>
      </c>
      <c r="G1646">
        <v>65</v>
      </c>
      <c r="H1646" t="s">
        <v>662</v>
      </c>
      <c r="I1646" t="s">
        <v>2271</v>
      </c>
      <c r="J1646">
        <v>1300000</v>
      </c>
      <c r="K1646">
        <v>2025</v>
      </c>
      <c r="L1646">
        <v>1079290073</v>
      </c>
      <c r="M1646" t="s">
        <v>3860</v>
      </c>
      <c r="N1646" t="s">
        <v>1688</v>
      </c>
      <c r="O1646" t="s">
        <v>1686</v>
      </c>
      <c r="P1646">
        <v>0</v>
      </c>
      <c r="Q1646">
        <v>1300000</v>
      </c>
      <c r="R1646">
        <v>0</v>
      </c>
      <c r="S1646">
        <v>0</v>
      </c>
      <c r="T1646" t="str">
        <f t="shared" si="50"/>
        <v>11402.43.4302.85.0-205128.2.3.3.08.06.</v>
      </c>
      <c r="U1646" t="e" cm="1">
        <f t="array" aca="1" ref="U1646" ca="1">+IF(COMPROMISOS_2025[[#This Row],[P]]="20","41080111",_xlfn.XLOOKUP(COMPROMISOS_2025[[#This Row],[concatenado]],PAA[[#All],[RCP-RUBRO]],PAA[[#All],[INDICADOR]],"",0))</f>
        <v>#NAME?</v>
      </c>
      <c r="V1646" s="144" t="str">
        <f t="shared" si="51"/>
        <v>85</v>
      </c>
      <c r="W1646" s="136">
        <f>+COMPROMISOS_2025[[#This Row],[valor_total]]-COMPROMISOS_2025[[#This Row],[total_cancelado]]</f>
        <v>1300000</v>
      </c>
      <c r="X1646" s="136">
        <f>COMPROMISOS_2025[[#This Row],[total_ordenes]]</f>
        <v>1300000</v>
      </c>
      <c r="Y1646" t="str" cm="1">
        <f t="array" aca="1" ref="Y1646" ca="1">IFERROR(_xlfn.XLOOKUP(COMPROMISOS_2025[[#This Row],[concatenado]],PAA[[#All],[RCP-RUBRO]],PAA[[#All],[Actividad3]],VLOOKUP(COMPROMISOS_2025[[#This Row],[Indicador Principal]],$AC$2:$AD$17,2,0),0),"")</f>
        <v/>
      </c>
    </row>
    <row r="1647" spans="1:25" hidden="1" x14ac:dyDescent="0.25">
      <c r="A1647">
        <v>1141</v>
      </c>
      <c r="B1647" t="s">
        <v>4164</v>
      </c>
      <c r="C1647" t="s">
        <v>1936</v>
      </c>
      <c r="D1647" t="s">
        <v>4165</v>
      </c>
      <c r="F1647">
        <v>359</v>
      </c>
      <c r="G1647">
        <v>65</v>
      </c>
      <c r="H1647" t="s">
        <v>662</v>
      </c>
      <c r="I1647" t="s">
        <v>2271</v>
      </c>
      <c r="J1647">
        <v>1300000</v>
      </c>
      <c r="K1647">
        <v>2025</v>
      </c>
      <c r="L1647">
        <v>1091272127</v>
      </c>
      <c r="M1647" t="s">
        <v>4124</v>
      </c>
      <c r="N1647" t="s">
        <v>1688</v>
      </c>
      <c r="O1647" t="s">
        <v>1686</v>
      </c>
      <c r="P1647">
        <v>0</v>
      </c>
      <c r="Q1647">
        <v>1300000</v>
      </c>
      <c r="R1647">
        <v>0</v>
      </c>
      <c r="S1647">
        <v>0</v>
      </c>
      <c r="T1647" t="str">
        <f t="shared" si="50"/>
        <v>11412.43.4302.85.0-205128.2.3.3.08.06.</v>
      </c>
      <c r="U1647" t="e" cm="1">
        <f t="array" aca="1" ref="U1647" ca="1">+IF(COMPROMISOS_2025[[#This Row],[P]]="20","41080111",_xlfn.XLOOKUP(COMPROMISOS_2025[[#This Row],[concatenado]],PAA[[#All],[RCP-RUBRO]],PAA[[#All],[INDICADOR]],"",0))</f>
        <v>#NAME?</v>
      </c>
      <c r="V1647" s="144" t="str">
        <f t="shared" si="51"/>
        <v>85</v>
      </c>
      <c r="W1647" s="136">
        <f>+COMPROMISOS_2025[[#This Row],[valor_total]]-COMPROMISOS_2025[[#This Row],[total_cancelado]]</f>
        <v>1300000</v>
      </c>
      <c r="X1647" s="136">
        <f>COMPROMISOS_2025[[#This Row],[total_ordenes]]</f>
        <v>1300000</v>
      </c>
      <c r="Y1647" t="str" cm="1">
        <f t="array" aca="1" ref="Y1647" ca="1">IFERROR(_xlfn.XLOOKUP(COMPROMISOS_2025[[#This Row],[concatenado]],PAA[[#All],[RCP-RUBRO]],PAA[[#All],[Actividad3]],VLOOKUP(COMPROMISOS_2025[[#This Row],[Indicador Principal]],$AC$2:$AD$17,2,0),0),"")</f>
        <v/>
      </c>
    </row>
    <row r="1648" spans="1:25" hidden="1" x14ac:dyDescent="0.25">
      <c r="A1648">
        <v>1142</v>
      </c>
      <c r="B1648" t="s">
        <v>4164</v>
      </c>
      <c r="C1648" t="s">
        <v>1936</v>
      </c>
      <c r="D1648" t="s">
        <v>4165</v>
      </c>
      <c r="F1648">
        <v>359</v>
      </c>
      <c r="G1648">
        <v>65</v>
      </c>
      <c r="H1648" t="s">
        <v>662</v>
      </c>
      <c r="I1648" t="s">
        <v>2271</v>
      </c>
      <c r="J1648">
        <v>500000</v>
      </c>
      <c r="K1648">
        <v>2025</v>
      </c>
      <c r="L1648">
        <v>1091977928</v>
      </c>
      <c r="M1648" t="s">
        <v>4125</v>
      </c>
      <c r="N1648" t="s">
        <v>1688</v>
      </c>
      <c r="O1648" t="s">
        <v>1686</v>
      </c>
      <c r="P1648">
        <v>0</v>
      </c>
      <c r="Q1648">
        <v>500000</v>
      </c>
      <c r="R1648">
        <v>0</v>
      </c>
      <c r="S1648">
        <v>0</v>
      </c>
      <c r="T1648" t="str">
        <f t="shared" si="50"/>
        <v>11422.43.4302.85.0-205128.2.3.3.08.06.</v>
      </c>
      <c r="U1648" t="e" cm="1">
        <f t="array" aca="1" ref="U1648" ca="1">+IF(COMPROMISOS_2025[[#This Row],[P]]="20","41080111",_xlfn.XLOOKUP(COMPROMISOS_2025[[#This Row],[concatenado]],PAA[[#All],[RCP-RUBRO]],PAA[[#All],[INDICADOR]],"",0))</f>
        <v>#NAME?</v>
      </c>
      <c r="V1648" s="144" t="str">
        <f t="shared" si="51"/>
        <v>85</v>
      </c>
      <c r="W1648" s="136">
        <f>+COMPROMISOS_2025[[#This Row],[valor_total]]-COMPROMISOS_2025[[#This Row],[total_cancelado]]</f>
        <v>500000</v>
      </c>
      <c r="X1648" s="136">
        <f>COMPROMISOS_2025[[#This Row],[total_ordenes]]</f>
        <v>500000</v>
      </c>
      <c r="Y1648" t="str" cm="1">
        <f t="array" aca="1" ref="Y1648" ca="1">IFERROR(_xlfn.XLOOKUP(COMPROMISOS_2025[[#This Row],[concatenado]],PAA[[#All],[RCP-RUBRO]],PAA[[#All],[Actividad3]],VLOOKUP(COMPROMISOS_2025[[#This Row],[Indicador Principal]],$AC$2:$AD$17,2,0),0),"")</f>
        <v/>
      </c>
    </row>
    <row r="1649" spans="1:25" hidden="1" x14ac:dyDescent="0.25">
      <c r="A1649">
        <v>1143</v>
      </c>
      <c r="B1649" t="s">
        <v>4164</v>
      </c>
      <c r="C1649" t="s">
        <v>1936</v>
      </c>
      <c r="D1649" t="s">
        <v>4165</v>
      </c>
      <c r="F1649">
        <v>359</v>
      </c>
      <c r="G1649">
        <v>65</v>
      </c>
      <c r="H1649" t="s">
        <v>662</v>
      </c>
      <c r="I1649" t="s">
        <v>2271</v>
      </c>
      <c r="J1649">
        <v>500000</v>
      </c>
      <c r="K1649">
        <v>2025</v>
      </c>
      <c r="L1649">
        <v>1093597983</v>
      </c>
      <c r="M1649" t="s">
        <v>3862</v>
      </c>
      <c r="N1649" t="s">
        <v>1688</v>
      </c>
      <c r="O1649" t="s">
        <v>1686</v>
      </c>
      <c r="P1649">
        <v>0</v>
      </c>
      <c r="Q1649">
        <v>500000</v>
      </c>
      <c r="R1649">
        <v>0</v>
      </c>
      <c r="S1649">
        <v>0</v>
      </c>
      <c r="T1649" t="str">
        <f t="shared" si="50"/>
        <v>11432.43.4302.85.0-205128.2.3.3.08.06.</v>
      </c>
      <c r="U1649" t="e" cm="1">
        <f t="array" aca="1" ref="U1649" ca="1">+IF(COMPROMISOS_2025[[#This Row],[P]]="20","41080111",_xlfn.XLOOKUP(COMPROMISOS_2025[[#This Row],[concatenado]],PAA[[#All],[RCP-RUBRO]],PAA[[#All],[INDICADOR]],"",0))</f>
        <v>#NAME?</v>
      </c>
      <c r="V1649" s="144" t="str">
        <f t="shared" si="51"/>
        <v>85</v>
      </c>
      <c r="W1649" s="136">
        <f>+COMPROMISOS_2025[[#This Row],[valor_total]]-COMPROMISOS_2025[[#This Row],[total_cancelado]]</f>
        <v>500000</v>
      </c>
      <c r="X1649" s="136">
        <f>COMPROMISOS_2025[[#This Row],[total_ordenes]]</f>
        <v>500000</v>
      </c>
      <c r="Y1649" t="str" cm="1">
        <f t="array" aca="1" ref="Y1649" ca="1">IFERROR(_xlfn.XLOOKUP(COMPROMISOS_2025[[#This Row],[concatenado]],PAA[[#All],[RCP-RUBRO]],PAA[[#All],[Actividad3]],VLOOKUP(COMPROMISOS_2025[[#This Row],[Indicador Principal]],$AC$2:$AD$17,2,0),0),"")</f>
        <v/>
      </c>
    </row>
    <row r="1650" spans="1:25" hidden="1" x14ac:dyDescent="0.25">
      <c r="A1650">
        <v>1144</v>
      </c>
      <c r="B1650" t="s">
        <v>4164</v>
      </c>
      <c r="C1650" t="s">
        <v>1936</v>
      </c>
      <c r="D1650" t="s">
        <v>4165</v>
      </c>
      <c r="F1650">
        <v>359</v>
      </c>
      <c r="G1650">
        <v>65</v>
      </c>
      <c r="H1650" t="s">
        <v>662</v>
      </c>
      <c r="I1650" t="s">
        <v>2271</v>
      </c>
      <c r="J1650">
        <v>500000</v>
      </c>
      <c r="K1650">
        <v>2025</v>
      </c>
      <c r="L1650">
        <v>1098409608</v>
      </c>
      <c r="M1650" t="s">
        <v>4126</v>
      </c>
      <c r="N1650" t="s">
        <v>1688</v>
      </c>
      <c r="O1650" t="s">
        <v>1686</v>
      </c>
      <c r="P1650">
        <v>0</v>
      </c>
      <c r="Q1650">
        <v>500000</v>
      </c>
      <c r="R1650">
        <v>0</v>
      </c>
      <c r="S1650">
        <v>0</v>
      </c>
      <c r="T1650" t="str">
        <f t="shared" si="50"/>
        <v>11442.43.4302.85.0-205128.2.3.3.08.06.</v>
      </c>
      <c r="U1650" t="e" cm="1">
        <f t="array" aca="1" ref="U1650" ca="1">+IF(COMPROMISOS_2025[[#This Row],[P]]="20","41080111",_xlfn.XLOOKUP(COMPROMISOS_2025[[#This Row],[concatenado]],PAA[[#All],[RCP-RUBRO]],PAA[[#All],[INDICADOR]],"",0))</f>
        <v>#NAME?</v>
      </c>
      <c r="V1650" s="144" t="str">
        <f t="shared" si="51"/>
        <v>85</v>
      </c>
      <c r="W1650" s="136">
        <f>+COMPROMISOS_2025[[#This Row],[valor_total]]-COMPROMISOS_2025[[#This Row],[total_cancelado]]</f>
        <v>500000</v>
      </c>
      <c r="X1650" s="136">
        <f>COMPROMISOS_2025[[#This Row],[total_ordenes]]</f>
        <v>500000</v>
      </c>
      <c r="Y1650" t="str" cm="1">
        <f t="array" aca="1" ref="Y1650" ca="1">IFERROR(_xlfn.XLOOKUP(COMPROMISOS_2025[[#This Row],[concatenado]],PAA[[#All],[RCP-RUBRO]],PAA[[#All],[Actividad3]],VLOOKUP(COMPROMISOS_2025[[#This Row],[Indicador Principal]],$AC$2:$AD$17,2,0),0),"")</f>
        <v/>
      </c>
    </row>
    <row r="1651" spans="1:25" hidden="1" x14ac:dyDescent="0.25">
      <c r="A1651">
        <v>1145</v>
      </c>
      <c r="B1651" t="s">
        <v>4164</v>
      </c>
      <c r="C1651" t="s">
        <v>1936</v>
      </c>
      <c r="D1651" t="s">
        <v>4165</v>
      </c>
      <c r="F1651">
        <v>359</v>
      </c>
      <c r="G1651">
        <v>65</v>
      </c>
      <c r="H1651" t="s">
        <v>662</v>
      </c>
      <c r="I1651" t="s">
        <v>2271</v>
      </c>
      <c r="J1651">
        <v>800000</v>
      </c>
      <c r="K1651">
        <v>2025</v>
      </c>
      <c r="L1651">
        <v>1098631750</v>
      </c>
      <c r="M1651" t="s">
        <v>4127</v>
      </c>
      <c r="N1651" t="s">
        <v>1688</v>
      </c>
      <c r="O1651" t="s">
        <v>1686</v>
      </c>
      <c r="P1651">
        <v>0</v>
      </c>
      <c r="Q1651">
        <v>800000</v>
      </c>
      <c r="R1651">
        <v>0</v>
      </c>
      <c r="S1651">
        <v>0</v>
      </c>
      <c r="T1651" t="str">
        <f t="shared" si="50"/>
        <v>11452.43.4302.85.0-205128.2.3.3.08.06.</v>
      </c>
      <c r="U1651" t="e" cm="1">
        <f t="array" aca="1" ref="U1651" ca="1">+IF(COMPROMISOS_2025[[#This Row],[P]]="20","41080111",_xlfn.XLOOKUP(COMPROMISOS_2025[[#This Row],[concatenado]],PAA[[#All],[RCP-RUBRO]],PAA[[#All],[INDICADOR]],"",0))</f>
        <v>#NAME?</v>
      </c>
      <c r="V1651" s="144" t="str">
        <f t="shared" si="51"/>
        <v>85</v>
      </c>
      <c r="W1651" s="136">
        <f>+COMPROMISOS_2025[[#This Row],[valor_total]]-COMPROMISOS_2025[[#This Row],[total_cancelado]]</f>
        <v>800000</v>
      </c>
      <c r="X1651" s="136">
        <f>COMPROMISOS_2025[[#This Row],[total_ordenes]]</f>
        <v>800000</v>
      </c>
      <c r="Y1651" t="str" cm="1">
        <f t="array" aca="1" ref="Y1651" ca="1">IFERROR(_xlfn.XLOOKUP(COMPROMISOS_2025[[#This Row],[concatenado]],PAA[[#All],[RCP-RUBRO]],PAA[[#All],[Actividad3]],VLOOKUP(COMPROMISOS_2025[[#This Row],[Indicador Principal]],$AC$2:$AD$17,2,0),0),"")</f>
        <v/>
      </c>
    </row>
    <row r="1652" spans="1:25" hidden="1" x14ac:dyDescent="0.25">
      <c r="A1652">
        <v>1146</v>
      </c>
      <c r="B1652" t="s">
        <v>4164</v>
      </c>
      <c r="C1652" t="s">
        <v>1936</v>
      </c>
      <c r="D1652" t="s">
        <v>4165</v>
      </c>
      <c r="F1652">
        <v>359</v>
      </c>
      <c r="G1652">
        <v>65</v>
      </c>
      <c r="H1652" t="s">
        <v>662</v>
      </c>
      <c r="I1652" t="s">
        <v>2271</v>
      </c>
      <c r="J1652">
        <v>800000</v>
      </c>
      <c r="K1652">
        <v>2025</v>
      </c>
      <c r="L1652">
        <v>1102358170</v>
      </c>
      <c r="M1652" t="s">
        <v>4128</v>
      </c>
      <c r="N1652" t="s">
        <v>1688</v>
      </c>
      <c r="O1652" t="s">
        <v>1686</v>
      </c>
      <c r="P1652">
        <v>0</v>
      </c>
      <c r="Q1652">
        <v>800000</v>
      </c>
      <c r="R1652">
        <v>0</v>
      </c>
      <c r="S1652">
        <v>0</v>
      </c>
      <c r="T1652" t="str">
        <f t="shared" si="50"/>
        <v>11462.43.4302.85.0-205128.2.3.3.08.06.</v>
      </c>
      <c r="U1652" t="e" cm="1">
        <f t="array" aca="1" ref="U1652" ca="1">+IF(COMPROMISOS_2025[[#This Row],[P]]="20","41080111",_xlfn.XLOOKUP(COMPROMISOS_2025[[#This Row],[concatenado]],PAA[[#All],[RCP-RUBRO]],PAA[[#All],[INDICADOR]],"",0))</f>
        <v>#NAME?</v>
      </c>
      <c r="V1652" s="144" t="str">
        <f t="shared" si="51"/>
        <v>85</v>
      </c>
      <c r="W1652" s="136">
        <f>+COMPROMISOS_2025[[#This Row],[valor_total]]-COMPROMISOS_2025[[#This Row],[total_cancelado]]</f>
        <v>800000</v>
      </c>
      <c r="X1652" s="136">
        <f>COMPROMISOS_2025[[#This Row],[total_ordenes]]</f>
        <v>800000</v>
      </c>
      <c r="Y1652" t="str" cm="1">
        <f t="array" aca="1" ref="Y1652" ca="1">IFERROR(_xlfn.XLOOKUP(COMPROMISOS_2025[[#This Row],[concatenado]],PAA[[#All],[RCP-RUBRO]],PAA[[#All],[Actividad3]],VLOOKUP(COMPROMISOS_2025[[#This Row],[Indicador Principal]],$AC$2:$AD$17,2,0),0),"")</f>
        <v/>
      </c>
    </row>
    <row r="1653" spans="1:25" hidden="1" x14ac:dyDescent="0.25">
      <c r="A1653">
        <v>1147</v>
      </c>
      <c r="B1653" t="s">
        <v>4164</v>
      </c>
      <c r="C1653" t="s">
        <v>1936</v>
      </c>
      <c r="D1653" t="s">
        <v>4165</v>
      </c>
      <c r="F1653">
        <v>359</v>
      </c>
      <c r="G1653">
        <v>65</v>
      </c>
      <c r="H1653" t="s">
        <v>662</v>
      </c>
      <c r="I1653" t="s">
        <v>2271</v>
      </c>
      <c r="J1653">
        <v>500000</v>
      </c>
      <c r="K1653">
        <v>2025</v>
      </c>
      <c r="L1653">
        <v>1109290803</v>
      </c>
      <c r="M1653" t="s">
        <v>3871</v>
      </c>
      <c r="N1653" t="s">
        <v>1688</v>
      </c>
      <c r="O1653" t="s">
        <v>1686</v>
      </c>
      <c r="P1653">
        <v>0</v>
      </c>
      <c r="Q1653">
        <v>500000</v>
      </c>
      <c r="R1653">
        <v>0</v>
      </c>
      <c r="S1653">
        <v>0</v>
      </c>
      <c r="T1653" t="str">
        <f t="shared" si="50"/>
        <v>11472.43.4302.85.0-205128.2.3.3.08.06.</v>
      </c>
      <c r="U1653" t="e" cm="1">
        <f t="array" aca="1" ref="U1653" ca="1">+IF(COMPROMISOS_2025[[#This Row],[P]]="20","41080111",_xlfn.XLOOKUP(COMPROMISOS_2025[[#This Row],[concatenado]],PAA[[#All],[RCP-RUBRO]],PAA[[#All],[INDICADOR]],"",0))</f>
        <v>#NAME?</v>
      </c>
      <c r="V1653" s="144" t="str">
        <f t="shared" si="51"/>
        <v>85</v>
      </c>
      <c r="W1653" s="136">
        <f>+COMPROMISOS_2025[[#This Row],[valor_total]]-COMPROMISOS_2025[[#This Row],[total_cancelado]]</f>
        <v>500000</v>
      </c>
      <c r="X1653" s="136">
        <f>COMPROMISOS_2025[[#This Row],[total_ordenes]]</f>
        <v>500000</v>
      </c>
      <c r="Y1653" t="str" cm="1">
        <f t="array" aca="1" ref="Y1653" ca="1">IFERROR(_xlfn.XLOOKUP(COMPROMISOS_2025[[#This Row],[concatenado]],PAA[[#All],[RCP-RUBRO]],PAA[[#All],[Actividad3]],VLOOKUP(COMPROMISOS_2025[[#This Row],[Indicador Principal]],$AC$2:$AD$17,2,0),0),"")</f>
        <v/>
      </c>
    </row>
    <row r="1654" spans="1:25" hidden="1" x14ac:dyDescent="0.25">
      <c r="A1654">
        <v>1148</v>
      </c>
      <c r="B1654" t="s">
        <v>4164</v>
      </c>
      <c r="C1654" t="s">
        <v>1936</v>
      </c>
      <c r="D1654" t="s">
        <v>4165</v>
      </c>
      <c r="F1654">
        <v>359</v>
      </c>
      <c r="G1654">
        <v>65</v>
      </c>
      <c r="H1654" t="s">
        <v>662</v>
      </c>
      <c r="I1654" t="s">
        <v>2271</v>
      </c>
      <c r="J1654">
        <v>800000</v>
      </c>
      <c r="K1654">
        <v>2025</v>
      </c>
      <c r="L1654">
        <v>1113314645</v>
      </c>
      <c r="M1654" t="s">
        <v>4129</v>
      </c>
      <c r="N1654" t="s">
        <v>1688</v>
      </c>
      <c r="O1654" t="s">
        <v>1686</v>
      </c>
      <c r="P1654">
        <v>0</v>
      </c>
      <c r="Q1654">
        <v>800000</v>
      </c>
      <c r="R1654">
        <v>0</v>
      </c>
      <c r="S1654">
        <v>0</v>
      </c>
      <c r="T1654" t="str">
        <f t="shared" si="50"/>
        <v>11482.43.4302.85.0-205128.2.3.3.08.06.</v>
      </c>
      <c r="U1654" t="e" cm="1">
        <f t="array" aca="1" ref="U1654" ca="1">+IF(COMPROMISOS_2025[[#This Row],[P]]="20","41080111",_xlfn.XLOOKUP(COMPROMISOS_2025[[#This Row],[concatenado]],PAA[[#All],[RCP-RUBRO]],PAA[[#All],[INDICADOR]],"",0))</f>
        <v>#NAME?</v>
      </c>
      <c r="V1654" s="144" t="str">
        <f t="shared" si="51"/>
        <v>85</v>
      </c>
      <c r="W1654" s="136">
        <f>+COMPROMISOS_2025[[#This Row],[valor_total]]-COMPROMISOS_2025[[#This Row],[total_cancelado]]</f>
        <v>800000</v>
      </c>
      <c r="X1654" s="136">
        <f>COMPROMISOS_2025[[#This Row],[total_ordenes]]</f>
        <v>800000</v>
      </c>
      <c r="Y1654" t="str" cm="1">
        <f t="array" aca="1" ref="Y1654" ca="1">IFERROR(_xlfn.XLOOKUP(COMPROMISOS_2025[[#This Row],[concatenado]],PAA[[#All],[RCP-RUBRO]],PAA[[#All],[Actividad3]],VLOOKUP(COMPROMISOS_2025[[#This Row],[Indicador Principal]],$AC$2:$AD$17,2,0),0),"")</f>
        <v/>
      </c>
    </row>
    <row r="1655" spans="1:25" hidden="1" x14ac:dyDescent="0.25">
      <c r="A1655">
        <v>1149</v>
      </c>
      <c r="B1655" t="s">
        <v>4164</v>
      </c>
      <c r="C1655" t="s">
        <v>1936</v>
      </c>
      <c r="D1655" t="s">
        <v>4165</v>
      </c>
      <c r="F1655">
        <v>359</v>
      </c>
      <c r="G1655">
        <v>65</v>
      </c>
      <c r="H1655" t="s">
        <v>662</v>
      </c>
      <c r="I1655" t="s">
        <v>2271</v>
      </c>
      <c r="J1655">
        <v>500000</v>
      </c>
      <c r="K1655">
        <v>2025</v>
      </c>
      <c r="L1655">
        <v>1114092848</v>
      </c>
      <c r="M1655" t="s">
        <v>4130</v>
      </c>
      <c r="N1655" t="s">
        <v>1688</v>
      </c>
      <c r="O1655" t="s">
        <v>1686</v>
      </c>
      <c r="P1655">
        <v>0</v>
      </c>
      <c r="Q1655">
        <v>500000</v>
      </c>
      <c r="R1655">
        <v>0</v>
      </c>
      <c r="S1655">
        <v>0</v>
      </c>
      <c r="T1655" t="str">
        <f t="shared" si="50"/>
        <v>11492.43.4302.85.0-205128.2.3.3.08.06.</v>
      </c>
      <c r="U1655" t="e" cm="1">
        <f t="array" aca="1" ref="U1655" ca="1">+IF(COMPROMISOS_2025[[#This Row],[P]]="20","41080111",_xlfn.XLOOKUP(COMPROMISOS_2025[[#This Row],[concatenado]],PAA[[#All],[RCP-RUBRO]],PAA[[#All],[INDICADOR]],"",0))</f>
        <v>#NAME?</v>
      </c>
      <c r="V1655" s="144" t="str">
        <f t="shared" si="51"/>
        <v>85</v>
      </c>
      <c r="W1655" s="136">
        <f>+COMPROMISOS_2025[[#This Row],[valor_total]]-COMPROMISOS_2025[[#This Row],[total_cancelado]]</f>
        <v>500000</v>
      </c>
      <c r="X1655" s="136">
        <f>COMPROMISOS_2025[[#This Row],[total_ordenes]]</f>
        <v>500000</v>
      </c>
      <c r="Y1655" t="str" cm="1">
        <f t="array" aca="1" ref="Y1655" ca="1">IFERROR(_xlfn.XLOOKUP(COMPROMISOS_2025[[#This Row],[concatenado]],PAA[[#All],[RCP-RUBRO]],PAA[[#All],[Actividad3]],VLOOKUP(COMPROMISOS_2025[[#This Row],[Indicador Principal]],$AC$2:$AD$17,2,0),0),"")</f>
        <v/>
      </c>
    </row>
    <row r="1656" spans="1:25" hidden="1" x14ac:dyDescent="0.25">
      <c r="A1656">
        <v>1150</v>
      </c>
      <c r="B1656" t="s">
        <v>4164</v>
      </c>
      <c r="C1656" t="s">
        <v>1936</v>
      </c>
      <c r="D1656" t="s">
        <v>4165</v>
      </c>
      <c r="F1656">
        <v>359</v>
      </c>
      <c r="G1656">
        <v>65</v>
      </c>
      <c r="H1656" t="s">
        <v>662</v>
      </c>
      <c r="I1656" t="s">
        <v>2271</v>
      </c>
      <c r="J1656">
        <v>500000</v>
      </c>
      <c r="K1656">
        <v>2025</v>
      </c>
      <c r="L1656">
        <v>1114154008</v>
      </c>
      <c r="M1656" t="s">
        <v>3875</v>
      </c>
      <c r="N1656" t="s">
        <v>1688</v>
      </c>
      <c r="O1656" t="s">
        <v>1686</v>
      </c>
      <c r="P1656">
        <v>0</v>
      </c>
      <c r="Q1656">
        <v>500000</v>
      </c>
      <c r="R1656">
        <v>0</v>
      </c>
      <c r="S1656">
        <v>0</v>
      </c>
      <c r="T1656" t="str">
        <f t="shared" si="50"/>
        <v>11502.43.4302.85.0-205128.2.3.3.08.06.</v>
      </c>
      <c r="U1656" t="e" cm="1">
        <f t="array" aca="1" ref="U1656" ca="1">+IF(COMPROMISOS_2025[[#This Row],[P]]="20","41080111",_xlfn.XLOOKUP(COMPROMISOS_2025[[#This Row],[concatenado]],PAA[[#All],[RCP-RUBRO]],PAA[[#All],[INDICADOR]],"",0))</f>
        <v>#NAME?</v>
      </c>
      <c r="V1656" s="144" t="str">
        <f t="shared" si="51"/>
        <v>85</v>
      </c>
      <c r="W1656" s="136">
        <f>+COMPROMISOS_2025[[#This Row],[valor_total]]-COMPROMISOS_2025[[#This Row],[total_cancelado]]</f>
        <v>500000</v>
      </c>
      <c r="X1656" s="136">
        <f>COMPROMISOS_2025[[#This Row],[total_ordenes]]</f>
        <v>500000</v>
      </c>
      <c r="Y1656" t="str" cm="1">
        <f t="array" aca="1" ref="Y1656" ca="1">IFERROR(_xlfn.XLOOKUP(COMPROMISOS_2025[[#This Row],[concatenado]],PAA[[#All],[RCP-RUBRO]],PAA[[#All],[Actividad3]],VLOOKUP(COMPROMISOS_2025[[#This Row],[Indicador Principal]],$AC$2:$AD$17,2,0),0),"")</f>
        <v/>
      </c>
    </row>
    <row r="1657" spans="1:25" hidden="1" x14ac:dyDescent="0.25">
      <c r="A1657">
        <v>1151</v>
      </c>
      <c r="B1657" t="s">
        <v>4164</v>
      </c>
      <c r="C1657" t="s">
        <v>1936</v>
      </c>
      <c r="D1657" t="s">
        <v>4165</v>
      </c>
      <c r="F1657">
        <v>359</v>
      </c>
      <c r="G1657">
        <v>65</v>
      </c>
      <c r="H1657" t="s">
        <v>662</v>
      </c>
      <c r="I1657" t="s">
        <v>2271</v>
      </c>
      <c r="J1657">
        <v>500000</v>
      </c>
      <c r="K1657">
        <v>2025</v>
      </c>
      <c r="L1657">
        <v>1115094317</v>
      </c>
      <c r="M1657" t="s">
        <v>4131</v>
      </c>
      <c r="N1657" t="s">
        <v>1688</v>
      </c>
      <c r="O1657" t="s">
        <v>1686</v>
      </c>
      <c r="P1657">
        <v>0</v>
      </c>
      <c r="Q1657">
        <v>500000</v>
      </c>
      <c r="R1657">
        <v>0</v>
      </c>
      <c r="S1657">
        <v>0</v>
      </c>
      <c r="T1657" t="str">
        <f t="shared" si="50"/>
        <v>11512.43.4302.85.0-205128.2.3.3.08.06.</v>
      </c>
      <c r="U1657" t="e" cm="1">
        <f t="array" aca="1" ref="U1657" ca="1">+IF(COMPROMISOS_2025[[#This Row],[P]]="20","41080111",_xlfn.XLOOKUP(COMPROMISOS_2025[[#This Row],[concatenado]],PAA[[#All],[RCP-RUBRO]],PAA[[#All],[INDICADOR]],"",0))</f>
        <v>#NAME?</v>
      </c>
      <c r="V1657" s="144" t="str">
        <f t="shared" si="51"/>
        <v>85</v>
      </c>
      <c r="W1657" s="136">
        <f>+COMPROMISOS_2025[[#This Row],[valor_total]]-COMPROMISOS_2025[[#This Row],[total_cancelado]]</f>
        <v>500000</v>
      </c>
      <c r="X1657" s="136">
        <f>COMPROMISOS_2025[[#This Row],[total_ordenes]]</f>
        <v>500000</v>
      </c>
      <c r="Y1657" t="str" cm="1">
        <f t="array" aca="1" ref="Y1657" ca="1">IFERROR(_xlfn.XLOOKUP(COMPROMISOS_2025[[#This Row],[concatenado]],PAA[[#All],[RCP-RUBRO]],PAA[[#All],[Actividad3]],VLOOKUP(COMPROMISOS_2025[[#This Row],[Indicador Principal]],$AC$2:$AD$17,2,0),0),"")</f>
        <v/>
      </c>
    </row>
    <row r="1658" spans="1:25" hidden="1" x14ac:dyDescent="0.25">
      <c r="A1658">
        <v>1152</v>
      </c>
      <c r="B1658" t="s">
        <v>4164</v>
      </c>
      <c r="C1658" t="s">
        <v>1936</v>
      </c>
      <c r="D1658" t="s">
        <v>4165</v>
      </c>
      <c r="F1658">
        <v>359</v>
      </c>
      <c r="G1658">
        <v>65</v>
      </c>
      <c r="H1658" t="s">
        <v>662</v>
      </c>
      <c r="I1658" t="s">
        <v>2271</v>
      </c>
      <c r="J1658">
        <v>500000</v>
      </c>
      <c r="K1658">
        <v>2025</v>
      </c>
      <c r="L1658">
        <v>1126430818</v>
      </c>
      <c r="M1658" t="s">
        <v>4132</v>
      </c>
      <c r="N1658" t="s">
        <v>1688</v>
      </c>
      <c r="O1658" t="s">
        <v>1686</v>
      </c>
      <c r="P1658">
        <v>0</v>
      </c>
      <c r="Q1658">
        <v>500000</v>
      </c>
      <c r="R1658">
        <v>0</v>
      </c>
      <c r="S1658">
        <v>0</v>
      </c>
      <c r="T1658" t="str">
        <f t="shared" si="50"/>
        <v>11522.43.4302.85.0-205128.2.3.3.08.06.</v>
      </c>
      <c r="U1658" t="e" cm="1">
        <f t="array" aca="1" ref="U1658" ca="1">+IF(COMPROMISOS_2025[[#This Row],[P]]="20","41080111",_xlfn.XLOOKUP(COMPROMISOS_2025[[#This Row],[concatenado]],PAA[[#All],[RCP-RUBRO]],PAA[[#All],[INDICADOR]],"",0))</f>
        <v>#NAME?</v>
      </c>
      <c r="V1658" s="144" t="str">
        <f t="shared" si="51"/>
        <v>85</v>
      </c>
      <c r="W1658" s="136">
        <f>+COMPROMISOS_2025[[#This Row],[valor_total]]-COMPROMISOS_2025[[#This Row],[total_cancelado]]</f>
        <v>500000</v>
      </c>
      <c r="X1658" s="136">
        <f>COMPROMISOS_2025[[#This Row],[total_ordenes]]</f>
        <v>500000</v>
      </c>
      <c r="Y1658" t="str" cm="1">
        <f t="array" aca="1" ref="Y1658" ca="1">IFERROR(_xlfn.XLOOKUP(COMPROMISOS_2025[[#This Row],[concatenado]],PAA[[#All],[RCP-RUBRO]],PAA[[#All],[Actividad3]],VLOOKUP(COMPROMISOS_2025[[#This Row],[Indicador Principal]],$AC$2:$AD$17,2,0),0),"")</f>
        <v/>
      </c>
    </row>
    <row r="1659" spans="1:25" hidden="1" x14ac:dyDescent="0.25">
      <c r="A1659">
        <v>1153</v>
      </c>
      <c r="B1659" t="s">
        <v>4164</v>
      </c>
      <c r="C1659" t="s">
        <v>1936</v>
      </c>
      <c r="D1659" t="s">
        <v>4165</v>
      </c>
      <c r="F1659">
        <v>359</v>
      </c>
      <c r="G1659">
        <v>65</v>
      </c>
      <c r="H1659" t="s">
        <v>662</v>
      </c>
      <c r="I1659" t="s">
        <v>2271</v>
      </c>
      <c r="J1659">
        <v>500000</v>
      </c>
      <c r="K1659">
        <v>2025</v>
      </c>
      <c r="L1659">
        <v>1126595546</v>
      </c>
      <c r="M1659" t="s">
        <v>4133</v>
      </c>
      <c r="N1659" t="s">
        <v>1688</v>
      </c>
      <c r="O1659" t="s">
        <v>1686</v>
      </c>
      <c r="P1659">
        <v>0</v>
      </c>
      <c r="Q1659">
        <v>500000</v>
      </c>
      <c r="R1659">
        <v>0</v>
      </c>
      <c r="S1659">
        <v>0</v>
      </c>
      <c r="T1659" t="str">
        <f t="shared" si="50"/>
        <v>11532.43.4302.85.0-205128.2.3.3.08.06.</v>
      </c>
      <c r="U1659" t="e" cm="1">
        <f t="array" aca="1" ref="U1659" ca="1">+IF(COMPROMISOS_2025[[#This Row],[P]]="20","41080111",_xlfn.XLOOKUP(COMPROMISOS_2025[[#This Row],[concatenado]],PAA[[#All],[RCP-RUBRO]],PAA[[#All],[INDICADOR]],"",0))</f>
        <v>#NAME?</v>
      </c>
      <c r="V1659" s="144" t="str">
        <f t="shared" si="51"/>
        <v>85</v>
      </c>
      <c r="W1659" s="136">
        <f>+COMPROMISOS_2025[[#This Row],[valor_total]]-COMPROMISOS_2025[[#This Row],[total_cancelado]]</f>
        <v>500000</v>
      </c>
      <c r="X1659" s="136">
        <f>COMPROMISOS_2025[[#This Row],[total_ordenes]]</f>
        <v>500000</v>
      </c>
      <c r="Y1659" t="str" cm="1">
        <f t="array" aca="1" ref="Y1659" ca="1">IFERROR(_xlfn.XLOOKUP(COMPROMISOS_2025[[#This Row],[concatenado]],PAA[[#All],[RCP-RUBRO]],PAA[[#All],[Actividad3]],VLOOKUP(COMPROMISOS_2025[[#This Row],[Indicador Principal]],$AC$2:$AD$17,2,0),0),"")</f>
        <v/>
      </c>
    </row>
    <row r="1660" spans="1:25" hidden="1" x14ac:dyDescent="0.25">
      <c r="A1660">
        <v>1154</v>
      </c>
      <c r="B1660" t="s">
        <v>4164</v>
      </c>
      <c r="C1660" t="s">
        <v>1936</v>
      </c>
      <c r="D1660" t="s">
        <v>4165</v>
      </c>
      <c r="F1660">
        <v>359</v>
      </c>
      <c r="G1660">
        <v>65</v>
      </c>
      <c r="H1660" t="s">
        <v>662</v>
      </c>
      <c r="I1660" t="s">
        <v>2271</v>
      </c>
      <c r="J1660">
        <v>500000</v>
      </c>
      <c r="K1660">
        <v>2025</v>
      </c>
      <c r="L1660">
        <v>1126984686</v>
      </c>
      <c r="M1660" t="s">
        <v>4134</v>
      </c>
      <c r="N1660" t="s">
        <v>1688</v>
      </c>
      <c r="O1660" t="s">
        <v>1686</v>
      </c>
      <c r="P1660">
        <v>0</v>
      </c>
      <c r="Q1660">
        <v>500000</v>
      </c>
      <c r="R1660">
        <v>0</v>
      </c>
      <c r="S1660">
        <v>0</v>
      </c>
      <c r="T1660" t="str">
        <f t="shared" si="50"/>
        <v>11542.43.4302.85.0-205128.2.3.3.08.06.</v>
      </c>
      <c r="U1660" t="e" cm="1">
        <f t="array" aca="1" ref="U1660" ca="1">+IF(COMPROMISOS_2025[[#This Row],[P]]="20","41080111",_xlfn.XLOOKUP(COMPROMISOS_2025[[#This Row],[concatenado]],PAA[[#All],[RCP-RUBRO]],PAA[[#All],[INDICADOR]],"",0))</f>
        <v>#NAME?</v>
      </c>
      <c r="V1660" s="144" t="str">
        <f t="shared" si="51"/>
        <v>85</v>
      </c>
      <c r="W1660" s="136">
        <f>+COMPROMISOS_2025[[#This Row],[valor_total]]-COMPROMISOS_2025[[#This Row],[total_cancelado]]</f>
        <v>500000</v>
      </c>
      <c r="X1660" s="136">
        <f>COMPROMISOS_2025[[#This Row],[total_ordenes]]</f>
        <v>500000</v>
      </c>
      <c r="Y1660" t="str" cm="1">
        <f t="array" aca="1" ref="Y1660" ca="1">IFERROR(_xlfn.XLOOKUP(COMPROMISOS_2025[[#This Row],[concatenado]],PAA[[#All],[RCP-RUBRO]],PAA[[#All],[Actividad3]],VLOOKUP(COMPROMISOS_2025[[#This Row],[Indicador Principal]],$AC$2:$AD$17,2,0),0),"")</f>
        <v/>
      </c>
    </row>
    <row r="1661" spans="1:25" hidden="1" x14ac:dyDescent="0.25">
      <c r="A1661">
        <v>1155</v>
      </c>
      <c r="B1661" t="s">
        <v>4164</v>
      </c>
      <c r="C1661" t="s">
        <v>1936</v>
      </c>
      <c r="D1661" t="s">
        <v>4165</v>
      </c>
      <c r="F1661">
        <v>359</v>
      </c>
      <c r="G1661">
        <v>65</v>
      </c>
      <c r="H1661" t="s">
        <v>662</v>
      </c>
      <c r="I1661" t="s">
        <v>2271</v>
      </c>
      <c r="J1661">
        <v>500000</v>
      </c>
      <c r="K1661">
        <v>2025</v>
      </c>
      <c r="L1661">
        <v>1128388707</v>
      </c>
      <c r="M1661" t="s">
        <v>4135</v>
      </c>
      <c r="N1661" t="s">
        <v>1688</v>
      </c>
      <c r="O1661" t="s">
        <v>1686</v>
      </c>
      <c r="P1661">
        <v>0</v>
      </c>
      <c r="Q1661">
        <v>500000</v>
      </c>
      <c r="R1661">
        <v>0</v>
      </c>
      <c r="S1661">
        <v>0</v>
      </c>
      <c r="T1661" t="str">
        <f t="shared" si="50"/>
        <v>11552.43.4302.85.0-205128.2.3.3.08.06.</v>
      </c>
      <c r="U1661" t="e" cm="1">
        <f t="array" aca="1" ref="U1661" ca="1">+IF(COMPROMISOS_2025[[#This Row],[P]]="20","41080111",_xlfn.XLOOKUP(COMPROMISOS_2025[[#This Row],[concatenado]],PAA[[#All],[RCP-RUBRO]],PAA[[#All],[INDICADOR]],"",0))</f>
        <v>#NAME?</v>
      </c>
      <c r="V1661" s="144" t="str">
        <f t="shared" si="51"/>
        <v>85</v>
      </c>
      <c r="W1661" s="136">
        <f>+COMPROMISOS_2025[[#This Row],[valor_total]]-COMPROMISOS_2025[[#This Row],[total_cancelado]]</f>
        <v>500000</v>
      </c>
      <c r="X1661" s="136">
        <f>COMPROMISOS_2025[[#This Row],[total_ordenes]]</f>
        <v>500000</v>
      </c>
      <c r="Y1661" t="str" cm="1">
        <f t="array" aca="1" ref="Y1661" ca="1">IFERROR(_xlfn.XLOOKUP(COMPROMISOS_2025[[#This Row],[concatenado]],PAA[[#All],[RCP-RUBRO]],PAA[[#All],[Actividad3]],VLOOKUP(COMPROMISOS_2025[[#This Row],[Indicador Principal]],$AC$2:$AD$17,2,0),0),"")</f>
        <v/>
      </c>
    </row>
    <row r="1662" spans="1:25" hidden="1" x14ac:dyDescent="0.25">
      <c r="A1662">
        <v>1156</v>
      </c>
      <c r="B1662" t="s">
        <v>4164</v>
      </c>
      <c r="C1662" t="s">
        <v>1936</v>
      </c>
      <c r="D1662" t="s">
        <v>4165</v>
      </c>
      <c r="F1662">
        <v>359</v>
      </c>
      <c r="G1662">
        <v>65</v>
      </c>
      <c r="H1662" t="s">
        <v>662</v>
      </c>
      <c r="I1662" t="s">
        <v>2271</v>
      </c>
      <c r="J1662">
        <v>800000</v>
      </c>
      <c r="K1662">
        <v>2025</v>
      </c>
      <c r="L1662">
        <v>1128416502</v>
      </c>
      <c r="M1662" t="s">
        <v>4136</v>
      </c>
      <c r="N1662" t="s">
        <v>1688</v>
      </c>
      <c r="O1662" t="s">
        <v>1686</v>
      </c>
      <c r="P1662">
        <v>0</v>
      </c>
      <c r="Q1662">
        <v>800000</v>
      </c>
      <c r="R1662">
        <v>0</v>
      </c>
      <c r="S1662">
        <v>0</v>
      </c>
      <c r="T1662" t="str">
        <f t="shared" si="50"/>
        <v>11562.43.4302.85.0-205128.2.3.3.08.06.</v>
      </c>
      <c r="U1662" t="e" cm="1">
        <f t="array" aca="1" ref="U1662" ca="1">+IF(COMPROMISOS_2025[[#This Row],[P]]="20","41080111",_xlfn.XLOOKUP(COMPROMISOS_2025[[#This Row],[concatenado]],PAA[[#All],[RCP-RUBRO]],PAA[[#All],[INDICADOR]],"",0))</f>
        <v>#NAME?</v>
      </c>
      <c r="V1662" s="144" t="str">
        <f t="shared" si="51"/>
        <v>85</v>
      </c>
      <c r="W1662" s="136">
        <f>+COMPROMISOS_2025[[#This Row],[valor_total]]-COMPROMISOS_2025[[#This Row],[total_cancelado]]</f>
        <v>800000</v>
      </c>
      <c r="X1662" s="136">
        <f>COMPROMISOS_2025[[#This Row],[total_ordenes]]</f>
        <v>800000</v>
      </c>
      <c r="Y1662" t="str" cm="1">
        <f t="array" aca="1" ref="Y1662" ca="1">IFERROR(_xlfn.XLOOKUP(COMPROMISOS_2025[[#This Row],[concatenado]],PAA[[#All],[RCP-RUBRO]],PAA[[#All],[Actividad3]],VLOOKUP(COMPROMISOS_2025[[#This Row],[Indicador Principal]],$AC$2:$AD$17,2,0),0),"")</f>
        <v/>
      </c>
    </row>
    <row r="1663" spans="1:25" hidden="1" x14ac:dyDescent="0.25">
      <c r="A1663">
        <v>1157</v>
      </c>
      <c r="B1663" t="s">
        <v>4164</v>
      </c>
      <c r="C1663" t="s">
        <v>1936</v>
      </c>
      <c r="D1663" t="s">
        <v>4165</v>
      </c>
      <c r="F1663">
        <v>359</v>
      </c>
      <c r="G1663">
        <v>65</v>
      </c>
      <c r="H1663" t="s">
        <v>662</v>
      </c>
      <c r="I1663" t="s">
        <v>2271</v>
      </c>
      <c r="J1663">
        <v>500000</v>
      </c>
      <c r="K1663">
        <v>2025</v>
      </c>
      <c r="L1663">
        <v>1128433819</v>
      </c>
      <c r="M1663" t="s">
        <v>4137</v>
      </c>
      <c r="N1663" t="s">
        <v>1688</v>
      </c>
      <c r="O1663" t="s">
        <v>1686</v>
      </c>
      <c r="P1663">
        <v>0</v>
      </c>
      <c r="Q1663">
        <v>500000</v>
      </c>
      <c r="R1663">
        <v>0</v>
      </c>
      <c r="S1663">
        <v>0</v>
      </c>
      <c r="T1663" t="str">
        <f t="shared" si="50"/>
        <v>11572.43.4302.85.0-205128.2.3.3.08.06.</v>
      </c>
      <c r="U1663" t="e" cm="1">
        <f t="array" aca="1" ref="U1663" ca="1">+IF(COMPROMISOS_2025[[#This Row],[P]]="20","41080111",_xlfn.XLOOKUP(COMPROMISOS_2025[[#This Row],[concatenado]],PAA[[#All],[RCP-RUBRO]],PAA[[#All],[INDICADOR]],"",0))</f>
        <v>#NAME?</v>
      </c>
      <c r="V1663" s="144" t="str">
        <f t="shared" si="51"/>
        <v>85</v>
      </c>
      <c r="W1663" s="136">
        <f>+COMPROMISOS_2025[[#This Row],[valor_total]]-COMPROMISOS_2025[[#This Row],[total_cancelado]]</f>
        <v>500000</v>
      </c>
      <c r="X1663" s="136">
        <f>COMPROMISOS_2025[[#This Row],[total_ordenes]]</f>
        <v>500000</v>
      </c>
      <c r="Y1663" t="str" cm="1">
        <f t="array" aca="1" ref="Y1663" ca="1">IFERROR(_xlfn.XLOOKUP(COMPROMISOS_2025[[#This Row],[concatenado]],PAA[[#All],[RCP-RUBRO]],PAA[[#All],[Actividad3]],VLOOKUP(COMPROMISOS_2025[[#This Row],[Indicador Principal]],$AC$2:$AD$17,2,0),0),"")</f>
        <v/>
      </c>
    </row>
    <row r="1664" spans="1:25" hidden="1" x14ac:dyDescent="0.25">
      <c r="A1664">
        <v>1158</v>
      </c>
      <c r="B1664" t="s">
        <v>4164</v>
      </c>
      <c r="C1664" t="s">
        <v>1936</v>
      </c>
      <c r="D1664" t="s">
        <v>4165</v>
      </c>
      <c r="F1664">
        <v>359</v>
      </c>
      <c r="G1664">
        <v>65</v>
      </c>
      <c r="H1664" t="s">
        <v>662</v>
      </c>
      <c r="I1664" t="s">
        <v>2271</v>
      </c>
      <c r="J1664">
        <v>500000</v>
      </c>
      <c r="K1664">
        <v>2025</v>
      </c>
      <c r="L1664">
        <v>1128436270</v>
      </c>
      <c r="M1664" t="s">
        <v>4138</v>
      </c>
      <c r="N1664" t="s">
        <v>1688</v>
      </c>
      <c r="O1664" t="s">
        <v>1686</v>
      </c>
      <c r="P1664">
        <v>0</v>
      </c>
      <c r="Q1664">
        <v>500000</v>
      </c>
      <c r="R1664">
        <v>0</v>
      </c>
      <c r="S1664">
        <v>0</v>
      </c>
      <c r="T1664" t="str">
        <f t="shared" si="50"/>
        <v>11582.43.4302.85.0-205128.2.3.3.08.06.</v>
      </c>
      <c r="U1664" t="e" cm="1">
        <f t="array" aca="1" ref="U1664" ca="1">+IF(COMPROMISOS_2025[[#This Row],[P]]="20","41080111",_xlfn.XLOOKUP(COMPROMISOS_2025[[#This Row],[concatenado]],PAA[[#All],[RCP-RUBRO]],PAA[[#All],[INDICADOR]],"",0))</f>
        <v>#NAME?</v>
      </c>
      <c r="V1664" s="144" t="str">
        <f t="shared" si="51"/>
        <v>85</v>
      </c>
      <c r="W1664" s="136">
        <f>+COMPROMISOS_2025[[#This Row],[valor_total]]-COMPROMISOS_2025[[#This Row],[total_cancelado]]</f>
        <v>500000</v>
      </c>
      <c r="X1664" s="136">
        <f>COMPROMISOS_2025[[#This Row],[total_ordenes]]</f>
        <v>500000</v>
      </c>
      <c r="Y1664" t="str" cm="1">
        <f t="array" aca="1" ref="Y1664" ca="1">IFERROR(_xlfn.XLOOKUP(COMPROMISOS_2025[[#This Row],[concatenado]],PAA[[#All],[RCP-RUBRO]],PAA[[#All],[Actividad3]],VLOOKUP(COMPROMISOS_2025[[#This Row],[Indicador Principal]],$AC$2:$AD$17,2,0),0),"")</f>
        <v/>
      </c>
    </row>
    <row r="1665" spans="1:25" hidden="1" x14ac:dyDescent="0.25">
      <c r="A1665">
        <v>1159</v>
      </c>
      <c r="B1665" t="s">
        <v>4164</v>
      </c>
      <c r="C1665" t="s">
        <v>1936</v>
      </c>
      <c r="D1665" t="s">
        <v>4165</v>
      </c>
      <c r="F1665">
        <v>359</v>
      </c>
      <c r="G1665">
        <v>65</v>
      </c>
      <c r="H1665" t="s">
        <v>662</v>
      </c>
      <c r="I1665" t="s">
        <v>2271</v>
      </c>
      <c r="J1665">
        <v>500000</v>
      </c>
      <c r="K1665">
        <v>2025</v>
      </c>
      <c r="L1665">
        <v>1128436361</v>
      </c>
      <c r="M1665" t="s">
        <v>4139</v>
      </c>
      <c r="N1665" t="s">
        <v>1688</v>
      </c>
      <c r="O1665" t="s">
        <v>1686</v>
      </c>
      <c r="P1665">
        <v>0</v>
      </c>
      <c r="Q1665">
        <v>500000</v>
      </c>
      <c r="R1665">
        <v>0</v>
      </c>
      <c r="S1665">
        <v>0</v>
      </c>
      <c r="T1665" t="str">
        <f t="shared" si="50"/>
        <v>11592.43.4302.85.0-205128.2.3.3.08.06.</v>
      </c>
      <c r="U1665" t="e" cm="1">
        <f t="array" aca="1" ref="U1665" ca="1">+IF(COMPROMISOS_2025[[#This Row],[P]]="20","41080111",_xlfn.XLOOKUP(COMPROMISOS_2025[[#This Row],[concatenado]],PAA[[#All],[RCP-RUBRO]],PAA[[#All],[INDICADOR]],"",0))</f>
        <v>#NAME?</v>
      </c>
      <c r="V1665" s="144" t="str">
        <f t="shared" si="51"/>
        <v>85</v>
      </c>
      <c r="W1665" s="136">
        <f>+COMPROMISOS_2025[[#This Row],[valor_total]]-COMPROMISOS_2025[[#This Row],[total_cancelado]]</f>
        <v>500000</v>
      </c>
      <c r="X1665" s="136">
        <f>COMPROMISOS_2025[[#This Row],[total_ordenes]]</f>
        <v>500000</v>
      </c>
      <c r="Y1665" t="str" cm="1">
        <f t="array" aca="1" ref="Y1665" ca="1">IFERROR(_xlfn.XLOOKUP(COMPROMISOS_2025[[#This Row],[concatenado]],PAA[[#All],[RCP-RUBRO]],PAA[[#All],[Actividad3]],VLOOKUP(COMPROMISOS_2025[[#This Row],[Indicador Principal]],$AC$2:$AD$17,2,0),0),"")</f>
        <v/>
      </c>
    </row>
    <row r="1666" spans="1:25" hidden="1" x14ac:dyDescent="0.25">
      <c r="A1666">
        <v>1160</v>
      </c>
      <c r="B1666" t="s">
        <v>4164</v>
      </c>
      <c r="C1666" t="s">
        <v>1936</v>
      </c>
      <c r="D1666" t="s">
        <v>4165</v>
      </c>
      <c r="F1666">
        <v>359</v>
      </c>
      <c r="G1666">
        <v>65</v>
      </c>
      <c r="H1666" t="s">
        <v>662</v>
      </c>
      <c r="I1666" t="s">
        <v>2271</v>
      </c>
      <c r="J1666">
        <v>1300000</v>
      </c>
      <c r="K1666">
        <v>2025</v>
      </c>
      <c r="L1666">
        <v>1128458818</v>
      </c>
      <c r="M1666" t="s">
        <v>4140</v>
      </c>
      <c r="N1666" t="s">
        <v>1688</v>
      </c>
      <c r="O1666" t="s">
        <v>1686</v>
      </c>
      <c r="P1666">
        <v>0</v>
      </c>
      <c r="Q1666">
        <v>1300000</v>
      </c>
      <c r="R1666">
        <v>0</v>
      </c>
      <c r="S1666">
        <v>0</v>
      </c>
      <c r="T1666" t="str">
        <f t="shared" ref="T1666:T1729" si="52">IF(A1666&gt;=0,CONCATENATE(A1666,H1666),"")</f>
        <v>11602.43.4302.85.0-205128.2.3.3.08.06.</v>
      </c>
      <c r="U1666" t="e" cm="1">
        <f t="array" aca="1" ref="U1666" ca="1">+IF(COMPROMISOS_2025[[#This Row],[P]]="20","41080111",_xlfn.XLOOKUP(COMPROMISOS_2025[[#This Row],[concatenado]],PAA[[#All],[RCP-RUBRO]],PAA[[#All],[INDICADOR]],"",0))</f>
        <v>#NAME?</v>
      </c>
      <c r="V1666" s="144" t="str">
        <f t="shared" ref="V1666:V1729" si="53">+MID(H1666,11,2)</f>
        <v>85</v>
      </c>
      <c r="W1666" s="136">
        <f>+COMPROMISOS_2025[[#This Row],[valor_total]]-COMPROMISOS_2025[[#This Row],[total_cancelado]]</f>
        <v>1300000</v>
      </c>
      <c r="X1666" s="136">
        <f>COMPROMISOS_2025[[#This Row],[total_ordenes]]</f>
        <v>1300000</v>
      </c>
      <c r="Y1666" t="str" cm="1">
        <f t="array" aca="1" ref="Y1666" ca="1">IFERROR(_xlfn.XLOOKUP(COMPROMISOS_2025[[#This Row],[concatenado]],PAA[[#All],[RCP-RUBRO]],PAA[[#All],[Actividad3]],VLOOKUP(COMPROMISOS_2025[[#This Row],[Indicador Principal]],$AC$2:$AD$17,2,0),0),"")</f>
        <v/>
      </c>
    </row>
    <row r="1667" spans="1:25" hidden="1" x14ac:dyDescent="0.25">
      <c r="A1667">
        <v>1161</v>
      </c>
      <c r="B1667" t="s">
        <v>4164</v>
      </c>
      <c r="C1667" t="s">
        <v>1936</v>
      </c>
      <c r="D1667" t="s">
        <v>4165</v>
      </c>
      <c r="F1667">
        <v>359</v>
      </c>
      <c r="G1667">
        <v>65</v>
      </c>
      <c r="H1667" t="s">
        <v>662</v>
      </c>
      <c r="I1667" t="s">
        <v>2271</v>
      </c>
      <c r="J1667">
        <v>500000</v>
      </c>
      <c r="K1667">
        <v>2025</v>
      </c>
      <c r="L1667">
        <v>1129044029</v>
      </c>
      <c r="M1667" t="s">
        <v>4180</v>
      </c>
      <c r="N1667" t="s">
        <v>1688</v>
      </c>
      <c r="O1667" t="s">
        <v>1686</v>
      </c>
      <c r="P1667">
        <v>0</v>
      </c>
      <c r="Q1667">
        <v>500000</v>
      </c>
      <c r="R1667">
        <v>0</v>
      </c>
      <c r="S1667">
        <v>0</v>
      </c>
      <c r="T1667" t="str">
        <f t="shared" si="52"/>
        <v>11612.43.4302.85.0-205128.2.3.3.08.06.</v>
      </c>
      <c r="U1667" t="e" cm="1">
        <f t="array" aca="1" ref="U1667" ca="1">+IF(COMPROMISOS_2025[[#This Row],[P]]="20","41080111",_xlfn.XLOOKUP(COMPROMISOS_2025[[#This Row],[concatenado]],PAA[[#All],[RCP-RUBRO]],PAA[[#All],[INDICADOR]],"",0))</f>
        <v>#NAME?</v>
      </c>
      <c r="V1667" s="144" t="str">
        <f t="shared" si="53"/>
        <v>85</v>
      </c>
      <c r="W1667" s="136">
        <f>+COMPROMISOS_2025[[#This Row],[valor_total]]-COMPROMISOS_2025[[#This Row],[total_cancelado]]</f>
        <v>500000</v>
      </c>
      <c r="X1667" s="136">
        <f>COMPROMISOS_2025[[#This Row],[total_ordenes]]</f>
        <v>500000</v>
      </c>
      <c r="Y1667" t="str" cm="1">
        <f t="array" aca="1" ref="Y1667" ca="1">IFERROR(_xlfn.XLOOKUP(COMPROMISOS_2025[[#This Row],[concatenado]],PAA[[#All],[RCP-RUBRO]],PAA[[#All],[Actividad3]],VLOOKUP(COMPROMISOS_2025[[#This Row],[Indicador Principal]],$AC$2:$AD$17,2,0),0),"")</f>
        <v/>
      </c>
    </row>
    <row r="1668" spans="1:25" hidden="1" x14ac:dyDescent="0.25">
      <c r="A1668">
        <v>1162</v>
      </c>
      <c r="B1668" t="s">
        <v>4164</v>
      </c>
      <c r="C1668" t="s">
        <v>1936</v>
      </c>
      <c r="D1668" t="s">
        <v>4165</v>
      </c>
      <c r="F1668">
        <v>359</v>
      </c>
      <c r="G1668">
        <v>65</v>
      </c>
      <c r="H1668" t="s">
        <v>662</v>
      </c>
      <c r="I1668" t="s">
        <v>2271</v>
      </c>
      <c r="J1668">
        <v>1300000</v>
      </c>
      <c r="K1668">
        <v>2025</v>
      </c>
      <c r="L1668">
        <v>1143150941</v>
      </c>
      <c r="M1668" t="s">
        <v>4141</v>
      </c>
      <c r="N1668" t="s">
        <v>1688</v>
      </c>
      <c r="O1668" t="s">
        <v>1686</v>
      </c>
      <c r="P1668">
        <v>0</v>
      </c>
      <c r="Q1668">
        <v>1300000</v>
      </c>
      <c r="R1668">
        <v>0</v>
      </c>
      <c r="S1668">
        <v>0</v>
      </c>
      <c r="T1668" t="str">
        <f t="shared" si="52"/>
        <v>11622.43.4302.85.0-205128.2.3.3.08.06.</v>
      </c>
      <c r="U1668" t="e" cm="1">
        <f t="array" aca="1" ref="U1668" ca="1">+IF(COMPROMISOS_2025[[#This Row],[P]]="20","41080111",_xlfn.XLOOKUP(COMPROMISOS_2025[[#This Row],[concatenado]],PAA[[#All],[RCP-RUBRO]],PAA[[#All],[INDICADOR]],"",0))</f>
        <v>#NAME?</v>
      </c>
      <c r="V1668" s="144" t="str">
        <f t="shared" si="53"/>
        <v>85</v>
      </c>
      <c r="W1668" s="136">
        <f>+COMPROMISOS_2025[[#This Row],[valor_total]]-COMPROMISOS_2025[[#This Row],[total_cancelado]]</f>
        <v>1300000</v>
      </c>
      <c r="X1668" s="136">
        <f>COMPROMISOS_2025[[#This Row],[total_ordenes]]</f>
        <v>1300000</v>
      </c>
      <c r="Y1668" t="str" cm="1">
        <f t="array" aca="1" ref="Y1668" ca="1">IFERROR(_xlfn.XLOOKUP(COMPROMISOS_2025[[#This Row],[concatenado]],PAA[[#All],[RCP-RUBRO]],PAA[[#All],[Actividad3]],VLOOKUP(COMPROMISOS_2025[[#This Row],[Indicador Principal]],$AC$2:$AD$17,2,0),0),"")</f>
        <v/>
      </c>
    </row>
    <row r="1669" spans="1:25" hidden="1" x14ac:dyDescent="0.25">
      <c r="A1669">
        <v>1163</v>
      </c>
      <c r="B1669" t="s">
        <v>4164</v>
      </c>
      <c r="C1669" t="s">
        <v>1936</v>
      </c>
      <c r="D1669" t="s">
        <v>4165</v>
      </c>
      <c r="F1669">
        <v>359</v>
      </c>
      <c r="G1669">
        <v>65</v>
      </c>
      <c r="H1669" t="s">
        <v>662</v>
      </c>
      <c r="I1669" t="s">
        <v>2271</v>
      </c>
      <c r="J1669">
        <v>500000</v>
      </c>
      <c r="K1669">
        <v>2025</v>
      </c>
      <c r="L1669">
        <v>1146438661</v>
      </c>
      <c r="M1669" t="s">
        <v>4142</v>
      </c>
      <c r="N1669" t="s">
        <v>1688</v>
      </c>
      <c r="O1669" t="s">
        <v>1686</v>
      </c>
      <c r="P1669">
        <v>0</v>
      </c>
      <c r="Q1669">
        <v>500000</v>
      </c>
      <c r="R1669">
        <v>0</v>
      </c>
      <c r="S1669">
        <v>0</v>
      </c>
      <c r="T1669" t="str">
        <f t="shared" si="52"/>
        <v>11632.43.4302.85.0-205128.2.3.3.08.06.</v>
      </c>
      <c r="U1669" t="e" cm="1">
        <f t="array" aca="1" ref="U1669" ca="1">+IF(COMPROMISOS_2025[[#This Row],[P]]="20","41080111",_xlfn.XLOOKUP(COMPROMISOS_2025[[#This Row],[concatenado]],PAA[[#All],[RCP-RUBRO]],PAA[[#All],[INDICADOR]],"",0))</f>
        <v>#NAME?</v>
      </c>
      <c r="V1669" s="144" t="str">
        <f t="shared" si="53"/>
        <v>85</v>
      </c>
      <c r="W1669" s="136">
        <f>+COMPROMISOS_2025[[#This Row],[valor_total]]-COMPROMISOS_2025[[#This Row],[total_cancelado]]</f>
        <v>500000</v>
      </c>
      <c r="X1669" s="136">
        <f>COMPROMISOS_2025[[#This Row],[total_ordenes]]</f>
        <v>500000</v>
      </c>
      <c r="Y1669" t="str" cm="1">
        <f t="array" aca="1" ref="Y1669" ca="1">IFERROR(_xlfn.XLOOKUP(COMPROMISOS_2025[[#This Row],[concatenado]],PAA[[#All],[RCP-RUBRO]],PAA[[#All],[Actividad3]],VLOOKUP(COMPROMISOS_2025[[#This Row],[Indicador Principal]],$AC$2:$AD$17,2,0),0),"")</f>
        <v/>
      </c>
    </row>
    <row r="1670" spans="1:25" hidden="1" x14ac:dyDescent="0.25">
      <c r="A1670">
        <v>1164</v>
      </c>
      <c r="B1670" t="s">
        <v>4164</v>
      </c>
      <c r="C1670" t="s">
        <v>1936</v>
      </c>
      <c r="D1670" t="s">
        <v>4165</v>
      </c>
      <c r="F1670">
        <v>359</v>
      </c>
      <c r="G1670">
        <v>65</v>
      </c>
      <c r="H1670" t="s">
        <v>662</v>
      </c>
      <c r="I1670" t="s">
        <v>2271</v>
      </c>
      <c r="J1670">
        <v>500000</v>
      </c>
      <c r="K1670">
        <v>2025</v>
      </c>
      <c r="L1670">
        <v>1152185642</v>
      </c>
      <c r="M1670" t="s">
        <v>4143</v>
      </c>
      <c r="N1670" t="s">
        <v>1688</v>
      </c>
      <c r="O1670" t="s">
        <v>1686</v>
      </c>
      <c r="P1670">
        <v>0</v>
      </c>
      <c r="Q1670">
        <v>500000</v>
      </c>
      <c r="R1670">
        <v>0</v>
      </c>
      <c r="S1670">
        <v>0</v>
      </c>
      <c r="T1670" t="str">
        <f t="shared" si="52"/>
        <v>11642.43.4302.85.0-205128.2.3.3.08.06.</v>
      </c>
      <c r="U1670" t="e" cm="1">
        <f t="array" aca="1" ref="U1670" ca="1">+IF(COMPROMISOS_2025[[#This Row],[P]]="20","41080111",_xlfn.XLOOKUP(COMPROMISOS_2025[[#This Row],[concatenado]],PAA[[#All],[RCP-RUBRO]],PAA[[#All],[INDICADOR]],"",0))</f>
        <v>#NAME?</v>
      </c>
      <c r="V1670" s="144" t="str">
        <f t="shared" si="53"/>
        <v>85</v>
      </c>
      <c r="W1670" s="136">
        <f>+COMPROMISOS_2025[[#This Row],[valor_total]]-COMPROMISOS_2025[[#This Row],[total_cancelado]]</f>
        <v>500000</v>
      </c>
      <c r="X1670" s="136">
        <f>COMPROMISOS_2025[[#This Row],[total_ordenes]]</f>
        <v>500000</v>
      </c>
      <c r="Y1670" t="str" cm="1">
        <f t="array" aca="1" ref="Y1670" ca="1">IFERROR(_xlfn.XLOOKUP(COMPROMISOS_2025[[#This Row],[concatenado]],PAA[[#All],[RCP-RUBRO]],PAA[[#All],[Actividad3]],VLOOKUP(COMPROMISOS_2025[[#This Row],[Indicador Principal]],$AC$2:$AD$17,2,0),0),"")</f>
        <v/>
      </c>
    </row>
    <row r="1671" spans="1:25" hidden="1" x14ac:dyDescent="0.25">
      <c r="A1671">
        <v>1165</v>
      </c>
      <c r="B1671" t="s">
        <v>4164</v>
      </c>
      <c r="C1671" t="s">
        <v>1936</v>
      </c>
      <c r="D1671" t="s">
        <v>4165</v>
      </c>
      <c r="F1671">
        <v>359</v>
      </c>
      <c r="G1671">
        <v>65</v>
      </c>
      <c r="H1671" t="s">
        <v>662</v>
      </c>
      <c r="I1671" t="s">
        <v>2271</v>
      </c>
      <c r="J1671">
        <v>1000000</v>
      </c>
      <c r="K1671">
        <v>2025</v>
      </c>
      <c r="L1671">
        <v>1152193422</v>
      </c>
      <c r="M1671" t="s">
        <v>3890</v>
      </c>
      <c r="N1671" t="s">
        <v>1688</v>
      </c>
      <c r="O1671" t="s">
        <v>1686</v>
      </c>
      <c r="P1671">
        <v>0</v>
      </c>
      <c r="Q1671">
        <v>1000000</v>
      </c>
      <c r="R1671">
        <v>0</v>
      </c>
      <c r="S1671">
        <v>0</v>
      </c>
      <c r="T1671" t="str">
        <f t="shared" si="52"/>
        <v>11652.43.4302.85.0-205128.2.3.3.08.06.</v>
      </c>
      <c r="U1671" t="e" cm="1">
        <f t="array" aca="1" ref="U1671" ca="1">+IF(COMPROMISOS_2025[[#This Row],[P]]="20","41080111",_xlfn.XLOOKUP(COMPROMISOS_2025[[#This Row],[concatenado]],PAA[[#All],[RCP-RUBRO]],PAA[[#All],[INDICADOR]],"",0))</f>
        <v>#NAME?</v>
      </c>
      <c r="V1671" s="144" t="str">
        <f t="shared" si="53"/>
        <v>85</v>
      </c>
      <c r="W1671" s="136">
        <f>+COMPROMISOS_2025[[#This Row],[valor_total]]-COMPROMISOS_2025[[#This Row],[total_cancelado]]</f>
        <v>1000000</v>
      </c>
      <c r="X1671" s="136">
        <f>COMPROMISOS_2025[[#This Row],[total_ordenes]]</f>
        <v>1000000</v>
      </c>
      <c r="Y1671" t="str" cm="1">
        <f t="array" aca="1" ref="Y1671" ca="1">IFERROR(_xlfn.XLOOKUP(COMPROMISOS_2025[[#This Row],[concatenado]],PAA[[#All],[RCP-RUBRO]],PAA[[#All],[Actividad3]],VLOOKUP(COMPROMISOS_2025[[#This Row],[Indicador Principal]],$AC$2:$AD$17,2,0),0),"")</f>
        <v/>
      </c>
    </row>
    <row r="1672" spans="1:25" hidden="1" x14ac:dyDescent="0.25">
      <c r="A1672">
        <v>1166</v>
      </c>
      <c r="B1672" t="s">
        <v>4164</v>
      </c>
      <c r="C1672" t="s">
        <v>1936</v>
      </c>
      <c r="D1672" t="s">
        <v>4165</v>
      </c>
      <c r="F1672">
        <v>359</v>
      </c>
      <c r="G1672">
        <v>65</v>
      </c>
      <c r="H1672" t="s">
        <v>662</v>
      </c>
      <c r="I1672" t="s">
        <v>2271</v>
      </c>
      <c r="J1672">
        <v>1000000</v>
      </c>
      <c r="K1672">
        <v>2025</v>
      </c>
      <c r="L1672">
        <v>1152205610</v>
      </c>
      <c r="M1672" t="s">
        <v>4144</v>
      </c>
      <c r="N1672" t="s">
        <v>1688</v>
      </c>
      <c r="O1672" t="s">
        <v>1686</v>
      </c>
      <c r="P1672">
        <v>0</v>
      </c>
      <c r="Q1672">
        <v>1000000</v>
      </c>
      <c r="R1672">
        <v>0</v>
      </c>
      <c r="S1672">
        <v>0</v>
      </c>
      <c r="T1672" t="str">
        <f t="shared" si="52"/>
        <v>11662.43.4302.85.0-205128.2.3.3.08.06.</v>
      </c>
      <c r="U1672" t="e" cm="1">
        <f t="array" aca="1" ref="U1672" ca="1">+IF(COMPROMISOS_2025[[#This Row],[P]]="20","41080111",_xlfn.XLOOKUP(COMPROMISOS_2025[[#This Row],[concatenado]],PAA[[#All],[RCP-RUBRO]],PAA[[#All],[INDICADOR]],"",0))</f>
        <v>#NAME?</v>
      </c>
      <c r="V1672" s="144" t="str">
        <f t="shared" si="53"/>
        <v>85</v>
      </c>
      <c r="W1672" s="136">
        <f>+COMPROMISOS_2025[[#This Row],[valor_total]]-COMPROMISOS_2025[[#This Row],[total_cancelado]]</f>
        <v>1000000</v>
      </c>
      <c r="X1672" s="136">
        <f>COMPROMISOS_2025[[#This Row],[total_ordenes]]</f>
        <v>1000000</v>
      </c>
      <c r="Y1672" t="str" cm="1">
        <f t="array" aca="1" ref="Y1672" ca="1">IFERROR(_xlfn.XLOOKUP(COMPROMISOS_2025[[#This Row],[concatenado]],PAA[[#All],[RCP-RUBRO]],PAA[[#All],[Actividad3]],VLOOKUP(COMPROMISOS_2025[[#This Row],[Indicador Principal]],$AC$2:$AD$17,2,0),0),"")</f>
        <v/>
      </c>
    </row>
    <row r="1673" spans="1:25" hidden="1" x14ac:dyDescent="0.25">
      <c r="A1673">
        <v>1167</v>
      </c>
      <c r="B1673" t="s">
        <v>4164</v>
      </c>
      <c r="C1673" t="s">
        <v>1936</v>
      </c>
      <c r="D1673" t="s">
        <v>4165</v>
      </c>
      <c r="F1673">
        <v>359</v>
      </c>
      <c r="G1673">
        <v>65</v>
      </c>
      <c r="H1673" t="s">
        <v>662</v>
      </c>
      <c r="I1673" t="s">
        <v>2271</v>
      </c>
      <c r="J1673">
        <v>500000</v>
      </c>
      <c r="K1673">
        <v>2025</v>
      </c>
      <c r="L1673">
        <v>1152208585</v>
      </c>
      <c r="M1673" t="s">
        <v>4145</v>
      </c>
      <c r="N1673" t="s">
        <v>1688</v>
      </c>
      <c r="O1673" t="s">
        <v>1686</v>
      </c>
      <c r="P1673">
        <v>0</v>
      </c>
      <c r="Q1673">
        <v>500000</v>
      </c>
      <c r="R1673">
        <v>0</v>
      </c>
      <c r="S1673">
        <v>0</v>
      </c>
      <c r="T1673" t="str">
        <f t="shared" si="52"/>
        <v>11672.43.4302.85.0-205128.2.3.3.08.06.</v>
      </c>
      <c r="U1673" t="e" cm="1">
        <f t="array" aca="1" ref="U1673" ca="1">+IF(COMPROMISOS_2025[[#This Row],[P]]="20","41080111",_xlfn.XLOOKUP(COMPROMISOS_2025[[#This Row],[concatenado]],PAA[[#All],[RCP-RUBRO]],PAA[[#All],[INDICADOR]],"",0))</f>
        <v>#NAME?</v>
      </c>
      <c r="V1673" s="144" t="str">
        <f t="shared" si="53"/>
        <v>85</v>
      </c>
      <c r="W1673" s="136">
        <f>+COMPROMISOS_2025[[#This Row],[valor_total]]-COMPROMISOS_2025[[#This Row],[total_cancelado]]</f>
        <v>500000</v>
      </c>
      <c r="X1673" s="136">
        <f>COMPROMISOS_2025[[#This Row],[total_ordenes]]</f>
        <v>500000</v>
      </c>
      <c r="Y1673" t="str" cm="1">
        <f t="array" aca="1" ref="Y1673" ca="1">IFERROR(_xlfn.XLOOKUP(COMPROMISOS_2025[[#This Row],[concatenado]],PAA[[#All],[RCP-RUBRO]],PAA[[#All],[Actividad3]],VLOOKUP(COMPROMISOS_2025[[#This Row],[Indicador Principal]],$AC$2:$AD$17,2,0),0),"")</f>
        <v/>
      </c>
    </row>
    <row r="1674" spans="1:25" hidden="1" x14ac:dyDescent="0.25">
      <c r="A1674">
        <v>1168</v>
      </c>
      <c r="B1674" t="s">
        <v>4164</v>
      </c>
      <c r="C1674" t="s">
        <v>1936</v>
      </c>
      <c r="D1674" t="s">
        <v>4165</v>
      </c>
      <c r="F1674">
        <v>359</v>
      </c>
      <c r="G1674">
        <v>65</v>
      </c>
      <c r="H1674" t="s">
        <v>662</v>
      </c>
      <c r="I1674" t="s">
        <v>2271</v>
      </c>
      <c r="J1674">
        <v>500000</v>
      </c>
      <c r="K1674">
        <v>2025</v>
      </c>
      <c r="L1674">
        <v>1152211514</v>
      </c>
      <c r="M1674" t="s">
        <v>4146</v>
      </c>
      <c r="N1674" t="s">
        <v>1688</v>
      </c>
      <c r="O1674" t="s">
        <v>1686</v>
      </c>
      <c r="P1674">
        <v>0</v>
      </c>
      <c r="Q1674">
        <v>500000</v>
      </c>
      <c r="R1674">
        <v>0</v>
      </c>
      <c r="S1674">
        <v>0</v>
      </c>
      <c r="T1674" t="str">
        <f t="shared" si="52"/>
        <v>11682.43.4302.85.0-205128.2.3.3.08.06.</v>
      </c>
      <c r="U1674" t="e" cm="1">
        <f t="array" aca="1" ref="U1674" ca="1">+IF(COMPROMISOS_2025[[#This Row],[P]]="20","41080111",_xlfn.XLOOKUP(COMPROMISOS_2025[[#This Row],[concatenado]],PAA[[#All],[RCP-RUBRO]],PAA[[#All],[INDICADOR]],"",0))</f>
        <v>#NAME?</v>
      </c>
      <c r="V1674" s="144" t="str">
        <f t="shared" si="53"/>
        <v>85</v>
      </c>
      <c r="W1674" s="136">
        <f>+COMPROMISOS_2025[[#This Row],[valor_total]]-COMPROMISOS_2025[[#This Row],[total_cancelado]]</f>
        <v>500000</v>
      </c>
      <c r="X1674" s="136">
        <f>COMPROMISOS_2025[[#This Row],[total_ordenes]]</f>
        <v>500000</v>
      </c>
      <c r="Y1674" t="str" cm="1">
        <f t="array" aca="1" ref="Y1674" ca="1">IFERROR(_xlfn.XLOOKUP(COMPROMISOS_2025[[#This Row],[concatenado]],PAA[[#All],[RCP-RUBRO]],PAA[[#All],[Actividad3]],VLOOKUP(COMPROMISOS_2025[[#This Row],[Indicador Principal]],$AC$2:$AD$17,2,0),0),"")</f>
        <v/>
      </c>
    </row>
    <row r="1675" spans="1:25" hidden="1" x14ac:dyDescent="0.25">
      <c r="A1675">
        <v>1169</v>
      </c>
      <c r="B1675" t="s">
        <v>4164</v>
      </c>
      <c r="C1675" t="s">
        <v>1936</v>
      </c>
      <c r="D1675" t="s">
        <v>4165</v>
      </c>
      <c r="F1675">
        <v>359</v>
      </c>
      <c r="G1675">
        <v>65</v>
      </c>
      <c r="H1675" t="s">
        <v>662</v>
      </c>
      <c r="I1675" t="s">
        <v>2271</v>
      </c>
      <c r="J1675">
        <v>500000</v>
      </c>
      <c r="K1675">
        <v>2025</v>
      </c>
      <c r="L1675">
        <v>1152222257</v>
      </c>
      <c r="M1675" t="s">
        <v>4147</v>
      </c>
      <c r="N1675" t="s">
        <v>1688</v>
      </c>
      <c r="O1675" t="s">
        <v>1686</v>
      </c>
      <c r="P1675">
        <v>0</v>
      </c>
      <c r="Q1675">
        <v>500000</v>
      </c>
      <c r="R1675">
        <v>0</v>
      </c>
      <c r="S1675">
        <v>0</v>
      </c>
      <c r="T1675" t="str">
        <f t="shared" si="52"/>
        <v>11692.43.4302.85.0-205128.2.3.3.08.06.</v>
      </c>
      <c r="U1675" t="e" cm="1">
        <f t="array" aca="1" ref="U1675" ca="1">+IF(COMPROMISOS_2025[[#This Row],[P]]="20","41080111",_xlfn.XLOOKUP(COMPROMISOS_2025[[#This Row],[concatenado]],PAA[[#All],[RCP-RUBRO]],PAA[[#All],[INDICADOR]],"",0))</f>
        <v>#NAME?</v>
      </c>
      <c r="V1675" s="144" t="str">
        <f t="shared" si="53"/>
        <v>85</v>
      </c>
      <c r="W1675" s="136">
        <f>+COMPROMISOS_2025[[#This Row],[valor_total]]-COMPROMISOS_2025[[#This Row],[total_cancelado]]</f>
        <v>500000</v>
      </c>
      <c r="X1675" s="136">
        <f>COMPROMISOS_2025[[#This Row],[total_ordenes]]</f>
        <v>500000</v>
      </c>
      <c r="Y1675" t="str" cm="1">
        <f t="array" aca="1" ref="Y1675" ca="1">IFERROR(_xlfn.XLOOKUP(COMPROMISOS_2025[[#This Row],[concatenado]],PAA[[#All],[RCP-RUBRO]],PAA[[#All],[Actividad3]],VLOOKUP(COMPROMISOS_2025[[#This Row],[Indicador Principal]],$AC$2:$AD$17,2,0),0),"")</f>
        <v/>
      </c>
    </row>
    <row r="1676" spans="1:25" hidden="1" x14ac:dyDescent="0.25">
      <c r="A1676">
        <v>1170</v>
      </c>
      <c r="B1676" t="s">
        <v>4164</v>
      </c>
      <c r="C1676" t="s">
        <v>1936</v>
      </c>
      <c r="D1676" t="s">
        <v>4165</v>
      </c>
      <c r="F1676">
        <v>359</v>
      </c>
      <c r="G1676">
        <v>65</v>
      </c>
      <c r="H1676" t="s">
        <v>662</v>
      </c>
      <c r="I1676" t="s">
        <v>2271</v>
      </c>
      <c r="J1676">
        <v>500000</v>
      </c>
      <c r="K1676">
        <v>2025</v>
      </c>
      <c r="L1676">
        <v>1152434378</v>
      </c>
      <c r="M1676" t="s">
        <v>4148</v>
      </c>
      <c r="N1676" t="s">
        <v>1688</v>
      </c>
      <c r="O1676" t="s">
        <v>1686</v>
      </c>
      <c r="P1676">
        <v>0</v>
      </c>
      <c r="Q1676">
        <v>500000</v>
      </c>
      <c r="R1676">
        <v>0</v>
      </c>
      <c r="S1676">
        <v>0</v>
      </c>
      <c r="T1676" t="str">
        <f t="shared" si="52"/>
        <v>11702.43.4302.85.0-205128.2.3.3.08.06.</v>
      </c>
      <c r="U1676" t="e" cm="1">
        <f t="array" aca="1" ref="U1676" ca="1">+IF(COMPROMISOS_2025[[#This Row],[P]]="20","41080111",_xlfn.XLOOKUP(COMPROMISOS_2025[[#This Row],[concatenado]],PAA[[#All],[RCP-RUBRO]],PAA[[#All],[INDICADOR]],"",0))</f>
        <v>#NAME?</v>
      </c>
      <c r="V1676" s="144" t="str">
        <f t="shared" si="53"/>
        <v>85</v>
      </c>
      <c r="W1676" s="136">
        <f>+COMPROMISOS_2025[[#This Row],[valor_total]]-COMPROMISOS_2025[[#This Row],[total_cancelado]]</f>
        <v>500000</v>
      </c>
      <c r="X1676" s="136">
        <f>COMPROMISOS_2025[[#This Row],[total_ordenes]]</f>
        <v>500000</v>
      </c>
      <c r="Y1676" t="str" cm="1">
        <f t="array" aca="1" ref="Y1676" ca="1">IFERROR(_xlfn.XLOOKUP(COMPROMISOS_2025[[#This Row],[concatenado]],PAA[[#All],[RCP-RUBRO]],PAA[[#All],[Actividad3]],VLOOKUP(COMPROMISOS_2025[[#This Row],[Indicador Principal]],$AC$2:$AD$17,2,0),0),"")</f>
        <v/>
      </c>
    </row>
    <row r="1677" spans="1:25" hidden="1" x14ac:dyDescent="0.25">
      <c r="A1677">
        <v>1171</v>
      </c>
      <c r="B1677" t="s">
        <v>4164</v>
      </c>
      <c r="C1677" t="s">
        <v>1936</v>
      </c>
      <c r="D1677" t="s">
        <v>4165</v>
      </c>
      <c r="F1677">
        <v>359</v>
      </c>
      <c r="G1677">
        <v>65</v>
      </c>
      <c r="H1677" t="s">
        <v>662</v>
      </c>
      <c r="I1677" t="s">
        <v>2271</v>
      </c>
      <c r="J1677">
        <v>500000</v>
      </c>
      <c r="K1677">
        <v>2025</v>
      </c>
      <c r="L1677">
        <v>1152450943</v>
      </c>
      <c r="M1677" t="s">
        <v>3893</v>
      </c>
      <c r="N1677" t="s">
        <v>1688</v>
      </c>
      <c r="O1677" t="s">
        <v>1686</v>
      </c>
      <c r="P1677">
        <v>0</v>
      </c>
      <c r="Q1677">
        <v>500000</v>
      </c>
      <c r="R1677">
        <v>0</v>
      </c>
      <c r="S1677">
        <v>0</v>
      </c>
      <c r="T1677" t="str">
        <f t="shared" si="52"/>
        <v>11712.43.4302.85.0-205128.2.3.3.08.06.</v>
      </c>
      <c r="U1677" t="e" cm="1">
        <f t="array" aca="1" ref="U1677" ca="1">+IF(COMPROMISOS_2025[[#This Row],[P]]="20","41080111",_xlfn.XLOOKUP(COMPROMISOS_2025[[#This Row],[concatenado]],PAA[[#All],[RCP-RUBRO]],PAA[[#All],[INDICADOR]],"",0))</f>
        <v>#NAME?</v>
      </c>
      <c r="V1677" s="144" t="str">
        <f t="shared" si="53"/>
        <v>85</v>
      </c>
      <c r="W1677" s="136">
        <f>+COMPROMISOS_2025[[#This Row],[valor_total]]-COMPROMISOS_2025[[#This Row],[total_cancelado]]</f>
        <v>500000</v>
      </c>
      <c r="X1677" s="136">
        <f>COMPROMISOS_2025[[#This Row],[total_ordenes]]</f>
        <v>500000</v>
      </c>
      <c r="Y1677" t="str" cm="1">
        <f t="array" aca="1" ref="Y1677" ca="1">IFERROR(_xlfn.XLOOKUP(COMPROMISOS_2025[[#This Row],[concatenado]],PAA[[#All],[RCP-RUBRO]],PAA[[#All],[Actividad3]],VLOOKUP(COMPROMISOS_2025[[#This Row],[Indicador Principal]],$AC$2:$AD$17,2,0),0),"")</f>
        <v/>
      </c>
    </row>
    <row r="1678" spans="1:25" hidden="1" x14ac:dyDescent="0.25">
      <c r="A1678">
        <v>1172</v>
      </c>
      <c r="B1678" t="s">
        <v>4164</v>
      </c>
      <c r="C1678" t="s">
        <v>1936</v>
      </c>
      <c r="D1678" t="s">
        <v>4165</v>
      </c>
      <c r="F1678">
        <v>359</v>
      </c>
      <c r="G1678">
        <v>65</v>
      </c>
      <c r="H1678" t="s">
        <v>662</v>
      </c>
      <c r="I1678" t="s">
        <v>2271</v>
      </c>
      <c r="J1678">
        <v>500000</v>
      </c>
      <c r="K1678">
        <v>2025</v>
      </c>
      <c r="L1678">
        <v>1152469840</v>
      </c>
      <c r="M1678" t="s">
        <v>4149</v>
      </c>
      <c r="N1678" t="s">
        <v>1688</v>
      </c>
      <c r="O1678" t="s">
        <v>1686</v>
      </c>
      <c r="P1678">
        <v>0</v>
      </c>
      <c r="Q1678">
        <v>500000</v>
      </c>
      <c r="R1678">
        <v>0</v>
      </c>
      <c r="S1678">
        <v>0</v>
      </c>
      <c r="T1678" t="str">
        <f t="shared" si="52"/>
        <v>11722.43.4302.85.0-205128.2.3.3.08.06.</v>
      </c>
      <c r="U1678" t="e" cm="1">
        <f t="array" aca="1" ref="U1678" ca="1">+IF(COMPROMISOS_2025[[#This Row],[P]]="20","41080111",_xlfn.XLOOKUP(COMPROMISOS_2025[[#This Row],[concatenado]],PAA[[#All],[RCP-RUBRO]],PAA[[#All],[INDICADOR]],"",0))</f>
        <v>#NAME?</v>
      </c>
      <c r="V1678" s="144" t="str">
        <f t="shared" si="53"/>
        <v>85</v>
      </c>
      <c r="W1678" s="136">
        <f>+COMPROMISOS_2025[[#This Row],[valor_total]]-COMPROMISOS_2025[[#This Row],[total_cancelado]]</f>
        <v>500000</v>
      </c>
      <c r="X1678" s="136">
        <f>COMPROMISOS_2025[[#This Row],[total_ordenes]]</f>
        <v>500000</v>
      </c>
      <c r="Y1678" t="str" cm="1">
        <f t="array" aca="1" ref="Y1678" ca="1">IFERROR(_xlfn.XLOOKUP(COMPROMISOS_2025[[#This Row],[concatenado]],PAA[[#All],[RCP-RUBRO]],PAA[[#All],[Actividad3]],VLOOKUP(COMPROMISOS_2025[[#This Row],[Indicador Principal]],$AC$2:$AD$17,2,0),0),"")</f>
        <v/>
      </c>
    </row>
    <row r="1679" spans="1:25" hidden="1" x14ac:dyDescent="0.25">
      <c r="A1679">
        <v>1173</v>
      </c>
      <c r="B1679" t="s">
        <v>4164</v>
      </c>
      <c r="C1679" t="s">
        <v>1936</v>
      </c>
      <c r="D1679" t="s">
        <v>4165</v>
      </c>
      <c r="F1679">
        <v>359</v>
      </c>
      <c r="G1679">
        <v>65</v>
      </c>
      <c r="H1679" t="s">
        <v>662</v>
      </c>
      <c r="I1679" t="s">
        <v>2271</v>
      </c>
      <c r="J1679">
        <v>500000</v>
      </c>
      <c r="K1679">
        <v>2025</v>
      </c>
      <c r="L1679">
        <v>1192463974</v>
      </c>
      <c r="M1679" t="s">
        <v>4150</v>
      </c>
      <c r="N1679" t="s">
        <v>1688</v>
      </c>
      <c r="O1679" t="s">
        <v>1686</v>
      </c>
      <c r="P1679">
        <v>0</v>
      </c>
      <c r="Q1679">
        <v>500000</v>
      </c>
      <c r="R1679">
        <v>0</v>
      </c>
      <c r="S1679">
        <v>0</v>
      </c>
      <c r="T1679" t="str">
        <f t="shared" si="52"/>
        <v>11732.43.4302.85.0-205128.2.3.3.08.06.</v>
      </c>
      <c r="U1679" t="e" cm="1">
        <f t="array" aca="1" ref="U1679" ca="1">+IF(COMPROMISOS_2025[[#This Row],[P]]="20","41080111",_xlfn.XLOOKUP(COMPROMISOS_2025[[#This Row],[concatenado]],PAA[[#All],[RCP-RUBRO]],PAA[[#All],[INDICADOR]],"",0))</f>
        <v>#NAME?</v>
      </c>
      <c r="V1679" s="144" t="str">
        <f t="shared" si="53"/>
        <v>85</v>
      </c>
      <c r="W1679" s="136">
        <f>+COMPROMISOS_2025[[#This Row],[valor_total]]-COMPROMISOS_2025[[#This Row],[total_cancelado]]</f>
        <v>500000</v>
      </c>
      <c r="X1679" s="136">
        <f>COMPROMISOS_2025[[#This Row],[total_ordenes]]</f>
        <v>500000</v>
      </c>
      <c r="Y1679" t="str" cm="1">
        <f t="array" aca="1" ref="Y1679" ca="1">IFERROR(_xlfn.XLOOKUP(COMPROMISOS_2025[[#This Row],[concatenado]],PAA[[#All],[RCP-RUBRO]],PAA[[#All],[Actividad3]],VLOOKUP(COMPROMISOS_2025[[#This Row],[Indicador Principal]],$AC$2:$AD$17,2,0),0),"")</f>
        <v/>
      </c>
    </row>
    <row r="1680" spans="1:25" hidden="1" x14ac:dyDescent="0.25">
      <c r="A1680">
        <v>1174</v>
      </c>
      <c r="B1680" t="s">
        <v>4164</v>
      </c>
      <c r="C1680" t="s">
        <v>1936</v>
      </c>
      <c r="D1680" t="s">
        <v>4165</v>
      </c>
      <c r="F1680">
        <v>359</v>
      </c>
      <c r="G1680">
        <v>65</v>
      </c>
      <c r="H1680" t="s">
        <v>662</v>
      </c>
      <c r="I1680" t="s">
        <v>2271</v>
      </c>
      <c r="J1680">
        <v>800000</v>
      </c>
      <c r="K1680">
        <v>2025</v>
      </c>
      <c r="L1680">
        <v>1193115454</v>
      </c>
      <c r="M1680" t="s">
        <v>4151</v>
      </c>
      <c r="N1680" t="s">
        <v>1688</v>
      </c>
      <c r="O1680" t="s">
        <v>1686</v>
      </c>
      <c r="P1680">
        <v>0</v>
      </c>
      <c r="Q1680">
        <v>800000</v>
      </c>
      <c r="R1680">
        <v>0</v>
      </c>
      <c r="S1680">
        <v>0</v>
      </c>
      <c r="T1680" t="str">
        <f t="shared" si="52"/>
        <v>11742.43.4302.85.0-205128.2.3.3.08.06.</v>
      </c>
      <c r="U1680" t="e" cm="1">
        <f t="array" aca="1" ref="U1680" ca="1">+IF(COMPROMISOS_2025[[#This Row],[P]]="20","41080111",_xlfn.XLOOKUP(COMPROMISOS_2025[[#This Row],[concatenado]],PAA[[#All],[RCP-RUBRO]],PAA[[#All],[INDICADOR]],"",0))</f>
        <v>#NAME?</v>
      </c>
      <c r="V1680" s="144" t="str">
        <f t="shared" si="53"/>
        <v>85</v>
      </c>
      <c r="W1680" s="136">
        <f>+COMPROMISOS_2025[[#This Row],[valor_total]]-COMPROMISOS_2025[[#This Row],[total_cancelado]]</f>
        <v>800000</v>
      </c>
      <c r="X1680" s="136">
        <f>COMPROMISOS_2025[[#This Row],[total_ordenes]]</f>
        <v>800000</v>
      </c>
      <c r="Y1680" t="str" cm="1">
        <f t="array" aca="1" ref="Y1680" ca="1">IFERROR(_xlfn.XLOOKUP(COMPROMISOS_2025[[#This Row],[concatenado]],PAA[[#All],[RCP-RUBRO]],PAA[[#All],[Actividad3]],VLOOKUP(COMPROMISOS_2025[[#This Row],[Indicador Principal]],$AC$2:$AD$17,2,0),0),"")</f>
        <v/>
      </c>
    </row>
    <row r="1681" spans="1:25" hidden="1" x14ac:dyDescent="0.25">
      <c r="A1681">
        <v>1175</v>
      </c>
      <c r="B1681" t="s">
        <v>4164</v>
      </c>
      <c r="C1681" t="s">
        <v>1936</v>
      </c>
      <c r="D1681" t="s">
        <v>4165</v>
      </c>
      <c r="F1681">
        <v>359</v>
      </c>
      <c r="G1681">
        <v>65</v>
      </c>
      <c r="H1681" t="s">
        <v>662</v>
      </c>
      <c r="I1681" t="s">
        <v>2271</v>
      </c>
      <c r="J1681">
        <v>500000</v>
      </c>
      <c r="K1681">
        <v>2025</v>
      </c>
      <c r="L1681">
        <v>1193119450</v>
      </c>
      <c r="M1681" t="s">
        <v>4152</v>
      </c>
      <c r="N1681" t="s">
        <v>1688</v>
      </c>
      <c r="O1681" t="s">
        <v>1686</v>
      </c>
      <c r="P1681">
        <v>0</v>
      </c>
      <c r="Q1681">
        <v>500000</v>
      </c>
      <c r="R1681">
        <v>0</v>
      </c>
      <c r="S1681">
        <v>0</v>
      </c>
      <c r="T1681" t="str">
        <f t="shared" si="52"/>
        <v>11752.43.4302.85.0-205128.2.3.3.08.06.</v>
      </c>
      <c r="U1681" t="e" cm="1">
        <f t="array" aca="1" ref="U1681" ca="1">+IF(COMPROMISOS_2025[[#This Row],[P]]="20","41080111",_xlfn.XLOOKUP(COMPROMISOS_2025[[#This Row],[concatenado]],PAA[[#All],[RCP-RUBRO]],PAA[[#All],[INDICADOR]],"",0))</f>
        <v>#NAME?</v>
      </c>
      <c r="V1681" s="144" t="str">
        <f t="shared" si="53"/>
        <v>85</v>
      </c>
      <c r="W1681" s="136">
        <f>+COMPROMISOS_2025[[#This Row],[valor_total]]-COMPROMISOS_2025[[#This Row],[total_cancelado]]</f>
        <v>500000</v>
      </c>
      <c r="X1681" s="136">
        <f>COMPROMISOS_2025[[#This Row],[total_ordenes]]</f>
        <v>500000</v>
      </c>
      <c r="Y1681" t="str" cm="1">
        <f t="array" aca="1" ref="Y1681" ca="1">IFERROR(_xlfn.XLOOKUP(COMPROMISOS_2025[[#This Row],[concatenado]],PAA[[#All],[RCP-RUBRO]],PAA[[#All],[Actividad3]],VLOOKUP(COMPROMISOS_2025[[#This Row],[Indicador Principal]],$AC$2:$AD$17,2,0),0),"")</f>
        <v/>
      </c>
    </row>
    <row r="1682" spans="1:25" hidden="1" x14ac:dyDescent="0.25">
      <c r="A1682">
        <v>1176</v>
      </c>
      <c r="B1682" t="s">
        <v>4164</v>
      </c>
      <c r="C1682" t="s">
        <v>1936</v>
      </c>
      <c r="D1682" t="s">
        <v>4165</v>
      </c>
      <c r="F1682">
        <v>359</v>
      </c>
      <c r="G1682">
        <v>65</v>
      </c>
      <c r="H1682" t="s">
        <v>662</v>
      </c>
      <c r="I1682" t="s">
        <v>2271</v>
      </c>
      <c r="J1682">
        <v>500000</v>
      </c>
      <c r="K1682">
        <v>2025</v>
      </c>
      <c r="L1682">
        <v>1193142948</v>
      </c>
      <c r="M1682" t="s">
        <v>4153</v>
      </c>
      <c r="N1682" t="s">
        <v>1688</v>
      </c>
      <c r="O1682" t="s">
        <v>1686</v>
      </c>
      <c r="P1682">
        <v>0</v>
      </c>
      <c r="Q1682">
        <v>500000</v>
      </c>
      <c r="R1682">
        <v>0</v>
      </c>
      <c r="S1682">
        <v>0</v>
      </c>
      <c r="T1682" t="str">
        <f t="shared" si="52"/>
        <v>11762.43.4302.85.0-205128.2.3.3.08.06.</v>
      </c>
      <c r="U1682" t="e" cm="1">
        <f t="array" aca="1" ref="U1682" ca="1">+IF(COMPROMISOS_2025[[#This Row],[P]]="20","41080111",_xlfn.XLOOKUP(COMPROMISOS_2025[[#This Row],[concatenado]],PAA[[#All],[RCP-RUBRO]],PAA[[#All],[INDICADOR]],"",0))</f>
        <v>#NAME?</v>
      </c>
      <c r="V1682" s="144" t="str">
        <f t="shared" si="53"/>
        <v>85</v>
      </c>
      <c r="W1682" s="136">
        <f>+COMPROMISOS_2025[[#This Row],[valor_total]]-COMPROMISOS_2025[[#This Row],[total_cancelado]]</f>
        <v>500000</v>
      </c>
      <c r="X1682" s="136">
        <f>COMPROMISOS_2025[[#This Row],[total_ordenes]]</f>
        <v>500000</v>
      </c>
      <c r="Y1682" t="str" cm="1">
        <f t="array" aca="1" ref="Y1682" ca="1">IFERROR(_xlfn.XLOOKUP(COMPROMISOS_2025[[#This Row],[concatenado]],PAA[[#All],[RCP-RUBRO]],PAA[[#All],[Actividad3]],VLOOKUP(COMPROMISOS_2025[[#This Row],[Indicador Principal]],$AC$2:$AD$17,2,0),0),"")</f>
        <v/>
      </c>
    </row>
    <row r="1683" spans="1:25" hidden="1" x14ac:dyDescent="0.25">
      <c r="A1683">
        <v>1177</v>
      </c>
      <c r="B1683" t="s">
        <v>4164</v>
      </c>
      <c r="C1683" t="s">
        <v>1936</v>
      </c>
      <c r="D1683" t="s">
        <v>4165</v>
      </c>
      <c r="F1683">
        <v>359</v>
      </c>
      <c r="G1683">
        <v>65</v>
      </c>
      <c r="H1683" t="s">
        <v>662</v>
      </c>
      <c r="I1683" t="s">
        <v>2271</v>
      </c>
      <c r="J1683">
        <v>500000</v>
      </c>
      <c r="K1683">
        <v>2025</v>
      </c>
      <c r="L1683">
        <v>1193466628</v>
      </c>
      <c r="M1683" t="s">
        <v>4181</v>
      </c>
      <c r="N1683" t="s">
        <v>1688</v>
      </c>
      <c r="O1683" t="s">
        <v>1686</v>
      </c>
      <c r="P1683">
        <v>0</v>
      </c>
      <c r="Q1683">
        <v>500000</v>
      </c>
      <c r="R1683">
        <v>0</v>
      </c>
      <c r="S1683">
        <v>0</v>
      </c>
      <c r="T1683" t="str">
        <f t="shared" si="52"/>
        <v>11772.43.4302.85.0-205128.2.3.3.08.06.</v>
      </c>
      <c r="U1683" t="e" cm="1">
        <f t="array" aca="1" ref="U1683" ca="1">+IF(COMPROMISOS_2025[[#This Row],[P]]="20","41080111",_xlfn.XLOOKUP(COMPROMISOS_2025[[#This Row],[concatenado]],PAA[[#All],[RCP-RUBRO]],PAA[[#All],[INDICADOR]],"",0))</f>
        <v>#NAME?</v>
      </c>
      <c r="V1683" s="144" t="str">
        <f t="shared" si="53"/>
        <v>85</v>
      </c>
      <c r="W1683" s="136">
        <f>+COMPROMISOS_2025[[#This Row],[valor_total]]-COMPROMISOS_2025[[#This Row],[total_cancelado]]</f>
        <v>500000</v>
      </c>
      <c r="X1683" s="136">
        <f>COMPROMISOS_2025[[#This Row],[total_ordenes]]</f>
        <v>500000</v>
      </c>
      <c r="Y1683" t="str" cm="1">
        <f t="array" aca="1" ref="Y1683" ca="1">IFERROR(_xlfn.XLOOKUP(COMPROMISOS_2025[[#This Row],[concatenado]],PAA[[#All],[RCP-RUBRO]],PAA[[#All],[Actividad3]],VLOOKUP(COMPROMISOS_2025[[#This Row],[Indicador Principal]],$AC$2:$AD$17,2,0),0),"")</f>
        <v/>
      </c>
    </row>
    <row r="1684" spans="1:25" hidden="1" x14ac:dyDescent="0.25">
      <c r="A1684">
        <v>1178</v>
      </c>
      <c r="B1684" t="s">
        <v>4164</v>
      </c>
      <c r="C1684" t="s">
        <v>1936</v>
      </c>
      <c r="D1684" t="s">
        <v>4165</v>
      </c>
      <c r="F1684">
        <v>359</v>
      </c>
      <c r="G1684">
        <v>65</v>
      </c>
      <c r="H1684" t="s">
        <v>662</v>
      </c>
      <c r="I1684" t="s">
        <v>2271</v>
      </c>
      <c r="J1684">
        <v>1300000</v>
      </c>
      <c r="K1684">
        <v>2025</v>
      </c>
      <c r="L1684">
        <v>1193529525</v>
      </c>
      <c r="M1684" t="s">
        <v>4154</v>
      </c>
      <c r="N1684" t="s">
        <v>1688</v>
      </c>
      <c r="O1684" t="s">
        <v>1686</v>
      </c>
      <c r="P1684">
        <v>0</v>
      </c>
      <c r="Q1684">
        <v>1300000</v>
      </c>
      <c r="R1684">
        <v>0</v>
      </c>
      <c r="S1684">
        <v>0</v>
      </c>
      <c r="T1684" t="str">
        <f t="shared" si="52"/>
        <v>11782.43.4302.85.0-205128.2.3.3.08.06.</v>
      </c>
      <c r="U1684" t="e" cm="1">
        <f t="array" aca="1" ref="U1684" ca="1">+IF(COMPROMISOS_2025[[#This Row],[P]]="20","41080111",_xlfn.XLOOKUP(COMPROMISOS_2025[[#This Row],[concatenado]],PAA[[#All],[RCP-RUBRO]],PAA[[#All],[INDICADOR]],"",0))</f>
        <v>#NAME?</v>
      </c>
      <c r="V1684" s="144" t="str">
        <f t="shared" si="53"/>
        <v>85</v>
      </c>
      <c r="W1684" s="136">
        <f>+COMPROMISOS_2025[[#This Row],[valor_total]]-COMPROMISOS_2025[[#This Row],[total_cancelado]]</f>
        <v>1300000</v>
      </c>
      <c r="X1684" s="136">
        <f>COMPROMISOS_2025[[#This Row],[total_ordenes]]</f>
        <v>1300000</v>
      </c>
      <c r="Y1684" t="str" cm="1">
        <f t="array" aca="1" ref="Y1684" ca="1">IFERROR(_xlfn.XLOOKUP(COMPROMISOS_2025[[#This Row],[concatenado]],PAA[[#All],[RCP-RUBRO]],PAA[[#All],[Actividad3]],VLOOKUP(COMPROMISOS_2025[[#This Row],[Indicador Principal]],$AC$2:$AD$17,2,0),0),"")</f>
        <v/>
      </c>
    </row>
    <row r="1685" spans="1:25" hidden="1" x14ac:dyDescent="0.25">
      <c r="A1685">
        <v>1179</v>
      </c>
      <c r="B1685" t="s">
        <v>4164</v>
      </c>
      <c r="C1685" t="s">
        <v>1936</v>
      </c>
      <c r="D1685" t="s">
        <v>4165</v>
      </c>
      <c r="F1685">
        <v>359</v>
      </c>
      <c r="G1685">
        <v>65</v>
      </c>
      <c r="H1685" t="s">
        <v>662</v>
      </c>
      <c r="I1685" t="s">
        <v>2271</v>
      </c>
      <c r="J1685">
        <v>1300000</v>
      </c>
      <c r="K1685">
        <v>2025</v>
      </c>
      <c r="L1685">
        <v>1193588400</v>
      </c>
      <c r="M1685" t="s">
        <v>3899</v>
      </c>
      <c r="N1685" t="s">
        <v>1688</v>
      </c>
      <c r="O1685" t="s">
        <v>1686</v>
      </c>
      <c r="P1685">
        <v>0</v>
      </c>
      <c r="Q1685">
        <v>1300000</v>
      </c>
      <c r="R1685">
        <v>0</v>
      </c>
      <c r="S1685">
        <v>0</v>
      </c>
      <c r="T1685" t="str">
        <f t="shared" si="52"/>
        <v>11792.43.4302.85.0-205128.2.3.3.08.06.</v>
      </c>
      <c r="U1685" t="e" cm="1">
        <f t="array" aca="1" ref="U1685" ca="1">+IF(COMPROMISOS_2025[[#This Row],[P]]="20","41080111",_xlfn.XLOOKUP(COMPROMISOS_2025[[#This Row],[concatenado]],PAA[[#All],[RCP-RUBRO]],PAA[[#All],[INDICADOR]],"",0))</f>
        <v>#NAME?</v>
      </c>
      <c r="V1685" s="144" t="str">
        <f t="shared" si="53"/>
        <v>85</v>
      </c>
      <c r="W1685" s="136">
        <f>+COMPROMISOS_2025[[#This Row],[valor_total]]-COMPROMISOS_2025[[#This Row],[total_cancelado]]</f>
        <v>1300000</v>
      </c>
      <c r="X1685" s="136">
        <f>COMPROMISOS_2025[[#This Row],[total_ordenes]]</f>
        <v>1300000</v>
      </c>
      <c r="Y1685" t="str" cm="1">
        <f t="array" aca="1" ref="Y1685" ca="1">IFERROR(_xlfn.XLOOKUP(COMPROMISOS_2025[[#This Row],[concatenado]],PAA[[#All],[RCP-RUBRO]],PAA[[#All],[Actividad3]],VLOOKUP(COMPROMISOS_2025[[#This Row],[Indicador Principal]],$AC$2:$AD$17,2,0),0),"")</f>
        <v/>
      </c>
    </row>
    <row r="1686" spans="1:25" hidden="1" x14ac:dyDescent="0.25">
      <c r="A1686">
        <v>1180</v>
      </c>
      <c r="B1686" t="s">
        <v>4164</v>
      </c>
      <c r="C1686" t="s">
        <v>1936</v>
      </c>
      <c r="D1686" t="s">
        <v>4165</v>
      </c>
      <c r="F1686">
        <v>359</v>
      </c>
      <c r="G1686">
        <v>65</v>
      </c>
      <c r="H1686" t="s">
        <v>662</v>
      </c>
      <c r="I1686" t="s">
        <v>2271</v>
      </c>
      <c r="J1686">
        <v>500000</v>
      </c>
      <c r="K1686">
        <v>2025</v>
      </c>
      <c r="L1686">
        <v>1198463674</v>
      </c>
      <c r="M1686" t="s">
        <v>4155</v>
      </c>
      <c r="N1686" t="s">
        <v>1688</v>
      </c>
      <c r="O1686" t="s">
        <v>1686</v>
      </c>
      <c r="P1686">
        <v>0</v>
      </c>
      <c r="Q1686">
        <v>500000</v>
      </c>
      <c r="R1686">
        <v>0</v>
      </c>
      <c r="S1686">
        <v>0</v>
      </c>
      <c r="T1686" t="str">
        <f t="shared" si="52"/>
        <v>11802.43.4302.85.0-205128.2.3.3.08.06.</v>
      </c>
      <c r="U1686" t="e" cm="1">
        <f t="array" aca="1" ref="U1686" ca="1">+IF(COMPROMISOS_2025[[#This Row],[P]]="20","41080111",_xlfn.XLOOKUP(COMPROMISOS_2025[[#This Row],[concatenado]],PAA[[#All],[RCP-RUBRO]],PAA[[#All],[INDICADOR]],"",0))</f>
        <v>#NAME?</v>
      </c>
      <c r="V1686" s="144" t="str">
        <f t="shared" si="53"/>
        <v>85</v>
      </c>
      <c r="W1686" s="136">
        <f>+COMPROMISOS_2025[[#This Row],[valor_total]]-COMPROMISOS_2025[[#This Row],[total_cancelado]]</f>
        <v>500000</v>
      </c>
      <c r="X1686" s="136">
        <f>COMPROMISOS_2025[[#This Row],[total_ordenes]]</f>
        <v>500000</v>
      </c>
      <c r="Y1686" t="str" cm="1">
        <f t="array" aca="1" ref="Y1686" ca="1">IFERROR(_xlfn.XLOOKUP(COMPROMISOS_2025[[#This Row],[concatenado]],PAA[[#All],[RCP-RUBRO]],PAA[[#All],[Actividad3]],VLOOKUP(COMPROMISOS_2025[[#This Row],[Indicador Principal]],$AC$2:$AD$17,2,0),0),"")</f>
        <v/>
      </c>
    </row>
    <row r="1687" spans="1:25" hidden="1" x14ac:dyDescent="0.25">
      <c r="A1687">
        <v>1181</v>
      </c>
      <c r="B1687" t="s">
        <v>4164</v>
      </c>
      <c r="C1687" t="s">
        <v>1936</v>
      </c>
      <c r="D1687" t="s">
        <v>4165</v>
      </c>
      <c r="F1687">
        <v>359</v>
      </c>
      <c r="G1687">
        <v>65</v>
      </c>
      <c r="H1687" t="s">
        <v>662</v>
      </c>
      <c r="I1687" t="s">
        <v>2271</v>
      </c>
      <c r="J1687">
        <v>500000</v>
      </c>
      <c r="K1687">
        <v>2025</v>
      </c>
      <c r="L1687">
        <v>1214731278</v>
      </c>
      <c r="M1687" t="s">
        <v>4156</v>
      </c>
      <c r="N1687" t="s">
        <v>1688</v>
      </c>
      <c r="O1687" t="s">
        <v>1686</v>
      </c>
      <c r="P1687">
        <v>0</v>
      </c>
      <c r="Q1687">
        <v>500000</v>
      </c>
      <c r="R1687">
        <v>0</v>
      </c>
      <c r="S1687">
        <v>0</v>
      </c>
      <c r="T1687" t="str">
        <f t="shared" si="52"/>
        <v>11812.43.4302.85.0-205128.2.3.3.08.06.</v>
      </c>
      <c r="U1687" t="e" cm="1">
        <f t="array" aca="1" ref="U1687" ca="1">+IF(COMPROMISOS_2025[[#This Row],[P]]="20","41080111",_xlfn.XLOOKUP(COMPROMISOS_2025[[#This Row],[concatenado]],PAA[[#All],[RCP-RUBRO]],PAA[[#All],[INDICADOR]],"",0))</f>
        <v>#NAME?</v>
      </c>
      <c r="V1687" s="144" t="str">
        <f t="shared" si="53"/>
        <v>85</v>
      </c>
      <c r="W1687" s="136">
        <f>+COMPROMISOS_2025[[#This Row],[valor_total]]-COMPROMISOS_2025[[#This Row],[total_cancelado]]</f>
        <v>500000</v>
      </c>
      <c r="X1687" s="136">
        <f>COMPROMISOS_2025[[#This Row],[total_ordenes]]</f>
        <v>500000</v>
      </c>
      <c r="Y1687" t="str" cm="1">
        <f t="array" aca="1" ref="Y1687" ca="1">IFERROR(_xlfn.XLOOKUP(COMPROMISOS_2025[[#This Row],[concatenado]],PAA[[#All],[RCP-RUBRO]],PAA[[#All],[Actividad3]],VLOOKUP(COMPROMISOS_2025[[#This Row],[Indicador Principal]],$AC$2:$AD$17,2,0),0),"")</f>
        <v/>
      </c>
    </row>
    <row r="1688" spans="1:25" hidden="1" x14ac:dyDescent="0.25">
      <c r="A1688">
        <v>1182</v>
      </c>
      <c r="B1688" t="s">
        <v>4164</v>
      </c>
      <c r="C1688" t="s">
        <v>1936</v>
      </c>
      <c r="D1688" t="s">
        <v>4165</v>
      </c>
      <c r="F1688">
        <v>359</v>
      </c>
      <c r="G1688">
        <v>65</v>
      </c>
      <c r="H1688" t="s">
        <v>662</v>
      </c>
      <c r="I1688" t="s">
        <v>2271</v>
      </c>
      <c r="J1688">
        <v>500000</v>
      </c>
      <c r="K1688">
        <v>2025</v>
      </c>
      <c r="L1688">
        <v>1214738333</v>
      </c>
      <c r="M1688" t="s">
        <v>4157</v>
      </c>
      <c r="N1688" t="s">
        <v>1688</v>
      </c>
      <c r="O1688" t="s">
        <v>1686</v>
      </c>
      <c r="P1688">
        <v>0</v>
      </c>
      <c r="Q1688">
        <v>500000</v>
      </c>
      <c r="R1688">
        <v>0</v>
      </c>
      <c r="S1688">
        <v>0</v>
      </c>
      <c r="T1688" t="str">
        <f t="shared" si="52"/>
        <v>11822.43.4302.85.0-205128.2.3.3.08.06.</v>
      </c>
      <c r="U1688" t="e" cm="1">
        <f t="array" aca="1" ref="U1688" ca="1">+IF(COMPROMISOS_2025[[#This Row],[P]]="20","41080111",_xlfn.XLOOKUP(COMPROMISOS_2025[[#This Row],[concatenado]],PAA[[#All],[RCP-RUBRO]],PAA[[#All],[INDICADOR]],"",0))</f>
        <v>#NAME?</v>
      </c>
      <c r="V1688" s="144" t="str">
        <f t="shared" si="53"/>
        <v>85</v>
      </c>
      <c r="W1688" s="136">
        <f>+COMPROMISOS_2025[[#This Row],[valor_total]]-COMPROMISOS_2025[[#This Row],[total_cancelado]]</f>
        <v>500000</v>
      </c>
      <c r="X1688" s="136">
        <f>COMPROMISOS_2025[[#This Row],[total_ordenes]]</f>
        <v>500000</v>
      </c>
      <c r="Y1688" t="str" cm="1">
        <f t="array" aca="1" ref="Y1688" ca="1">IFERROR(_xlfn.XLOOKUP(COMPROMISOS_2025[[#This Row],[concatenado]],PAA[[#All],[RCP-RUBRO]],PAA[[#All],[Actividad3]],VLOOKUP(COMPROMISOS_2025[[#This Row],[Indicador Principal]],$AC$2:$AD$17,2,0),0),"")</f>
        <v/>
      </c>
    </row>
    <row r="1689" spans="1:25" hidden="1" x14ac:dyDescent="0.25">
      <c r="A1689">
        <v>1183</v>
      </c>
      <c r="B1689" t="s">
        <v>4164</v>
      </c>
      <c r="C1689" t="s">
        <v>1936</v>
      </c>
      <c r="D1689" t="s">
        <v>4165</v>
      </c>
      <c r="F1689">
        <v>359</v>
      </c>
      <c r="G1689">
        <v>65</v>
      </c>
      <c r="H1689" t="s">
        <v>662</v>
      </c>
      <c r="I1689" t="s">
        <v>2271</v>
      </c>
      <c r="J1689">
        <v>500000</v>
      </c>
      <c r="K1689">
        <v>2025</v>
      </c>
      <c r="L1689">
        <v>1214742899</v>
      </c>
      <c r="M1689" t="s">
        <v>4158</v>
      </c>
      <c r="N1689" t="s">
        <v>1688</v>
      </c>
      <c r="O1689" t="s">
        <v>1686</v>
      </c>
      <c r="P1689">
        <v>0</v>
      </c>
      <c r="Q1689">
        <v>500000</v>
      </c>
      <c r="R1689">
        <v>0</v>
      </c>
      <c r="S1689">
        <v>0</v>
      </c>
      <c r="T1689" t="str">
        <f t="shared" si="52"/>
        <v>11832.43.4302.85.0-205128.2.3.3.08.06.</v>
      </c>
      <c r="U1689" t="e" cm="1">
        <f t="array" aca="1" ref="U1689" ca="1">+IF(COMPROMISOS_2025[[#This Row],[P]]="20","41080111",_xlfn.XLOOKUP(COMPROMISOS_2025[[#This Row],[concatenado]],PAA[[#All],[RCP-RUBRO]],PAA[[#All],[INDICADOR]],"",0))</f>
        <v>#NAME?</v>
      </c>
      <c r="V1689" s="144" t="str">
        <f t="shared" si="53"/>
        <v>85</v>
      </c>
      <c r="W1689" s="136">
        <f>+COMPROMISOS_2025[[#This Row],[valor_total]]-COMPROMISOS_2025[[#This Row],[total_cancelado]]</f>
        <v>500000</v>
      </c>
      <c r="X1689" s="136">
        <f>COMPROMISOS_2025[[#This Row],[total_ordenes]]</f>
        <v>500000</v>
      </c>
      <c r="Y1689" t="str" cm="1">
        <f t="array" aca="1" ref="Y1689" ca="1">IFERROR(_xlfn.XLOOKUP(COMPROMISOS_2025[[#This Row],[concatenado]],PAA[[#All],[RCP-RUBRO]],PAA[[#All],[Actividad3]],VLOOKUP(COMPROMISOS_2025[[#This Row],[Indicador Principal]],$AC$2:$AD$17,2,0),0),"")</f>
        <v/>
      </c>
    </row>
    <row r="1690" spans="1:25" hidden="1" x14ac:dyDescent="0.25">
      <c r="A1690">
        <v>1184</v>
      </c>
      <c r="B1690" t="s">
        <v>4164</v>
      </c>
      <c r="C1690" t="s">
        <v>1936</v>
      </c>
      <c r="D1690" t="s">
        <v>4165</v>
      </c>
      <c r="F1690">
        <v>359</v>
      </c>
      <c r="G1690">
        <v>65</v>
      </c>
      <c r="H1690" t="s">
        <v>662</v>
      </c>
      <c r="I1690" t="s">
        <v>2271</v>
      </c>
      <c r="J1690">
        <v>500000</v>
      </c>
      <c r="K1690">
        <v>2025</v>
      </c>
      <c r="L1690">
        <v>1214745505</v>
      </c>
      <c r="M1690" t="s">
        <v>4159</v>
      </c>
      <c r="N1690" t="s">
        <v>1688</v>
      </c>
      <c r="O1690" t="s">
        <v>1686</v>
      </c>
      <c r="P1690">
        <v>0</v>
      </c>
      <c r="Q1690">
        <v>500000</v>
      </c>
      <c r="R1690">
        <v>0</v>
      </c>
      <c r="S1690">
        <v>0</v>
      </c>
      <c r="T1690" t="str">
        <f t="shared" si="52"/>
        <v>11842.43.4302.85.0-205128.2.3.3.08.06.</v>
      </c>
      <c r="U1690" t="e" cm="1">
        <f t="array" aca="1" ref="U1690" ca="1">+IF(COMPROMISOS_2025[[#This Row],[P]]="20","41080111",_xlfn.XLOOKUP(COMPROMISOS_2025[[#This Row],[concatenado]],PAA[[#All],[RCP-RUBRO]],PAA[[#All],[INDICADOR]],"",0))</f>
        <v>#NAME?</v>
      </c>
      <c r="V1690" s="144" t="str">
        <f t="shared" si="53"/>
        <v>85</v>
      </c>
      <c r="W1690" s="136">
        <f>+COMPROMISOS_2025[[#This Row],[valor_total]]-COMPROMISOS_2025[[#This Row],[total_cancelado]]</f>
        <v>500000</v>
      </c>
      <c r="X1690" s="136">
        <f>COMPROMISOS_2025[[#This Row],[total_ordenes]]</f>
        <v>500000</v>
      </c>
      <c r="Y1690" t="str" cm="1">
        <f t="array" aca="1" ref="Y1690" ca="1">IFERROR(_xlfn.XLOOKUP(COMPROMISOS_2025[[#This Row],[concatenado]],PAA[[#All],[RCP-RUBRO]],PAA[[#All],[Actividad3]],VLOOKUP(COMPROMISOS_2025[[#This Row],[Indicador Principal]],$AC$2:$AD$17,2,0),0),"")</f>
        <v/>
      </c>
    </row>
    <row r="1691" spans="1:25" hidden="1" x14ac:dyDescent="0.25">
      <c r="A1691">
        <v>1185</v>
      </c>
      <c r="B1691" t="s">
        <v>4164</v>
      </c>
      <c r="C1691" t="s">
        <v>1936</v>
      </c>
      <c r="D1691" t="s">
        <v>4165</v>
      </c>
      <c r="F1691">
        <v>359</v>
      </c>
      <c r="G1691">
        <v>65</v>
      </c>
      <c r="H1691" t="s">
        <v>662</v>
      </c>
      <c r="I1691" t="s">
        <v>2271</v>
      </c>
      <c r="J1691">
        <v>500000</v>
      </c>
      <c r="K1691">
        <v>2025</v>
      </c>
      <c r="L1691">
        <v>1216720953</v>
      </c>
      <c r="M1691" t="s">
        <v>4160</v>
      </c>
      <c r="N1691" t="s">
        <v>1688</v>
      </c>
      <c r="O1691" t="s">
        <v>1686</v>
      </c>
      <c r="P1691">
        <v>0</v>
      </c>
      <c r="Q1691">
        <v>500000</v>
      </c>
      <c r="R1691">
        <v>0</v>
      </c>
      <c r="S1691">
        <v>0</v>
      </c>
      <c r="T1691" t="str">
        <f t="shared" si="52"/>
        <v>11852.43.4302.85.0-205128.2.3.3.08.06.</v>
      </c>
      <c r="U1691" t="e" cm="1">
        <f t="array" aca="1" ref="U1691" ca="1">+IF(COMPROMISOS_2025[[#This Row],[P]]="20","41080111",_xlfn.XLOOKUP(COMPROMISOS_2025[[#This Row],[concatenado]],PAA[[#All],[RCP-RUBRO]],PAA[[#All],[INDICADOR]],"",0))</f>
        <v>#NAME?</v>
      </c>
      <c r="V1691" s="144" t="str">
        <f t="shared" si="53"/>
        <v>85</v>
      </c>
      <c r="W1691" s="136">
        <f>+COMPROMISOS_2025[[#This Row],[valor_total]]-COMPROMISOS_2025[[#This Row],[total_cancelado]]</f>
        <v>500000</v>
      </c>
      <c r="X1691" s="136">
        <f>COMPROMISOS_2025[[#This Row],[total_ordenes]]</f>
        <v>500000</v>
      </c>
      <c r="Y1691" t="str" cm="1">
        <f t="array" aca="1" ref="Y1691" ca="1">IFERROR(_xlfn.XLOOKUP(COMPROMISOS_2025[[#This Row],[concatenado]],PAA[[#All],[RCP-RUBRO]],PAA[[#All],[Actividad3]],VLOOKUP(COMPROMISOS_2025[[#This Row],[Indicador Principal]],$AC$2:$AD$17,2,0),0),"")</f>
        <v/>
      </c>
    </row>
    <row r="1692" spans="1:25" hidden="1" x14ac:dyDescent="0.25">
      <c r="A1692">
        <v>1186</v>
      </c>
      <c r="B1692" t="s">
        <v>4164</v>
      </c>
      <c r="C1692" t="s">
        <v>1936</v>
      </c>
      <c r="D1692" t="s">
        <v>4165</v>
      </c>
      <c r="F1692">
        <v>359</v>
      </c>
      <c r="G1692">
        <v>65</v>
      </c>
      <c r="H1692" t="s">
        <v>662</v>
      </c>
      <c r="I1692" t="s">
        <v>2271</v>
      </c>
      <c r="J1692">
        <v>500000</v>
      </c>
      <c r="K1692">
        <v>2025</v>
      </c>
      <c r="L1692">
        <v>1216723047</v>
      </c>
      <c r="M1692" t="s">
        <v>4161</v>
      </c>
      <c r="N1692" t="s">
        <v>1688</v>
      </c>
      <c r="O1692" t="s">
        <v>1686</v>
      </c>
      <c r="P1692">
        <v>0</v>
      </c>
      <c r="Q1692">
        <v>500000</v>
      </c>
      <c r="R1692">
        <v>0</v>
      </c>
      <c r="S1692">
        <v>0</v>
      </c>
      <c r="T1692" t="str">
        <f t="shared" si="52"/>
        <v>11862.43.4302.85.0-205128.2.3.3.08.06.</v>
      </c>
      <c r="U1692" t="e" cm="1">
        <f t="array" aca="1" ref="U1692" ca="1">+IF(COMPROMISOS_2025[[#This Row],[P]]="20","41080111",_xlfn.XLOOKUP(COMPROMISOS_2025[[#This Row],[concatenado]],PAA[[#All],[RCP-RUBRO]],PAA[[#All],[INDICADOR]],"",0))</f>
        <v>#NAME?</v>
      </c>
      <c r="V1692" s="144" t="str">
        <f t="shared" si="53"/>
        <v>85</v>
      </c>
      <c r="W1692" s="136">
        <f>+COMPROMISOS_2025[[#This Row],[valor_total]]-COMPROMISOS_2025[[#This Row],[total_cancelado]]</f>
        <v>500000</v>
      </c>
      <c r="X1692" s="136">
        <f>COMPROMISOS_2025[[#This Row],[total_ordenes]]</f>
        <v>500000</v>
      </c>
      <c r="Y1692" t="str" cm="1">
        <f t="array" aca="1" ref="Y1692" ca="1">IFERROR(_xlfn.XLOOKUP(COMPROMISOS_2025[[#This Row],[concatenado]],PAA[[#All],[RCP-RUBRO]],PAA[[#All],[Actividad3]],VLOOKUP(COMPROMISOS_2025[[#This Row],[Indicador Principal]],$AC$2:$AD$17,2,0),0),"")</f>
        <v/>
      </c>
    </row>
    <row r="1693" spans="1:25" hidden="1" x14ac:dyDescent="0.25">
      <c r="A1693">
        <v>1187</v>
      </c>
      <c r="B1693" t="s">
        <v>4164</v>
      </c>
      <c r="C1693" t="s">
        <v>1936</v>
      </c>
      <c r="D1693" t="s">
        <v>4165</v>
      </c>
      <c r="F1693">
        <v>359</v>
      </c>
      <c r="G1693">
        <v>65</v>
      </c>
      <c r="H1693" t="s">
        <v>662</v>
      </c>
      <c r="I1693" t="s">
        <v>2271</v>
      </c>
      <c r="J1693">
        <v>500000</v>
      </c>
      <c r="K1693">
        <v>2025</v>
      </c>
      <c r="L1693">
        <v>1221975893</v>
      </c>
      <c r="M1693" t="s">
        <v>4162</v>
      </c>
      <c r="N1693" t="s">
        <v>1688</v>
      </c>
      <c r="O1693" t="s">
        <v>1686</v>
      </c>
      <c r="P1693">
        <v>0</v>
      </c>
      <c r="Q1693">
        <v>500000</v>
      </c>
      <c r="R1693">
        <v>0</v>
      </c>
      <c r="S1693">
        <v>0</v>
      </c>
      <c r="T1693" t="str">
        <f t="shared" si="52"/>
        <v>11872.43.4302.85.0-205128.2.3.3.08.06.</v>
      </c>
      <c r="U1693" t="e" cm="1">
        <f t="array" aca="1" ref="U1693" ca="1">+IF(COMPROMISOS_2025[[#This Row],[P]]="20","41080111",_xlfn.XLOOKUP(COMPROMISOS_2025[[#This Row],[concatenado]],PAA[[#All],[RCP-RUBRO]],PAA[[#All],[INDICADOR]],"",0))</f>
        <v>#NAME?</v>
      </c>
      <c r="V1693" s="144" t="str">
        <f t="shared" si="53"/>
        <v>85</v>
      </c>
      <c r="W1693" s="136">
        <f>+COMPROMISOS_2025[[#This Row],[valor_total]]-COMPROMISOS_2025[[#This Row],[total_cancelado]]</f>
        <v>500000</v>
      </c>
      <c r="X1693" s="136">
        <f>COMPROMISOS_2025[[#This Row],[total_ordenes]]</f>
        <v>500000</v>
      </c>
      <c r="Y1693" t="str" cm="1">
        <f t="array" aca="1" ref="Y1693" ca="1">IFERROR(_xlfn.XLOOKUP(COMPROMISOS_2025[[#This Row],[concatenado]],PAA[[#All],[RCP-RUBRO]],PAA[[#All],[Actividad3]],VLOOKUP(COMPROMISOS_2025[[#This Row],[Indicador Principal]],$AC$2:$AD$17,2,0),0),"")</f>
        <v/>
      </c>
    </row>
    <row r="1694" spans="1:25" hidden="1" x14ac:dyDescent="0.25">
      <c r="A1694">
        <v>1188</v>
      </c>
      <c r="B1694" t="s">
        <v>4164</v>
      </c>
      <c r="C1694" t="s">
        <v>1936</v>
      </c>
      <c r="D1694" t="s">
        <v>4165</v>
      </c>
      <c r="F1694">
        <v>359</v>
      </c>
      <c r="G1694">
        <v>65</v>
      </c>
      <c r="H1694" t="s">
        <v>662</v>
      </c>
      <c r="I1694" t="s">
        <v>2271</v>
      </c>
      <c r="J1694">
        <v>500000</v>
      </c>
      <c r="K1694">
        <v>2025</v>
      </c>
      <c r="L1694">
        <v>1234988780</v>
      </c>
      <c r="M1694" t="s">
        <v>4163</v>
      </c>
      <c r="N1694" t="s">
        <v>1688</v>
      </c>
      <c r="O1694" t="s">
        <v>1686</v>
      </c>
      <c r="P1694">
        <v>0</v>
      </c>
      <c r="Q1694">
        <v>500000</v>
      </c>
      <c r="R1694">
        <v>0</v>
      </c>
      <c r="S1694">
        <v>0</v>
      </c>
      <c r="T1694" t="str">
        <f t="shared" si="52"/>
        <v>11882.43.4302.85.0-205128.2.3.3.08.06.</v>
      </c>
      <c r="U1694" t="e" cm="1">
        <f t="array" aca="1" ref="U1694" ca="1">+IF(COMPROMISOS_2025[[#This Row],[P]]="20","41080111",_xlfn.XLOOKUP(COMPROMISOS_2025[[#This Row],[concatenado]],PAA[[#All],[RCP-RUBRO]],PAA[[#All],[INDICADOR]],"",0))</f>
        <v>#NAME?</v>
      </c>
      <c r="V1694" s="144" t="str">
        <f t="shared" si="53"/>
        <v>85</v>
      </c>
      <c r="W1694" s="136">
        <f>+COMPROMISOS_2025[[#This Row],[valor_total]]-COMPROMISOS_2025[[#This Row],[total_cancelado]]</f>
        <v>500000</v>
      </c>
      <c r="X1694" s="136">
        <f>COMPROMISOS_2025[[#This Row],[total_ordenes]]</f>
        <v>500000</v>
      </c>
      <c r="Y1694" t="str" cm="1">
        <f t="array" aca="1" ref="Y1694" ca="1">IFERROR(_xlfn.XLOOKUP(COMPROMISOS_2025[[#This Row],[concatenado]],PAA[[#All],[RCP-RUBRO]],PAA[[#All],[Actividad3]],VLOOKUP(COMPROMISOS_2025[[#This Row],[Indicador Principal]],$AC$2:$AD$17,2,0),0),"")</f>
        <v/>
      </c>
    </row>
    <row r="1695" spans="1:25" hidden="1" x14ac:dyDescent="0.25">
      <c r="A1695">
        <v>1207</v>
      </c>
      <c r="B1695" t="s">
        <v>2491</v>
      </c>
      <c r="C1695" t="s">
        <v>1936</v>
      </c>
      <c r="D1695" t="s">
        <v>4182</v>
      </c>
      <c r="F1695">
        <v>406</v>
      </c>
      <c r="G1695">
        <v>65</v>
      </c>
      <c r="H1695" t="s">
        <v>662</v>
      </c>
      <c r="I1695" t="s">
        <v>2271</v>
      </c>
      <c r="J1695">
        <v>1067625</v>
      </c>
      <c r="K1695">
        <v>2025</v>
      </c>
      <c r="L1695">
        <v>570487</v>
      </c>
      <c r="M1695" t="s">
        <v>3576</v>
      </c>
      <c r="N1695" t="s">
        <v>1688</v>
      </c>
      <c r="O1695" t="s">
        <v>1686</v>
      </c>
      <c r="P1695">
        <v>0</v>
      </c>
      <c r="Q1695">
        <v>1067625</v>
      </c>
      <c r="R1695">
        <v>0</v>
      </c>
      <c r="S1695">
        <v>0</v>
      </c>
      <c r="T1695" t="str">
        <f t="shared" si="52"/>
        <v>12072.43.4302.85.0-205128.2.3.3.08.06.</v>
      </c>
      <c r="U1695" t="e" cm="1">
        <f t="array" aca="1" ref="U1695" ca="1">+IF(COMPROMISOS_2025[[#This Row],[P]]="20","41080111",_xlfn.XLOOKUP(COMPROMISOS_2025[[#This Row],[concatenado]],PAA[[#All],[RCP-RUBRO]],PAA[[#All],[INDICADOR]],"",0))</f>
        <v>#NAME?</v>
      </c>
      <c r="V1695" s="144" t="str">
        <f t="shared" si="53"/>
        <v>85</v>
      </c>
      <c r="W1695" s="136">
        <f>+COMPROMISOS_2025[[#This Row],[valor_total]]-COMPROMISOS_2025[[#This Row],[total_cancelado]]</f>
        <v>1067625</v>
      </c>
      <c r="X1695" s="136">
        <f>COMPROMISOS_2025[[#This Row],[total_ordenes]]</f>
        <v>1067625</v>
      </c>
      <c r="Y1695" t="str" cm="1">
        <f t="array" aca="1" ref="Y1695" ca="1">IFERROR(_xlfn.XLOOKUP(COMPROMISOS_2025[[#This Row],[concatenado]],PAA[[#All],[RCP-RUBRO]],PAA[[#All],[Actividad3]],VLOOKUP(COMPROMISOS_2025[[#This Row],[Indicador Principal]],$AC$2:$AD$17,2,0),0),"")</f>
        <v/>
      </c>
    </row>
    <row r="1696" spans="1:25" hidden="1" x14ac:dyDescent="0.25">
      <c r="A1696">
        <v>1208</v>
      </c>
      <c r="B1696" t="s">
        <v>2491</v>
      </c>
      <c r="C1696" t="s">
        <v>1936</v>
      </c>
      <c r="D1696" t="s">
        <v>4182</v>
      </c>
      <c r="F1696">
        <v>406</v>
      </c>
      <c r="G1696">
        <v>65</v>
      </c>
      <c r="H1696" t="s">
        <v>662</v>
      </c>
      <c r="I1696" t="s">
        <v>2271</v>
      </c>
      <c r="J1696">
        <v>1067625</v>
      </c>
      <c r="K1696">
        <v>2025</v>
      </c>
      <c r="L1696">
        <v>1443638</v>
      </c>
      <c r="M1696" t="s">
        <v>3577</v>
      </c>
      <c r="N1696" t="s">
        <v>1688</v>
      </c>
      <c r="O1696" t="s">
        <v>1686</v>
      </c>
      <c r="P1696">
        <v>0</v>
      </c>
      <c r="Q1696">
        <v>1067625</v>
      </c>
      <c r="R1696">
        <v>0</v>
      </c>
      <c r="S1696">
        <v>0</v>
      </c>
      <c r="T1696" t="str">
        <f t="shared" si="52"/>
        <v>12082.43.4302.85.0-205128.2.3.3.08.06.</v>
      </c>
      <c r="U1696" t="e" cm="1">
        <f t="array" aca="1" ref="U1696" ca="1">+IF(COMPROMISOS_2025[[#This Row],[P]]="20","41080111",_xlfn.XLOOKUP(COMPROMISOS_2025[[#This Row],[concatenado]],PAA[[#All],[RCP-RUBRO]],PAA[[#All],[INDICADOR]],"",0))</f>
        <v>#NAME?</v>
      </c>
      <c r="V1696" s="144" t="str">
        <f t="shared" si="53"/>
        <v>85</v>
      </c>
      <c r="W1696" s="136">
        <f>+COMPROMISOS_2025[[#This Row],[valor_total]]-COMPROMISOS_2025[[#This Row],[total_cancelado]]</f>
        <v>1067625</v>
      </c>
      <c r="X1696" s="136">
        <f>COMPROMISOS_2025[[#This Row],[total_ordenes]]</f>
        <v>1067625</v>
      </c>
      <c r="Y1696" t="str" cm="1">
        <f t="array" aca="1" ref="Y1696" ca="1">IFERROR(_xlfn.XLOOKUP(COMPROMISOS_2025[[#This Row],[concatenado]],PAA[[#All],[RCP-RUBRO]],PAA[[#All],[Actividad3]],VLOOKUP(COMPROMISOS_2025[[#This Row],[Indicador Principal]],$AC$2:$AD$17,2,0),0),"")</f>
        <v/>
      </c>
    </row>
    <row r="1697" spans="1:25" hidden="1" x14ac:dyDescent="0.25">
      <c r="A1697">
        <v>1209</v>
      </c>
      <c r="B1697" t="s">
        <v>2491</v>
      </c>
      <c r="C1697" t="s">
        <v>1936</v>
      </c>
      <c r="D1697" t="s">
        <v>4182</v>
      </c>
      <c r="F1697">
        <v>406</v>
      </c>
      <c r="G1697">
        <v>65</v>
      </c>
      <c r="H1697" t="s">
        <v>662</v>
      </c>
      <c r="I1697" t="s">
        <v>2271</v>
      </c>
      <c r="J1697">
        <v>4270500</v>
      </c>
      <c r="K1697">
        <v>2025</v>
      </c>
      <c r="L1697">
        <v>3391561</v>
      </c>
      <c r="M1697" t="s">
        <v>4183</v>
      </c>
      <c r="N1697" t="s">
        <v>1688</v>
      </c>
      <c r="O1697" t="s">
        <v>1686</v>
      </c>
      <c r="P1697">
        <v>0</v>
      </c>
      <c r="Q1697">
        <v>4270500</v>
      </c>
      <c r="R1697">
        <v>0</v>
      </c>
      <c r="S1697">
        <v>0</v>
      </c>
      <c r="T1697" t="str">
        <f t="shared" si="52"/>
        <v>12092.43.4302.85.0-205128.2.3.3.08.06.</v>
      </c>
      <c r="U1697" t="e" cm="1">
        <f t="array" aca="1" ref="U1697" ca="1">+IF(COMPROMISOS_2025[[#This Row],[P]]="20","41080111",_xlfn.XLOOKUP(COMPROMISOS_2025[[#This Row],[concatenado]],PAA[[#All],[RCP-RUBRO]],PAA[[#All],[INDICADOR]],"",0))</f>
        <v>#NAME?</v>
      </c>
      <c r="V1697" s="144" t="str">
        <f t="shared" si="53"/>
        <v>85</v>
      </c>
      <c r="W1697" s="136">
        <f>+COMPROMISOS_2025[[#This Row],[valor_total]]-COMPROMISOS_2025[[#This Row],[total_cancelado]]</f>
        <v>4270500</v>
      </c>
      <c r="X1697" s="136">
        <f>COMPROMISOS_2025[[#This Row],[total_ordenes]]</f>
        <v>4270500</v>
      </c>
      <c r="Y1697" t="str" cm="1">
        <f t="array" aca="1" ref="Y1697" ca="1">IFERROR(_xlfn.XLOOKUP(COMPROMISOS_2025[[#This Row],[concatenado]],PAA[[#All],[RCP-RUBRO]],PAA[[#All],[Actividad3]],VLOOKUP(COMPROMISOS_2025[[#This Row],[Indicador Principal]],$AC$2:$AD$17,2,0),0),"")</f>
        <v/>
      </c>
    </row>
    <row r="1698" spans="1:25" hidden="1" x14ac:dyDescent="0.25">
      <c r="A1698">
        <v>1210</v>
      </c>
      <c r="B1698" t="s">
        <v>2491</v>
      </c>
      <c r="C1698" t="s">
        <v>1936</v>
      </c>
      <c r="D1698" t="s">
        <v>4182</v>
      </c>
      <c r="F1698">
        <v>406</v>
      </c>
      <c r="G1698">
        <v>65</v>
      </c>
      <c r="H1698" t="s">
        <v>662</v>
      </c>
      <c r="I1698" t="s">
        <v>2271</v>
      </c>
      <c r="J1698">
        <v>711750</v>
      </c>
      <c r="K1698">
        <v>2025</v>
      </c>
      <c r="L1698">
        <v>4907627</v>
      </c>
      <c r="M1698" t="s">
        <v>3578</v>
      </c>
      <c r="N1698" t="s">
        <v>1688</v>
      </c>
      <c r="O1698" t="s">
        <v>1686</v>
      </c>
      <c r="P1698">
        <v>0</v>
      </c>
      <c r="Q1698">
        <v>711750</v>
      </c>
      <c r="R1698">
        <v>0</v>
      </c>
      <c r="S1698">
        <v>0</v>
      </c>
      <c r="T1698" t="str">
        <f t="shared" si="52"/>
        <v>12102.43.4302.85.0-205128.2.3.3.08.06.</v>
      </c>
      <c r="U1698" t="e" cm="1">
        <f t="array" aca="1" ref="U1698" ca="1">+IF(COMPROMISOS_2025[[#This Row],[P]]="20","41080111",_xlfn.XLOOKUP(COMPROMISOS_2025[[#This Row],[concatenado]],PAA[[#All],[RCP-RUBRO]],PAA[[#All],[INDICADOR]],"",0))</f>
        <v>#NAME?</v>
      </c>
      <c r="V1698" s="144" t="str">
        <f t="shared" si="53"/>
        <v>85</v>
      </c>
      <c r="W1698" s="136">
        <f>+COMPROMISOS_2025[[#This Row],[valor_total]]-COMPROMISOS_2025[[#This Row],[total_cancelado]]</f>
        <v>711750</v>
      </c>
      <c r="X1698" s="136">
        <f>COMPROMISOS_2025[[#This Row],[total_ordenes]]</f>
        <v>711750</v>
      </c>
      <c r="Y1698" t="str" cm="1">
        <f t="array" aca="1" ref="Y1698" ca="1">IFERROR(_xlfn.XLOOKUP(COMPROMISOS_2025[[#This Row],[concatenado]],PAA[[#All],[RCP-RUBRO]],PAA[[#All],[Actividad3]],VLOOKUP(COMPROMISOS_2025[[#This Row],[Indicador Principal]],$AC$2:$AD$17,2,0),0),"")</f>
        <v/>
      </c>
    </row>
    <row r="1699" spans="1:25" hidden="1" x14ac:dyDescent="0.25">
      <c r="A1699">
        <v>1211</v>
      </c>
      <c r="B1699" t="s">
        <v>2491</v>
      </c>
      <c r="C1699" t="s">
        <v>1936</v>
      </c>
      <c r="D1699" t="s">
        <v>4182</v>
      </c>
      <c r="F1699">
        <v>406</v>
      </c>
      <c r="G1699">
        <v>65</v>
      </c>
      <c r="H1699" t="s">
        <v>662</v>
      </c>
      <c r="I1699" t="s">
        <v>2271</v>
      </c>
      <c r="J1699">
        <v>711750</v>
      </c>
      <c r="K1699">
        <v>2025</v>
      </c>
      <c r="L1699">
        <v>5333598</v>
      </c>
      <c r="M1699" t="s">
        <v>3579</v>
      </c>
      <c r="N1699" t="s">
        <v>1688</v>
      </c>
      <c r="O1699" t="s">
        <v>1686</v>
      </c>
      <c r="P1699">
        <v>0</v>
      </c>
      <c r="Q1699">
        <v>711750</v>
      </c>
      <c r="R1699">
        <v>0</v>
      </c>
      <c r="S1699">
        <v>0</v>
      </c>
      <c r="T1699" t="str">
        <f t="shared" si="52"/>
        <v>12112.43.4302.85.0-205128.2.3.3.08.06.</v>
      </c>
      <c r="U1699" t="e" cm="1">
        <f t="array" aca="1" ref="U1699" ca="1">+IF(COMPROMISOS_2025[[#This Row],[P]]="20","41080111",_xlfn.XLOOKUP(COMPROMISOS_2025[[#This Row],[concatenado]],PAA[[#All],[RCP-RUBRO]],PAA[[#All],[INDICADOR]],"",0))</f>
        <v>#NAME?</v>
      </c>
      <c r="V1699" s="144" t="str">
        <f t="shared" si="53"/>
        <v>85</v>
      </c>
      <c r="W1699" s="136">
        <f>+COMPROMISOS_2025[[#This Row],[valor_total]]-COMPROMISOS_2025[[#This Row],[total_cancelado]]</f>
        <v>711750</v>
      </c>
      <c r="X1699" s="136">
        <f>COMPROMISOS_2025[[#This Row],[total_ordenes]]</f>
        <v>711750</v>
      </c>
      <c r="Y1699" t="str" cm="1">
        <f t="array" aca="1" ref="Y1699" ca="1">IFERROR(_xlfn.XLOOKUP(COMPROMISOS_2025[[#This Row],[concatenado]],PAA[[#All],[RCP-RUBRO]],PAA[[#All],[Actividad3]],VLOOKUP(COMPROMISOS_2025[[#This Row],[Indicador Principal]],$AC$2:$AD$17,2,0),0),"")</f>
        <v/>
      </c>
    </row>
    <row r="1700" spans="1:25" hidden="1" x14ac:dyDescent="0.25">
      <c r="A1700">
        <v>1212</v>
      </c>
      <c r="B1700" t="s">
        <v>2491</v>
      </c>
      <c r="C1700" t="s">
        <v>1936</v>
      </c>
      <c r="D1700" t="s">
        <v>4182</v>
      </c>
      <c r="F1700">
        <v>406</v>
      </c>
      <c r="G1700">
        <v>65</v>
      </c>
      <c r="H1700" t="s">
        <v>662</v>
      </c>
      <c r="I1700" t="s">
        <v>2271</v>
      </c>
      <c r="J1700">
        <v>711750</v>
      </c>
      <c r="K1700">
        <v>2025</v>
      </c>
      <c r="L1700">
        <v>5692692</v>
      </c>
      <c r="M1700" t="s">
        <v>4184</v>
      </c>
      <c r="N1700" t="s">
        <v>1688</v>
      </c>
      <c r="O1700" t="s">
        <v>1686</v>
      </c>
      <c r="P1700">
        <v>0</v>
      </c>
      <c r="Q1700">
        <v>711750</v>
      </c>
      <c r="R1700">
        <v>0</v>
      </c>
      <c r="S1700">
        <v>0</v>
      </c>
      <c r="T1700" t="str">
        <f t="shared" si="52"/>
        <v>12122.43.4302.85.0-205128.2.3.3.08.06.</v>
      </c>
      <c r="U1700" t="e" cm="1">
        <f t="array" aca="1" ref="U1700" ca="1">+IF(COMPROMISOS_2025[[#This Row],[P]]="20","41080111",_xlfn.XLOOKUP(COMPROMISOS_2025[[#This Row],[concatenado]],PAA[[#All],[RCP-RUBRO]],PAA[[#All],[INDICADOR]],"",0))</f>
        <v>#NAME?</v>
      </c>
      <c r="V1700" s="144" t="str">
        <f t="shared" si="53"/>
        <v>85</v>
      </c>
      <c r="W1700" s="136">
        <f>+COMPROMISOS_2025[[#This Row],[valor_total]]-COMPROMISOS_2025[[#This Row],[total_cancelado]]</f>
        <v>711750</v>
      </c>
      <c r="X1700" s="136">
        <f>COMPROMISOS_2025[[#This Row],[total_ordenes]]</f>
        <v>711750</v>
      </c>
      <c r="Y1700" t="str" cm="1">
        <f t="array" aca="1" ref="Y1700" ca="1">IFERROR(_xlfn.XLOOKUP(COMPROMISOS_2025[[#This Row],[concatenado]],PAA[[#All],[RCP-RUBRO]],PAA[[#All],[Actividad3]],VLOOKUP(COMPROMISOS_2025[[#This Row],[Indicador Principal]],$AC$2:$AD$17,2,0),0),"")</f>
        <v/>
      </c>
    </row>
    <row r="1701" spans="1:25" hidden="1" x14ac:dyDescent="0.25">
      <c r="A1701">
        <v>1213</v>
      </c>
      <c r="B1701" t="s">
        <v>2491</v>
      </c>
      <c r="C1701" t="s">
        <v>1936</v>
      </c>
      <c r="D1701" t="s">
        <v>4182</v>
      </c>
      <c r="F1701">
        <v>406</v>
      </c>
      <c r="G1701">
        <v>65</v>
      </c>
      <c r="H1701" t="s">
        <v>662</v>
      </c>
      <c r="I1701" t="s">
        <v>2271</v>
      </c>
      <c r="J1701">
        <v>1423500</v>
      </c>
      <c r="K1701">
        <v>2025</v>
      </c>
      <c r="L1701">
        <v>7308832</v>
      </c>
      <c r="M1701" t="s">
        <v>4185</v>
      </c>
      <c r="N1701" t="s">
        <v>1688</v>
      </c>
      <c r="O1701" t="s">
        <v>1686</v>
      </c>
      <c r="P1701">
        <v>0</v>
      </c>
      <c r="Q1701">
        <v>1423500</v>
      </c>
      <c r="R1701">
        <v>0</v>
      </c>
      <c r="S1701">
        <v>0</v>
      </c>
      <c r="T1701" t="str">
        <f t="shared" si="52"/>
        <v>12132.43.4302.85.0-205128.2.3.3.08.06.</v>
      </c>
      <c r="U1701" t="e" cm="1">
        <f t="array" aca="1" ref="U1701" ca="1">+IF(COMPROMISOS_2025[[#This Row],[P]]="20","41080111",_xlfn.XLOOKUP(COMPROMISOS_2025[[#This Row],[concatenado]],PAA[[#All],[RCP-RUBRO]],PAA[[#All],[INDICADOR]],"",0))</f>
        <v>#NAME?</v>
      </c>
      <c r="V1701" s="144" t="str">
        <f t="shared" si="53"/>
        <v>85</v>
      </c>
      <c r="W1701" s="136">
        <f>+COMPROMISOS_2025[[#This Row],[valor_total]]-COMPROMISOS_2025[[#This Row],[total_cancelado]]</f>
        <v>1423500</v>
      </c>
      <c r="X1701" s="136">
        <f>COMPROMISOS_2025[[#This Row],[total_ordenes]]</f>
        <v>1423500</v>
      </c>
      <c r="Y1701" t="str" cm="1">
        <f t="array" aca="1" ref="Y1701" ca="1">IFERROR(_xlfn.XLOOKUP(COMPROMISOS_2025[[#This Row],[concatenado]],PAA[[#All],[RCP-RUBRO]],PAA[[#All],[Actividad3]],VLOOKUP(COMPROMISOS_2025[[#This Row],[Indicador Principal]],$AC$2:$AD$17,2,0),0),"")</f>
        <v/>
      </c>
    </row>
    <row r="1702" spans="1:25" hidden="1" x14ac:dyDescent="0.25">
      <c r="A1702">
        <v>1214</v>
      </c>
      <c r="B1702" t="s">
        <v>2491</v>
      </c>
      <c r="C1702" t="s">
        <v>1936</v>
      </c>
      <c r="D1702" t="s">
        <v>4182</v>
      </c>
      <c r="F1702">
        <v>406</v>
      </c>
      <c r="G1702">
        <v>65</v>
      </c>
      <c r="H1702" t="s">
        <v>662</v>
      </c>
      <c r="I1702" t="s">
        <v>2271</v>
      </c>
      <c r="J1702">
        <v>1423500</v>
      </c>
      <c r="K1702">
        <v>2025</v>
      </c>
      <c r="L1702">
        <v>7319786</v>
      </c>
      <c r="M1702" t="s">
        <v>3494</v>
      </c>
      <c r="N1702" t="s">
        <v>1688</v>
      </c>
      <c r="O1702" t="s">
        <v>1686</v>
      </c>
      <c r="P1702">
        <v>0</v>
      </c>
      <c r="Q1702">
        <v>1423500</v>
      </c>
      <c r="R1702">
        <v>0</v>
      </c>
      <c r="S1702">
        <v>0</v>
      </c>
      <c r="T1702" t="str">
        <f t="shared" si="52"/>
        <v>12142.43.4302.85.0-205128.2.3.3.08.06.</v>
      </c>
      <c r="U1702" t="e" cm="1">
        <f t="array" aca="1" ref="U1702" ca="1">+IF(COMPROMISOS_2025[[#This Row],[P]]="20","41080111",_xlfn.XLOOKUP(COMPROMISOS_2025[[#This Row],[concatenado]],PAA[[#All],[RCP-RUBRO]],PAA[[#All],[INDICADOR]],"",0))</f>
        <v>#NAME?</v>
      </c>
      <c r="V1702" s="144" t="str">
        <f t="shared" si="53"/>
        <v>85</v>
      </c>
      <c r="W1702" s="136">
        <f>+COMPROMISOS_2025[[#This Row],[valor_total]]-COMPROMISOS_2025[[#This Row],[total_cancelado]]</f>
        <v>1423500</v>
      </c>
      <c r="X1702" s="136">
        <f>COMPROMISOS_2025[[#This Row],[total_ordenes]]</f>
        <v>1423500</v>
      </c>
      <c r="Y1702" t="str" cm="1">
        <f t="array" aca="1" ref="Y1702" ca="1">IFERROR(_xlfn.XLOOKUP(COMPROMISOS_2025[[#This Row],[concatenado]],PAA[[#All],[RCP-RUBRO]],PAA[[#All],[Actividad3]],VLOOKUP(COMPROMISOS_2025[[#This Row],[Indicador Principal]],$AC$2:$AD$17,2,0),0),"")</f>
        <v/>
      </c>
    </row>
    <row r="1703" spans="1:25" hidden="1" x14ac:dyDescent="0.25">
      <c r="A1703">
        <v>1215</v>
      </c>
      <c r="B1703" t="s">
        <v>2491</v>
      </c>
      <c r="C1703" t="s">
        <v>1936</v>
      </c>
      <c r="D1703" t="s">
        <v>4182</v>
      </c>
      <c r="F1703">
        <v>406</v>
      </c>
      <c r="G1703">
        <v>65</v>
      </c>
      <c r="H1703" t="s">
        <v>662</v>
      </c>
      <c r="I1703" t="s">
        <v>2271</v>
      </c>
      <c r="J1703">
        <v>1423500</v>
      </c>
      <c r="K1703">
        <v>2025</v>
      </c>
      <c r="L1703">
        <v>8027439</v>
      </c>
      <c r="M1703" t="s">
        <v>3918</v>
      </c>
      <c r="N1703" t="s">
        <v>1688</v>
      </c>
      <c r="O1703" t="s">
        <v>1686</v>
      </c>
      <c r="P1703">
        <v>0</v>
      </c>
      <c r="Q1703">
        <v>1423500</v>
      </c>
      <c r="R1703">
        <v>0</v>
      </c>
      <c r="S1703">
        <v>0</v>
      </c>
      <c r="T1703" t="str">
        <f t="shared" si="52"/>
        <v>12152.43.4302.85.0-205128.2.3.3.08.06.</v>
      </c>
      <c r="U1703" t="e" cm="1">
        <f t="array" aca="1" ref="U1703" ca="1">+IF(COMPROMISOS_2025[[#This Row],[P]]="20","41080111",_xlfn.XLOOKUP(COMPROMISOS_2025[[#This Row],[concatenado]],PAA[[#All],[RCP-RUBRO]],PAA[[#All],[INDICADOR]],"",0))</f>
        <v>#NAME?</v>
      </c>
      <c r="V1703" s="144" t="str">
        <f t="shared" si="53"/>
        <v>85</v>
      </c>
      <c r="W1703" s="136">
        <f>+COMPROMISOS_2025[[#This Row],[valor_total]]-COMPROMISOS_2025[[#This Row],[total_cancelado]]</f>
        <v>1423500</v>
      </c>
      <c r="X1703" s="136">
        <f>COMPROMISOS_2025[[#This Row],[total_ordenes]]</f>
        <v>1423500</v>
      </c>
      <c r="Y1703" t="str" cm="1">
        <f t="array" aca="1" ref="Y1703" ca="1">IFERROR(_xlfn.XLOOKUP(COMPROMISOS_2025[[#This Row],[concatenado]],PAA[[#All],[RCP-RUBRO]],PAA[[#All],[Actividad3]],VLOOKUP(COMPROMISOS_2025[[#This Row],[Indicador Principal]],$AC$2:$AD$17,2,0),0),"")</f>
        <v/>
      </c>
    </row>
    <row r="1704" spans="1:25" hidden="1" x14ac:dyDescent="0.25">
      <c r="A1704">
        <v>1216</v>
      </c>
      <c r="B1704" t="s">
        <v>2491</v>
      </c>
      <c r="C1704" t="s">
        <v>1936</v>
      </c>
      <c r="D1704" t="s">
        <v>4182</v>
      </c>
      <c r="F1704">
        <v>406</v>
      </c>
      <c r="G1704">
        <v>65</v>
      </c>
      <c r="H1704" t="s">
        <v>662</v>
      </c>
      <c r="I1704" t="s">
        <v>2271</v>
      </c>
      <c r="J1704">
        <v>2847000</v>
      </c>
      <c r="K1704">
        <v>2025</v>
      </c>
      <c r="L1704">
        <v>8466228</v>
      </c>
      <c r="M1704" t="s">
        <v>3919</v>
      </c>
      <c r="N1704" t="s">
        <v>1688</v>
      </c>
      <c r="O1704" t="s">
        <v>1686</v>
      </c>
      <c r="P1704">
        <v>0</v>
      </c>
      <c r="Q1704">
        <v>2847000</v>
      </c>
      <c r="R1704">
        <v>0</v>
      </c>
      <c r="S1704">
        <v>0</v>
      </c>
      <c r="T1704" t="str">
        <f t="shared" si="52"/>
        <v>12162.43.4302.85.0-205128.2.3.3.08.06.</v>
      </c>
      <c r="U1704" t="e" cm="1">
        <f t="array" aca="1" ref="U1704" ca="1">+IF(COMPROMISOS_2025[[#This Row],[P]]="20","41080111",_xlfn.XLOOKUP(COMPROMISOS_2025[[#This Row],[concatenado]],PAA[[#All],[RCP-RUBRO]],PAA[[#All],[INDICADOR]],"",0))</f>
        <v>#NAME?</v>
      </c>
      <c r="V1704" s="144" t="str">
        <f t="shared" si="53"/>
        <v>85</v>
      </c>
      <c r="W1704" s="136">
        <f>+COMPROMISOS_2025[[#This Row],[valor_total]]-COMPROMISOS_2025[[#This Row],[total_cancelado]]</f>
        <v>2847000</v>
      </c>
      <c r="X1704" s="136">
        <f>COMPROMISOS_2025[[#This Row],[total_ordenes]]</f>
        <v>2847000</v>
      </c>
      <c r="Y1704" t="str" cm="1">
        <f t="array" aca="1" ref="Y1704" ca="1">IFERROR(_xlfn.XLOOKUP(COMPROMISOS_2025[[#This Row],[concatenado]],PAA[[#All],[RCP-RUBRO]],PAA[[#All],[Actividad3]],VLOOKUP(COMPROMISOS_2025[[#This Row],[Indicador Principal]],$AC$2:$AD$17,2,0),0),"")</f>
        <v/>
      </c>
    </row>
    <row r="1705" spans="1:25" hidden="1" x14ac:dyDescent="0.25">
      <c r="A1705">
        <v>1217</v>
      </c>
      <c r="B1705" t="s">
        <v>2491</v>
      </c>
      <c r="C1705" t="s">
        <v>1936</v>
      </c>
      <c r="D1705" t="s">
        <v>4182</v>
      </c>
      <c r="F1705">
        <v>406</v>
      </c>
      <c r="G1705">
        <v>65</v>
      </c>
      <c r="H1705" t="s">
        <v>662</v>
      </c>
      <c r="I1705" t="s">
        <v>2271</v>
      </c>
      <c r="J1705">
        <v>2847000</v>
      </c>
      <c r="K1705">
        <v>2025</v>
      </c>
      <c r="L1705">
        <v>8791266</v>
      </c>
      <c r="M1705" t="s">
        <v>4186</v>
      </c>
      <c r="N1705" t="s">
        <v>1688</v>
      </c>
      <c r="O1705" t="s">
        <v>1686</v>
      </c>
      <c r="P1705">
        <v>0</v>
      </c>
      <c r="Q1705">
        <v>2847000</v>
      </c>
      <c r="R1705">
        <v>0</v>
      </c>
      <c r="S1705">
        <v>0</v>
      </c>
      <c r="T1705" t="str">
        <f t="shared" si="52"/>
        <v>12172.43.4302.85.0-205128.2.3.3.08.06.</v>
      </c>
      <c r="U1705" t="e" cm="1">
        <f t="array" aca="1" ref="U1705" ca="1">+IF(COMPROMISOS_2025[[#This Row],[P]]="20","41080111",_xlfn.XLOOKUP(COMPROMISOS_2025[[#This Row],[concatenado]],PAA[[#All],[RCP-RUBRO]],PAA[[#All],[INDICADOR]],"",0))</f>
        <v>#NAME?</v>
      </c>
      <c r="V1705" s="144" t="str">
        <f t="shared" si="53"/>
        <v>85</v>
      </c>
      <c r="W1705" s="136">
        <f>+COMPROMISOS_2025[[#This Row],[valor_total]]-COMPROMISOS_2025[[#This Row],[total_cancelado]]</f>
        <v>2847000</v>
      </c>
      <c r="X1705" s="136">
        <f>COMPROMISOS_2025[[#This Row],[total_ordenes]]</f>
        <v>2847000</v>
      </c>
      <c r="Y1705" t="str" cm="1">
        <f t="array" aca="1" ref="Y1705" ca="1">IFERROR(_xlfn.XLOOKUP(COMPROMISOS_2025[[#This Row],[concatenado]],PAA[[#All],[RCP-RUBRO]],PAA[[#All],[Actividad3]],VLOOKUP(COMPROMISOS_2025[[#This Row],[Indicador Principal]],$AC$2:$AD$17,2,0),0),"")</f>
        <v/>
      </c>
    </row>
    <row r="1706" spans="1:25" hidden="1" x14ac:dyDescent="0.25">
      <c r="A1706">
        <v>1218</v>
      </c>
      <c r="B1706" t="s">
        <v>2491</v>
      </c>
      <c r="C1706" t="s">
        <v>1936</v>
      </c>
      <c r="D1706" t="s">
        <v>4182</v>
      </c>
      <c r="F1706">
        <v>406</v>
      </c>
      <c r="G1706">
        <v>65</v>
      </c>
      <c r="H1706" t="s">
        <v>662</v>
      </c>
      <c r="I1706" t="s">
        <v>2271</v>
      </c>
      <c r="J1706">
        <v>2847000</v>
      </c>
      <c r="K1706">
        <v>2025</v>
      </c>
      <c r="L1706">
        <v>9729766</v>
      </c>
      <c r="M1706" t="s">
        <v>3074</v>
      </c>
      <c r="N1706" t="s">
        <v>1688</v>
      </c>
      <c r="O1706" t="s">
        <v>1686</v>
      </c>
      <c r="P1706">
        <v>0</v>
      </c>
      <c r="Q1706">
        <v>2847000</v>
      </c>
      <c r="R1706">
        <v>0</v>
      </c>
      <c r="S1706">
        <v>0</v>
      </c>
      <c r="T1706" t="str">
        <f t="shared" si="52"/>
        <v>12182.43.4302.85.0-205128.2.3.3.08.06.</v>
      </c>
      <c r="U1706" t="e" cm="1">
        <f t="array" aca="1" ref="U1706" ca="1">+IF(COMPROMISOS_2025[[#This Row],[P]]="20","41080111",_xlfn.XLOOKUP(COMPROMISOS_2025[[#This Row],[concatenado]],PAA[[#All],[RCP-RUBRO]],PAA[[#All],[INDICADOR]],"",0))</f>
        <v>#NAME?</v>
      </c>
      <c r="V1706" s="144" t="str">
        <f t="shared" si="53"/>
        <v>85</v>
      </c>
      <c r="W1706" s="136">
        <f>+COMPROMISOS_2025[[#This Row],[valor_total]]-COMPROMISOS_2025[[#This Row],[total_cancelado]]</f>
        <v>2847000</v>
      </c>
      <c r="X1706" s="136">
        <f>COMPROMISOS_2025[[#This Row],[total_ordenes]]</f>
        <v>2847000</v>
      </c>
      <c r="Y1706" t="str" cm="1">
        <f t="array" aca="1" ref="Y1706" ca="1">IFERROR(_xlfn.XLOOKUP(COMPROMISOS_2025[[#This Row],[concatenado]],PAA[[#All],[RCP-RUBRO]],PAA[[#All],[Actividad3]],VLOOKUP(COMPROMISOS_2025[[#This Row],[Indicador Principal]],$AC$2:$AD$17,2,0),0),"")</f>
        <v/>
      </c>
    </row>
    <row r="1707" spans="1:25" hidden="1" x14ac:dyDescent="0.25">
      <c r="A1707">
        <v>1219</v>
      </c>
      <c r="B1707" t="s">
        <v>2491</v>
      </c>
      <c r="C1707" t="s">
        <v>1936</v>
      </c>
      <c r="D1707" t="s">
        <v>4182</v>
      </c>
      <c r="F1707">
        <v>406</v>
      </c>
      <c r="G1707">
        <v>65</v>
      </c>
      <c r="H1707" t="s">
        <v>662</v>
      </c>
      <c r="I1707" t="s">
        <v>2271</v>
      </c>
      <c r="J1707">
        <v>1423500</v>
      </c>
      <c r="K1707">
        <v>2025</v>
      </c>
      <c r="L1707">
        <v>15488291</v>
      </c>
      <c r="M1707" t="s">
        <v>4187</v>
      </c>
      <c r="N1707" t="s">
        <v>1688</v>
      </c>
      <c r="O1707" t="s">
        <v>1686</v>
      </c>
      <c r="P1707">
        <v>0</v>
      </c>
      <c r="Q1707">
        <v>1423500</v>
      </c>
      <c r="R1707">
        <v>0</v>
      </c>
      <c r="S1707">
        <v>0</v>
      </c>
      <c r="T1707" t="str">
        <f t="shared" si="52"/>
        <v>12192.43.4302.85.0-205128.2.3.3.08.06.</v>
      </c>
      <c r="U1707" t="e" cm="1">
        <f t="array" aca="1" ref="U1707" ca="1">+IF(COMPROMISOS_2025[[#This Row],[P]]="20","41080111",_xlfn.XLOOKUP(COMPROMISOS_2025[[#This Row],[concatenado]],PAA[[#All],[RCP-RUBRO]],PAA[[#All],[INDICADOR]],"",0))</f>
        <v>#NAME?</v>
      </c>
      <c r="V1707" s="144" t="str">
        <f t="shared" si="53"/>
        <v>85</v>
      </c>
      <c r="W1707" s="136">
        <f>+COMPROMISOS_2025[[#This Row],[valor_total]]-COMPROMISOS_2025[[#This Row],[total_cancelado]]</f>
        <v>1423500</v>
      </c>
      <c r="X1707" s="136">
        <f>COMPROMISOS_2025[[#This Row],[total_ordenes]]</f>
        <v>1423500</v>
      </c>
      <c r="Y1707" t="str" cm="1">
        <f t="array" aca="1" ref="Y1707" ca="1">IFERROR(_xlfn.XLOOKUP(COMPROMISOS_2025[[#This Row],[concatenado]],PAA[[#All],[RCP-RUBRO]],PAA[[#All],[Actividad3]],VLOOKUP(COMPROMISOS_2025[[#This Row],[Indicador Principal]],$AC$2:$AD$17,2,0),0),"")</f>
        <v/>
      </c>
    </row>
    <row r="1708" spans="1:25" hidden="1" x14ac:dyDescent="0.25">
      <c r="A1708">
        <v>1220</v>
      </c>
      <c r="B1708" t="s">
        <v>2491</v>
      </c>
      <c r="C1708" t="s">
        <v>1936</v>
      </c>
      <c r="D1708" t="s">
        <v>4182</v>
      </c>
      <c r="F1708">
        <v>406</v>
      </c>
      <c r="G1708">
        <v>65</v>
      </c>
      <c r="H1708" t="s">
        <v>662</v>
      </c>
      <c r="I1708" t="s">
        <v>2271</v>
      </c>
      <c r="J1708">
        <v>1067625</v>
      </c>
      <c r="K1708">
        <v>2025</v>
      </c>
      <c r="L1708">
        <v>15537308</v>
      </c>
      <c r="M1708" t="s">
        <v>3921</v>
      </c>
      <c r="N1708" t="s">
        <v>1688</v>
      </c>
      <c r="O1708" t="s">
        <v>1686</v>
      </c>
      <c r="P1708">
        <v>0</v>
      </c>
      <c r="Q1708">
        <v>1067625</v>
      </c>
      <c r="R1708">
        <v>0</v>
      </c>
      <c r="S1708">
        <v>0</v>
      </c>
      <c r="T1708" t="str">
        <f t="shared" si="52"/>
        <v>12202.43.4302.85.0-205128.2.3.3.08.06.</v>
      </c>
      <c r="U1708" t="e" cm="1">
        <f t="array" aca="1" ref="U1708" ca="1">+IF(COMPROMISOS_2025[[#This Row],[P]]="20","41080111",_xlfn.XLOOKUP(COMPROMISOS_2025[[#This Row],[concatenado]],PAA[[#All],[RCP-RUBRO]],PAA[[#All],[INDICADOR]],"",0))</f>
        <v>#NAME?</v>
      </c>
      <c r="V1708" s="144" t="str">
        <f t="shared" si="53"/>
        <v>85</v>
      </c>
      <c r="W1708" s="136">
        <f>+COMPROMISOS_2025[[#This Row],[valor_total]]-COMPROMISOS_2025[[#This Row],[total_cancelado]]</f>
        <v>1067625</v>
      </c>
      <c r="X1708" s="136">
        <f>COMPROMISOS_2025[[#This Row],[total_ordenes]]</f>
        <v>1067625</v>
      </c>
      <c r="Y1708" t="str" cm="1">
        <f t="array" aca="1" ref="Y1708" ca="1">IFERROR(_xlfn.XLOOKUP(COMPROMISOS_2025[[#This Row],[concatenado]],PAA[[#All],[RCP-RUBRO]],PAA[[#All],[Actividad3]],VLOOKUP(COMPROMISOS_2025[[#This Row],[Indicador Principal]],$AC$2:$AD$17,2,0),0),"")</f>
        <v/>
      </c>
    </row>
    <row r="1709" spans="1:25" hidden="1" x14ac:dyDescent="0.25">
      <c r="A1709">
        <v>1221</v>
      </c>
      <c r="B1709" t="s">
        <v>2491</v>
      </c>
      <c r="C1709" t="s">
        <v>1936</v>
      </c>
      <c r="D1709" t="s">
        <v>4182</v>
      </c>
      <c r="F1709">
        <v>406</v>
      </c>
      <c r="G1709">
        <v>65</v>
      </c>
      <c r="H1709" t="s">
        <v>662</v>
      </c>
      <c r="I1709" t="s">
        <v>2271</v>
      </c>
      <c r="J1709">
        <v>2847000</v>
      </c>
      <c r="K1709">
        <v>2025</v>
      </c>
      <c r="L1709">
        <v>32258328</v>
      </c>
      <c r="M1709" t="s">
        <v>3922</v>
      </c>
      <c r="N1709" t="s">
        <v>1688</v>
      </c>
      <c r="O1709" t="s">
        <v>1686</v>
      </c>
      <c r="P1709">
        <v>0</v>
      </c>
      <c r="Q1709">
        <v>2847000</v>
      </c>
      <c r="R1709">
        <v>0</v>
      </c>
      <c r="S1709">
        <v>0</v>
      </c>
      <c r="T1709" t="str">
        <f t="shared" si="52"/>
        <v>12212.43.4302.85.0-205128.2.3.3.08.06.</v>
      </c>
      <c r="U1709" t="e" cm="1">
        <f t="array" aca="1" ref="U1709" ca="1">+IF(COMPROMISOS_2025[[#This Row],[P]]="20","41080111",_xlfn.XLOOKUP(COMPROMISOS_2025[[#This Row],[concatenado]],PAA[[#All],[RCP-RUBRO]],PAA[[#All],[INDICADOR]],"",0))</f>
        <v>#NAME?</v>
      </c>
      <c r="V1709" s="144" t="str">
        <f t="shared" si="53"/>
        <v>85</v>
      </c>
      <c r="W1709" s="136">
        <f>+COMPROMISOS_2025[[#This Row],[valor_total]]-COMPROMISOS_2025[[#This Row],[total_cancelado]]</f>
        <v>2847000</v>
      </c>
      <c r="X1709" s="136">
        <f>COMPROMISOS_2025[[#This Row],[total_ordenes]]</f>
        <v>2847000</v>
      </c>
      <c r="Y1709" t="str" cm="1">
        <f t="array" aca="1" ref="Y1709" ca="1">IFERROR(_xlfn.XLOOKUP(COMPROMISOS_2025[[#This Row],[concatenado]],PAA[[#All],[RCP-RUBRO]],PAA[[#All],[Actividad3]],VLOOKUP(COMPROMISOS_2025[[#This Row],[Indicador Principal]],$AC$2:$AD$17,2,0),0),"")</f>
        <v/>
      </c>
    </row>
    <row r="1710" spans="1:25" hidden="1" x14ac:dyDescent="0.25">
      <c r="A1710">
        <v>1222</v>
      </c>
      <c r="B1710" t="s">
        <v>2491</v>
      </c>
      <c r="C1710" t="s">
        <v>1936</v>
      </c>
      <c r="D1710" t="s">
        <v>4182</v>
      </c>
      <c r="F1710">
        <v>406</v>
      </c>
      <c r="G1710">
        <v>65</v>
      </c>
      <c r="H1710" t="s">
        <v>662</v>
      </c>
      <c r="I1710" t="s">
        <v>2271</v>
      </c>
      <c r="J1710">
        <v>4270500</v>
      </c>
      <c r="K1710">
        <v>2025</v>
      </c>
      <c r="L1710">
        <v>32354866</v>
      </c>
      <c r="M1710" t="s">
        <v>4188</v>
      </c>
      <c r="N1710" t="s">
        <v>1688</v>
      </c>
      <c r="O1710" t="s">
        <v>1686</v>
      </c>
      <c r="P1710">
        <v>0</v>
      </c>
      <c r="Q1710">
        <v>4270500</v>
      </c>
      <c r="R1710">
        <v>0</v>
      </c>
      <c r="S1710">
        <v>0</v>
      </c>
      <c r="T1710" t="str">
        <f t="shared" si="52"/>
        <v>12222.43.4302.85.0-205128.2.3.3.08.06.</v>
      </c>
      <c r="U1710" t="e" cm="1">
        <f t="array" aca="1" ref="U1710" ca="1">+IF(COMPROMISOS_2025[[#This Row],[P]]="20","41080111",_xlfn.XLOOKUP(COMPROMISOS_2025[[#This Row],[concatenado]],PAA[[#All],[RCP-RUBRO]],PAA[[#All],[INDICADOR]],"",0))</f>
        <v>#NAME?</v>
      </c>
      <c r="V1710" s="144" t="str">
        <f t="shared" si="53"/>
        <v>85</v>
      </c>
      <c r="W1710" s="136">
        <f>+COMPROMISOS_2025[[#This Row],[valor_total]]-COMPROMISOS_2025[[#This Row],[total_cancelado]]</f>
        <v>4270500</v>
      </c>
      <c r="X1710" s="136">
        <f>COMPROMISOS_2025[[#This Row],[total_ordenes]]</f>
        <v>4270500</v>
      </c>
      <c r="Y1710" t="str" cm="1">
        <f t="array" aca="1" ref="Y1710" ca="1">IFERROR(_xlfn.XLOOKUP(COMPROMISOS_2025[[#This Row],[concatenado]],PAA[[#All],[RCP-RUBRO]],PAA[[#All],[Actividad3]],VLOOKUP(COMPROMISOS_2025[[#This Row],[Indicador Principal]],$AC$2:$AD$17,2,0),0),"")</f>
        <v/>
      </c>
    </row>
    <row r="1711" spans="1:25" hidden="1" x14ac:dyDescent="0.25">
      <c r="A1711">
        <v>1223</v>
      </c>
      <c r="B1711" t="s">
        <v>2491</v>
      </c>
      <c r="C1711" t="s">
        <v>1936</v>
      </c>
      <c r="D1711" t="s">
        <v>4182</v>
      </c>
      <c r="F1711">
        <v>406</v>
      </c>
      <c r="G1711">
        <v>65</v>
      </c>
      <c r="H1711" t="s">
        <v>662</v>
      </c>
      <c r="I1711" t="s">
        <v>2271</v>
      </c>
      <c r="J1711">
        <v>1067625</v>
      </c>
      <c r="K1711">
        <v>2025</v>
      </c>
      <c r="L1711">
        <v>39210955</v>
      </c>
      <c r="M1711" t="s">
        <v>4189</v>
      </c>
      <c r="N1711" t="s">
        <v>1688</v>
      </c>
      <c r="O1711" t="s">
        <v>1686</v>
      </c>
      <c r="P1711">
        <v>0</v>
      </c>
      <c r="Q1711">
        <v>1067625</v>
      </c>
      <c r="R1711">
        <v>0</v>
      </c>
      <c r="S1711">
        <v>0</v>
      </c>
      <c r="T1711" t="str">
        <f t="shared" si="52"/>
        <v>12232.43.4302.85.0-205128.2.3.3.08.06.</v>
      </c>
      <c r="U1711" t="e" cm="1">
        <f t="array" aca="1" ref="U1711" ca="1">+IF(COMPROMISOS_2025[[#This Row],[P]]="20","41080111",_xlfn.XLOOKUP(COMPROMISOS_2025[[#This Row],[concatenado]],PAA[[#All],[RCP-RUBRO]],PAA[[#All],[INDICADOR]],"",0))</f>
        <v>#NAME?</v>
      </c>
      <c r="V1711" s="144" t="str">
        <f t="shared" si="53"/>
        <v>85</v>
      </c>
      <c r="W1711" s="136">
        <f>+COMPROMISOS_2025[[#This Row],[valor_total]]-COMPROMISOS_2025[[#This Row],[total_cancelado]]</f>
        <v>1067625</v>
      </c>
      <c r="X1711" s="136">
        <f>COMPROMISOS_2025[[#This Row],[total_ordenes]]</f>
        <v>1067625</v>
      </c>
      <c r="Y1711" t="str" cm="1">
        <f t="array" aca="1" ref="Y1711" ca="1">IFERROR(_xlfn.XLOOKUP(COMPROMISOS_2025[[#This Row],[concatenado]],PAA[[#All],[RCP-RUBRO]],PAA[[#All],[Actividad3]],VLOOKUP(COMPROMISOS_2025[[#This Row],[Indicador Principal]],$AC$2:$AD$17,2,0),0),"")</f>
        <v/>
      </c>
    </row>
    <row r="1712" spans="1:25" hidden="1" x14ac:dyDescent="0.25">
      <c r="A1712">
        <v>1224</v>
      </c>
      <c r="B1712" t="s">
        <v>2491</v>
      </c>
      <c r="C1712" t="s">
        <v>1936</v>
      </c>
      <c r="D1712" t="s">
        <v>4182</v>
      </c>
      <c r="F1712">
        <v>406</v>
      </c>
      <c r="G1712">
        <v>65</v>
      </c>
      <c r="H1712" t="s">
        <v>662</v>
      </c>
      <c r="I1712" t="s">
        <v>2271</v>
      </c>
      <c r="J1712">
        <v>1423500</v>
      </c>
      <c r="K1712">
        <v>2025</v>
      </c>
      <c r="L1712">
        <v>43054036</v>
      </c>
      <c r="M1712" t="s">
        <v>4190</v>
      </c>
      <c r="N1712" t="s">
        <v>1688</v>
      </c>
      <c r="O1712" t="s">
        <v>1686</v>
      </c>
      <c r="P1712">
        <v>0</v>
      </c>
      <c r="Q1712">
        <v>1423500</v>
      </c>
      <c r="R1712">
        <v>0</v>
      </c>
      <c r="S1712">
        <v>0</v>
      </c>
      <c r="T1712" t="str">
        <f t="shared" si="52"/>
        <v>12242.43.4302.85.0-205128.2.3.3.08.06.</v>
      </c>
      <c r="U1712" t="e" cm="1">
        <f t="array" aca="1" ref="U1712" ca="1">+IF(COMPROMISOS_2025[[#This Row],[P]]="20","41080111",_xlfn.XLOOKUP(COMPROMISOS_2025[[#This Row],[concatenado]],PAA[[#All],[RCP-RUBRO]],PAA[[#All],[INDICADOR]],"",0))</f>
        <v>#NAME?</v>
      </c>
      <c r="V1712" s="144" t="str">
        <f t="shared" si="53"/>
        <v>85</v>
      </c>
      <c r="W1712" s="136">
        <f>+COMPROMISOS_2025[[#This Row],[valor_total]]-COMPROMISOS_2025[[#This Row],[total_cancelado]]</f>
        <v>1423500</v>
      </c>
      <c r="X1712" s="136">
        <f>COMPROMISOS_2025[[#This Row],[total_ordenes]]</f>
        <v>1423500</v>
      </c>
      <c r="Y1712" t="str" cm="1">
        <f t="array" aca="1" ref="Y1712" ca="1">IFERROR(_xlfn.XLOOKUP(COMPROMISOS_2025[[#This Row],[concatenado]],PAA[[#All],[RCP-RUBRO]],PAA[[#All],[Actividad3]],VLOOKUP(COMPROMISOS_2025[[#This Row],[Indicador Principal]],$AC$2:$AD$17,2,0),0),"")</f>
        <v/>
      </c>
    </row>
    <row r="1713" spans="1:25" hidden="1" x14ac:dyDescent="0.25">
      <c r="A1713">
        <v>1225</v>
      </c>
      <c r="B1713" t="s">
        <v>2491</v>
      </c>
      <c r="C1713" t="s">
        <v>1936</v>
      </c>
      <c r="D1713" t="s">
        <v>4182</v>
      </c>
      <c r="F1713">
        <v>406</v>
      </c>
      <c r="G1713">
        <v>65</v>
      </c>
      <c r="H1713" t="s">
        <v>662</v>
      </c>
      <c r="I1713" t="s">
        <v>2271</v>
      </c>
      <c r="J1713">
        <v>1423500</v>
      </c>
      <c r="K1713">
        <v>2025</v>
      </c>
      <c r="L1713">
        <v>43254122</v>
      </c>
      <c r="M1713" t="s">
        <v>4191</v>
      </c>
      <c r="N1713" t="s">
        <v>1688</v>
      </c>
      <c r="O1713" t="s">
        <v>1686</v>
      </c>
      <c r="P1713">
        <v>0</v>
      </c>
      <c r="Q1713">
        <v>1423500</v>
      </c>
      <c r="R1713">
        <v>0</v>
      </c>
      <c r="S1713">
        <v>0</v>
      </c>
      <c r="T1713" t="str">
        <f t="shared" si="52"/>
        <v>12252.43.4302.85.0-205128.2.3.3.08.06.</v>
      </c>
      <c r="U1713" t="e" cm="1">
        <f t="array" aca="1" ref="U1713" ca="1">+IF(COMPROMISOS_2025[[#This Row],[P]]="20","41080111",_xlfn.XLOOKUP(COMPROMISOS_2025[[#This Row],[concatenado]],PAA[[#All],[RCP-RUBRO]],PAA[[#All],[INDICADOR]],"",0))</f>
        <v>#NAME?</v>
      </c>
      <c r="V1713" s="144" t="str">
        <f t="shared" si="53"/>
        <v>85</v>
      </c>
      <c r="W1713" s="136">
        <f>+COMPROMISOS_2025[[#This Row],[valor_total]]-COMPROMISOS_2025[[#This Row],[total_cancelado]]</f>
        <v>1423500</v>
      </c>
      <c r="X1713" s="136">
        <f>COMPROMISOS_2025[[#This Row],[total_ordenes]]</f>
        <v>1423500</v>
      </c>
      <c r="Y1713" t="str" cm="1">
        <f t="array" aca="1" ref="Y1713" ca="1">IFERROR(_xlfn.XLOOKUP(COMPROMISOS_2025[[#This Row],[concatenado]],PAA[[#All],[RCP-RUBRO]],PAA[[#All],[Actividad3]],VLOOKUP(COMPROMISOS_2025[[#This Row],[Indicador Principal]],$AC$2:$AD$17,2,0),0),"")</f>
        <v/>
      </c>
    </row>
    <row r="1714" spans="1:25" hidden="1" x14ac:dyDescent="0.25">
      <c r="A1714">
        <v>1226</v>
      </c>
      <c r="B1714" t="s">
        <v>2491</v>
      </c>
      <c r="C1714" t="s">
        <v>1936</v>
      </c>
      <c r="D1714" t="s">
        <v>4182</v>
      </c>
      <c r="F1714">
        <v>406</v>
      </c>
      <c r="G1714">
        <v>65</v>
      </c>
      <c r="H1714" t="s">
        <v>662</v>
      </c>
      <c r="I1714" t="s">
        <v>2271</v>
      </c>
      <c r="J1714">
        <v>1423500</v>
      </c>
      <c r="K1714">
        <v>2025</v>
      </c>
      <c r="L1714">
        <v>43757764</v>
      </c>
      <c r="M1714" t="s">
        <v>4192</v>
      </c>
      <c r="N1714" t="s">
        <v>1688</v>
      </c>
      <c r="O1714" t="s">
        <v>1686</v>
      </c>
      <c r="P1714">
        <v>0</v>
      </c>
      <c r="Q1714">
        <v>1423500</v>
      </c>
      <c r="R1714">
        <v>0</v>
      </c>
      <c r="S1714">
        <v>0</v>
      </c>
      <c r="T1714" t="str">
        <f t="shared" si="52"/>
        <v>12262.43.4302.85.0-205128.2.3.3.08.06.</v>
      </c>
      <c r="U1714" t="e" cm="1">
        <f t="array" aca="1" ref="U1714" ca="1">+IF(COMPROMISOS_2025[[#This Row],[P]]="20","41080111",_xlfn.XLOOKUP(COMPROMISOS_2025[[#This Row],[concatenado]],PAA[[#All],[RCP-RUBRO]],PAA[[#All],[INDICADOR]],"",0))</f>
        <v>#NAME?</v>
      </c>
      <c r="V1714" s="144" t="str">
        <f t="shared" si="53"/>
        <v>85</v>
      </c>
      <c r="W1714" s="136">
        <f>+COMPROMISOS_2025[[#This Row],[valor_total]]-COMPROMISOS_2025[[#This Row],[total_cancelado]]</f>
        <v>1423500</v>
      </c>
      <c r="X1714" s="136">
        <f>COMPROMISOS_2025[[#This Row],[total_ordenes]]</f>
        <v>1423500</v>
      </c>
      <c r="Y1714" t="str" cm="1">
        <f t="array" aca="1" ref="Y1714" ca="1">IFERROR(_xlfn.XLOOKUP(COMPROMISOS_2025[[#This Row],[concatenado]],PAA[[#All],[RCP-RUBRO]],PAA[[#All],[Actividad3]],VLOOKUP(COMPROMISOS_2025[[#This Row],[Indicador Principal]],$AC$2:$AD$17,2,0),0),"")</f>
        <v/>
      </c>
    </row>
    <row r="1715" spans="1:25" hidden="1" x14ac:dyDescent="0.25">
      <c r="A1715">
        <v>1227</v>
      </c>
      <c r="B1715" t="s">
        <v>2491</v>
      </c>
      <c r="C1715" t="s">
        <v>1936</v>
      </c>
      <c r="D1715" t="s">
        <v>4182</v>
      </c>
      <c r="F1715">
        <v>406</v>
      </c>
      <c r="G1715">
        <v>65</v>
      </c>
      <c r="H1715" t="s">
        <v>662</v>
      </c>
      <c r="I1715" t="s">
        <v>2271</v>
      </c>
      <c r="J1715">
        <v>2847000</v>
      </c>
      <c r="K1715">
        <v>2025</v>
      </c>
      <c r="L1715">
        <v>43847269</v>
      </c>
      <c r="M1715" t="s">
        <v>3923</v>
      </c>
      <c r="N1715" t="s">
        <v>1688</v>
      </c>
      <c r="O1715" t="s">
        <v>1686</v>
      </c>
      <c r="P1715">
        <v>0</v>
      </c>
      <c r="Q1715">
        <v>2847000</v>
      </c>
      <c r="R1715">
        <v>0</v>
      </c>
      <c r="S1715">
        <v>0</v>
      </c>
      <c r="T1715" t="str">
        <f t="shared" si="52"/>
        <v>12272.43.4302.85.0-205128.2.3.3.08.06.</v>
      </c>
      <c r="U1715" t="e" cm="1">
        <f t="array" aca="1" ref="U1715" ca="1">+IF(COMPROMISOS_2025[[#This Row],[P]]="20","41080111",_xlfn.XLOOKUP(COMPROMISOS_2025[[#This Row],[concatenado]],PAA[[#All],[RCP-RUBRO]],PAA[[#All],[INDICADOR]],"",0))</f>
        <v>#NAME?</v>
      </c>
      <c r="V1715" s="144" t="str">
        <f t="shared" si="53"/>
        <v>85</v>
      </c>
      <c r="W1715" s="136">
        <f>+COMPROMISOS_2025[[#This Row],[valor_total]]-COMPROMISOS_2025[[#This Row],[total_cancelado]]</f>
        <v>2847000</v>
      </c>
      <c r="X1715" s="136">
        <f>COMPROMISOS_2025[[#This Row],[total_ordenes]]</f>
        <v>2847000</v>
      </c>
      <c r="Y1715" t="str" cm="1">
        <f t="array" aca="1" ref="Y1715" ca="1">IFERROR(_xlfn.XLOOKUP(COMPROMISOS_2025[[#This Row],[concatenado]],PAA[[#All],[RCP-RUBRO]],PAA[[#All],[Actividad3]],VLOOKUP(COMPROMISOS_2025[[#This Row],[Indicador Principal]],$AC$2:$AD$17,2,0),0),"")</f>
        <v/>
      </c>
    </row>
    <row r="1716" spans="1:25" hidden="1" x14ac:dyDescent="0.25">
      <c r="A1716">
        <v>1228</v>
      </c>
      <c r="B1716" t="s">
        <v>2491</v>
      </c>
      <c r="C1716" t="s">
        <v>1936</v>
      </c>
      <c r="D1716" t="s">
        <v>4182</v>
      </c>
      <c r="F1716">
        <v>406</v>
      </c>
      <c r="G1716">
        <v>65</v>
      </c>
      <c r="H1716" t="s">
        <v>662</v>
      </c>
      <c r="I1716" t="s">
        <v>2271</v>
      </c>
      <c r="J1716">
        <v>2847000</v>
      </c>
      <c r="K1716">
        <v>2025</v>
      </c>
      <c r="L1716">
        <v>43906879</v>
      </c>
      <c r="M1716" t="s">
        <v>4193</v>
      </c>
      <c r="N1716" t="s">
        <v>1688</v>
      </c>
      <c r="O1716" t="s">
        <v>1686</v>
      </c>
      <c r="P1716">
        <v>0</v>
      </c>
      <c r="Q1716">
        <v>2847000</v>
      </c>
      <c r="R1716">
        <v>0</v>
      </c>
      <c r="S1716">
        <v>0</v>
      </c>
      <c r="T1716" t="str">
        <f t="shared" si="52"/>
        <v>12282.43.4302.85.0-205128.2.3.3.08.06.</v>
      </c>
      <c r="U1716" t="e" cm="1">
        <f t="array" aca="1" ref="U1716" ca="1">+IF(COMPROMISOS_2025[[#This Row],[P]]="20","41080111",_xlfn.XLOOKUP(COMPROMISOS_2025[[#This Row],[concatenado]],PAA[[#All],[RCP-RUBRO]],PAA[[#All],[INDICADOR]],"",0))</f>
        <v>#NAME?</v>
      </c>
      <c r="V1716" s="144" t="str">
        <f t="shared" si="53"/>
        <v>85</v>
      </c>
      <c r="W1716" s="136">
        <f>+COMPROMISOS_2025[[#This Row],[valor_total]]-COMPROMISOS_2025[[#This Row],[total_cancelado]]</f>
        <v>2847000</v>
      </c>
      <c r="X1716" s="136">
        <f>COMPROMISOS_2025[[#This Row],[total_ordenes]]</f>
        <v>2847000</v>
      </c>
      <c r="Y1716" t="str" cm="1">
        <f t="array" aca="1" ref="Y1716" ca="1">IFERROR(_xlfn.XLOOKUP(COMPROMISOS_2025[[#This Row],[concatenado]],PAA[[#All],[RCP-RUBRO]],PAA[[#All],[Actividad3]],VLOOKUP(COMPROMISOS_2025[[#This Row],[Indicador Principal]],$AC$2:$AD$17,2,0),0),"")</f>
        <v/>
      </c>
    </row>
    <row r="1717" spans="1:25" hidden="1" x14ac:dyDescent="0.25">
      <c r="A1717">
        <v>1229</v>
      </c>
      <c r="B1717" t="s">
        <v>2491</v>
      </c>
      <c r="C1717" t="s">
        <v>1936</v>
      </c>
      <c r="D1717" t="s">
        <v>4182</v>
      </c>
      <c r="F1717">
        <v>406</v>
      </c>
      <c r="G1717">
        <v>65</v>
      </c>
      <c r="H1717" t="s">
        <v>662</v>
      </c>
      <c r="I1717" t="s">
        <v>2271</v>
      </c>
      <c r="J1717">
        <v>4270500</v>
      </c>
      <c r="K1717">
        <v>2025</v>
      </c>
      <c r="L1717">
        <v>43908043</v>
      </c>
      <c r="M1717" t="s">
        <v>4194</v>
      </c>
      <c r="N1717" t="s">
        <v>1688</v>
      </c>
      <c r="O1717" t="s">
        <v>1686</v>
      </c>
      <c r="P1717">
        <v>0</v>
      </c>
      <c r="Q1717">
        <v>4270500</v>
      </c>
      <c r="R1717">
        <v>0</v>
      </c>
      <c r="S1717">
        <v>0</v>
      </c>
      <c r="T1717" t="str">
        <f t="shared" si="52"/>
        <v>12292.43.4302.85.0-205128.2.3.3.08.06.</v>
      </c>
      <c r="U1717" t="e" cm="1">
        <f t="array" aca="1" ref="U1717" ca="1">+IF(COMPROMISOS_2025[[#This Row],[P]]="20","41080111",_xlfn.XLOOKUP(COMPROMISOS_2025[[#This Row],[concatenado]],PAA[[#All],[RCP-RUBRO]],PAA[[#All],[INDICADOR]],"",0))</f>
        <v>#NAME?</v>
      </c>
      <c r="V1717" s="144" t="str">
        <f t="shared" si="53"/>
        <v>85</v>
      </c>
      <c r="W1717" s="136">
        <f>+COMPROMISOS_2025[[#This Row],[valor_total]]-COMPROMISOS_2025[[#This Row],[total_cancelado]]</f>
        <v>4270500</v>
      </c>
      <c r="X1717" s="136">
        <f>COMPROMISOS_2025[[#This Row],[total_ordenes]]</f>
        <v>4270500</v>
      </c>
      <c r="Y1717" t="str" cm="1">
        <f t="array" aca="1" ref="Y1717" ca="1">IFERROR(_xlfn.XLOOKUP(COMPROMISOS_2025[[#This Row],[concatenado]],PAA[[#All],[RCP-RUBRO]],PAA[[#All],[Actividad3]],VLOOKUP(COMPROMISOS_2025[[#This Row],[Indicador Principal]],$AC$2:$AD$17,2,0),0),"")</f>
        <v/>
      </c>
    </row>
    <row r="1718" spans="1:25" hidden="1" x14ac:dyDescent="0.25">
      <c r="A1718">
        <v>1230</v>
      </c>
      <c r="B1718" t="s">
        <v>2491</v>
      </c>
      <c r="C1718" t="s">
        <v>1936</v>
      </c>
      <c r="D1718" t="s">
        <v>4182</v>
      </c>
      <c r="F1718">
        <v>406</v>
      </c>
      <c r="G1718">
        <v>65</v>
      </c>
      <c r="H1718" t="s">
        <v>662</v>
      </c>
      <c r="I1718" t="s">
        <v>2271</v>
      </c>
      <c r="J1718">
        <v>1423500</v>
      </c>
      <c r="K1718">
        <v>2025</v>
      </c>
      <c r="L1718">
        <v>43982928</v>
      </c>
      <c r="M1718" t="s">
        <v>4195</v>
      </c>
      <c r="N1718" t="s">
        <v>1688</v>
      </c>
      <c r="O1718" t="s">
        <v>1686</v>
      </c>
      <c r="P1718">
        <v>0</v>
      </c>
      <c r="Q1718">
        <v>1423500</v>
      </c>
      <c r="R1718">
        <v>0</v>
      </c>
      <c r="S1718">
        <v>0</v>
      </c>
      <c r="T1718" t="str">
        <f t="shared" si="52"/>
        <v>12302.43.4302.85.0-205128.2.3.3.08.06.</v>
      </c>
      <c r="U1718" t="e" cm="1">
        <f t="array" aca="1" ref="U1718" ca="1">+IF(COMPROMISOS_2025[[#This Row],[P]]="20","41080111",_xlfn.XLOOKUP(COMPROMISOS_2025[[#This Row],[concatenado]],PAA[[#All],[RCP-RUBRO]],PAA[[#All],[INDICADOR]],"",0))</f>
        <v>#NAME?</v>
      </c>
      <c r="V1718" s="144" t="str">
        <f t="shared" si="53"/>
        <v>85</v>
      </c>
      <c r="W1718" s="136">
        <f>+COMPROMISOS_2025[[#This Row],[valor_total]]-COMPROMISOS_2025[[#This Row],[total_cancelado]]</f>
        <v>1423500</v>
      </c>
      <c r="X1718" s="136">
        <f>COMPROMISOS_2025[[#This Row],[total_ordenes]]</f>
        <v>1423500</v>
      </c>
      <c r="Y1718" t="str" cm="1">
        <f t="array" aca="1" ref="Y1718" ca="1">IFERROR(_xlfn.XLOOKUP(COMPROMISOS_2025[[#This Row],[concatenado]],PAA[[#All],[RCP-RUBRO]],PAA[[#All],[Actividad3]],VLOOKUP(COMPROMISOS_2025[[#This Row],[Indicador Principal]],$AC$2:$AD$17,2,0),0),"")</f>
        <v/>
      </c>
    </row>
    <row r="1719" spans="1:25" hidden="1" x14ac:dyDescent="0.25">
      <c r="A1719">
        <v>1231</v>
      </c>
      <c r="B1719" t="s">
        <v>2491</v>
      </c>
      <c r="C1719" t="s">
        <v>1936</v>
      </c>
      <c r="D1719" t="s">
        <v>4182</v>
      </c>
      <c r="F1719">
        <v>406</v>
      </c>
      <c r="G1719">
        <v>65</v>
      </c>
      <c r="H1719" t="s">
        <v>662</v>
      </c>
      <c r="I1719" t="s">
        <v>2271</v>
      </c>
      <c r="J1719">
        <v>1423500</v>
      </c>
      <c r="K1719">
        <v>2025</v>
      </c>
      <c r="L1719">
        <v>43998319</v>
      </c>
      <c r="M1719" t="s">
        <v>3580</v>
      </c>
      <c r="N1719" t="s">
        <v>1688</v>
      </c>
      <c r="O1719" t="s">
        <v>1686</v>
      </c>
      <c r="P1719">
        <v>0</v>
      </c>
      <c r="Q1719">
        <v>1423500</v>
      </c>
      <c r="R1719">
        <v>0</v>
      </c>
      <c r="S1719">
        <v>0</v>
      </c>
      <c r="T1719" t="str">
        <f t="shared" si="52"/>
        <v>12312.43.4302.85.0-205128.2.3.3.08.06.</v>
      </c>
      <c r="U1719" t="e" cm="1">
        <f t="array" aca="1" ref="U1719" ca="1">+IF(COMPROMISOS_2025[[#This Row],[P]]="20","41080111",_xlfn.XLOOKUP(COMPROMISOS_2025[[#This Row],[concatenado]],PAA[[#All],[RCP-RUBRO]],PAA[[#All],[INDICADOR]],"",0))</f>
        <v>#NAME?</v>
      </c>
      <c r="V1719" s="144" t="str">
        <f t="shared" si="53"/>
        <v>85</v>
      </c>
      <c r="W1719" s="136">
        <f>+COMPROMISOS_2025[[#This Row],[valor_total]]-COMPROMISOS_2025[[#This Row],[total_cancelado]]</f>
        <v>1423500</v>
      </c>
      <c r="X1719" s="136">
        <f>COMPROMISOS_2025[[#This Row],[total_ordenes]]</f>
        <v>1423500</v>
      </c>
      <c r="Y1719" t="str" cm="1">
        <f t="array" aca="1" ref="Y1719" ca="1">IFERROR(_xlfn.XLOOKUP(COMPROMISOS_2025[[#This Row],[concatenado]],PAA[[#All],[RCP-RUBRO]],PAA[[#All],[Actividad3]],VLOOKUP(COMPROMISOS_2025[[#This Row],[Indicador Principal]],$AC$2:$AD$17,2,0),0),"")</f>
        <v/>
      </c>
    </row>
    <row r="1720" spans="1:25" hidden="1" x14ac:dyDescent="0.25">
      <c r="A1720">
        <v>1232</v>
      </c>
      <c r="B1720" t="s">
        <v>2491</v>
      </c>
      <c r="C1720" t="s">
        <v>1936</v>
      </c>
      <c r="D1720" t="s">
        <v>4182</v>
      </c>
      <c r="F1720">
        <v>406</v>
      </c>
      <c r="G1720">
        <v>65</v>
      </c>
      <c r="H1720" t="s">
        <v>662</v>
      </c>
      <c r="I1720" t="s">
        <v>2271</v>
      </c>
      <c r="J1720">
        <v>2847000</v>
      </c>
      <c r="K1720">
        <v>2025</v>
      </c>
      <c r="L1720">
        <v>45481718</v>
      </c>
      <c r="M1720" t="s">
        <v>4196</v>
      </c>
      <c r="N1720" t="s">
        <v>1688</v>
      </c>
      <c r="O1720" t="s">
        <v>1686</v>
      </c>
      <c r="P1720">
        <v>0</v>
      </c>
      <c r="Q1720">
        <v>2847000</v>
      </c>
      <c r="R1720">
        <v>0</v>
      </c>
      <c r="S1720">
        <v>0</v>
      </c>
      <c r="T1720" t="str">
        <f t="shared" si="52"/>
        <v>12322.43.4302.85.0-205128.2.3.3.08.06.</v>
      </c>
      <c r="U1720" t="e" cm="1">
        <f t="array" aca="1" ref="U1720" ca="1">+IF(COMPROMISOS_2025[[#This Row],[P]]="20","41080111",_xlfn.XLOOKUP(COMPROMISOS_2025[[#This Row],[concatenado]],PAA[[#All],[RCP-RUBRO]],PAA[[#All],[INDICADOR]],"",0))</f>
        <v>#NAME?</v>
      </c>
      <c r="V1720" s="144" t="str">
        <f t="shared" si="53"/>
        <v>85</v>
      </c>
      <c r="W1720" s="136">
        <f>+COMPROMISOS_2025[[#This Row],[valor_total]]-COMPROMISOS_2025[[#This Row],[total_cancelado]]</f>
        <v>2847000</v>
      </c>
      <c r="X1720" s="136">
        <f>COMPROMISOS_2025[[#This Row],[total_ordenes]]</f>
        <v>2847000</v>
      </c>
      <c r="Y1720" t="str" cm="1">
        <f t="array" aca="1" ref="Y1720" ca="1">IFERROR(_xlfn.XLOOKUP(COMPROMISOS_2025[[#This Row],[concatenado]],PAA[[#All],[RCP-RUBRO]],PAA[[#All],[Actividad3]],VLOOKUP(COMPROMISOS_2025[[#This Row],[Indicador Principal]],$AC$2:$AD$17,2,0),0),"")</f>
        <v/>
      </c>
    </row>
    <row r="1721" spans="1:25" hidden="1" x14ac:dyDescent="0.25">
      <c r="A1721">
        <v>1233</v>
      </c>
      <c r="B1721" t="s">
        <v>2491</v>
      </c>
      <c r="C1721" t="s">
        <v>1936</v>
      </c>
      <c r="D1721" t="s">
        <v>4182</v>
      </c>
      <c r="F1721">
        <v>406</v>
      </c>
      <c r="G1721">
        <v>65</v>
      </c>
      <c r="H1721" t="s">
        <v>662</v>
      </c>
      <c r="I1721" t="s">
        <v>2271</v>
      </c>
      <c r="J1721">
        <v>1067625</v>
      </c>
      <c r="K1721">
        <v>2025</v>
      </c>
      <c r="L1721">
        <v>70143129</v>
      </c>
      <c r="M1721" t="s">
        <v>4197</v>
      </c>
      <c r="N1721" t="s">
        <v>1688</v>
      </c>
      <c r="O1721" t="s">
        <v>1686</v>
      </c>
      <c r="P1721">
        <v>0</v>
      </c>
      <c r="Q1721">
        <v>1067625</v>
      </c>
      <c r="R1721">
        <v>0</v>
      </c>
      <c r="S1721">
        <v>0</v>
      </c>
      <c r="T1721" t="str">
        <f t="shared" si="52"/>
        <v>12332.43.4302.85.0-205128.2.3.3.08.06.</v>
      </c>
      <c r="U1721" t="e" cm="1">
        <f t="array" aca="1" ref="U1721" ca="1">+IF(COMPROMISOS_2025[[#This Row],[P]]="20","41080111",_xlfn.XLOOKUP(COMPROMISOS_2025[[#This Row],[concatenado]],PAA[[#All],[RCP-RUBRO]],PAA[[#All],[INDICADOR]],"",0))</f>
        <v>#NAME?</v>
      </c>
      <c r="V1721" s="144" t="str">
        <f t="shared" si="53"/>
        <v>85</v>
      </c>
      <c r="W1721" s="136">
        <f>+COMPROMISOS_2025[[#This Row],[valor_total]]-COMPROMISOS_2025[[#This Row],[total_cancelado]]</f>
        <v>1067625</v>
      </c>
      <c r="X1721" s="136">
        <f>COMPROMISOS_2025[[#This Row],[total_ordenes]]</f>
        <v>1067625</v>
      </c>
      <c r="Y1721" t="str" cm="1">
        <f t="array" aca="1" ref="Y1721" ca="1">IFERROR(_xlfn.XLOOKUP(COMPROMISOS_2025[[#This Row],[concatenado]],PAA[[#All],[RCP-RUBRO]],PAA[[#All],[Actividad3]],VLOOKUP(COMPROMISOS_2025[[#This Row],[Indicador Principal]],$AC$2:$AD$17,2,0),0),"")</f>
        <v/>
      </c>
    </row>
    <row r="1722" spans="1:25" hidden="1" x14ac:dyDescent="0.25">
      <c r="A1722">
        <v>1234</v>
      </c>
      <c r="B1722" t="s">
        <v>2491</v>
      </c>
      <c r="C1722" t="s">
        <v>1936</v>
      </c>
      <c r="D1722" t="s">
        <v>4182</v>
      </c>
      <c r="F1722">
        <v>406</v>
      </c>
      <c r="G1722">
        <v>65</v>
      </c>
      <c r="H1722" t="s">
        <v>662</v>
      </c>
      <c r="I1722" t="s">
        <v>2271</v>
      </c>
      <c r="J1722">
        <v>1423500</v>
      </c>
      <c r="K1722">
        <v>2025</v>
      </c>
      <c r="L1722">
        <v>70330346</v>
      </c>
      <c r="M1722" t="s">
        <v>3581</v>
      </c>
      <c r="N1722" t="s">
        <v>1688</v>
      </c>
      <c r="O1722" t="s">
        <v>1686</v>
      </c>
      <c r="P1722">
        <v>0</v>
      </c>
      <c r="Q1722">
        <v>1423500</v>
      </c>
      <c r="R1722">
        <v>0</v>
      </c>
      <c r="S1722">
        <v>0</v>
      </c>
      <c r="T1722" t="str">
        <f t="shared" si="52"/>
        <v>12342.43.4302.85.0-205128.2.3.3.08.06.</v>
      </c>
      <c r="U1722" t="e" cm="1">
        <f t="array" aca="1" ref="U1722" ca="1">+IF(COMPROMISOS_2025[[#This Row],[P]]="20","41080111",_xlfn.XLOOKUP(COMPROMISOS_2025[[#This Row],[concatenado]],PAA[[#All],[RCP-RUBRO]],PAA[[#All],[INDICADOR]],"",0))</f>
        <v>#NAME?</v>
      </c>
      <c r="V1722" s="144" t="str">
        <f t="shared" si="53"/>
        <v>85</v>
      </c>
      <c r="W1722" s="136">
        <f>+COMPROMISOS_2025[[#This Row],[valor_total]]-COMPROMISOS_2025[[#This Row],[total_cancelado]]</f>
        <v>1423500</v>
      </c>
      <c r="X1722" s="136">
        <f>COMPROMISOS_2025[[#This Row],[total_ordenes]]</f>
        <v>1423500</v>
      </c>
      <c r="Y1722" t="str" cm="1">
        <f t="array" aca="1" ref="Y1722" ca="1">IFERROR(_xlfn.XLOOKUP(COMPROMISOS_2025[[#This Row],[concatenado]],PAA[[#All],[RCP-RUBRO]],PAA[[#All],[Actividad3]],VLOOKUP(COMPROMISOS_2025[[#This Row],[Indicador Principal]],$AC$2:$AD$17,2,0),0),"")</f>
        <v/>
      </c>
    </row>
    <row r="1723" spans="1:25" hidden="1" x14ac:dyDescent="0.25">
      <c r="A1723">
        <v>1235</v>
      </c>
      <c r="B1723" t="s">
        <v>2491</v>
      </c>
      <c r="C1723" t="s">
        <v>1936</v>
      </c>
      <c r="D1723" t="s">
        <v>4182</v>
      </c>
      <c r="F1723">
        <v>406</v>
      </c>
      <c r="G1723">
        <v>65</v>
      </c>
      <c r="H1723" t="s">
        <v>662</v>
      </c>
      <c r="I1723" t="s">
        <v>2271</v>
      </c>
      <c r="J1723">
        <v>711750</v>
      </c>
      <c r="K1723">
        <v>2025</v>
      </c>
      <c r="L1723">
        <v>70732170</v>
      </c>
      <c r="M1723" t="s">
        <v>4198</v>
      </c>
      <c r="N1723" t="s">
        <v>1688</v>
      </c>
      <c r="O1723" t="s">
        <v>1686</v>
      </c>
      <c r="P1723">
        <v>0</v>
      </c>
      <c r="Q1723">
        <v>711750</v>
      </c>
      <c r="R1723">
        <v>0</v>
      </c>
      <c r="S1723">
        <v>0</v>
      </c>
      <c r="T1723" t="str">
        <f t="shared" si="52"/>
        <v>12352.43.4302.85.0-205128.2.3.3.08.06.</v>
      </c>
      <c r="U1723" t="e" cm="1">
        <f t="array" aca="1" ref="U1723" ca="1">+IF(COMPROMISOS_2025[[#This Row],[P]]="20","41080111",_xlfn.XLOOKUP(COMPROMISOS_2025[[#This Row],[concatenado]],PAA[[#All],[RCP-RUBRO]],PAA[[#All],[INDICADOR]],"",0))</f>
        <v>#NAME?</v>
      </c>
      <c r="V1723" s="144" t="str">
        <f t="shared" si="53"/>
        <v>85</v>
      </c>
      <c r="W1723" s="136">
        <f>+COMPROMISOS_2025[[#This Row],[valor_total]]-COMPROMISOS_2025[[#This Row],[total_cancelado]]</f>
        <v>711750</v>
      </c>
      <c r="X1723" s="136">
        <f>COMPROMISOS_2025[[#This Row],[total_ordenes]]</f>
        <v>711750</v>
      </c>
      <c r="Y1723" t="str" cm="1">
        <f t="array" aca="1" ref="Y1723" ca="1">IFERROR(_xlfn.XLOOKUP(COMPROMISOS_2025[[#This Row],[concatenado]],PAA[[#All],[RCP-RUBRO]],PAA[[#All],[Actividad3]],VLOOKUP(COMPROMISOS_2025[[#This Row],[Indicador Principal]],$AC$2:$AD$17,2,0),0),"")</f>
        <v/>
      </c>
    </row>
    <row r="1724" spans="1:25" hidden="1" x14ac:dyDescent="0.25">
      <c r="A1724">
        <v>1236</v>
      </c>
      <c r="B1724" t="s">
        <v>2491</v>
      </c>
      <c r="C1724" t="s">
        <v>1936</v>
      </c>
      <c r="D1724" t="s">
        <v>4182</v>
      </c>
      <c r="F1724">
        <v>406</v>
      </c>
      <c r="G1724">
        <v>65</v>
      </c>
      <c r="H1724" t="s">
        <v>662</v>
      </c>
      <c r="I1724" t="s">
        <v>2271</v>
      </c>
      <c r="J1724">
        <v>1423500</v>
      </c>
      <c r="K1724">
        <v>2025</v>
      </c>
      <c r="L1724">
        <v>71086337</v>
      </c>
      <c r="M1724" t="s">
        <v>4199</v>
      </c>
      <c r="N1724" t="s">
        <v>1688</v>
      </c>
      <c r="O1724" t="s">
        <v>1686</v>
      </c>
      <c r="P1724">
        <v>0</v>
      </c>
      <c r="Q1724">
        <v>1423500</v>
      </c>
      <c r="R1724">
        <v>0</v>
      </c>
      <c r="S1724">
        <v>0</v>
      </c>
      <c r="T1724" t="str">
        <f t="shared" si="52"/>
        <v>12362.43.4302.85.0-205128.2.3.3.08.06.</v>
      </c>
      <c r="U1724" t="e" cm="1">
        <f t="array" aca="1" ref="U1724" ca="1">+IF(COMPROMISOS_2025[[#This Row],[P]]="20","41080111",_xlfn.XLOOKUP(COMPROMISOS_2025[[#This Row],[concatenado]],PAA[[#All],[RCP-RUBRO]],PAA[[#All],[INDICADOR]],"",0))</f>
        <v>#NAME?</v>
      </c>
      <c r="V1724" s="144" t="str">
        <f t="shared" si="53"/>
        <v>85</v>
      </c>
      <c r="W1724" s="136">
        <f>+COMPROMISOS_2025[[#This Row],[valor_total]]-COMPROMISOS_2025[[#This Row],[total_cancelado]]</f>
        <v>1423500</v>
      </c>
      <c r="X1724" s="136">
        <f>COMPROMISOS_2025[[#This Row],[total_ordenes]]</f>
        <v>1423500</v>
      </c>
      <c r="Y1724" t="str" cm="1">
        <f t="array" aca="1" ref="Y1724" ca="1">IFERROR(_xlfn.XLOOKUP(COMPROMISOS_2025[[#This Row],[concatenado]],PAA[[#All],[RCP-RUBRO]],PAA[[#All],[Actividad3]],VLOOKUP(COMPROMISOS_2025[[#This Row],[Indicador Principal]],$AC$2:$AD$17,2,0),0),"")</f>
        <v/>
      </c>
    </row>
    <row r="1725" spans="1:25" hidden="1" x14ac:dyDescent="0.25">
      <c r="A1725">
        <v>1237</v>
      </c>
      <c r="B1725" t="s">
        <v>2491</v>
      </c>
      <c r="C1725" t="s">
        <v>1936</v>
      </c>
      <c r="D1725" t="s">
        <v>4182</v>
      </c>
      <c r="F1725">
        <v>406</v>
      </c>
      <c r="G1725">
        <v>65</v>
      </c>
      <c r="H1725" t="s">
        <v>662</v>
      </c>
      <c r="I1725" t="s">
        <v>2271</v>
      </c>
      <c r="J1725">
        <v>1067625</v>
      </c>
      <c r="K1725">
        <v>2025</v>
      </c>
      <c r="L1725">
        <v>71277601</v>
      </c>
      <c r="M1725" t="s">
        <v>3547</v>
      </c>
      <c r="N1725" t="s">
        <v>1688</v>
      </c>
      <c r="O1725" t="s">
        <v>1686</v>
      </c>
      <c r="P1725">
        <v>0</v>
      </c>
      <c r="Q1725">
        <v>1067625</v>
      </c>
      <c r="R1725">
        <v>0</v>
      </c>
      <c r="S1725">
        <v>0</v>
      </c>
      <c r="T1725" t="str">
        <f t="shared" si="52"/>
        <v>12372.43.4302.85.0-205128.2.3.3.08.06.</v>
      </c>
      <c r="U1725" t="e" cm="1">
        <f t="array" aca="1" ref="U1725" ca="1">+IF(COMPROMISOS_2025[[#This Row],[P]]="20","41080111",_xlfn.XLOOKUP(COMPROMISOS_2025[[#This Row],[concatenado]],PAA[[#All],[RCP-RUBRO]],PAA[[#All],[INDICADOR]],"",0))</f>
        <v>#NAME?</v>
      </c>
      <c r="V1725" s="144" t="str">
        <f t="shared" si="53"/>
        <v>85</v>
      </c>
      <c r="W1725" s="136">
        <f>+COMPROMISOS_2025[[#This Row],[valor_total]]-COMPROMISOS_2025[[#This Row],[total_cancelado]]</f>
        <v>1067625</v>
      </c>
      <c r="X1725" s="136">
        <f>COMPROMISOS_2025[[#This Row],[total_ordenes]]</f>
        <v>1067625</v>
      </c>
      <c r="Y1725" t="str" cm="1">
        <f t="array" aca="1" ref="Y1725" ca="1">IFERROR(_xlfn.XLOOKUP(COMPROMISOS_2025[[#This Row],[concatenado]],PAA[[#All],[RCP-RUBRO]],PAA[[#All],[Actividad3]],VLOOKUP(COMPROMISOS_2025[[#This Row],[Indicador Principal]],$AC$2:$AD$17,2,0),0),"")</f>
        <v/>
      </c>
    </row>
    <row r="1726" spans="1:25" hidden="1" x14ac:dyDescent="0.25">
      <c r="A1726">
        <v>1238</v>
      </c>
      <c r="B1726" t="s">
        <v>2491</v>
      </c>
      <c r="C1726" t="s">
        <v>1936</v>
      </c>
      <c r="D1726" t="s">
        <v>4182</v>
      </c>
      <c r="F1726">
        <v>406</v>
      </c>
      <c r="G1726">
        <v>65</v>
      </c>
      <c r="H1726" t="s">
        <v>662</v>
      </c>
      <c r="I1726" t="s">
        <v>2271</v>
      </c>
      <c r="J1726">
        <v>1067625</v>
      </c>
      <c r="K1726">
        <v>2025</v>
      </c>
      <c r="L1726">
        <v>71290655</v>
      </c>
      <c r="M1726" t="s">
        <v>3924</v>
      </c>
      <c r="N1726" t="s">
        <v>1688</v>
      </c>
      <c r="O1726" t="s">
        <v>1686</v>
      </c>
      <c r="P1726">
        <v>0</v>
      </c>
      <c r="Q1726">
        <v>1067625</v>
      </c>
      <c r="R1726">
        <v>0</v>
      </c>
      <c r="S1726">
        <v>0</v>
      </c>
      <c r="T1726" t="str">
        <f t="shared" si="52"/>
        <v>12382.43.4302.85.0-205128.2.3.3.08.06.</v>
      </c>
      <c r="U1726" t="e" cm="1">
        <f t="array" aca="1" ref="U1726" ca="1">+IF(COMPROMISOS_2025[[#This Row],[P]]="20","41080111",_xlfn.XLOOKUP(COMPROMISOS_2025[[#This Row],[concatenado]],PAA[[#All],[RCP-RUBRO]],PAA[[#All],[INDICADOR]],"",0))</f>
        <v>#NAME?</v>
      </c>
      <c r="V1726" s="144" t="str">
        <f t="shared" si="53"/>
        <v>85</v>
      </c>
      <c r="W1726" s="136">
        <f>+COMPROMISOS_2025[[#This Row],[valor_total]]-COMPROMISOS_2025[[#This Row],[total_cancelado]]</f>
        <v>1067625</v>
      </c>
      <c r="X1726" s="136">
        <f>COMPROMISOS_2025[[#This Row],[total_ordenes]]</f>
        <v>1067625</v>
      </c>
      <c r="Y1726" t="str" cm="1">
        <f t="array" aca="1" ref="Y1726" ca="1">IFERROR(_xlfn.XLOOKUP(COMPROMISOS_2025[[#This Row],[concatenado]],PAA[[#All],[RCP-RUBRO]],PAA[[#All],[Actividad3]],VLOOKUP(COMPROMISOS_2025[[#This Row],[Indicador Principal]],$AC$2:$AD$17,2,0),0),"")</f>
        <v/>
      </c>
    </row>
    <row r="1727" spans="1:25" hidden="1" x14ac:dyDescent="0.25">
      <c r="A1727">
        <v>1239</v>
      </c>
      <c r="B1727" t="s">
        <v>2491</v>
      </c>
      <c r="C1727" t="s">
        <v>1936</v>
      </c>
      <c r="D1727" t="s">
        <v>4182</v>
      </c>
      <c r="F1727">
        <v>406</v>
      </c>
      <c r="G1727">
        <v>65</v>
      </c>
      <c r="H1727" t="s">
        <v>662</v>
      </c>
      <c r="I1727" t="s">
        <v>2271</v>
      </c>
      <c r="J1727">
        <v>4270500</v>
      </c>
      <c r="K1727">
        <v>2025</v>
      </c>
      <c r="L1727">
        <v>71318489</v>
      </c>
      <c r="M1727" t="s">
        <v>4200</v>
      </c>
      <c r="N1727" t="s">
        <v>1688</v>
      </c>
      <c r="O1727" t="s">
        <v>1686</v>
      </c>
      <c r="P1727">
        <v>0</v>
      </c>
      <c r="Q1727">
        <v>4270500</v>
      </c>
      <c r="R1727">
        <v>0</v>
      </c>
      <c r="S1727">
        <v>0</v>
      </c>
      <c r="T1727" t="str">
        <f t="shared" si="52"/>
        <v>12392.43.4302.85.0-205128.2.3.3.08.06.</v>
      </c>
      <c r="U1727" t="e" cm="1">
        <f t="array" aca="1" ref="U1727" ca="1">+IF(COMPROMISOS_2025[[#This Row],[P]]="20","41080111",_xlfn.XLOOKUP(COMPROMISOS_2025[[#This Row],[concatenado]],PAA[[#All],[RCP-RUBRO]],PAA[[#All],[INDICADOR]],"",0))</f>
        <v>#NAME?</v>
      </c>
      <c r="V1727" s="144" t="str">
        <f t="shared" si="53"/>
        <v>85</v>
      </c>
      <c r="W1727" s="136">
        <f>+COMPROMISOS_2025[[#This Row],[valor_total]]-COMPROMISOS_2025[[#This Row],[total_cancelado]]</f>
        <v>4270500</v>
      </c>
      <c r="X1727" s="136">
        <f>COMPROMISOS_2025[[#This Row],[total_ordenes]]</f>
        <v>4270500</v>
      </c>
      <c r="Y1727" t="str" cm="1">
        <f t="array" aca="1" ref="Y1727" ca="1">IFERROR(_xlfn.XLOOKUP(COMPROMISOS_2025[[#This Row],[concatenado]],PAA[[#All],[RCP-RUBRO]],PAA[[#All],[Actividad3]],VLOOKUP(COMPROMISOS_2025[[#This Row],[Indicador Principal]],$AC$2:$AD$17,2,0),0),"")</f>
        <v/>
      </c>
    </row>
    <row r="1728" spans="1:25" hidden="1" x14ac:dyDescent="0.25">
      <c r="A1728">
        <v>1240</v>
      </c>
      <c r="B1728" t="s">
        <v>2491</v>
      </c>
      <c r="C1728" t="s">
        <v>1936</v>
      </c>
      <c r="D1728" t="s">
        <v>4182</v>
      </c>
      <c r="F1728">
        <v>406</v>
      </c>
      <c r="G1728">
        <v>65</v>
      </c>
      <c r="H1728" t="s">
        <v>662</v>
      </c>
      <c r="I1728" t="s">
        <v>2271</v>
      </c>
      <c r="J1728">
        <v>1067625</v>
      </c>
      <c r="K1728">
        <v>2025</v>
      </c>
      <c r="L1728">
        <v>71332309</v>
      </c>
      <c r="M1728" t="s">
        <v>4201</v>
      </c>
      <c r="N1728" t="s">
        <v>1688</v>
      </c>
      <c r="O1728" t="s">
        <v>1686</v>
      </c>
      <c r="P1728">
        <v>0</v>
      </c>
      <c r="Q1728">
        <v>1067625</v>
      </c>
      <c r="R1728">
        <v>0</v>
      </c>
      <c r="S1728">
        <v>0</v>
      </c>
      <c r="T1728" t="str">
        <f t="shared" si="52"/>
        <v>12402.43.4302.85.0-205128.2.3.3.08.06.</v>
      </c>
      <c r="U1728" t="e" cm="1">
        <f t="array" aca="1" ref="U1728" ca="1">+IF(COMPROMISOS_2025[[#This Row],[P]]="20","41080111",_xlfn.XLOOKUP(COMPROMISOS_2025[[#This Row],[concatenado]],PAA[[#All],[RCP-RUBRO]],PAA[[#All],[INDICADOR]],"",0))</f>
        <v>#NAME?</v>
      </c>
      <c r="V1728" s="144" t="str">
        <f t="shared" si="53"/>
        <v>85</v>
      </c>
      <c r="W1728" s="136">
        <f>+COMPROMISOS_2025[[#This Row],[valor_total]]-COMPROMISOS_2025[[#This Row],[total_cancelado]]</f>
        <v>1067625</v>
      </c>
      <c r="X1728" s="136">
        <f>COMPROMISOS_2025[[#This Row],[total_ordenes]]</f>
        <v>1067625</v>
      </c>
      <c r="Y1728" t="str" cm="1">
        <f t="array" aca="1" ref="Y1728" ca="1">IFERROR(_xlfn.XLOOKUP(COMPROMISOS_2025[[#This Row],[concatenado]],PAA[[#All],[RCP-RUBRO]],PAA[[#All],[Actividad3]],VLOOKUP(COMPROMISOS_2025[[#This Row],[Indicador Principal]],$AC$2:$AD$17,2,0),0),"")</f>
        <v/>
      </c>
    </row>
    <row r="1729" spans="1:25" hidden="1" x14ac:dyDescent="0.25">
      <c r="A1729">
        <v>1241</v>
      </c>
      <c r="B1729" t="s">
        <v>2491</v>
      </c>
      <c r="C1729" t="s">
        <v>1936</v>
      </c>
      <c r="D1729" t="s">
        <v>4182</v>
      </c>
      <c r="F1729">
        <v>406</v>
      </c>
      <c r="G1729">
        <v>65</v>
      </c>
      <c r="H1729" t="s">
        <v>662</v>
      </c>
      <c r="I1729" t="s">
        <v>2271</v>
      </c>
      <c r="J1729">
        <v>711750</v>
      </c>
      <c r="K1729">
        <v>2025</v>
      </c>
      <c r="L1729">
        <v>71352797</v>
      </c>
      <c r="M1729" t="s">
        <v>4202</v>
      </c>
      <c r="N1729" t="s">
        <v>1688</v>
      </c>
      <c r="O1729" t="s">
        <v>1686</v>
      </c>
      <c r="P1729">
        <v>0</v>
      </c>
      <c r="Q1729">
        <v>711750</v>
      </c>
      <c r="R1729">
        <v>0</v>
      </c>
      <c r="S1729">
        <v>0</v>
      </c>
      <c r="T1729" t="str">
        <f t="shared" si="52"/>
        <v>12412.43.4302.85.0-205128.2.3.3.08.06.</v>
      </c>
      <c r="U1729" t="e" cm="1">
        <f t="array" aca="1" ref="U1729" ca="1">+IF(COMPROMISOS_2025[[#This Row],[P]]="20","41080111",_xlfn.XLOOKUP(COMPROMISOS_2025[[#This Row],[concatenado]],PAA[[#All],[RCP-RUBRO]],PAA[[#All],[INDICADOR]],"",0))</f>
        <v>#NAME?</v>
      </c>
      <c r="V1729" s="144" t="str">
        <f t="shared" si="53"/>
        <v>85</v>
      </c>
      <c r="W1729" s="136">
        <f>+COMPROMISOS_2025[[#This Row],[valor_total]]-COMPROMISOS_2025[[#This Row],[total_cancelado]]</f>
        <v>711750</v>
      </c>
      <c r="X1729" s="136">
        <f>COMPROMISOS_2025[[#This Row],[total_ordenes]]</f>
        <v>711750</v>
      </c>
      <c r="Y1729" t="str" cm="1">
        <f t="array" aca="1" ref="Y1729" ca="1">IFERROR(_xlfn.XLOOKUP(COMPROMISOS_2025[[#This Row],[concatenado]],PAA[[#All],[RCP-RUBRO]],PAA[[#All],[Actividad3]],VLOOKUP(COMPROMISOS_2025[[#This Row],[Indicador Principal]],$AC$2:$AD$17,2,0),0),"")</f>
        <v/>
      </c>
    </row>
    <row r="1730" spans="1:25" hidden="1" x14ac:dyDescent="0.25">
      <c r="A1730">
        <v>1242</v>
      </c>
      <c r="B1730" t="s">
        <v>2491</v>
      </c>
      <c r="C1730" t="s">
        <v>1936</v>
      </c>
      <c r="D1730" t="s">
        <v>4182</v>
      </c>
      <c r="F1730">
        <v>406</v>
      </c>
      <c r="G1730">
        <v>65</v>
      </c>
      <c r="H1730" t="s">
        <v>662</v>
      </c>
      <c r="I1730" t="s">
        <v>2271</v>
      </c>
      <c r="J1730">
        <v>711750</v>
      </c>
      <c r="K1730">
        <v>2025</v>
      </c>
      <c r="L1730">
        <v>71362015</v>
      </c>
      <c r="M1730" t="s">
        <v>3582</v>
      </c>
      <c r="N1730" t="s">
        <v>1688</v>
      </c>
      <c r="O1730" t="s">
        <v>1686</v>
      </c>
      <c r="P1730">
        <v>0</v>
      </c>
      <c r="Q1730">
        <v>711750</v>
      </c>
      <c r="R1730">
        <v>0</v>
      </c>
      <c r="S1730">
        <v>0</v>
      </c>
      <c r="T1730" t="str">
        <f t="shared" ref="T1730:T1793" si="54">IF(A1730&gt;=0,CONCATENATE(A1730,H1730),"")</f>
        <v>12422.43.4302.85.0-205128.2.3.3.08.06.</v>
      </c>
      <c r="U1730" t="e" cm="1">
        <f t="array" aca="1" ref="U1730" ca="1">+IF(COMPROMISOS_2025[[#This Row],[P]]="20","41080111",_xlfn.XLOOKUP(COMPROMISOS_2025[[#This Row],[concatenado]],PAA[[#All],[RCP-RUBRO]],PAA[[#All],[INDICADOR]],"",0))</f>
        <v>#NAME?</v>
      </c>
      <c r="V1730" s="144" t="str">
        <f t="shared" ref="V1730:V1793" si="55">+MID(H1730,11,2)</f>
        <v>85</v>
      </c>
      <c r="W1730" s="136">
        <f>+COMPROMISOS_2025[[#This Row],[valor_total]]-COMPROMISOS_2025[[#This Row],[total_cancelado]]</f>
        <v>711750</v>
      </c>
      <c r="X1730" s="136">
        <f>COMPROMISOS_2025[[#This Row],[total_ordenes]]</f>
        <v>711750</v>
      </c>
      <c r="Y1730" t="str" cm="1">
        <f t="array" aca="1" ref="Y1730" ca="1">IFERROR(_xlfn.XLOOKUP(COMPROMISOS_2025[[#This Row],[concatenado]],PAA[[#All],[RCP-RUBRO]],PAA[[#All],[Actividad3]],VLOOKUP(COMPROMISOS_2025[[#This Row],[Indicador Principal]],$AC$2:$AD$17,2,0),0),"")</f>
        <v/>
      </c>
    </row>
    <row r="1731" spans="1:25" hidden="1" x14ac:dyDescent="0.25">
      <c r="A1731">
        <v>1243</v>
      </c>
      <c r="B1731" t="s">
        <v>2491</v>
      </c>
      <c r="C1731" t="s">
        <v>1936</v>
      </c>
      <c r="D1731" t="s">
        <v>4182</v>
      </c>
      <c r="F1731">
        <v>406</v>
      </c>
      <c r="G1731">
        <v>65</v>
      </c>
      <c r="H1731" t="s">
        <v>662</v>
      </c>
      <c r="I1731" t="s">
        <v>2271</v>
      </c>
      <c r="J1731">
        <v>1423500</v>
      </c>
      <c r="K1731">
        <v>2025</v>
      </c>
      <c r="L1731">
        <v>71397245</v>
      </c>
      <c r="M1731" t="s">
        <v>4203</v>
      </c>
      <c r="N1731" t="s">
        <v>1688</v>
      </c>
      <c r="O1731" t="s">
        <v>1686</v>
      </c>
      <c r="P1731">
        <v>0</v>
      </c>
      <c r="Q1731">
        <v>1423500</v>
      </c>
      <c r="R1731">
        <v>0</v>
      </c>
      <c r="S1731">
        <v>0</v>
      </c>
      <c r="T1731" t="str">
        <f t="shared" si="54"/>
        <v>12432.43.4302.85.0-205128.2.3.3.08.06.</v>
      </c>
      <c r="U1731" t="e" cm="1">
        <f t="array" aca="1" ref="U1731" ca="1">+IF(COMPROMISOS_2025[[#This Row],[P]]="20","41080111",_xlfn.XLOOKUP(COMPROMISOS_2025[[#This Row],[concatenado]],PAA[[#All],[RCP-RUBRO]],PAA[[#All],[INDICADOR]],"",0))</f>
        <v>#NAME?</v>
      </c>
      <c r="V1731" s="144" t="str">
        <f t="shared" si="55"/>
        <v>85</v>
      </c>
      <c r="W1731" s="136">
        <f>+COMPROMISOS_2025[[#This Row],[valor_total]]-COMPROMISOS_2025[[#This Row],[total_cancelado]]</f>
        <v>1423500</v>
      </c>
      <c r="X1731" s="136">
        <f>COMPROMISOS_2025[[#This Row],[total_ordenes]]</f>
        <v>1423500</v>
      </c>
      <c r="Y1731" t="str" cm="1">
        <f t="array" aca="1" ref="Y1731" ca="1">IFERROR(_xlfn.XLOOKUP(COMPROMISOS_2025[[#This Row],[concatenado]],PAA[[#All],[RCP-RUBRO]],PAA[[#All],[Actividad3]],VLOOKUP(COMPROMISOS_2025[[#This Row],[Indicador Principal]],$AC$2:$AD$17,2,0),0),"")</f>
        <v/>
      </c>
    </row>
    <row r="1732" spans="1:25" hidden="1" x14ac:dyDescent="0.25">
      <c r="A1732">
        <v>1244</v>
      </c>
      <c r="B1732" t="s">
        <v>2491</v>
      </c>
      <c r="C1732" t="s">
        <v>1936</v>
      </c>
      <c r="D1732" t="s">
        <v>4182</v>
      </c>
      <c r="F1732">
        <v>406</v>
      </c>
      <c r="G1732">
        <v>65</v>
      </c>
      <c r="H1732" t="s">
        <v>662</v>
      </c>
      <c r="I1732" t="s">
        <v>2271</v>
      </c>
      <c r="J1732">
        <v>1067625</v>
      </c>
      <c r="K1732">
        <v>2025</v>
      </c>
      <c r="L1732">
        <v>71705850</v>
      </c>
      <c r="M1732" t="s">
        <v>4204</v>
      </c>
      <c r="N1732" t="s">
        <v>1688</v>
      </c>
      <c r="O1732" t="s">
        <v>1686</v>
      </c>
      <c r="P1732">
        <v>0</v>
      </c>
      <c r="Q1732">
        <v>1067625</v>
      </c>
      <c r="R1732">
        <v>0</v>
      </c>
      <c r="S1732">
        <v>0</v>
      </c>
      <c r="T1732" t="str">
        <f t="shared" si="54"/>
        <v>12442.43.4302.85.0-205128.2.3.3.08.06.</v>
      </c>
      <c r="U1732" t="e" cm="1">
        <f t="array" aca="1" ref="U1732" ca="1">+IF(COMPROMISOS_2025[[#This Row],[P]]="20","41080111",_xlfn.XLOOKUP(COMPROMISOS_2025[[#This Row],[concatenado]],PAA[[#All],[RCP-RUBRO]],PAA[[#All],[INDICADOR]],"",0))</f>
        <v>#NAME?</v>
      </c>
      <c r="V1732" s="144" t="str">
        <f t="shared" si="55"/>
        <v>85</v>
      </c>
      <c r="W1732" s="136">
        <f>+COMPROMISOS_2025[[#This Row],[valor_total]]-COMPROMISOS_2025[[#This Row],[total_cancelado]]</f>
        <v>1067625</v>
      </c>
      <c r="X1732" s="136">
        <f>COMPROMISOS_2025[[#This Row],[total_ordenes]]</f>
        <v>1067625</v>
      </c>
      <c r="Y1732" t="str" cm="1">
        <f t="array" aca="1" ref="Y1732" ca="1">IFERROR(_xlfn.XLOOKUP(COMPROMISOS_2025[[#This Row],[concatenado]],PAA[[#All],[RCP-RUBRO]],PAA[[#All],[Actividad3]],VLOOKUP(COMPROMISOS_2025[[#This Row],[Indicador Principal]],$AC$2:$AD$17,2,0),0),"")</f>
        <v/>
      </c>
    </row>
    <row r="1733" spans="1:25" hidden="1" x14ac:dyDescent="0.25">
      <c r="A1733">
        <v>1245</v>
      </c>
      <c r="B1733" t="s">
        <v>2491</v>
      </c>
      <c r="C1733" t="s">
        <v>1936</v>
      </c>
      <c r="D1733" t="s">
        <v>4182</v>
      </c>
      <c r="F1733">
        <v>406</v>
      </c>
      <c r="G1733">
        <v>65</v>
      </c>
      <c r="H1733" t="s">
        <v>662</v>
      </c>
      <c r="I1733" t="s">
        <v>2271</v>
      </c>
      <c r="J1733">
        <v>1423500</v>
      </c>
      <c r="K1733">
        <v>2025</v>
      </c>
      <c r="L1733">
        <v>71759760</v>
      </c>
      <c r="M1733" t="s">
        <v>3926</v>
      </c>
      <c r="N1733" t="s">
        <v>1688</v>
      </c>
      <c r="O1733" t="s">
        <v>1686</v>
      </c>
      <c r="P1733">
        <v>0</v>
      </c>
      <c r="Q1733">
        <v>1423500</v>
      </c>
      <c r="R1733">
        <v>0</v>
      </c>
      <c r="S1733">
        <v>0</v>
      </c>
      <c r="T1733" t="str">
        <f t="shared" si="54"/>
        <v>12452.43.4302.85.0-205128.2.3.3.08.06.</v>
      </c>
      <c r="U1733" t="e" cm="1">
        <f t="array" aca="1" ref="U1733" ca="1">+IF(COMPROMISOS_2025[[#This Row],[P]]="20","41080111",_xlfn.XLOOKUP(COMPROMISOS_2025[[#This Row],[concatenado]],PAA[[#All],[RCP-RUBRO]],PAA[[#All],[INDICADOR]],"",0))</f>
        <v>#NAME?</v>
      </c>
      <c r="V1733" s="144" t="str">
        <f t="shared" si="55"/>
        <v>85</v>
      </c>
      <c r="W1733" s="136">
        <f>+COMPROMISOS_2025[[#This Row],[valor_total]]-COMPROMISOS_2025[[#This Row],[total_cancelado]]</f>
        <v>1423500</v>
      </c>
      <c r="X1733" s="136">
        <f>COMPROMISOS_2025[[#This Row],[total_ordenes]]</f>
        <v>1423500</v>
      </c>
      <c r="Y1733" t="str" cm="1">
        <f t="array" aca="1" ref="Y1733" ca="1">IFERROR(_xlfn.XLOOKUP(COMPROMISOS_2025[[#This Row],[concatenado]],PAA[[#All],[RCP-RUBRO]],PAA[[#All],[Actividad3]],VLOOKUP(COMPROMISOS_2025[[#This Row],[Indicador Principal]],$AC$2:$AD$17,2,0),0),"")</f>
        <v/>
      </c>
    </row>
    <row r="1734" spans="1:25" hidden="1" x14ac:dyDescent="0.25">
      <c r="A1734">
        <v>1246</v>
      </c>
      <c r="B1734" t="s">
        <v>2491</v>
      </c>
      <c r="C1734" t="s">
        <v>1936</v>
      </c>
      <c r="D1734" t="s">
        <v>4182</v>
      </c>
      <c r="F1734">
        <v>406</v>
      </c>
      <c r="G1734">
        <v>65</v>
      </c>
      <c r="H1734" t="s">
        <v>662</v>
      </c>
      <c r="I1734" t="s">
        <v>2271</v>
      </c>
      <c r="J1734">
        <v>1423500</v>
      </c>
      <c r="K1734">
        <v>2025</v>
      </c>
      <c r="L1734">
        <v>71760275</v>
      </c>
      <c r="M1734" t="s">
        <v>4205</v>
      </c>
      <c r="N1734" t="s">
        <v>1688</v>
      </c>
      <c r="O1734" t="s">
        <v>1686</v>
      </c>
      <c r="P1734">
        <v>0</v>
      </c>
      <c r="Q1734">
        <v>1423500</v>
      </c>
      <c r="R1734">
        <v>0</v>
      </c>
      <c r="S1734">
        <v>0</v>
      </c>
      <c r="T1734" t="str">
        <f t="shared" si="54"/>
        <v>12462.43.4302.85.0-205128.2.3.3.08.06.</v>
      </c>
      <c r="U1734" t="e" cm="1">
        <f t="array" aca="1" ref="U1734" ca="1">+IF(COMPROMISOS_2025[[#This Row],[P]]="20","41080111",_xlfn.XLOOKUP(COMPROMISOS_2025[[#This Row],[concatenado]],PAA[[#All],[RCP-RUBRO]],PAA[[#All],[INDICADOR]],"",0))</f>
        <v>#NAME?</v>
      </c>
      <c r="V1734" s="144" t="str">
        <f t="shared" si="55"/>
        <v>85</v>
      </c>
      <c r="W1734" s="136">
        <f>+COMPROMISOS_2025[[#This Row],[valor_total]]-COMPROMISOS_2025[[#This Row],[total_cancelado]]</f>
        <v>1423500</v>
      </c>
      <c r="X1734" s="136">
        <f>COMPROMISOS_2025[[#This Row],[total_ordenes]]</f>
        <v>1423500</v>
      </c>
      <c r="Y1734" t="str" cm="1">
        <f t="array" aca="1" ref="Y1734" ca="1">IFERROR(_xlfn.XLOOKUP(COMPROMISOS_2025[[#This Row],[concatenado]],PAA[[#All],[RCP-RUBRO]],PAA[[#All],[Actividad3]],VLOOKUP(COMPROMISOS_2025[[#This Row],[Indicador Principal]],$AC$2:$AD$17,2,0),0),"")</f>
        <v/>
      </c>
    </row>
    <row r="1735" spans="1:25" hidden="1" x14ac:dyDescent="0.25">
      <c r="A1735">
        <v>1247</v>
      </c>
      <c r="B1735" t="s">
        <v>2491</v>
      </c>
      <c r="C1735" t="s">
        <v>1936</v>
      </c>
      <c r="D1735" t="s">
        <v>4182</v>
      </c>
      <c r="F1735">
        <v>406</v>
      </c>
      <c r="G1735">
        <v>65</v>
      </c>
      <c r="H1735" t="s">
        <v>662</v>
      </c>
      <c r="I1735" t="s">
        <v>2271</v>
      </c>
      <c r="J1735">
        <v>1423500</v>
      </c>
      <c r="K1735">
        <v>2025</v>
      </c>
      <c r="L1735">
        <v>71786321</v>
      </c>
      <c r="M1735" t="s">
        <v>4206</v>
      </c>
      <c r="N1735" t="s">
        <v>1688</v>
      </c>
      <c r="O1735" t="s">
        <v>1686</v>
      </c>
      <c r="P1735">
        <v>0</v>
      </c>
      <c r="Q1735">
        <v>1423500</v>
      </c>
      <c r="R1735">
        <v>0</v>
      </c>
      <c r="S1735">
        <v>0</v>
      </c>
      <c r="T1735" t="str">
        <f t="shared" si="54"/>
        <v>12472.43.4302.85.0-205128.2.3.3.08.06.</v>
      </c>
      <c r="U1735" t="e" cm="1">
        <f t="array" aca="1" ref="U1735" ca="1">+IF(COMPROMISOS_2025[[#This Row],[P]]="20","41080111",_xlfn.XLOOKUP(COMPROMISOS_2025[[#This Row],[concatenado]],PAA[[#All],[RCP-RUBRO]],PAA[[#All],[INDICADOR]],"",0))</f>
        <v>#NAME?</v>
      </c>
      <c r="V1735" s="144" t="str">
        <f t="shared" si="55"/>
        <v>85</v>
      </c>
      <c r="W1735" s="136">
        <f>+COMPROMISOS_2025[[#This Row],[valor_total]]-COMPROMISOS_2025[[#This Row],[total_cancelado]]</f>
        <v>1423500</v>
      </c>
      <c r="X1735" s="136">
        <f>COMPROMISOS_2025[[#This Row],[total_ordenes]]</f>
        <v>1423500</v>
      </c>
      <c r="Y1735" t="str" cm="1">
        <f t="array" aca="1" ref="Y1735" ca="1">IFERROR(_xlfn.XLOOKUP(COMPROMISOS_2025[[#This Row],[concatenado]],PAA[[#All],[RCP-RUBRO]],PAA[[#All],[Actividad3]],VLOOKUP(COMPROMISOS_2025[[#This Row],[Indicador Principal]],$AC$2:$AD$17,2,0),0),"")</f>
        <v/>
      </c>
    </row>
    <row r="1736" spans="1:25" hidden="1" x14ac:dyDescent="0.25">
      <c r="A1736">
        <v>1248</v>
      </c>
      <c r="B1736" t="s">
        <v>2491</v>
      </c>
      <c r="C1736" t="s">
        <v>1936</v>
      </c>
      <c r="D1736" t="s">
        <v>4182</v>
      </c>
      <c r="F1736">
        <v>406</v>
      </c>
      <c r="G1736">
        <v>65</v>
      </c>
      <c r="H1736" t="s">
        <v>662</v>
      </c>
      <c r="I1736" t="s">
        <v>2271</v>
      </c>
      <c r="J1736">
        <v>1067625</v>
      </c>
      <c r="K1736">
        <v>2025</v>
      </c>
      <c r="L1736">
        <v>80795082</v>
      </c>
      <c r="M1736" t="s">
        <v>4207</v>
      </c>
      <c r="N1736" t="s">
        <v>1688</v>
      </c>
      <c r="O1736" t="s">
        <v>1686</v>
      </c>
      <c r="P1736">
        <v>0</v>
      </c>
      <c r="Q1736">
        <v>1067625</v>
      </c>
      <c r="R1736">
        <v>0</v>
      </c>
      <c r="S1736">
        <v>0</v>
      </c>
      <c r="T1736" t="str">
        <f t="shared" si="54"/>
        <v>12482.43.4302.85.0-205128.2.3.3.08.06.</v>
      </c>
      <c r="U1736" t="e" cm="1">
        <f t="array" aca="1" ref="U1736" ca="1">+IF(COMPROMISOS_2025[[#This Row],[P]]="20","41080111",_xlfn.XLOOKUP(COMPROMISOS_2025[[#This Row],[concatenado]],PAA[[#All],[RCP-RUBRO]],PAA[[#All],[INDICADOR]],"",0))</f>
        <v>#NAME?</v>
      </c>
      <c r="V1736" s="144" t="str">
        <f t="shared" si="55"/>
        <v>85</v>
      </c>
      <c r="W1736" s="136">
        <f>+COMPROMISOS_2025[[#This Row],[valor_total]]-COMPROMISOS_2025[[#This Row],[total_cancelado]]</f>
        <v>1067625</v>
      </c>
      <c r="X1736" s="136">
        <f>COMPROMISOS_2025[[#This Row],[total_ordenes]]</f>
        <v>1067625</v>
      </c>
      <c r="Y1736" t="str" cm="1">
        <f t="array" aca="1" ref="Y1736" ca="1">IFERROR(_xlfn.XLOOKUP(COMPROMISOS_2025[[#This Row],[concatenado]],PAA[[#All],[RCP-RUBRO]],PAA[[#All],[Actividad3]],VLOOKUP(COMPROMISOS_2025[[#This Row],[Indicador Principal]],$AC$2:$AD$17,2,0),0),"")</f>
        <v/>
      </c>
    </row>
    <row r="1737" spans="1:25" hidden="1" x14ac:dyDescent="0.25">
      <c r="A1737">
        <v>1249</v>
      </c>
      <c r="B1737" t="s">
        <v>2491</v>
      </c>
      <c r="C1737" t="s">
        <v>1936</v>
      </c>
      <c r="D1737" t="s">
        <v>4182</v>
      </c>
      <c r="F1737">
        <v>406</v>
      </c>
      <c r="G1737">
        <v>65</v>
      </c>
      <c r="H1737" t="s">
        <v>662</v>
      </c>
      <c r="I1737" t="s">
        <v>2271</v>
      </c>
      <c r="J1737">
        <v>1067625</v>
      </c>
      <c r="K1737">
        <v>2025</v>
      </c>
      <c r="L1737">
        <v>98525398</v>
      </c>
      <c r="M1737" t="s">
        <v>4208</v>
      </c>
      <c r="N1737" t="s">
        <v>1688</v>
      </c>
      <c r="O1737" t="s">
        <v>1686</v>
      </c>
      <c r="P1737">
        <v>0</v>
      </c>
      <c r="Q1737">
        <v>1067625</v>
      </c>
      <c r="R1737">
        <v>0</v>
      </c>
      <c r="S1737">
        <v>0</v>
      </c>
      <c r="T1737" t="str">
        <f t="shared" si="54"/>
        <v>12492.43.4302.85.0-205128.2.3.3.08.06.</v>
      </c>
      <c r="U1737" t="e" cm="1">
        <f t="array" aca="1" ref="U1737" ca="1">+IF(COMPROMISOS_2025[[#This Row],[P]]="20","41080111",_xlfn.XLOOKUP(COMPROMISOS_2025[[#This Row],[concatenado]],PAA[[#All],[RCP-RUBRO]],PAA[[#All],[INDICADOR]],"",0))</f>
        <v>#NAME?</v>
      </c>
      <c r="V1737" s="144" t="str">
        <f t="shared" si="55"/>
        <v>85</v>
      </c>
      <c r="W1737" s="136">
        <f>+COMPROMISOS_2025[[#This Row],[valor_total]]-COMPROMISOS_2025[[#This Row],[total_cancelado]]</f>
        <v>1067625</v>
      </c>
      <c r="X1737" s="136">
        <f>COMPROMISOS_2025[[#This Row],[total_ordenes]]</f>
        <v>1067625</v>
      </c>
      <c r="Y1737" t="str" cm="1">
        <f t="array" aca="1" ref="Y1737" ca="1">IFERROR(_xlfn.XLOOKUP(COMPROMISOS_2025[[#This Row],[concatenado]],PAA[[#All],[RCP-RUBRO]],PAA[[#All],[Actividad3]],VLOOKUP(COMPROMISOS_2025[[#This Row],[Indicador Principal]],$AC$2:$AD$17,2,0),0),"")</f>
        <v/>
      </c>
    </row>
    <row r="1738" spans="1:25" hidden="1" x14ac:dyDescent="0.25">
      <c r="A1738">
        <v>1250</v>
      </c>
      <c r="B1738" t="s">
        <v>2491</v>
      </c>
      <c r="C1738" t="s">
        <v>1936</v>
      </c>
      <c r="D1738" t="s">
        <v>4182</v>
      </c>
      <c r="F1738">
        <v>406</v>
      </c>
      <c r="G1738">
        <v>65</v>
      </c>
      <c r="H1738" t="s">
        <v>662</v>
      </c>
      <c r="I1738" t="s">
        <v>2271</v>
      </c>
      <c r="J1738">
        <v>1067625</v>
      </c>
      <c r="K1738">
        <v>2025</v>
      </c>
      <c r="L1738">
        <v>98603973</v>
      </c>
      <c r="M1738" t="s">
        <v>3927</v>
      </c>
      <c r="N1738" t="s">
        <v>1688</v>
      </c>
      <c r="O1738" t="s">
        <v>1686</v>
      </c>
      <c r="P1738">
        <v>0</v>
      </c>
      <c r="Q1738">
        <v>1067625</v>
      </c>
      <c r="R1738">
        <v>0</v>
      </c>
      <c r="S1738">
        <v>0</v>
      </c>
      <c r="T1738" t="str">
        <f t="shared" si="54"/>
        <v>12502.43.4302.85.0-205128.2.3.3.08.06.</v>
      </c>
      <c r="U1738" t="e" cm="1">
        <f t="array" aca="1" ref="U1738" ca="1">+IF(COMPROMISOS_2025[[#This Row],[P]]="20","41080111",_xlfn.XLOOKUP(COMPROMISOS_2025[[#This Row],[concatenado]],PAA[[#All],[RCP-RUBRO]],PAA[[#All],[INDICADOR]],"",0))</f>
        <v>#NAME?</v>
      </c>
      <c r="V1738" s="144" t="str">
        <f t="shared" si="55"/>
        <v>85</v>
      </c>
      <c r="W1738" s="136">
        <f>+COMPROMISOS_2025[[#This Row],[valor_total]]-COMPROMISOS_2025[[#This Row],[total_cancelado]]</f>
        <v>1067625</v>
      </c>
      <c r="X1738" s="136">
        <f>COMPROMISOS_2025[[#This Row],[total_ordenes]]</f>
        <v>1067625</v>
      </c>
      <c r="Y1738" t="str" cm="1">
        <f t="array" aca="1" ref="Y1738" ca="1">IFERROR(_xlfn.XLOOKUP(COMPROMISOS_2025[[#This Row],[concatenado]],PAA[[#All],[RCP-RUBRO]],PAA[[#All],[Actividad3]],VLOOKUP(COMPROMISOS_2025[[#This Row],[Indicador Principal]],$AC$2:$AD$17,2,0),0),"")</f>
        <v/>
      </c>
    </row>
    <row r="1739" spans="1:25" hidden="1" x14ac:dyDescent="0.25">
      <c r="A1739">
        <v>1251</v>
      </c>
      <c r="B1739" t="s">
        <v>2491</v>
      </c>
      <c r="C1739" t="s">
        <v>1936</v>
      </c>
      <c r="D1739" t="s">
        <v>4182</v>
      </c>
      <c r="F1739">
        <v>406</v>
      </c>
      <c r="G1739">
        <v>65</v>
      </c>
      <c r="H1739" t="s">
        <v>662</v>
      </c>
      <c r="I1739" t="s">
        <v>2271</v>
      </c>
      <c r="J1739">
        <v>1067625</v>
      </c>
      <c r="K1739">
        <v>2025</v>
      </c>
      <c r="L1739">
        <v>98699344</v>
      </c>
      <c r="M1739" t="s">
        <v>4209</v>
      </c>
      <c r="N1739" t="s">
        <v>1688</v>
      </c>
      <c r="O1739" t="s">
        <v>1686</v>
      </c>
      <c r="P1739">
        <v>0</v>
      </c>
      <c r="Q1739">
        <v>1067625</v>
      </c>
      <c r="R1739">
        <v>0</v>
      </c>
      <c r="S1739">
        <v>0</v>
      </c>
      <c r="T1739" t="str">
        <f t="shared" si="54"/>
        <v>12512.43.4302.85.0-205128.2.3.3.08.06.</v>
      </c>
      <c r="U1739" t="e" cm="1">
        <f t="array" aca="1" ref="U1739" ca="1">+IF(COMPROMISOS_2025[[#This Row],[P]]="20","41080111",_xlfn.XLOOKUP(COMPROMISOS_2025[[#This Row],[concatenado]],PAA[[#All],[RCP-RUBRO]],PAA[[#All],[INDICADOR]],"",0))</f>
        <v>#NAME?</v>
      </c>
      <c r="V1739" s="144" t="str">
        <f t="shared" si="55"/>
        <v>85</v>
      </c>
      <c r="W1739" s="136">
        <f>+COMPROMISOS_2025[[#This Row],[valor_total]]-COMPROMISOS_2025[[#This Row],[total_cancelado]]</f>
        <v>1067625</v>
      </c>
      <c r="X1739" s="136">
        <f>COMPROMISOS_2025[[#This Row],[total_ordenes]]</f>
        <v>1067625</v>
      </c>
      <c r="Y1739" t="str" cm="1">
        <f t="array" aca="1" ref="Y1739" ca="1">IFERROR(_xlfn.XLOOKUP(COMPROMISOS_2025[[#This Row],[concatenado]],PAA[[#All],[RCP-RUBRO]],PAA[[#All],[Actividad3]],VLOOKUP(COMPROMISOS_2025[[#This Row],[Indicador Principal]],$AC$2:$AD$17,2,0),0),"")</f>
        <v/>
      </c>
    </row>
    <row r="1740" spans="1:25" hidden="1" x14ac:dyDescent="0.25">
      <c r="A1740">
        <v>1252</v>
      </c>
      <c r="B1740" t="s">
        <v>2491</v>
      </c>
      <c r="C1740" t="s">
        <v>1936</v>
      </c>
      <c r="D1740" t="s">
        <v>4182</v>
      </c>
      <c r="F1740">
        <v>406</v>
      </c>
      <c r="G1740">
        <v>65</v>
      </c>
      <c r="H1740" t="s">
        <v>662</v>
      </c>
      <c r="I1740" t="s">
        <v>2271</v>
      </c>
      <c r="J1740">
        <v>1423500</v>
      </c>
      <c r="K1740">
        <v>2025</v>
      </c>
      <c r="L1740">
        <v>98702359</v>
      </c>
      <c r="M1740" t="s">
        <v>4210</v>
      </c>
      <c r="N1740" t="s">
        <v>1688</v>
      </c>
      <c r="O1740" t="s">
        <v>1686</v>
      </c>
      <c r="P1740">
        <v>0</v>
      </c>
      <c r="Q1740">
        <v>1423500</v>
      </c>
      <c r="R1740">
        <v>0</v>
      </c>
      <c r="S1740">
        <v>0</v>
      </c>
      <c r="T1740" t="str">
        <f t="shared" si="54"/>
        <v>12522.43.4302.85.0-205128.2.3.3.08.06.</v>
      </c>
      <c r="U1740" t="e" cm="1">
        <f t="array" aca="1" ref="U1740" ca="1">+IF(COMPROMISOS_2025[[#This Row],[P]]="20","41080111",_xlfn.XLOOKUP(COMPROMISOS_2025[[#This Row],[concatenado]],PAA[[#All],[RCP-RUBRO]],PAA[[#All],[INDICADOR]],"",0))</f>
        <v>#NAME?</v>
      </c>
      <c r="V1740" s="144" t="str">
        <f t="shared" si="55"/>
        <v>85</v>
      </c>
      <c r="W1740" s="136">
        <f>+COMPROMISOS_2025[[#This Row],[valor_total]]-COMPROMISOS_2025[[#This Row],[total_cancelado]]</f>
        <v>1423500</v>
      </c>
      <c r="X1740" s="136">
        <f>COMPROMISOS_2025[[#This Row],[total_ordenes]]</f>
        <v>1423500</v>
      </c>
      <c r="Y1740" t="str" cm="1">
        <f t="array" aca="1" ref="Y1740" ca="1">IFERROR(_xlfn.XLOOKUP(COMPROMISOS_2025[[#This Row],[concatenado]],PAA[[#All],[RCP-RUBRO]],PAA[[#All],[Actividad3]],VLOOKUP(COMPROMISOS_2025[[#This Row],[Indicador Principal]],$AC$2:$AD$17,2,0),0),"")</f>
        <v/>
      </c>
    </row>
    <row r="1741" spans="1:25" hidden="1" x14ac:dyDescent="0.25">
      <c r="A1741">
        <v>1253</v>
      </c>
      <c r="B1741" t="s">
        <v>2491</v>
      </c>
      <c r="C1741" t="s">
        <v>1936</v>
      </c>
      <c r="D1741" t="s">
        <v>4182</v>
      </c>
      <c r="F1741">
        <v>406</v>
      </c>
      <c r="G1741">
        <v>65</v>
      </c>
      <c r="H1741" t="s">
        <v>662</v>
      </c>
      <c r="I1741" t="s">
        <v>2271</v>
      </c>
      <c r="J1741">
        <v>1423500</v>
      </c>
      <c r="K1741">
        <v>2025</v>
      </c>
      <c r="L1741">
        <v>98710243</v>
      </c>
      <c r="M1741" t="s">
        <v>4211</v>
      </c>
      <c r="N1741" t="s">
        <v>1688</v>
      </c>
      <c r="O1741" t="s">
        <v>1686</v>
      </c>
      <c r="P1741">
        <v>0</v>
      </c>
      <c r="Q1741">
        <v>1423500</v>
      </c>
      <c r="R1741">
        <v>0</v>
      </c>
      <c r="S1741">
        <v>0</v>
      </c>
      <c r="T1741" t="str">
        <f t="shared" si="54"/>
        <v>12532.43.4302.85.0-205128.2.3.3.08.06.</v>
      </c>
      <c r="U1741" t="e" cm="1">
        <f t="array" aca="1" ref="U1741" ca="1">+IF(COMPROMISOS_2025[[#This Row],[P]]="20","41080111",_xlfn.XLOOKUP(COMPROMISOS_2025[[#This Row],[concatenado]],PAA[[#All],[RCP-RUBRO]],PAA[[#All],[INDICADOR]],"",0))</f>
        <v>#NAME?</v>
      </c>
      <c r="V1741" s="144" t="str">
        <f t="shared" si="55"/>
        <v>85</v>
      </c>
      <c r="W1741" s="136">
        <f>+COMPROMISOS_2025[[#This Row],[valor_total]]-COMPROMISOS_2025[[#This Row],[total_cancelado]]</f>
        <v>1423500</v>
      </c>
      <c r="X1741" s="136">
        <f>COMPROMISOS_2025[[#This Row],[total_ordenes]]</f>
        <v>1423500</v>
      </c>
      <c r="Y1741" t="str" cm="1">
        <f t="array" aca="1" ref="Y1741" ca="1">IFERROR(_xlfn.XLOOKUP(COMPROMISOS_2025[[#This Row],[concatenado]],PAA[[#All],[RCP-RUBRO]],PAA[[#All],[Actividad3]],VLOOKUP(COMPROMISOS_2025[[#This Row],[Indicador Principal]],$AC$2:$AD$17,2,0),0),"")</f>
        <v/>
      </c>
    </row>
    <row r="1742" spans="1:25" hidden="1" x14ac:dyDescent="0.25">
      <c r="A1742">
        <v>1254</v>
      </c>
      <c r="B1742" t="s">
        <v>2491</v>
      </c>
      <c r="C1742" t="s">
        <v>1936</v>
      </c>
      <c r="D1742" t="s">
        <v>4182</v>
      </c>
      <c r="F1742">
        <v>406</v>
      </c>
      <c r="G1742">
        <v>65</v>
      </c>
      <c r="H1742" t="s">
        <v>662</v>
      </c>
      <c r="I1742" t="s">
        <v>2271</v>
      </c>
      <c r="J1742">
        <v>711750</v>
      </c>
      <c r="K1742">
        <v>2025</v>
      </c>
      <c r="L1742">
        <v>98762447</v>
      </c>
      <c r="M1742" t="s">
        <v>3583</v>
      </c>
      <c r="N1742" t="s">
        <v>1688</v>
      </c>
      <c r="O1742" t="s">
        <v>1686</v>
      </c>
      <c r="P1742">
        <v>0</v>
      </c>
      <c r="Q1742">
        <v>711750</v>
      </c>
      <c r="R1742">
        <v>0</v>
      </c>
      <c r="S1742">
        <v>0</v>
      </c>
      <c r="T1742" t="str">
        <f t="shared" si="54"/>
        <v>12542.43.4302.85.0-205128.2.3.3.08.06.</v>
      </c>
      <c r="U1742" t="e" cm="1">
        <f t="array" aca="1" ref="U1742" ca="1">+IF(COMPROMISOS_2025[[#This Row],[P]]="20","41080111",_xlfn.XLOOKUP(COMPROMISOS_2025[[#This Row],[concatenado]],PAA[[#All],[RCP-RUBRO]],PAA[[#All],[INDICADOR]],"",0))</f>
        <v>#NAME?</v>
      </c>
      <c r="V1742" s="144" t="str">
        <f t="shared" si="55"/>
        <v>85</v>
      </c>
      <c r="W1742" s="136">
        <f>+COMPROMISOS_2025[[#This Row],[valor_total]]-COMPROMISOS_2025[[#This Row],[total_cancelado]]</f>
        <v>711750</v>
      </c>
      <c r="X1742" s="136">
        <f>COMPROMISOS_2025[[#This Row],[total_ordenes]]</f>
        <v>711750</v>
      </c>
      <c r="Y1742" t="str" cm="1">
        <f t="array" aca="1" ref="Y1742" ca="1">IFERROR(_xlfn.XLOOKUP(COMPROMISOS_2025[[#This Row],[concatenado]],PAA[[#All],[RCP-RUBRO]],PAA[[#All],[Actividad3]],VLOOKUP(COMPROMISOS_2025[[#This Row],[Indicador Principal]],$AC$2:$AD$17,2,0),0),"")</f>
        <v/>
      </c>
    </row>
    <row r="1743" spans="1:25" hidden="1" x14ac:dyDescent="0.25">
      <c r="A1743">
        <v>1255</v>
      </c>
      <c r="B1743" t="s">
        <v>2491</v>
      </c>
      <c r="C1743" t="s">
        <v>1936</v>
      </c>
      <c r="D1743" t="s">
        <v>4182</v>
      </c>
      <c r="F1743">
        <v>406</v>
      </c>
      <c r="G1743">
        <v>65</v>
      </c>
      <c r="H1743" t="s">
        <v>662</v>
      </c>
      <c r="I1743" t="s">
        <v>2271</v>
      </c>
      <c r="J1743">
        <v>2847000</v>
      </c>
      <c r="K1743">
        <v>2025</v>
      </c>
      <c r="L1743">
        <v>98764366</v>
      </c>
      <c r="M1743" t="s">
        <v>4212</v>
      </c>
      <c r="N1743" t="s">
        <v>1688</v>
      </c>
      <c r="O1743" t="s">
        <v>1686</v>
      </c>
      <c r="P1743">
        <v>0</v>
      </c>
      <c r="Q1743">
        <v>2847000</v>
      </c>
      <c r="R1743">
        <v>0</v>
      </c>
      <c r="S1743">
        <v>0</v>
      </c>
      <c r="T1743" t="str">
        <f t="shared" si="54"/>
        <v>12552.43.4302.85.0-205128.2.3.3.08.06.</v>
      </c>
      <c r="U1743" t="e" cm="1">
        <f t="array" aca="1" ref="U1743" ca="1">+IF(COMPROMISOS_2025[[#This Row],[P]]="20","41080111",_xlfn.XLOOKUP(COMPROMISOS_2025[[#This Row],[concatenado]],PAA[[#All],[RCP-RUBRO]],PAA[[#All],[INDICADOR]],"",0))</f>
        <v>#NAME?</v>
      </c>
      <c r="V1743" s="144" t="str">
        <f t="shared" si="55"/>
        <v>85</v>
      </c>
      <c r="W1743" s="136">
        <f>+COMPROMISOS_2025[[#This Row],[valor_total]]-COMPROMISOS_2025[[#This Row],[total_cancelado]]</f>
        <v>2847000</v>
      </c>
      <c r="X1743" s="136">
        <f>COMPROMISOS_2025[[#This Row],[total_ordenes]]</f>
        <v>2847000</v>
      </c>
      <c r="Y1743" t="str" cm="1">
        <f t="array" aca="1" ref="Y1743" ca="1">IFERROR(_xlfn.XLOOKUP(COMPROMISOS_2025[[#This Row],[concatenado]],PAA[[#All],[RCP-RUBRO]],PAA[[#All],[Actividad3]],VLOOKUP(COMPROMISOS_2025[[#This Row],[Indicador Principal]],$AC$2:$AD$17,2,0),0),"")</f>
        <v/>
      </c>
    </row>
    <row r="1744" spans="1:25" hidden="1" x14ac:dyDescent="0.25">
      <c r="A1744">
        <v>1256</v>
      </c>
      <c r="B1744" t="s">
        <v>2491</v>
      </c>
      <c r="C1744" t="s">
        <v>1936</v>
      </c>
      <c r="D1744" t="s">
        <v>4182</v>
      </c>
      <c r="F1744">
        <v>406</v>
      </c>
      <c r="G1744">
        <v>65</v>
      </c>
      <c r="H1744" t="s">
        <v>662</v>
      </c>
      <c r="I1744" t="s">
        <v>2271</v>
      </c>
      <c r="J1744">
        <v>1423500</v>
      </c>
      <c r="K1744">
        <v>2025</v>
      </c>
      <c r="L1744">
        <v>1000085770</v>
      </c>
      <c r="M1744" t="s">
        <v>3928</v>
      </c>
      <c r="N1744" t="s">
        <v>1688</v>
      </c>
      <c r="O1744" t="s">
        <v>1686</v>
      </c>
      <c r="P1744">
        <v>0</v>
      </c>
      <c r="Q1744">
        <v>1423500</v>
      </c>
      <c r="R1744">
        <v>0</v>
      </c>
      <c r="S1744">
        <v>0</v>
      </c>
      <c r="T1744" t="str">
        <f t="shared" si="54"/>
        <v>12562.43.4302.85.0-205128.2.3.3.08.06.</v>
      </c>
      <c r="U1744" t="e" cm="1">
        <f t="array" aca="1" ref="U1744" ca="1">+IF(COMPROMISOS_2025[[#This Row],[P]]="20","41080111",_xlfn.XLOOKUP(COMPROMISOS_2025[[#This Row],[concatenado]],PAA[[#All],[RCP-RUBRO]],PAA[[#All],[INDICADOR]],"",0))</f>
        <v>#NAME?</v>
      </c>
      <c r="V1744" s="144" t="str">
        <f t="shared" si="55"/>
        <v>85</v>
      </c>
      <c r="W1744" s="136">
        <f>+COMPROMISOS_2025[[#This Row],[valor_total]]-COMPROMISOS_2025[[#This Row],[total_cancelado]]</f>
        <v>1423500</v>
      </c>
      <c r="X1744" s="136">
        <f>COMPROMISOS_2025[[#This Row],[total_ordenes]]</f>
        <v>1423500</v>
      </c>
      <c r="Y1744" t="str" cm="1">
        <f t="array" aca="1" ref="Y1744" ca="1">IFERROR(_xlfn.XLOOKUP(COMPROMISOS_2025[[#This Row],[concatenado]],PAA[[#All],[RCP-RUBRO]],PAA[[#All],[Actividad3]],VLOOKUP(COMPROMISOS_2025[[#This Row],[Indicador Principal]],$AC$2:$AD$17,2,0),0),"")</f>
        <v/>
      </c>
    </row>
    <row r="1745" spans="1:25" hidden="1" x14ac:dyDescent="0.25">
      <c r="A1745">
        <v>1257</v>
      </c>
      <c r="B1745" t="s">
        <v>2491</v>
      </c>
      <c r="C1745" t="s">
        <v>1936</v>
      </c>
      <c r="D1745" t="s">
        <v>4182</v>
      </c>
      <c r="F1745">
        <v>406</v>
      </c>
      <c r="G1745">
        <v>65</v>
      </c>
      <c r="H1745" t="s">
        <v>662</v>
      </c>
      <c r="I1745" t="s">
        <v>2271</v>
      </c>
      <c r="J1745">
        <v>711750</v>
      </c>
      <c r="K1745">
        <v>2025</v>
      </c>
      <c r="L1745">
        <v>1000086050</v>
      </c>
      <c r="M1745" t="s">
        <v>4213</v>
      </c>
      <c r="N1745" t="s">
        <v>1688</v>
      </c>
      <c r="O1745" t="s">
        <v>1686</v>
      </c>
      <c r="P1745">
        <v>0</v>
      </c>
      <c r="Q1745">
        <v>711750</v>
      </c>
      <c r="R1745">
        <v>0</v>
      </c>
      <c r="S1745">
        <v>0</v>
      </c>
      <c r="T1745" t="str">
        <f t="shared" si="54"/>
        <v>12572.43.4302.85.0-205128.2.3.3.08.06.</v>
      </c>
      <c r="U1745" t="e" cm="1">
        <f t="array" aca="1" ref="U1745" ca="1">+IF(COMPROMISOS_2025[[#This Row],[P]]="20","41080111",_xlfn.XLOOKUP(COMPROMISOS_2025[[#This Row],[concatenado]],PAA[[#All],[RCP-RUBRO]],PAA[[#All],[INDICADOR]],"",0))</f>
        <v>#NAME?</v>
      </c>
      <c r="V1745" s="144" t="str">
        <f t="shared" si="55"/>
        <v>85</v>
      </c>
      <c r="W1745" s="136">
        <f>+COMPROMISOS_2025[[#This Row],[valor_total]]-COMPROMISOS_2025[[#This Row],[total_cancelado]]</f>
        <v>711750</v>
      </c>
      <c r="X1745" s="136">
        <f>COMPROMISOS_2025[[#This Row],[total_ordenes]]</f>
        <v>711750</v>
      </c>
      <c r="Y1745" t="str" cm="1">
        <f t="array" aca="1" ref="Y1745" ca="1">IFERROR(_xlfn.XLOOKUP(COMPROMISOS_2025[[#This Row],[concatenado]],PAA[[#All],[RCP-RUBRO]],PAA[[#All],[Actividad3]],VLOOKUP(COMPROMISOS_2025[[#This Row],[Indicador Principal]],$AC$2:$AD$17,2,0),0),"")</f>
        <v/>
      </c>
    </row>
    <row r="1746" spans="1:25" hidden="1" x14ac:dyDescent="0.25">
      <c r="A1746">
        <v>1258</v>
      </c>
      <c r="B1746" t="s">
        <v>2491</v>
      </c>
      <c r="C1746" t="s">
        <v>1936</v>
      </c>
      <c r="D1746" t="s">
        <v>4182</v>
      </c>
      <c r="F1746">
        <v>406</v>
      </c>
      <c r="G1746">
        <v>65</v>
      </c>
      <c r="H1746" t="s">
        <v>662</v>
      </c>
      <c r="I1746" t="s">
        <v>2271</v>
      </c>
      <c r="J1746">
        <v>2847000</v>
      </c>
      <c r="K1746">
        <v>2025</v>
      </c>
      <c r="L1746">
        <v>1000087228</v>
      </c>
      <c r="M1746" t="s">
        <v>3929</v>
      </c>
      <c r="N1746" t="s">
        <v>1688</v>
      </c>
      <c r="O1746" t="s">
        <v>1686</v>
      </c>
      <c r="P1746">
        <v>0</v>
      </c>
      <c r="Q1746">
        <v>2847000</v>
      </c>
      <c r="R1746">
        <v>0</v>
      </c>
      <c r="S1746">
        <v>0</v>
      </c>
      <c r="T1746" t="str">
        <f t="shared" si="54"/>
        <v>12582.43.4302.85.0-205128.2.3.3.08.06.</v>
      </c>
      <c r="U1746" t="e" cm="1">
        <f t="array" aca="1" ref="U1746" ca="1">+IF(COMPROMISOS_2025[[#This Row],[P]]="20","41080111",_xlfn.XLOOKUP(COMPROMISOS_2025[[#This Row],[concatenado]],PAA[[#All],[RCP-RUBRO]],PAA[[#All],[INDICADOR]],"",0))</f>
        <v>#NAME?</v>
      </c>
      <c r="V1746" s="144" t="str">
        <f t="shared" si="55"/>
        <v>85</v>
      </c>
      <c r="W1746" s="136">
        <f>+COMPROMISOS_2025[[#This Row],[valor_total]]-COMPROMISOS_2025[[#This Row],[total_cancelado]]</f>
        <v>2847000</v>
      </c>
      <c r="X1746" s="136">
        <f>COMPROMISOS_2025[[#This Row],[total_ordenes]]</f>
        <v>2847000</v>
      </c>
      <c r="Y1746" t="str" cm="1">
        <f t="array" aca="1" ref="Y1746" ca="1">IFERROR(_xlfn.XLOOKUP(COMPROMISOS_2025[[#This Row],[concatenado]],PAA[[#All],[RCP-RUBRO]],PAA[[#All],[Actividad3]],VLOOKUP(COMPROMISOS_2025[[#This Row],[Indicador Principal]],$AC$2:$AD$17,2,0),0),"")</f>
        <v/>
      </c>
    </row>
    <row r="1747" spans="1:25" hidden="1" x14ac:dyDescent="0.25">
      <c r="A1747">
        <v>1259</v>
      </c>
      <c r="B1747" t="s">
        <v>2491</v>
      </c>
      <c r="C1747" t="s">
        <v>1936</v>
      </c>
      <c r="D1747" t="s">
        <v>4182</v>
      </c>
      <c r="F1747">
        <v>406</v>
      </c>
      <c r="G1747">
        <v>65</v>
      </c>
      <c r="H1747" t="s">
        <v>662</v>
      </c>
      <c r="I1747" t="s">
        <v>2271</v>
      </c>
      <c r="J1747">
        <v>4270500</v>
      </c>
      <c r="K1747">
        <v>2025</v>
      </c>
      <c r="L1747">
        <v>1000087354</v>
      </c>
      <c r="M1747" t="s">
        <v>3584</v>
      </c>
      <c r="N1747" t="s">
        <v>1688</v>
      </c>
      <c r="O1747" t="s">
        <v>1686</v>
      </c>
      <c r="P1747">
        <v>0</v>
      </c>
      <c r="Q1747">
        <v>4270500</v>
      </c>
      <c r="R1747">
        <v>0</v>
      </c>
      <c r="S1747">
        <v>0</v>
      </c>
      <c r="T1747" t="str">
        <f t="shared" si="54"/>
        <v>12592.43.4302.85.0-205128.2.3.3.08.06.</v>
      </c>
      <c r="U1747" t="e" cm="1">
        <f t="array" aca="1" ref="U1747" ca="1">+IF(COMPROMISOS_2025[[#This Row],[P]]="20","41080111",_xlfn.XLOOKUP(COMPROMISOS_2025[[#This Row],[concatenado]],PAA[[#All],[RCP-RUBRO]],PAA[[#All],[INDICADOR]],"",0))</f>
        <v>#NAME?</v>
      </c>
      <c r="V1747" s="144" t="str">
        <f t="shared" si="55"/>
        <v>85</v>
      </c>
      <c r="W1747" s="136">
        <f>+COMPROMISOS_2025[[#This Row],[valor_total]]-COMPROMISOS_2025[[#This Row],[total_cancelado]]</f>
        <v>4270500</v>
      </c>
      <c r="X1747" s="136">
        <f>COMPROMISOS_2025[[#This Row],[total_ordenes]]</f>
        <v>4270500</v>
      </c>
      <c r="Y1747" t="str" cm="1">
        <f t="array" aca="1" ref="Y1747" ca="1">IFERROR(_xlfn.XLOOKUP(COMPROMISOS_2025[[#This Row],[concatenado]],PAA[[#All],[RCP-RUBRO]],PAA[[#All],[Actividad3]],VLOOKUP(COMPROMISOS_2025[[#This Row],[Indicador Principal]],$AC$2:$AD$17,2,0),0),"")</f>
        <v/>
      </c>
    </row>
    <row r="1748" spans="1:25" hidden="1" x14ac:dyDescent="0.25">
      <c r="A1748">
        <v>1260</v>
      </c>
      <c r="B1748" t="s">
        <v>2491</v>
      </c>
      <c r="C1748" t="s">
        <v>1936</v>
      </c>
      <c r="D1748" t="s">
        <v>4182</v>
      </c>
      <c r="F1748">
        <v>406</v>
      </c>
      <c r="G1748">
        <v>65</v>
      </c>
      <c r="H1748" t="s">
        <v>662</v>
      </c>
      <c r="I1748" t="s">
        <v>2271</v>
      </c>
      <c r="J1748">
        <v>1067625</v>
      </c>
      <c r="K1748">
        <v>2025</v>
      </c>
      <c r="L1748">
        <v>1000090441</v>
      </c>
      <c r="M1748" t="s">
        <v>4214</v>
      </c>
      <c r="N1748" t="s">
        <v>1688</v>
      </c>
      <c r="O1748" t="s">
        <v>1686</v>
      </c>
      <c r="P1748">
        <v>0</v>
      </c>
      <c r="Q1748">
        <v>1067625</v>
      </c>
      <c r="R1748">
        <v>0</v>
      </c>
      <c r="S1748">
        <v>0</v>
      </c>
      <c r="T1748" t="str">
        <f t="shared" si="54"/>
        <v>12602.43.4302.85.0-205128.2.3.3.08.06.</v>
      </c>
      <c r="U1748" t="e" cm="1">
        <f t="array" aca="1" ref="U1748" ca="1">+IF(COMPROMISOS_2025[[#This Row],[P]]="20","41080111",_xlfn.XLOOKUP(COMPROMISOS_2025[[#This Row],[concatenado]],PAA[[#All],[RCP-RUBRO]],PAA[[#All],[INDICADOR]],"",0))</f>
        <v>#NAME?</v>
      </c>
      <c r="V1748" s="144" t="str">
        <f t="shared" si="55"/>
        <v>85</v>
      </c>
      <c r="W1748" s="136">
        <f>+COMPROMISOS_2025[[#This Row],[valor_total]]-COMPROMISOS_2025[[#This Row],[total_cancelado]]</f>
        <v>1067625</v>
      </c>
      <c r="X1748" s="136">
        <f>COMPROMISOS_2025[[#This Row],[total_ordenes]]</f>
        <v>1067625</v>
      </c>
      <c r="Y1748" t="str" cm="1">
        <f t="array" aca="1" ref="Y1748" ca="1">IFERROR(_xlfn.XLOOKUP(COMPROMISOS_2025[[#This Row],[concatenado]],PAA[[#All],[RCP-RUBRO]],PAA[[#All],[Actividad3]],VLOOKUP(COMPROMISOS_2025[[#This Row],[Indicador Principal]],$AC$2:$AD$17,2,0),0),"")</f>
        <v/>
      </c>
    </row>
    <row r="1749" spans="1:25" hidden="1" x14ac:dyDescent="0.25">
      <c r="A1749">
        <v>1261</v>
      </c>
      <c r="B1749" t="s">
        <v>2491</v>
      </c>
      <c r="C1749" t="s">
        <v>1936</v>
      </c>
      <c r="D1749" t="s">
        <v>4182</v>
      </c>
      <c r="F1749">
        <v>406</v>
      </c>
      <c r="G1749">
        <v>65</v>
      </c>
      <c r="H1749" t="s">
        <v>662</v>
      </c>
      <c r="I1749" t="s">
        <v>2271</v>
      </c>
      <c r="J1749">
        <v>1067625</v>
      </c>
      <c r="K1749">
        <v>2025</v>
      </c>
      <c r="L1749">
        <v>1000090494</v>
      </c>
      <c r="M1749" t="s">
        <v>3585</v>
      </c>
      <c r="N1749" t="s">
        <v>1688</v>
      </c>
      <c r="O1749" t="s">
        <v>1686</v>
      </c>
      <c r="P1749">
        <v>0</v>
      </c>
      <c r="Q1749">
        <v>1067625</v>
      </c>
      <c r="R1749">
        <v>0</v>
      </c>
      <c r="S1749">
        <v>0</v>
      </c>
      <c r="T1749" t="str">
        <f t="shared" si="54"/>
        <v>12612.43.4302.85.0-205128.2.3.3.08.06.</v>
      </c>
      <c r="U1749" t="e" cm="1">
        <f t="array" aca="1" ref="U1749" ca="1">+IF(COMPROMISOS_2025[[#This Row],[P]]="20","41080111",_xlfn.XLOOKUP(COMPROMISOS_2025[[#This Row],[concatenado]],PAA[[#All],[RCP-RUBRO]],PAA[[#All],[INDICADOR]],"",0))</f>
        <v>#NAME?</v>
      </c>
      <c r="V1749" s="144" t="str">
        <f t="shared" si="55"/>
        <v>85</v>
      </c>
      <c r="W1749" s="136">
        <f>+COMPROMISOS_2025[[#This Row],[valor_total]]-COMPROMISOS_2025[[#This Row],[total_cancelado]]</f>
        <v>1067625</v>
      </c>
      <c r="X1749" s="136">
        <f>COMPROMISOS_2025[[#This Row],[total_ordenes]]</f>
        <v>1067625</v>
      </c>
      <c r="Y1749" t="str" cm="1">
        <f t="array" aca="1" ref="Y1749" ca="1">IFERROR(_xlfn.XLOOKUP(COMPROMISOS_2025[[#This Row],[concatenado]],PAA[[#All],[RCP-RUBRO]],PAA[[#All],[Actividad3]],VLOOKUP(COMPROMISOS_2025[[#This Row],[Indicador Principal]],$AC$2:$AD$17,2,0),0),"")</f>
        <v/>
      </c>
    </row>
    <row r="1750" spans="1:25" hidden="1" x14ac:dyDescent="0.25">
      <c r="A1750">
        <v>1262</v>
      </c>
      <c r="B1750" t="s">
        <v>2491</v>
      </c>
      <c r="C1750" t="s">
        <v>1936</v>
      </c>
      <c r="D1750" t="s">
        <v>4182</v>
      </c>
      <c r="F1750">
        <v>406</v>
      </c>
      <c r="G1750">
        <v>65</v>
      </c>
      <c r="H1750" t="s">
        <v>662</v>
      </c>
      <c r="I1750" t="s">
        <v>2271</v>
      </c>
      <c r="J1750">
        <v>1067625</v>
      </c>
      <c r="K1750">
        <v>2025</v>
      </c>
      <c r="L1750">
        <v>1000098258</v>
      </c>
      <c r="M1750" t="s">
        <v>4215</v>
      </c>
      <c r="N1750" t="s">
        <v>1688</v>
      </c>
      <c r="O1750" t="s">
        <v>1686</v>
      </c>
      <c r="P1750">
        <v>0</v>
      </c>
      <c r="Q1750">
        <v>1067625</v>
      </c>
      <c r="R1750">
        <v>0</v>
      </c>
      <c r="S1750">
        <v>0</v>
      </c>
      <c r="T1750" t="str">
        <f t="shared" si="54"/>
        <v>12622.43.4302.85.0-205128.2.3.3.08.06.</v>
      </c>
      <c r="U1750" t="e" cm="1">
        <f t="array" aca="1" ref="U1750" ca="1">+IF(COMPROMISOS_2025[[#This Row],[P]]="20","41080111",_xlfn.XLOOKUP(COMPROMISOS_2025[[#This Row],[concatenado]],PAA[[#All],[RCP-RUBRO]],PAA[[#All],[INDICADOR]],"",0))</f>
        <v>#NAME?</v>
      </c>
      <c r="V1750" s="144" t="str">
        <f t="shared" si="55"/>
        <v>85</v>
      </c>
      <c r="W1750" s="136">
        <f>+COMPROMISOS_2025[[#This Row],[valor_total]]-COMPROMISOS_2025[[#This Row],[total_cancelado]]</f>
        <v>1067625</v>
      </c>
      <c r="X1750" s="136">
        <f>COMPROMISOS_2025[[#This Row],[total_ordenes]]</f>
        <v>1067625</v>
      </c>
      <c r="Y1750" t="str" cm="1">
        <f t="array" aca="1" ref="Y1750" ca="1">IFERROR(_xlfn.XLOOKUP(COMPROMISOS_2025[[#This Row],[concatenado]],PAA[[#All],[RCP-RUBRO]],PAA[[#All],[Actividad3]],VLOOKUP(COMPROMISOS_2025[[#This Row],[Indicador Principal]],$AC$2:$AD$17,2,0),0),"")</f>
        <v/>
      </c>
    </row>
    <row r="1751" spans="1:25" hidden="1" x14ac:dyDescent="0.25">
      <c r="A1751">
        <v>1263</v>
      </c>
      <c r="B1751" t="s">
        <v>2491</v>
      </c>
      <c r="C1751" t="s">
        <v>1936</v>
      </c>
      <c r="D1751" t="s">
        <v>4182</v>
      </c>
      <c r="F1751">
        <v>406</v>
      </c>
      <c r="G1751">
        <v>65</v>
      </c>
      <c r="H1751" t="s">
        <v>662</v>
      </c>
      <c r="I1751" t="s">
        <v>2271</v>
      </c>
      <c r="J1751">
        <v>711750</v>
      </c>
      <c r="K1751">
        <v>2025</v>
      </c>
      <c r="L1751">
        <v>1000100459</v>
      </c>
      <c r="M1751" t="s">
        <v>4216</v>
      </c>
      <c r="N1751" t="s">
        <v>1688</v>
      </c>
      <c r="O1751" t="s">
        <v>1686</v>
      </c>
      <c r="P1751">
        <v>0</v>
      </c>
      <c r="Q1751">
        <v>711750</v>
      </c>
      <c r="R1751">
        <v>0</v>
      </c>
      <c r="S1751">
        <v>0</v>
      </c>
      <c r="T1751" t="str">
        <f t="shared" si="54"/>
        <v>12632.43.4302.85.0-205128.2.3.3.08.06.</v>
      </c>
      <c r="U1751" t="e" cm="1">
        <f t="array" aca="1" ref="U1751" ca="1">+IF(COMPROMISOS_2025[[#This Row],[P]]="20","41080111",_xlfn.XLOOKUP(COMPROMISOS_2025[[#This Row],[concatenado]],PAA[[#All],[RCP-RUBRO]],PAA[[#All],[INDICADOR]],"",0))</f>
        <v>#NAME?</v>
      </c>
      <c r="V1751" s="144" t="str">
        <f t="shared" si="55"/>
        <v>85</v>
      </c>
      <c r="W1751" s="136">
        <f>+COMPROMISOS_2025[[#This Row],[valor_total]]-COMPROMISOS_2025[[#This Row],[total_cancelado]]</f>
        <v>711750</v>
      </c>
      <c r="X1751" s="136">
        <f>COMPROMISOS_2025[[#This Row],[total_ordenes]]</f>
        <v>711750</v>
      </c>
      <c r="Y1751" t="str" cm="1">
        <f t="array" aca="1" ref="Y1751" ca="1">IFERROR(_xlfn.XLOOKUP(COMPROMISOS_2025[[#This Row],[concatenado]],PAA[[#All],[RCP-RUBRO]],PAA[[#All],[Actividad3]],VLOOKUP(COMPROMISOS_2025[[#This Row],[Indicador Principal]],$AC$2:$AD$17,2,0),0),"")</f>
        <v/>
      </c>
    </row>
    <row r="1752" spans="1:25" hidden="1" x14ac:dyDescent="0.25">
      <c r="A1752">
        <v>1264</v>
      </c>
      <c r="B1752" t="s">
        <v>2491</v>
      </c>
      <c r="C1752" t="s">
        <v>1936</v>
      </c>
      <c r="D1752" t="s">
        <v>4182</v>
      </c>
      <c r="F1752">
        <v>406</v>
      </c>
      <c r="G1752">
        <v>65</v>
      </c>
      <c r="H1752" t="s">
        <v>662</v>
      </c>
      <c r="I1752" t="s">
        <v>2271</v>
      </c>
      <c r="J1752">
        <v>1067625</v>
      </c>
      <c r="K1752">
        <v>2025</v>
      </c>
      <c r="L1752">
        <v>1000101188</v>
      </c>
      <c r="M1752" t="s">
        <v>4217</v>
      </c>
      <c r="N1752" t="s">
        <v>1688</v>
      </c>
      <c r="O1752" t="s">
        <v>1686</v>
      </c>
      <c r="P1752">
        <v>0</v>
      </c>
      <c r="Q1752">
        <v>1067625</v>
      </c>
      <c r="R1752">
        <v>0</v>
      </c>
      <c r="S1752">
        <v>0</v>
      </c>
      <c r="T1752" t="str">
        <f t="shared" si="54"/>
        <v>12642.43.4302.85.0-205128.2.3.3.08.06.</v>
      </c>
      <c r="U1752" t="e" cm="1">
        <f t="array" aca="1" ref="U1752" ca="1">+IF(COMPROMISOS_2025[[#This Row],[P]]="20","41080111",_xlfn.XLOOKUP(COMPROMISOS_2025[[#This Row],[concatenado]],PAA[[#All],[RCP-RUBRO]],PAA[[#All],[INDICADOR]],"",0))</f>
        <v>#NAME?</v>
      </c>
      <c r="V1752" s="144" t="str">
        <f t="shared" si="55"/>
        <v>85</v>
      </c>
      <c r="W1752" s="136">
        <f>+COMPROMISOS_2025[[#This Row],[valor_total]]-COMPROMISOS_2025[[#This Row],[total_cancelado]]</f>
        <v>1067625</v>
      </c>
      <c r="X1752" s="136">
        <f>COMPROMISOS_2025[[#This Row],[total_ordenes]]</f>
        <v>1067625</v>
      </c>
      <c r="Y1752" t="str" cm="1">
        <f t="array" aca="1" ref="Y1752" ca="1">IFERROR(_xlfn.XLOOKUP(COMPROMISOS_2025[[#This Row],[concatenado]],PAA[[#All],[RCP-RUBRO]],PAA[[#All],[Actividad3]],VLOOKUP(COMPROMISOS_2025[[#This Row],[Indicador Principal]],$AC$2:$AD$17,2,0),0),"")</f>
        <v/>
      </c>
    </row>
    <row r="1753" spans="1:25" hidden="1" x14ac:dyDescent="0.25">
      <c r="A1753">
        <v>1265</v>
      </c>
      <c r="B1753" t="s">
        <v>2491</v>
      </c>
      <c r="C1753" t="s">
        <v>1936</v>
      </c>
      <c r="D1753" t="s">
        <v>4182</v>
      </c>
      <c r="F1753">
        <v>406</v>
      </c>
      <c r="G1753">
        <v>65</v>
      </c>
      <c r="H1753" t="s">
        <v>662</v>
      </c>
      <c r="I1753" t="s">
        <v>2271</v>
      </c>
      <c r="J1753">
        <v>1067625</v>
      </c>
      <c r="K1753">
        <v>2025</v>
      </c>
      <c r="L1753">
        <v>1000188667</v>
      </c>
      <c r="M1753" t="s">
        <v>3930</v>
      </c>
      <c r="N1753" t="s">
        <v>1688</v>
      </c>
      <c r="O1753" t="s">
        <v>1686</v>
      </c>
      <c r="P1753">
        <v>0</v>
      </c>
      <c r="Q1753">
        <v>1067625</v>
      </c>
      <c r="R1753">
        <v>0</v>
      </c>
      <c r="S1753">
        <v>0</v>
      </c>
      <c r="T1753" t="str">
        <f t="shared" si="54"/>
        <v>12652.43.4302.85.0-205128.2.3.3.08.06.</v>
      </c>
      <c r="U1753" t="e" cm="1">
        <f t="array" aca="1" ref="U1753" ca="1">+IF(COMPROMISOS_2025[[#This Row],[P]]="20","41080111",_xlfn.XLOOKUP(COMPROMISOS_2025[[#This Row],[concatenado]],PAA[[#All],[RCP-RUBRO]],PAA[[#All],[INDICADOR]],"",0))</f>
        <v>#NAME?</v>
      </c>
      <c r="V1753" s="144" t="str">
        <f t="shared" si="55"/>
        <v>85</v>
      </c>
      <c r="W1753" s="136">
        <f>+COMPROMISOS_2025[[#This Row],[valor_total]]-COMPROMISOS_2025[[#This Row],[total_cancelado]]</f>
        <v>1067625</v>
      </c>
      <c r="X1753" s="136">
        <f>COMPROMISOS_2025[[#This Row],[total_ordenes]]</f>
        <v>1067625</v>
      </c>
      <c r="Y1753" t="str" cm="1">
        <f t="array" aca="1" ref="Y1753" ca="1">IFERROR(_xlfn.XLOOKUP(COMPROMISOS_2025[[#This Row],[concatenado]],PAA[[#All],[RCP-RUBRO]],PAA[[#All],[Actividad3]],VLOOKUP(COMPROMISOS_2025[[#This Row],[Indicador Principal]],$AC$2:$AD$17,2,0),0),"")</f>
        <v/>
      </c>
    </row>
    <row r="1754" spans="1:25" hidden="1" x14ac:dyDescent="0.25">
      <c r="A1754">
        <v>1266</v>
      </c>
      <c r="B1754" t="s">
        <v>2491</v>
      </c>
      <c r="C1754" t="s">
        <v>1936</v>
      </c>
      <c r="D1754" t="s">
        <v>4182</v>
      </c>
      <c r="F1754">
        <v>406</v>
      </c>
      <c r="G1754">
        <v>65</v>
      </c>
      <c r="H1754" t="s">
        <v>662</v>
      </c>
      <c r="I1754" t="s">
        <v>2271</v>
      </c>
      <c r="J1754">
        <v>1423500</v>
      </c>
      <c r="K1754">
        <v>2025</v>
      </c>
      <c r="L1754">
        <v>1000188912</v>
      </c>
      <c r="M1754" t="s">
        <v>3931</v>
      </c>
      <c r="N1754" t="s">
        <v>1688</v>
      </c>
      <c r="O1754" t="s">
        <v>1686</v>
      </c>
      <c r="P1754">
        <v>0</v>
      </c>
      <c r="Q1754">
        <v>1423500</v>
      </c>
      <c r="R1754">
        <v>0</v>
      </c>
      <c r="S1754">
        <v>0</v>
      </c>
      <c r="T1754" t="str">
        <f t="shared" si="54"/>
        <v>12662.43.4302.85.0-205128.2.3.3.08.06.</v>
      </c>
      <c r="U1754" t="e" cm="1">
        <f t="array" aca="1" ref="U1754" ca="1">+IF(COMPROMISOS_2025[[#This Row],[P]]="20","41080111",_xlfn.XLOOKUP(COMPROMISOS_2025[[#This Row],[concatenado]],PAA[[#All],[RCP-RUBRO]],PAA[[#All],[INDICADOR]],"",0))</f>
        <v>#NAME?</v>
      </c>
      <c r="V1754" s="144" t="str">
        <f t="shared" si="55"/>
        <v>85</v>
      </c>
      <c r="W1754" s="136">
        <f>+COMPROMISOS_2025[[#This Row],[valor_total]]-COMPROMISOS_2025[[#This Row],[total_cancelado]]</f>
        <v>1423500</v>
      </c>
      <c r="X1754" s="136">
        <f>COMPROMISOS_2025[[#This Row],[total_ordenes]]</f>
        <v>1423500</v>
      </c>
      <c r="Y1754" t="str" cm="1">
        <f t="array" aca="1" ref="Y1754" ca="1">IFERROR(_xlfn.XLOOKUP(COMPROMISOS_2025[[#This Row],[concatenado]],PAA[[#All],[RCP-RUBRO]],PAA[[#All],[Actividad3]],VLOOKUP(COMPROMISOS_2025[[#This Row],[Indicador Principal]],$AC$2:$AD$17,2,0),0),"")</f>
        <v/>
      </c>
    </row>
    <row r="1755" spans="1:25" hidden="1" x14ac:dyDescent="0.25">
      <c r="A1755">
        <v>1267</v>
      </c>
      <c r="B1755" t="s">
        <v>2491</v>
      </c>
      <c r="C1755" t="s">
        <v>1936</v>
      </c>
      <c r="D1755" t="s">
        <v>4182</v>
      </c>
      <c r="F1755">
        <v>406</v>
      </c>
      <c r="G1755">
        <v>65</v>
      </c>
      <c r="H1755" t="s">
        <v>662</v>
      </c>
      <c r="I1755" t="s">
        <v>2271</v>
      </c>
      <c r="J1755">
        <v>1423500</v>
      </c>
      <c r="K1755">
        <v>2025</v>
      </c>
      <c r="L1755">
        <v>1000189220</v>
      </c>
      <c r="M1755" t="s">
        <v>4218</v>
      </c>
      <c r="N1755" t="s">
        <v>1688</v>
      </c>
      <c r="O1755" t="s">
        <v>1686</v>
      </c>
      <c r="P1755">
        <v>0</v>
      </c>
      <c r="Q1755">
        <v>1423500</v>
      </c>
      <c r="R1755">
        <v>0</v>
      </c>
      <c r="S1755">
        <v>0</v>
      </c>
      <c r="T1755" t="str">
        <f t="shared" si="54"/>
        <v>12672.43.4302.85.0-205128.2.3.3.08.06.</v>
      </c>
      <c r="U1755" t="e" cm="1">
        <f t="array" aca="1" ref="U1755" ca="1">+IF(COMPROMISOS_2025[[#This Row],[P]]="20","41080111",_xlfn.XLOOKUP(COMPROMISOS_2025[[#This Row],[concatenado]],PAA[[#All],[RCP-RUBRO]],PAA[[#All],[INDICADOR]],"",0))</f>
        <v>#NAME?</v>
      </c>
      <c r="V1755" s="144" t="str">
        <f t="shared" si="55"/>
        <v>85</v>
      </c>
      <c r="W1755" s="136">
        <f>+COMPROMISOS_2025[[#This Row],[valor_total]]-COMPROMISOS_2025[[#This Row],[total_cancelado]]</f>
        <v>1423500</v>
      </c>
      <c r="X1755" s="136">
        <f>COMPROMISOS_2025[[#This Row],[total_ordenes]]</f>
        <v>1423500</v>
      </c>
      <c r="Y1755" t="str" cm="1">
        <f t="array" aca="1" ref="Y1755" ca="1">IFERROR(_xlfn.XLOOKUP(COMPROMISOS_2025[[#This Row],[concatenado]],PAA[[#All],[RCP-RUBRO]],PAA[[#All],[Actividad3]],VLOOKUP(COMPROMISOS_2025[[#This Row],[Indicador Principal]],$AC$2:$AD$17,2,0),0),"")</f>
        <v/>
      </c>
    </row>
    <row r="1756" spans="1:25" hidden="1" x14ac:dyDescent="0.25">
      <c r="A1756">
        <v>1268</v>
      </c>
      <c r="B1756" t="s">
        <v>2491</v>
      </c>
      <c r="C1756" t="s">
        <v>1936</v>
      </c>
      <c r="D1756" t="s">
        <v>4182</v>
      </c>
      <c r="F1756">
        <v>406</v>
      </c>
      <c r="G1756">
        <v>65</v>
      </c>
      <c r="H1756" t="s">
        <v>662</v>
      </c>
      <c r="I1756" t="s">
        <v>2271</v>
      </c>
      <c r="J1756">
        <v>711750</v>
      </c>
      <c r="K1756">
        <v>2025</v>
      </c>
      <c r="L1756">
        <v>1000194225</v>
      </c>
      <c r="M1756" t="s">
        <v>4219</v>
      </c>
      <c r="N1756" t="s">
        <v>1688</v>
      </c>
      <c r="O1756" t="s">
        <v>1686</v>
      </c>
      <c r="P1756">
        <v>0</v>
      </c>
      <c r="Q1756">
        <v>711750</v>
      </c>
      <c r="R1756">
        <v>0</v>
      </c>
      <c r="S1756">
        <v>0</v>
      </c>
      <c r="T1756" t="str">
        <f t="shared" si="54"/>
        <v>12682.43.4302.85.0-205128.2.3.3.08.06.</v>
      </c>
      <c r="U1756" t="e" cm="1">
        <f t="array" aca="1" ref="U1756" ca="1">+IF(COMPROMISOS_2025[[#This Row],[P]]="20","41080111",_xlfn.XLOOKUP(COMPROMISOS_2025[[#This Row],[concatenado]],PAA[[#All],[RCP-RUBRO]],PAA[[#All],[INDICADOR]],"",0))</f>
        <v>#NAME?</v>
      </c>
      <c r="V1756" s="144" t="str">
        <f t="shared" si="55"/>
        <v>85</v>
      </c>
      <c r="W1756" s="136">
        <f>+COMPROMISOS_2025[[#This Row],[valor_total]]-COMPROMISOS_2025[[#This Row],[total_cancelado]]</f>
        <v>711750</v>
      </c>
      <c r="X1756" s="136">
        <f>COMPROMISOS_2025[[#This Row],[total_ordenes]]</f>
        <v>711750</v>
      </c>
      <c r="Y1756" t="str" cm="1">
        <f t="array" aca="1" ref="Y1756" ca="1">IFERROR(_xlfn.XLOOKUP(COMPROMISOS_2025[[#This Row],[concatenado]],PAA[[#All],[RCP-RUBRO]],PAA[[#All],[Actividad3]],VLOOKUP(COMPROMISOS_2025[[#This Row],[Indicador Principal]],$AC$2:$AD$17,2,0),0),"")</f>
        <v/>
      </c>
    </row>
    <row r="1757" spans="1:25" hidden="1" x14ac:dyDescent="0.25">
      <c r="A1757">
        <v>1269</v>
      </c>
      <c r="B1757" t="s">
        <v>2491</v>
      </c>
      <c r="C1757" t="s">
        <v>1936</v>
      </c>
      <c r="D1757" t="s">
        <v>4182</v>
      </c>
      <c r="F1757">
        <v>406</v>
      </c>
      <c r="G1757">
        <v>65</v>
      </c>
      <c r="H1757" t="s">
        <v>662</v>
      </c>
      <c r="I1757" t="s">
        <v>2271</v>
      </c>
      <c r="J1757">
        <v>711750</v>
      </c>
      <c r="K1757">
        <v>2025</v>
      </c>
      <c r="L1757">
        <v>1000225884</v>
      </c>
      <c r="M1757" t="s">
        <v>4220</v>
      </c>
      <c r="N1757" t="s">
        <v>1688</v>
      </c>
      <c r="O1757" t="s">
        <v>1686</v>
      </c>
      <c r="P1757">
        <v>0</v>
      </c>
      <c r="Q1757">
        <v>711750</v>
      </c>
      <c r="R1757">
        <v>0</v>
      </c>
      <c r="S1757">
        <v>0</v>
      </c>
      <c r="T1757" t="str">
        <f t="shared" si="54"/>
        <v>12692.43.4302.85.0-205128.2.3.3.08.06.</v>
      </c>
      <c r="U1757" t="e" cm="1">
        <f t="array" aca="1" ref="U1757" ca="1">+IF(COMPROMISOS_2025[[#This Row],[P]]="20","41080111",_xlfn.XLOOKUP(COMPROMISOS_2025[[#This Row],[concatenado]],PAA[[#All],[RCP-RUBRO]],PAA[[#All],[INDICADOR]],"",0))</f>
        <v>#NAME?</v>
      </c>
      <c r="V1757" s="144" t="str">
        <f t="shared" si="55"/>
        <v>85</v>
      </c>
      <c r="W1757" s="136">
        <f>+COMPROMISOS_2025[[#This Row],[valor_total]]-COMPROMISOS_2025[[#This Row],[total_cancelado]]</f>
        <v>711750</v>
      </c>
      <c r="X1757" s="136">
        <f>COMPROMISOS_2025[[#This Row],[total_ordenes]]</f>
        <v>711750</v>
      </c>
      <c r="Y1757" t="str" cm="1">
        <f t="array" aca="1" ref="Y1757" ca="1">IFERROR(_xlfn.XLOOKUP(COMPROMISOS_2025[[#This Row],[concatenado]],PAA[[#All],[RCP-RUBRO]],PAA[[#All],[Actividad3]],VLOOKUP(COMPROMISOS_2025[[#This Row],[Indicador Principal]],$AC$2:$AD$17,2,0),0),"")</f>
        <v/>
      </c>
    </row>
    <row r="1758" spans="1:25" hidden="1" x14ac:dyDescent="0.25">
      <c r="A1758">
        <v>1270</v>
      </c>
      <c r="B1758" t="s">
        <v>2491</v>
      </c>
      <c r="C1758" t="s">
        <v>1936</v>
      </c>
      <c r="D1758" t="s">
        <v>4182</v>
      </c>
      <c r="F1758">
        <v>406</v>
      </c>
      <c r="G1758">
        <v>65</v>
      </c>
      <c r="H1758" t="s">
        <v>662</v>
      </c>
      <c r="I1758" t="s">
        <v>2271</v>
      </c>
      <c r="J1758">
        <v>711750</v>
      </c>
      <c r="K1758">
        <v>2025</v>
      </c>
      <c r="L1758">
        <v>1000295491</v>
      </c>
      <c r="M1758" t="s">
        <v>3586</v>
      </c>
      <c r="N1758" t="s">
        <v>1688</v>
      </c>
      <c r="O1758" t="s">
        <v>1686</v>
      </c>
      <c r="P1758">
        <v>0</v>
      </c>
      <c r="Q1758">
        <v>711750</v>
      </c>
      <c r="R1758">
        <v>0</v>
      </c>
      <c r="S1758">
        <v>0</v>
      </c>
      <c r="T1758" t="str">
        <f t="shared" si="54"/>
        <v>12702.43.4302.85.0-205128.2.3.3.08.06.</v>
      </c>
      <c r="U1758" t="e" cm="1">
        <f t="array" aca="1" ref="U1758" ca="1">+IF(COMPROMISOS_2025[[#This Row],[P]]="20","41080111",_xlfn.XLOOKUP(COMPROMISOS_2025[[#This Row],[concatenado]],PAA[[#All],[RCP-RUBRO]],PAA[[#All],[INDICADOR]],"",0))</f>
        <v>#NAME?</v>
      </c>
      <c r="V1758" s="144" t="str">
        <f t="shared" si="55"/>
        <v>85</v>
      </c>
      <c r="W1758" s="136">
        <f>+COMPROMISOS_2025[[#This Row],[valor_total]]-COMPROMISOS_2025[[#This Row],[total_cancelado]]</f>
        <v>711750</v>
      </c>
      <c r="X1758" s="136">
        <f>COMPROMISOS_2025[[#This Row],[total_ordenes]]</f>
        <v>711750</v>
      </c>
      <c r="Y1758" t="str" cm="1">
        <f t="array" aca="1" ref="Y1758" ca="1">IFERROR(_xlfn.XLOOKUP(COMPROMISOS_2025[[#This Row],[concatenado]],PAA[[#All],[RCP-RUBRO]],PAA[[#All],[Actividad3]],VLOOKUP(COMPROMISOS_2025[[#This Row],[Indicador Principal]],$AC$2:$AD$17,2,0),0),"")</f>
        <v/>
      </c>
    </row>
    <row r="1759" spans="1:25" hidden="1" x14ac:dyDescent="0.25">
      <c r="A1759">
        <v>1271</v>
      </c>
      <c r="B1759" t="s">
        <v>2491</v>
      </c>
      <c r="C1759" t="s">
        <v>1936</v>
      </c>
      <c r="D1759" t="s">
        <v>4182</v>
      </c>
      <c r="F1759">
        <v>406</v>
      </c>
      <c r="G1759">
        <v>65</v>
      </c>
      <c r="H1759" t="s">
        <v>662</v>
      </c>
      <c r="I1759" t="s">
        <v>2271</v>
      </c>
      <c r="J1759">
        <v>4270500</v>
      </c>
      <c r="K1759">
        <v>2025</v>
      </c>
      <c r="L1759">
        <v>1000305283</v>
      </c>
      <c r="M1759" t="s">
        <v>4221</v>
      </c>
      <c r="N1759" t="s">
        <v>1688</v>
      </c>
      <c r="O1759" t="s">
        <v>1686</v>
      </c>
      <c r="P1759">
        <v>0</v>
      </c>
      <c r="Q1759">
        <v>4270500</v>
      </c>
      <c r="R1759">
        <v>0</v>
      </c>
      <c r="S1759">
        <v>0</v>
      </c>
      <c r="T1759" t="str">
        <f t="shared" si="54"/>
        <v>12712.43.4302.85.0-205128.2.3.3.08.06.</v>
      </c>
      <c r="U1759" t="e" cm="1">
        <f t="array" aca="1" ref="U1759" ca="1">+IF(COMPROMISOS_2025[[#This Row],[P]]="20","41080111",_xlfn.XLOOKUP(COMPROMISOS_2025[[#This Row],[concatenado]],PAA[[#All],[RCP-RUBRO]],PAA[[#All],[INDICADOR]],"",0))</f>
        <v>#NAME?</v>
      </c>
      <c r="V1759" s="144" t="str">
        <f t="shared" si="55"/>
        <v>85</v>
      </c>
      <c r="W1759" s="136">
        <f>+COMPROMISOS_2025[[#This Row],[valor_total]]-COMPROMISOS_2025[[#This Row],[total_cancelado]]</f>
        <v>4270500</v>
      </c>
      <c r="X1759" s="136">
        <f>COMPROMISOS_2025[[#This Row],[total_ordenes]]</f>
        <v>4270500</v>
      </c>
      <c r="Y1759" t="str" cm="1">
        <f t="array" aca="1" ref="Y1759" ca="1">IFERROR(_xlfn.XLOOKUP(COMPROMISOS_2025[[#This Row],[concatenado]],PAA[[#All],[RCP-RUBRO]],PAA[[#All],[Actividad3]],VLOOKUP(COMPROMISOS_2025[[#This Row],[Indicador Principal]],$AC$2:$AD$17,2,0),0),"")</f>
        <v/>
      </c>
    </row>
    <row r="1760" spans="1:25" hidden="1" x14ac:dyDescent="0.25">
      <c r="A1760">
        <v>1272</v>
      </c>
      <c r="B1760" t="s">
        <v>2491</v>
      </c>
      <c r="C1760" t="s">
        <v>1936</v>
      </c>
      <c r="D1760" t="s">
        <v>4182</v>
      </c>
      <c r="F1760">
        <v>406</v>
      </c>
      <c r="G1760">
        <v>65</v>
      </c>
      <c r="H1760" t="s">
        <v>662</v>
      </c>
      <c r="I1760" t="s">
        <v>2271</v>
      </c>
      <c r="J1760">
        <v>6405750</v>
      </c>
      <c r="K1760">
        <v>2025</v>
      </c>
      <c r="L1760">
        <v>1000400343</v>
      </c>
      <c r="M1760" t="s">
        <v>4222</v>
      </c>
      <c r="N1760" t="s">
        <v>1688</v>
      </c>
      <c r="O1760" t="s">
        <v>1686</v>
      </c>
      <c r="P1760">
        <v>0</v>
      </c>
      <c r="Q1760">
        <v>6405750</v>
      </c>
      <c r="R1760">
        <v>0</v>
      </c>
      <c r="S1760">
        <v>0</v>
      </c>
      <c r="T1760" t="str">
        <f t="shared" si="54"/>
        <v>12722.43.4302.85.0-205128.2.3.3.08.06.</v>
      </c>
      <c r="U1760" t="e" cm="1">
        <f t="array" aca="1" ref="U1760" ca="1">+IF(COMPROMISOS_2025[[#This Row],[P]]="20","41080111",_xlfn.XLOOKUP(COMPROMISOS_2025[[#This Row],[concatenado]],PAA[[#All],[RCP-RUBRO]],PAA[[#All],[INDICADOR]],"",0))</f>
        <v>#NAME?</v>
      </c>
      <c r="V1760" s="144" t="str">
        <f t="shared" si="55"/>
        <v>85</v>
      </c>
      <c r="W1760" s="136">
        <f>+COMPROMISOS_2025[[#This Row],[valor_total]]-COMPROMISOS_2025[[#This Row],[total_cancelado]]</f>
        <v>6405750</v>
      </c>
      <c r="X1760" s="136">
        <f>COMPROMISOS_2025[[#This Row],[total_ordenes]]</f>
        <v>6405750</v>
      </c>
      <c r="Y1760" t="str" cm="1">
        <f t="array" aca="1" ref="Y1760" ca="1">IFERROR(_xlfn.XLOOKUP(COMPROMISOS_2025[[#This Row],[concatenado]],PAA[[#All],[RCP-RUBRO]],PAA[[#All],[Actividad3]],VLOOKUP(COMPROMISOS_2025[[#This Row],[Indicador Principal]],$AC$2:$AD$17,2,0),0),"")</f>
        <v/>
      </c>
    </row>
    <row r="1761" spans="1:25" hidden="1" x14ac:dyDescent="0.25">
      <c r="A1761">
        <v>1273</v>
      </c>
      <c r="B1761" t="s">
        <v>2491</v>
      </c>
      <c r="C1761" t="s">
        <v>1936</v>
      </c>
      <c r="D1761" t="s">
        <v>4182</v>
      </c>
      <c r="F1761">
        <v>406</v>
      </c>
      <c r="G1761">
        <v>65</v>
      </c>
      <c r="H1761" t="s">
        <v>662</v>
      </c>
      <c r="I1761" t="s">
        <v>2271</v>
      </c>
      <c r="J1761">
        <v>5694000</v>
      </c>
      <c r="K1761">
        <v>2025</v>
      </c>
      <c r="L1761">
        <v>1000410188</v>
      </c>
      <c r="M1761" t="s">
        <v>3934</v>
      </c>
      <c r="N1761" t="s">
        <v>1688</v>
      </c>
      <c r="O1761" t="s">
        <v>1686</v>
      </c>
      <c r="P1761">
        <v>0</v>
      </c>
      <c r="Q1761">
        <v>5694000</v>
      </c>
      <c r="R1761">
        <v>0</v>
      </c>
      <c r="S1761">
        <v>0</v>
      </c>
      <c r="T1761" t="str">
        <f t="shared" si="54"/>
        <v>12732.43.4302.85.0-205128.2.3.3.08.06.</v>
      </c>
      <c r="U1761" t="e" cm="1">
        <f t="array" aca="1" ref="U1761" ca="1">+IF(COMPROMISOS_2025[[#This Row],[P]]="20","41080111",_xlfn.XLOOKUP(COMPROMISOS_2025[[#This Row],[concatenado]],PAA[[#All],[RCP-RUBRO]],PAA[[#All],[INDICADOR]],"",0))</f>
        <v>#NAME?</v>
      </c>
      <c r="V1761" s="144" t="str">
        <f t="shared" si="55"/>
        <v>85</v>
      </c>
      <c r="W1761" s="136">
        <f>+COMPROMISOS_2025[[#This Row],[valor_total]]-COMPROMISOS_2025[[#This Row],[total_cancelado]]</f>
        <v>5694000</v>
      </c>
      <c r="X1761" s="136">
        <f>COMPROMISOS_2025[[#This Row],[total_ordenes]]</f>
        <v>5694000</v>
      </c>
      <c r="Y1761" t="str" cm="1">
        <f t="array" aca="1" ref="Y1761" ca="1">IFERROR(_xlfn.XLOOKUP(COMPROMISOS_2025[[#This Row],[concatenado]],PAA[[#All],[RCP-RUBRO]],PAA[[#All],[Actividad3]],VLOOKUP(COMPROMISOS_2025[[#This Row],[Indicador Principal]],$AC$2:$AD$17,2,0),0),"")</f>
        <v/>
      </c>
    </row>
    <row r="1762" spans="1:25" hidden="1" x14ac:dyDescent="0.25">
      <c r="A1762">
        <v>1274</v>
      </c>
      <c r="B1762" t="s">
        <v>2491</v>
      </c>
      <c r="C1762" t="s">
        <v>1936</v>
      </c>
      <c r="D1762" t="s">
        <v>4182</v>
      </c>
      <c r="F1762">
        <v>406</v>
      </c>
      <c r="G1762">
        <v>65</v>
      </c>
      <c r="H1762" t="s">
        <v>662</v>
      </c>
      <c r="I1762" t="s">
        <v>2271</v>
      </c>
      <c r="J1762">
        <v>711750</v>
      </c>
      <c r="K1762">
        <v>2025</v>
      </c>
      <c r="L1762">
        <v>1000410702</v>
      </c>
      <c r="M1762" t="s">
        <v>3587</v>
      </c>
      <c r="N1762" t="s">
        <v>1688</v>
      </c>
      <c r="O1762" t="s">
        <v>1686</v>
      </c>
      <c r="P1762">
        <v>0</v>
      </c>
      <c r="Q1762">
        <v>711750</v>
      </c>
      <c r="R1762">
        <v>0</v>
      </c>
      <c r="S1762">
        <v>0</v>
      </c>
      <c r="T1762" t="str">
        <f t="shared" si="54"/>
        <v>12742.43.4302.85.0-205128.2.3.3.08.06.</v>
      </c>
      <c r="U1762" t="e" cm="1">
        <f t="array" aca="1" ref="U1762" ca="1">+IF(COMPROMISOS_2025[[#This Row],[P]]="20","41080111",_xlfn.XLOOKUP(COMPROMISOS_2025[[#This Row],[concatenado]],PAA[[#All],[RCP-RUBRO]],PAA[[#All],[INDICADOR]],"",0))</f>
        <v>#NAME?</v>
      </c>
      <c r="V1762" s="144" t="str">
        <f t="shared" si="55"/>
        <v>85</v>
      </c>
      <c r="W1762" s="136">
        <f>+COMPROMISOS_2025[[#This Row],[valor_total]]-COMPROMISOS_2025[[#This Row],[total_cancelado]]</f>
        <v>711750</v>
      </c>
      <c r="X1762" s="136">
        <f>COMPROMISOS_2025[[#This Row],[total_ordenes]]</f>
        <v>711750</v>
      </c>
      <c r="Y1762" t="str" cm="1">
        <f t="array" aca="1" ref="Y1762" ca="1">IFERROR(_xlfn.XLOOKUP(COMPROMISOS_2025[[#This Row],[concatenado]],PAA[[#All],[RCP-RUBRO]],PAA[[#All],[Actividad3]],VLOOKUP(COMPROMISOS_2025[[#This Row],[Indicador Principal]],$AC$2:$AD$17,2,0),0),"")</f>
        <v/>
      </c>
    </row>
    <row r="1763" spans="1:25" hidden="1" x14ac:dyDescent="0.25">
      <c r="A1763">
        <v>1275</v>
      </c>
      <c r="B1763" t="s">
        <v>2491</v>
      </c>
      <c r="C1763" t="s">
        <v>1936</v>
      </c>
      <c r="D1763" t="s">
        <v>4182</v>
      </c>
      <c r="F1763">
        <v>406</v>
      </c>
      <c r="G1763">
        <v>65</v>
      </c>
      <c r="H1763" t="s">
        <v>662</v>
      </c>
      <c r="I1763" t="s">
        <v>2271</v>
      </c>
      <c r="J1763">
        <v>1067625</v>
      </c>
      <c r="K1763">
        <v>2025</v>
      </c>
      <c r="L1763">
        <v>1000412496</v>
      </c>
      <c r="M1763" t="s">
        <v>3588</v>
      </c>
      <c r="N1763" t="s">
        <v>1688</v>
      </c>
      <c r="O1763" t="s">
        <v>1686</v>
      </c>
      <c r="P1763">
        <v>0</v>
      </c>
      <c r="Q1763">
        <v>1067625</v>
      </c>
      <c r="R1763">
        <v>0</v>
      </c>
      <c r="S1763">
        <v>0</v>
      </c>
      <c r="T1763" t="str">
        <f t="shared" si="54"/>
        <v>12752.43.4302.85.0-205128.2.3.3.08.06.</v>
      </c>
      <c r="U1763" t="e" cm="1">
        <f t="array" aca="1" ref="U1763" ca="1">+IF(COMPROMISOS_2025[[#This Row],[P]]="20","41080111",_xlfn.XLOOKUP(COMPROMISOS_2025[[#This Row],[concatenado]],PAA[[#All],[RCP-RUBRO]],PAA[[#All],[INDICADOR]],"",0))</f>
        <v>#NAME?</v>
      </c>
      <c r="V1763" s="144" t="str">
        <f t="shared" si="55"/>
        <v>85</v>
      </c>
      <c r="W1763" s="136">
        <f>+COMPROMISOS_2025[[#This Row],[valor_total]]-COMPROMISOS_2025[[#This Row],[total_cancelado]]</f>
        <v>1067625</v>
      </c>
      <c r="X1763" s="136">
        <f>COMPROMISOS_2025[[#This Row],[total_ordenes]]</f>
        <v>1067625</v>
      </c>
      <c r="Y1763" t="str" cm="1">
        <f t="array" aca="1" ref="Y1763" ca="1">IFERROR(_xlfn.XLOOKUP(COMPROMISOS_2025[[#This Row],[concatenado]],PAA[[#All],[RCP-RUBRO]],PAA[[#All],[Actividad3]],VLOOKUP(COMPROMISOS_2025[[#This Row],[Indicador Principal]],$AC$2:$AD$17,2,0),0),"")</f>
        <v/>
      </c>
    </row>
    <row r="1764" spans="1:25" hidden="1" x14ac:dyDescent="0.25">
      <c r="A1764">
        <v>1276</v>
      </c>
      <c r="B1764" t="s">
        <v>2491</v>
      </c>
      <c r="C1764" t="s">
        <v>1936</v>
      </c>
      <c r="D1764" t="s">
        <v>4182</v>
      </c>
      <c r="F1764">
        <v>406</v>
      </c>
      <c r="G1764">
        <v>65</v>
      </c>
      <c r="H1764" t="s">
        <v>662</v>
      </c>
      <c r="I1764" t="s">
        <v>2271</v>
      </c>
      <c r="J1764">
        <v>4270500</v>
      </c>
      <c r="K1764">
        <v>2025</v>
      </c>
      <c r="L1764">
        <v>1000412615</v>
      </c>
      <c r="M1764" t="s">
        <v>3935</v>
      </c>
      <c r="N1764" t="s">
        <v>1688</v>
      </c>
      <c r="O1764" t="s">
        <v>1686</v>
      </c>
      <c r="P1764">
        <v>0</v>
      </c>
      <c r="Q1764">
        <v>4270500</v>
      </c>
      <c r="R1764">
        <v>0</v>
      </c>
      <c r="S1764">
        <v>0</v>
      </c>
      <c r="T1764" t="str">
        <f t="shared" si="54"/>
        <v>12762.43.4302.85.0-205128.2.3.3.08.06.</v>
      </c>
      <c r="U1764" t="e" cm="1">
        <f t="array" aca="1" ref="U1764" ca="1">+IF(COMPROMISOS_2025[[#This Row],[P]]="20","41080111",_xlfn.XLOOKUP(COMPROMISOS_2025[[#This Row],[concatenado]],PAA[[#All],[RCP-RUBRO]],PAA[[#All],[INDICADOR]],"",0))</f>
        <v>#NAME?</v>
      </c>
      <c r="V1764" s="144" t="str">
        <f t="shared" si="55"/>
        <v>85</v>
      </c>
      <c r="W1764" s="136">
        <f>+COMPROMISOS_2025[[#This Row],[valor_total]]-COMPROMISOS_2025[[#This Row],[total_cancelado]]</f>
        <v>4270500</v>
      </c>
      <c r="X1764" s="136">
        <f>COMPROMISOS_2025[[#This Row],[total_ordenes]]</f>
        <v>4270500</v>
      </c>
      <c r="Y1764" t="str" cm="1">
        <f t="array" aca="1" ref="Y1764" ca="1">IFERROR(_xlfn.XLOOKUP(COMPROMISOS_2025[[#This Row],[concatenado]],PAA[[#All],[RCP-RUBRO]],PAA[[#All],[Actividad3]],VLOOKUP(COMPROMISOS_2025[[#This Row],[Indicador Principal]],$AC$2:$AD$17,2,0),0),"")</f>
        <v/>
      </c>
    </row>
    <row r="1765" spans="1:25" hidden="1" x14ac:dyDescent="0.25">
      <c r="A1765">
        <v>1277</v>
      </c>
      <c r="B1765" t="s">
        <v>2491</v>
      </c>
      <c r="C1765" t="s">
        <v>1936</v>
      </c>
      <c r="D1765" t="s">
        <v>4182</v>
      </c>
      <c r="F1765">
        <v>406</v>
      </c>
      <c r="G1765">
        <v>65</v>
      </c>
      <c r="H1765" t="s">
        <v>662</v>
      </c>
      <c r="I1765" t="s">
        <v>2271</v>
      </c>
      <c r="J1765">
        <v>711750</v>
      </c>
      <c r="K1765">
        <v>2025</v>
      </c>
      <c r="L1765">
        <v>1000414094</v>
      </c>
      <c r="M1765" t="s">
        <v>4223</v>
      </c>
      <c r="N1765" t="s">
        <v>1688</v>
      </c>
      <c r="O1765" t="s">
        <v>1686</v>
      </c>
      <c r="P1765">
        <v>0</v>
      </c>
      <c r="Q1765">
        <v>711750</v>
      </c>
      <c r="R1765">
        <v>0</v>
      </c>
      <c r="S1765">
        <v>0</v>
      </c>
      <c r="T1765" t="str">
        <f t="shared" si="54"/>
        <v>12772.43.4302.85.0-205128.2.3.3.08.06.</v>
      </c>
      <c r="U1765" t="e" cm="1">
        <f t="array" aca="1" ref="U1765" ca="1">+IF(COMPROMISOS_2025[[#This Row],[P]]="20","41080111",_xlfn.XLOOKUP(COMPROMISOS_2025[[#This Row],[concatenado]],PAA[[#All],[RCP-RUBRO]],PAA[[#All],[INDICADOR]],"",0))</f>
        <v>#NAME?</v>
      </c>
      <c r="V1765" s="144" t="str">
        <f t="shared" si="55"/>
        <v>85</v>
      </c>
      <c r="W1765" s="136">
        <f>+COMPROMISOS_2025[[#This Row],[valor_total]]-COMPROMISOS_2025[[#This Row],[total_cancelado]]</f>
        <v>711750</v>
      </c>
      <c r="X1765" s="136">
        <f>COMPROMISOS_2025[[#This Row],[total_ordenes]]</f>
        <v>711750</v>
      </c>
      <c r="Y1765" t="str" cm="1">
        <f t="array" aca="1" ref="Y1765" ca="1">IFERROR(_xlfn.XLOOKUP(COMPROMISOS_2025[[#This Row],[concatenado]],PAA[[#All],[RCP-RUBRO]],PAA[[#All],[Actividad3]],VLOOKUP(COMPROMISOS_2025[[#This Row],[Indicador Principal]],$AC$2:$AD$17,2,0),0),"")</f>
        <v/>
      </c>
    </row>
    <row r="1766" spans="1:25" hidden="1" x14ac:dyDescent="0.25">
      <c r="A1766">
        <v>1278</v>
      </c>
      <c r="B1766" t="s">
        <v>2491</v>
      </c>
      <c r="C1766" t="s">
        <v>1936</v>
      </c>
      <c r="D1766" t="s">
        <v>4182</v>
      </c>
      <c r="F1766">
        <v>406</v>
      </c>
      <c r="G1766">
        <v>65</v>
      </c>
      <c r="H1766" t="s">
        <v>662</v>
      </c>
      <c r="I1766" t="s">
        <v>2271</v>
      </c>
      <c r="J1766">
        <v>1423500</v>
      </c>
      <c r="K1766">
        <v>2025</v>
      </c>
      <c r="L1766">
        <v>1000532655</v>
      </c>
      <c r="M1766" t="s">
        <v>3937</v>
      </c>
      <c r="N1766" t="s">
        <v>1688</v>
      </c>
      <c r="O1766" t="s">
        <v>1686</v>
      </c>
      <c r="P1766">
        <v>0</v>
      </c>
      <c r="Q1766">
        <v>1423500</v>
      </c>
      <c r="R1766">
        <v>0</v>
      </c>
      <c r="S1766">
        <v>0</v>
      </c>
      <c r="T1766" t="str">
        <f t="shared" si="54"/>
        <v>12782.43.4302.85.0-205128.2.3.3.08.06.</v>
      </c>
      <c r="U1766" t="e" cm="1">
        <f t="array" aca="1" ref="U1766" ca="1">+IF(COMPROMISOS_2025[[#This Row],[P]]="20","41080111",_xlfn.XLOOKUP(COMPROMISOS_2025[[#This Row],[concatenado]],PAA[[#All],[RCP-RUBRO]],PAA[[#All],[INDICADOR]],"",0))</f>
        <v>#NAME?</v>
      </c>
      <c r="V1766" s="144" t="str">
        <f t="shared" si="55"/>
        <v>85</v>
      </c>
      <c r="W1766" s="136">
        <f>+COMPROMISOS_2025[[#This Row],[valor_total]]-COMPROMISOS_2025[[#This Row],[total_cancelado]]</f>
        <v>1423500</v>
      </c>
      <c r="X1766" s="136">
        <f>COMPROMISOS_2025[[#This Row],[total_ordenes]]</f>
        <v>1423500</v>
      </c>
      <c r="Y1766" t="str" cm="1">
        <f t="array" aca="1" ref="Y1766" ca="1">IFERROR(_xlfn.XLOOKUP(COMPROMISOS_2025[[#This Row],[concatenado]],PAA[[#All],[RCP-RUBRO]],PAA[[#All],[Actividad3]],VLOOKUP(COMPROMISOS_2025[[#This Row],[Indicador Principal]],$AC$2:$AD$17,2,0),0),"")</f>
        <v/>
      </c>
    </row>
    <row r="1767" spans="1:25" hidden="1" x14ac:dyDescent="0.25">
      <c r="A1767">
        <v>1279</v>
      </c>
      <c r="B1767" t="s">
        <v>2491</v>
      </c>
      <c r="C1767" t="s">
        <v>1936</v>
      </c>
      <c r="D1767" t="s">
        <v>4182</v>
      </c>
      <c r="F1767">
        <v>406</v>
      </c>
      <c r="G1767">
        <v>65</v>
      </c>
      <c r="H1767" t="s">
        <v>662</v>
      </c>
      <c r="I1767" t="s">
        <v>2271</v>
      </c>
      <c r="J1767">
        <v>711750</v>
      </c>
      <c r="K1767">
        <v>2025</v>
      </c>
      <c r="L1767">
        <v>1000535257</v>
      </c>
      <c r="M1767" t="s">
        <v>4224</v>
      </c>
      <c r="N1767" t="s">
        <v>1688</v>
      </c>
      <c r="O1767" t="s">
        <v>1686</v>
      </c>
      <c r="P1767">
        <v>0</v>
      </c>
      <c r="Q1767">
        <v>711750</v>
      </c>
      <c r="R1767">
        <v>0</v>
      </c>
      <c r="S1767">
        <v>0</v>
      </c>
      <c r="T1767" t="str">
        <f t="shared" si="54"/>
        <v>12792.43.4302.85.0-205128.2.3.3.08.06.</v>
      </c>
      <c r="U1767" t="e" cm="1">
        <f t="array" aca="1" ref="U1767" ca="1">+IF(COMPROMISOS_2025[[#This Row],[P]]="20","41080111",_xlfn.XLOOKUP(COMPROMISOS_2025[[#This Row],[concatenado]],PAA[[#All],[RCP-RUBRO]],PAA[[#All],[INDICADOR]],"",0))</f>
        <v>#NAME?</v>
      </c>
      <c r="V1767" s="144" t="str">
        <f t="shared" si="55"/>
        <v>85</v>
      </c>
      <c r="W1767" s="136">
        <f>+COMPROMISOS_2025[[#This Row],[valor_total]]-COMPROMISOS_2025[[#This Row],[total_cancelado]]</f>
        <v>711750</v>
      </c>
      <c r="X1767" s="136">
        <f>COMPROMISOS_2025[[#This Row],[total_ordenes]]</f>
        <v>711750</v>
      </c>
      <c r="Y1767" t="str" cm="1">
        <f t="array" aca="1" ref="Y1767" ca="1">IFERROR(_xlfn.XLOOKUP(COMPROMISOS_2025[[#This Row],[concatenado]],PAA[[#All],[RCP-RUBRO]],PAA[[#All],[Actividad3]],VLOOKUP(COMPROMISOS_2025[[#This Row],[Indicador Principal]],$AC$2:$AD$17,2,0),0),"")</f>
        <v/>
      </c>
    </row>
    <row r="1768" spans="1:25" hidden="1" x14ac:dyDescent="0.25">
      <c r="A1768">
        <v>1280</v>
      </c>
      <c r="B1768" t="s">
        <v>2491</v>
      </c>
      <c r="C1768" t="s">
        <v>1936</v>
      </c>
      <c r="D1768" t="s">
        <v>4182</v>
      </c>
      <c r="F1768">
        <v>406</v>
      </c>
      <c r="G1768">
        <v>65</v>
      </c>
      <c r="H1768" t="s">
        <v>662</v>
      </c>
      <c r="I1768" t="s">
        <v>2271</v>
      </c>
      <c r="J1768">
        <v>4270500</v>
      </c>
      <c r="K1768">
        <v>2025</v>
      </c>
      <c r="L1768">
        <v>1000537394</v>
      </c>
      <c r="M1768" t="s">
        <v>3939</v>
      </c>
      <c r="N1768" t="s">
        <v>1688</v>
      </c>
      <c r="O1768" t="s">
        <v>1686</v>
      </c>
      <c r="P1768">
        <v>0</v>
      </c>
      <c r="Q1768">
        <v>4270500</v>
      </c>
      <c r="R1768">
        <v>0</v>
      </c>
      <c r="S1768">
        <v>0</v>
      </c>
      <c r="T1768" t="str">
        <f t="shared" si="54"/>
        <v>12802.43.4302.85.0-205128.2.3.3.08.06.</v>
      </c>
      <c r="U1768" t="e" cm="1">
        <f t="array" aca="1" ref="U1768" ca="1">+IF(COMPROMISOS_2025[[#This Row],[P]]="20","41080111",_xlfn.XLOOKUP(COMPROMISOS_2025[[#This Row],[concatenado]],PAA[[#All],[RCP-RUBRO]],PAA[[#All],[INDICADOR]],"",0))</f>
        <v>#NAME?</v>
      </c>
      <c r="V1768" s="144" t="str">
        <f t="shared" si="55"/>
        <v>85</v>
      </c>
      <c r="W1768" s="136">
        <f>+COMPROMISOS_2025[[#This Row],[valor_total]]-COMPROMISOS_2025[[#This Row],[total_cancelado]]</f>
        <v>4270500</v>
      </c>
      <c r="X1768" s="136">
        <f>COMPROMISOS_2025[[#This Row],[total_ordenes]]</f>
        <v>4270500</v>
      </c>
      <c r="Y1768" t="str" cm="1">
        <f t="array" aca="1" ref="Y1768" ca="1">IFERROR(_xlfn.XLOOKUP(COMPROMISOS_2025[[#This Row],[concatenado]],PAA[[#All],[RCP-RUBRO]],PAA[[#All],[Actividad3]],VLOOKUP(COMPROMISOS_2025[[#This Row],[Indicador Principal]],$AC$2:$AD$17,2,0),0),"")</f>
        <v/>
      </c>
    </row>
    <row r="1769" spans="1:25" hidden="1" x14ac:dyDescent="0.25">
      <c r="A1769">
        <v>1281</v>
      </c>
      <c r="B1769" t="s">
        <v>2491</v>
      </c>
      <c r="C1769" t="s">
        <v>1936</v>
      </c>
      <c r="D1769" t="s">
        <v>4182</v>
      </c>
      <c r="F1769">
        <v>406</v>
      </c>
      <c r="G1769">
        <v>65</v>
      </c>
      <c r="H1769" t="s">
        <v>662</v>
      </c>
      <c r="I1769" t="s">
        <v>2271</v>
      </c>
      <c r="J1769">
        <v>711750</v>
      </c>
      <c r="K1769">
        <v>2025</v>
      </c>
      <c r="L1769">
        <v>1000537721</v>
      </c>
      <c r="M1769" t="s">
        <v>4225</v>
      </c>
      <c r="N1769" t="s">
        <v>1688</v>
      </c>
      <c r="O1769" t="s">
        <v>1686</v>
      </c>
      <c r="P1769">
        <v>0</v>
      </c>
      <c r="Q1769">
        <v>711750</v>
      </c>
      <c r="R1769">
        <v>0</v>
      </c>
      <c r="S1769">
        <v>0</v>
      </c>
      <c r="T1769" t="str">
        <f t="shared" si="54"/>
        <v>12812.43.4302.85.0-205128.2.3.3.08.06.</v>
      </c>
      <c r="U1769" t="e" cm="1">
        <f t="array" aca="1" ref="U1769" ca="1">+IF(COMPROMISOS_2025[[#This Row],[P]]="20","41080111",_xlfn.XLOOKUP(COMPROMISOS_2025[[#This Row],[concatenado]],PAA[[#All],[RCP-RUBRO]],PAA[[#All],[INDICADOR]],"",0))</f>
        <v>#NAME?</v>
      </c>
      <c r="V1769" s="144" t="str">
        <f t="shared" si="55"/>
        <v>85</v>
      </c>
      <c r="W1769" s="136">
        <f>+COMPROMISOS_2025[[#This Row],[valor_total]]-COMPROMISOS_2025[[#This Row],[total_cancelado]]</f>
        <v>711750</v>
      </c>
      <c r="X1769" s="136">
        <f>COMPROMISOS_2025[[#This Row],[total_ordenes]]</f>
        <v>711750</v>
      </c>
      <c r="Y1769" t="str" cm="1">
        <f t="array" aca="1" ref="Y1769" ca="1">IFERROR(_xlfn.XLOOKUP(COMPROMISOS_2025[[#This Row],[concatenado]],PAA[[#All],[RCP-RUBRO]],PAA[[#All],[Actividad3]],VLOOKUP(COMPROMISOS_2025[[#This Row],[Indicador Principal]],$AC$2:$AD$17,2,0),0),"")</f>
        <v/>
      </c>
    </row>
    <row r="1770" spans="1:25" hidden="1" x14ac:dyDescent="0.25">
      <c r="A1770">
        <v>1282</v>
      </c>
      <c r="B1770" t="s">
        <v>2491</v>
      </c>
      <c r="C1770" t="s">
        <v>1936</v>
      </c>
      <c r="D1770" t="s">
        <v>4182</v>
      </c>
      <c r="F1770">
        <v>406</v>
      </c>
      <c r="G1770">
        <v>65</v>
      </c>
      <c r="H1770" t="s">
        <v>662</v>
      </c>
      <c r="I1770" t="s">
        <v>2271</v>
      </c>
      <c r="J1770">
        <v>2847000</v>
      </c>
      <c r="K1770">
        <v>2025</v>
      </c>
      <c r="L1770">
        <v>1000537974</v>
      </c>
      <c r="M1770" t="s">
        <v>4226</v>
      </c>
      <c r="N1770" t="s">
        <v>1688</v>
      </c>
      <c r="O1770" t="s">
        <v>1686</v>
      </c>
      <c r="P1770">
        <v>0</v>
      </c>
      <c r="Q1770">
        <v>2847000</v>
      </c>
      <c r="R1770">
        <v>0</v>
      </c>
      <c r="S1770">
        <v>0</v>
      </c>
      <c r="T1770" t="str">
        <f t="shared" si="54"/>
        <v>12822.43.4302.85.0-205128.2.3.3.08.06.</v>
      </c>
      <c r="U1770" t="e" cm="1">
        <f t="array" aca="1" ref="U1770" ca="1">+IF(COMPROMISOS_2025[[#This Row],[P]]="20","41080111",_xlfn.XLOOKUP(COMPROMISOS_2025[[#This Row],[concatenado]],PAA[[#All],[RCP-RUBRO]],PAA[[#All],[INDICADOR]],"",0))</f>
        <v>#NAME?</v>
      </c>
      <c r="V1770" s="144" t="str">
        <f t="shared" si="55"/>
        <v>85</v>
      </c>
      <c r="W1770" s="136">
        <f>+COMPROMISOS_2025[[#This Row],[valor_total]]-COMPROMISOS_2025[[#This Row],[total_cancelado]]</f>
        <v>2847000</v>
      </c>
      <c r="X1770" s="136">
        <f>COMPROMISOS_2025[[#This Row],[total_ordenes]]</f>
        <v>2847000</v>
      </c>
      <c r="Y1770" t="str" cm="1">
        <f t="array" aca="1" ref="Y1770" ca="1">IFERROR(_xlfn.XLOOKUP(COMPROMISOS_2025[[#This Row],[concatenado]],PAA[[#All],[RCP-RUBRO]],PAA[[#All],[Actividad3]],VLOOKUP(COMPROMISOS_2025[[#This Row],[Indicador Principal]],$AC$2:$AD$17,2,0),0),"")</f>
        <v/>
      </c>
    </row>
    <row r="1771" spans="1:25" hidden="1" x14ac:dyDescent="0.25">
      <c r="A1771">
        <v>1283</v>
      </c>
      <c r="B1771" t="s">
        <v>2491</v>
      </c>
      <c r="C1771" t="s">
        <v>1936</v>
      </c>
      <c r="D1771" t="s">
        <v>4182</v>
      </c>
      <c r="F1771">
        <v>406</v>
      </c>
      <c r="G1771">
        <v>65</v>
      </c>
      <c r="H1771" t="s">
        <v>662</v>
      </c>
      <c r="I1771" t="s">
        <v>2271</v>
      </c>
      <c r="J1771">
        <v>2847000</v>
      </c>
      <c r="K1771">
        <v>2025</v>
      </c>
      <c r="L1771">
        <v>1000566220</v>
      </c>
      <c r="M1771" t="s">
        <v>3589</v>
      </c>
      <c r="N1771" t="s">
        <v>1688</v>
      </c>
      <c r="O1771" t="s">
        <v>1686</v>
      </c>
      <c r="P1771">
        <v>0</v>
      </c>
      <c r="Q1771">
        <v>2847000</v>
      </c>
      <c r="R1771">
        <v>0</v>
      </c>
      <c r="S1771">
        <v>0</v>
      </c>
      <c r="T1771" t="str">
        <f t="shared" si="54"/>
        <v>12832.43.4302.85.0-205128.2.3.3.08.06.</v>
      </c>
      <c r="U1771" t="e" cm="1">
        <f t="array" aca="1" ref="U1771" ca="1">+IF(COMPROMISOS_2025[[#This Row],[P]]="20","41080111",_xlfn.XLOOKUP(COMPROMISOS_2025[[#This Row],[concatenado]],PAA[[#All],[RCP-RUBRO]],PAA[[#All],[INDICADOR]],"",0))</f>
        <v>#NAME?</v>
      </c>
      <c r="V1771" s="144" t="str">
        <f t="shared" si="55"/>
        <v>85</v>
      </c>
      <c r="W1771" s="136">
        <f>+COMPROMISOS_2025[[#This Row],[valor_total]]-COMPROMISOS_2025[[#This Row],[total_cancelado]]</f>
        <v>2847000</v>
      </c>
      <c r="X1771" s="136">
        <f>COMPROMISOS_2025[[#This Row],[total_ordenes]]</f>
        <v>2847000</v>
      </c>
      <c r="Y1771" t="str" cm="1">
        <f t="array" aca="1" ref="Y1771" ca="1">IFERROR(_xlfn.XLOOKUP(COMPROMISOS_2025[[#This Row],[concatenado]],PAA[[#All],[RCP-RUBRO]],PAA[[#All],[Actividad3]],VLOOKUP(COMPROMISOS_2025[[#This Row],[Indicador Principal]],$AC$2:$AD$17,2,0),0),"")</f>
        <v/>
      </c>
    </row>
    <row r="1772" spans="1:25" hidden="1" x14ac:dyDescent="0.25">
      <c r="A1772">
        <v>1284</v>
      </c>
      <c r="B1772" t="s">
        <v>2491</v>
      </c>
      <c r="C1772" t="s">
        <v>1936</v>
      </c>
      <c r="D1772" t="s">
        <v>4182</v>
      </c>
      <c r="F1772">
        <v>406</v>
      </c>
      <c r="G1772">
        <v>65</v>
      </c>
      <c r="H1772" t="s">
        <v>662</v>
      </c>
      <c r="I1772" t="s">
        <v>2271</v>
      </c>
      <c r="J1772">
        <v>711750</v>
      </c>
      <c r="K1772">
        <v>2025</v>
      </c>
      <c r="L1772">
        <v>1000633538</v>
      </c>
      <c r="M1772" t="s">
        <v>3590</v>
      </c>
      <c r="N1772" t="s">
        <v>1688</v>
      </c>
      <c r="O1772" t="s">
        <v>1686</v>
      </c>
      <c r="P1772">
        <v>0</v>
      </c>
      <c r="Q1772">
        <v>711750</v>
      </c>
      <c r="R1772">
        <v>0</v>
      </c>
      <c r="S1772">
        <v>0</v>
      </c>
      <c r="T1772" t="str">
        <f t="shared" si="54"/>
        <v>12842.43.4302.85.0-205128.2.3.3.08.06.</v>
      </c>
      <c r="U1772" t="e" cm="1">
        <f t="array" aca="1" ref="U1772" ca="1">+IF(COMPROMISOS_2025[[#This Row],[P]]="20","41080111",_xlfn.XLOOKUP(COMPROMISOS_2025[[#This Row],[concatenado]],PAA[[#All],[RCP-RUBRO]],PAA[[#All],[INDICADOR]],"",0))</f>
        <v>#NAME?</v>
      </c>
      <c r="V1772" s="144" t="str">
        <f t="shared" si="55"/>
        <v>85</v>
      </c>
      <c r="W1772" s="136">
        <f>+COMPROMISOS_2025[[#This Row],[valor_total]]-COMPROMISOS_2025[[#This Row],[total_cancelado]]</f>
        <v>711750</v>
      </c>
      <c r="X1772" s="136">
        <f>COMPROMISOS_2025[[#This Row],[total_ordenes]]</f>
        <v>711750</v>
      </c>
      <c r="Y1772" t="str" cm="1">
        <f t="array" aca="1" ref="Y1772" ca="1">IFERROR(_xlfn.XLOOKUP(COMPROMISOS_2025[[#This Row],[concatenado]],PAA[[#All],[RCP-RUBRO]],PAA[[#All],[Actividad3]],VLOOKUP(COMPROMISOS_2025[[#This Row],[Indicador Principal]],$AC$2:$AD$17,2,0),0),"")</f>
        <v/>
      </c>
    </row>
    <row r="1773" spans="1:25" hidden="1" x14ac:dyDescent="0.25">
      <c r="A1773">
        <v>1285</v>
      </c>
      <c r="B1773" t="s">
        <v>2491</v>
      </c>
      <c r="C1773" t="s">
        <v>1936</v>
      </c>
      <c r="D1773" t="s">
        <v>4182</v>
      </c>
      <c r="F1773">
        <v>406</v>
      </c>
      <c r="G1773">
        <v>65</v>
      </c>
      <c r="H1773" t="s">
        <v>662</v>
      </c>
      <c r="I1773" t="s">
        <v>2271</v>
      </c>
      <c r="J1773">
        <v>1067625</v>
      </c>
      <c r="K1773">
        <v>2025</v>
      </c>
      <c r="L1773">
        <v>1000635239</v>
      </c>
      <c r="M1773" t="s">
        <v>4227</v>
      </c>
      <c r="N1773" t="s">
        <v>1688</v>
      </c>
      <c r="O1773" t="s">
        <v>1686</v>
      </c>
      <c r="P1773">
        <v>0</v>
      </c>
      <c r="Q1773">
        <v>1067625</v>
      </c>
      <c r="R1773">
        <v>0</v>
      </c>
      <c r="S1773">
        <v>0</v>
      </c>
      <c r="T1773" t="str">
        <f t="shared" si="54"/>
        <v>12852.43.4302.85.0-205128.2.3.3.08.06.</v>
      </c>
      <c r="U1773" t="e" cm="1">
        <f t="array" aca="1" ref="U1773" ca="1">+IF(COMPROMISOS_2025[[#This Row],[P]]="20","41080111",_xlfn.XLOOKUP(COMPROMISOS_2025[[#This Row],[concatenado]],PAA[[#All],[RCP-RUBRO]],PAA[[#All],[INDICADOR]],"",0))</f>
        <v>#NAME?</v>
      </c>
      <c r="V1773" s="144" t="str">
        <f t="shared" si="55"/>
        <v>85</v>
      </c>
      <c r="W1773" s="136">
        <f>+COMPROMISOS_2025[[#This Row],[valor_total]]-COMPROMISOS_2025[[#This Row],[total_cancelado]]</f>
        <v>1067625</v>
      </c>
      <c r="X1773" s="136">
        <f>COMPROMISOS_2025[[#This Row],[total_ordenes]]</f>
        <v>1067625</v>
      </c>
      <c r="Y1773" t="str" cm="1">
        <f t="array" aca="1" ref="Y1773" ca="1">IFERROR(_xlfn.XLOOKUP(COMPROMISOS_2025[[#This Row],[concatenado]],PAA[[#All],[RCP-RUBRO]],PAA[[#All],[Actividad3]],VLOOKUP(COMPROMISOS_2025[[#This Row],[Indicador Principal]],$AC$2:$AD$17,2,0),0),"")</f>
        <v/>
      </c>
    </row>
    <row r="1774" spans="1:25" hidden="1" x14ac:dyDescent="0.25">
      <c r="A1774">
        <v>1286</v>
      </c>
      <c r="B1774" t="s">
        <v>2491</v>
      </c>
      <c r="C1774" t="s">
        <v>1936</v>
      </c>
      <c r="D1774" t="s">
        <v>4182</v>
      </c>
      <c r="F1774">
        <v>406</v>
      </c>
      <c r="G1774">
        <v>65</v>
      </c>
      <c r="H1774" t="s">
        <v>662</v>
      </c>
      <c r="I1774" t="s">
        <v>2271</v>
      </c>
      <c r="J1774">
        <v>1423500</v>
      </c>
      <c r="K1774">
        <v>2025</v>
      </c>
      <c r="L1774">
        <v>1000635560</v>
      </c>
      <c r="M1774" t="s">
        <v>3940</v>
      </c>
      <c r="N1774" t="s">
        <v>1688</v>
      </c>
      <c r="O1774" t="s">
        <v>1686</v>
      </c>
      <c r="P1774">
        <v>0</v>
      </c>
      <c r="Q1774">
        <v>1423500</v>
      </c>
      <c r="R1774">
        <v>0</v>
      </c>
      <c r="S1774">
        <v>0</v>
      </c>
      <c r="T1774" t="str">
        <f t="shared" si="54"/>
        <v>12862.43.4302.85.0-205128.2.3.3.08.06.</v>
      </c>
      <c r="U1774" t="e" cm="1">
        <f t="array" aca="1" ref="U1774" ca="1">+IF(COMPROMISOS_2025[[#This Row],[P]]="20","41080111",_xlfn.XLOOKUP(COMPROMISOS_2025[[#This Row],[concatenado]],PAA[[#All],[RCP-RUBRO]],PAA[[#All],[INDICADOR]],"",0))</f>
        <v>#NAME?</v>
      </c>
      <c r="V1774" s="144" t="str">
        <f t="shared" si="55"/>
        <v>85</v>
      </c>
      <c r="W1774" s="136">
        <f>+COMPROMISOS_2025[[#This Row],[valor_total]]-COMPROMISOS_2025[[#This Row],[total_cancelado]]</f>
        <v>1423500</v>
      </c>
      <c r="X1774" s="136">
        <f>COMPROMISOS_2025[[#This Row],[total_ordenes]]</f>
        <v>1423500</v>
      </c>
      <c r="Y1774" t="str" cm="1">
        <f t="array" aca="1" ref="Y1774" ca="1">IFERROR(_xlfn.XLOOKUP(COMPROMISOS_2025[[#This Row],[concatenado]],PAA[[#All],[RCP-RUBRO]],PAA[[#All],[Actividad3]],VLOOKUP(COMPROMISOS_2025[[#This Row],[Indicador Principal]],$AC$2:$AD$17,2,0),0),"")</f>
        <v/>
      </c>
    </row>
    <row r="1775" spans="1:25" hidden="1" x14ac:dyDescent="0.25">
      <c r="A1775">
        <v>1287</v>
      </c>
      <c r="B1775" t="s">
        <v>2491</v>
      </c>
      <c r="C1775" t="s">
        <v>1936</v>
      </c>
      <c r="D1775" t="s">
        <v>4182</v>
      </c>
      <c r="F1775">
        <v>406</v>
      </c>
      <c r="G1775">
        <v>65</v>
      </c>
      <c r="H1775" t="s">
        <v>662</v>
      </c>
      <c r="I1775" t="s">
        <v>2271</v>
      </c>
      <c r="J1775">
        <v>711750</v>
      </c>
      <c r="K1775">
        <v>2025</v>
      </c>
      <c r="L1775">
        <v>1000637947</v>
      </c>
      <c r="M1775" t="s">
        <v>4228</v>
      </c>
      <c r="N1775" t="s">
        <v>1688</v>
      </c>
      <c r="O1775" t="s">
        <v>1686</v>
      </c>
      <c r="P1775">
        <v>0</v>
      </c>
      <c r="Q1775">
        <v>711750</v>
      </c>
      <c r="R1775">
        <v>0</v>
      </c>
      <c r="S1775">
        <v>0</v>
      </c>
      <c r="T1775" t="str">
        <f t="shared" si="54"/>
        <v>12872.43.4302.85.0-205128.2.3.3.08.06.</v>
      </c>
      <c r="U1775" t="e" cm="1">
        <f t="array" aca="1" ref="U1775" ca="1">+IF(COMPROMISOS_2025[[#This Row],[P]]="20","41080111",_xlfn.XLOOKUP(COMPROMISOS_2025[[#This Row],[concatenado]],PAA[[#All],[RCP-RUBRO]],PAA[[#All],[INDICADOR]],"",0))</f>
        <v>#NAME?</v>
      </c>
      <c r="V1775" s="144" t="str">
        <f t="shared" si="55"/>
        <v>85</v>
      </c>
      <c r="W1775" s="136">
        <f>+COMPROMISOS_2025[[#This Row],[valor_total]]-COMPROMISOS_2025[[#This Row],[total_cancelado]]</f>
        <v>711750</v>
      </c>
      <c r="X1775" s="136">
        <f>COMPROMISOS_2025[[#This Row],[total_ordenes]]</f>
        <v>711750</v>
      </c>
      <c r="Y1775" t="str" cm="1">
        <f t="array" aca="1" ref="Y1775" ca="1">IFERROR(_xlfn.XLOOKUP(COMPROMISOS_2025[[#This Row],[concatenado]],PAA[[#All],[RCP-RUBRO]],PAA[[#All],[Actividad3]],VLOOKUP(COMPROMISOS_2025[[#This Row],[Indicador Principal]],$AC$2:$AD$17,2,0),0),"")</f>
        <v/>
      </c>
    </row>
    <row r="1776" spans="1:25" hidden="1" x14ac:dyDescent="0.25">
      <c r="A1776">
        <v>1288</v>
      </c>
      <c r="B1776" t="s">
        <v>2491</v>
      </c>
      <c r="C1776" t="s">
        <v>1936</v>
      </c>
      <c r="D1776" t="s">
        <v>4182</v>
      </c>
      <c r="F1776">
        <v>406</v>
      </c>
      <c r="G1776">
        <v>65</v>
      </c>
      <c r="H1776" t="s">
        <v>662</v>
      </c>
      <c r="I1776" t="s">
        <v>2271</v>
      </c>
      <c r="J1776">
        <v>2847000</v>
      </c>
      <c r="K1776">
        <v>2025</v>
      </c>
      <c r="L1776">
        <v>1000643997</v>
      </c>
      <c r="M1776" t="s">
        <v>3591</v>
      </c>
      <c r="N1776" t="s">
        <v>1688</v>
      </c>
      <c r="O1776" t="s">
        <v>1686</v>
      </c>
      <c r="P1776">
        <v>0</v>
      </c>
      <c r="Q1776">
        <v>2847000</v>
      </c>
      <c r="R1776">
        <v>0</v>
      </c>
      <c r="S1776">
        <v>0</v>
      </c>
      <c r="T1776" t="str">
        <f t="shared" si="54"/>
        <v>12882.43.4302.85.0-205128.2.3.3.08.06.</v>
      </c>
      <c r="U1776" t="e" cm="1">
        <f t="array" aca="1" ref="U1776" ca="1">+IF(COMPROMISOS_2025[[#This Row],[P]]="20","41080111",_xlfn.XLOOKUP(COMPROMISOS_2025[[#This Row],[concatenado]],PAA[[#All],[RCP-RUBRO]],PAA[[#All],[INDICADOR]],"",0))</f>
        <v>#NAME?</v>
      </c>
      <c r="V1776" s="144" t="str">
        <f t="shared" si="55"/>
        <v>85</v>
      </c>
      <c r="W1776" s="136">
        <f>+COMPROMISOS_2025[[#This Row],[valor_total]]-COMPROMISOS_2025[[#This Row],[total_cancelado]]</f>
        <v>2847000</v>
      </c>
      <c r="X1776" s="136">
        <f>COMPROMISOS_2025[[#This Row],[total_ordenes]]</f>
        <v>2847000</v>
      </c>
      <c r="Y1776" t="str" cm="1">
        <f t="array" aca="1" ref="Y1776" ca="1">IFERROR(_xlfn.XLOOKUP(COMPROMISOS_2025[[#This Row],[concatenado]],PAA[[#All],[RCP-RUBRO]],PAA[[#All],[Actividad3]],VLOOKUP(COMPROMISOS_2025[[#This Row],[Indicador Principal]],$AC$2:$AD$17,2,0),0),"")</f>
        <v/>
      </c>
    </row>
    <row r="1777" spans="1:25" hidden="1" x14ac:dyDescent="0.25">
      <c r="A1777">
        <v>1289</v>
      </c>
      <c r="B1777" t="s">
        <v>2491</v>
      </c>
      <c r="C1777" t="s">
        <v>1936</v>
      </c>
      <c r="D1777" t="s">
        <v>4182</v>
      </c>
      <c r="F1777">
        <v>406</v>
      </c>
      <c r="G1777">
        <v>65</v>
      </c>
      <c r="H1777" t="s">
        <v>662</v>
      </c>
      <c r="I1777" t="s">
        <v>2271</v>
      </c>
      <c r="J1777">
        <v>4270500</v>
      </c>
      <c r="K1777">
        <v>2025</v>
      </c>
      <c r="L1777">
        <v>1000653897</v>
      </c>
      <c r="M1777" t="s">
        <v>3238</v>
      </c>
      <c r="N1777" t="s">
        <v>1688</v>
      </c>
      <c r="O1777" t="s">
        <v>1686</v>
      </c>
      <c r="P1777">
        <v>0</v>
      </c>
      <c r="Q1777">
        <v>4270500</v>
      </c>
      <c r="R1777">
        <v>0</v>
      </c>
      <c r="S1777">
        <v>0</v>
      </c>
      <c r="T1777" t="str">
        <f t="shared" si="54"/>
        <v>12892.43.4302.85.0-205128.2.3.3.08.06.</v>
      </c>
      <c r="U1777" t="e" cm="1">
        <f t="array" aca="1" ref="U1777" ca="1">+IF(COMPROMISOS_2025[[#This Row],[P]]="20","41080111",_xlfn.XLOOKUP(COMPROMISOS_2025[[#This Row],[concatenado]],PAA[[#All],[RCP-RUBRO]],PAA[[#All],[INDICADOR]],"",0))</f>
        <v>#NAME?</v>
      </c>
      <c r="V1777" s="144" t="str">
        <f t="shared" si="55"/>
        <v>85</v>
      </c>
      <c r="W1777" s="136">
        <f>+COMPROMISOS_2025[[#This Row],[valor_total]]-COMPROMISOS_2025[[#This Row],[total_cancelado]]</f>
        <v>4270500</v>
      </c>
      <c r="X1777" s="136">
        <f>COMPROMISOS_2025[[#This Row],[total_ordenes]]</f>
        <v>4270500</v>
      </c>
      <c r="Y1777" t="str" cm="1">
        <f t="array" aca="1" ref="Y1777" ca="1">IFERROR(_xlfn.XLOOKUP(COMPROMISOS_2025[[#This Row],[concatenado]],PAA[[#All],[RCP-RUBRO]],PAA[[#All],[Actividad3]],VLOOKUP(COMPROMISOS_2025[[#This Row],[Indicador Principal]],$AC$2:$AD$17,2,0),0),"")</f>
        <v/>
      </c>
    </row>
    <row r="1778" spans="1:25" hidden="1" x14ac:dyDescent="0.25">
      <c r="A1778">
        <v>1290</v>
      </c>
      <c r="B1778" t="s">
        <v>2491</v>
      </c>
      <c r="C1778" t="s">
        <v>1936</v>
      </c>
      <c r="D1778" t="s">
        <v>4182</v>
      </c>
      <c r="F1778">
        <v>406</v>
      </c>
      <c r="G1778">
        <v>65</v>
      </c>
      <c r="H1778" t="s">
        <v>662</v>
      </c>
      <c r="I1778" t="s">
        <v>2271</v>
      </c>
      <c r="J1778">
        <v>1067625</v>
      </c>
      <c r="K1778">
        <v>2025</v>
      </c>
      <c r="L1778">
        <v>1000654590</v>
      </c>
      <c r="M1778" t="s">
        <v>4229</v>
      </c>
      <c r="N1778" t="s">
        <v>1688</v>
      </c>
      <c r="O1778" t="s">
        <v>1686</v>
      </c>
      <c r="P1778">
        <v>0</v>
      </c>
      <c r="Q1778">
        <v>1067625</v>
      </c>
      <c r="R1778">
        <v>0</v>
      </c>
      <c r="S1778">
        <v>0</v>
      </c>
      <c r="T1778" t="str">
        <f t="shared" si="54"/>
        <v>12902.43.4302.85.0-205128.2.3.3.08.06.</v>
      </c>
      <c r="U1778" t="e" cm="1">
        <f t="array" aca="1" ref="U1778" ca="1">+IF(COMPROMISOS_2025[[#This Row],[P]]="20","41080111",_xlfn.XLOOKUP(COMPROMISOS_2025[[#This Row],[concatenado]],PAA[[#All],[RCP-RUBRO]],PAA[[#All],[INDICADOR]],"",0))</f>
        <v>#NAME?</v>
      </c>
      <c r="V1778" s="144" t="str">
        <f t="shared" si="55"/>
        <v>85</v>
      </c>
      <c r="W1778" s="136">
        <f>+COMPROMISOS_2025[[#This Row],[valor_total]]-COMPROMISOS_2025[[#This Row],[total_cancelado]]</f>
        <v>1067625</v>
      </c>
      <c r="X1778" s="136">
        <f>COMPROMISOS_2025[[#This Row],[total_ordenes]]</f>
        <v>1067625</v>
      </c>
      <c r="Y1778" t="str" cm="1">
        <f t="array" aca="1" ref="Y1778" ca="1">IFERROR(_xlfn.XLOOKUP(COMPROMISOS_2025[[#This Row],[concatenado]],PAA[[#All],[RCP-RUBRO]],PAA[[#All],[Actividad3]],VLOOKUP(COMPROMISOS_2025[[#This Row],[Indicador Principal]],$AC$2:$AD$17,2,0),0),"")</f>
        <v/>
      </c>
    </row>
    <row r="1779" spans="1:25" hidden="1" x14ac:dyDescent="0.25">
      <c r="A1779">
        <v>1291</v>
      </c>
      <c r="B1779" t="s">
        <v>2491</v>
      </c>
      <c r="C1779" t="s">
        <v>1936</v>
      </c>
      <c r="D1779" t="s">
        <v>4182</v>
      </c>
      <c r="F1779">
        <v>406</v>
      </c>
      <c r="G1779">
        <v>65</v>
      </c>
      <c r="H1779" t="s">
        <v>662</v>
      </c>
      <c r="I1779" t="s">
        <v>2271</v>
      </c>
      <c r="J1779">
        <v>1423500</v>
      </c>
      <c r="K1779">
        <v>2025</v>
      </c>
      <c r="L1779">
        <v>1000654725</v>
      </c>
      <c r="M1779" t="s">
        <v>4230</v>
      </c>
      <c r="N1779" t="s">
        <v>1688</v>
      </c>
      <c r="O1779" t="s">
        <v>1686</v>
      </c>
      <c r="P1779">
        <v>0</v>
      </c>
      <c r="Q1779">
        <v>1423500</v>
      </c>
      <c r="R1779">
        <v>0</v>
      </c>
      <c r="S1779">
        <v>0</v>
      </c>
      <c r="T1779" t="str">
        <f t="shared" si="54"/>
        <v>12912.43.4302.85.0-205128.2.3.3.08.06.</v>
      </c>
      <c r="U1779" t="e" cm="1">
        <f t="array" aca="1" ref="U1779" ca="1">+IF(COMPROMISOS_2025[[#This Row],[P]]="20","41080111",_xlfn.XLOOKUP(COMPROMISOS_2025[[#This Row],[concatenado]],PAA[[#All],[RCP-RUBRO]],PAA[[#All],[INDICADOR]],"",0))</f>
        <v>#NAME?</v>
      </c>
      <c r="V1779" s="144" t="str">
        <f t="shared" si="55"/>
        <v>85</v>
      </c>
      <c r="W1779" s="136">
        <f>+COMPROMISOS_2025[[#This Row],[valor_total]]-COMPROMISOS_2025[[#This Row],[total_cancelado]]</f>
        <v>1423500</v>
      </c>
      <c r="X1779" s="136">
        <f>COMPROMISOS_2025[[#This Row],[total_ordenes]]</f>
        <v>1423500</v>
      </c>
      <c r="Y1779" t="str" cm="1">
        <f t="array" aca="1" ref="Y1779" ca="1">IFERROR(_xlfn.XLOOKUP(COMPROMISOS_2025[[#This Row],[concatenado]],PAA[[#All],[RCP-RUBRO]],PAA[[#All],[Actividad3]],VLOOKUP(COMPROMISOS_2025[[#This Row],[Indicador Principal]],$AC$2:$AD$17,2,0),0),"")</f>
        <v/>
      </c>
    </row>
    <row r="1780" spans="1:25" hidden="1" x14ac:dyDescent="0.25">
      <c r="A1780">
        <v>1292</v>
      </c>
      <c r="B1780" t="s">
        <v>2491</v>
      </c>
      <c r="C1780" t="s">
        <v>1936</v>
      </c>
      <c r="D1780" t="s">
        <v>4182</v>
      </c>
      <c r="F1780">
        <v>406</v>
      </c>
      <c r="G1780">
        <v>65</v>
      </c>
      <c r="H1780" t="s">
        <v>662</v>
      </c>
      <c r="I1780" t="s">
        <v>2271</v>
      </c>
      <c r="J1780">
        <v>1067625</v>
      </c>
      <c r="K1780">
        <v>2025</v>
      </c>
      <c r="L1780">
        <v>1000660216</v>
      </c>
      <c r="M1780" t="s">
        <v>3942</v>
      </c>
      <c r="N1780" t="s">
        <v>1688</v>
      </c>
      <c r="O1780" t="s">
        <v>1686</v>
      </c>
      <c r="P1780">
        <v>0</v>
      </c>
      <c r="Q1780">
        <v>1067625</v>
      </c>
      <c r="R1780">
        <v>0</v>
      </c>
      <c r="S1780">
        <v>0</v>
      </c>
      <c r="T1780" t="str">
        <f t="shared" si="54"/>
        <v>12922.43.4302.85.0-205128.2.3.3.08.06.</v>
      </c>
      <c r="U1780" t="e" cm="1">
        <f t="array" aca="1" ref="U1780" ca="1">+IF(COMPROMISOS_2025[[#This Row],[P]]="20","41080111",_xlfn.XLOOKUP(COMPROMISOS_2025[[#This Row],[concatenado]],PAA[[#All],[RCP-RUBRO]],PAA[[#All],[INDICADOR]],"",0))</f>
        <v>#NAME?</v>
      </c>
      <c r="V1780" s="144" t="str">
        <f t="shared" si="55"/>
        <v>85</v>
      </c>
      <c r="W1780" s="136">
        <f>+COMPROMISOS_2025[[#This Row],[valor_total]]-COMPROMISOS_2025[[#This Row],[total_cancelado]]</f>
        <v>1067625</v>
      </c>
      <c r="X1780" s="136">
        <f>COMPROMISOS_2025[[#This Row],[total_ordenes]]</f>
        <v>1067625</v>
      </c>
      <c r="Y1780" t="str" cm="1">
        <f t="array" aca="1" ref="Y1780" ca="1">IFERROR(_xlfn.XLOOKUP(COMPROMISOS_2025[[#This Row],[concatenado]],PAA[[#All],[RCP-RUBRO]],PAA[[#All],[Actividad3]],VLOOKUP(COMPROMISOS_2025[[#This Row],[Indicador Principal]],$AC$2:$AD$17,2,0),0),"")</f>
        <v/>
      </c>
    </row>
    <row r="1781" spans="1:25" hidden="1" x14ac:dyDescent="0.25">
      <c r="A1781">
        <v>1293</v>
      </c>
      <c r="B1781" t="s">
        <v>2491</v>
      </c>
      <c r="C1781" t="s">
        <v>1936</v>
      </c>
      <c r="D1781" t="s">
        <v>4182</v>
      </c>
      <c r="F1781">
        <v>406</v>
      </c>
      <c r="G1781">
        <v>65</v>
      </c>
      <c r="H1781" t="s">
        <v>662</v>
      </c>
      <c r="I1781" t="s">
        <v>2271</v>
      </c>
      <c r="J1781">
        <v>711750</v>
      </c>
      <c r="K1781">
        <v>2025</v>
      </c>
      <c r="L1781">
        <v>1000746926</v>
      </c>
      <c r="M1781" t="s">
        <v>4231</v>
      </c>
      <c r="N1781" t="s">
        <v>1688</v>
      </c>
      <c r="O1781" t="s">
        <v>1686</v>
      </c>
      <c r="P1781">
        <v>0</v>
      </c>
      <c r="Q1781">
        <v>711750</v>
      </c>
      <c r="R1781">
        <v>0</v>
      </c>
      <c r="S1781">
        <v>0</v>
      </c>
      <c r="T1781" t="str">
        <f t="shared" si="54"/>
        <v>12932.43.4302.85.0-205128.2.3.3.08.06.</v>
      </c>
      <c r="U1781" t="e" cm="1">
        <f t="array" aca="1" ref="U1781" ca="1">+IF(COMPROMISOS_2025[[#This Row],[P]]="20","41080111",_xlfn.XLOOKUP(COMPROMISOS_2025[[#This Row],[concatenado]],PAA[[#All],[RCP-RUBRO]],PAA[[#All],[INDICADOR]],"",0))</f>
        <v>#NAME?</v>
      </c>
      <c r="V1781" s="144" t="str">
        <f t="shared" si="55"/>
        <v>85</v>
      </c>
      <c r="W1781" s="136">
        <f>+COMPROMISOS_2025[[#This Row],[valor_total]]-COMPROMISOS_2025[[#This Row],[total_cancelado]]</f>
        <v>711750</v>
      </c>
      <c r="X1781" s="136">
        <f>COMPROMISOS_2025[[#This Row],[total_ordenes]]</f>
        <v>711750</v>
      </c>
      <c r="Y1781" t="str" cm="1">
        <f t="array" aca="1" ref="Y1781" ca="1">IFERROR(_xlfn.XLOOKUP(COMPROMISOS_2025[[#This Row],[concatenado]],PAA[[#All],[RCP-RUBRO]],PAA[[#All],[Actividad3]],VLOOKUP(COMPROMISOS_2025[[#This Row],[Indicador Principal]],$AC$2:$AD$17,2,0),0),"")</f>
        <v/>
      </c>
    </row>
    <row r="1782" spans="1:25" hidden="1" x14ac:dyDescent="0.25">
      <c r="A1782">
        <v>1294</v>
      </c>
      <c r="B1782" t="s">
        <v>2491</v>
      </c>
      <c r="C1782" t="s">
        <v>1936</v>
      </c>
      <c r="D1782" t="s">
        <v>4182</v>
      </c>
      <c r="F1782">
        <v>406</v>
      </c>
      <c r="G1782">
        <v>65</v>
      </c>
      <c r="H1782" t="s">
        <v>662</v>
      </c>
      <c r="I1782" t="s">
        <v>2271</v>
      </c>
      <c r="J1782">
        <v>711750</v>
      </c>
      <c r="K1782">
        <v>2025</v>
      </c>
      <c r="L1782">
        <v>1000759209</v>
      </c>
      <c r="M1782" t="s">
        <v>4232</v>
      </c>
      <c r="N1782" t="s">
        <v>1688</v>
      </c>
      <c r="O1782" t="s">
        <v>1686</v>
      </c>
      <c r="P1782">
        <v>0</v>
      </c>
      <c r="Q1782">
        <v>711750</v>
      </c>
      <c r="R1782">
        <v>0</v>
      </c>
      <c r="S1782">
        <v>0</v>
      </c>
      <c r="T1782" t="str">
        <f t="shared" si="54"/>
        <v>12942.43.4302.85.0-205128.2.3.3.08.06.</v>
      </c>
      <c r="U1782" t="e" cm="1">
        <f t="array" aca="1" ref="U1782" ca="1">+IF(COMPROMISOS_2025[[#This Row],[P]]="20","41080111",_xlfn.XLOOKUP(COMPROMISOS_2025[[#This Row],[concatenado]],PAA[[#All],[RCP-RUBRO]],PAA[[#All],[INDICADOR]],"",0))</f>
        <v>#NAME?</v>
      </c>
      <c r="V1782" s="144" t="str">
        <f t="shared" si="55"/>
        <v>85</v>
      </c>
      <c r="W1782" s="136">
        <f>+COMPROMISOS_2025[[#This Row],[valor_total]]-COMPROMISOS_2025[[#This Row],[total_cancelado]]</f>
        <v>711750</v>
      </c>
      <c r="X1782" s="136">
        <f>COMPROMISOS_2025[[#This Row],[total_ordenes]]</f>
        <v>711750</v>
      </c>
      <c r="Y1782" t="str" cm="1">
        <f t="array" aca="1" ref="Y1782" ca="1">IFERROR(_xlfn.XLOOKUP(COMPROMISOS_2025[[#This Row],[concatenado]],PAA[[#All],[RCP-RUBRO]],PAA[[#All],[Actividad3]],VLOOKUP(COMPROMISOS_2025[[#This Row],[Indicador Principal]],$AC$2:$AD$17,2,0),0),"")</f>
        <v/>
      </c>
    </row>
    <row r="1783" spans="1:25" hidden="1" x14ac:dyDescent="0.25">
      <c r="A1783">
        <v>1295</v>
      </c>
      <c r="B1783" t="s">
        <v>2491</v>
      </c>
      <c r="C1783" t="s">
        <v>1936</v>
      </c>
      <c r="D1783" t="s">
        <v>4182</v>
      </c>
      <c r="F1783">
        <v>406</v>
      </c>
      <c r="G1783">
        <v>65</v>
      </c>
      <c r="H1783" t="s">
        <v>662</v>
      </c>
      <c r="I1783" t="s">
        <v>2271</v>
      </c>
      <c r="J1783">
        <v>711750</v>
      </c>
      <c r="K1783">
        <v>2025</v>
      </c>
      <c r="L1783">
        <v>1000759833</v>
      </c>
      <c r="M1783" t="s">
        <v>3592</v>
      </c>
      <c r="N1783" t="s">
        <v>1688</v>
      </c>
      <c r="O1783" t="s">
        <v>1686</v>
      </c>
      <c r="P1783">
        <v>0</v>
      </c>
      <c r="Q1783">
        <v>711750</v>
      </c>
      <c r="R1783">
        <v>0</v>
      </c>
      <c r="S1783">
        <v>0</v>
      </c>
      <c r="T1783" t="str">
        <f t="shared" si="54"/>
        <v>12952.43.4302.85.0-205128.2.3.3.08.06.</v>
      </c>
      <c r="U1783" t="e" cm="1">
        <f t="array" aca="1" ref="U1783" ca="1">+IF(COMPROMISOS_2025[[#This Row],[P]]="20","41080111",_xlfn.XLOOKUP(COMPROMISOS_2025[[#This Row],[concatenado]],PAA[[#All],[RCP-RUBRO]],PAA[[#All],[INDICADOR]],"",0))</f>
        <v>#NAME?</v>
      </c>
      <c r="V1783" s="144" t="str">
        <f t="shared" si="55"/>
        <v>85</v>
      </c>
      <c r="W1783" s="136">
        <f>+COMPROMISOS_2025[[#This Row],[valor_total]]-COMPROMISOS_2025[[#This Row],[total_cancelado]]</f>
        <v>711750</v>
      </c>
      <c r="X1783" s="136">
        <f>COMPROMISOS_2025[[#This Row],[total_ordenes]]</f>
        <v>711750</v>
      </c>
      <c r="Y1783" t="str" cm="1">
        <f t="array" aca="1" ref="Y1783" ca="1">IFERROR(_xlfn.XLOOKUP(COMPROMISOS_2025[[#This Row],[concatenado]],PAA[[#All],[RCP-RUBRO]],PAA[[#All],[Actividad3]],VLOOKUP(COMPROMISOS_2025[[#This Row],[Indicador Principal]],$AC$2:$AD$17,2,0),0),"")</f>
        <v/>
      </c>
    </row>
    <row r="1784" spans="1:25" hidden="1" x14ac:dyDescent="0.25">
      <c r="A1784">
        <v>1296</v>
      </c>
      <c r="B1784" t="s">
        <v>2491</v>
      </c>
      <c r="C1784" t="s">
        <v>1936</v>
      </c>
      <c r="D1784" t="s">
        <v>4182</v>
      </c>
      <c r="F1784">
        <v>406</v>
      </c>
      <c r="G1784">
        <v>65</v>
      </c>
      <c r="H1784" t="s">
        <v>662</v>
      </c>
      <c r="I1784" t="s">
        <v>2271</v>
      </c>
      <c r="J1784">
        <v>1067625</v>
      </c>
      <c r="K1784">
        <v>2025</v>
      </c>
      <c r="L1784">
        <v>1000761320</v>
      </c>
      <c r="M1784" t="s">
        <v>4233</v>
      </c>
      <c r="N1784" t="s">
        <v>1688</v>
      </c>
      <c r="O1784" t="s">
        <v>1686</v>
      </c>
      <c r="P1784">
        <v>0</v>
      </c>
      <c r="Q1784">
        <v>1067625</v>
      </c>
      <c r="R1784">
        <v>0</v>
      </c>
      <c r="S1784">
        <v>0</v>
      </c>
      <c r="T1784" t="str">
        <f t="shared" si="54"/>
        <v>12962.43.4302.85.0-205128.2.3.3.08.06.</v>
      </c>
      <c r="U1784" t="e" cm="1">
        <f t="array" aca="1" ref="U1784" ca="1">+IF(COMPROMISOS_2025[[#This Row],[P]]="20","41080111",_xlfn.XLOOKUP(COMPROMISOS_2025[[#This Row],[concatenado]],PAA[[#All],[RCP-RUBRO]],PAA[[#All],[INDICADOR]],"",0))</f>
        <v>#NAME?</v>
      </c>
      <c r="V1784" s="144" t="str">
        <f t="shared" si="55"/>
        <v>85</v>
      </c>
      <c r="W1784" s="136">
        <f>+COMPROMISOS_2025[[#This Row],[valor_total]]-COMPROMISOS_2025[[#This Row],[total_cancelado]]</f>
        <v>1067625</v>
      </c>
      <c r="X1784" s="136">
        <f>COMPROMISOS_2025[[#This Row],[total_ordenes]]</f>
        <v>1067625</v>
      </c>
      <c r="Y1784" t="str" cm="1">
        <f t="array" aca="1" ref="Y1784" ca="1">IFERROR(_xlfn.XLOOKUP(COMPROMISOS_2025[[#This Row],[concatenado]],PAA[[#All],[RCP-RUBRO]],PAA[[#All],[Actividad3]],VLOOKUP(COMPROMISOS_2025[[#This Row],[Indicador Principal]],$AC$2:$AD$17,2,0),0),"")</f>
        <v/>
      </c>
    </row>
    <row r="1785" spans="1:25" hidden="1" x14ac:dyDescent="0.25">
      <c r="A1785">
        <v>1297</v>
      </c>
      <c r="B1785" t="s">
        <v>2491</v>
      </c>
      <c r="C1785" t="s">
        <v>1936</v>
      </c>
      <c r="D1785" t="s">
        <v>4182</v>
      </c>
      <c r="F1785">
        <v>406</v>
      </c>
      <c r="G1785">
        <v>65</v>
      </c>
      <c r="H1785" t="s">
        <v>662</v>
      </c>
      <c r="I1785" t="s">
        <v>2271</v>
      </c>
      <c r="J1785">
        <v>1067625</v>
      </c>
      <c r="K1785">
        <v>2025</v>
      </c>
      <c r="L1785">
        <v>1000764516</v>
      </c>
      <c r="M1785" t="s">
        <v>4234</v>
      </c>
      <c r="N1785" t="s">
        <v>1688</v>
      </c>
      <c r="O1785" t="s">
        <v>1686</v>
      </c>
      <c r="P1785">
        <v>0</v>
      </c>
      <c r="Q1785">
        <v>1067625</v>
      </c>
      <c r="R1785">
        <v>0</v>
      </c>
      <c r="S1785">
        <v>0</v>
      </c>
      <c r="T1785" t="str">
        <f t="shared" si="54"/>
        <v>12972.43.4302.85.0-205128.2.3.3.08.06.</v>
      </c>
      <c r="U1785" t="e" cm="1">
        <f t="array" aca="1" ref="U1785" ca="1">+IF(COMPROMISOS_2025[[#This Row],[P]]="20","41080111",_xlfn.XLOOKUP(COMPROMISOS_2025[[#This Row],[concatenado]],PAA[[#All],[RCP-RUBRO]],PAA[[#All],[INDICADOR]],"",0))</f>
        <v>#NAME?</v>
      </c>
      <c r="V1785" s="144" t="str">
        <f t="shared" si="55"/>
        <v>85</v>
      </c>
      <c r="W1785" s="136">
        <f>+COMPROMISOS_2025[[#This Row],[valor_total]]-COMPROMISOS_2025[[#This Row],[total_cancelado]]</f>
        <v>1067625</v>
      </c>
      <c r="X1785" s="136">
        <f>COMPROMISOS_2025[[#This Row],[total_ordenes]]</f>
        <v>1067625</v>
      </c>
      <c r="Y1785" t="str" cm="1">
        <f t="array" aca="1" ref="Y1785" ca="1">IFERROR(_xlfn.XLOOKUP(COMPROMISOS_2025[[#This Row],[concatenado]],PAA[[#All],[RCP-RUBRO]],PAA[[#All],[Actividad3]],VLOOKUP(COMPROMISOS_2025[[#This Row],[Indicador Principal]],$AC$2:$AD$17,2,0),0),"")</f>
        <v/>
      </c>
    </row>
    <row r="1786" spans="1:25" hidden="1" x14ac:dyDescent="0.25">
      <c r="A1786">
        <v>1298</v>
      </c>
      <c r="B1786" t="s">
        <v>2491</v>
      </c>
      <c r="C1786" t="s">
        <v>1936</v>
      </c>
      <c r="D1786" t="s">
        <v>4182</v>
      </c>
      <c r="F1786">
        <v>406</v>
      </c>
      <c r="G1786">
        <v>65</v>
      </c>
      <c r="H1786" t="s">
        <v>662</v>
      </c>
      <c r="I1786" t="s">
        <v>2271</v>
      </c>
      <c r="J1786">
        <v>2847000</v>
      </c>
      <c r="K1786">
        <v>2025</v>
      </c>
      <c r="L1786">
        <v>1000869439</v>
      </c>
      <c r="M1786" t="s">
        <v>4235</v>
      </c>
      <c r="N1786" t="s">
        <v>1688</v>
      </c>
      <c r="O1786" t="s">
        <v>1686</v>
      </c>
      <c r="P1786">
        <v>0</v>
      </c>
      <c r="Q1786">
        <v>2847000</v>
      </c>
      <c r="R1786">
        <v>0</v>
      </c>
      <c r="S1786">
        <v>0</v>
      </c>
      <c r="T1786" t="str">
        <f t="shared" si="54"/>
        <v>12982.43.4302.85.0-205128.2.3.3.08.06.</v>
      </c>
      <c r="U1786" t="e" cm="1">
        <f t="array" aca="1" ref="U1786" ca="1">+IF(COMPROMISOS_2025[[#This Row],[P]]="20","41080111",_xlfn.XLOOKUP(COMPROMISOS_2025[[#This Row],[concatenado]],PAA[[#All],[RCP-RUBRO]],PAA[[#All],[INDICADOR]],"",0))</f>
        <v>#NAME?</v>
      </c>
      <c r="V1786" s="144" t="str">
        <f t="shared" si="55"/>
        <v>85</v>
      </c>
      <c r="W1786" s="136">
        <f>+COMPROMISOS_2025[[#This Row],[valor_total]]-COMPROMISOS_2025[[#This Row],[total_cancelado]]</f>
        <v>2847000</v>
      </c>
      <c r="X1786" s="136">
        <f>COMPROMISOS_2025[[#This Row],[total_ordenes]]</f>
        <v>2847000</v>
      </c>
      <c r="Y1786" t="str" cm="1">
        <f t="array" aca="1" ref="Y1786" ca="1">IFERROR(_xlfn.XLOOKUP(COMPROMISOS_2025[[#This Row],[concatenado]],PAA[[#All],[RCP-RUBRO]],PAA[[#All],[Actividad3]],VLOOKUP(COMPROMISOS_2025[[#This Row],[Indicador Principal]],$AC$2:$AD$17,2,0),0),"")</f>
        <v/>
      </c>
    </row>
    <row r="1787" spans="1:25" hidden="1" x14ac:dyDescent="0.25">
      <c r="A1787">
        <v>1299</v>
      </c>
      <c r="B1787" t="s">
        <v>2491</v>
      </c>
      <c r="C1787" t="s">
        <v>1936</v>
      </c>
      <c r="D1787" t="s">
        <v>4182</v>
      </c>
      <c r="F1787">
        <v>406</v>
      </c>
      <c r="G1787">
        <v>65</v>
      </c>
      <c r="H1787" t="s">
        <v>662</v>
      </c>
      <c r="I1787" t="s">
        <v>2271</v>
      </c>
      <c r="J1787">
        <v>1067625</v>
      </c>
      <c r="K1787">
        <v>2025</v>
      </c>
      <c r="L1787">
        <v>1000870734</v>
      </c>
      <c r="M1787" t="s">
        <v>3594</v>
      </c>
      <c r="N1787" t="s">
        <v>1688</v>
      </c>
      <c r="O1787" t="s">
        <v>1686</v>
      </c>
      <c r="P1787">
        <v>0</v>
      </c>
      <c r="Q1787">
        <v>1067625</v>
      </c>
      <c r="R1787">
        <v>0</v>
      </c>
      <c r="S1787">
        <v>0</v>
      </c>
      <c r="T1787" t="str">
        <f t="shared" si="54"/>
        <v>12992.43.4302.85.0-205128.2.3.3.08.06.</v>
      </c>
      <c r="U1787" t="e" cm="1">
        <f t="array" aca="1" ref="U1787" ca="1">+IF(COMPROMISOS_2025[[#This Row],[P]]="20","41080111",_xlfn.XLOOKUP(COMPROMISOS_2025[[#This Row],[concatenado]],PAA[[#All],[RCP-RUBRO]],PAA[[#All],[INDICADOR]],"",0))</f>
        <v>#NAME?</v>
      </c>
      <c r="V1787" s="144" t="str">
        <f t="shared" si="55"/>
        <v>85</v>
      </c>
      <c r="W1787" s="136">
        <f>+COMPROMISOS_2025[[#This Row],[valor_total]]-COMPROMISOS_2025[[#This Row],[total_cancelado]]</f>
        <v>1067625</v>
      </c>
      <c r="X1787" s="136">
        <f>COMPROMISOS_2025[[#This Row],[total_ordenes]]</f>
        <v>1067625</v>
      </c>
      <c r="Y1787" t="str" cm="1">
        <f t="array" aca="1" ref="Y1787" ca="1">IFERROR(_xlfn.XLOOKUP(COMPROMISOS_2025[[#This Row],[concatenado]],PAA[[#All],[RCP-RUBRO]],PAA[[#All],[Actividad3]],VLOOKUP(COMPROMISOS_2025[[#This Row],[Indicador Principal]],$AC$2:$AD$17,2,0),0),"")</f>
        <v/>
      </c>
    </row>
    <row r="1788" spans="1:25" hidden="1" x14ac:dyDescent="0.25">
      <c r="A1788">
        <v>1300</v>
      </c>
      <c r="B1788" t="s">
        <v>2491</v>
      </c>
      <c r="C1788" t="s">
        <v>1936</v>
      </c>
      <c r="D1788" t="s">
        <v>4182</v>
      </c>
      <c r="F1788">
        <v>406</v>
      </c>
      <c r="G1788">
        <v>65</v>
      </c>
      <c r="H1788" t="s">
        <v>662</v>
      </c>
      <c r="I1788" t="s">
        <v>2271</v>
      </c>
      <c r="J1788">
        <v>1067625</v>
      </c>
      <c r="K1788">
        <v>2025</v>
      </c>
      <c r="L1788">
        <v>1000873150</v>
      </c>
      <c r="M1788" t="s">
        <v>4236</v>
      </c>
      <c r="N1788" t="s">
        <v>1688</v>
      </c>
      <c r="O1788" t="s">
        <v>1686</v>
      </c>
      <c r="P1788">
        <v>0</v>
      </c>
      <c r="Q1788">
        <v>1067625</v>
      </c>
      <c r="R1788">
        <v>0</v>
      </c>
      <c r="S1788">
        <v>0</v>
      </c>
      <c r="T1788" t="str">
        <f t="shared" si="54"/>
        <v>13002.43.4302.85.0-205128.2.3.3.08.06.</v>
      </c>
      <c r="U1788" t="e" cm="1">
        <f t="array" aca="1" ref="U1788" ca="1">+IF(COMPROMISOS_2025[[#This Row],[P]]="20","41080111",_xlfn.XLOOKUP(COMPROMISOS_2025[[#This Row],[concatenado]],PAA[[#All],[RCP-RUBRO]],PAA[[#All],[INDICADOR]],"",0))</f>
        <v>#NAME?</v>
      </c>
      <c r="V1788" s="144" t="str">
        <f t="shared" si="55"/>
        <v>85</v>
      </c>
      <c r="W1788" s="136">
        <f>+COMPROMISOS_2025[[#This Row],[valor_total]]-COMPROMISOS_2025[[#This Row],[total_cancelado]]</f>
        <v>1067625</v>
      </c>
      <c r="X1788" s="136">
        <f>COMPROMISOS_2025[[#This Row],[total_ordenes]]</f>
        <v>1067625</v>
      </c>
      <c r="Y1788" t="str" cm="1">
        <f t="array" aca="1" ref="Y1788" ca="1">IFERROR(_xlfn.XLOOKUP(COMPROMISOS_2025[[#This Row],[concatenado]],PAA[[#All],[RCP-RUBRO]],PAA[[#All],[Actividad3]],VLOOKUP(COMPROMISOS_2025[[#This Row],[Indicador Principal]],$AC$2:$AD$17,2,0),0),"")</f>
        <v/>
      </c>
    </row>
    <row r="1789" spans="1:25" hidden="1" x14ac:dyDescent="0.25">
      <c r="A1789">
        <v>1301</v>
      </c>
      <c r="B1789" t="s">
        <v>2491</v>
      </c>
      <c r="C1789" t="s">
        <v>1936</v>
      </c>
      <c r="D1789" t="s">
        <v>4182</v>
      </c>
      <c r="F1789">
        <v>406</v>
      </c>
      <c r="G1789">
        <v>65</v>
      </c>
      <c r="H1789" t="s">
        <v>662</v>
      </c>
      <c r="I1789" t="s">
        <v>2271</v>
      </c>
      <c r="J1789">
        <v>1067625</v>
      </c>
      <c r="K1789">
        <v>2025</v>
      </c>
      <c r="L1789">
        <v>1000884322</v>
      </c>
      <c r="M1789" t="s">
        <v>3945</v>
      </c>
      <c r="N1789" t="s">
        <v>1688</v>
      </c>
      <c r="O1789" t="s">
        <v>1686</v>
      </c>
      <c r="P1789">
        <v>0</v>
      </c>
      <c r="Q1789">
        <v>1067625</v>
      </c>
      <c r="R1789">
        <v>0</v>
      </c>
      <c r="S1789">
        <v>0</v>
      </c>
      <c r="T1789" t="str">
        <f t="shared" si="54"/>
        <v>13012.43.4302.85.0-205128.2.3.3.08.06.</v>
      </c>
      <c r="U1789" t="e" cm="1">
        <f t="array" aca="1" ref="U1789" ca="1">+IF(COMPROMISOS_2025[[#This Row],[P]]="20","41080111",_xlfn.XLOOKUP(COMPROMISOS_2025[[#This Row],[concatenado]],PAA[[#All],[RCP-RUBRO]],PAA[[#All],[INDICADOR]],"",0))</f>
        <v>#NAME?</v>
      </c>
      <c r="V1789" s="144" t="str">
        <f t="shared" si="55"/>
        <v>85</v>
      </c>
      <c r="W1789" s="136">
        <f>+COMPROMISOS_2025[[#This Row],[valor_total]]-COMPROMISOS_2025[[#This Row],[total_cancelado]]</f>
        <v>1067625</v>
      </c>
      <c r="X1789" s="136">
        <f>COMPROMISOS_2025[[#This Row],[total_ordenes]]</f>
        <v>1067625</v>
      </c>
      <c r="Y1789" t="str" cm="1">
        <f t="array" aca="1" ref="Y1789" ca="1">IFERROR(_xlfn.XLOOKUP(COMPROMISOS_2025[[#This Row],[concatenado]],PAA[[#All],[RCP-RUBRO]],PAA[[#All],[Actividad3]],VLOOKUP(COMPROMISOS_2025[[#This Row],[Indicador Principal]],$AC$2:$AD$17,2,0),0),"")</f>
        <v/>
      </c>
    </row>
    <row r="1790" spans="1:25" hidden="1" x14ac:dyDescent="0.25">
      <c r="A1790">
        <v>1302</v>
      </c>
      <c r="B1790" t="s">
        <v>2491</v>
      </c>
      <c r="C1790" t="s">
        <v>1936</v>
      </c>
      <c r="D1790" t="s">
        <v>4182</v>
      </c>
      <c r="F1790">
        <v>406</v>
      </c>
      <c r="G1790">
        <v>65</v>
      </c>
      <c r="H1790" t="s">
        <v>662</v>
      </c>
      <c r="I1790" t="s">
        <v>2271</v>
      </c>
      <c r="J1790">
        <v>711750</v>
      </c>
      <c r="K1790">
        <v>2025</v>
      </c>
      <c r="L1790">
        <v>1000888639</v>
      </c>
      <c r="M1790" t="s">
        <v>3946</v>
      </c>
      <c r="N1790" t="s">
        <v>1688</v>
      </c>
      <c r="O1790" t="s">
        <v>1686</v>
      </c>
      <c r="P1790">
        <v>0</v>
      </c>
      <c r="Q1790">
        <v>711750</v>
      </c>
      <c r="R1790">
        <v>0</v>
      </c>
      <c r="S1790">
        <v>0</v>
      </c>
      <c r="T1790" t="str">
        <f t="shared" si="54"/>
        <v>13022.43.4302.85.0-205128.2.3.3.08.06.</v>
      </c>
      <c r="U1790" t="e" cm="1">
        <f t="array" aca="1" ref="U1790" ca="1">+IF(COMPROMISOS_2025[[#This Row],[P]]="20","41080111",_xlfn.XLOOKUP(COMPROMISOS_2025[[#This Row],[concatenado]],PAA[[#All],[RCP-RUBRO]],PAA[[#All],[INDICADOR]],"",0))</f>
        <v>#NAME?</v>
      </c>
      <c r="V1790" s="144" t="str">
        <f t="shared" si="55"/>
        <v>85</v>
      </c>
      <c r="W1790" s="136">
        <f>+COMPROMISOS_2025[[#This Row],[valor_total]]-COMPROMISOS_2025[[#This Row],[total_cancelado]]</f>
        <v>711750</v>
      </c>
      <c r="X1790" s="136">
        <f>COMPROMISOS_2025[[#This Row],[total_ordenes]]</f>
        <v>711750</v>
      </c>
      <c r="Y1790" t="str" cm="1">
        <f t="array" aca="1" ref="Y1790" ca="1">IFERROR(_xlfn.XLOOKUP(COMPROMISOS_2025[[#This Row],[concatenado]],PAA[[#All],[RCP-RUBRO]],PAA[[#All],[Actividad3]],VLOOKUP(COMPROMISOS_2025[[#This Row],[Indicador Principal]],$AC$2:$AD$17,2,0),0),"")</f>
        <v/>
      </c>
    </row>
    <row r="1791" spans="1:25" hidden="1" x14ac:dyDescent="0.25">
      <c r="A1791">
        <v>1303</v>
      </c>
      <c r="B1791" t="s">
        <v>2491</v>
      </c>
      <c r="C1791" t="s">
        <v>1936</v>
      </c>
      <c r="D1791" t="s">
        <v>4182</v>
      </c>
      <c r="F1791">
        <v>406</v>
      </c>
      <c r="G1791">
        <v>65</v>
      </c>
      <c r="H1791" t="s">
        <v>662</v>
      </c>
      <c r="I1791" t="s">
        <v>2271</v>
      </c>
      <c r="J1791">
        <v>711750</v>
      </c>
      <c r="K1791">
        <v>2025</v>
      </c>
      <c r="L1791">
        <v>1000888866</v>
      </c>
      <c r="M1791" t="s">
        <v>4237</v>
      </c>
      <c r="N1791" t="s">
        <v>1688</v>
      </c>
      <c r="O1791" t="s">
        <v>1686</v>
      </c>
      <c r="P1791">
        <v>0</v>
      </c>
      <c r="Q1791">
        <v>711750</v>
      </c>
      <c r="R1791">
        <v>0</v>
      </c>
      <c r="S1791">
        <v>0</v>
      </c>
      <c r="T1791" t="str">
        <f t="shared" si="54"/>
        <v>13032.43.4302.85.0-205128.2.3.3.08.06.</v>
      </c>
      <c r="U1791" t="e" cm="1">
        <f t="array" aca="1" ref="U1791" ca="1">+IF(COMPROMISOS_2025[[#This Row],[P]]="20","41080111",_xlfn.XLOOKUP(COMPROMISOS_2025[[#This Row],[concatenado]],PAA[[#All],[RCP-RUBRO]],PAA[[#All],[INDICADOR]],"",0))</f>
        <v>#NAME?</v>
      </c>
      <c r="V1791" s="144" t="str">
        <f t="shared" si="55"/>
        <v>85</v>
      </c>
      <c r="W1791" s="136">
        <f>+COMPROMISOS_2025[[#This Row],[valor_total]]-COMPROMISOS_2025[[#This Row],[total_cancelado]]</f>
        <v>711750</v>
      </c>
      <c r="X1791" s="136">
        <f>COMPROMISOS_2025[[#This Row],[total_ordenes]]</f>
        <v>711750</v>
      </c>
      <c r="Y1791" t="str" cm="1">
        <f t="array" aca="1" ref="Y1791" ca="1">IFERROR(_xlfn.XLOOKUP(COMPROMISOS_2025[[#This Row],[concatenado]],PAA[[#All],[RCP-RUBRO]],PAA[[#All],[Actividad3]],VLOOKUP(COMPROMISOS_2025[[#This Row],[Indicador Principal]],$AC$2:$AD$17,2,0),0),"")</f>
        <v/>
      </c>
    </row>
    <row r="1792" spans="1:25" hidden="1" x14ac:dyDescent="0.25">
      <c r="A1792">
        <v>1304</v>
      </c>
      <c r="B1792" t="s">
        <v>2491</v>
      </c>
      <c r="C1792" t="s">
        <v>1936</v>
      </c>
      <c r="D1792" t="s">
        <v>4182</v>
      </c>
      <c r="F1792">
        <v>406</v>
      </c>
      <c r="G1792">
        <v>65</v>
      </c>
      <c r="H1792" t="s">
        <v>662</v>
      </c>
      <c r="I1792" t="s">
        <v>2271</v>
      </c>
      <c r="J1792">
        <v>1067625</v>
      </c>
      <c r="K1792">
        <v>2025</v>
      </c>
      <c r="L1792">
        <v>1000894273</v>
      </c>
      <c r="M1792" t="s">
        <v>3947</v>
      </c>
      <c r="N1792" t="s">
        <v>1688</v>
      </c>
      <c r="O1792" t="s">
        <v>1686</v>
      </c>
      <c r="P1792">
        <v>0</v>
      </c>
      <c r="Q1792">
        <v>1067625</v>
      </c>
      <c r="R1792">
        <v>0</v>
      </c>
      <c r="S1792">
        <v>0</v>
      </c>
      <c r="T1792" t="str">
        <f t="shared" si="54"/>
        <v>13042.43.4302.85.0-205128.2.3.3.08.06.</v>
      </c>
      <c r="U1792" t="e" cm="1">
        <f t="array" aca="1" ref="U1792" ca="1">+IF(COMPROMISOS_2025[[#This Row],[P]]="20","41080111",_xlfn.XLOOKUP(COMPROMISOS_2025[[#This Row],[concatenado]],PAA[[#All],[RCP-RUBRO]],PAA[[#All],[INDICADOR]],"",0))</f>
        <v>#NAME?</v>
      </c>
      <c r="V1792" s="144" t="str">
        <f t="shared" si="55"/>
        <v>85</v>
      </c>
      <c r="W1792" s="136">
        <f>+COMPROMISOS_2025[[#This Row],[valor_total]]-COMPROMISOS_2025[[#This Row],[total_cancelado]]</f>
        <v>1067625</v>
      </c>
      <c r="X1792" s="136">
        <f>COMPROMISOS_2025[[#This Row],[total_ordenes]]</f>
        <v>1067625</v>
      </c>
      <c r="Y1792" t="str" cm="1">
        <f t="array" aca="1" ref="Y1792" ca="1">IFERROR(_xlfn.XLOOKUP(COMPROMISOS_2025[[#This Row],[concatenado]],PAA[[#All],[RCP-RUBRO]],PAA[[#All],[Actividad3]],VLOOKUP(COMPROMISOS_2025[[#This Row],[Indicador Principal]],$AC$2:$AD$17,2,0),0),"")</f>
        <v/>
      </c>
    </row>
    <row r="1793" spans="1:25" hidden="1" x14ac:dyDescent="0.25">
      <c r="A1793">
        <v>1305</v>
      </c>
      <c r="B1793" t="s">
        <v>2491</v>
      </c>
      <c r="C1793" t="s">
        <v>1936</v>
      </c>
      <c r="D1793" t="s">
        <v>4182</v>
      </c>
      <c r="F1793">
        <v>406</v>
      </c>
      <c r="G1793">
        <v>65</v>
      </c>
      <c r="H1793" t="s">
        <v>662</v>
      </c>
      <c r="I1793" t="s">
        <v>2271</v>
      </c>
      <c r="J1793">
        <v>711750</v>
      </c>
      <c r="K1793">
        <v>2025</v>
      </c>
      <c r="L1793">
        <v>1000894492</v>
      </c>
      <c r="M1793" t="s">
        <v>3595</v>
      </c>
      <c r="N1793" t="s">
        <v>1688</v>
      </c>
      <c r="O1793" t="s">
        <v>1686</v>
      </c>
      <c r="P1793">
        <v>0</v>
      </c>
      <c r="Q1793">
        <v>711750</v>
      </c>
      <c r="R1793">
        <v>0</v>
      </c>
      <c r="S1793">
        <v>0</v>
      </c>
      <c r="T1793" t="str">
        <f t="shared" si="54"/>
        <v>13052.43.4302.85.0-205128.2.3.3.08.06.</v>
      </c>
      <c r="U1793" t="e" cm="1">
        <f t="array" aca="1" ref="U1793" ca="1">+IF(COMPROMISOS_2025[[#This Row],[P]]="20","41080111",_xlfn.XLOOKUP(COMPROMISOS_2025[[#This Row],[concatenado]],PAA[[#All],[RCP-RUBRO]],PAA[[#All],[INDICADOR]],"",0))</f>
        <v>#NAME?</v>
      </c>
      <c r="V1793" s="144" t="str">
        <f t="shared" si="55"/>
        <v>85</v>
      </c>
      <c r="W1793" s="136">
        <f>+COMPROMISOS_2025[[#This Row],[valor_total]]-COMPROMISOS_2025[[#This Row],[total_cancelado]]</f>
        <v>711750</v>
      </c>
      <c r="X1793" s="136">
        <f>COMPROMISOS_2025[[#This Row],[total_ordenes]]</f>
        <v>711750</v>
      </c>
      <c r="Y1793" t="str" cm="1">
        <f t="array" aca="1" ref="Y1793" ca="1">IFERROR(_xlfn.XLOOKUP(COMPROMISOS_2025[[#This Row],[concatenado]],PAA[[#All],[RCP-RUBRO]],PAA[[#All],[Actividad3]],VLOOKUP(COMPROMISOS_2025[[#This Row],[Indicador Principal]],$AC$2:$AD$17,2,0),0),"")</f>
        <v/>
      </c>
    </row>
    <row r="1794" spans="1:25" hidden="1" x14ac:dyDescent="0.25">
      <c r="A1794">
        <v>1306</v>
      </c>
      <c r="B1794" t="s">
        <v>2491</v>
      </c>
      <c r="C1794" t="s">
        <v>1936</v>
      </c>
      <c r="D1794" t="s">
        <v>4182</v>
      </c>
      <c r="F1794">
        <v>406</v>
      </c>
      <c r="G1794">
        <v>65</v>
      </c>
      <c r="H1794" t="s">
        <v>662</v>
      </c>
      <c r="I1794" t="s">
        <v>2271</v>
      </c>
      <c r="J1794">
        <v>1067625</v>
      </c>
      <c r="K1794">
        <v>2025</v>
      </c>
      <c r="L1794">
        <v>1000896704</v>
      </c>
      <c r="M1794" t="s">
        <v>3948</v>
      </c>
      <c r="N1794" t="s">
        <v>1688</v>
      </c>
      <c r="O1794" t="s">
        <v>1686</v>
      </c>
      <c r="P1794">
        <v>0</v>
      </c>
      <c r="Q1794">
        <v>1067625</v>
      </c>
      <c r="R1794">
        <v>0</v>
      </c>
      <c r="S1794">
        <v>0</v>
      </c>
      <c r="T1794" t="str">
        <f t="shared" ref="T1794:T1857" si="56">IF(A1794&gt;=0,CONCATENATE(A1794,H1794),"")</f>
        <v>13062.43.4302.85.0-205128.2.3.3.08.06.</v>
      </c>
      <c r="U1794" t="e" cm="1">
        <f t="array" aca="1" ref="U1794" ca="1">+IF(COMPROMISOS_2025[[#This Row],[P]]="20","41080111",_xlfn.XLOOKUP(COMPROMISOS_2025[[#This Row],[concatenado]],PAA[[#All],[RCP-RUBRO]],PAA[[#All],[INDICADOR]],"",0))</f>
        <v>#NAME?</v>
      </c>
      <c r="V1794" s="144" t="str">
        <f t="shared" ref="V1794:V1857" si="57">+MID(H1794,11,2)</f>
        <v>85</v>
      </c>
      <c r="W1794" s="136">
        <f>+COMPROMISOS_2025[[#This Row],[valor_total]]-COMPROMISOS_2025[[#This Row],[total_cancelado]]</f>
        <v>1067625</v>
      </c>
      <c r="X1794" s="136">
        <f>COMPROMISOS_2025[[#This Row],[total_ordenes]]</f>
        <v>1067625</v>
      </c>
      <c r="Y1794" t="str" cm="1">
        <f t="array" aca="1" ref="Y1794" ca="1">IFERROR(_xlfn.XLOOKUP(COMPROMISOS_2025[[#This Row],[concatenado]],PAA[[#All],[RCP-RUBRO]],PAA[[#All],[Actividad3]],VLOOKUP(COMPROMISOS_2025[[#This Row],[Indicador Principal]],$AC$2:$AD$17,2,0),0),"")</f>
        <v/>
      </c>
    </row>
    <row r="1795" spans="1:25" hidden="1" x14ac:dyDescent="0.25">
      <c r="A1795">
        <v>1307</v>
      </c>
      <c r="B1795" t="s">
        <v>2491</v>
      </c>
      <c r="C1795" t="s">
        <v>1936</v>
      </c>
      <c r="D1795" t="s">
        <v>4182</v>
      </c>
      <c r="F1795">
        <v>406</v>
      </c>
      <c r="G1795">
        <v>65</v>
      </c>
      <c r="H1795" t="s">
        <v>662</v>
      </c>
      <c r="I1795" t="s">
        <v>2271</v>
      </c>
      <c r="J1795">
        <v>711750</v>
      </c>
      <c r="K1795">
        <v>2025</v>
      </c>
      <c r="L1795">
        <v>1000896858</v>
      </c>
      <c r="M1795" t="s">
        <v>3596</v>
      </c>
      <c r="N1795" t="s">
        <v>1688</v>
      </c>
      <c r="O1795" t="s">
        <v>1686</v>
      </c>
      <c r="P1795">
        <v>0</v>
      </c>
      <c r="Q1795">
        <v>711750</v>
      </c>
      <c r="R1795">
        <v>0</v>
      </c>
      <c r="S1795">
        <v>0</v>
      </c>
      <c r="T1795" t="str">
        <f t="shared" si="56"/>
        <v>13072.43.4302.85.0-205128.2.3.3.08.06.</v>
      </c>
      <c r="U1795" t="e" cm="1">
        <f t="array" aca="1" ref="U1795" ca="1">+IF(COMPROMISOS_2025[[#This Row],[P]]="20","41080111",_xlfn.XLOOKUP(COMPROMISOS_2025[[#This Row],[concatenado]],PAA[[#All],[RCP-RUBRO]],PAA[[#All],[INDICADOR]],"",0))</f>
        <v>#NAME?</v>
      </c>
      <c r="V1795" s="144" t="str">
        <f t="shared" si="57"/>
        <v>85</v>
      </c>
      <c r="W1795" s="136">
        <f>+COMPROMISOS_2025[[#This Row],[valor_total]]-COMPROMISOS_2025[[#This Row],[total_cancelado]]</f>
        <v>711750</v>
      </c>
      <c r="X1795" s="136">
        <f>COMPROMISOS_2025[[#This Row],[total_ordenes]]</f>
        <v>711750</v>
      </c>
      <c r="Y1795" t="str" cm="1">
        <f t="array" aca="1" ref="Y1795" ca="1">IFERROR(_xlfn.XLOOKUP(COMPROMISOS_2025[[#This Row],[concatenado]],PAA[[#All],[RCP-RUBRO]],PAA[[#All],[Actividad3]],VLOOKUP(COMPROMISOS_2025[[#This Row],[Indicador Principal]],$AC$2:$AD$17,2,0),0),"")</f>
        <v/>
      </c>
    </row>
    <row r="1796" spans="1:25" hidden="1" x14ac:dyDescent="0.25">
      <c r="A1796">
        <v>1308</v>
      </c>
      <c r="B1796" t="s">
        <v>2491</v>
      </c>
      <c r="C1796" t="s">
        <v>1936</v>
      </c>
      <c r="D1796" t="s">
        <v>4182</v>
      </c>
      <c r="F1796">
        <v>406</v>
      </c>
      <c r="G1796">
        <v>65</v>
      </c>
      <c r="H1796" t="s">
        <v>662</v>
      </c>
      <c r="I1796" t="s">
        <v>2271</v>
      </c>
      <c r="J1796">
        <v>1067625</v>
      </c>
      <c r="K1796">
        <v>2025</v>
      </c>
      <c r="L1796">
        <v>1000898031</v>
      </c>
      <c r="M1796" t="s">
        <v>4238</v>
      </c>
      <c r="N1796" t="s">
        <v>1688</v>
      </c>
      <c r="O1796" t="s">
        <v>1686</v>
      </c>
      <c r="P1796">
        <v>0</v>
      </c>
      <c r="Q1796">
        <v>1067625</v>
      </c>
      <c r="R1796">
        <v>0</v>
      </c>
      <c r="S1796">
        <v>0</v>
      </c>
      <c r="T1796" t="str">
        <f t="shared" si="56"/>
        <v>13082.43.4302.85.0-205128.2.3.3.08.06.</v>
      </c>
      <c r="U1796" t="e" cm="1">
        <f t="array" aca="1" ref="U1796" ca="1">+IF(COMPROMISOS_2025[[#This Row],[P]]="20","41080111",_xlfn.XLOOKUP(COMPROMISOS_2025[[#This Row],[concatenado]],PAA[[#All],[RCP-RUBRO]],PAA[[#All],[INDICADOR]],"",0))</f>
        <v>#NAME?</v>
      </c>
      <c r="V1796" s="144" t="str">
        <f t="shared" si="57"/>
        <v>85</v>
      </c>
      <c r="W1796" s="136">
        <f>+COMPROMISOS_2025[[#This Row],[valor_total]]-COMPROMISOS_2025[[#This Row],[total_cancelado]]</f>
        <v>1067625</v>
      </c>
      <c r="X1796" s="136">
        <f>COMPROMISOS_2025[[#This Row],[total_ordenes]]</f>
        <v>1067625</v>
      </c>
      <c r="Y1796" t="str" cm="1">
        <f t="array" aca="1" ref="Y1796" ca="1">IFERROR(_xlfn.XLOOKUP(COMPROMISOS_2025[[#This Row],[concatenado]],PAA[[#All],[RCP-RUBRO]],PAA[[#All],[Actividad3]],VLOOKUP(COMPROMISOS_2025[[#This Row],[Indicador Principal]],$AC$2:$AD$17,2,0),0),"")</f>
        <v/>
      </c>
    </row>
    <row r="1797" spans="1:25" hidden="1" x14ac:dyDescent="0.25">
      <c r="A1797">
        <v>1309</v>
      </c>
      <c r="B1797" t="s">
        <v>2491</v>
      </c>
      <c r="C1797" t="s">
        <v>1936</v>
      </c>
      <c r="D1797" t="s">
        <v>4182</v>
      </c>
      <c r="F1797">
        <v>406</v>
      </c>
      <c r="G1797">
        <v>65</v>
      </c>
      <c r="H1797" t="s">
        <v>662</v>
      </c>
      <c r="I1797" t="s">
        <v>2271</v>
      </c>
      <c r="J1797">
        <v>711750</v>
      </c>
      <c r="K1797">
        <v>2025</v>
      </c>
      <c r="L1797">
        <v>1000903085</v>
      </c>
      <c r="M1797" t="s">
        <v>4239</v>
      </c>
      <c r="N1797" t="s">
        <v>1688</v>
      </c>
      <c r="O1797" t="s">
        <v>1686</v>
      </c>
      <c r="P1797">
        <v>0</v>
      </c>
      <c r="Q1797">
        <v>711750</v>
      </c>
      <c r="R1797">
        <v>0</v>
      </c>
      <c r="S1797">
        <v>0</v>
      </c>
      <c r="T1797" t="str">
        <f t="shared" si="56"/>
        <v>13092.43.4302.85.0-205128.2.3.3.08.06.</v>
      </c>
      <c r="U1797" t="e" cm="1">
        <f t="array" aca="1" ref="U1797" ca="1">+IF(COMPROMISOS_2025[[#This Row],[P]]="20","41080111",_xlfn.XLOOKUP(COMPROMISOS_2025[[#This Row],[concatenado]],PAA[[#All],[RCP-RUBRO]],PAA[[#All],[INDICADOR]],"",0))</f>
        <v>#NAME?</v>
      </c>
      <c r="V1797" s="144" t="str">
        <f t="shared" si="57"/>
        <v>85</v>
      </c>
      <c r="W1797" s="136">
        <f>+COMPROMISOS_2025[[#This Row],[valor_total]]-COMPROMISOS_2025[[#This Row],[total_cancelado]]</f>
        <v>711750</v>
      </c>
      <c r="X1797" s="136">
        <f>COMPROMISOS_2025[[#This Row],[total_ordenes]]</f>
        <v>711750</v>
      </c>
      <c r="Y1797" t="str" cm="1">
        <f t="array" aca="1" ref="Y1797" ca="1">IFERROR(_xlfn.XLOOKUP(COMPROMISOS_2025[[#This Row],[concatenado]],PAA[[#All],[RCP-RUBRO]],PAA[[#All],[Actividad3]],VLOOKUP(COMPROMISOS_2025[[#This Row],[Indicador Principal]],$AC$2:$AD$17,2,0),0),"")</f>
        <v/>
      </c>
    </row>
    <row r="1798" spans="1:25" hidden="1" x14ac:dyDescent="0.25">
      <c r="A1798">
        <v>1310</v>
      </c>
      <c r="B1798" t="s">
        <v>2491</v>
      </c>
      <c r="C1798" t="s">
        <v>1936</v>
      </c>
      <c r="D1798" t="s">
        <v>4182</v>
      </c>
      <c r="F1798">
        <v>406</v>
      </c>
      <c r="G1798">
        <v>65</v>
      </c>
      <c r="H1798" t="s">
        <v>662</v>
      </c>
      <c r="I1798" t="s">
        <v>2271</v>
      </c>
      <c r="J1798">
        <v>1423500</v>
      </c>
      <c r="K1798">
        <v>2025</v>
      </c>
      <c r="L1798">
        <v>1000921491</v>
      </c>
      <c r="M1798" t="s">
        <v>3949</v>
      </c>
      <c r="N1798" t="s">
        <v>1688</v>
      </c>
      <c r="O1798" t="s">
        <v>1686</v>
      </c>
      <c r="P1798">
        <v>0</v>
      </c>
      <c r="Q1798">
        <v>1423500</v>
      </c>
      <c r="R1798">
        <v>0</v>
      </c>
      <c r="S1798">
        <v>0</v>
      </c>
      <c r="T1798" t="str">
        <f t="shared" si="56"/>
        <v>13102.43.4302.85.0-205128.2.3.3.08.06.</v>
      </c>
      <c r="U1798" t="e" cm="1">
        <f t="array" aca="1" ref="U1798" ca="1">+IF(COMPROMISOS_2025[[#This Row],[P]]="20","41080111",_xlfn.XLOOKUP(COMPROMISOS_2025[[#This Row],[concatenado]],PAA[[#All],[RCP-RUBRO]],PAA[[#All],[INDICADOR]],"",0))</f>
        <v>#NAME?</v>
      </c>
      <c r="V1798" s="144" t="str">
        <f t="shared" si="57"/>
        <v>85</v>
      </c>
      <c r="W1798" s="136">
        <f>+COMPROMISOS_2025[[#This Row],[valor_total]]-COMPROMISOS_2025[[#This Row],[total_cancelado]]</f>
        <v>1423500</v>
      </c>
      <c r="X1798" s="136">
        <f>COMPROMISOS_2025[[#This Row],[total_ordenes]]</f>
        <v>1423500</v>
      </c>
      <c r="Y1798" t="str" cm="1">
        <f t="array" aca="1" ref="Y1798" ca="1">IFERROR(_xlfn.XLOOKUP(COMPROMISOS_2025[[#This Row],[concatenado]],PAA[[#All],[RCP-RUBRO]],PAA[[#All],[Actividad3]],VLOOKUP(COMPROMISOS_2025[[#This Row],[Indicador Principal]],$AC$2:$AD$17,2,0),0),"")</f>
        <v/>
      </c>
    </row>
    <row r="1799" spans="1:25" hidden="1" x14ac:dyDescent="0.25">
      <c r="A1799">
        <v>1311</v>
      </c>
      <c r="B1799" t="s">
        <v>2491</v>
      </c>
      <c r="C1799" t="s">
        <v>1936</v>
      </c>
      <c r="D1799" t="s">
        <v>4182</v>
      </c>
      <c r="F1799">
        <v>406</v>
      </c>
      <c r="G1799">
        <v>65</v>
      </c>
      <c r="H1799" t="s">
        <v>662</v>
      </c>
      <c r="I1799" t="s">
        <v>2271</v>
      </c>
      <c r="J1799">
        <v>1067625</v>
      </c>
      <c r="K1799">
        <v>2025</v>
      </c>
      <c r="L1799">
        <v>1000940142</v>
      </c>
      <c r="M1799" t="s">
        <v>3950</v>
      </c>
      <c r="N1799" t="s">
        <v>1688</v>
      </c>
      <c r="O1799" t="s">
        <v>1686</v>
      </c>
      <c r="P1799">
        <v>0</v>
      </c>
      <c r="Q1799">
        <v>1067625</v>
      </c>
      <c r="R1799">
        <v>0</v>
      </c>
      <c r="S1799">
        <v>0</v>
      </c>
      <c r="T1799" t="str">
        <f t="shared" si="56"/>
        <v>13112.43.4302.85.0-205128.2.3.3.08.06.</v>
      </c>
      <c r="U1799" t="e" cm="1">
        <f t="array" aca="1" ref="U1799" ca="1">+IF(COMPROMISOS_2025[[#This Row],[P]]="20","41080111",_xlfn.XLOOKUP(COMPROMISOS_2025[[#This Row],[concatenado]],PAA[[#All],[RCP-RUBRO]],PAA[[#All],[INDICADOR]],"",0))</f>
        <v>#NAME?</v>
      </c>
      <c r="V1799" s="144" t="str">
        <f t="shared" si="57"/>
        <v>85</v>
      </c>
      <c r="W1799" s="136">
        <f>+COMPROMISOS_2025[[#This Row],[valor_total]]-COMPROMISOS_2025[[#This Row],[total_cancelado]]</f>
        <v>1067625</v>
      </c>
      <c r="X1799" s="136">
        <f>COMPROMISOS_2025[[#This Row],[total_ordenes]]</f>
        <v>1067625</v>
      </c>
      <c r="Y1799" t="str" cm="1">
        <f t="array" aca="1" ref="Y1799" ca="1">IFERROR(_xlfn.XLOOKUP(COMPROMISOS_2025[[#This Row],[concatenado]],PAA[[#All],[RCP-RUBRO]],PAA[[#All],[Actividad3]],VLOOKUP(COMPROMISOS_2025[[#This Row],[Indicador Principal]],$AC$2:$AD$17,2,0),0),"")</f>
        <v/>
      </c>
    </row>
    <row r="1800" spans="1:25" hidden="1" x14ac:dyDescent="0.25">
      <c r="A1800">
        <v>1312</v>
      </c>
      <c r="B1800" t="s">
        <v>2491</v>
      </c>
      <c r="C1800" t="s">
        <v>1936</v>
      </c>
      <c r="D1800" t="s">
        <v>4182</v>
      </c>
      <c r="F1800">
        <v>406</v>
      </c>
      <c r="G1800">
        <v>65</v>
      </c>
      <c r="H1800" t="s">
        <v>662</v>
      </c>
      <c r="I1800" t="s">
        <v>2271</v>
      </c>
      <c r="J1800">
        <v>2847000</v>
      </c>
      <c r="K1800">
        <v>2025</v>
      </c>
      <c r="L1800">
        <v>1000951196</v>
      </c>
      <c r="M1800" t="s">
        <v>3597</v>
      </c>
      <c r="N1800" t="s">
        <v>1688</v>
      </c>
      <c r="O1800" t="s">
        <v>1686</v>
      </c>
      <c r="P1800">
        <v>0</v>
      </c>
      <c r="Q1800">
        <v>2847000</v>
      </c>
      <c r="R1800">
        <v>0</v>
      </c>
      <c r="S1800">
        <v>0</v>
      </c>
      <c r="T1800" t="str">
        <f t="shared" si="56"/>
        <v>13122.43.4302.85.0-205128.2.3.3.08.06.</v>
      </c>
      <c r="U1800" t="e" cm="1">
        <f t="array" aca="1" ref="U1800" ca="1">+IF(COMPROMISOS_2025[[#This Row],[P]]="20","41080111",_xlfn.XLOOKUP(COMPROMISOS_2025[[#This Row],[concatenado]],PAA[[#All],[RCP-RUBRO]],PAA[[#All],[INDICADOR]],"",0))</f>
        <v>#NAME?</v>
      </c>
      <c r="V1800" s="144" t="str">
        <f t="shared" si="57"/>
        <v>85</v>
      </c>
      <c r="W1800" s="136">
        <f>+COMPROMISOS_2025[[#This Row],[valor_total]]-COMPROMISOS_2025[[#This Row],[total_cancelado]]</f>
        <v>2847000</v>
      </c>
      <c r="X1800" s="136">
        <f>COMPROMISOS_2025[[#This Row],[total_ordenes]]</f>
        <v>2847000</v>
      </c>
      <c r="Y1800" t="str" cm="1">
        <f t="array" aca="1" ref="Y1800" ca="1">IFERROR(_xlfn.XLOOKUP(COMPROMISOS_2025[[#This Row],[concatenado]],PAA[[#All],[RCP-RUBRO]],PAA[[#All],[Actividad3]],VLOOKUP(COMPROMISOS_2025[[#This Row],[Indicador Principal]],$AC$2:$AD$17,2,0),0),"")</f>
        <v/>
      </c>
    </row>
    <row r="1801" spans="1:25" hidden="1" x14ac:dyDescent="0.25">
      <c r="A1801">
        <v>1313</v>
      </c>
      <c r="B1801" t="s">
        <v>2491</v>
      </c>
      <c r="C1801" t="s">
        <v>1936</v>
      </c>
      <c r="D1801" t="s">
        <v>4182</v>
      </c>
      <c r="F1801">
        <v>406</v>
      </c>
      <c r="G1801">
        <v>65</v>
      </c>
      <c r="H1801" t="s">
        <v>662</v>
      </c>
      <c r="I1801" t="s">
        <v>2271</v>
      </c>
      <c r="J1801">
        <v>1067625</v>
      </c>
      <c r="K1801">
        <v>2025</v>
      </c>
      <c r="L1801">
        <v>1001011199</v>
      </c>
      <c r="M1801" t="s">
        <v>4240</v>
      </c>
      <c r="N1801" t="s">
        <v>1688</v>
      </c>
      <c r="O1801" t="s">
        <v>1686</v>
      </c>
      <c r="P1801">
        <v>0</v>
      </c>
      <c r="Q1801">
        <v>1067625</v>
      </c>
      <c r="R1801">
        <v>0</v>
      </c>
      <c r="S1801">
        <v>0</v>
      </c>
      <c r="T1801" t="str">
        <f t="shared" si="56"/>
        <v>13132.43.4302.85.0-205128.2.3.3.08.06.</v>
      </c>
      <c r="U1801" t="e" cm="1">
        <f t="array" aca="1" ref="U1801" ca="1">+IF(COMPROMISOS_2025[[#This Row],[P]]="20","41080111",_xlfn.XLOOKUP(COMPROMISOS_2025[[#This Row],[concatenado]],PAA[[#All],[RCP-RUBRO]],PAA[[#All],[INDICADOR]],"",0))</f>
        <v>#NAME?</v>
      </c>
      <c r="V1801" s="144" t="str">
        <f t="shared" si="57"/>
        <v>85</v>
      </c>
      <c r="W1801" s="136">
        <f>+COMPROMISOS_2025[[#This Row],[valor_total]]-COMPROMISOS_2025[[#This Row],[total_cancelado]]</f>
        <v>1067625</v>
      </c>
      <c r="X1801" s="136">
        <f>COMPROMISOS_2025[[#This Row],[total_ordenes]]</f>
        <v>1067625</v>
      </c>
      <c r="Y1801" t="str" cm="1">
        <f t="array" aca="1" ref="Y1801" ca="1">IFERROR(_xlfn.XLOOKUP(COMPROMISOS_2025[[#This Row],[concatenado]],PAA[[#All],[RCP-RUBRO]],PAA[[#All],[Actividad3]],VLOOKUP(COMPROMISOS_2025[[#This Row],[Indicador Principal]],$AC$2:$AD$17,2,0),0),"")</f>
        <v/>
      </c>
    </row>
    <row r="1802" spans="1:25" hidden="1" x14ac:dyDescent="0.25">
      <c r="A1802">
        <v>1314</v>
      </c>
      <c r="B1802" t="s">
        <v>2491</v>
      </c>
      <c r="C1802" t="s">
        <v>1936</v>
      </c>
      <c r="D1802" t="s">
        <v>4182</v>
      </c>
      <c r="F1802">
        <v>406</v>
      </c>
      <c r="G1802">
        <v>65</v>
      </c>
      <c r="H1802" t="s">
        <v>662</v>
      </c>
      <c r="I1802" t="s">
        <v>2271</v>
      </c>
      <c r="J1802">
        <v>2847000</v>
      </c>
      <c r="K1802">
        <v>2025</v>
      </c>
      <c r="L1802">
        <v>1001014623</v>
      </c>
      <c r="M1802" t="s">
        <v>4241</v>
      </c>
      <c r="N1802" t="s">
        <v>1688</v>
      </c>
      <c r="O1802" t="s">
        <v>1686</v>
      </c>
      <c r="P1802">
        <v>0</v>
      </c>
      <c r="Q1802">
        <v>2847000</v>
      </c>
      <c r="R1802">
        <v>0</v>
      </c>
      <c r="S1802">
        <v>0</v>
      </c>
      <c r="T1802" t="str">
        <f t="shared" si="56"/>
        <v>13142.43.4302.85.0-205128.2.3.3.08.06.</v>
      </c>
      <c r="U1802" t="e" cm="1">
        <f t="array" aca="1" ref="U1802" ca="1">+IF(COMPROMISOS_2025[[#This Row],[P]]="20","41080111",_xlfn.XLOOKUP(COMPROMISOS_2025[[#This Row],[concatenado]],PAA[[#All],[RCP-RUBRO]],PAA[[#All],[INDICADOR]],"",0))</f>
        <v>#NAME?</v>
      </c>
      <c r="V1802" s="144" t="str">
        <f t="shared" si="57"/>
        <v>85</v>
      </c>
      <c r="W1802" s="136">
        <f>+COMPROMISOS_2025[[#This Row],[valor_total]]-COMPROMISOS_2025[[#This Row],[total_cancelado]]</f>
        <v>2847000</v>
      </c>
      <c r="X1802" s="136">
        <f>COMPROMISOS_2025[[#This Row],[total_ordenes]]</f>
        <v>2847000</v>
      </c>
      <c r="Y1802" t="str" cm="1">
        <f t="array" aca="1" ref="Y1802" ca="1">IFERROR(_xlfn.XLOOKUP(COMPROMISOS_2025[[#This Row],[concatenado]],PAA[[#All],[RCP-RUBRO]],PAA[[#All],[Actividad3]],VLOOKUP(COMPROMISOS_2025[[#This Row],[Indicador Principal]],$AC$2:$AD$17,2,0),0),"")</f>
        <v/>
      </c>
    </row>
    <row r="1803" spans="1:25" hidden="1" x14ac:dyDescent="0.25">
      <c r="A1803">
        <v>1315</v>
      </c>
      <c r="B1803" t="s">
        <v>2491</v>
      </c>
      <c r="C1803" t="s">
        <v>1936</v>
      </c>
      <c r="D1803" t="s">
        <v>4182</v>
      </c>
      <c r="F1803">
        <v>406</v>
      </c>
      <c r="G1803">
        <v>65</v>
      </c>
      <c r="H1803" t="s">
        <v>662</v>
      </c>
      <c r="I1803" t="s">
        <v>2271</v>
      </c>
      <c r="J1803">
        <v>1067625</v>
      </c>
      <c r="K1803">
        <v>2025</v>
      </c>
      <c r="L1803">
        <v>1001015877</v>
      </c>
      <c r="M1803" t="s">
        <v>4242</v>
      </c>
      <c r="N1803" t="s">
        <v>1688</v>
      </c>
      <c r="O1803" t="s">
        <v>1686</v>
      </c>
      <c r="P1803">
        <v>0</v>
      </c>
      <c r="Q1803">
        <v>1067625</v>
      </c>
      <c r="R1803">
        <v>0</v>
      </c>
      <c r="S1803">
        <v>0</v>
      </c>
      <c r="T1803" t="str">
        <f t="shared" si="56"/>
        <v>13152.43.4302.85.0-205128.2.3.3.08.06.</v>
      </c>
      <c r="U1803" t="e" cm="1">
        <f t="array" aca="1" ref="U1803" ca="1">+IF(COMPROMISOS_2025[[#This Row],[P]]="20","41080111",_xlfn.XLOOKUP(COMPROMISOS_2025[[#This Row],[concatenado]],PAA[[#All],[RCP-RUBRO]],PAA[[#All],[INDICADOR]],"",0))</f>
        <v>#NAME?</v>
      </c>
      <c r="V1803" s="144" t="str">
        <f t="shared" si="57"/>
        <v>85</v>
      </c>
      <c r="W1803" s="136">
        <f>+COMPROMISOS_2025[[#This Row],[valor_total]]-COMPROMISOS_2025[[#This Row],[total_cancelado]]</f>
        <v>1067625</v>
      </c>
      <c r="X1803" s="136">
        <f>COMPROMISOS_2025[[#This Row],[total_ordenes]]</f>
        <v>1067625</v>
      </c>
      <c r="Y1803" t="str" cm="1">
        <f t="array" aca="1" ref="Y1803" ca="1">IFERROR(_xlfn.XLOOKUP(COMPROMISOS_2025[[#This Row],[concatenado]],PAA[[#All],[RCP-RUBRO]],PAA[[#All],[Actividad3]],VLOOKUP(COMPROMISOS_2025[[#This Row],[Indicador Principal]],$AC$2:$AD$17,2,0),0),"")</f>
        <v/>
      </c>
    </row>
    <row r="1804" spans="1:25" hidden="1" x14ac:dyDescent="0.25">
      <c r="A1804">
        <v>1316</v>
      </c>
      <c r="B1804" t="s">
        <v>2491</v>
      </c>
      <c r="C1804" t="s">
        <v>1936</v>
      </c>
      <c r="D1804" t="s">
        <v>4182</v>
      </c>
      <c r="F1804">
        <v>406</v>
      </c>
      <c r="G1804">
        <v>65</v>
      </c>
      <c r="H1804" t="s">
        <v>662</v>
      </c>
      <c r="I1804" t="s">
        <v>2271</v>
      </c>
      <c r="J1804">
        <v>711750</v>
      </c>
      <c r="K1804">
        <v>2025</v>
      </c>
      <c r="L1804">
        <v>1001016039</v>
      </c>
      <c r="M1804" t="s">
        <v>3952</v>
      </c>
      <c r="N1804" t="s">
        <v>1688</v>
      </c>
      <c r="O1804" t="s">
        <v>1686</v>
      </c>
      <c r="P1804">
        <v>0</v>
      </c>
      <c r="Q1804">
        <v>711750</v>
      </c>
      <c r="R1804">
        <v>0</v>
      </c>
      <c r="S1804">
        <v>0</v>
      </c>
      <c r="T1804" t="str">
        <f t="shared" si="56"/>
        <v>13162.43.4302.85.0-205128.2.3.3.08.06.</v>
      </c>
      <c r="U1804" t="e" cm="1">
        <f t="array" aca="1" ref="U1804" ca="1">+IF(COMPROMISOS_2025[[#This Row],[P]]="20","41080111",_xlfn.XLOOKUP(COMPROMISOS_2025[[#This Row],[concatenado]],PAA[[#All],[RCP-RUBRO]],PAA[[#All],[INDICADOR]],"",0))</f>
        <v>#NAME?</v>
      </c>
      <c r="V1804" s="144" t="str">
        <f t="shared" si="57"/>
        <v>85</v>
      </c>
      <c r="W1804" s="136">
        <f>+COMPROMISOS_2025[[#This Row],[valor_total]]-COMPROMISOS_2025[[#This Row],[total_cancelado]]</f>
        <v>711750</v>
      </c>
      <c r="X1804" s="136">
        <f>COMPROMISOS_2025[[#This Row],[total_ordenes]]</f>
        <v>711750</v>
      </c>
      <c r="Y1804" t="str" cm="1">
        <f t="array" aca="1" ref="Y1804" ca="1">IFERROR(_xlfn.XLOOKUP(COMPROMISOS_2025[[#This Row],[concatenado]],PAA[[#All],[RCP-RUBRO]],PAA[[#All],[Actividad3]],VLOOKUP(COMPROMISOS_2025[[#This Row],[Indicador Principal]],$AC$2:$AD$17,2,0),0),"")</f>
        <v/>
      </c>
    </row>
    <row r="1805" spans="1:25" hidden="1" x14ac:dyDescent="0.25">
      <c r="A1805">
        <v>1317</v>
      </c>
      <c r="B1805" t="s">
        <v>2491</v>
      </c>
      <c r="C1805" t="s">
        <v>1936</v>
      </c>
      <c r="D1805" t="s">
        <v>4182</v>
      </c>
      <c r="F1805">
        <v>406</v>
      </c>
      <c r="G1805">
        <v>65</v>
      </c>
      <c r="H1805" t="s">
        <v>662</v>
      </c>
      <c r="I1805" t="s">
        <v>2271</v>
      </c>
      <c r="J1805">
        <v>711750</v>
      </c>
      <c r="K1805">
        <v>2025</v>
      </c>
      <c r="L1805">
        <v>1001017226</v>
      </c>
      <c r="M1805" t="s">
        <v>4243</v>
      </c>
      <c r="N1805" t="s">
        <v>1688</v>
      </c>
      <c r="O1805" t="s">
        <v>1686</v>
      </c>
      <c r="P1805">
        <v>0</v>
      </c>
      <c r="Q1805">
        <v>711750</v>
      </c>
      <c r="R1805">
        <v>0</v>
      </c>
      <c r="S1805">
        <v>0</v>
      </c>
      <c r="T1805" t="str">
        <f t="shared" si="56"/>
        <v>13172.43.4302.85.0-205128.2.3.3.08.06.</v>
      </c>
      <c r="U1805" t="e" cm="1">
        <f t="array" aca="1" ref="U1805" ca="1">+IF(COMPROMISOS_2025[[#This Row],[P]]="20","41080111",_xlfn.XLOOKUP(COMPROMISOS_2025[[#This Row],[concatenado]],PAA[[#All],[RCP-RUBRO]],PAA[[#All],[INDICADOR]],"",0))</f>
        <v>#NAME?</v>
      </c>
      <c r="V1805" s="144" t="str">
        <f t="shared" si="57"/>
        <v>85</v>
      </c>
      <c r="W1805" s="136">
        <f>+COMPROMISOS_2025[[#This Row],[valor_total]]-COMPROMISOS_2025[[#This Row],[total_cancelado]]</f>
        <v>711750</v>
      </c>
      <c r="X1805" s="136">
        <f>COMPROMISOS_2025[[#This Row],[total_ordenes]]</f>
        <v>711750</v>
      </c>
      <c r="Y1805" t="str" cm="1">
        <f t="array" aca="1" ref="Y1805" ca="1">IFERROR(_xlfn.XLOOKUP(COMPROMISOS_2025[[#This Row],[concatenado]],PAA[[#All],[RCP-RUBRO]],PAA[[#All],[Actividad3]],VLOOKUP(COMPROMISOS_2025[[#This Row],[Indicador Principal]],$AC$2:$AD$17,2,0),0),"")</f>
        <v/>
      </c>
    </row>
    <row r="1806" spans="1:25" hidden="1" x14ac:dyDescent="0.25">
      <c r="A1806">
        <v>1318</v>
      </c>
      <c r="B1806" t="s">
        <v>2491</v>
      </c>
      <c r="C1806" t="s">
        <v>1936</v>
      </c>
      <c r="D1806" t="s">
        <v>4182</v>
      </c>
      <c r="F1806">
        <v>406</v>
      </c>
      <c r="G1806">
        <v>65</v>
      </c>
      <c r="H1806" t="s">
        <v>662</v>
      </c>
      <c r="I1806" t="s">
        <v>2271</v>
      </c>
      <c r="J1806">
        <v>711750</v>
      </c>
      <c r="K1806">
        <v>2025</v>
      </c>
      <c r="L1806">
        <v>1001017616</v>
      </c>
      <c r="M1806" t="s">
        <v>3953</v>
      </c>
      <c r="N1806" t="s">
        <v>1688</v>
      </c>
      <c r="O1806" t="s">
        <v>1686</v>
      </c>
      <c r="P1806">
        <v>0</v>
      </c>
      <c r="Q1806">
        <v>711750</v>
      </c>
      <c r="R1806">
        <v>0</v>
      </c>
      <c r="S1806">
        <v>0</v>
      </c>
      <c r="T1806" t="str">
        <f t="shared" si="56"/>
        <v>13182.43.4302.85.0-205128.2.3.3.08.06.</v>
      </c>
      <c r="U1806" t="e" cm="1">
        <f t="array" aca="1" ref="U1806" ca="1">+IF(COMPROMISOS_2025[[#This Row],[P]]="20","41080111",_xlfn.XLOOKUP(COMPROMISOS_2025[[#This Row],[concatenado]],PAA[[#All],[RCP-RUBRO]],PAA[[#All],[INDICADOR]],"",0))</f>
        <v>#NAME?</v>
      </c>
      <c r="V1806" s="144" t="str">
        <f t="shared" si="57"/>
        <v>85</v>
      </c>
      <c r="W1806" s="136">
        <f>+COMPROMISOS_2025[[#This Row],[valor_total]]-COMPROMISOS_2025[[#This Row],[total_cancelado]]</f>
        <v>711750</v>
      </c>
      <c r="X1806" s="136">
        <f>COMPROMISOS_2025[[#This Row],[total_ordenes]]</f>
        <v>711750</v>
      </c>
      <c r="Y1806" t="str" cm="1">
        <f t="array" aca="1" ref="Y1806" ca="1">IFERROR(_xlfn.XLOOKUP(COMPROMISOS_2025[[#This Row],[concatenado]],PAA[[#All],[RCP-RUBRO]],PAA[[#All],[Actividad3]],VLOOKUP(COMPROMISOS_2025[[#This Row],[Indicador Principal]],$AC$2:$AD$17,2,0),0),"")</f>
        <v/>
      </c>
    </row>
    <row r="1807" spans="1:25" hidden="1" x14ac:dyDescent="0.25">
      <c r="A1807">
        <v>1319</v>
      </c>
      <c r="B1807" t="s">
        <v>2491</v>
      </c>
      <c r="C1807" t="s">
        <v>1936</v>
      </c>
      <c r="D1807" t="s">
        <v>4182</v>
      </c>
      <c r="F1807">
        <v>406</v>
      </c>
      <c r="G1807">
        <v>65</v>
      </c>
      <c r="H1807" t="s">
        <v>662</v>
      </c>
      <c r="I1807" t="s">
        <v>2271</v>
      </c>
      <c r="J1807">
        <v>4270500</v>
      </c>
      <c r="K1807">
        <v>2025</v>
      </c>
      <c r="L1807">
        <v>1001021746</v>
      </c>
      <c r="M1807" t="s">
        <v>3954</v>
      </c>
      <c r="N1807" t="s">
        <v>1688</v>
      </c>
      <c r="O1807" t="s">
        <v>1686</v>
      </c>
      <c r="P1807">
        <v>0</v>
      </c>
      <c r="Q1807">
        <v>4270500</v>
      </c>
      <c r="R1807">
        <v>0</v>
      </c>
      <c r="S1807">
        <v>0</v>
      </c>
      <c r="T1807" t="str">
        <f t="shared" si="56"/>
        <v>13192.43.4302.85.0-205128.2.3.3.08.06.</v>
      </c>
      <c r="U1807" t="e" cm="1">
        <f t="array" aca="1" ref="U1807" ca="1">+IF(COMPROMISOS_2025[[#This Row],[P]]="20","41080111",_xlfn.XLOOKUP(COMPROMISOS_2025[[#This Row],[concatenado]],PAA[[#All],[RCP-RUBRO]],PAA[[#All],[INDICADOR]],"",0))</f>
        <v>#NAME?</v>
      </c>
      <c r="V1807" s="144" t="str">
        <f t="shared" si="57"/>
        <v>85</v>
      </c>
      <c r="W1807" s="136">
        <f>+COMPROMISOS_2025[[#This Row],[valor_total]]-COMPROMISOS_2025[[#This Row],[total_cancelado]]</f>
        <v>4270500</v>
      </c>
      <c r="X1807" s="136">
        <f>COMPROMISOS_2025[[#This Row],[total_ordenes]]</f>
        <v>4270500</v>
      </c>
      <c r="Y1807" t="str" cm="1">
        <f t="array" aca="1" ref="Y1807" ca="1">IFERROR(_xlfn.XLOOKUP(COMPROMISOS_2025[[#This Row],[concatenado]],PAA[[#All],[RCP-RUBRO]],PAA[[#All],[Actividad3]],VLOOKUP(COMPROMISOS_2025[[#This Row],[Indicador Principal]],$AC$2:$AD$17,2,0),0),"")</f>
        <v/>
      </c>
    </row>
    <row r="1808" spans="1:25" hidden="1" x14ac:dyDescent="0.25">
      <c r="A1808">
        <v>1320</v>
      </c>
      <c r="B1808" t="s">
        <v>2491</v>
      </c>
      <c r="C1808" t="s">
        <v>1936</v>
      </c>
      <c r="D1808" t="s">
        <v>4182</v>
      </c>
      <c r="F1808">
        <v>406</v>
      </c>
      <c r="G1808">
        <v>65</v>
      </c>
      <c r="H1808" t="s">
        <v>662</v>
      </c>
      <c r="I1808" t="s">
        <v>2271</v>
      </c>
      <c r="J1808">
        <v>1067625</v>
      </c>
      <c r="K1808">
        <v>2025</v>
      </c>
      <c r="L1808">
        <v>1001021775</v>
      </c>
      <c r="M1808" t="s">
        <v>3955</v>
      </c>
      <c r="N1808" t="s">
        <v>1688</v>
      </c>
      <c r="O1808" t="s">
        <v>1686</v>
      </c>
      <c r="P1808">
        <v>0</v>
      </c>
      <c r="Q1808">
        <v>1067625</v>
      </c>
      <c r="R1808">
        <v>0</v>
      </c>
      <c r="S1808">
        <v>0</v>
      </c>
      <c r="T1808" t="str">
        <f t="shared" si="56"/>
        <v>13202.43.4302.85.0-205128.2.3.3.08.06.</v>
      </c>
      <c r="U1808" t="e" cm="1">
        <f t="array" aca="1" ref="U1808" ca="1">+IF(COMPROMISOS_2025[[#This Row],[P]]="20","41080111",_xlfn.XLOOKUP(COMPROMISOS_2025[[#This Row],[concatenado]],PAA[[#All],[RCP-RUBRO]],PAA[[#All],[INDICADOR]],"",0))</f>
        <v>#NAME?</v>
      </c>
      <c r="V1808" s="144" t="str">
        <f t="shared" si="57"/>
        <v>85</v>
      </c>
      <c r="W1808" s="136">
        <f>+COMPROMISOS_2025[[#This Row],[valor_total]]-COMPROMISOS_2025[[#This Row],[total_cancelado]]</f>
        <v>1067625</v>
      </c>
      <c r="X1808" s="136">
        <f>COMPROMISOS_2025[[#This Row],[total_ordenes]]</f>
        <v>1067625</v>
      </c>
      <c r="Y1808" t="str" cm="1">
        <f t="array" aca="1" ref="Y1808" ca="1">IFERROR(_xlfn.XLOOKUP(COMPROMISOS_2025[[#This Row],[concatenado]],PAA[[#All],[RCP-RUBRO]],PAA[[#All],[Actividad3]],VLOOKUP(COMPROMISOS_2025[[#This Row],[Indicador Principal]],$AC$2:$AD$17,2,0),0),"")</f>
        <v/>
      </c>
    </row>
    <row r="1809" spans="1:25" hidden="1" x14ac:dyDescent="0.25">
      <c r="A1809">
        <v>1321</v>
      </c>
      <c r="B1809" t="s">
        <v>2491</v>
      </c>
      <c r="C1809" t="s">
        <v>1936</v>
      </c>
      <c r="D1809" t="s">
        <v>4182</v>
      </c>
      <c r="F1809">
        <v>406</v>
      </c>
      <c r="G1809">
        <v>65</v>
      </c>
      <c r="H1809" t="s">
        <v>662</v>
      </c>
      <c r="I1809" t="s">
        <v>2271</v>
      </c>
      <c r="J1809">
        <v>711750</v>
      </c>
      <c r="K1809">
        <v>2025</v>
      </c>
      <c r="L1809">
        <v>1001023019</v>
      </c>
      <c r="M1809" t="s">
        <v>4167</v>
      </c>
      <c r="N1809" t="s">
        <v>1688</v>
      </c>
      <c r="O1809" t="s">
        <v>1686</v>
      </c>
      <c r="P1809">
        <v>0</v>
      </c>
      <c r="Q1809">
        <v>711750</v>
      </c>
      <c r="R1809">
        <v>0</v>
      </c>
      <c r="S1809">
        <v>0</v>
      </c>
      <c r="T1809" t="str">
        <f t="shared" si="56"/>
        <v>13212.43.4302.85.0-205128.2.3.3.08.06.</v>
      </c>
      <c r="U1809" t="e" cm="1">
        <f t="array" aca="1" ref="U1809" ca="1">+IF(COMPROMISOS_2025[[#This Row],[P]]="20","41080111",_xlfn.XLOOKUP(COMPROMISOS_2025[[#This Row],[concatenado]],PAA[[#All],[RCP-RUBRO]],PAA[[#All],[INDICADOR]],"",0))</f>
        <v>#NAME?</v>
      </c>
      <c r="V1809" s="144" t="str">
        <f t="shared" si="57"/>
        <v>85</v>
      </c>
      <c r="W1809" s="136">
        <f>+COMPROMISOS_2025[[#This Row],[valor_total]]-COMPROMISOS_2025[[#This Row],[total_cancelado]]</f>
        <v>711750</v>
      </c>
      <c r="X1809" s="136">
        <f>COMPROMISOS_2025[[#This Row],[total_ordenes]]</f>
        <v>711750</v>
      </c>
      <c r="Y1809" t="str" cm="1">
        <f t="array" aca="1" ref="Y1809" ca="1">IFERROR(_xlfn.XLOOKUP(COMPROMISOS_2025[[#This Row],[concatenado]],PAA[[#All],[RCP-RUBRO]],PAA[[#All],[Actividad3]],VLOOKUP(COMPROMISOS_2025[[#This Row],[Indicador Principal]],$AC$2:$AD$17,2,0),0),"")</f>
        <v/>
      </c>
    </row>
    <row r="1810" spans="1:25" hidden="1" x14ac:dyDescent="0.25">
      <c r="A1810">
        <v>1322</v>
      </c>
      <c r="B1810" t="s">
        <v>2491</v>
      </c>
      <c r="C1810" t="s">
        <v>1936</v>
      </c>
      <c r="D1810" t="s">
        <v>4182</v>
      </c>
      <c r="F1810">
        <v>406</v>
      </c>
      <c r="G1810">
        <v>65</v>
      </c>
      <c r="H1810" t="s">
        <v>662</v>
      </c>
      <c r="I1810" t="s">
        <v>2271</v>
      </c>
      <c r="J1810">
        <v>1423500</v>
      </c>
      <c r="K1810">
        <v>2025</v>
      </c>
      <c r="L1810">
        <v>1001025993</v>
      </c>
      <c r="M1810" t="s">
        <v>3956</v>
      </c>
      <c r="N1810" t="s">
        <v>1688</v>
      </c>
      <c r="O1810" t="s">
        <v>1686</v>
      </c>
      <c r="P1810">
        <v>0</v>
      </c>
      <c r="Q1810">
        <v>1423500</v>
      </c>
      <c r="R1810">
        <v>0</v>
      </c>
      <c r="S1810">
        <v>0</v>
      </c>
      <c r="T1810" t="str">
        <f t="shared" si="56"/>
        <v>13222.43.4302.85.0-205128.2.3.3.08.06.</v>
      </c>
      <c r="U1810" t="e" cm="1">
        <f t="array" aca="1" ref="U1810" ca="1">+IF(COMPROMISOS_2025[[#This Row],[P]]="20","41080111",_xlfn.XLOOKUP(COMPROMISOS_2025[[#This Row],[concatenado]],PAA[[#All],[RCP-RUBRO]],PAA[[#All],[INDICADOR]],"",0))</f>
        <v>#NAME?</v>
      </c>
      <c r="V1810" s="144" t="str">
        <f t="shared" si="57"/>
        <v>85</v>
      </c>
      <c r="W1810" s="136">
        <f>+COMPROMISOS_2025[[#This Row],[valor_total]]-COMPROMISOS_2025[[#This Row],[total_cancelado]]</f>
        <v>1423500</v>
      </c>
      <c r="X1810" s="136">
        <f>COMPROMISOS_2025[[#This Row],[total_ordenes]]</f>
        <v>1423500</v>
      </c>
      <c r="Y1810" t="str" cm="1">
        <f t="array" aca="1" ref="Y1810" ca="1">IFERROR(_xlfn.XLOOKUP(COMPROMISOS_2025[[#This Row],[concatenado]],PAA[[#All],[RCP-RUBRO]],PAA[[#All],[Actividad3]],VLOOKUP(COMPROMISOS_2025[[#This Row],[Indicador Principal]],$AC$2:$AD$17,2,0),0),"")</f>
        <v/>
      </c>
    </row>
    <row r="1811" spans="1:25" hidden="1" x14ac:dyDescent="0.25">
      <c r="A1811">
        <v>1323</v>
      </c>
      <c r="B1811" t="s">
        <v>2491</v>
      </c>
      <c r="C1811" t="s">
        <v>1936</v>
      </c>
      <c r="D1811" t="s">
        <v>4182</v>
      </c>
      <c r="F1811">
        <v>406</v>
      </c>
      <c r="G1811">
        <v>65</v>
      </c>
      <c r="H1811" t="s">
        <v>662</v>
      </c>
      <c r="I1811" t="s">
        <v>2271</v>
      </c>
      <c r="J1811">
        <v>1067625</v>
      </c>
      <c r="K1811">
        <v>2025</v>
      </c>
      <c r="L1811">
        <v>1001026212</v>
      </c>
      <c r="M1811" t="s">
        <v>3957</v>
      </c>
      <c r="N1811" t="s">
        <v>1688</v>
      </c>
      <c r="O1811" t="s">
        <v>1686</v>
      </c>
      <c r="P1811">
        <v>0</v>
      </c>
      <c r="Q1811">
        <v>1067625</v>
      </c>
      <c r="R1811">
        <v>0</v>
      </c>
      <c r="S1811">
        <v>0</v>
      </c>
      <c r="T1811" t="str">
        <f t="shared" si="56"/>
        <v>13232.43.4302.85.0-205128.2.3.3.08.06.</v>
      </c>
      <c r="U1811" t="e" cm="1">
        <f t="array" aca="1" ref="U1811" ca="1">+IF(COMPROMISOS_2025[[#This Row],[P]]="20","41080111",_xlfn.XLOOKUP(COMPROMISOS_2025[[#This Row],[concatenado]],PAA[[#All],[RCP-RUBRO]],PAA[[#All],[INDICADOR]],"",0))</f>
        <v>#NAME?</v>
      </c>
      <c r="V1811" s="144" t="str">
        <f t="shared" si="57"/>
        <v>85</v>
      </c>
      <c r="W1811" s="136">
        <f>+COMPROMISOS_2025[[#This Row],[valor_total]]-COMPROMISOS_2025[[#This Row],[total_cancelado]]</f>
        <v>1067625</v>
      </c>
      <c r="X1811" s="136">
        <f>COMPROMISOS_2025[[#This Row],[total_ordenes]]</f>
        <v>1067625</v>
      </c>
      <c r="Y1811" t="str" cm="1">
        <f t="array" aca="1" ref="Y1811" ca="1">IFERROR(_xlfn.XLOOKUP(COMPROMISOS_2025[[#This Row],[concatenado]],PAA[[#All],[RCP-RUBRO]],PAA[[#All],[Actividad3]],VLOOKUP(COMPROMISOS_2025[[#This Row],[Indicador Principal]],$AC$2:$AD$17,2,0),0),"")</f>
        <v/>
      </c>
    </row>
    <row r="1812" spans="1:25" hidden="1" x14ac:dyDescent="0.25">
      <c r="A1812">
        <v>1324</v>
      </c>
      <c r="B1812" t="s">
        <v>2491</v>
      </c>
      <c r="C1812" t="s">
        <v>1936</v>
      </c>
      <c r="D1812" t="s">
        <v>4182</v>
      </c>
      <c r="F1812">
        <v>406</v>
      </c>
      <c r="G1812">
        <v>65</v>
      </c>
      <c r="H1812" t="s">
        <v>662</v>
      </c>
      <c r="I1812" t="s">
        <v>2271</v>
      </c>
      <c r="J1812">
        <v>4270500</v>
      </c>
      <c r="K1812">
        <v>2025</v>
      </c>
      <c r="L1812">
        <v>1001034376</v>
      </c>
      <c r="M1812" t="s">
        <v>3959</v>
      </c>
      <c r="N1812" t="s">
        <v>1688</v>
      </c>
      <c r="O1812" t="s">
        <v>1686</v>
      </c>
      <c r="P1812">
        <v>0</v>
      </c>
      <c r="Q1812">
        <v>4270500</v>
      </c>
      <c r="R1812">
        <v>0</v>
      </c>
      <c r="S1812">
        <v>0</v>
      </c>
      <c r="T1812" t="str">
        <f t="shared" si="56"/>
        <v>13242.43.4302.85.0-205128.2.3.3.08.06.</v>
      </c>
      <c r="U1812" t="e" cm="1">
        <f t="array" aca="1" ref="U1812" ca="1">+IF(COMPROMISOS_2025[[#This Row],[P]]="20","41080111",_xlfn.XLOOKUP(COMPROMISOS_2025[[#This Row],[concatenado]],PAA[[#All],[RCP-RUBRO]],PAA[[#All],[INDICADOR]],"",0))</f>
        <v>#NAME?</v>
      </c>
      <c r="V1812" s="144" t="str">
        <f t="shared" si="57"/>
        <v>85</v>
      </c>
      <c r="W1812" s="136">
        <f>+COMPROMISOS_2025[[#This Row],[valor_total]]-COMPROMISOS_2025[[#This Row],[total_cancelado]]</f>
        <v>4270500</v>
      </c>
      <c r="X1812" s="136">
        <f>COMPROMISOS_2025[[#This Row],[total_ordenes]]</f>
        <v>4270500</v>
      </c>
      <c r="Y1812" t="str" cm="1">
        <f t="array" aca="1" ref="Y1812" ca="1">IFERROR(_xlfn.XLOOKUP(COMPROMISOS_2025[[#This Row],[concatenado]],PAA[[#All],[RCP-RUBRO]],PAA[[#All],[Actividad3]],VLOOKUP(COMPROMISOS_2025[[#This Row],[Indicador Principal]],$AC$2:$AD$17,2,0),0),"")</f>
        <v/>
      </c>
    </row>
    <row r="1813" spans="1:25" hidden="1" x14ac:dyDescent="0.25">
      <c r="A1813">
        <v>1325</v>
      </c>
      <c r="B1813" t="s">
        <v>2491</v>
      </c>
      <c r="C1813" t="s">
        <v>1936</v>
      </c>
      <c r="D1813" t="s">
        <v>4182</v>
      </c>
      <c r="F1813">
        <v>406</v>
      </c>
      <c r="G1813">
        <v>65</v>
      </c>
      <c r="H1813" t="s">
        <v>662</v>
      </c>
      <c r="I1813" t="s">
        <v>2271</v>
      </c>
      <c r="J1813">
        <v>711750</v>
      </c>
      <c r="K1813">
        <v>2025</v>
      </c>
      <c r="L1813">
        <v>1001131814</v>
      </c>
      <c r="M1813" t="s">
        <v>3960</v>
      </c>
      <c r="N1813" t="s">
        <v>1688</v>
      </c>
      <c r="O1813" t="s">
        <v>1686</v>
      </c>
      <c r="P1813">
        <v>0</v>
      </c>
      <c r="Q1813">
        <v>711750</v>
      </c>
      <c r="R1813">
        <v>0</v>
      </c>
      <c r="S1813">
        <v>0</v>
      </c>
      <c r="T1813" t="str">
        <f t="shared" si="56"/>
        <v>13252.43.4302.85.0-205128.2.3.3.08.06.</v>
      </c>
      <c r="U1813" t="e" cm="1">
        <f t="array" aca="1" ref="U1813" ca="1">+IF(COMPROMISOS_2025[[#This Row],[P]]="20","41080111",_xlfn.XLOOKUP(COMPROMISOS_2025[[#This Row],[concatenado]],PAA[[#All],[RCP-RUBRO]],PAA[[#All],[INDICADOR]],"",0))</f>
        <v>#NAME?</v>
      </c>
      <c r="V1813" s="144" t="str">
        <f t="shared" si="57"/>
        <v>85</v>
      </c>
      <c r="W1813" s="136">
        <f>+COMPROMISOS_2025[[#This Row],[valor_total]]-COMPROMISOS_2025[[#This Row],[total_cancelado]]</f>
        <v>711750</v>
      </c>
      <c r="X1813" s="136">
        <f>COMPROMISOS_2025[[#This Row],[total_ordenes]]</f>
        <v>711750</v>
      </c>
      <c r="Y1813" t="str" cm="1">
        <f t="array" aca="1" ref="Y1813" ca="1">IFERROR(_xlfn.XLOOKUP(COMPROMISOS_2025[[#This Row],[concatenado]],PAA[[#All],[RCP-RUBRO]],PAA[[#All],[Actividad3]],VLOOKUP(COMPROMISOS_2025[[#This Row],[Indicador Principal]],$AC$2:$AD$17,2,0),0),"")</f>
        <v/>
      </c>
    </row>
    <row r="1814" spans="1:25" hidden="1" x14ac:dyDescent="0.25">
      <c r="A1814">
        <v>1326</v>
      </c>
      <c r="B1814" t="s">
        <v>2491</v>
      </c>
      <c r="C1814" t="s">
        <v>1936</v>
      </c>
      <c r="D1814" t="s">
        <v>4182</v>
      </c>
      <c r="F1814">
        <v>406</v>
      </c>
      <c r="G1814">
        <v>65</v>
      </c>
      <c r="H1814" t="s">
        <v>662</v>
      </c>
      <c r="I1814" t="s">
        <v>2271</v>
      </c>
      <c r="J1814">
        <v>4270500</v>
      </c>
      <c r="K1814">
        <v>2025</v>
      </c>
      <c r="L1814">
        <v>1001131930</v>
      </c>
      <c r="M1814" t="s">
        <v>3961</v>
      </c>
      <c r="N1814" t="s">
        <v>1688</v>
      </c>
      <c r="O1814" t="s">
        <v>1686</v>
      </c>
      <c r="P1814">
        <v>0</v>
      </c>
      <c r="Q1814">
        <v>4270500</v>
      </c>
      <c r="R1814">
        <v>0</v>
      </c>
      <c r="S1814">
        <v>0</v>
      </c>
      <c r="T1814" t="str">
        <f t="shared" si="56"/>
        <v>13262.43.4302.85.0-205128.2.3.3.08.06.</v>
      </c>
      <c r="U1814" t="e" cm="1">
        <f t="array" aca="1" ref="U1814" ca="1">+IF(COMPROMISOS_2025[[#This Row],[P]]="20","41080111",_xlfn.XLOOKUP(COMPROMISOS_2025[[#This Row],[concatenado]],PAA[[#All],[RCP-RUBRO]],PAA[[#All],[INDICADOR]],"",0))</f>
        <v>#NAME?</v>
      </c>
      <c r="V1814" s="144" t="str">
        <f t="shared" si="57"/>
        <v>85</v>
      </c>
      <c r="W1814" s="136">
        <f>+COMPROMISOS_2025[[#This Row],[valor_total]]-COMPROMISOS_2025[[#This Row],[total_cancelado]]</f>
        <v>4270500</v>
      </c>
      <c r="X1814" s="136">
        <f>COMPROMISOS_2025[[#This Row],[total_ordenes]]</f>
        <v>4270500</v>
      </c>
      <c r="Y1814" t="str" cm="1">
        <f t="array" aca="1" ref="Y1814" ca="1">IFERROR(_xlfn.XLOOKUP(COMPROMISOS_2025[[#This Row],[concatenado]],PAA[[#All],[RCP-RUBRO]],PAA[[#All],[Actividad3]],VLOOKUP(COMPROMISOS_2025[[#This Row],[Indicador Principal]],$AC$2:$AD$17,2,0),0),"")</f>
        <v/>
      </c>
    </row>
    <row r="1815" spans="1:25" hidden="1" x14ac:dyDescent="0.25">
      <c r="A1815">
        <v>1327</v>
      </c>
      <c r="B1815" t="s">
        <v>2491</v>
      </c>
      <c r="C1815" t="s">
        <v>1936</v>
      </c>
      <c r="D1815" t="s">
        <v>4182</v>
      </c>
      <c r="F1815">
        <v>406</v>
      </c>
      <c r="G1815">
        <v>65</v>
      </c>
      <c r="H1815" t="s">
        <v>662</v>
      </c>
      <c r="I1815" t="s">
        <v>2271</v>
      </c>
      <c r="J1815">
        <v>711750</v>
      </c>
      <c r="K1815">
        <v>2025</v>
      </c>
      <c r="L1815">
        <v>1001132657</v>
      </c>
      <c r="M1815" t="s">
        <v>3962</v>
      </c>
      <c r="N1815" t="s">
        <v>1688</v>
      </c>
      <c r="O1815" t="s">
        <v>1686</v>
      </c>
      <c r="P1815">
        <v>0</v>
      </c>
      <c r="Q1815">
        <v>711750</v>
      </c>
      <c r="R1815">
        <v>0</v>
      </c>
      <c r="S1815">
        <v>0</v>
      </c>
      <c r="T1815" t="str">
        <f t="shared" si="56"/>
        <v>13272.43.4302.85.0-205128.2.3.3.08.06.</v>
      </c>
      <c r="U1815" t="e" cm="1">
        <f t="array" aca="1" ref="U1815" ca="1">+IF(COMPROMISOS_2025[[#This Row],[P]]="20","41080111",_xlfn.XLOOKUP(COMPROMISOS_2025[[#This Row],[concatenado]],PAA[[#All],[RCP-RUBRO]],PAA[[#All],[INDICADOR]],"",0))</f>
        <v>#NAME?</v>
      </c>
      <c r="V1815" s="144" t="str">
        <f t="shared" si="57"/>
        <v>85</v>
      </c>
      <c r="W1815" s="136">
        <f>+COMPROMISOS_2025[[#This Row],[valor_total]]-COMPROMISOS_2025[[#This Row],[total_cancelado]]</f>
        <v>711750</v>
      </c>
      <c r="X1815" s="136">
        <f>COMPROMISOS_2025[[#This Row],[total_ordenes]]</f>
        <v>711750</v>
      </c>
      <c r="Y1815" t="str" cm="1">
        <f t="array" aca="1" ref="Y1815" ca="1">IFERROR(_xlfn.XLOOKUP(COMPROMISOS_2025[[#This Row],[concatenado]],PAA[[#All],[RCP-RUBRO]],PAA[[#All],[Actividad3]],VLOOKUP(COMPROMISOS_2025[[#This Row],[Indicador Principal]],$AC$2:$AD$17,2,0),0),"")</f>
        <v/>
      </c>
    </row>
    <row r="1816" spans="1:25" hidden="1" x14ac:dyDescent="0.25">
      <c r="A1816">
        <v>1328</v>
      </c>
      <c r="B1816" t="s">
        <v>2491</v>
      </c>
      <c r="C1816" t="s">
        <v>1936</v>
      </c>
      <c r="D1816" t="s">
        <v>4182</v>
      </c>
      <c r="F1816">
        <v>406</v>
      </c>
      <c r="G1816">
        <v>65</v>
      </c>
      <c r="H1816" t="s">
        <v>662</v>
      </c>
      <c r="I1816" t="s">
        <v>2271</v>
      </c>
      <c r="J1816">
        <v>1423500</v>
      </c>
      <c r="K1816">
        <v>2025</v>
      </c>
      <c r="L1816">
        <v>1001137686</v>
      </c>
      <c r="M1816" t="s">
        <v>3963</v>
      </c>
      <c r="N1816" t="s">
        <v>1688</v>
      </c>
      <c r="O1816" t="s">
        <v>1686</v>
      </c>
      <c r="P1816">
        <v>0</v>
      </c>
      <c r="Q1816">
        <v>1423500</v>
      </c>
      <c r="R1816">
        <v>0</v>
      </c>
      <c r="S1816">
        <v>0</v>
      </c>
      <c r="T1816" t="str">
        <f t="shared" si="56"/>
        <v>13282.43.4302.85.0-205128.2.3.3.08.06.</v>
      </c>
      <c r="U1816" t="e" cm="1">
        <f t="array" aca="1" ref="U1816" ca="1">+IF(COMPROMISOS_2025[[#This Row],[P]]="20","41080111",_xlfn.XLOOKUP(COMPROMISOS_2025[[#This Row],[concatenado]],PAA[[#All],[RCP-RUBRO]],PAA[[#All],[INDICADOR]],"",0))</f>
        <v>#NAME?</v>
      </c>
      <c r="V1816" s="144" t="str">
        <f t="shared" si="57"/>
        <v>85</v>
      </c>
      <c r="W1816" s="136">
        <f>+COMPROMISOS_2025[[#This Row],[valor_total]]-COMPROMISOS_2025[[#This Row],[total_cancelado]]</f>
        <v>1423500</v>
      </c>
      <c r="X1816" s="136">
        <f>COMPROMISOS_2025[[#This Row],[total_ordenes]]</f>
        <v>1423500</v>
      </c>
      <c r="Y1816" t="str" cm="1">
        <f t="array" aca="1" ref="Y1816" ca="1">IFERROR(_xlfn.XLOOKUP(COMPROMISOS_2025[[#This Row],[concatenado]],PAA[[#All],[RCP-RUBRO]],PAA[[#All],[Actividad3]],VLOOKUP(COMPROMISOS_2025[[#This Row],[Indicador Principal]],$AC$2:$AD$17,2,0),0),"")</f>
        <v/>
      </c>
    </row>
    <row r="1817" spans="1:25" hidden="1" x14ac:dyDescent="0.25">
      <c r="A1817">
        <v>1329</v>
      </c>
      <c r="B1817" t="s">
        <v>2491</v>
      </c>
      <c r="C1817" t="s">
        <v>1936</v>
      </c>
      <c r="D1817" t="s">
        <v>4182</v>
      </c>
      <c r="F1817">
        <v>406</v>
      </c>
      <c r="G1817">
        <v>65</v>
      </c>
      <c r="H1817" t="s">
        <v>662</v>
      </c>
      <c r="I1817" t="s">
        <v>2271</v>
      </c>
      <c r="J1817">
        <v>711750</v>
      </c>
      <c r="K1817">
        <v>2025</v>
      </c>
      <c r="L1817">
        <v>1001145233</v>
      </c>
      <c r="M1817" t="s">
        <v>4244</v>
      </c>
      <c r="N1817" t="s">
        <v>1688</v>
      </c>
      <c r="O1817" t="s">
        <v>1686</v>
      </c>
      <c r="P1817">
        <v>0</v>
      </c>
      <c r="Q1817">
        <v>711750</v>
      </c>
      <c r="R1817">
        <v>0</v>
      </c>
      <c r="S1817">
        <v>0</v>
      </c>
      <c r="T1817" t="str">
        <f t="shared" si="56"/>
        <v>13292.43.4302.85.0-205128.2.3.3.08.06.</v>
      </c>
      <c r="U1817" t="e" cm="1">
        <f t="array" aca="1" ref="U1817" ca="1">+IF(COMPROMISOS_2025[[#This Row],[P]]="20","41080111",_xlfn.XLOOKUP(COMPROMISOS_2025[[#This Row],[concatenado]],PAA[[#All],[RCP-RUBRO]],PAA[[#All],[INDICADOR]],"",0))</f>
        <v>#NAME?</v>
      </c>
      <c r="V1817" s="144" t="str">
        <f t="shared" si="57"/>
        <v>85</v>
      </c>
      <c r="W1817" s="136">
        <f>+COMPROMISOS_2025[[#This Row],[valor_total]]-COMPROMISOS_2025[[#This Row],[total_cancelado]]</f>
        <v>711750</v>
      </c>
      <c r="X1817" s="136">
        <f>COMPROMISOS_2025[[#This Row],[total_ordenes]]</f>
        <v>711750</v>
      </c>
      <c r="Y1817" t="str" cm="1">
        <f t="array" aca="1" ref="Y1817" ca="1">IFERROR(_xlfn.XLOOKUP(COMPROMISOS_2025[[#This Row],[concatenado]],PAA[[#All],[RCP-RUBRO]],PAA[[#All],[Actividad3]],VLOOKUP(COMPROMISOS_2025[[#This Row],[Indicador Principal]],$AC$2:$AD$17,2,0),0),"")</f>
        <v/>
      </c>
    </row>
    <row r="1818" spans="1:25" hidden="1" x14ac:dyDescent="0.25">
      <c r="A1818">
        <v>1330</v>
      </c>
      <c r="B1818" t="s">
        <v>2491</v>
      </c>
      <c r="C1818" t="s">
        <v>1936</v>
      </c>
      <c r="D1818" t="s">
        <v>4182</v>
      </c>
      <c r="F1818">
        <v>406</v>
      </c>
      <c r="G1818">
        <v>65</v>
      </c>
      <c r="H1818" t="s">
        <v>662</v>
      </c>
      <c r="I1818" t="s">
        <v>2271</v>
      </c>
      <c r="J1818">
        <v>2847000</v>
      </c>
      <c r="K1818">
        <v>2025</v>
      </c>
      <c r="L1818">
        <v>1001227159</v>
      </c>
      <c r="M1818" t="s">
        <v>3964</v>
      </c>
      <c r="N1818" t="s">
        <v>1688</v>
      </c>
      <c r="O1818" t="s">
        <v>1686</v>
      </c>
      <c r="P1818">
        <v>0</v>
      </c>
      <c r="Q1818">
        <v>2847000</v>
      </c>
      <c r="R1818">
        <v>0</v>
      </c>
      <c r="S1818">
        <v>0</v>
      </c>
      <c r="T1818" t="str">
        <f t="shared" si="56"/>
        <v>13302.43.4302.85.0-205128.2.3.3.08.06.</v>
      </c>
      <c r="U1818" t="e" cm="1">
        <f t="array" aca="1" ref="U1818" ca="1">+IF(COMPROMISOS_2025[[#This Row],[P]]="20","41080111",_xlfn.XLOOKUP(COMPROMISOS_2025[[#This Row],[concatenado]],PAA[[#All],[RCP-RUBRO]],PAA[[#All],[INDICADOR]],"",0))</f>
        <v>#NAME?</v>
      </c>
      <c r="V1818" s="144" t="str">
        <f t="shared" si="57"/>
        <v>85</v>
      </c>
      <c r="W1818" s="136">
        <f>+COMPROMISOS_2025[[#This Row],[valor_total]]-COMPROMISOS_2025[[#This Row],[total_cancelado]]</f>
        <v>2847000</v>
      </c>
      <c r="X1818" s="136">
        <f>COMPROMISOS_2025[[#This Row],[total_ordenes]]</f>
        <v>2847000</v>
      </c>
      <c r="Y1818" t="str" cm="1">
        <f t="array" aca="1" ref="Y1818" ca="1">IFERROR(_xlfn.XLOOKUP(COMPROMISOS_2025[[#This Row],[concatenado]],PAA[[#All],[RCP-RUBRO]],PAA[[#All],[Actividad3]],VLOOKUP(COMPROMISOS_2025[[#This Row],[Indicador Principal]],$AC$2:$AD$17,2,0),0),"")</f>
        <v/>
      </c>
    </row>
    <row r="1819" spans="1:25" hidden="1" x14ac:dyDescent="0.25">
      <c r="A1819">
        <v>1331</v>
      </c>
      <c r="B1819" t="s">
        <v>2491</v>
      </c>
      <c r="C1819" t="s">
        <v>1936</v>
      </c>
      <c r="D1819" t="s">
        <v>4182</v>
      </c>
      <c r="F1819">
        <v>406</v>
      </c>
      <c r="G1819">
        <v>65</v>
      </c>
      <c r="H1819" t="s">
        <v>662</v>
      </c>
      <c r="I1819" t="s">
        <v>2271</v>
      </c>
      <c r="J1819">
        <v>711750</v>
      </c>
      <c r="K1819">
        <v>2025</v>
      </c>
      <c r="L1819">
        <v>1001227502</v>
      </c>
      <c r="M1819" t="s">
        <v>3598</v>
      </c>
      <c r="N1819" t="s">
        <v>1688</v>
      </c>
      <c r="O1819" t="s">
        <v>1686</v>
      </c>
      <c r="P1819">
        <v>0</v>
      </c>
      <c r="Q1819">
        <v>711750</v>
      </c>
      <c r="R1819">
        <v>0</v>
      </c>
      <c r="S1819">
        <v>0</v>
      </c>
      <c r="T1819" t="str">
        <f t="shared" si="56"/>
        <v>13312.43.4302.85.0-205128.2.3.3.08.06.</v>
      </c>
      <c r="U1819" t="e" cm="1">
        <f t="array" aca="1" ref="U1819" ca="1">+IF(COMPROMISOS_2025[[#This Row],[P]]="20","41080111",_xlfn.XLOOKUP(COMPROMISOS_2025[[#This Row],[concatenado]],PAA[[#All],[RCP-RUBRO]],PAA[[#All],[INDICADOR]],"",0))</f>
        <v>#NAME?</v>
      </c>
      <c r="V1819" s="144" t="str">
        <f t="shared" si="57"/>
        <v>85</v>
      </c>
      <c r="W1819" s="136">
        <f>+COMPROMISOS_2025[[#This Row],[valor_total]]-COMPROMISOS_2025[[#This Row],[total_cancelado]]</f>
        <v>711750</v>
      </c>
      <c r="X1819" s="136">
        <f>COMPROMISOS_2025[[#This Row],[total_ordenes]]</f>
        <v>711750</v>
      </c>
      <c r="Y1819" t="str" cm="1">
        <f t="array" aca="1" ref="Y1819" ca="1">IFERROR(_xlfn.XLOOKUP(COMPROMISOS_2025[[#This Row],[concatenado]],PAA[[#All],[RCP-RUBRO]],PAA[[#All],[Actividad3]],VLOOKUP(COMPROMISOS_2025[[#This Row],[Indicador Principal]],$AC$2:$AD$17,2,0),0),"")</f>
        <v/>
      </c>
    </row>
    <row r="1820" spans="1:25" hidden="1" x14ac:dyDescent="0.25">
      <c r="A1820">
        <v>1332</v>
      </c>
      <c r="B1820" t="s">
        <v>2491</v>
      </c>
      <c r="C1820" t="s">
        <v>1936</v>
      </c>
      <c r="D1820" t="s">
        <v>4182</v>
      </c>
      <c r="F1820">
        <v>406</v>
      </c>
      <c r="G1820">
        <v>65</v>
      </c>
      <c r="H1820" t="s">
        <v>662</v>
      </c>
      <c r="I1820" t="s">
        <v>2271</v>
      </c>
      <c r="J1820">
        <v>1423500</v>
      </c>
      <c r="K1820">
        <v>2025</v>
      </c>
      <c r="L1820">
        <v>1001228562</v>
      </c>
      <c r="M1820" t="s">
        <v>3965</v>
      </c>
      <c r="N1820" t="s">
        <v>1688</v>
      </c>
      <c r="O1820" t="s">
        <v>1686</v>
      </c>
      <c r="P1820">
        <v>0</v>
      </c>
      <c r="Q1820">
        <v>1423500</v>
      </c>
      <c r="R1820">
        <v>0</v>
      </c>
      <c r="S1820">
        <v>0</v>
      </c>
      <c r="T1820" t="str">
        <f t="shared" si="56"/>
        <v>13322.43.4302.85.0-205128.2.3.3.08.06.</v>
      </c>
      <c r="U1820" t="e" cm="1">
        <f t="array" aca="1" ref="U1820" ca="1">+IF(COMPROMISOS_2025[[#This Row],[P]]="20","41080111",_xlfn.XLOOKUP(COMPROMISOS_2025[[#This Row],[concatenado]],PAA[[#All],[RCP-RUBRO]],PAA[[#All],[INDICADOR]],"",0))</f>
        <v>#NAME?</v>
      </c>
      <c r="V1820" s="144" t="str">
        <f t="shared" si="57"/>
        <v>85</v>
      </c>
      <c r="W1820" s="136">
        <f>+COMPROMISOS_2025[[#This Row],[valor_total]]-COMPROMISOS_2025[[#This Row],[total_cancelado]]</f>
        <v>1423500</v>
      </c>
      <c r="X1820" s="136">
        <f>COMPROMISOS_2025[[#This Row],[total_ordenes]]</f>
        <v>1423500</v>
      </c>
      <c r="Y1820" t="str" cm="1">
        <f t="array" aca="1" ref="Y1820" ca="1">IFERROR(_xlfn.XLOOKUP(COMPROMISOS_2025[[#This Row],[concatenado]],PAA[[#All],[RCP-RUBRO]],PAA[[#All],[Actividad3]],VLOOKUP(COMPROMISOS_2025[[#This Row],[Indicador Principal]],$AC$2:$AD$17,2,0),0),"")</f>
        <v/>
      </c>
    </row>
    <row r="1821" spans="1:25" hidden="1" x14ac:dyDescent="0.25">
      <c r="A1821">
        <v>1333</v>
      </c>
      <c r="B1821" t="s">
        <v>2491</v>
      </c>
      <c r="C1821" t="s">
        <v>1936</v>
      </c>
      <c r="D1821" t="s">
        <v>4182</v>
      </c>
      <c r="F1821">
        <v>406</v>
      </c>
      <c r="G1821">
        <v>65</v>
      </c>
      <c r="H1821" t="s">
        <v>662</v>
      </c>
      <c r="I1821" t="s">
        <v>2271</v>
      </c>
      <c r="J1821">
        <v>711750</v>
      </c>
      <c r="K1821">
        <v>2025</v>
      </c>
      <c r="L1821">
        <v>1001237127</v>
      </c>
      <c r="M1821" t="s">
        <v>3967</v>
      </c>
      <c r="N1821" t="s">
        <v>1688</v>
      </c>
      <c r="O1821" t="s">
        <v>1686</v>
      </c>
      <c r="P1821">
        <v>0</v>
      </c>
      <c r="Q1821">
        <v>711750</v>
      </c>
      <c r="R1821">
        <v>0</v>
      </c>
      <c r="S1821">
        <v>0</v>
      </c>
      <c r="T1821" t="str">
        <f t="shared" si="56"/>
        <v>13332.43.4302.85.0-205128.2.3.3.08.06.</v>
      </c>
      <c r="U1821" t="e" cm="1">
        <f t="array" aca="1" ref="U1821" ca="1">+IF(COMPROMISOS_2025[[#This Row],[P]]="20","41080111",_xlfn.XLOOKUP(COMPROMISOS_2025[[#This Row],[concatenado]],PAA[[#All],[RCP-RUBRO]],PAA[[#All],[INDICADOR]],"",0))</f>
        <v>#NAME?</v>
      </c>
      <c r="V1821" s="144" t="str">
        <f t="shared" si="57"/>
        <v>85</v>
      </c>
      <c r="W1821" s="136">
        <f>+COMPROMISOS_2025[[#This Row],[valor_total]]-COMPROMISOS_2025[[#This Row],[total_cancelado]]</f>
        <v>711750</v>
      </c>
      <c r="X1821" s="136">
        <f>COMPROMISOS_2025[[#This Row],[total_ordenes]]</f>
        <v>711750</v>
      </c>
      <c r="Y1821" t="str" cm="1">
        <f t="array" aca="1" ref="Y1821" ca="1">IFERROR(_xlfn.XLOOKUP(COMPROMISOS_2025[[#This Row],[concatenado]],PAA[[#All],[RCP-RUBRO]],PAA[[#All],[Actividad3]],VLOOKUP(COMPROMISOS_2025[[#This Row],[Indicador Principal]],$AC$2:$AD$17,2,0),0),"")</f>
        <v/>
      </c>
    </row>
    <row r="1822" spans="1:25" hidden="1" x14ac:dyDescent="0.25">
      <c r="A1822">
        <v>1334</v>
      </c>
      <c r="B1822" t="s">
        <v>2491</v>
      </c>
      <c r="C1822" t="s">
        <v>1936</v>
      </c>
      <c r="D1822" t="s">
        <v>4182</v>
      </c>
      <c r="F1822">
        <v>406</v>
      </c>
      <c r="G1822">
        <v>65</v>
      </c>
      <c r="H1822" t="s">
        <v>662</v>
      </c>
      <c r="I1822" t="s">
        <v>2271</v>
      </c>
      <c r="J1822">
        <v>1067625</v>
      </c>
      <c r="K1822">
        <v>2025</v>
      </c>
      <c r="L1822">
        <v>1001249150</v>
      </c>
      <c r="M1822" t="s">
        <v>3968</v>
      </c>
      <c r="N1822" t="s">
        <v>1688</v>
      </c>
      <c r="O1822" t="s">
        <v>1686</v>
      </c>
      <c r="P1822">
        <v>0</v>
      </c>
      <c r="Q1822">
        <v>1067625</v>
      </c>
      <c r="R1822">
        <v>0</v>
      </c>
      <c r="S1822">
        <v>0</v>
      </c>
      <c r="T1822" t="str">
        <f t="shared" si="56"/>
        <v>13342.43.4302.85.0-205128.2.3.3.08.06.</v>
      </c>
      <c r="U1822" t="e" cm="1">
        <f t="array" aca="1" ref="U1822" ca="1">+IF(COMPROMISOS_2025[[#This Row],[P]]="20","41080111",_xlfn.XLOOKUP(COMPROMISOS_2025[[#This Row],[concatenado]],PAA[[#All],[RCP-RUBRO]],PAA[[#All],[INDICADOR]],"",0))</f>
        <v>#NAME?</v>
      </c>
      <c r="V1822" s="144" t="str">
        <f t="shared" si="57"/>
        <v>85</v>
      </c>
      <c r="W1822" s="136">
        <f>+COMPROMISOS_2025[[#This Row],[valor_total]]-COMPROMISOS_2025[[#This Row],[total_cancelado]]</f>
        <v>1067625</v>
      </c>
      <c r="X1822" s="136">
        <f>COMPROMISOS_2025[[#This Row],[total_ordenes]]</f>
        <v>1067625</v>
      </c>
      <c r="Y1822" t="str" cm="1">
        <f t="array" aca="1" ref="Y1822" ca="1">IFERROR(_xlfn.XLOOKUP(COMPROMISOS_2025[[#This Row],[concatenado]],PAA[[#All],[RCP-RUBRO]],PAA[[#All],[Actividad3]],VLOOKUP(COMPROMISOS_2025[[#This Row],[Indicador Principal]],$AC$2:$AD$17,2,0),0),"")</f>
        <v/>
      </c>
    </row>
    <row r="1823" spans="1:25" hidden="1" x14ac:dyDescent="0.25">
      <c r="A1823">
        <v>1335</v>
      </c>
      <c r="B1823" t="s">
        <v>2491</v>
      </c>
      <c r="C1823" t="s">
        <v>1936</v>
      </c>
      <c r="D1823" t="s">
        <v>4182</v>
      </c>
      <c r="F1823">
        <v>406</v>
      </c>
      <c r="G1823">
        <v>65</v>
      </c>
      <c r="H1823" t="s">
        <v>662</v>
      </c>
      <c r="I1823" t="s">
        <v>2271</v>
      </c>
      <c r="J1823">
        <v>1423500</v>
      </c>
      <c r="K1823">
        <v>2025</v>
      </c>
      <c r="L1823">
        <v>1001359975</v>
      </c>
      <c r="M1823" t="s">
        <v>3969</v>
      </c>
      <c r="N1823" t="s">
        <v>1688</v>
      </c>
      <c r="O1823" t="s">
        <v>1686</v>
      </c>
      <c r="P1823">
        <v>0</v>
      </c>
      <c r="Q1823">
        <v>1423500</v>
      </c>
      <c r="R1823">
        <v>0</v>
      </c>
      <c r="S1823">
        <v>0</v>
      </c>
      <c r="T1823" t="str">
        <f t="shared" si="56"/>
        <v>13352.43.4302.85.0-205128.2.3.3.08.06.</v>
      </c>
      <c r="U1823" t="e" cm="1">
        <f t="array" aca="1" ref="U1823" ca="1">+IF(COMPROMISOS_2025[[#This Row],[P]]="20","41080111",_xlfn.XLOOKUP(COMPROMISOS_2025[[#This Row],[concatenado]],PAA[[#All],[RCP-RUBRO]],PAA[[#All],[INDICADOR]],"",0))</f>
        <v>#NAME?</v>
      </c>
      <c r="V1823" s="144" t="str">
        <f t="shared" si="57"/>
        <v>85</v>
      </c>
      <c r="W1823" s="136">
        <f>+COMPROMISOS_2025[[#This Row],[valor_total]]-COMPROMISOS_2025[[#This Row],[total_cancelado]]</f>
        <v>1423500</v>
      </c>
      <c r="X1823" s="136">
        <f>COMPROMISOS_2025[[#This Row],[total_ordenes]]</f>
        <v>1423500</v>
      </c>
      <c r="Y1823" t="str" cm="1">
        <f t="array" aca="1" ref="Y1823" ca="1">IFERROR(_xlfn.XLOOKUP(COMPROMISOS_2025[[#This Row],[concatenado]],PAA[[#All],[RCP-RUBRO]],PAA[[#All],[Actividad3]],VLOOKUP(COMPROMISOS_2025[[#This Row],[Indicador Principal]],$AC$2:$AD$17,2,0),0),"")</f>
        <v/>
      </c>
    </row>
    <row r="1824" spans="1:25" hidden="1" x14ac:dyDescent="0.25">
      <c r="A1824">
        <v>1336</v>
      </c>
      <c r="B1824" t="s">
        <v>2491</v>
      </c>
      <c r="C1824" t="s">
        <v>1936</v>
      </c>
      <c r="D1824" t="s">
        <v>4182</v>
      </c>
      <c r="F1824">
        <v>406</v>
      </c>
      <c r="G1824">
        <v>65</v>
      </c>
      <c r="H1824" t="s">
        <v>662</v>
      </c>
      <c r="I1824" t="s">
        <v>2271</v>
      </c>
      <c r="J1824">
        <v>2847000</v>
      </c>
      <c r="K1824">
        <v>2025</v>
      </c>
      <c r="L1824">
        <v>1001366315</v>
      </c>
      <c r="M1824" t="s">
        <v>4245</v>
      </c>
      <c r="N1824" t="s">
        <v>1688</v>
      </c>
      <c r="O1824" t="s">
        <v>1686</v>
      </c>
      <c r="P1824">
        <v>0</v>
      </c>
      <c r="Q1824">
        <v>2847000</v>
      </c>
      <c r="R1824">
        <v>0</v>
      </c>
      <c r="S1824">
        <v>0</v>
      </c>
      <c r="T1824" t="str">
        <f t="shared" si="56"/>
        <v>13362.43.4302.85.0-205128.2.3.3.08.06.</v>
      </c>
      <c r="U1824" t="e" cm="1">
        <f t="array" aca="1" ref="U1824" ca="1">+IF(COMPROMISOS_2025[[#This Row],[P]]="20","41080111",_xlfn.XLOOKUP(COMPROMISOS_2025[[#This Row],[concatenado]],PAA[[#All],[RCP-RUBRO]],PAA[[#All],[INDICADOR]],"",0))</f>
        <v>#NAME?</v>
      </c>
      <c r="V1824" s="144" t="str">
        <f t="shared" si="57"/>
        <v>85</v>
      </c>
      <c r="W1824" s="136">
        <f>+COMPROMISOS_2025[[#This Row],[valor_total]]-COMPROMISOS_2025[[#This Row],[total_cancelado]]</f>
        <v>2847000</v>
      </c>
      <c r="X1824" s="136">
        <f>COMPROMISOS_2025[[#This Row],[total_ordenes]]</f>
        <v>2847000</v>
      </c>
      <c r="Y1824" t="str" cm="1">
        <f t="array" aca="1" ref="Y1824" ca="1">IFERROR(_xlfn.XLOOKUP(COMPROMISOS_2025[[#This Row],[concatenado]],PAA[[#All],[RCP-RUBRO]],PAA[[#All],[Actividad3]],VLOOKUP(COMPROMISOS_2025[[#This Row],[Indicador Principal]],$AC$2:$AD$17,2,0),0),"")</f>
        <v/>
      </c>
    </row>
    <row r="1825" spans="1:25" hidden="1" x14ac:dyDescent="0.25">
      <c r="A1825">
        <v>1337</v>
      </c>
      <c r="B1825" t="s">
        <v>2491</v>
      </c>
      <c r="C1825" t="s">
        <v>1936</v>
      </c>
      <c r="D1825" t="s">
        <v>4182</v>
      </c>
      <c r="F1825">
        <v>406</v>
      </c>
      <c r="G1825">
        <v>65</v>
      </c>
      <c r="H1825" t="s">
        <v>662</v>
      </c>
      <c r="I1825" t="s">
        <v>2271</v>
      </c>
      <c r="J1825">
        <v>1423500</v>
      </c>
      <c r="K1825">
        <v>2025</v>
      </c>
      <c r="L1825">
        <v>1001370659</v>
      </c>
      <c r="M1825" t="s">
        <v>3599</v>
      </c>
      <c r="N1825" t="s">
        <v>1688</v>
      </c>
      <c r="O1825" t="s">
        <v>1686</v>
      </c>
      <c r="P1825">
        <v>0</v>
      </c>
      <c r="Q1825">
        <v>1423500</v>
      </c>
      <c r="R1825">
        <v>0</v>
      </c>
      <c r="S1825">
        <v>0</v>
      </c>
      <c r="T1825" t="str">
        <f t="shared" si="56"/>
        <v>13372.43.4302.85.0-205128.2.3.3.08.06.</v>
      </c>
      <c r="U1825" t="e" cm="1">
        <f t="array" aca="1" ref="U1825" ca="1">+IF(COMPROMISOS_2025[[#This Row],[P]]="20","41080111",_xlfn.XLOOKUP(COMPROMISOS_2025[[#This Row],[concatenado]],PAA[[#All],[RCP-RUBRO]],PAA[[#All],[INDICADOR]],"",0))</f>
        <v>#NAME?</v>
      </c>
      <c r="V1825" s="144" t="str">
        <f t="shared" si="57"/>
        <v>85</v>
      </c>
      <c r="W1825" s="136">
        <f>+COMPROMISOS_2025[[#This Row],[valor_total]]-COMPROMISOS_2025[[#This Row],[total_cancelado]]</f>
        <v>1423500</v>
      </c>
      <c r="X1825" s="136">
        <f>COMPROMISOS_2025[[#This Row],[total_ordenes]]</f>
        <v>1423500</v>
      </c>
      <c r="Y1825" t="str" cm="1">
        <f t="array" aca="1" ref="Y1825" ca="1">IFERROR(_xlfn.XLOOKUP(COMPROMISOS_2025[[#This Row],[concatenado]],PAA[[#All],[RCP-RUBRO]],PAA[[#All],[Actividad3]],VLOOKUP(COMPROMISOS_2025[[#This Row],[Indicador Principal]],$AC$2:$AD$17,2,0),0),"")</f>
        <v/>
      </c>
    </row>
    <row r="1826" spans="1:25" hidden="1" x14ac:dyDescent="0.25">
      <c r="A1826">
        <v>1338</v>
      </c>
      <c r="B1826" t="s">
        <v>2491</v>
      </c>
      <c r="C1826" t="s">
        <v>1936</v>
      </c>
      <c r="D1826" t="s">
        <v>4182</v>
      </c>
      <c r="F1826">
        <v>406</v>
      </c>
      <c r="G1826">
        <v>65</v>
      </c>
      <c r="H1826" t="s">
        <v>662</v>
      </c>
      <c r="I1826" t="s">
        <v>2271</v>
      </c>
      <c r="J1826">
        <v>2847000</v>
      </c>
      <c r="K1826">
        <v>2025</v>
      </c>
      <c r="L1826">
        <v>1001386972</v>
      </c>
      <c r="M1826" t="s">
        <v>4246</v>
      </c>
      <c r="N1826" t="s">
        <v>1688</v>
      </c>
      <c r="O1826" t="s">
        <v>1686</v>
      </c>
      <c r="P1826">
        <v>0</v>
      </c>
      <c r="Q1826">
        <v>2847000</v>
      </c>
      <c r="R1826">
        <v>0</v>
      </c>
      <c r="S1826">
        <v>0</v>
      </c>
      <c r="T1826" t="str">
        <f t="shared" si="56"/>
        <v>13382.43.4302.85.0-205128.2.3.3.08.06.</v>
      </c>
      <c r="U1826" t="e" cm="1">
        <f t="array" aca="1" ref="U1826" ca="1">+IF(COMPROMISOS_2025[[#This Row],[P]]="20","41080111",_xlfn.XLOOKUP(COMPROMISOS_2025[[#This Row],[concatenado]],PAA[[#All],[RCP-RUBRO]],PAA[[#All],[INDICADOR]],"",0))</f>
        <v>#NAME?</v>
      </c>
      <c r="V1826" s="144" t="str">
        <f t="shared" si="57"/>
        <v>85</v>
      </c>
      <c r="W1826" s="136">
        <f>+COMPROMISOS_2025[[#This Row],[valor_total]]-COMPROMISOS_2025[[#This Row],[total_cancelado]]</f>
        <v>2847000</v>
      </c>
      <c r="X1826" s="136">
        <f>COMPROMISOS_2025[[#This Row],[total_ordenes]]</f>
        <v>2847000</v>
      </c>
      <c r="Y1826" t="str" cm="1">
        <f t="array" aca="1" ref="Y1826" ca="1">IFERROR(_xlfn.XLOOKUP(COMPROMISOS_2025[[#This Row],[concatenado]],PAA[[#All],[RCP-RUBRO]],PAA[[#All],[Actividad3]],VLOOKUP(COMPROMISOS_2025[[#This Row],[Indicador Principal]],$AC$2:$AD$17,2,0),0),"")</f>
        <v/>
      </c>
    </row>
    <row r="1827" spans="1:25" hidden="1" x14ac:dyDescent="0.25">
      <c r="A1827">
        <v>1339</v>
      </c>
      <c r="B1827" t="s">
        <v>2491</v>
      </c>
      <c r="C1827" t="s">
        <v>1936</v>
      </c>
      <c r="D1827" t="s">
        <v>4182</v>
      </c>
      <c r="F1827">
        <v>406</v>
      </c>
      <c r="G1827">
        <v>65</v>
      </c>
      <c r="H1827" t="s">
        <v>662</v>
      </c>
      <c r="I1827" t="s">
        <v>2271</v>
      </c>
      <c r="J1827">
        <v>2847000</v>
      </c>
      <c r="K1827">
        <v>2025</v>
      </c>
      <c r="L1827">
        <v>1001389977</v>
      </c>
      <c r="M1827" t="s">
        <v>4247</v>
      </c>
      <c r="N1827" t="s">
        <v>1688</v>
      </c>
      <c r="O1827" t="s">
        <v>1686</v>
      </c>
      <c r="P1827">
        <v>0</v>
      </c>
      <c r="Q1827">
        <v>2847000</v>
      </c>
      <c r="R1827">
        <v>0</v>
      </c>
      <c r="S1827">
        <v>0</v>
      </c>
      <c r="T1827" t="str">
        <f t="shared" si="56"/>
        <v>13392.43.4302.85.0-205128.2.3.3.08.06.</v>
      </c>
      <c r="U1827" t="e" cm="1">
        <f t="array" aca="1" ref="U1827" ca="1">+IF(COMPROMISOS_2025[[#This Row],[P]]="20","41080111",_xlfn.XLOOKUP(COMPROMISOS_2025[[#This Row],[concatenado]],PAA[[#All],[RCP-RUBRO]],PAA[[#All],[INDICADOR]],"",0))</f>
        <v>#NAME?</v>
      </c>
      <c r="V1827" s="144" t="str">
        <f t="shared" si="57"/>
        <v>85</v>
      </c>
      <c r="W1827" s="136">
        <f>+COMPROMISOS_2025[[#This Row],[valor_total]]-COMPROMISOS_2025[[#This Row],[total_cancelado]]</f>
        <v>2847000</v>
      </c>
      <c r="X1827" s="136">
        <f>COMPROMISOS_2025[[#This Row],[total_ordenes]]</f>
        <v>2847000</v>
      </c>
      <c r="Y1827" t="str" cm="1">
        <f t="array" aca="1" ref="Y1827" ca="1">IFERROR(_xlfn.XLOOKUP(COMPROMISOS_2025[[#This Row],[concatenado]],PAA[[#All],[RCP-RUBRO]],PAA[[#All],[Actividad3]],VLOOKUP(COMPROMISOS_2025[[#This Row],[Indicador Principal]],$AC$2:$AD$17,2,0),0),"")</f>
        <v/>
      </c>
    </row>
    <row r="1828" spans="1:25" hidden="1" x14ac:dyDescent="0.25">
      <c r="A1828">
        <v>1340</v>
      </c>
      <c r="B1828" t="s">
        <v>2491</v>
      </c>
      <c r="C1828" t="s">
        <v>1936</v>
      </c>
      <c r="D1828" t="s">
        <v>4182</v>
      </c>
      <c r="F1828">
        <v>406</v>
      </c>
      <c r="G1828">
        <v>65</v>
      </c>
      <c r="H1828" t="s">
        <v>662</v>
      </c>
      <c r="I1828" t="s">
        <v>2271</v>
      </c>
      <c r="J1828">
        <v>711750</v>
      </c>
      <c r="K1828">
        <v>2025</v>
      </c>
      <c r="L1828">
        <v>1001391082</v>
      </c>
      <c r="M1828" t="s">
        <v>4248</v>
      </c>
      <c r="N1828" t="s">
        <v>1688</v>
      </c>
      <c r="O1828" t="s">
        <v>1686</v>
      </c>
      <c r="P1828">
        <v>0</v>
      </c>
      <c r="Q1828">
        <v>711750</v>
      </c>
      <c r="R1828">
        <v>0</v>
      </c>
      <c r="S1828">
        <v>0</v>
      </c>
      <c r="T1828" t="str">
        <f t="shared" si="56"/>
        <v>13402.43.4302.85.0-205128.2.3.3.08.06.</v>
      </c>
      <c r="U1828" t="e" cm="1">
        <f t="array" aca="1" ref="U1828" ca="1">+IF(COMPROMISOS_2025[[#This Row],[P]]="20","41080111",_xlfn.XLOOKUP(COMPROMISOS_2025[[#This Row],[concatenado]],PAA[[#All],[RCP-RUBRO]],PAA[[#All],[INDICADOR]],"",0))</f>
        <v>#NAME?</v>
      </c>
      <c r="V1828" s="144" t="str">
        <f t="shared" si="57"/>
        <v>85</v>
      </c>
      <c r="W1828" s="136">
        <f>+COMPROMISOS_2025[[#This Row],[valor_total]]-COMPROMISOS_2025[[#This Row],[total_cancelado]]</f>
        <v>711750</v>
      </c>
      <c r="X1828" s="136">
        <f>COMPROMISOS_2025[[#This Row],[total_ordenes]]</f>
        <v>711750</v>
      </c>
      <c r="Y1828" t="str" cm="1">
        <f t="array" aca="1" ref="Y1828" ca="1">IFERROR(_xlfn.XLOOKUP(COMPROMISOS_2025[[#This Row],[concatenado]],PAA[[#All],[RCP-RUBRO]],PAA[[#All],[Actividad3]],VLOOKUP(COMPROMISOS_2025[[#This Row],[Indicador Principal]],$AC$2:$AD$17,2,0),0),"")</f>
        <v/>
      </c>
    </row>
    <row r="1829" spans="1:25" hidden="1" x14ac:dyDescent="0.25">
      <c r="A1829">
        <v>1341</v>
      </c>
      <c r="B1829" t="s">
        <v>2491</v>
      </c>
      <c r="C1829" t="s">
        <v>1936</v>
      </c>
      <c r="D1829" t="s">
        <v>4182</v>
      </c>
      <c r="F1829">
        <v>406</v>
      </c>
      <c r="G1829">
        <v>65</v>
      </c>
      <c r="H1829" t="s">
        <v>662</v>
      </c>
      <c r="I1829" t="s">
        <v>2271</v>
      </c>
      <c r="J1829">
        <v>711750</v>
      </c>
      <c r="K1829">
        <v>2025</v>
      </c>
      <c r="L1829">
        <v>1001411971</v>
      </c>
      <c r="M1829" t="s">
        <v>4249</v>
      </c>
      <c r="N1829" t="s">
        <v>1688</v>
      </c>
      <c r="O1829" t="s">
        <v>1686</v>
      </c>
      <c r="P1829">
        <v>0</v>
      </c>
      <c r="Q1829">
        <v>711750</v>
      </c>
      <c r="R1829">
        <v>0</v>
      </c>
      <c r="S1829">
        <v>0</v>
      </c>
      <c r="T1829" t="str">
        <f t="shared" si="56"/>
        <v>13412.43.4302.85.0-205128.2.3.3.08.06.</v>
      </c>
      <c r="U1829" t="e" cm="1">
        <f t="array" aca="1" ref="U1829" ca="1">+IF(COMPROMISOS_2025[[#This Row],[P]]="20","41080111",_xlfn.XLOOKUP(COMPROMISOS_2025[[#This Row],[concatenado]],PAA[[#All],[RCP-RUBRO]],PAA[[#All],[INDICADOR]],"",0))</f>
        <v>#NAME?</v>
      </c>
      <c r="V1829" s="144" t="str">
        <f t="shared" si="57"/>
        <v>85</v>
      </c>
      <c r="W1829" s="136">
        <f>+COMPROMISOS_2025[[#This Row],[valor_total]]-COMPROMISOS_2025[[#This Row],[total_cancelado]]</f>
        <v>711750</v>
      </c>
      <c r="X1829" s="136">
        <f>COMPROMISOS_2025[[#This Row],[total_ordenes]]</f>
        <v>711750</v>
      </c>
      <c r="Y1829" t="str" cm="1">
        <f t="array" aca="1" ref="Y1829" ca="1">IFERROR(_xlfn.XLOOKUP(COMPROMISOS_2025[[#This Row],[concatenado]],PAA[[#All],[RCP-RUBRO]],PAA[[#All],[Actividad3]],VLOOKUP(COMPROMISOS_2025[[#This Row],[Indicador Principal]],$AC$2:$AD$17,2,0),0),"")</f>
        <v/>
      </c>
    </row>
    <row r="1830" spans="1:25" hidden="1" x14ac:dyDescent="0.25">
      <c r="A1830">
        <v>1342</v>
      </c>
      <c r="B1830" t="s">
        <v>2491</v>
      </c>
      <c r="C1830" t="s">
        <v>1936</v>
      </c>
      <c r="D1830" t="s">
        <v>4182</v>
      </c>
      <c r="F1830">
        <v>406</v>
      </c>
      <c r="G1830">
        <v>65</v>
      </c>
      <c r="H1830" t="s">
        <v>662</v>
      </c>
      <c r="I1830" t="s">
        <v>2271</v>
      </c>
      <c r="J1830">
        <v>1067625</v>
      </c>
      <c r="K1830">
        <v>2025</v>
      </c>
      <c r="L1830">
        <v>1001420883</v>
      </c>
      <c r="M1830" t="s">
        <v>4250</v>
      </c>
      <c r="N1830" t="s">
        <v>1688</v>
      </c>
      <c r="O1830" t="s">
        <v>1686</v>
      </c>
      <c r="P1830">
        <v>0</v>
      </c>
      <c r="Q1830">
        <v>1067625</v>
      </c>
      <c r="R1830">
        <v>0</v>
      </c>
      <c r="S1830">
        <v>0</v>
      </c>
      <c r="T1830" t="str">
        <f t="shared" si="56"/>
        <v>13422.43.4302.85.0-205128.2.3.3.08.06.</v>
      </c>
      <c r="U1830" t="e" cm="1">
        <f t="array" aca="1" ref="U1830" ca="1">+IF(COMPROMISOS_2025[[#This Row],[P]]="20","41080111",_xlfn.XLOOKUP(COMPROMISOS_2025[[#This Row],[concatenado]],PAA[[#All],[RCP-RUBRO]],PAA[[#All],[INDICADOR]],"",0))</f>
        <v>#NAME?</v>
      </c>
      <c r="V1830" s="144" t="str">
        <f t="shared" si="57"/>
        <v>85</v>
      </c>
      <c r="W1830" s="136">
        <f>+COMPROMISOS_2025[[#This Row],[valor_total]]-COMPROMISOS_2025[[#This Row],[total_cancelado]]</f>
        <v>1067625</v>
      </c>
      <c r="X1830" s="136">
        <f>COMPROMISOS_2025[[#This Row],[total_ordenes]]</f>
        <v>1067625</v>
      </c>
      <c r="Y1830" t="str" cm="1">
        <f t="array" aca="1" ref="Y1830" ca="1">IFERROR(_xlfn.XLOOKUP(COMPROMISOS_2025[[#This Row],[concatenado]],PAA[[#All],[RCP-RUBRO]],PAA[[#All],[Actividad3]],VLOOKUP(COMPROMISOS_2025[[#This Row],[Indicador Principal]],$AC$2:$AD$17,2,0),0),"")</f>
        <v/>
      </c>
    </row>
    <row r="1831" spans="1:25" hidden="1" x14ac:dyDescent="0.25">
      <c r="A1831">
        <v>1343</v>
      </c>
      <c r="B1831" t="s">
        <v>2491</v>
      </c>
      <c r="C1831" t="s">
        <v>1936</v>
      </c>
      <c r="D1831" t="s">
        <v>4182</v>
      </c>
      <c r="F1831">
        <v>406</v>
      </c>
      <c r="G1831">
        <v>65</v>
      </c>
      <c r="H1831" t="s">
        <v>662</v>
      </c>
      <c r="I1831" t="s">
        <v>2271</v>
      </c>
      <c r="J1831">
        <v>2847000</v>
      </c>
      <c r="K1831">
        <v>2025</v>
      </c>
      <c r="L1831">
        <v>1001477811</v>
      </c>
      <c r="M1831" t="s">
        <v>4251</v>
      </c>
      <c r="N1831" t="s">
        <v>1688</v>
      </c>
      <c r="O1831" t="s">
        <v>1686</v>
      </c>
      <c r="P1831">
        <v>0</v>
      </c>
      <c r="Q1831">
        <v>2847000</v>
      </c>
      <c r="R1831">
        <v>0</v>
      </c>
      <c r="S1831">
        <v>0</v>
      </c>
      <c r="T1831" t="str">
        <f t="shared" si="56"/>
        <v>13432.43.4302.85.0-205128.2.3.3.08.06.</v>
      </c>
      <c r="U1831" t="e" cm="1">
        <f t="array" aca="1" ref="U1831" ca="1">+IF(COMPROMISOS_2025[[#This Row],[P]]="20","41080111",_xlfn.XLOOKUP(COMPROMISOS_2025[[#This Row],[concatenado]],PAA[[#All],[RCP-RUBRO]],PAA[[#All],[INDICADOR]],"",0))</f>
        <v>#NAME?</v>
      </c>
      <c r="V1831" s="144" t="str">
        <f t="shared" si="57"/>
        <v>85</v>
      </c>
      <c r="W1831" s="136">
        <f>+COMPROMISOS_2025[[#This Row],[valor_total]]-COMPROMISOS_2025[[#This Row],[total_cancelado]]</f>
        <v>2847000</v>
      </c>
      <c r="X1831" s="136">
        <f>COMPROMISOS_2025[[#This Row],[total_ordenes]]</f>
        <v>2847000</v>
      </c>
      <c r="Y1831" t="str" cm="1">
        <f t="array" aca="1" ref="Y1831" ca="1">IFERROR(_xlfn.XLOOKUP(COMPROMISOS_2025[[#This Row],[concatenado]],PAA[[#All],[RCP-RUBRO]],PAA[[#All],[Actividad3]],VLOOKUP(COMPROMISOS_2025[[#This Row],[Indicador Principal]],$AC$2:$AD$17,2,0),0),"")</f>
        <v/>
      </c>
    </row>
    <row r="1832" spans="1:25" hidden="1" x14ac:dyDescent="0.25">
      <c r="A1832">
        <v>1344</v>
      </c>
      <c r="B1832" t="s">
        <v>2491</v>
      </c>
      <c r="C1832" t="s">
        <v>1936</v>
      </c>
      <c r="D1832" t="s">
        <v>4182</v>
      </c>
      <c r="F1832">
        <v>406</v>
      </c>
      <c r="G1832">
        <v>65</v>
      </c>
      <c r="H1832" t="s">
        <v>662</v>
      </c>
      <c r="I1832" t="s">
        <v>2271</v>
      </c>
      <c r="J1832">
        <v>2847000</v>
      </c>
      <c r="K1832">
        <v>2025</v>
      </c>
      <c r="L1832">
        <v>1001497137</v>
      </c>
      <c r="M1832" t="s">
        <v>3600</v>
      </c>
      <c r="N1832" t="s">
        <v>1688</v>
      </c>
      <c r="O1832" t="s">
        <v>1686</v>
      </c>
      <c r="P1832">
        <v>0</v>
      </c>
      <c r="Q1832">
        <v>2847000</v>
      </c>
      <c r="R1832">
        <v>0</v>
      </c>
      <c r="S1832">
        <v>0</v>
      </c>
      <c r="T1832" t="str">
        <f t="shared" si="56"/>
        <v>13442.43.4302.85.0-205128.2.3.3.08.06.</v>
      </c>
      <c r="U1832" t="e" cm="1">
        <f t="array" aca="1" ref="U1832" ca="1">+IF(COMPROMISOS_2025[[#This Row],[P]]="20","41080111",_xlfn.XLOOKUP(COMPROMISOS_2025[[#This Row],[concatenado]],PAA[[#All],[RCP-RUBRO]],PAA[[#All],[INDICADOR]],"",0))</f>
        <v>#NAME?</v>
      </c>
      <c r="V1832" s="144" t="str">
        <f t="shared" si="57"/>
        <v>85</v>
      </c>
      <c r="W1832" s="136">
        <f>+COMPROMISOS_2025[[#This Row],[valor_total]]-COMPROMISOS_2025[[#This Row],[total_cancelado]]</f>
        <v>2847000</v>
      </c>
      <c r="X1832" s="136">
        <f>COMPROMISOS_2025[[#This Row],[total_ordenes]]</f>
        <v>2847000</v>
      </c>
      <c r="Y1832" t="str" cm="1">
        <f t="array" aca="1" ref="Y1832" ca="1">IFERROR(_xlfn.XLOOKUP(COMPROMISOS_2025[[#This Row],[concatenado]],PAA[[#All],[RCP-RUBRO]],PAA[[#All],[Actividad3]],VLOOKUP(COMPROMISOS_2025[[#This Row],[Indicador Principal]],$AC$2:$AD$17,2,0),0),"")</f>
        <v/>
      </c>
    </row>
    <row r="1833" spans="1:25" hidden="1" x14ac:dyDescent="0.25">
      <c r="A1833">
        <v>1345</v>
      </c>
      <c r="B1833" t="s">
        <v>2491</v>
      </c>
      <c r="C1833" t="s">
        <v>1936</v>
      </c>
      <c r="D1833" t="s">
        <v>4182</v>
      </c>
      <c r="F1833">
        <v>406</v>
      </c>
      <c r="G1833">
        <v>65</v>
      </c>
      <c r="H1833" t="s">
        <v>662</v>
      </c>
      <c r="I1833" t="s">
        <v>2271</v>
      </c>
      <c r="J1833">
        <v>1423500</v>
      </c>
      <c r="K1833">
        <v>2025</v>
      </c>
      <c r="L1833">
        <v>10014972036</v>
      </c>
      <c r="M1833" t="s">
        <v>3138</v>
      </c>
      <c r="N1833" t="s">
        <v>1688</v>
      </c>
      <c r="O1833" t="s">
        <v>1686</v>
      </c>
      <c r="P1833">
        <v>0</v>
      </c>
      <c r="Q1833">
        <v>1423500</v>
      </c>
      <c r="R1833">
        <v>0</v>
      </c>
      <c r="S1833">
        <v>0</v>
      </c>
      <c r="T1833" t="str">
        <f t="shared" si="56"/>
        <v>13452.43.4302.85.0-205128.2.3.3.08.06.</v>
      </c>
      <c r="U1833" t="e" cm="1">
        <f t="array" aca="1" ref="U1833" ca="1">+IF(COMPROMISOS_2025[[#This Row],[P]]="20","41080111",_xlfn.XLOOKUP(COMPROMISOS_2025[[#This Row],[concatenado]],PAA[[#All],[RCP-RUBRO]],PAA[[#All],[INDICADOR]],"",0))</f>
        <v>#NAME?</v>
      </c>
      <c r="V1833" s="144" t="str">
        <f t="shared" si="57"/>
        <v>85</v>
      </c>
      <c r="W1833" s="136">
        <f>+COMPROMISOS_2025[[#This Row],[valor_total]]-COMPROMISOS_2025[[#This Row],[total_cancelado]]</f>
        <v>1423500</v>
      </c>
      <c r="X1833" s="136">
        <f>COMPROMISOS_2025[[#This Row],[total_ordenes]]</f>
        <v>1423500</v>
      </c>
      <c r="Y1833" t="str" cm="1">
        <f t="array" aca="1" ref="Y1833" ca="1">IFERROR(_xlfn.XLOOKUP(COMPROMISOS_2025[[#This Row],[concatenado]],PAA[[#All],[RCP-RUBRO]],PAA[[#All],[Actividad3]],VLOOKUP(COMPROMISOS_2025[[#This Row],[Indicador Principal]],$AC$2:$AD$17,2,0),0),"")</f>
        <v/>
      </c>
    </row>
    <row r="1834" spans="1:25" hidden="1" x14ac:dyDescent="0.25">
      <c r="A1834">
        <v>1346</v>
      </c>
      <c r="B1834" t="s">
        <v>2491</v>
      </c>
      <c r="C1834" t="s">
        <v>1936</v>
      </c>
      <c r="D1834" t="s">
        <v>4182</v>
      </c>
      <c r="F1834">
        <v>406</v>
      </c>
      <c r="G1834">
        <v>65</v>
      </c>
      <c r="H1834" t="s">
        <v>662</v>
      </c>
      <c r="I1834" t="s">
        <v>2271</v>
      </c>
      <c r="J1834">
        <v>711750</v>
      </c>
      <c r="K1834">
        <v>2025</v>
      </c>
      <c r="L1834">
        <v>1001534811</v>
      </c>
      <c r="M1834" t="s">
        <v>3972</v>
      </c>
      <c r="N1834" t="s">
        <v>1688</v>
      </c>
      <c r="O1834" t="s">
        <v>1686</v>
      </c>
      <c r="P1834">
        <v>0</v>
      </c>
      <c r="Q1834">
        <v>711750</v>
      </c>
      <c r="R1834">
        <v>0</v>
      </c>
      <c r="S1834">
        <v>0</v>
      </c>
      <c r="T1834" t="str">
        <f t="shared" si="56"/>
        <v>13462.43.4302.85.0-205128.2.3.3.08.06.</v>
      </c>
      <c r="U1834" t="e" cm="1">
        <f t="array" aca="1" ref="U1834" ca="1">+IF(COMPROMISOS_2025[[#This Row],[P]]="20","41080111",_xlfn.XLOOKUP(COMPROMISOS_2025[[#This Row],[concatenado]],PAA[[#All],[RCP-RUBRO]],PAA[[#All],[INDICADOR]],"",0))</f>
        <v>#NAME?</v>
      </c>
      <c r="V1834" s="144" t="str">
        <f t="shared" si="57"/>
        <v>85</v>
      </c>
      <c r="W1834" s="136">
        <f>+COMPROMISOS_2025[[#This Row],[valor_total]]-COMPROMISOS_2025[[#This Row],[total_cancelado]]</f>
        <v>711750</v>
      </c>
      <c r="X1834" s="136">
        <f>COMPROMISOS_2025[[#This Row],[total_ordenes]]</f>
        <v>711750</v>
      </c>
      <c r="Y1834" t="str" cm="1">
        <f t="array" aca="1" ref="Y1834" ca="1">IFERROR(_xlfn.XLOOKUP(COMPROMISOS_2025[[#This Row],[concatenado]],PAA[[#All],[RCP-RUBRO]],PAA[[#All],[Actividad3]],VLOOKUP(COMPROMISOS_2025[[#This Row],[Indicador Principal]],$AC$2:$AD$17,2,0),0),"")</f>
        <v/>
      </c>
    </row>
    <row r="1835" spans="1:25" hidden="1" x14ac:dyDescent="0.25">
      <c r="A1835">
        <v>1347</v>
      </c>
      <c r="B1835" t="s">
        <v>2491</v>
      </c>
      <c r="C1835" t="s">
        <v>1936</v>
      </c>
      <c r="D1835" t="s">
        <v>4182</v>
      </c>
      <c r="F1835">
        <v>406</v>
      </c>
      <c r="G1835">
        <v>65</v>
      </c>
      <c r="H1835" t="s">
        <v>662</v>
      </c>
      <c r="I1835" t="s">
        <v>2271</v>
      </c>
      <c r="J1835">
        <v>1423500</v>
      </c>
      <c r="K1835">
        <v>2025</v>
      </c>
      <c r="L1835">
        <v>1001577370</v>
      </c>
      <c r="M1835" t="s">
        <v>4252</v>
      </c>
      <c r="N1835" t="s">
        <v>1688</v>
      </c>
      <c r="O1835" t="s">
        <v>1686</v>
      </c>
      <c r="P1835">
        <v>0</v>
      </c>
      <c r="Q1835">
        <v>1423500</v>
      </c>
      <c r="R1835">
        <v>0</v>
      </c>
      <c r="S1835">
        <v>0</v>
      </c>
      <c r="T1835" t="str">
        <f t="shared" si="56"/>
        <v>13472.43.4302.85.0-205128.2.3.3.08.06.</v>
      </c>
      <c r="U1835" t="e" cm="1">
        <f t="array" aca="1" ref="U1835" ca="1">+IF(COMPROMISOS_2025[[#This Row],[P]]="20","41080111",_xlfn.XLOOKUP(COMPROMISOS_2025[[#This Row],[concatenado]],PAA[[#All],[RCP-RUBRO]],PAA[[#All],[INDICADOR]],"",0))</f>
        <v>#NAME?</v>
      </c>
      <c r="V1835" s="144" t="str">
        <f t="shared" si="57"/>
        <v>85</v>
      </c>
      <c r="W1835" s="136">
        <f>+COMPROMISOS_2025[[#This Row],[valor_total]]-COMPROMISOS_2025[[#This Row],[total_cancelado]]</f>
        <v>1423500</v>
      </c>
      <c r="X1835" s="136">
        <f>COMPROMISOS_2025[[#This Row],[total_ordenes]]</f>
        <v>1423500</v>
      </c>
      <c r="Y1835" t="str" cm="1">
        <f t="array" aca="1" ref="Y1835" ca="1">IFERROR(_xlfn.XLOOKUP(COMPROMISOS_2025[[#This Row],[concatenado]],PAA[[#All],[RCP-RUBRO]],PAA[[#All],[Actividad3]],VLOOKUP(COMPROMISOS_2025[[#This Row],[Indicador Principal]],$AC$2:$AD$17,2,0),0),"")</f>
        <v/>
      </c>
    </row>
    <row r="1836" spans="1:25" hidden="1" x14ac:dyDescent="0.25">
      <c r="A1836">
        <v>1348</v>
      </c>
      <c r="B1836" t="s">
        <v>2491</v>
      </c>
      <c r="C1836" t="s">
        <v>1936</v>
      </c>
      <c r="D1836" t="s">
        <v>4182</v>
      </c>
      <c r="F1836">
        <v>406</v>
      </c>
      <c r="G1836">
        <v>65</v>
      </c>
      <c r="H1836" t="s">
        <v>662</v>
      </c>
      <c r="I1836" t="s">
        <v>2271</v>
      </c>
      <c r="J1836">
        <v>1067625</v>
      </c>
      <c r="K1836">
        <v>2025</v>
      </c>
      <c r="L1836">
        <v>1001667224</v>
      </c>
      <c r="M1836" t="s">
        <v>4253</v>
      </c>
      <c r="N1836" t="s">
        <v>1688</v>
      </c>
      <c r="O1836" t="s">
        <v>1686</v>
      </c>
      <c r="P1836">
        <v>0</v>
      </c>
      <c r="Q1836">
        <v>1067625</v>
      </c>
      <c r="R1836">
        <v>0</v>
      </c>
      <c r="S1836">
        <v>0</v>
      </c>
      <c r="T1836" t="str">
        <f t="shared" si="56"/>
        <v>13482.43.4302.85.0-205128.2.3.3.08.06.</v>
      </c>
      <c r="U1836" t="e" cm="1">
        <f t="array" aca="1" ref="U1836" ca="1">+IF(COMPROMISOS_2025[[#This Row],[P]]="20","41080111",_xlfn.XLOOKUP(COMPROMISOS_2025[[#This Row],[concatenado]],PAA[[#All],[RCP-RUBRO]],PAA[[#All],[INDICADOR]],"",0))</f>
        <v>#NAME?</v>
      </c>
      <c r="V1836" s="144" t="str">
        <f t="shared" si="57"/>
        <v>85</v>
      </c>
      <c r="W1836" s="136">
        <f>+COMPROMISOS_2025[[#This Row],[valor_total]]-COMPROMISOS_2025[[#This Row],[total_cancelado]]</f>
        <v>1067625</v>
      </c>
      <c r="X1836" s="136">
        <f>COMPROMISOS_2025[[#This Row],[total_ordenes]]</f>
        <v>1067625</v>
      </c>
      <c r="Y1836" t="str" cm="1">
        <f t="array" aca="1" ref="Y1836" ca="1">IFERROR(_xlfn.XLOOKUP(COMPROMISOS_2025[[#This Row],[concatenado]],PAA[[#All],[RCP-RUBRO]],PAA[[#All],[Actividad3]],VLOOKUP(COMPROMISOS_2025[[#This Row],[Indicador Principal]],$AC$2:$AD$17,2,0),0),"")</f>
        <v/>
      </c>
    </row>
    <row r="1837" spans="1:25" hidden="1" x14ac:dyDescent="0.25">
      <c r="A1837">
        <v>1349</v>
      </c>
      <c r="B1837" t="s">
        <v>2491</v>
      </c>
      <c r="C1837" t="s">
        <v>1936</v>
      </c>
      <c r="D1837" t="s">
        <v>4182</v>
      </c>
      <c r="F1837">
        <v>406</v>
      </c>
      <c r="G1837">
        <v>65</v>
      </c>
      <c r="H1837" t="s">
        <v>662</v>
      </c>
      <c r="I1837" t="s">
        <v>2271</v>
      </c>
      <c r="J1837">
        <v>711750</v>
      </c>
      <c r="K1837">
        <v>2025</v>
      </c>
      <c r="L1837">
        <v>1001667549</v>
      </c>
      <c r="M1837" t="s">
        <v>4254</v>
      </c>
      <c r="N1837" t="s">
        <v>1688</v>
      </c>
      <c r="O1837" t="s">
        <v>1686</v>
      </c>
      <c r="P1837">
        <v>0</v>
      </c>
      <c r="Q1837">
        <v>711750</v>
      </c>
      <c r="R1837">
        <v>0</v>
      </c>
      <c r="S1837">
        <v>0</v>
      </c>
      <c r="T1837" t="str">
        <f t="shared" si="56"/>
        <v>13492.43.4302.85.0-205128.2.3.3.08.06.</v>
      </c>
      <c r="U1837" t="e" cm="1">
        <f t="array" aca="1" ref="U1837" ca="1">+IF(COMPROMISOS_2025[[#This Row],[P]]="20","41080111",_xlfn.XLOOKUP(COMPROMISOS_2025[[#This Row],[concatenado]],PAA[[#All],[RCP-RUBRO]],PAA[[#All],[INDICADOR]],"",0))</f>
        <v>#NAME?</v>
      </c>
      <c r="V1837" s="144" t="str">
        <f t="shared" si="57"/>
        <v>85</v>
      </c>
      <c r="W1837" s="136">
        <f>+COMPROMISOS_2025[[#This Row],[valor_total]]-COMPROMISOS_2025[[#This Row],[total_cancelado]]</f>
        <v>711750</v>
      </c>
      <c r="X1837" s="136">
        <f>COMPROMISOS_2025[[#This Row],[total_ordenes]]</f>
        <v>711750</v>
      </c>
      <c r="Y1837" t="str" cm="1">
        <f t="array" aca="1" ref="Y1837" ca="1">IFERROR(_xlfn.XLOOKUP(COMPROMISOS_2025[[#This Row],[concatenado]],PAA[[#All],[RCP-RUBRO]],PAA[[#All],[Actividad3]],VLOOKUP(COMPROMISOS_2025[[#This Row],[Indicador Principal]],$AC$2:$AD$17,2,0),0),"")</f>
        <v/>
      </c>
    </row>
    <row r="1838" spans="1:25" hidden="1" x14ac:dyDescent="0.25">
      <c r="A1838">
        <v>1350</v>
      </c>
      <c r="B1838" t="s">
        <v>2491</v>
      </c>
      <c r="C1838" t="s">
        <v>1936</v>
      </c>
      <c r="D1838" t="s">
        <v>4182</v>
      </c>
      <c r="F1838">
        <v>406</v>
      </c>
      <c r="G1838">
        <v>65</v>
      </c>
      <c r="H1838" t="s">
        <v>662</v>
      </c>
      <c r="I1838" t="s">
        <v>2271</v>
      </c>
      <c r="J1838">
        <v>1067625</v>
      </c>
      <c r="K1838">
        <v>2025</v>
      </c>
      <c r="L1838">
        <v>1001672406</v>
      </c>
      <c r="M1838" t="s">
        <v>3974</v>
      </c>
      <c r="N1838" t="s">
        <v>1688</v>
      </c>
      <c r="O1838" t="s">
        <v>1686</v>
      </c>
      <c r="P1838">
        <v>0</v>
      </c>
      <c r="Q1838">
        <v>1067625</v>
      </c>
      <c r="R1838">
        <v>0</v>
      </c>
      <c r="S1838">
        <v>0</v>
      </c>
      <c r="T1838" t="str">
        <f t="shared" si="56"/>
        <v>13502.43.4302.85.0-205128.2.3.3.08.06.</v>
      </c>
      <c r="U1838" t="e" cm="1">
        <f t="array" aca="1" ref="U1838" ca="1">+IF(COMPROMISOS_2025[[#This Row],[P]]="20","41080111",_xlfn.XLOOKUP(COMPROMISOS_2025[[#This Row],[concatenado]],PAA[[#All],[RCP-RUBRO]],PAA[[#All],[INDICADOR]],"",0))</f>
        <v>#NAME?</v>
      </c>
      <c r="V1838" s="144" t="str">
        <f t="shared" si="57"/>
        <v>85</v>
      </c>
      <c r="W1838" s="136">
        <f>+COMPROMISOS_2025[[#This Row],[valor_total]]-COMPROMISOS_2025[[#This Row],[total_cancelado]]</f>
        <v>1067625</v>
      </c>
      <c r="X1838" s="136">
        <f>COMPROMISOS_2025[[#This Row],[total_ordenes]]</f>
        <v>1067625</v>
      </c>
      <c r="Y1838" t="str" cm="1">
        <f t="array" aca="1" ref="Y1838" ca="1">IFERROR(_xlfn.XLOOKUP(COMPROMISOS_2025[[#This Row],[concatenado]],PAA[[#All],[RCP-RUBRO]],PAA[[#All],[Actividad3]],VLOOKUP(COMPROMISOS_2025[[#This Row],[Indicador Principal]],$AC$2:$AD$17,2,0),0),"")</f>
        <v/>
      </c>
    </row>
    <row r="1839" spans="1:25" hidden="1" x14ac:dyDescent="0.25">
      <c r="A1839">
        <v>1351</v>
      </c>
      <c r="B1839" t="s">
        <v>2491</v>
      </c>
      <c r="C1839" t="s">
        <v>1936</v>
      </c>
      <c r="D1839" t="s">
        <v>4182</v>
      </c>
      <c r="F1839">
        <v>406</v>
      </c>
      <c r="G1839">
        <v>65</v>
      </c>
      <c r="H1839" t="s">
        <v>662</v>
      </c>
      <c r="I1839" t="s">
        <v>2271</v>
      </c>
      <c r="J1839">
        <v>711750</v>
      </c>
      <c r="K1839">
        <v>2025</v>
      </c>
      <c r="L1839">
        <v>1001686132</v>
      </c>
      <c r="M1839" t="s">
        <v>4255</v>
      </c>
      <c r="N1839" t="s">
        <v>1688</v>
      </c>
      <c r="O1839" t="s">
        <v>1686</v>
      </c>
      <c r="P1839">
        <v>0</v>
      </c>
      <c r="Q1839">
        <v>711750</v>
      </c>
      <c r="R1839">
        <v>0</v>
      </c>
      <c r="S1839">
        <v>0</v>
      </c>
      <c r="T1839" t="str">
        <f t="shared" si="56"/>
        <v>13512.43.4302.85.0-205128.2.3.3.08.06.</v>
      </c>
      <c r="U1839" t="e" cm="1">
        <f t="array" aca="1" ref="U1839" ca="1">+IF(COMPROMISOS_2025[[#This Row],[P]]="20","41080111",_xlfn.XLOOKUP(COMPROMISOS_2025[[#This Row],[concatenado]],PAA[[#All],[RCP-RUBRO]],PAA[[#All],[INDICADOR]],"",0))</f>
        <v>#NAME?</v>
      </c>
      <c r="V1839" s="144" t="str">
        <f t="shared" si="57"/>
        <v>85</v>
      </c>
      <c r="W1839" s="136">
        <f>+COMPROMISOS_2025[[#This Row],[valor_total]]-COMPROMISOS_2025[[#This Row],[total_cancelado]]</f>
        <v>711750</v>
      </c>
      <c r="X1839" s="136">
        <f>COMPROMISOS_2025[[#This Row],[total_ordenes]]</f>
        <v>711750</v>
      </c>
      <c r="Y1839" t="str" cm="1">
        <f t="array" aca="1" ref="Y1839" ca="1">IFERROR(_xlfn.XLOOKUP(COMPROMISOS_2025[[#This Row],[concatenado]],PAA[[#All],[RCP-RUBRO]],PAA[[#All],[Actividad3]],VLOOKUP(COMPROMISOS_2025[[#This Row],[Indicador Principal]],$AC$2:$AD$17,2,0),0),"")</f>
        <v/>
      </c>
    </row>
    <row r="1840" spans="1:25" hidden="1" x14ac:dyDescent="0.25">
      <c r="A1840">
        <v>1352</v>
      </c>
      <c r="B1840" t="s">
        <v>2491</v>
      </c>
      <c r="C1840" t="s">
        <v>1936</v>
      </c>
      <c r="D1840" t="s">
        <v>4182</v>
      </c>
      <c r="F1840">
        <v>406</v>
      </c>
      <c r="G1840">
        <v>65</v>
      </c>
      <c r="H1840" t="s">
        <v>662</v>
      </c>
      <c r="I1840" t="s">
        <v>2271</v>
      </c>
      <c r="J1840">
        <v>1067625</v>
      </c>
      <c r="K1840">
        <v>2025</v>
      </c>
      <c r="L1840">
        <v>1001686544</v>
      </c>
      <c r="M1840" t="s">
        <v>3975</v>
      </c>
      <c r="N1840" t="s">
        <v>1688</v>
      </c>
      <c r="O1840" t="s">
        <v>1686</v>
      </c>
      <c r="P1840">
        <v>0</v>
      </c>
      <c r="Q1840">
        <v>1067625</v>
      </c>
      <c r="R1840">
        <v>0</v>
      </c>
      <c r="S1840">
        <v>0</v>
      </c>
      <c r="T1840" t="str">
        <f t="shared" si="56"/>
        <v>13522.43.4302.85.0-205128.2.3.3.08.06.</v>
      </c>
      <c r="U1840" t="e" cm="1">
        <f t="array" aca="1" ref="U1840" ca="1">+IF(COMPROMISOS_2025[[#This Row],[P]]="20","41080111",_xlfn.XLOOKUP(COMPROMISOS_2025[[#This Row],[concatenado]],PAA[[#All],[RCP-RUBRO]],PAA[[#All],[INDICADOR]],"",0))</f>
        <v>#NAME?</v>
      </c>
      <c r="V1840" s="144" t="str">
        <f t="shared" si="57"/>
        <v>85</v>
      </c>
      <c r="W1840" s="136">
        <f>+COMPROMISOS_2025[[#This Row],[valor_total]]-COMPROMISOS_2025[[#This Row],[total_cancelado]]</f>
        <v>1067625</v>
      </c>
      <c r="X1840" s="136">
        <f>COMPROMISOS_2025[[#This Row],[total_ordenes]]</f>
        <v>1067625</v>
      </c>
      <c r="Y1840" t="str" cm="1">
        <f t="array" aca="1" ref="Y1840" ca="1">IFERROR(_xlfn.XLOOKUP(COMPROMISOS_2025[[#This Row],[concatenado]],PAA[[#All],[RCP-RUBRO]],PAA[[#All],[Actividad3]],VLOOKUP(COMPROMISOS_2025[[#This Row],[Indicador Principal]],$AC$2:$AD$17,2,0),0),"")</f>
        <v/>
      </c>
    </row>
    <row r="1841" spans="1:25" hidden="1" x14ac:dyDescent="0.25">
      <c r="A1841">
        <v>1353</v>
      </c>
      <c r="B1841" t="s">
        <v>2491</v>
      </c>
      <c r="C1841" t="s">
        <v>1936</v>
      </c>
      <c r="D1841" t="s">
        <v>4182</v>
      </c>
      <c r="F1841">
        <v>406</v>
      </c>
      <c r="G1841">
        <v>65</v>
      </c>
      <c r="H1841" t="s">
        <v>662</v>
      </c>
      <c r="I1841" t="s">
        <v>2271</v>
      </c>
      <c r="J1841">
        <v>1067625</v>
      </c>
      <c r="K1841">
        <v>2025</v>
      </c>
      <c r="L1841">
        <v>1001710933</v>
      </c>
      <c r="M1841" t="s">
        <v>4256</v>
      </c>
      <c r="N1841" t="s">
        <v>1688</v>
      </c>
      <c r="O1841" t="s">
        <v>1686</v>
      </c>
      <c r="P1841">
        <v>0</v>
      </c>
      <c r="Q1841">
        <v>1067625</v>
      </c>
      <c r="R1841">
        <v>0</v>
      </c>
      <c r="S1841">
        <v>0</v>
      </c>
      <c r="T1841" t="str">
        <f t="shared" si="56"/>
        <v>13532.43.4302.85.0-205128.2.3.3.08.06.</v>
      </c>
      <c r="U1841" t="e" cm="1">
        <f t="array" aca="1" ref="U1841" ca="1">+IF(COMPROMISOS_2025[[#This Row],[P]]="20","41080111",_xlfn.XLOOKUP(COMPROMISOS_2025[[#This Row],[concatenado]],PAA[[#All],[RCP-RUBRO]],PAA[[#All],[INDICADOR]],"",0))</f>
        <v>#NAME?</v>
      </c>
      <c r="V1841" s="144" t="str">
        <f t="shared" si="57"/>
        <v>85</v>
      </c>
      <c r="W1841" s="136">
        <f>+COMPROMISOS_2025[[#This Row],[valor_total]]-COMPROMISOS_2025[[#This Row],[total_cancelado]]</f>
        <v>1067625</v>
      </c>
      <c r="X1841" s="136">
        <f>COMPROMISOS_2025[[#This Row],[total_ordenes]]</f>
        <v>1067625</v>
      </c>
      <c r="Y1841" t="str" cm="1">
        <f t="array" aca="1" ref="Y1841" ca="1">IFERROR(_xlfn.XLOOKUP(COMPROMISOS_2025[[#This Row],[concatenado]],PAA[[#All],[RCP-RUBRO]],PAA[[#All],[Actividad3]],VLOOKUP(COMPROMISOS_2025[[#This Row],[Indicador Principal]],$AC$2:$AD$17,2,0),0),"")</f>
        <v/>
      </c>
    </row>
    <row r="1842" spans="1:25" hidden="1" x14ac:dyDescent="0.25">
      <c r="A1842">
        <v>1354</v>
      </c>
      <c r="B1842" t="s">
        <v>2491</v>
      </c>
      <c r="C1842" t="s">
        <v>1936</v>
      </c>
      <c r="D1842" t="s">
        <v>4182</v>
      </c>
      <c r="F1842">
        <v>406</v>
      </c>
      <c r="G1842">
        <v>65</v>
      </c>
      <c r="H1842" t="s">
        <v>662</v>
      </c>
      <c r="I1842" t="s">
        <v>2271</v>
      </c>
      <c r="J1842">
        <v>1067625</v>
      </c>
      <c r="K1842">
        <v>2025</v>
      </c>
      <c r="L1842">
        <v>1001773599</v>
      </c>
      <c r="M1842" t="s">
        <v>4257</v>
      </c>
      <c r="N1842" t="s">
        <v>1688</v>
      </c>
      <c r="O1842" t="s">
        <v>1686</v>
      </c>
      <c r="P1842">
        <v>0</v>
      </c>
      <c r="Q1842">
        <v>1067625</v>
      </c>
      <c r="R1842">
        <v>0</v>
      </c>
      <c r="S1842">
        <v>0</v>
      </c>
      <c r="T1842" t="str">
        <f t="shared" si="56"/>
        <v>13542.43.4302.85.0-205128.2.3.3.08.06.</v>
      </c>
      <c r="U1842" t="e" cm="1">
        <f t="array" aca="1" ref="U1842" ca="1">+IF(COMPROMISOS_2025[[#This Row],[P]]="20","41080111",_xlfn.XLOOKUP(COMPROMISOS_2025[[#This Row],[concatenado]],PAA[[#All],[RCP-RUBRO]],PAA[[#All],[INDICADOR]],"",0))</f>
        <v>#NAME?</v>
      </c>
      <c r="V1842" s="144" t="str">
        <f t="shared" si="57"/>
        <v>85</v>
      </c>
      <c r="W1842" s="136">
        <f>+COMPROMISOS_2025[[#This Row],[valor_total]]-COMPROMISOS_2025[[#This Row],[total_cancelado]]</f>
        <v>1067625</v>
      </c>
      <c r="X1842" s="136">
        <f>COMPROMISOS_2025[[#This Row],[total_ordenes]]</f>
        <v>1067625</v>
      </c>
      <c r="Y1842" t="str" cm="1">
        <f t="array" aca="1" ref="Y1842" ca="1">IFERROR(_xlfn.XLOOKUP(COMPROMISOS_2025[[#This Row],[concatenado]],PAA[[#All],[RCP-RUBRO]],PAA[[#All],[Actividad3]],VLOOKUP(COMPROMISOS_2025[[#This Row],[Indicador Principal]],$AC$2:$AD$17,2,0),0),"")</f>
        <v/>
      </c>
    </row>
    <row r="1843" spans="1:25" hidden="1" x14ac:dyDescent="0.25">
      <c r="A1843">
        <v>1355</v>
      </c>
      <c r="B1843" t="s">
        <v>2491</v>
      </c>
      <c r="C1843" t="s">
        <v>1936</v>
      </c>
      <c r="D1843" t="s">
        <v>4182</v>
      </c>
      <c r="F1843">
        <v>406</v>
      </c>
      <c r="G1843">
        <v>65</v>
      </c>
      <c r="H1843" t="s">
        <v>662</v>
      </c>
      <c r="I1843" t="s">
        <v>2271</v>
      </c>
      <c r="J1843">
        <v>1067625</v>
      </c>
      <c r="K1843">
        <v>2025</v>
      </c>
      <c r="L1843">
        <v>1001823709</v>
      </c>
      <c r="M1843" t="s">
        <v>4258</v>
      </c>
      <c r="N1843" t="s">
        <v>1688</v>
      </c>
      <c r="O1843" t="s">
        <v>1686</v>
      </c>
      <c r="P1843">
        <v>0</v>
      </c>
      <c r="Q1843">
        <v>1067625</v>
      </c>
      <c r="R1843">
        <v>0</v>
      </c>
      <c r="S1843">
        <v>0</v>
      </c>
      <c r="T1843" t="str">
        <f t="shared" si="56"/>
        <v>13552.43.4302.85.0-205128.2.3.3.08.06.</v>
      </c>
      <c r="U1843" t="e" cm="1">
        <f t="array" aca="1" ref="U1843" ca="1">+IF(COMPROMISOS_2025[[#This Row],[P]]="20","41080111",_xlfn.XLOOKUP(COMPROMISOS_2025[[#This Row],[concatenado]],PAA[[#All],[RCP-RUBRO]],PAA[[#All],[INDICADOR]],"",0))</f>
        <v>#NAME?</v>
      </c>
      <c r="V1843" s="144" t="str">
        <f t="shared" si="57"/>
        <v>85</v>
      </c>
      <c r="W1843" s="136">
        <f>+COMPROMISOS_2025[[#This Row],[valor_total]]-COMPROMISOS_2025[[#This Row],[total_cancelado]]</f>
        <v>1067625</v>
      </c>
      <c r="X1843" s="136">
        <f>COMPROMISOS_2025[[#This Row],[total_ordenes]]</f>
        <v>1067625</v>
      </c>
      <c r="Y1843" t="str" cm="1">
        <f t="array" aca="1" ref="Y1843" ca="1">IFERROR(_xlfn.XLOOKUP(COMPROMISOS_2025[[#This Row],[concatenado]],PAA[[#All],[RCP-RUBRO]],PAA[[#All],[Actividad3]],VLOOKUP(COMPROMISOS_2025[[#This Row],[Indicador Principal]],$AC$2:$AD$17,2,0),0),"")</f>
        <v/>
      </c>
    </row>
    <row r="1844" spans="1:25" hidden="1" x14ac:dyDescent="0.25">
      <c r="A1844">
        <v>1356</v>
      </c>
      <c r="B1844" t="s">
        <v>2491</v>
      </c>
      <c r="C1844" t="s">
        <v>1936</v>
      </c>
      <c r="D1844" t="s">
        <v>4182</v>
      </c>
      <c r="F1844">
        <v>406</v>
      </c>
      <c r="G1844">
        <v>65</v>
      </c>
      <c r="H1844" t="s">
        <v>662</v>
      </c>
      <c r="I1844" t="s">
        <v>2271</v>
      </c>
      <c r="J1844">
        <v>1423500</v>
      </c>
      <c r="K1844">
        <v>2025</v>
      </c>
      <c r="L1844">
        <v>1002061079</v>
      </c>
      <c r="M1844" t="s">
        <v>3977</v>
      </c>
      <c r="N1844" t="s">
        <v>1688</v>
      </c>
      <c r="O1844" t="s">
        <v>1686</v>
      </c>
      <c r="P1844">
        <v>0</v>
      </c>
      <c r="Q1844">
        <v>1423500</v>
      </c>
      <c r="R1844">
        <v>0</v>
      </c>
      <c r="S1844">
        <v>0</v>
      </c>
      <c r="T1844" t="str">
        <f t="shared" si="56"/>
        <v>13562.43.4302.85.0-205128.2.3.3.08.06.</v>
      </c>
      <c r="U1844" t="e" cm="1">
        <f t="array" aca="1" ref="U1844" ca="1">+IF(COMPROMISOS_2025[[#This Row],[P]]="20","41080111",_xlfn.XLOOKUP(COMPROMISOS_2025[[#This Row],[concatenado]],PAA[[#All],[RCP-RUBRO]],PAA[[#All],[INDICADOR]],"",0))</f>
        <v>#NAME?</v>
      </c>
      <c r="V1844" s="144" t="str">
        <f t="shared" si="57"/>
        <v>85</v>
      </c>
      <c r="W1844" s="136">
        <f>+COMPROMISOS_2025[[#This Row],[valor_total]]-COMPROMISOS_2025[[#This Row],[total_cancelado]]</f>
        <v>1423500</v>
      </c>
      <c r="X1844" s="136">
        <f>COMPROMISOS_2025[[#This Row],[total_ordenes]]</f>
        <v>1423500</v>
      </c>
      <c r="Y1844" t="str" cm="1">
        <f t="array" aca="1" ref="Y1844" ca="1">IFERROR(_xlfn.XLOOKUP(COMPROMISOS_2025[[#This Row],[concatenado]],PAA[[#All],[RCP-RUBRO]],PAA[[#All],[Actividad3]],VLOOKUP(COMPROMISOS_2025[[#This Row],[Indicador Principal]],$AC$2:$AD$17,2,0),0),"")</f>
        <v/>
      </c>
    </row>
    <row r="1845" spans="1:25" hidden="1" x14ac:dyDescent="0.25">
      <c r="A1845">
        <v>1357</v>
      </c>
      <c r="B1845" t="s">
        <v>2491</v>
      </c>
      <c r="C1845" t="s">
        <v>1936</v>
      </c>
      <c r="D1845" t="s">
        <v>4182</v>
      </c>
      <c r="F1845">
        <v>406</v>
      </c>
      <c r="G1845">
        <v>65</v>
      </c>
      <c r="H1845" t="s">
        <v>662</v>
      </c>
      <c r="I1845" t="s">
        <v>2271</v>
      </c>
      <c r="J1845">
        <v>2847000</v>
      </c>
      <c r="K1845">
        <v>2025</v>
      </c>
      <c r="L1845">
        <v>1002088003</v>
      </c>
      <c r="M1845" t="s">
        <v>3978</v>
      </c>
      <c r="N1845" t="s">
        <v>1688</v>
      </c>
      <c r="O1845" t="s">
        <v>1686</v>
      </c>
      <c r="P1845">
        <v>0</v>
      </c>
      <c r="Q1845">
        <v>2847000</v>
      </c>
      <c r="R1845">
        <v>0</v>
      </c>
      <c r="S1845">
        <v>0</v>
      </c>
      <c r="T1845" t="str">
        <f t="shared" si="56"/>
        <v>13572.43.4302.85.0-205128.2.3.3.08.06.</v>
      </c>
      <c r="U1845" t="e" cm="1">
        <f t="array" aca="1" ref="U1845" ca="1">+IF(COMPROMISOS_2025[[#This Row],[P]]="20","41080111",_xlfn.XLOOKUP(COMPROMISOS_2025[[#This Row],[concatenado]],PAA[[#All],[RCP-RUBRO]],PAA[[#All],[INDICADOR]],"",0))</f>
        <v>#NAME?</v>
      </c>
      <c r="V1845" s="144" t="str">
        <f t="shared" si="57"/>
        <v>85</v>
      </c>
      <c r="W1845" s="136">
        <f>+COMPROMISOS_2025[[#This Row],[valor_total]]-COMPROMISOS_2025[[#This Row],[total_cancelado]]</f>
        <v>2847000</v>
      </c>
      <c r="X1845" s="136">
        <f>COMPROMISOS_2025[[#This Row],[total_ordenes]]</f>
        <v>2847000</v>
      </c>
      <c r="Y1845" t="str" cm="1">
        <f t="array" aca="1" ref="Y1845" ca="1">IFERROR(_xlfn.XLOOKUP(COMPROMISOS_2025[[#This Row],[concatenado]],PAA[[#All],[RCP-RUBRO]],PAA[[#All],[Actividad3]],VLOOKUP(COMPROMISOS_2025[[#This Row],[Indicador Principal]],$AC$2:$AD$17,2,0),0),"")</f>
        <v/>
      </c>
    </row>
    <row r="1846" spans="1:25" hidden="1" x14ac:dyDescent="0.25">
      <c r="A1846">
        <v>1358</v>
      </c>
      <c r="B1846" t="s">
        <v>2491</v>
      </c>
      <c r="C1846" t="s">
        <v>1936</v>
      </c>
      <c r="D1846" t="s">
        <v>4182</v>
      </c>
      <c r="F1846">
        <v>406</v>
      </c>
      <c r="G1846">
        <v>65</v>
      </c>
      <c r="H1846" t="s">
        <v>662</v>
      </c>
      <c r="I1846" t="s">
        <v>2271</v>
      </c>
      <c r="J1846">
        <v>711750</v>
      </c>
      <c r="K1846">
        <v>2025</v>
      </c>
      <c r="L1846">
        <v>1002127163</v>
      </c>
      <c r="M1846" t="s">
        <v>4259</v>
      </c>
      <c r="N1846" t="s">
        <v>1688</v>
      </c>
      <c r="O1846" t="s">
        <v>1686</v>
      </c>
      <c r="P1846">
        <v>0</v>
      </c>
      <c r="Q1846">
        <v>711750</v>
      </c>
      <c r="R1846">
        <v>0</v>
      </c>
      <c r="S1846">
        <v>0</v>
      </c>
      <c r="T1846" t="str">
        <f t="shared" si="56"/>
        <v>13582.43.4302.85.0-205128.2.3.3.08.06.</v>
      </c>
      <c r="U1846" t="e" cm="1">
        <f t="array" aca="1" ref="U1846" ca="1">+IF(COMPROMISOS_2025[[#This Row],[P]]="20","41080111",_xlfn.XLOOKUP(COMPROMISOS_2025[[#This Row],[concatenado]],PAA[[#All],[RCP-RUBRO]],PAA[[#All],[INDICADOR]],"",0))</f>
        <v>#NAME?</v>
      </c>
      <c r="V1846" s="144" t="str">
        <f t="shared" si="57"/>
        <v>85</v>
      </c>
      <c r="W1846" s="136">
        <f>+COMPROMISOS_2025[[#This Row],[valor_total]]-COMPROMISOS_2025[[#This Row],[total_cancelado]]</f>
        <v>711750</v>
      </c>
      <c r="X1846" s="136">
        <f>COMPROMISOS_2025[[#This Row],[total_ordenes]]</f>
        <v>711750</v>
      </c>
      <c r="Y1846" t="str" cm="1">
        <f t="array" aca="1" ref="Y1846" ca="1">IFERROR(_xlfn.XLOOKUP(COMPROMISOS_2025[[#This Row],[concatenado]],PAA[[#All],[RCP-RUBRO]],PAA[[#All],[Actividad3]],VLOOKUP(COMPROMISOS_2025[[#This Row],[Indicador Principal]],$AC$2:$AD$17,2,0),0),"")</f>
        <v/>
      </c>
    </row>
    <row r="1847" spans="1:25" hidden="1" x14ac:dyDescent="0.25">
      <c r="A1847">
        <v>1359</v>
      </c>
      <c r="B1847" t="s">
        <v>2491</v>
      </c>
      <c r="C1847" t="s">
        <v>1936</v>
      </c>
      <c r="D1847" t="s">
        <v>4182</v>
      </c>
      <c r="F1847">
        <v>406</v>
      </c>
      <c r="G1847">
        <v>65</v>
      </c>
      <c r="H1847" t="s">
        <v>662</v>
      </c>
      <c r="I1847" t="s">
        <v>2271</v>
      </c>
      <c r="J1847">
        <v>711750</v>
      </c>
      <c r="K1847">
        <v>2025</v>
      </c>
      <c r="L1847">
        <v>1002539015</v>
      </c>
      <c r="M1847" t="s">
        <v>3601</v>
      </c>
      <c r="N1847" t="s">
        <v>1688</v>
      </c>
      <c r="O1847" t="s">
        <v>1686</v>
      </c>
      <c r="P1847">
        <v>0</v>
      </c>
      <c r="Q1847">
        <v>711750</v>
      </c>
      <c r="R1847">
        <v>0</v>
      </c>
      <c r="S1847">
        <v>0</v>
      </c>
      <c r="T1847" t="str">
        <f t="shared" si="56"/>
        <v>13592.43.4302.85.0-205128.2.3.3.08.06.</v>
      </c>
      <c r="U1847" t="e" cm="1">
        <f t="array" aca="1" ref="U1847" ca="1">+IF(COMPROMISOS_2025[[#This Row],[P]]="20","41080111",_xlfn.XLOOKUP(COMPROMISOS_2025[[#This Row],[concatenado]],PAA[[#All],[RCP-RUBRO]],PAA[[#All],[INDICADOR]],"",0))</f>
        <v>#NAME?</v>
      </c>
      <c r="V1847" s="144" t="str">
        <f t="shared" si="57"/>
        <v>85</v>
      </c>
      <c r="W1847" s="136">
        <f>+COMPROMISOS_2025[[#This Row],[valor_total]]-COMPROMISOS_2025[[#This Row],[total_cancelado]]</f>
        <v>711750</v>
      </c>
      <c r="X1847" s="136">
        <f>COMPROMISOS_2025[[#This Row],[total_ordenes]]</f>
        <v>711750</v>
      </c>
      <c r="Y1847" t="str" cm="1">
        <f t="array" aca="1" ref="Y1847" ca="1">IFERROR(_xlfn.XLOOKUP(COMPROMISOS_2025[[#This Row],[concatenado]],PAA[[#All],[RCP-RUBRO]],PAA[[#All],[Actividad3]],VLOOKUP(COMPROMISOS_2025[[#This Row],[Indicador Principal]],$AC$2:$AD$17,2,0),0),"")</f>
        <v/>
      </c>
    </row>
    <row r="1848" spans="1:25" hidden="1" x14ac:dyDescent="0.25">
      <c r="A1848">
        <v>1360</v>
      </c>
      <c r="B1848" t="s">
        <v>2491</v>
      </c>
      <c r="C1848" t="s">
        <v>1936</v>
      </c>
      <c r="D1848" t="s">
        <v>4182</v>
      </c>
      <c r="F1848">
        <v>406</v>
      </c>
      <c r="G1848">
        <v>65</v>
      </c>
      <c r="H1848" t="s">
        <v>662</v>
      </c>
      <c r="I1848" t="s">
        <v>2271</v>
      </c>
      <c r="J1848">
        <v>711750</v>
      </c>
      <c r="K1848">
        <v>2025</v>
      </c>
      <c r="L1848">
        <v>1003655716</v>
      </c>
      <c r="M1848" t="s">
        <v>3603</v>
      </c>
      <c r="N1848" t="s">
        <v>1688</v>
      </c>
      <c r="O1848" t="s">
        <v>1686</v>
      </c>
      <c r="P1848">
        <v>0</v>
      </c>
      <c r="Q1848">
        <v>711750</v>
      </c>
      <c r="R1848">
        <v>0</v>
      </c>
      <c r="S1848">
        <v>0</v>
      </c>
      <c r="T1848" t="str">
        <f t="shared" si="56"/>
        <v>13602.43.4302.85.0-205128.2.3.3.08.06.</v>
      </c>
      <c r="U1848" t="e" cm="1">
        <f t="array" aca="1" ref="U1848" ca="1">+IF(COMPROMISOS_2025[[#This Row],[P]]="20","41080111",_xlfn.XLOOKUP(COMPROMISOS_2025[[#This Row],[concatenado]],PAA[[#All],[RCP-RUBRO]],PAA[[#All],[INDICADOR]],"",0))</f>
        <v>#NAME?</v>
      </c>
      <c r="V1848" s="144" t="str">
        <f t="shared" si="57"/>
        <v>85</v>
      </c>
      <c r="W1848" s="136">
        <f>+COMPROMISOS_2025[[#This Row],[valor_total]]-COMPROMISOS_2025[[#This Row],[total_cancelado]]</f>
        <v>711750</v>
      </c>
      <c r="X1848" s="136">
        <f>COMPROMISOS_2025[[#This Row],[total_ordenes]]</f>
        <v>711750</v>
      </c>
      <c r="Y1848" t="str" cm="1">
        <f t="array" aca="1" ref="Y1848" ca="1">IFERROR(_xlfn.XLOOKUP(COMPROMISOS_2025[[#This Row],[concatenado]],PAA[[#All],[RCP-RUBRO]],PAA[[#All],[Actividad3]],VLOOKUP(COMPROMISOS_2025[[#This Row],[Indicador Principal]],$AC$2:$AD$17,2,0),0),"")</f>
        <v/>
      </c>
    </row>
    <row r="1849" spans="1:25" hidden="1" x14ac:dyDescent="0.25">
      <c r="A1849">
        <v>1361</v>
      </c>
      <c r="B1849" t="s">
        <v>2491</v>
      </c>
      <c r="C1849" t="s">
        <v>1936</v>
      </c>
      <c r="D1849" t="s">
        <v>4182</v>
      </c>
      <c r="F1849">
        <v>406</v>
      </c>
      <c r="G1849">
        <v>65</v>
      </c>
      <c r="H1849" t="s">
        <v>662</v>
      </c>
      <c r="I1849" t="s">
        <v>2271</v>
      </c>
      <c r="J1849">
        <v>2847000</v>
      </c>
      <c r="K1849">
        <v>2025</v>
      </c>
      <c r="L1849">
        <v>1003656615</v>
      </c>
      <c r="M1849" t="s">
        <v>3981</v>
      </c>
      <c r="N1849" t="s">
        <v>1688</v>
      </c>
      <c r="O1849" t="s">
        <v>1686</v>
      </c>
      <c r="P1849">
        <v>0</v>
      </c>
      <c r="Q1849">
        <v>2847000</v>
      </c>
      <c r="R1849">
        <v>0</v>
      </c>
      <c r="S1849">
        <v>0</v>
      </c>
      <c r="T1849" t="str">
        <f t="shared" si="56"/>
        <v>13612.43.4302.85.0-205128.2.3.3.08.06.</v>
      </c>
      <c r="U1849" t="e" cm="1">
        <f t="array" aca="1" ref="U1849" ca="1">+IF(COMPROMISOS_2025[[#This Row],[P]]="20","41080111",_xlfn.XLOOKUP(COMPROMISOS_2025[[#This Row],[concatenado]],PAA[[#All],[RCP-RUBRO]],PAA[[#All],[INDICADOR]],"",0))</f>
        <v>#NAME?</v>
      </c>
      <c r="V1849" s="144" t="str">
        <f t="shared" si="57"/>
        <v>85</v>
      </c>
      <c r="W1849" s="136">
        <f>+COMPROMISOS_2025[[#This Row],[valor_total]]-COMPROMISOS_2025[[#This Row],[total_cancelado]]</f>
        <v>2847000</v>
      </c>
      <c r="X1849" s="136">
        <f>COMPROMISOS_2025[[#This Row],[total_ordenes]]</f>
        <v>2847000</v>
      </c>
      <c r="Y1849" t="str" cm="1">
        <f t="array" aca="1" ref="Y1849" ca="1">IFERROR(_xlfn.XLOOKUP(COMPROMISOS_2025[[#This Row],[concatenado]],PAA[[#All],[RCP-RUBRO]],PAA[[#All],[Actividad3]],VLOOKUP(COMPROMISOS_2025[[#This Row],[Indicador Principal]],$AC$2:$AD$17,2,0),0),"")</f>
        <v/>
      </c>
    </row>
    <row r="1850" spans="1:25" hidden="1" x14ac:dyDescent="0.25">
      <c r="A1850">
        <v>1362</v>
      </c>
      <c r="B1850" t="s">
        <v>2491</v>
      </c>
      <c r="C1850" t="s">
        <v>1936</v>
      </c>
      <c r="D1850" t="s">
        <v>4182</v>
      </c>
      <c r="F1850">
        <v>406</v>
      </c>
      <c r="G1850">
        <v>65</v>
      </c>
      <c r="H1850" t="s">
        <v>662</v>
      </c>
      <c r="I1850" t="s">
        <v>2271</v>
      </c>
      <c r="J1850">
        <v>711750</v>
      </c>
      <c r="K1850">
        <v>2025</v>
      </c>
      <c r="L1850">
        <v>1003854434</v>
      </c>
      <c r="M1850" t="s">
        <v>3982</v>
      </c>
      <c r="N1850" t="s">
        <v>1688</v>
      </c>
      <c r="O1850" t="s">
        <v>1686</v>
      </c>
      <c r="P1850">
        <v>0</v>
      </c>
      <c r="Q1850">
        <v>711750</v>
      </c>
      <c r="R1850">
        <v>0</v>
      </c>
      <c r="S1850">
        <v>0</v>
      </c>
      <c r="T1850" t="str">
        <f t="shared" si="56"/>
        <v>13622.43.4302.85.0-205128.2.3.3.08.06.</v>
      </c>
      <c r="U1850" t="e" cm="1">
        <f t="array" aca="1" ref="U1850" ca="1">+IF(COMPROMISOS_2025[[#This Row],[P]]="20","41080111",_xlfn.XLOOKUP(COMPROMISOS_2025[[#This Row],[concatenado]],PAA[[#All],[RCP-RUBRO]],PAA[[#All],[INDICADOR]],"",0))</f>
        <v>#NAME?</v>
      </c>
      <c r="V1850" s="144" t="str">
        <f t="shared" si="57"/>
        <v>85</v>
      </c>
      <c r="W1850" s="136">
        <f>+COMPROMISOS_2025[[#This Row],[valor_total]]-COMPROMISOS_2025[[#This Row],[total_cancelado]]</f>
        <v>711750</v>
      </c>
      <c r="X1850" s="136">
        <f>COMPROMISOS_2025[[#This Row],[total_ordenes]]</f>
        <v>711750</v>
      </c>
      <c r="Y1850" t="str" cm="1">
        <f t="array" aca="1" ref="Y1850" ca="1">IFERROR(_xlfn.XLOOKUP(COMPROMISOS_2025[[#This Row],[concatenado]],PAA[[#All],[RCP-RUBRO]],PAA[[#All],[Actividad3]],VLOOKUP(COMPROMISOS_2025[[#This Row],[Indicador Principal]],$AC$2:$AD$17,2,0),0),"")</f>
        <v/>
      </c>
    </row>
    <row r="1851" spans="1:25" hidden="1" x14ac:dyDescent="0.25">
      <c r="A1851">
        <v>1363</v>
      </c>
      <c r="B1851" t="s">
        <v>2491</v>
      </c>
      <c r="C1851" t="s">
        <v>1936</v>
      </c>
      <c r="D1851" t="s">
        <v>4182</v>
      </c>
      <c r="F1851">
        <v>406</v>
      </c>
      <c r="G1851">
        <v>65</v>
      </c>
      <c r="H1851" t="s">
        <v>662</v>
      </c>
      <c r="I1851" t="s">
        <v>2271</v>
      </c>
      <c r="J1851">
        <v>711750</v>
      </c>
      <c r="K1851">
        <v>2025</v>
      </c>
      <c r="L1851">
        <v>1003929573</v>
      </c>
      <c r="M1851" t="s">
        <v>4260</v>
      </c>
      <c r="N1851" t="s">
        <v>1688</v>
      </c>
      <c r="O1851" t="s">
        <v>1686</v>
      </c>
      <c r="P1851">
        <v>0</v>
      </c>
      <c r="Q1851">
        <v>711750</v>
      </c>
      <c r="R1851">
        <v>0</v>
      </c>
      <c r="S1851">
        <v>0</v>
      </c>
      <c r="T1851" t="str">
        <f t="shared" si="56"/>
        <v>13632.43.4302.85.0-205128.2.3.3.08.06.</v>
      </c>
      <c r="U1851" t="e" cm="1">
        <f t="array" aca="1" ref="U1851" ca="1">+IF(COMPROMISOS_2025[[#This Row],[P]]="20","41080111",_xlfn.XLOOKUP(COMPROMISOS_2025[[#This Row],[concatenado]],PAA[[#All],[RCP-RUBRO]],PAA[[#All],[INDICADOR]],"",0))</f>
        <v>#NAME?</v>
      </c>
      <c r="V1851" s="144" t="str">
        <f t="shared" si="57"/>
        <v>85</v>
      </c>
      <c r="W1851" s="136">
        <f>+COMPROMISOS_2025[[#This Row],[valor_total]]-COMPROMISOS_2025[[#This Row],[total_cancelado]]</f>
        <v>711750</v>
      </c>
      <c r="X1851" s="136">
        <f>COMPROMISOS_2025[[#This Row],[total_ordenes]]</f>
        <v>711750</v>
      </c>
      <c r="Y1851" t="str" cm="1">
        <f t="array" aca="1" ref="Y1851" ca="1">IFERROR(_xlfn.XLOOKUP(COMPROMISOS_2025[[#This Row],[concatenado]],PAA[[#All],[RCP-RUBRO]],PAA[[#All],[Actividad3]],VLOOKUP(COMPROMISOS_2025[[#This Row],[Indicador Principal]],$AC$2:$AD$17,2,0),0),"")</f>
        <v/>
      </c>
    </row>
    <row r="1852" spans="1:25" hidden="1" x14ac:dyDescent="0.25">
      <c r="A1852">
        <v>1364</v>
      </c>
      <c r="B1852" t="s">
        <v>2491</v>
      </c>
      <c r="C1852" t="s">
        <v>1936</v>
      </c>
      <c r="D1852" t="s">
        <v>4182</v>
      </c>
      <c r="F1852">
        <v>406</v>
      </c>
      <c r="G1852">
        <v>65</v>
      </c>
      <c r="H1852" t="s">
        <v>662</v>
      </c>
      <c r="I1852" t="s">
        <v>2271</v>
      </c>
      <c r="J1852">
        <v>1423500</v>
      </c>
      <c r="K1852">
        <v>2025</v>
      </c>
      <c r="L1852">
        <v>1003933793</v>
      </c>
      <c r="M1852" t="s">
        <v>3983</v>
      </c>
      <c r="N1852" t="s">
        <v>1688</v>
      </c>
      <c r="O1852" t="s">
        <v>1686</v>
      </c>
      <c r="P1852">
        <v>0</v>
      </c>
      <c r="Q1852">
        <v>1423500</v>
      </c>
      <c r="R1852">
        <v>0</v>
      </c>
      <c r="S1852">
        <v>0</v>
      </c>
      <c r="T1852" t="str">
        <f t="shared" si="56"/>
        <v>13642.43.4302.85.0-205128.2.3.3.08.06.</v>
      </c>
      <c r="U1852" t="e" cm="1">
        <f t="array" aca="1" ref="U1852" ca="1">+IF(COMPROMISOS_2025[[#This Row],[P]]="20","41080111",_xlfn.XLOOKUP(COMPROMISOS_2025[[#This Row],[concatenado]],PAA[[#All],[RCP-RUBRO]],PAA[[#All],[INDICADOR]],"",0))</f>
        <v>#NAME?</v>
      </c>
      <c r="V1852" s="144" t="str">
        <f t="shared" si="57"/>
        <v>85</v>
      </c>
      <c r="W1852" s="136">
        <f>+COMPROMISOS_2025[[#This Row],[valor_total]]-COMPROMISOS_2025[[#This Row],[total_cancelado]]</f>
        <v>1423500</v>
      </c>
      <c r="X1852" s="136">
        <f>COMPROMISOS_2025[[#This Row],[total_ordenes]]</f>
        <v>1423500</v>
      </c>
      <c r="Y1852" t="str" cm="1">
        <f t="array" aca="1" ref="Y1852" ca="1">IFERROR(_xlfn.XLOOKUP(COMPROMISOS_2025[[#This Row],[concatenado]],PAA[[#All],[RCP-RUBRO]],PAA[[#All],[Actividad3]],VLOOKUP(COMPROMISOS_2025[[#This Row],[Indicador Principal]],$AC$2:$AD$17,2,0),0),"")</f>
        <v/>
      </c>
    </row>
    <row r="1853" spans="1:25" hidden="1" x14ac:dyDescent="0.25">
      <c r="A1853">
        <v>1365</v>
      </c>
      <c r="B1853" t="s">
        <v>2491</v>
      </c>
      <c r="C1853" t="s">
        <v>1936</v>
      </c>
      <c r="D1853" t="s">
        <v>4182</v>
      </c>
      <c r="F1853">
        <v>406</v>
      </c>
      <c r="G1853">
        <v>65</v>
      </c>
      <c r="H1853" t="s">
        <v>662</v>
      </c>
      <c r="I1853" t="s">
        <v>2271</v>
      </c>
      <c r="J1853">
        <v>711750</v>
      </c>
      <c r="K1853">
        <v>2025</v>
      </c>
      <c r="L1853">
        <v>1003970819</v>
      </c>
      <c r="M1853" t="s">
        <v>4261</v>
      </c>
      <c r="N1853" t="s">
        <v>1688</v>
      </c>
      <c r="O1853" t="s">
        <v>1686</v>
      </c>
      <c r="P1853">
        <v>0</v>
      </c>
      <c r="Q1853">
        <v>711750</v>
      </c>
      <c r="R1853">
        <v>0</v>
      </c>
      <c r="S1853">
        <v>0</v>
      </c>
      <c r="T1853" t="str">
        <f t="shared" si="56"/>
        <v>13652.43.4302.85.0-205128.2.3.3.08.06.</v>
      </c>
      <c r="U1853" t="e" cm="1">
        <f t="array" aca="1" ref="U1853" ca="1">+IF(COMPROMISOS_2025[[#This Row],[P]]="20","41080111",_xlfn.XLOOKUP(COMPROMISOS_2025[[#This Row],[concatenado]],PAA[[#All],[RCP-RUBRO]],PAA[[#All],[INDICADOR]],"",0))</f>
        <v>#NAME?</v>
      </c>
      <c r="V1853" s="144" t="str">
        <f t="shared" si="57"/>
        <v>85</v>
      </c>
      <c r="W1853" s="136">
        <f>+COMPROMISOS_2025[[#This Row],[valor_total]]-COMPROMISOS_2025[[#This Row],[total_cancelado]]</f>
        <v>711750</v>
      </c>
      <c r="X1853" s="136">
        <f>COMPROMISOS_2025[[#This Row],[total_ordenes]]</f>
        <v>711750</v>
      </c>
      <c r="Y1853" t="str" cm="1">
        <f t="array" aca="1" ref="Y1853" ca="1">IFERROR(_xlfn.XLOOKUP(COMPROMISOS_2025[[#This Row],[concatenado]],PAA[[#All],[RCP-RUBRO]],PAA[[#All],[Actividad3]],VLOOKUP(COMPROMISOS_2025[[#This Row],[Indicador Principal]],$AC$2:$AD$17,2,0),0),"")</f>
        <v/>
      </c>
    </row>
    <row r="1854" spans="1:25" hidden="1" x14ac:dyDescent="0.25">
      <c r="A1854">
        <v>1366</v>
      </c>
      <c r="B1854" t="s">
        <v>2491</v>
      </c>
      <c r="C1854" t="s">
        <v>1936</v>
      </c>
      <c r="D1854" t="s">
        <v>4182</v>
      </c>
      <c r="F1854">
        <v>406</v>
      </c>
      <c r="G1854">
        <v>65</v>
      </c>
      <c r="H1854" t="s">
        <v>662</v>
      </c>
      <c r="I1854" t="s">
        <v>2271</v>
      </c>
      <c r="J1854">
        <v>1067625</v>
      </c>
      <c r="K1854">
        <v>2025</v>
      </c>
      <c r="L1854">
        <v>1004010852</v>
      </c>
      <c r="M1854" t="s">
        <v>3984</v>
      </c>
      <c r="N1854" t="s">
        <v>1688</v>
      </c>
      <c r="O1854" t="s">
        <v>1686</v>
      </c>
      <c r="P1854">
        <v>0</v>
      </c>
      <c r="Q1854">
        <v>1067625</v>
      </c>
      <c r="R1854">
        <v>0</v>
      </c>
      <c r="S1854">
        <v>0</v>
      </c>
      <c r="T1854" t="str">
        <f t="shared" si="56"/>
        <v>13662.43.4302.85.0-205128.2.3.3.08.06.</v>
      </c>
      <c r="U1854" t="e" cm="1">
        <f t="array" aca="1" ref="U1854" ca="1">+IF(COMPROMISOS_2025[[#This Row],[P]]="20","41080111",_xlfn.XLOOKUP(COMPROMISOS_2025[[#This Row],[concatenado]],PAA[[#All],[RCP-RUBRO]],PAA[[#All],[INDICADOR]],"",0))</f>
        <v>#NAME?</v>
      </c>
      <c r="V1854" s="144" t="str">
        <f t="shared" si="57"/>
        <v>85</v>
      </c>
      <c r="W1854" s="136">
        <f>+COMPROMISOS_2025[[#This Row],[valor_total]]-COMPROMISOS_2025[[#This Row],[total_cancelado]]</f>
        <v>1067625</v>
      </c>
      <c r="X1854" s="136">
        <f>COMPROMISOS_2025[[#This Row],[total_ordenes]]</f>
        <v>1067625</v>
      </c>
      <c r="Y1854" t="str" cm="1">
        <f t="array" aca="1" ref="Y1854" ca="1">IFERROR(_xlfn.XLOOKUP(COMPROMISOS_2025[[#This Row],[concatenado]],PAA[[#All],[RCP-RUBRO]],PAA[[#All],[Actividad3]],VLOOKUP(COMPROMISOS_2025[[#This Row],[Indicador Principal]],$AC$2:$AD$17,2,0),0),"")</f>
        <v/>
      </c>
    </row>
    <row r="1855" spans="1:25" hidden="1" x14ac:dyDescent="0.25">
      <c r="A1855">
        <v>1367</v>
      </c>
      <c r="B1855" t="s">
        <v>2491</v>
      </c>
      <c r="C1855" t="s">
        <v>1936</v>
      </c>
      <c r="D1855" t="s">
        <v>4182</v>
      </c>
      <c r="F1855">
        <v>406</v>
      </c>
      <c r="G1855">
        <v>65</v>
      </c>
      <c r="H1855" t="s">
        <v>662</v>
      </c>
      <c r="I1855" t="s">
        <v>2271</v>
      </c>
      <c r="J1855">
        <v>1067625</v>
      </c>
      <c r="K1855">
        <v>2025</v>
      </c>
      <c r="L1855">
        <v>1004701471</v>
      </c>
      <c r="M1855" t="s">
        <v>4262</v>
      </c>
      <c r="N1855" t="s">
        <v>1688</v>
      </c>
      <c r="O1855" t="s">
        <v>1686</v>
      </c>
      <c r="P1855">
        <v>0</v>
      </c>
      <c r="Q1855">
        <v>1067625</v>
      </c>
      <c r="R1855">
        <v>0</v>
      </c>
      <c r="S1855">
        <v>0</v>
      </c>
      <c r="T1855" t="str">
        <f t="shared" si="56"/>
        <v>13672.43.4302.85.0-205128.2.3.3.08.06.</v>
      </c>
      <c r="U1855" t="e" cm="1">
        <f t="array" aca="1" ref="U1855" ca="1">+IF(COMPROMISOS_2025[[#This Row],[P]]="20","41080111",_xlfn.XLOOKUP(COMPROMISOS_2025[[#This Row],[concatenado]],PAA[[#All],[RCP-RUBRO]],PAA[[#All],[INDICADOR]],"",0))</f>
        <v>#NAME?</v>
      </c>
      <c r="V1855" s="144" t="str">
        <f t="shared" si="57"/>
        <v>85</v>
      </c>
      <c r="W1855" s="136">
        <f>+COMPROMISOS_2025[[#This Row],[valor_total]]-COMPROMISOS_2025[[#This Row],[total_cancelado]]</f>
        <v>1067625</v>
      </c>
      <c r="X1855" s="136">
        <f>COMPROMISOS_2025[[#This Row],[total_ordenes]]</f>
        <v>1067625</v>
      </c>
      <c r="Y1855" t="str" cm="1">
        <f t="array" aca="1" ref="Y1855" ca="1">IFERROR(_xlfn.XLOOKUP(COMPROMISOS_2025[[#This Row],[concatenado]],PAA[[#All],[RCP-RUBRO]],PAA[[#All],[Actividad3]],VLOOKUP(COMPROMISOS_2025[[#This Row],[Indicador Principal]],$AC$2:$AD$17,2,0),0),"")</f>
        <v/>
      </c>
    </row>
    <row r="1856" spans="1:25" hidden="1" x14ac:dyDescent="0.25">
      <c r="A1856">
        <v>1368</v>
      </c>
      <c r="B1856" t="s">
        <v>2491</v>
      </c>
      <c r="C1856" t="s">
        <v>1936</v>
      </c>
      <c r="D1856" t="s">
        <v>4182</v>
      </c>
      <c r="F1856">
        <v>406</v>
      </c>
      <c r="G1856">
        <v>65</v>
      </c>
      <c r="H1856" t="s">
        <v>662</v>
      </c>
      <c r="I1856" t="s">
        <v>2271</v>
      </c>
      <c r="J1856">
        <v>1423500</v>
      </c>
      <c r="K1856">
        <v>2025</v>
      </c>
      <c r="L1856">
        <v>10047945802</v>
      </c>
      <c r="M1856" t="s">
        <v>4263</v>
      </c>
      <c r="N1856" t="s">
        <v>1688</v>
      </c>
      <c r="O1856" t="s">
        <v>1686</v>
      </c>
      <c r="P1856">
        <v>0</v>
      </c>
      <c r="Q1856">
        <v>1423500</v>
      </c>
      <c r="R1856">
        <v>0</v>
      </c>
      <c r="S1856">
        <v>0</v>
      </c>
      <c r="T1856" t="str">
        <f t="shared" si="56"/>
        <v>13682.43.4302.85.0-205128.2.3.3.08.06.</v>
      </c>
      <c r="U1856" t="e" cm="1">
        <f t="array" aca="1" ref="U1856" ca="1">+IF(COMPROMISOS_2025[[#This Row],[P]]="20","41080111",_xlfn.XLOOKUP(COMPROMISOS_2025[[#This Row],[concatenado]],PAA[[#All],[RCP-RUBRO]],PAA[[#All],[INDICADOR]],"",0))</f>
        <v>#NAME?</v>
      </c>
      <c r="V1856" s="144" t="str">
        <f t="shared" si="57"/>
        <v>85</v>
      </c>
      <c r="W1856" s="136">
        <f>+COMPROMISOS_2025[[#This Row],[valor_total]]-COMPROMISOS_2025[[#This Row],[total_cancelado]]</f>
        <v>1423500</v>
      </c>
      <c r="X1856" s="136">
        <f>COMPROMISOS_2025[[#This Row],[total_ordenes]]</f>
        <v>1423500</v>
      </c>
      <c r="Y1856" t="str" cm="1">
        <f t="array" aca="1" ref="Y1856" ca="1">IFERROR(_xlfn.XLOOKUP(COMPROMISOS_2025[[#This Row],[concatenado]],PAA[[#All],[RCP-RUBRO]],PAA[[#All],[Actividad3]],VLOOKUP(COMPROMISOS_2025[[#This Row],[Indicador Principal]],$AC$2:$AD$17,2,0),0),"")</f>
        <v/>
      </c>
    </row>
    <row r="1857" spans="1:25" hidden="1" x14ac:dyDescent="0.25">
      <c r="A1857">
        <v>1369</v>
      </c>
      <c r="B1857" t="s">
        <v>2491</v>
      </c>
      <c r="C1857" t="s">
        <v>1936</v>
      </c>
      <c r="D1857" t="s">
        <v>4182</v>
      </c>
      <c r="F1857">
        <v>406</v>
      </c>
      <c r="G1857">
        <v>65</v>
      </c>
      <c r="H1857" t="s">
        <v>662</v>
      </c>
      <c r="I1857" t="s">
        <v>2271</v>
      </c>
      <c r="J1857">
        <v>711750</v>
      </c>
      <c r="K1857">
        <v>2025</v>
      </c>
      <c r="L1857">
        <v>1004897858</v>
      </c>
      <c r="M1857" t="s">
        <v>3604</v>
      </c>
      <c r="N1857" t="s">
        <v>1688</v>
      </c>
      <c r="O1857" t="s">
        <v>1686</v>
      </c>
      <c r="P1857">
        <v>0</v>
      </c>
      <c r="Q1857">
        <v>711750</v>
      </c>
      <c r="R1857">
        <v>0</v>
      </c>
      <c r="S1857">
        <v>0</v>
      </c>
      <c r="T1857" t="str">
        <f t="shared" si="56"/>
        <v>13692.43.4302.85.0-205128.2.3.3.08.06.</v>
      </c>
      <c r="U1857" t="e" cm="1">
        <f t="array" aca="1" ref="U1857" ca="1">+IF(COMPROMISOS_2025[[#This Row],[P]]="20","41080111",_xlfn.XLOOKUP(COMPROMISOS_2025[[#This Row],[concatenado]],PAA[[#All],[RCP-RUBRO]],PAA[[#All],[INDICADOR]],"",0))</f>
        <v>#NAME?</v>
      </c>
      <c r="V1857" s="144" t="str">
        <f t="shared" si="57"/>
        <v>85</v>
      </c>
      <c r="W1857" s="136">
        <f>+COMPROMISOS_2025[[#This Row],[valor_total]]-COMPROMISOS_2025[[#This Row],[total_cancelado]]</f>
        <v>711750</v>
      </c>
      <c r="X1857" s="136">
        <f>COMPROMISOS_2025[[#This Row],[total_ordenes]]</f>
        <v>711750</v>
      </c>
      <c r="Y1857" t="str" cm="1">
        <f t="array" aca="1" ref="Y1857" ca="1">IFERROR(_xlfn.XLOOKUP(COMPROMISOS_2025[[#This Row],[concatenado]],PAA[[#All],[RCP-RUBRO]],PAA[[#All],[Actividad3]],VLOOKUP(COMPROMISOS_2025[[#This Row],[Indicador Principal]],$AC$2:$AD$17,2,0),0),"")</f>
        <v/>
      </c>
    </row>
    <row r="1858" spans="1:25" hidden="1" x14ac:dyDescent="0.25">
      <c r="A1858">
        <v>1370</v>
      </c>
      <c r="B1858" t="s">
        <v>2491</v>
      </c>
      <c r="C1858" t="s">
        <v>1936</v>
      </c>
      <c r="D1858" t="s">
        <v>4182</v>
      </c>
      <c r="F1858">
        <v>406</v>
      </c>
      <c r="G1858">
        <v>65</v>
      </c>
      <c r="H1858" t="s">
        <v>662</v>
      </c>
      <c r="I1858" t="s">
        <v>2271</v>
      </c>
      <c r="J1858">
        <v>1423500</v>
      </c>
      <c r="K1858">
        <v>2025</v>
      </c>
      <c r="L1858">
        <v>1004912774</v>
      </c>
      <c r="M1858" t="s">
        <v>3605</v>
      </c>
      <c r="N1858" t="s">
        <v>1688</v>
      </c>
      <c r="O1858" t="s">
        <v>1686</v>
      </c>
      <c r="P1858">
        <v>0</v>
      </c>
      <c r="Q1858">
        <v>1423500</v>
      </c>
      <c r="R1858">
        <v>0</v>
      </c>
      <c r="S1858">
        <v>0</v>
      </c>
      <c r="T1858" t="str">
        <f t="shared" ref="T1858:T1921" si="58">IF(A1858&gt;=0,CONCATENATE(A1858,H1858),"")</f>
        <v>13702.43.4302.85.0-205128.2.3.3.08.06.</v>
      </c>
      <c r="U1858" t="e" cm="1">
        <f t="array" aca="1" ref="U1858" ca="1">+IF(COMPROMISOS_2025[[#This Row],[P]]="20","41080111",_xlfn.XLOOKUP(COMPROMISOS_2025[[#This Row],[concatenado]],PAA[[#All],[RCP-RUBRO]],PAA[[#All],[INDICADOR]],"",0))</f>
        <v>#NAME?</v>
      </c>
      <c r="V1858" s="144" t="str">
        <f t="shared" ref="V1858:V1921" si="59">+MID(H1858,11,2)</f>
        <v>85</v>
      </c>
      <c r="W1858" s="136">
        <f>+COMPROMISOS_2025[[#This Row],[valor_total]]-COMPROMISOS_2025[[#This Row],[total_cancelado]]</f>
        <v>1423500</v>
      </c>
      <c r="X1858" s="136">
        <f>COMPROMISOS_2025[[#This Row],[total_ordenes]]</f>
        <v>1423500</v>
      </c>
      <c r="Y1858" t="str" cm="1">
        <f t="array" aca="1" ref="Y1858" ca="1">IFERROR(_xlfn.XLOOKUP(COMPROMISOS_2025[[#This Row],[concatenado]],PAA[[#All],[RCP-RUBRO]],PAA[[#All],[Actividad3]],VLOOKUP(COMPROMISOS_2025[[#This Row],[Indicador Principal]],$AC$2:$AD$17,2,0),0),"")</f>
        <v/>
      </c>
    </row>
    <row r="1859" spans="1:25" hidden="1" x14ac:dyDescent="0.25">
      <c r="A1859">
        <v>1371</v>
      </c>
      <c r="B1859" t="s">
        <v>2491</v>
      </c>
      <c r="C1859" t="s">
        <v>1936</v>
      </c>
      <c r="D1859" t="s">
        <v>4182</v>
      </c>
      <c r="F1859">
        <v>406</v>
      </c>
      <c r="G1859">
        <v>65</v>
      </c>
      <c r="H1859" t="s">
        <v>662</v>
      </c>
      <c r="I1859" t="s">
        <v>2271</v>
      </c>
      <c r="J1859">
        <v>711750</v>
      </c>
      <c r="K1859">
        <v>2025</v>
      </c>
      <c r="L1859">
        <v>1005095312</v>
      </c>
      <c r="M1859" t="s">
        <v>4264</v>
      </c>
      <c r="N1859" t="s">
        <v>1688</v>
      </c>
      <c r="O1859" t="s">
        <v>1686</v>
      </c>
      <c r="P1859">
        <v>0</v>
      </c>
      <c r="Q1859">
        <v>711750</v>
      </c>
      <c r="R1859">
        <v>0</v>
      </c>
      <c r="S1859">
        <v>0</v>
      </c>
      <c r="T1859" t="str">
        <f t="shared" si="58"/>
        <v>13712.43.4302.85.0-205128.2.3.3.08.06.</v>
      </c>
      <c r="U1859" t="e" cm="1">
        <f t="array" aca="1" ref="U1859" ca="1">+IF(COMPROMISOS_2025[[#This Row],[P]]="20","41080111",_xlfn.XLOOKUP(COMPROMISOS_2025[[#This Row],[concatenado]],PAA[[#All],[RCP-RUBRO]],PAA[[#All],[INDICADOR]],"",0))</f>
        <v>#NAME?</v>
      </c>
      <c r="V1859" s="144" t="str">
        <f t="shared" si="59"/>
        <v>85</v>
      </c>
      <c r="W1859" s="136">
        <f>+COMPROMISOS_2025[[#This Row],[valor_total]]-COMPROMISOS_2025[[#This Row],[total_cancelado]]</f>
        <v>711750</v>
      </c>
      <c r="X1859" s="136">
        <f>COMPROMISOS_2025[[#This Row],[total_ordenes]]</f>
        <v>711750</v>
      </c>
      <c r="Y1859" t="str" cm="1">
        <f t="array" aca="1" ref="Y1859" ca="1">IFERROR(_xlfn.XLOOKUP(COMPROMISOS_2025[[#This Row],[concatenado]],PAA[[#All],[RCP-RUBRO]],PAA[[#All],[Actividad3]],VLOOKUP(COMPROMISOS_2025[[#This Row],[Indicador Principal]],$AC$2:$AD$17,2,0),0),"")</f>
        <v/>
      </c>
    </row>
    <row r="1860" spans="1:25" hidden="1" x14ac:dyDescent="0.25">
      <c r="A1860">
        <v>1372</v>
      </c>
      <c r="B1860" t="s">
        <v>2491</v>
      </c>
      <c r="C1860" t="s">
        <v>1936</v>
      </c>
      <c r="D1860" t="s">
        <v>4182</v>
      </c>
      <c r="F1860">
        <v>406</v>
      </c>
      <c r="G1860">
        <v>65</v>
      </c>
      <c r="H1860" t="s">
        <v>662</v>
      </c>
      <c r="I1860" t="s">
        <v>2271</v>
      </c>
      <c r="J1860">
        <v>1067625</v>
      </c>
      <c r="K1860">
        <v>2025</v>
      </c>
      <c r="L1860">
        <v>1005334457</v>
      </c>
      <c r="M1860" t="s">
        <v>4265</v>
      </c>
      <c r="N1860" t="s">
        <v>1688</v>
      </c>
      <c r="O1860" t="s">
        <v>1686</v>
      </c>
      <c r="P1860">
        <v>0</v>
      </c>
      <c r="Q1860">
        <v>1067625</v>
      </c>
      <c r="R1860">
        <v>0</v>
      </c>
      <c r="S1860">
        <v>0</v>
      </c>
      <c r="T1860" t="str">
        <f t="shared" si="58"/>
        <v>13722.43.4302.85.0-205128.2.3.3.08.06.</v>
      </c>
      <c r="U1860" t="e" cm="1">
        <f t="array" aca="1" ref="U1860" ca="1">+IF(COMPROMISOS_2025[[#This Row],[P]]="20","41080111",_xlfn.XLOOKUP(COMPROMISOS_2025[[#This Row],[concatenado]],PAA[[#All],[RCP-RUBRO]],PAA[[#All],[INDICADOR]],"",0))</f>
        <v>#NAME?</v>
      </c>
      <c r="V1860" s="144" t="str">
        <f t="shared" si="59"/>
        <v>85</v>
      </c>
      <c r="W1860" s="136">
        <f>+COMPROMISOS_2025[[#This Row],[valor_total]]-COMPROMISOS_2025[[#This Row],[total_cancelado]]</f>
        <v>1067625</v>
      </c>
      <c r="X1860" s="136">
        <f>COMPROMISOS_2025[[#This Row],[total_ordenes]]</f>
        <v>1067625</v>
      </c>
      <c r="Y1860" t="str" cm="1">
        <f t="array" aca="1" ref="Y1860" ca="1">IFERROR(_xlfn.XLOOKUP(COMPROMISOS_2025[[#This Row],[concatenado]],PAA[[#All],[RCP-RUBRO]],PAA[[#All],[Actividad3]],VLOOKUP(COMPROMISOS_2025[[#This Row],[Indicador Principal]],$AC$2:$AD$17,2,0),0),"")</f>
        <v/>
      </c>
    </row>
    <row r="1861" spans="1:25" hidden="1" x14ac:dyDescent="0.25">
      <c r="A1861">
        <v>1373</v>
      </c>
      <c r="B1861" t="s">
        <v>2491</v>
      </c>
      <c r="C1861" t="s">
        <v>1936</v>
      </c>
      <c r="D1861" t="s">
        <v>4182</v>
      </c>
      <c r="F1861">
        <v>406</v>
      </c>
      <c r="G1861">
        <v>65</v>
      </c>
      <c r="H1861" t="s">
        <v>662</v>
      </c>
      <c r="I1861" t="s">
        <v>2271</v>
      </c>
      <c r="J1861">
        <v>1423500</v>
      </c>
      <c r="K1861">
        <v>2025</v>
      </c>
      <c r="L1861">
        <v>1006182134</v>
      </c>
      <c r="M1861" t="s">
        <v>3985</v>
      </c>
      <c r="N1861" t="s">
        <v>1688</v>
      </c>
      <c r="O1861" t="s">
        <v>1686</v>
      </c>
      <c r="P1861">
        <v>0</v>
      </c>
      <c r="Q1861">
        <v>1423500</v>
      </c>
      <c r="R1861">
        <v>0</v>
      </c>
      <c r="S1861">
        <v>0</v>
      </c>
      <c r="T1861" t="str">
        <f t="shared" si="58"/>
        <v>13732.43.4302.85.0-205128.2.3.3.08.06.</v>
      </c>
      <c r="U1861" t="e" cm="1">
        <f t="array" aca="1" ref="U1861" ca="1">+IF(COMPROMISOS_2025[[#This Row],[P]]="20","41080111",_xlfn.XLOOKUP(COMPROMISOS_2025[[#This Row],[concatenado]],PAA[[#All],[RCP-RUBRO]],PAA[[#All],[INDICADOR]],"",0))</f>
        <v>#NAME?</v>
      </c>
      <c r="V1861" s="144" t="str">
        <f t="shared" si="59"/>
        <v>85</v>
      </c>
      <c r="W1861" s="136">
        <f>+COMPROMISOS_2025[[#This Row],[valor_total]]-COMPROMISOS_2025[[#This Row],[total_cancelado]]</f>
        <v>1423500</v>
      </c>
      <c r="X1861" s="136">
        <f>COMPROMISOS_2025[[#This Row],[total_ordenes]]</f>
        <v>1423500</v>
      </c>
      <c r="Y1861" t="str" cm="1">
        <f t="array" aca="1" ref="Y1861" ca="1">IFERROR(_xlfn.XLOOKUP(COMPROMISOS_2025[[#This Row],[concatenado]],PAA[[#All],[RCP-RUBRO]],PAA[[#All],[Actividad3]],VLOOKUP(COMPROMISOS_2025[[#This Row],[Indicador Principal]],$AC$2:$AD$17,2,0),0),"")</f>
        <v/>
      </c>
    </row>
    <row r="1862" spans="1:25" hidden="1" x14ac:dyDescent="0.25">
      <c r="A1862">
        <v>1374</v>
      </c>
      <c r="B1862" t="s">
        <v>2491</v>
      </c>
      <c r="C1862" t="s">
        <v>1936</v>
      </c>
      <c r="D1862" t="s">
        <v>4182</v>
      </c>
      <c r="F1862">
        <v>406</v>
      </c>
      <c r="G1862">
        <v>65</v>
      </c>
      <c r="H1862" t="s">
        <v>662</v>
      </c>
      <c r="I1862" t="s">
        <v>2271</v>
      </c>
      <c r="J1862">
        <v>711750</v>
      </c>
      <c r="K1862">
        <v>2025</v>
      </c>
      <c r="L1862">
        <v>1006207346</v>
      </c>
      <c r="M1862" t="s">
        <v>3606</v>
      </c>
      <c r="N1862" t="s">
        <v>1688</v>
      </c>
      <c r="O1862" t="s">
        <v>1686</v>
      </c>
      <c r="P1862">
        <v>0</v>
      </c>
      <c r="Q1862">
        <v>711750</v>
      </c>
      <c r="R1862">
        <v>0</v>
      </c>
      <c r="S1862">
        <v>0</v>
      </c>
      <c r="T1862" t="str">
        <f t="shared" si="58"/>
        <v>13742.43.4302.85.0-205128.2.3.3.08.06.</v>
      </c>
      <c r="U1862" t="e" cm="1">
        <f t="array" aca="1" ref="U1862" ca="1">+IF(COMPROMISOS_2025[[#This Row],[P]]="20","41080111",_xlfn.XLOOKUP(COMPROMISOS_2025[[#This Row],[concatenado]],PAA[[#All],[RCP-RUBRO]],PAA[[#All],[INDICADOR]],"",0))</f>
        <v>#NAME?</v>
      </c>
      <c r="V1862" s="144" t="str">
        <f t="shared" si="59"/>
        <v>85</v>
      </c>
      <c r="W1862" s="136">
        <f>+COMPROMISOS_2025[[#This Row],[valor_total]]-COMPROMISOS_2025[[#This Row],[total_cancelado]]</f>
        <v>711750</v>
      </c>
      <c r="X1862" s="136">
        <f>COMPROMISOS_2025[[#This Row],[total_ordenes]]</f>
        <v>711750</v>
      </c>
      <c r="Y1862" t="str" cm="1">
        <f t="array" aca="1" ref="Y1862" ca="1">IFERROR(_xlfn.XLOOKUP(COMPROMISOS_2025[[#This Row],[concatenado]],PAA[[#All],[RCP-RUBRO]],PAA[[#All],[Actividad3]],VLOOKUP(COMPROMISOS_2025[[#This Row],[Indicador Principal]],$AC$2:$AD$17,2,0),0),"")</f>
        <v/>
      </c>
    </row>
    <row r="1863" spans="1:25" hidden="1" x14ac:dyDescent="0.25">
      <c r="A1863">
        <v>1375</v>
      </c>
      <c r="B1863" t="s">
        <v>2491</v>
      </c>
      <c r="C1863" t="s">
        <v>1936</v>
      </c>
      <c r="D1863" t="s">
        <v>4182</v>
      </c>
      <c r="F1863">
        <v>406</v>
      </c>
      <c r="G1863">
        <v>65</v>
      </c>
      <c r="H1863" t="s">
        <v>662</v>
      </c>
      <c r="I1863" t="s">
        <v>2271</v>
      </c>
      <c r="J1863">
        <v>4270500</v>
      </c>
      <c r="K1863">
        <v>2025</v>
      </c>
      <c r="L1863">
        <v>1006318727</v>
      </c>
      <c r="M1863" t="s">
        <v>3607</v>
      </c>
      <c r="N1863" t="s">
        <v>1688</v>
      </c>
      <c r="O1863" t="s">
        <v>1686</v>
      </c>
      <c r="P1863">
        <v>0</v>
      </c>
      <c r="Q1863">
        <v>4270500</v>
      </c>
      <c r="R1863">
        <v>0</v>
      </c>
      <c r="S1863">
        <v>0</v>
      </c>
      <c r="T1863" t="str">
        <f t="shared" si="58"/>
        <v>13752.43.4302.85.0-205128.2.3.3.08.06.</v>
      </c>
      <c r="U1863" t="e" cm="1">
        <f t="array" aca="1" ref="U1863" ca="1">+IF(COMPROMISOS_2025[[#This Row],[P]]="20","41080111",_xlfn.XLOOKUP(COMPROMISOS_2025[[#This Row],[concatenado]],PAA[[#All],[RCP-RUBRO]],PAA[[#All],[INDICADOR]],"",0))</f>
        <v>#NAME?</v>
      </c>
      <c r="V1863" s="144" t="str">
        <f t="shared" si="59"/>
        <v>85</v>
      </c>
      <c r="W1863" s="136">
        <f>+COMPROMISOS_2025[[#This Row],[valor_total]]-COMPROMISOS_2025[[#This Row],[total_cancelado]]</f>
        <v>4270500</v>
      </c>
      <c r="X1863" s="136">
        <f>COMPROMISOS_2025[[#This Row],[total_ordenes]]</f>
        <v>4270500</v>
      </c>
      <c r="Y1863" t="str" cm="1">
        <f t="array" aca="1" ref="Y1863" ca="1">IFERROR(_xlfn.XLOOKUP(COMPROMISOS_2025[[#This Row],[concatenado]],PAA[[#All],[RCP-RUBRO]],PAA[[#All],[Actividad3]],VLOOKUP(COMPROMISOS_2025[[#This Row],[Indicador Principal]],$AC$2:$AD$17,2,0),0),"")</f>
        <v/>
      </c>
    </row>
    <row r="1864" spans="1:25" hidden="1" x14ac:dyDescent="0.25">
      <c r="A1864">
        <v>1376</v>
      </c>
      <c r="B1864" t="s">
        <v>2491</v>
      </c>
      <c r="C1864" t="s">
        <v>1936</v>
      </c>
      <c r="D1864" t="s">
        <v>4182</v>
      </c>
      <c r="F1864">
        <v>406</v>
      </c>
      <c r="G1864">
        <v>65</v>
      </c>
      <c r="H1864" t="s">
        <v>662</v>
      </c>
      <c r="I1864" t="s">
        <v>2271</v>
      </c>
      <c r="J1864">
        <v>1067625</v>
      </c>
      <c r="K1864">
        <v>2025</v>
      </c>
      <c r="L1864">
        <v>1006320363</v>
      </c>
      <c r="M1864" t="s">
        <v>4266</v>
      </c>
      <c r="N1864" t="s">
        <v>1688</v>
      </c>
      <c r="O1864" t="s">
        <v>1686</v>
      </c>
      <c r="P1864">
        <v>0</v>
      </c>
      <c r="Q1864">
        <v>1067625</v>
      </c>
      <c r="R1864">
        <v>0</v>
      </c>
      <c r="S1864">
        <v>0</v>
      </c>
      <c r="T1864" t="str">
        <f t="shared" si="58"/>
        <v>13762.43.4302.85.0-205128.2.3.3.08.06.</v>
      </c>
      <c r="U1864" t="e" cm="1">
        <f t="array" aca="1" ref="U1864" ca="1">+IF(COMPROMISOS_2025[[#This Row],[P]]="20","41080111",_xlfn.XLOOKUP(COMPROMISOS_2025[[#This Row],[concatenado]],PAA[[#All],[RCP-RUBRO]],PAA[[#All],[INDICADOR]],"",0))</f>
        <v>#NAME?</v>
      </c>
      <c r="V1864" s="144" t="str">
        <f t="shared" si="59"/>
        <v>85</v>
      </c>
      <c r="W1864" s="136">
        <f>+COMPROMISOS_2025[[#This Row],[valor_total]]-COMPROMISOS_2025[[#This Row],[total_cancelado]]</f>
        <v>1067625</v>
      </c>
      <c r="X1864" s="136">
        <f>COMPROMISOS_2025[[#This Row],[total_ordenes]]</f>
        <v>1067625</v>
      </c>
      <c r="Y1864" t="str" cm="1">
        <f t="array" aca="1" ref="Y1864" ca="1">IFERROR(_xlfn.XLOOKUP(COMPROMISOS_2025[[#This Row],[concatenado]],PAA[[#All],[RCP-RUBRO]],PAA[[#All],[Actividad3]],VLOOKUP(COMPROMISOS_2025[[#This Row],[Indicador Principal]],$AC$2:$AD$17,2,0),0),"")</f>
        <v/>
      </c>
    </row>
    <row r="1865" spans="1:25" hidden="1" x14ac:dyDescent="0.25">
      <c r="A1865">
        <v>1377</v>
      </c>
      <c r="B1865" t="s">
        <v>2491</v>
      </c>
      <c r="C1865" t="s">
        <v>1936</v>
      </c>
      <c r="D1865" t="s">
        <v>4182</v>
      </c>
      <c r="F1865">
        <v>406</v>
      </c>
      <c r="G1865">
        <v>65</v>
      </c>
      <c r="H1865" t="s">
        <v>662</v>
      </c>
      <c r="I1865" t="s">
        <v>2271</v>
      </c>
      <c r="J1865">
        <v>5694000</v>
      </c>
      <c r="K1865">
        <v>2025</v>
      </c>
      <c r="L1865">
        <v>1006491022</v>
      </c>
      <c r="M1865" t="s">
        <v>3986</v>
      </c>
      <c r="N1865" t="s">
        <v>1688</v>
      </c>
      <c r="O1865" t="s">
        <v>1686</v>
      </c>
      <c r="P1865">
        <v>0</v>
      </c>
      <c r="Q1865">
        <v>5694000</v>
      </c>
      <c r="R1865">
        <v>0</v>
      </c>
      <c r="S1865">
        <v>0</v>
      </c>
      <c r="T1865" t="str">
        <f t="shared" si="58"/>
        <v>13772.43.4302.85.0-205128.2.3.3.08.06.</v>
      </c>
      <c r="U1865" t="e" cm="1">
        <f t="array" aca="1" ref="U1865" ca="1">+IF(COMPROMISOS_2025[[#This Row],[P]]="20","41080111",_xlfn.XLOOKUP(COMPROMISOS_2025[[#This Row],[concatenado]],PAA[[#All],[RCP-RUBRO]],PAA[[#All],[INDICADOR]],"",0))</f>
        <v>#NAME?</v>
      </c>
      <c r="V1865" s="144" t="str">
        <f t="shared" si="59"/>
        <v>85</v>
      </c>
      <c r="W1865" s="136">
        <f>+COMPROMISOS_2025[[#This Row],[valor_total]]-COMPROMISOS_2025[[#This Row],[total_cancelado]]</f>
        <v>5694000</v>
      </c>
      <c r="X1865" s="136">
        <f>COMPROMISOS_2025[[#This Row],[total_ordenes]]</f>
        <v>5694000</v>
      </c>
      <c r="Y1865" t="str" cm="1">
        <f t="array" aca="1" ref="Y1865" ca="1">IFERROR(_xlfn.XLOOKUP(COMPROMISOS_2025[[#This Row],[concatenado]],PAA[[#All],[RCP-RUBRO]],PAA[[#All],[Actividad3]],VLOOKUP(COMPROMISOS_2025[[#This Row],[Indicador Principal]],$AC$2:$AD$17,2,0),0),"")</f>
        <v/>
      </c>
    </row>
    <row r="1866" spans="1:25" hidden="1" x14ac:dyDescent="0.25">
      <c r="A1866">
        <v>1378</v>
      </c>
      <c r="B1866" t="s">
        <v>2491</v>
      </c>
      <c r="C1866" t="s">
        <v>1936</v>
      </c>
      <c r="D1866" t="s">
        <v>4182</v>
      </c>
      <c r="F1866">
        <v>406</v>
      </c>
      <c r="G1866">
        <v>65</v>
      </c>
      <c r="H1866" t="s">
        <v>662</v>
      </c>
      <c r="I1866" t="s">
        <v>2271</v>
      </c>
      <c r="J1866">
        <v>1423500</v>
      </c>
      <c r="K1866">
        <v>2025</v>
      </c>
      <c r="L1866">
        <v>1006512612</v>
      </c>
      <c r="M1866" t="s">
        <v>3987</v>
      </c>
      <c r="N1866" t="s">
        <v>1688</v>
      </c>
      <c r="O1866" t="s">
        <v>1686</v>
      </c>
      <c r="P1866">
        <v>0</v>
      </c>
      <c r="Q1866">
        <v>1423500</v>
      </c>
      <c r="R1866">
        <v>0</v>
      </c>
      <c r="S1866">
        <v>0</v>
      </c>
      <c r="T1866" t="str">
        <f t="shared" si="58"/>
        <v>13782.43.4302.85.0-205128.2.3.3.08.06.</v>
      </c>
      <c r="U1866" t="e" cm="1">
        <f t="array" aca="1" ref="U1866" ca="1">+IF(COMPROMISOS_2025[[#This Row],[P]]="20","41080111",_xlfn.XLOOKUP(COMPROMISOS_2025[[#This Row],[concatenado]],PAA[[#All],[RCP-RUBRO]],PAA[[#All],[INDICADOR]],"",0))</f>
        <v>#NAME?</v>
      </c>
      <c r="V1866" s="144" t="str">
        <f t="shared" si="59"/>
        <v>85</v>
      </c>
      <c r="W1866" s="136">
        <f>+COMPROMISOS_2025[[#This Row],[valor_total]]-COMPROMISOS_2025[[#This Row],[total_cancelado]]</f>
        <v>1423500</v>
      </c>
      <c r="X1866" s="136">
        <f>COMPROMISOS_2025[[#This Row],[total_ordenes]]</f>
        <v>1423500</v>
      </c>
      <c r="Y1866" t="str" cm="1">
        <f t="array" aca="1" ref="Y1866" ca="1">IFERROR(_xlfn.XLOOKUP(COMPROMISOS_2025[[#This Row],[concatenado]],PAA[[#All],[RCP-RUBRO]],PAA[[#All],[Actividad3]],VLOOKUP(COMPROMISOS_2025[[#This Row],[Indicador Principal]],$AC$2:$AD$17,2,0),0),"")</f>
        <v/>
      </c>
    </row>
    <row r="1867" spans="1:25" hidden="1" x14ac:dyDescent="0.25">
      <c r="A1867">
        <v>1379</v>
      </c>
      <c r="B1867" t="s">
        <v>2491</v>
      </c>
      <c r="C1867" t="s">
        <v>1936</v>
      </c>
      <c r="D1867" t="s">
        <v>4182</v>
      </c>
      <c r="F1867">
        <v>406</v>
      </c>
      <c r="G1867">
        <v>65</v>
      </c>
      <c r="H1867" t="s">
        <v>662</v>
      </c>
      <c r="I1867" t="s">
        <v>2271</v>
      </c>
      <c r="J1867">
        <v>1423500</v>
      </c>
      <c r="K1867">
        <v>2025</v>
      </c>
      <c r="L1867">
        <v>1006972704</v>
      </c>
      <c r="M1867" t="s">
        <v>3608</v>
      </c>
      <c r="N1867" t="s">
        <v>1688</v>
      </c>
      <c r="O1867" t="s">
        <v>1686</v>
      </c>
      <c r="P1867">
        <v>0</v>
      </c>
      <c r="Q1867">
        <v>1423500</v>
      </c>
      <c r="R1867">
        <v>0</v>
      </c>
      <c r="S1867">
        <v>0</v>
      </c>
      <c r="T1867" t="str">
        <f t="shared" si="58"/>
        <v>13792.43.4302.85.0-205128.2.3.3.08.06.</v>
      </c>
      <c r="U1867" t="e" cm="1">
        <f t="array" aca="1" ref="U1867" ca="1">+IF(COMPROMISOS_2025[[#This Row],[P]]="20","41080111",_xlfn.XLOOKUP(COMPROMISOS_2025[[#This Row],[concatenado]],PAA[[#All],[RCP-RUBRO]],PAA[[#All],[INDICADOR]],"",0))</f>
        <v>#NAME?</v>
      </c>
      <c r="V1867" s="144" t="str">
        <f t="shared" si="59"/>
        <v>85</v>
      </c>
      <c r="W1867" s="136">
        <f>+COMPROMISOS_2025[[#This Row],[valor_total]]-COMPROMISOS_2025[[#This Row],[total_cancelado]]</f>
        <v>1423500</v>
      </c>
      <c r="X1867" s="136">
        <f>COMPROMISOS_2025[[#This Row],[total_ordenes]]</f>
        <v>1423500</v>
      </c>
      <c r="Y1867" t="str" cm="1">
        <f t="array" aca="1" ref="Y1867" ca="1">IFERROR(_xlfn.XLOOKUP(COMPROMISOS_2025[[#This Row],[concatenado]],PAA[[#All],[RCP-RUBRO]],PAA[[#All],[Actividad3]],VLOOKUP(COMPROMISOS_2025[[#This Row],[Indicador Principal]],$AC$2:$AD$17,2,0),0),"")</f>
        <v/>
      </c>
    </row>
    <row r="1868" spans="1:25" hidden="1" x14ac:dyDescent="0.25">
      <c r="A1868">
        <v>1380</v>
      </c>
      <c r="B1868" t="s">
        <v>2491</v>
      </c>
      <c r="C1868" t="s">
        <v>1936</v>
      </c>
      <c r="D1868" t="s">
        <v>4182</v>
      </c>
      <c r="F1868">
        <v>406</v>
      </c>
      <c r="G1868">
        <v>65</v>
      </c>
      <c r="H1868" t="s">
        <v>662</v>
      </c>
      <c r="I1868" t="s">
        <v>2271</v>
      </c>
      <c r="J1868">
        <v>1423500</v>
      </c>
      <c r="K1868">
        <v>2025</v>
      </c>
      <c r="L1868">
        <v>1007145057</v>
      </c>
      <c r="M1868" t="s">
        <v>4267</v>
      </c>
      <c r="N1868" t="s">
        <v>1688</v>
      </c>
      <c r="O1868" t="s">
        <v>1686</v>
      </c>
      <c r="P1868">
        <v>0</v>
      </c>
      <c r="Q1868">
        <v>1423500</v>
      </c>
      <c r="R1868">
        <v>0</v>
      </c>
      <c r="S1868">
        <v>0</v>
      </c>
      <c r="T1868" t="str">
        <f t="shared" si="58"/>
        <v>13802.43.4302.85.0-205128.2.3.3.08.06.</v>
      </c>
      <c r="U1868" t="e" cm="1">
        <f t="array" aca="1" ref="U1868" ca="1">+IF(COMPROMISOS_2025[[#This Row],[P]]="20","41080111",_xlfn.XLOOKUP(COMPROMISOS_2025[[#This Row],[concatenado]],PAA[[#All],[RCP-RUBRO]],PAA[[#All],[INDICADOR]],"",0))</f>
        <v>#NAME?</v>
      </c>
      <c r="V1868" s="144" t="str">
        <f t="shared" si="59"/>
        <v>85</v>
      </c>
      <c r="W1868" s="136">
        <f>+COMPROMISOS_2025[[#This Row],[valor_total]]-COMPROMISOS_2025[[#This Row],[total_cancelado]]</f>
        <v>1423500</v>
      </c>
      <c r="X1868" s="136">
        <f>COMPROMISOS_2025[[#This Row],[total_ordenes]]</f>
        <v>1423500</v>
      </c>
      <c r="Y1868" t="str" cm="1">
        <f t="array" aca="1" ref="Y1868" ca="1">IFERROR(_xlfn.XLOOKUP(COMPROMISOS_2025[[#This Row],[concatenado]],PAA[[#All],[RCP-RUBRO]],PAA[[#All],[Actividad3]],VLOOKUP(COMPROMISOS_2025[[#This Row],[Indicador Principal]],$AC$2:$AD$17,2,0),0),"")</f>
        <v/>
      </c>
    </row>
    <row r="1869" spans="1:25" hidden="1" x14ac:dyDescent="0.25">
      <c r="A1869">
        <v>1381</v>
      </c>
      <c r="B1869" t="s">
        <v>2491</v>
      </c>
      <c r="C1869" t="s">
        <v>1936</v>
      </c>
      <c r="D1869" t="s">
        <v>4182</v>
      </c>
      <c r="F1869">
        <v>406</v>
      </c>
      <c r="G1869">
        <v>65</v>
      </c>
      <c r="H1869" t="s">
        <v>662</v>
      </c>
      <c r="I1869" t="s">
        <v>2271</v>
      </c>
      <c r="J1869">
        <v>1067625</v>
      </c>
      <c r="K1869">
        <v>2025</v>
      </c>
      <c r="L1869">
        <v>1007218380</v>
      </c>
      <c r="M1869" t="s">
        <v>4268</v>
      </c>
      <c r="N1869" t="s">
        <v>1688</v>
      </c>
      <c r="O1869" t="s">
        <v>1686</v>
      </c>
      <c r="P1869">
        <v>0</v>
      </c>
      <c r="Q1869">
        <v>1067625</v>
      </c>
      <c r="R1869">
        <v>0</v>
      </c>
      <c r="S1869">
        <v>0</v>
      </c>
      <c r="T1869" t="str">
        <f t="shared" si="58"/>
        <v>13812.43.4302.85.0-205128.2.3.3.08.06.</v>
      </c>
      <c r="U1869" t="e" cm="1">
        <f t="array" aca="1" ref="U1869" ca="1">+IF(COMPROMISOS_2025[[#This Row],[P]]="20","41080111",_xlfn.XLOOKUP(COMPROMISOS_2025[[#This Row],[concatenado]],PAA[[#All],[RCP-RUBRO]],PAA[[#All],[INDICADOR]],"",0))</f>
        <v>#NAME?</v>
      </c>
      <c r="V1869" s="144" t="str">
        <f t="shared" si="59"/>
        <v>85</v>
      </c>
      <c r="W1869" s="136">
        <f>+COMPROMISOS_2025[[#This Row],[valor_total]]-COMPROMISOS_2025[[#This Row],[total_cancelado]]</f>
        <v>1067625</v>
      </c>
      <c r="X1869" s="136">
        <f>COMPROMISOS_2025[[#This Row],[total_ordenes]]</f>
        <v>1067625</v>
      </c>
      <c r="Y1869" t="str" cm="1">
        <f t="array" aca="1" ref="Y1869" ca="1">IFERROR(_xlfn.XLOOKUP(COMPROMISOS_2025[[#This Row],[concatenado]],PAA[[#All],[RCP-RUBRO]],PAA[[#All],[Actividad3]],VLOOKUP(COMPROMISOS_2025[[#This Row],[Indicador Principal]],$AC$2:$AD$17,2,0),0),"")</f>
        <v/>
      </c>
    </row>
    <row r="1870" spans="1:25" hidden="1" x14ac:dyDescent="0.25">
      <c r="A1870">
        <v>1382</v>
      </c>
      <c r="B1870" t="s">
        <v>2491</v>
      </c>
      <c r="C1870" t="s">
        <v>1936</v>
      </c>
      <c r="D1870" t="s">
        <v>4182</v>
      </c>
      <c r="F1870">
        <v>406</v>
      </c>
      <c r="G1870">
        <v>65</v>
      </c>
      <c r="H1870" t="s">
        <v>662</v>
      </c>
      <c r="I1870" t="s">
        <v>2271</v>
      </c>
      <c r="J1870">
        <v>711750</v>
      </c>
      <c r="K1870">
        <v>2025</v>
      </c>
      <c r="L1870">
        <v>1007257342</v>
      </c>
      <c r="M1870" t="s">
        <v>3609</v>
      </c>
      <c r="N1870" t="s">
        <v>1688</v>
      </c>
      <c r="O1870" t="s">
        <v>1686</v>
      </c>
      <c r="P1870">
        <v>0</v>
      </c>
      <c r="Q1870">
        <v>711750</v>
      </c>
      <c r="R1870">
        <v>0</v>
      </c>
      <c r="S1870">
        <v>0</v>
      </c>
      <c r="T1870" t="str">
        <f t="shared" si="58"/>
        <v>13822.43.4302.85.0-205128.2.3.3.08.06.</v>
      </c>
      <c r="U1870" t="e" cm="1">
        <f t="array" aca="1" ref="U1870" ca="1">+IF(COMPROMISOS_2025[[#This Row],[P]]="20","41080111",_xlfn.XLOOKUP(COMPROMISOS_2025[[#This Row],[concatenado]],PAA[[#All],[RCP-RUBRO]],PAA[[#All],[INDICADOR]],"",0))</f>
        <v>#NAME?</v>
      </c>
      <c r="V1870" s="144" t="str">
        <f t="shared" si="59"/>
        <v>85</v>
      </c>
      <c r="W1870" s="136">
        <f>+COMPROMISOS_2025[[#This Row],[valor_total]]-COMPROMISOS_2025[[#This Row],[total_cancelado]]</f>
        <v>711750</v>
      </c>
      <c r="X1870" s="136">
        <f>COMPROMISOS_2025[[#This Row],[total_ordenes]]</f>
        <v>711750</v>
      </c>
      <c r="Y1870" t="str" cm="1">
        <f t="array" aca="1" ref="Y1870" ca="1">IFERROR(_xlfn.XLOOKUP(COMPROMISOS_2025[[#This Row],[concatenado]],PAA[[#All],[RCP-RUBRO]],PAA[[#All],[Actividad3]],VLOOKUP(COMPROMISOS_2025[[#This Row],[Indicador Principal]],$AC$2:$AD$17,2,0),0),"")</f>
        <v/>
      </c>
    </row>
    <row r="1871" spans="1:25" hidden="1" x14ac:dyDescent="0.25">
      <c r="A1871">
        <v>1383</v>
      </c>
      <c r="B1871" t="s">
        <v>2491</v>
      </c>
      <c r="C1871" t="s">
        <v>1936</v>
      </c>
      <c r="D1871" t="s">
        <v>4182</v>
      </c>
      <c r="F1871">
        <v>406</v>
      </c>
      <c r="G1871">
        <v>65</v>
      </c>
      <c r="H1871" t="s">
        <v>662</v>
      </c>
      <c r="I1871" t="s">
        <v>2271</v>
      </c>
      <c r="J1871">
        <v>2847000</v>
      </c>
      <c r="K1871">
        <v>2025</v>
      </c>
      <c r="L1871">
        <v>1007271880</v>
      </c>
      <c r="M1871" t="s">
        <v>3988</v>
      </c>
      <c r="N1871" t="s">
        <v>1688</v>
      </c>
      <c r="O1871" t="s">
        <v>1686</v>
      </c>
      <c r="P1871">
        <v>0</v>
      </c>
      <c r="Q1871">
        <v>2847000</v>
      </c>
      <c r="R1871">
        <v>0</v>
      </c>
      <c r="S1871">
        <v>0</v>
      </c>
      <c r="T1871" t="str">
        <f t="shared" si="58"/>
        <v>13832.43.4302.85.0-205128.2.3.3.08.06.</v>
      </c>
      <c r="U1871" t="e" cm="1">
        <f t="array" aca="1" ref="U1871" ca="1">+IF(COMPROMISOS_2025[[#This Row],[P]]="20","41080111",_xlfn.XLOOKUP(COMPROMISOS_2025[[#This Row],[concatenado]],PAA[[#All],[RCP-RUBRO]],PAA[[#All],[INDICADOR]],"",0))</f>
        <v>#NAME?</v>
      </c>
      <c r="V1871" s="144" t="str">
        <f t="shared" si="59"/>
        <v>85</v>
      </c>
      <c r="W1871" s="136">
        <f>+COMPROMISOS_2025[[#This Row],[valor_total]]-COMPROMISOS_2025[[#This Row],[total_cancelado]]</f>
        <v>2847000</v>
      </c>
      <c r="X1871" s="136">
        <f>COMPROMISOS_2025[[#This Row],[total_ordenes]]</f>
        <v>2847000</v>
      </c>
      <c r="Y1871" t="str" cm="1">
        <f t="array" aca="1" ref="Y1871" ca="1">IFERROR(_xlfn.XLOOKUP(COMPROMISOS_2025[[#This Row],[concatenado]],PAA[[#All],[RCP-RUBRO]],PAA[[#All],[Actividad3]],VLOOKUP(COMPROMISOS_2025[[#This Row],[Indicador Principal]],$AC$2:$AD$17,2,0),0),"")</f>
        <v/>
      </c>
    </row>
    <row r="1872" spans="1:25" hidden="1" x14ac:dyDescent="0.25">
      <c r="A1872">
        <v>1384</v>
      </c>
      <c r="B1872" t="s">
        <v>2491</v>
      </c>
      <c r="C1872" t="s">
        <v>1936</v>
      </c>
      <c r="D1872" t="s">
        <v>4182</v>
      </c>
      <c r="F1872">
        <v>406</v>
      </c>
      <c r="G1872">
        <v>65</v>
      </c>
      <c r="H1872" t="s">
        <v>662</v>
      </c>
      <c r="I1872" t="s">
        <v>2271</v>
      </c>
      <c r="J1872">
        <v>1423500</v>
      </c>
      <c r="K1872">
        <v>2025</v>
      </c>
      <c r="L1872">
        <v>1007286498</v>
      </c>
      <c r="M1872" t="s">
        <v>3989</v>
      </c>
      <c r="N1872" t="s">
        <v>1688</v>
      </c>
      <c r="O1872" t="s">
        <v>1686</v>
      </c>
      <c r="P1872">
        <v>0</v>
      </c>
      <c r="Q1872">
        <v>1423500</v>
      </c>
      <c r="R1872">
        <v>0</v>
      </c>
      <c r="S1872">
        <v>0</v>
      </c>
      <c r="T1872" t="str">
        <f t="shared" si="58"/>
        <v>13842.43.4302.85.0-205128.2.3.3.08.06.</v>
      </c>
      <c r="U1872" t="e" cm="1">
        <f t="array" aca="1" ref="U1872" ca="1">+IF(COMPROMISOS_2025[[#This Row],[P]]="20","41080111",_xlfn.XLOOKUP(COMPROMISOS_2025[[#This Row],[concatenado]],PAA[[#All],[RCP-RUBRO]],PAA[[#All],[INDICADOR]],"",0))</f>
        <v>#NAME?</v>
      </c>
      <c r="V1872" s="144" t="str">
        <f t="shared" si="59"/>
        <v>85</v>
      </c>
      <c r="W1872" s="136">
        <f>+COMPROMISOS_2025[[#This Row],[valor_total]]-COMPROMISOS_2025[[#This Row],[total_cancelado]]</f>
        <v>1423500</v>
      </c>
      <c r="X1872" s="136">
        <f>COMPROMISOS_2025[[#This Row],[total_ordenes]]</f>
        <v>1423500</v>
      </c>
      <c r="Y1872" t="str" cm="1">
        <f t="array" aca="1" ref="Y1872" ca="1">IFERROR(_xlfn.XLOOKUP(COMPROMISOS_2025[[#This Row],[concatenado]],PAA[[#All],[RCP-RUBRO]],PAA[[#All],[Actividad3]],VLOOKUP(COMPROMISOS_2025[[#This Row],[Indicador Principal]],$AC$2:$AD$17,2,0),0),"")</f>
        <v/>
      </c>
    </row>
    <row r="1873" spans="1:25" hidden="1" x14ac:dyDescent="0.25">
      <c r="A1873">
        <v>1385</v>
      </c>
      <c r="B1873" t="s">
        <v>2491</v>
      </c>
      <c r="C1873" t="s">
        <v>1936</v>
      </c>
      <c r="D1873" t="s">
        <v>4182</v>
      </c>
      <c r="F1873">
        <v>406</v>
      </c>
      <c r="G1873">
        <v>65</v>
      </c>
      <c r="H1873" t="s">
        <v>662</v>
      </c>
      <c r="I1873" t="s">
        <v>2271</v>
      </c>
      <c r="J1873">
        <v>1423500</v>
      </c>
      <c r="K1873">
        <v>2025</v>
      </c>
      <c r="L1873">
        <v>1007374139</v>
      </c>
      <c r="M1873" t="s">
        <v>4169</v>
      </c>
      <c r="N1873" t="s">
        <v>1688</v>
      </c>
      <c r="O1873" t="s">
        <v>1686</v>
      </c>
      <c r="P1873">
        <v>0</v>
      </c>
      <c r="Q1873">
        <v>1423500</v>
      </c>
      <c r="R1873">
        <v>0</v>
      </c>
      <c r="S1873">
        <v>0</v>
      </c>
      <c r="T1873" t="str">
        <f t="shared" si="58"/>
        <v>13852.43.4302.85.0-205128.2.3.3.08.06.</v>
      </c>
      <c r="U1873" t="e" cm="1">
        <f t="array" aca="1" ref="U1873" ca="1">+IF(COMPROMISOS_2025[[#This Row],[P]]="20","41080111",_xlfn.XLOOKUP(COMPROMISOS_2025[[#This Row],[concatenado]],PAA[[#All],[RCP-RUBRO]],PAA[[#All],[INDICADOR]],"",0))</f>
        <v>#NAME?</v>
      </c>
      <c r="V1873" s="144" t="str">
        <f t="shared" si="59"/>
        <v>85</v>
      </c>
      <c r="W1873" s="136">
        <f>+COMPROMISOS_2025[[#This Row],[valor_total]]-COMPROMISOS_2025[[#This Row],[total_cancelado]]</f>
        <v>1423500</v>
      </c>
      <c r="X1873" s="136">
        <f>COMPROMISOS_2025[[#This Row],[total_ordenes]]</f>
        <v>1423500</v>
      </c>
      <c r="Y1873" t="str" cm="1">
        <f t="array" aca="1" ref="Y1873" ca="1">IFERROR(_xlfn.XLOOKUP(COMPROMISOS_2025[[#This Row],[concatenado]],PAA[[#All],[RCP-RUBRO]],PAA[[#All],[Actividad3]],VLOOKUP(COMPROMISOS_2025[[#This Row],[Indicador Principal]],$AC$2:$AD$17,2,0),0),"")</f>
        <v/>
      </c>
    </row>
    <row r="1874" spans="1:25" hidden="1" x14ac:dyDescent="0.25">
      <c r="A1874">
        <v>1386</v>
      </c>
      <c r="B1874" t="s">
        <v>2491</v>
      </c>
      <c r="C1874" t="s">
        <v>1936</v>
      </c>
      <c r="D1874" t="s">
        <v>4182</v>
      </c>
      <c r="F1874">
        <v>406</v>
      </c>
      <c r="G1874">
        <v>65</v>
      </c>
      <c r="H1874" t="s">
        <v>662</v>
      </c>
      <c r="I1874" t="s">
        <v>2271</v>
      </c>
      <c r="J1874">
        <v>711750</v>
      </c>
      <c r="K1874">
        <v>2025</v>
      </c>
      <c r="L1874">
        <v>1007460942</v>
      </c>
      <c r="M1874" t="s">
        <v>3990</v>
      </c>
      <c r="N1874" t="s">
        <v>1688</v>
      </c>
      <c r="O1874" t="s">
        <v>1686</v>
      </c>
      <c r="P1874">
        <v>0</v>
      </c>
      <c r="Q1874">
        <v>711750</v>
      </c>
      <c r="R1874">
        <v>0</v>
      </c>
      <c r="S1874">
        <v>0</v>
      </c>
      <c r="T1874" t="str">
        <f t="shared" si="58"/>
        <v>13862.43.4302.85.0-205128.2.3.3.08.06.</v>
      </c>
      <c r="U1874" t="e" cm="1">
        <f t="array" aca="1" ref="U1874" ca="1">+IF(COMPROMISOS_2025[[#This Row],[P]]="20","41080111",_xlfn.XLOOKUP(COMPROMISOS_2025[[#This Row],[concatenado]],PAA[[#All],[RCP-RUBRO]],PAA[[#All],[INDICADOR]],"",0))</f>
        <v>#NAME?</v>
      </c>
      <c r="V1874" s="144" t="str">
        <f t="shared" si="59"/>
        <v>85</v>
      </c>
      <c r="W1874" s="136">
        <f>+COMPROMISOS_2025[[#This Row],[valor_total]]-COMPROMISOS_2025[[#This Row],[total_cancelado]]</f>
        <v>711750</v>
      </c>
      <c r="X1874" s="136">
        <f>COMPROMISOS_2025[[#This Row],[total_ordenes]]</f>
        <v>711750</v>
      </c>
      <c r="Y1874" t="str" cm="1">
        <f t="array" aca="1" ref="Y1874" ca="1">IFERROR(_xlfn.XLOOKUP(COMPROMISOS_2025[[#This Row],[concatenado]],PAA[[#All],[RCP-RUBRO]],PAA[[#All],[Actividad3]],VLOOKUP(COMPROMISOS_2025[[#This Row],[Indicador Principal]],$AC$2:$AD$17,2,0),0),"")</f>
        <v/>
      </c>
    </row>
    <row r="1875" spans="1:25" hidden="1" x14ac:dyDescent="0.25">
      <c r="A1875">
        <v>1387</v>
      </c>
      <c r="B1875" t="s">
        <v>2491</v>
      </c>
      <c r="C1875" t="s">
        <v>1936</v>
      </c>
      <c r="D1875" t="s">
        <v>4182</v>
      </c>
      <c r="F1875">
        <v>406</v>
      </c>
      <c r="G1875">
        <v>65</v>
      </c>
      <c r="H1875" t="s">
        <v>662</v>
      </c>
      <c r="I1875" t="s">
        <v>2271</v>
      </c>
      <c r="J1875">
        <v>711750</v>
      </c>
      <c r="K1875">
        <v>2025</v>
      </c>
      <c r="L1875">
        <v>1007495891</v>
      </c>
      <c r="M1875" t="s">
        <v>3611</v>
      </c>
      <c r="N1875" t="s">
        <v>1688</v>
      </c>
      <c r="O1875" t="s">
        <v>1686</v>
      </c>
      <c r="P1875">
        <v>0</v>
      </c>
      <c r="Q1875">
        <v>711750</v>
      </c>
      <c r="R1875">
        <v>0</v>
      </c>
      <c r="S1875">
        <v>0</v>
      </c>
      <c r="T1875" t="str">
        <f t="shared" si="58"/>
        <v>13872.43.4302.85.0-205128.2.3.3.08.06.</v>
      </c>
      <c r="U1875" t="e" cm="1">
        <f t="array" aca="1" ref="U1875" ca="1">+IF(COMPROMISOS_2025[[#This Row],[P]]="20","41080111",_xlfn.XLOOKUP(COMPROMISOS_2025[[#This Row],[concatenado]],PAA[[#All],[RCP-RUBRO]],PAA[[#All],[INDICADOR]],"",0))</f>
        <v>#NAME?</v>
      </c>
      <c r="V1875" s="144" t="str">
        <f t="shared" si="59"/>
        <v>85</v>
      </c>
      <c r="W1875" s="136">
        <f>+COMPROMISOS_2025[[#This Row],[valor_total]]-COMPROMISOS_2025[[#This Row],[total_cancelado]]</f>
        <v>711750</v>
      </c>
      <c r="X1875" s="136">
        <f>COMPROMISOS_2025[[#This Row],[total_ordenes]]</f>
        <v>711750</v>
      </c>
      <c r="Y1875" t="str" cm="1">
        <f t="array" aca="1" ref="Y1875" ca="1">IFERROR(_xlfn.XLOOKUP(COMPROMISOS_2025[[#This Row],[concatenado]],PAA[[#All],[RCP-RUBRO]],PAA[[#All],[Actividad3]],VLOOKUP(COMPROMISOS_2025[[#This Row],[Indicador Principal]],$AC$2:$AD$17,2,0),0),"")</f>
        <v/>
      </c>
    </row>
    <row r="1876" spans="1:25" hidden="1" x14ac:dyDescent="0.25">
      <c r="A1876">
        <v>1388</v>
      </c>
      <c r="B1876" t="s">
        <v>2491</v>
      </c>
      <c r="C1876" t="s">
        <v>1936</v>
      </c>
      <c r="D1876" t="s">
        <v>4182</v>
      </c>
      <c r="F1876">
        <v>406</v>
      </c>
      <c r="G1876">
        <v>65</v>
      </c>
      <c r="H1876" t="s">
        <v>662</v>
      </c>
      <c r="I1876" t="s">
        <v>2271</v>
      </c>
      <c r="J1876">
        <v>1423500</v>
      </c>
      <c r="K1876">
        <v>2025</v>
      </c>
      <c r="L1876">
        <v>1007508053</v>
      </c>
      <c r="M1876" t="s">
        <v>3612</v>
      </c>
      <c r="N1876" t="s">
        <v>1688</v>
      </c>
      <c r="O1876" t="s">
        <v>1686</v>
      </c>
      <c r="P1876">
        <v>0</v>
      </c>
      <c r="Q1876">
        <v>1423500</v>
      </c>
      <c r="R1876">
        <v>0</v>
      </c>
      <c r="S1876">
        <v>0</v>
      </c>
      <c r="T1876" t="str">
        <f t="shared" si="58"/>
        <v>13882.43.4302.85.0-205128.2.3.3.08.06.</v>
      </c>
      <c r="U1876" t="e" cm="1">
        <f t="array" aca="1" ref="U1876" ca="1">+IF(COMPROMISOS_2025[[#This Row],[P]]="20","41080111",_xlfn.XLOOKUP(COMPROMISOS_2025[[#This Row],[concatenado]],PAA[[#All],[RCP-RUBRO]],PAA[[#All],[INDICADOR]],"",0))</f>
        <v>#NAME?</v>
      </c>
      <c r="V1876" s="144" t="str">
        <f t="shared" si="59"/>
        <v>85</v>
      </c>
      <c r="W1876" s="136">
        <f>+COMPROMISOS_2025[[#This Row],[valor_total]]-COMPROMISOS_2025[[#This Row],[total_cancelado]]</f>
        <v>1423500</v>
      </c>
      <c r="X1876" s="136">
        <f>COMPROMISOS_2025[[#This Row],[total_ordenes]]</f>
        <v>1423500</v>
      </c>
      <c r="Y1876" t="str" cm="1">
        <f t="array" aca="1" ref="Y1876" ca="1">IFERROR(_xlfn.XLOOKUP(COMPROMISOS_2025[[#This Row],[concatenado]],PAA[[#All],[RCP-RUBRO]],PAA[[#All],[Actividad3]],VLOOKUP(COMPROMISOS_2025[[#This Row],[Indicador Principal]],$AC$2:$AD$17,2,0),0),"")</f>
        <v/>
      </c>
    </row>
    <row r="1877" spans="1:25" hidden="1" x14ac:dyDescent="0.25">
      <c r="A1877">
        <v>1389</v>
      </c>
      <c r="B1877" t="s">
        <v>2491</v>
      </c>
      <c r="C1877" t="s">
        <v>1936</v>
      </c>
      <c r="D1877" t="s">
        <v>4182</v>
      </c>
      <c r="F1877">
        <v>406</v>
      </c>
      <c r="G1877">
        <v>65</v>
      </c>
      <c r="H1877" t="s">
        <v>662</v>
      </c>
      <c r="I1877" t="s">
        <v>2271</v>
      </c>
      <c r="J1877">
        <v>1423500</v>
      </c>
      <c r="K1877">
        <v>2025</v>
      </c>
      <c r="L1877">
        <v>1007518947</v>
      </c>
      <c r="M1877" t="s">
        <v>4170</v>
      </c>
      <c r="N1877" t="s">
        <v>1688</v>
      </c>
      <c r="O1877" t="s">
        <v>1686</v>
      </c>
      <c r="P1877">
        <v>0</v>
      </c>
      <c r="Q1877">
        <v>1423500</v>
      </c>
      <c r="R1877">
        <v>0</v>
      </c>
      <c r="S1877">
        <v>0</v>
      </c>
      <c r="T1877" t="str">
        <f t="shared" si="58"/>
        <v>13892.43.4302.85.0-205128.2.3.3.08.06.</v>
      </c>
      <c r="U1877" t="e" cm="1">
        <f t="array" aca="1" ref="U1877" ca="1">+IF(COMPROMISOS_2025[[#This Row],[P]]="20","41080111",_xlfn.XLOOKUP(COMPROMISOS_2025[[#This Row],[concatenado]],PAA[[#All],[RCP-RUBRO]],PAA[[#All],[INDICADOR]],"",0))</f>
        <v>#NAME?</v>
      </c>
      <c r="V1877" s="144" t="str">
        <f t="shared" si="59"/>
        <v>85</v>
      </c>
      <c r="W1877" s="136">
        <f>+COMPROMISOS_2025[[#This Row],[valor_total]]-COMPROMISOS_2025[[#This Row],[total_cancelado]]</f>
        <v>1423500</v>
      </c>
      <c r="X1877" s="136">
        <f>COMPROMISOS_2025[[#This Row],[total_ordenes]]</f>
        <v>1423500</v>
      </c>
      <c r="Y1877" t="str" cm="1">
        <f t="array" aca="1" ref="Y1877" ca="1">IFERROR(_xlfn.XLOOKUP(COMPROMISOS_2025[[#This Row],[concatenado]],PAA[[#All],[RCP-RUBRO]],PAA[[#All],[Actividad3]],VLOOKUP(COMPROMISOS_2025[[#This Row],[Indicador Principal]],$AC$2:$AD$17,2,0),0),"")</f>
        <v/>
      </c>
    </row>
    <row r="1878" spans="1:25" hidden="1" x14ac:dyDescent="0.25">
      <c r="A1878">
        <v>1390</v>
      </c>
      <c r="B1878" t="s">
        <v>2491</v>
      </c>
      <c r="C1878" t="s">
        <v>1936</v>
      </c>
      <c r="D1878" t="s">
        <v>4182</v>
      </c>
      <c r="F1878">
        <v>406</v>
      </c>
      <c r="G1878">
        <v>65</v>
      </c>
      <c r="H1878" t="s">
        <v>662</v>
      </c>
      <c r="I1878" t="s">
        <v>2271</v>
      </c>
      <c r="J1878">
        <v>711750</v>
      </c>
      <c r="K1878">
        <v>2025</v>
      </c>
      <c r="L1878">
        <v>1007526330</v>
      </c>
      <c r="M1878" t="s">
        <v>3613</v>
      </c>
      <c r="N1878" t="s">
        <v>1688</v>
      </c>
      <c r="O1878" t="s">
        <v>1686</v>
      </c>
      <c r="P1878">
        <v>0</v>
      </c>
      <c r="Q1878">
        <v>711750</v>
      </c>
      <c r="R1878">
        <v>0</v>
      </c>
      <c r="S1878">
        <v>0</v>
      </c>
      <c r="T1878" t="str">
        <f t="shared" si="58"/>
        <v>13902.43.4302.85.0-205128.2.3.3.08.06.</v>
      </c>
      <c r="U1878" t="e" cm="1">
        <f t="array" aca="1" ref="U1878" ca="1">+IF(COMPROMISOS_2025[[#This Row],[P]]="20","41080111",_xlfn.XLOOKUP(COMPROMISOS_2025[[#This Row],[concatenado]],PAA[[#All],[RCP-RUBRO]],PAA[[#All],[INDICADOR]],"",0))</f>
        <v>#NAME?</v>
      </c>
      <c r="V1878" s="144" t="str">
        <f t="shared" si="59"/>
        <v>85</v>
      </c>
      <c r="W1878" s="136">
        <f>+COMPROMISOS_2025[[#This Row],[valor_total]]-COMPROMISOS_2025[[#This Row],[total_cancelado]]</f>
        <v>711750</v>
      </c>
      <c r="X1878" s="136">
        <f>COMPROMISOS_2025[[#This Row],[total_ordenes]]</f>
        <v>711750</v>
      </c>
      <c r="Y1878" t="str" cm="1">
        <f t="array" aca="1" ref="Y1878" ca="1">IFERROR(_xlfn.XLOOKUP(COMPROMISOS_2025[[#This Row],[concatenado]],PAA[[#All],[RCP-RUBRO]],PAA[[#All],[Actividad3]],VLOOKUP(COMPROMISOS_2025[[#This Row],[Indicador Principal]],$AC$2:$AD$17,2,0),0),"")</f>
        <v/>
      </c>
    </row>
    <row r="1879" spans="1:25" hidden="1" x14ac:dyDescent="0.25">
      <c r="A1879">
        <v>1391</v>
      </c>
      <c r="B1879" t="s">
        <v>2491</v>
      </c>
      <c r="C1879" t="s">
        <v>1936</v>
      </c>
      <c r="D1879" t="s">
        <v>4182</v>
      </c>
      <c r="F1879">
        <v>406</v>
      </c>
      <c r="G1879">
        <v>65</v>
      </c>
      <c r="H1879" t="s">
        <v>662</v>
      </c>
      <c r="I1879" t="s">
        <v>2271</v>
      </c>
      <c r="J1879">
        <v>1067625</v>
      </c>
      <c r="K1879">
        <v>2025</v>
      </c>
      <c r="L1879">
        <v>1007546362</v>
      </c>
      <c r="M1879" t="s">
        <v>3992</v>
      </c>
      <c r="N1879" t="s">
        <v>1688</v>
      </c>
      <c r="O1879" t="s">
        <v>1686</v>
      </c>
      <c r="P1879">
        <v>0</v>
      </c>
      <c r="Q1879">
        <v>1067625</v>
      </c>
      <c r="R1879">
        <v>0</v>
      </c>
      <c r="S1879">
        <v>0</v>
      </c>
      <c r="T1879" t="str">
        <f t="shared" si="58"/>
        <v>13912.43.4302.85.0-205128.2.3.3.08.06.</v>
      </c>
      <c r="U1879" t="e" cm="1">
        <f t="array" aca="1" ref="U1879" ca="1">+IF(COMPROMISOS_2025[[#This Row],[P]]="20","41080111",_xlfn.XLOOKUP(COMPROMISOS_2025[[#This Row],[concatenado]],PAA[[#All],[RCP-RUBRO]],PAA[[#All],[INDICADOR]],"",0))</f>
        <v>#NAME?</v>
      </c>
      <c r="V1879" s="144" t="str">
        <f t="shared" si="59"/>
        <v>85</v>
      </c>
      <c r="W1879" s="136">
        <f>+COMPROMISOS_2025[[#This Row],[valor_total]]-COMPROMISOS_2025[[#This Row],[total_cancelado]]</f>
        <v>1067625</v>
      </c>
      <c r="X1879" s="136">
        <f>COMPROMISOS_2025[[#This Row],[total_ordenes]]</f>
        <v>1067625</v>
      </c>
      <c r="Y1879" t="str" cm="1">
        <f t="array" aca="1" ref="Y1879" ca="1">IFERROR(_xlfn.XLOOKUP(COMPROMISOS_2025[[#This Row],[concatenado]],PAA[[#All],[RCP-RUBRO]],PAA[[#All],[Actividad3]],VLOOKUP(COMPROMISOS_2025[[#This Row],[Indicador Principal]],$AC$2:$AD$17,2,0),0),"")</f>
        <v/>
      </c>
    </row>
    <row r="1880" spans="1:25" hidden="1" x14ac:dyDescent="0.25">
      <c r="A1880">
        <v>1392</v>
      </c>
      <c r="B1880" t="s">
        <v>2491</v>
      </c>
      <c r="C1880" t="s">
        <v>1936</v>
      </c>
      <c r="D1880" t="s">
        <v>4182</v>
      </c>
      <c r="F1880">
        <v>406</v>
      </c>
      <c r="G1880">
        <v>65</v>
      </c>
      <c r="H1880" t="s">
        <v>662</v>
      </c>
      <c r="I1880" t="s">
        <v>2271</v>
      </c>
      <c r="J1880">
        <v>711750</v>
      </c>
      <c r="K1880">
        <v>2025</v>
      </c>
      <c r="L1880">
        <v>1007626015</v>
      </c>
      <c r="M1880" t="s">
        <v>3993</v>
      </c>
      <c r="N1880" t="s">
        <v>1688</v>
      </c>
      <c r="O1880" t="s">
        <v>1686</v>
      </c>
      <c r="P1880">
        <v>0</v>
      </c>
      <c r="Q1880">
        <v>711750</v>
      </c>
      <c r="R1880">
        <v>0</v>
      </c>
      <c r="S1880">
        <v>0</v>
      </c>
      <c r="T1880" t="str">
        <f t="shared" si="58"/>
        <v>13922.43.4302.85.0-205128.2.3.3.08.06.</v>
      </c>
      <c r="U1880" t="e" cm="1">
        <f t="array" aca="1" ref="U1880" ca="1">+IF(COMPROMISOS_2025[[#This Row],[P]]="20","41080111",_xlfn.XLOOKUP(COMPROMISOS_2025[[#This Row],[concatenado]],PAA[[#All],[RCP-RUBRO]],PAA[[#All],[INDICADOR]],"",0))</f>
        <v>#NAME?</v>
      </c>
      <c r="V1880" s="144" t="str">
        <f t="shared" si="59"/>
        <v>85</v>
      </c>
      <c r="W1880" s="136">
        <f>+COMPROMISOS_2025[[#This Row],[valor_total]]-COMPROMISOS_2025[[#This Row],[total_cancelado]]</f>
        <v>711750</v>
      </c>
      <c r="X1880" s="136">
        <f>COMPROMISOS_2025[[#This Row],[total_ordenes]]</f>
        <v>711750</v>
      </c>
      <c r="Y1880" t="str" cm="1">
        <f t="array" aca="1" ref="Y1880" ca="1">IFERROR(_xlfn.XLOOKUP(COMPROMISOS_2025[[#This Row],[concatenado]],PAA[[#All],[RCP-RUBRO]],PAA[[#All],[Actividad3]],VLOOKUP(COMPROMISOS_2025[[#This Row],[Indicador Principal]],$AC$2:$AD$17,2,0),0),"")</f>
        <v/>
      </c>
    </row>
    <row r="1881" spans="1:25" hidden="1" x14ac:dyDescent="0.25">
      <c r="A1881">
        <v>1393</v>
      </c>
      <c r="B1881" t="s">
        <v>2491</v>
      </c>
      <c r="C1881" t="s">
        <v>1936</v>
      </c>
      <c r="D1881" t="s">
        <v>4182</v>
      </c>
      <c r="F1881">
        <v>406</v>
      </c>
      <c r="G1881">
        <v>65</v>
      </c>
      <c r="H1881" t="s">
        <v>662</v>
      </c>
      <c r="I1881" t="s">
        <v>2271</v>
      </c>
      <c r="J1881">
        <v>1423500</v>
      </c>
      <c r="K1881">
        <v>2025</v>
      </c>
      <c r="L1881">
        <v>1007697785</v>
      </c>
      <c r="M1881" t="s">
        <v>4269</v>
      </c>
      <c r="N1881" t="s">
        <v>1688</v>
      </c>
      <c r="O1881" t="s">
        <v>1686</v>
      </c>
      <c r="P1881">
        <v>0</v>
      </c>
      <c r="Q1881">
        <v>1423500</v>
      </c>
      <c r="R1881">
        <v>0</v>
      </c>
      <c r="S1881">
        <v>0</v>
      </c>
      <c r="T1881" t="str">
        <f t="shared" si="58"/>
        <v>13932.43.4302.85.0-205128.2.3.3.08.06.</v>
      </c>
      <c r="U1881" t="e" cm="1">
        <f t="array" aca="1" ref="U1881" ca="1">+IF(COMPROMISOS_2025[[#This Row],[P]]="20","41080111",_xlfn.XLOOKUP(COMPROMISOS_2025[[#This Row],[concatenado]],PAA[[#All],[RCP-RUBRO]],PAA[[#All],[INDICADOR]],"",0))</f>
        <v>#NAME?</v>
      </c>
      <c r="V1881" s="144" t="str">
        <f t="shared" si="59"/>
        <v>85</v>
      </c>
      <c r="W1881" s="136">
        <f>+COMPROMISOS_2025[[#This Row],[valor_total]]-COMPROMISOS_2025[[#This Row],[total_cancelado]]</f>
        <v>1423500</v>
      </c>
      <c r="X1881" s="136">
        <f>COMPROMISOS_2025[[#This Row],[total_ordenes]]</f>
        <v>1423500</v>
      </c>
      <c r="Y1881" t="str" cm="1">
        <f t="array" aca="1" ref="Y1881" ca="1">IFERROR(_xlfn.XLOOKUP(COMPROMISOS_2025[[#This Row],[concatenado]],PAA[[#All],[RCP-RUBRO]],PAA[[#All],[Actividad3]],VLOOKUP(COMPROMISOS_2025[[#This Row],[Indicador Principal]],$AC$2:$AD$17,2,0),0),"")</f>
        <v/>
      </c>
    </row>
    <row r="1882" spans="1:25" hidden="1" x14ac:dyDescent="0.25">
      <c r="A1882">
        <v>1394</v>
      </c>
      <c r="B1882" t="s">
        <v>2491</v>
      </c>
      <c r="C1882" t="s">
        <v>1936</v>
      </c>
      <c r="D1882" t="s">
        <v>4182</v>
      </c>
      <c r="F1882">
        <v>406</v>
      </c>
      <c r="G1882">
        <v>65</v>
      </c>
      <c r="H1882" t="s">
        <v>662</v>
      </c>
      <c r="I1882" t="s">
        <v>2271</v>
      </c>
      <c r="J1882">
        <v>1067625</v>
      </c>
      <c r="K1882">
        <v>2025</v>
      </c>
      <c r="L1882">
        <v>1007722615</v>
      </c>
      <c r="M1882" t="s">
        <v>4270</v>
      </c>
      <c r="N1882" t="s">
        <v>1688</v>
      </c>
      <c r="O1882" t="s">
        <v>1686</v>
      </c>
      <c r="P1882">
        <v>0</v>
      </c>
      <c r="Q1882">
        <v>1067625</v>
      </c>
      <c r="R1882">
        <v>0</v>
      </c>
      <c r="S1882">
        <v>0</v>
      </c>
      <c r="T1882" t="str">
        <f t="shared" si="58"/>
        <v>13942.43.4302.85.0-205128.2.3.3.08.06.</v>
      </c>
      <c r="U1882" t="e" cm="1">
        <f t="array" aca="1" ref="U1882" ca="1">+IF(COMPROMISOS_2025[[#This Row],[P]]="20","41080111",_xlfn.XLOOKUP(COMPROMISOS_2025[[#This Row],[concatenado]],PAA[[#All],[RCP-RUBRO]],PAA[[#All],[INDICADOR]],"",0))</f>
        <v>#NAME?</v>
      </c>
      <c r="V1882" s="144" t="str">
        <f t="shared" si="59"/>
        <v>85</v>
      </c>
      <c r="W1882" s="136">
        <f>+COMPROMISOS_2025[[#This Row],[valor_total]]-COMPROMISOS_2025[[#This Row],[total_cancelado]]</f>
        <v>1067625</v>
      </c>
      <c r="X1882" s="136">
        <f>COMPROMISOS_2025[[#This Row],[total_ordenes]]</f>
        <v>1067625</v>
      </c>
      <c r="Y1882" t="str" cm="1">
        <f t="array" aca="1" ref="Y1882" ca="1">IFERROR(_xlfn.XLOOKUP(COMPROMISOS_2025[[#This Row],[concatenado]],PAA[[#All],[RCP-RUBRO]],PAA[[#All],[Actividad3]],VLOOKUP(COMPROMISOS_2025[[#This Row],[Indicador Principal]],$AC$2:$AD$17,2,0),0),"")</f>
        <v/>
      </c>
    </row>
    <row r="1883" spans="1:25" hidden="1" x14ac:dyDescent="0.25">
      <c r="A1883">
        <v>1395</v>
      </c>
      <c r="B1883" t="s">
        <v>2491</v>
      </c>
      <c r="C1883" t="s">
        <v>1936</v>
      </c>
      <c r="D1883" t="s">
        <v>4182</v>
      </c>
      <c r="F1883">
        <v>406</v>
      </c>
      <c r="G1883">
        <v>65</v>
      </c>
      <c r="H1883" t="s">
        <v>662</v>
      </c>
      <c r="I1883" t="s">
        <v>2271</v>
      </c>
      <c r="J1883">
        <v>2847000</v>
      </c>
      <c r="K1883">
        <v>2025</v>
      </c>
      <c r="L1883">
        <v>1007746450</v>
      </c>
      <c r="M1883" t="s">
        <v>3614</v>
      </c>
      <c r="N1883" t="s">
        <v>1688</v>
      </c>
      <c r="O1883" t="s">
        <v>1686</v>
      </c>
      <c r="P1883">
        <v>0</v>
      </c>
      <c r="Q1883">
        <v>2847000</v>
      </c>
      <c r="R1883">
        <v>0</v>
      </c>
      <c r="S1883">
        <v>0</v>
      </c>
      <c r="T1883" t="str">
        <f t="shared" si="58"/>
        <v>13952.43.4302.85.0-205128.2.3.3.08.06.</v>
      </c>
      <c r="U1883" t="e" cm="1">
        <f t="array" aca="1" ref="U1883" ca="1">+IF(COMPROMISOS_2025[[#This Row],[P]]="20","41080111",_xlfn.XLOOKUP(COMPROMISOS_2025[[#This Row],[concatenado]],PAA[[#All],[RCP-RUBRO]],PAA[[#All],[INDICADOR]],"",0))</f>
        <v>#NAME?</v>
      </c>
      <c r="V1883" s="144" t="str">
        <f t="shared" si="59"/>
        <v>85</v>
      </c>
      <c r="W1883" s="136">
        <f>+COMPROMISOS_2025[[#This Row],[valor_total]]-COMPROMISOS_2025[[#This Row],[total_cancelado]]</f>
        <v>2847000</v>
      </c>
      <c r="X1883" s="136">
        <f>COMPROMISOS_2025[[#This Row],[total_ordenes]]</f>
        <v>2847000</v>
      </c>
      <c r="Y1883" t="str" cm="1">
        <f t="array" aca="1" ref="Y1883" ca="1">IFERROR(_xlfn.XLOOKUP(COMPROMISOS_2025[[#This Row],[concatenado]],PAA[[#All],[RCP-RUBRO]],PAA[[#All],[Actividad3]],VLOOKUP(COMPROMISOS_2025[[#This Row],[Indicador Principal]],$AC$2:$AD$17,2,0),0),"")</f>
        <v/>
      </c>
    </row>
    <row r="1884" spans="1:25" hidden="1" x14ac:dyDescent="0.25">
      <c r="A1884">
        <v>1396</v>
      </c>
      <c r="B1884" t="s">
        <v>2491</v>
      </c>
      <c r="C1884" t="s">
        <v>1936</v>
      </c>
      <c r="D1884" t="s">
        <v>4182</v>
      </c>
      <c r="F1884">
        <v>406</v>
      </c>
      <c r="G1884">
        <v>65</v>
      </c>
      <c r="H1884" t="s">
        <v>662</v>
      </c>
      <c r="I1884" t="s">
        <v>2271</v>
      </c>
      <c r="J1884">
        <v>1067625</v>
      </c>
      <c r="K1884">
        <v>2025</v>
      </c>
      <c r="L1884">
        <v>1007898956</v>
      </c>
      <c r="M1884" t="s">
        <v>3994</v>
      </c>
      <c r="N1884" t="s">
        <v>1688</v>
      </c>
      <c r="O1884" t="s">
        <v>1686</v>
      </c>
      <c r="P1884">
        <v>0</v>
      </c>
      <c r="Q1884">
        <v>1067625</v>
      </c>
      <c r="R1884">
        <v>0</v>
      </c>
      <c r="S1884">
        <v>0</v>
      </c>
      <c r="T1884" t="str">
        <f t="shared" si="58"/>
        <v>13962.43.4302.85.0-205128.2.3.3.08.06.</v>
      </c>
      <c r="U1884" t="e" cm="1">
        <f t="array" aca="1" ref="U1884" ca="1">+IF(COMPROMISOS_2025[[#This Row],[P]]="20","41080111",_xlfn.XLOOKUP(COMPROMISOS_2025[[#This Row],[concatenado]],PAA[[#All],[RCP-RUBRO]],PAA[[#All],[INDICADOR]],"",0))</f>
        <v>#NAME?</v>
      </c>
      <c r="V1884" s="144" t="str">
        <f t="shared" si="59"/>
        <v>85</v>
      </c>
      <c r="W1884" s="136">
        <f>+COMPROMISOS_2025[[#This Row],[valor_total]]-COMPROMISOS_2025[[#This Row],[total_cancelado]]</f>
        <v>1067625</v>
      </c>
      <c r="X1884" s="136">
        <f>COMPROMISOS_2025[[#This Row],[total_ordenes]]</f>
        <v>1067625</v>
      </c>
      <c r="Y1884" t="str" cm="1">
        <f t="array" aca="1" ref="Y1884" ca="1">IFERROR(_xlfn.XLOOKUP(COMPROMISOS_2025[[#This Row],[concatenado]],PAA[[#All],[RCP-RUBRO]],PAA[[#All],[Actividad3]],VLOOKUP(COMPROMISOS_2025[[#This Row],[Indicador Principal]],$AC$2:$AD$17,2,0),0),"")</f>
        <v/>
      </c>
    </row>
    <row r="1885" spans="1:25" hidden="1" x14ac:dyDescent="0.25">
      <c r="A1885">
        <v>1397</v>
      </c>
      <c r="B1885" t="s">
        <v>2491</v>
      </c>
      <c r="C1885" t="s">
        <v>1936</v>
      </c>
      <c r="D1885" t="s">
        <v>4182</v>
      </c>
      <c r="F1885">
        <v>406</v>
      </c>
      <c r="G1885">
        <v>65</v>
      </c>
      <c r="H1885" t="s">
        <v>662</v>
      </c>
      <c r="I1885" t="s">
        <v>2271</v>
      </c>
      <c r="J1885">
        <v>1423500</v>
      </c>
      <c r="K1885">
        <v>2025</v>
      </c>
      <c r="L1885">
        <v>1010086502</v>
      </c>
      <c r="M1885" t="s">
        <v>4171</v>
      </c>
      <c r="N1885" t="s">
        <v>1688</v>
      </c>
      <c r="O1885" t="s">
        <v>1686</v>
      </c>
      <c r="P1885">
        <v>0</v>
      </c>
      <c r="Q1885">
        <v>1423500</v>
      </c>
      <c r="R1885">
        <v>0</v>
      </c>
      <c r="S1885">
        <v>0</v>
      </c>
      <c r="T1885" t="str">
        <f t="shared" si="58"/>
        <v>13972.43.4302.85.0-205128.2.3.3.08.06.</v>
      </c>
      <c r="U1885" t="e" cm="1">
        <f t="array" aca="1" ref="U1885" ca="1">+IF(COMPROMISOS_2025[[#This Row],[P]]="20","41080111",_xlfn.XLOOKUP(COMPROMISOS_2025[[#This Row],[concatenado]],PAA[[#All],[RCP-RUBRO]],PAA[[#All],[INDICADOR]],"",0))</f>
        <v>#NAME?</v>
      </c>
      <c r="V1885" s="144" t="str">
        <f t="shared" si="59"/>
        <v>85</v>
      </c>
      <c r="W1885" s="136">
        <f>+COMPROMISOS_2025[[#This Row],[valor_total]]-COMPROMISOS_2025[[#This Row],[total_cancelado]]</f>
        <v>1423500</v>
      </c>
      <c r="X1885" s="136">
        <f>COMPROMISOS_2025[[#This Row],[total_ordenes]]</f>
        <v>1423500</v>
      </c>
      <c r="Y1885" t="str" cm="1">
        <f t="array" aca="1" ref="Y1885" ca="1">IFERROR(_xlfn.XLOOKUP(COMPROMISOS_2025[[#This Row],[concatenado]],PAA[[#All],[RCP-RUBRO]],PAA[[#All],[Actividad3]],VLOOKUP(COMPROMISOS_2025[[#This Row],[Indicador Principal]],$AC$2:$AD$17,2,0),0),"")</f>
        <v/>
      </c>
    </row>
    <row r="1886" spans="1:25" hidden="1" x14ac:dyDescent="0.25">
      <c r="A1886">
        <v>1398</v>
      </c>
      <c r="B1886" t="s">
        <v>2491</v>
      </c>
      <c r="C1886" t="s">
        <v>1936</v>
      </c>
      <c r="D1886" t="s">
        <v>4182</v>
      </c>
      <c r="F1886">
        <v>406</v>
      </c>
      <c r="G1886">
        <v>65</v>
      </c>
      <c r="H1886" t="s">
        <v>662</v>
      </c>
      <c r="I1886" t="s">
        <v>2271</v>
      </c>
      <c r="J1886">
        <v>711750</v>
      </c>
      <c r="K1886">
        <v>2025</v>
      </c>
      <c r="L1886">
        <v>1010099123</v>
      </c>
      <c r="M1886" t="s">
        <v>3995</v>
      </c>
      <c r="N1886" t="s">
        <v>1688</v>
      </c>
      <c r="O1886" t="s">
        <v>1686</v>
      </c>
      <c r="P1886">
        <v>0</v>
      </c>
      <c r="Q1886">
        <v>711750</v>
      </c>
      <c r="R1886">
        <v>0</v>
      </c>
      <c r="S1886">
        <v>0</v>
      </c>
      <c r="T1886" t="str">
        <f t="shared" si="58"/>
        <v>13982.43.4302.85.0-205128.2.3.3.08.06.</v>
      </c>
      <c r="U1886" t="e" cm="1">
        <f t="array" aca="1" ref="U1886" ca="1">+IF(COMPROMISOS_2025[[#This Row],[P]]="20","41080111",_xlfn.XLOOKUP(COMPROMISOS_2025[[#This Row],[concatenado]],PAA[[#All],[RCP-RUBRO]],PAA[[#All],[INDICADOR]],"",0))</f>
        <v>#NAME?</v>
      </c>
      <c r="V1886" s="144" t="str">
        <f t="shared" si="59"/>
        <v>85</v>
      </c>
      <c r="W1886" s="136">
        <f>+COMPROMISOS_2025[[#This Row],[valor_total]]-COMPROMISOS_2025[[#This Row],[total_cancelado]]</f>
        <v>711750</v>
      </c>
      <c r="X1886" s="136">
        <f>COMPROMISOS_2025[[#This Row],[total_ordenes]]</f>
        <v>711750</v>
      </c>
      <c r="Y1886" t="str" cm="1">
        <f t="array" aca="1" ref="Y1886" ca="1">IFERROR(_xlfn.XLOOKUP(COMPROMISOS_2025[[#This Row],[concatenado]],PAA[[#All],[RCP-RUBRO]],PAA[[#All],[Actividad3]],VLOOKUP(COMPROMISOS_2025[[#This Row],[Indicador Principal]],$AC$2:$AD$17,2,0),0),"")</f>
        <v/>
      </c>
    </row>
    <row r="1887" spans="1:25" hidden="1" x14ac:dyDescent="0.25">
      <c r="A1887">
        <v>1399</v>
      </c>
      <c r="B1887" t="s">
        <v>2491</v>
      </c>
      <c r="C1887" t="s">
        <v>1936</v>
      </c>
      <c r="D1887" t="s">
        <v>4182</v>
      </c>
      <c r="F1887">
        <v>406</v>
      </c>
      <c r="G1887">
        <v>65</v>
      </c>
      <c r="H1887" t="s">
        <v>662</v>
      </c>
      <c r="I1887" t="s">
        <v>2271</v>
      </c>
      <c r="J1887">
        <v>5694000</v>
      </c>
      <c r="K1887">
        <v>2025</v>
      </c>
      <c r="L1887">
        <v>1011092922</v>
      </c>
      <c r="M1887" t="s">
        <v>4271</v>
      </c>
      <c r="N1887" t="s">
        <v>1688</v>
      </c>
      <c r="O1887" t="s">
        <v>1686</v>
      </c>
      <c r="P1887">
        <v>0</v>
      </c>
      <c r="Q1887">
        <v>5694000</v>
      </c>
      <c r="R1887">
        <v>0</v>
      </c>
      <c r="S1887">
        <v>0</v>
      </c>
      <c r="T1887" t="str">
        <f t="shared" si="58"/>
        <v>13992.43.4302.85.0-205128.2.3.3.08.06.</v>
      </c>
      <c r="U1887" t="e" cm="1">
        <f t="array" aca="1" ref="U1887" ca="1">+IF(COMPROMISOS_2025[[#This Row],[P]]="20","41080111",_xlfn.XLOOKUP(COMPROMISOS_2025[[#This Row],[concatenado]],PAA[[#All],[RCP-RUBRO]],PAA[[#All],[INDICADOR]],"",0))</f>
        <v>#NAME?</v>
      </c>
      <c r="V1887" s="144" t="str">
        <f t="shared" si="59"/>
        <v>85</v>
      </c>
      <c r="W1887" s="136">
        <f>+COMPROMISOS_2025[[#This Row],[valor_total]]-COMPROMISOS_2025[[#This Row],[total_cancelado]]</f>
        <v>5694000</v>
      </c>
      <c r="X1887" s="136">
        <f>COMPROMISOS_2025[[#This Row],[total_ordenes]]</f>
        <v>5694000</v>
      </c>
      <c r="Y1887" t="str" cm="1">
        <f t="array" aca="1" ref="Y1887" ca="1">IFERROR(_xlfn.XLOOKUP(COMPROMISOS_2025[[#This Row],[concatenado]],PAA[[#All],[RCP-RUBRO]],PAA[[#All],[Actividad3]],VLOOKUP(COMPROMISOS_2025[[#This Row],[Indicador Principal]],$AC$2:$AD$17,2,0),0),"")</f>
        <v/>
      </c>
    </row>
    <row r="1888" spans="1:25" hidden="1" x14ac:dyDescent="0.25">
      <c r="A1888">
        <v>1400</v>
      </c>
      <c r="B1888" t="s">
        <v>2491</v>
      </c>
      <c r="C1888" t="s">
        <v>1936</v>
      </c>
      <c r="D1888" t="s">
        <v>4182</v>
      </c>
      <c r="F1888">
        <v>406</v>
      </c>
      <c r="G1888">
        <v>65</v>
      </c>
      <c r="H1888" t="s">
        <v>662</v>
      </c>
      <c r="I1888" t="s">
        <v>2271</v>
      </c>
      <c r="J1888">
        <v>711750</v>
      </c>
      <c r="K1888">
        <v>2025</v>
      </c>
      <c r="L1888">
        <v>1011391775</v>
      </c>
      <c r="M1888" t="s">
        <v>3615</v>
      </c>
      <c r="N1888" t="s">
        <v>1688</v>
      </c>
      <c r="O1888" t="s">
        <v>1686</v>
      </c>
      <c r="P1888">
        <v>0</v>
      </c>
      <c r="Q1888">
        <v>711750</v>
      </c>
      <c r="R1888">
        <v>0</v>
      </c>
      <c r="S1888">
        <v>0</v>
      </c>
      <c r="T1888" t="str">
        <f t="shared" si="58"/>
        <v>14002.43.4302.85.0-205128.2.3.3.08.06.</v>
      </c>
      <c r="U1888" t="e" cm="1">
        <f t="array" aca="1" ref="U1888" ca="1">+IF(COMPROMISOS_2025[[#This Row],[P]]="20","41080111",_xlfn.XLOOKUP(COMPROMISOS_2025[[#This Row],[concatenado]],PAA[[#All],[RCP-RUBRO]],PAA[[#All],[INDICADOR]],"",0))</f>
        <v>#NAME?</v>
      </c>
      <c r="V1888" s="144" t="str">
        <f t="shared" si="59"/>
        <v>85</v>
      </c>
      <c r="W1888" s="136">
        <f>+COMPROMISOS_2025[[#This Row],[valor_total]]-COMPROMISOS_2025[[#This Row],[total_cancelado]]</f>
        <v>711750</v>
      </c>
      <c r="X1888" s="136">
        <f>COMPROMISOS_2025[[#This Row],[total_ordenes]]</f>
        <v>711750</v>
      </c>
      <c r="Y1888" t="str" cm="1">
        <f t="array" aca="1" ref="Y1888" ca="1">IFERROR(_xlfn.XLOOKUP(COMPROMISOS_2025[[#This Row],[concatenado]],PAA[[#All],[RCP-RUBRO]],PAA[[#All],[Actividad3]],VLOOKUP(COMPROMISOS_2025[[#This Row],[Indicador Principal]],$AC$2:$AD$17,2,0),0),"")</f>
        <v/>
      </c>
    </row>
    <row r="1889" spans="1:25" hidden="1" x14ac:dyDescent="0.25">
      <c r="A1889">
        <v>1401</v>
      </c>
      <c r="B1889" t="s">
        <v>2491</v>
      </c>
      <c r="C1889" t="s">
        <v>1936</v>
      </c>
      <c r="D1889" t="s">
        <v>4182</v>
      </c>
      <c r="F1889">
        <v>406</v>
      </c>
      <c r="G1889">
        <v>65</v>
      </c>
      <c r="H1889" t="s">
        <v>662</v>
      </c>
      <c r="I1889" t="s">
        <v>2271</v>
      </c>
      <c r="J1889">
        <v>1423500</v>
      </c>
      <c r="K1889">
        <v>2025</v>
      </c>
      <c r="L1889">
        <v>1011395036</v>
      </c>
      <c r="M1889" t="s">
        <v>4272</v>
      </c>
      <c r="N1889" t="s">
        <v>1688</v>
      </c>
      <c r="O1889" t="s">
        <v>1686</v>
      </c>
      <c r="P1889">
        <v>0</v>
      </c>
      <c r="Q1889">
        <v>1423500</v>
      </c>
      <c r="R1889">
        <v>0</v>
      </c>
      <c r="S1889">
        <v>0</v>
      </c>
      <c r="T1889" t="str">
        <f t="shared" si="58"/>
        <v>14012.43.4302.85.0-205128.2.3.3.08.06.</v>
      </c>
      <c r="U1889" t="e" cm="1">
        <f t="array" aca="1" ref="U1889" ca="1">+IF(COMPROMISOS_2025[[#This Row],[P]]="20","41080111",_xlfn.XLOOKUP(COMPROMISOS_2025[[#This Row],[concatenado]],PAA[[#All],[RCP-RUBRO]],PAA[[#All],[INDICADOR]],"",0))</f>
        <v>#NAME?</v>
      </c>
      <c r="V1889" s="144" t="str">
        <f t="shared" si="59"/>
        <v>85</v>
      </c>
      <c r="W1889" s="136">
        <f>+COMPROMISOS_2025[[#This Row],[valor_total]]-COMPROMISOS_2025[[#This Row],[total_cancelado]]</f>
        <v>1423500</v>
      </c>
      <c r="X1889" s="136">
        <f>COMPROMISOS_2025[[#This Row],[total_ordenes]]</f>
        <v>1423500</v>
      </c>
      <c r="Y1889" t="str" cm="1">
        <f t="array" aca="1" ref="Y1889" ca="1">IFERROR(_xlfn.XLOOKUP(COMPROMISOS_2025[[#This Row],[concatenado]],PAA[[#All],[RCP-RUBRO]],PAA[[#All],[Actividad3]],VLOOKUP(COMPROMISOS_2025[[#This Row],[Indicador Principal]],$AC$2:$AD$17,2,0),0),"")</f>
        <v/>
      </c>
    </row>
    <row r="1890" spans="1:25" hidden="1" x14ac:dyDescent="0.25">
      <c r="A1890">
        <v>1402</v>
      </c>
      <c r="B1890" t="s">
        <v>2491</v>
      </c>
      <c r="C1890" t="s">
        <v>1936</v>
      </c>
      <c r="D1890" t="s">
        <v>4182</v>
      </c>
      <c r="F1890">
        <v>406</v>
      </c>
      <c r="G1890">
        <v>65</v>
      </c>
      <c r="H1890" t="s">
        <v>662</v>
      </c>
      <c r="I1890" t="s">
        <v>2271</v>
      </c>
      <c r="J1890">
        <v>711750</v>
      </c>
      <c r="K1890">
        <v>2025</v>
      </c>
      <c r="L1890">
        <v>1011395202</v>
      </c>
      <c r="M1890" t="s">
        <v>3616</v>
      </c>
      <c r="N1890" t="s">
        <v>1688</v>
      </c>
      <c r="O1890" t="s">
        <v>1686</v>
      </c>
      <c r="P1890">
        <v>0</v>
      </c>
      <c r="Q1890">
        <v>711750</v>
      </c>
      <c r="R1890">
        <v>0</v>
      </c>
      <c r="S1890">
        <v>0</v>
      </c>
      <c r="T1890" t="str">
        <f t="shared" si="58"/>
        <v>14022.43.4302.85.0-205128.2.3.3.08.06.</v>
      </c>
      <c r="U1890" t="e" cm="1">
        <f t="array" aca="1" ref="U1890" ca="1">+IF(COMPROMISOS_2025[[#This Row],[P]]="20","41080111",_xlfn.XLOOKUP(COMPROMISOS_2025[[#This Row],[concatenado]],PAA[[#All],[RCP-RUBRO]],PAA[[#All],[INDICADOR]],"",0))</f>
        <v>#NAME?</v>
      </c>
      <c r="V1890" s="144" t="str">
        <f t="shared" si="59"/>
        <v>85</v>
      </c>
      <c r="W1890" s="136">
        <f>+COMPROMISOS_2025[[#This Row],[valor_total]]-COMPROMISOS_2025[[#This Row],[total_cancelado]]</f>
        <v>711750</v>
      </c>
      <c r="X1890" s="136">
        <f>COMPROMISOS_2025[[#This Row],[total_ordenes]]</f>
        <v>711750</v>
      </c>
      <c r="Y1890" t="str" cm="1">
        <f t="array" aca="1" ref="Y1890" ca="1">IFERROR(_xlfn.XLOOKUP(COMPROMISOS_2025[[#This Row],[concatenado]],PAA[[#All],[RCP-RUBRO]],PAA[[#All],[Actividad3]],VLOOKUP(COMPROMISOS_2025[[#This Row],[Indicador Principal]],$AC$2:$AD$17,2,0),0),"")</f>
        <v/>
      </c>
    </row>
    <row r="1891" spans="1:25" hidden="1" x14ac:dyDescent="0.25">
      <c r="A1891">
        <v>1403</v>
      </c>
      <c r="B1891" t="s">
        <v>2491</v>
      </c>
      <c r="C1891" t="s">
        <v>1936</v>
      </c>
      <c r="D1891" t="s">
        <v>4182</v>
      </c>
      <c r="F1891">
        <v>406</v>
      </c>
      <c r="G1891">
        <v>65</v>
      </c>
      <c r="H1891" t="s">
        <v>662</v>
      </c>
      <c r="I1891" t="s">
        <v>2271</v>
      </c>
      <c r="J1891">
        <v>1067625</v>
      </c>
      <c r="K1891">
        <v>2025</v>
      </c>
      <c r="L1891">
        <v>1011398561</v>
      </c>
      <c r="M1891" t="s">
        <v>3617</v>
      </c>
      <c r="N1891" t="s">
        <v>1688</v>
      </c>
      <c r="O1891" t="s">
        <v>1686</v>
      </c>
      <c r="P1891">
        <v>0</v>
      </c>
      <c r="Q1891">
        <v>1067625</v>
      </c>
      <c r="R1891">
        <v>0</v>
      </c>
      <c r="S1891">
        <v>0</v>
      </c>
      <c r="T1891" t="str">
        <f t="shared" si="58"/>
        <v>14032.43.4302.85.0-205128.2.3.3.08.06.</v>
      </c>
      <c r="U1891" t="e" cm="1">
        <f t="array" aca="1" ref="U1891" ca="1">+IF(COMPROMISOS_2025[[#This Row],[P]]="20","41080111",_xlfn.XLOOKUP(COMPROMISOS_2025[[#This Row],[concatenado]],PAA[[#All],[RCP-RUBRO]],PAA[[#All],[INDICADOR]],"",0))</f>
        <v>#NAME?</v>
      </c>
      <c r="V1891" s="144" t="str">
        <f t="shared" si="59"/>
        <v>85</v>
      </c>
      <c r="W1891" s="136">
        <f>+COMPROMISOS_2025[[#This Row],[valor_total]]-COMPROMISOS_2025[[#This Row],[total_cancelado]]</f>
        <v>1067625</v>
      </c>
      <c r="X1891" s="136">
        <f>COMPROMISOS_2025[[#This Row],[total_ordenes]]</f>
        <v>1067625</v>
      </c>
      <c r="Y1891" t="str" cm="1">
        <f t="array" aca="1" ref="Y1891" ca="1">IFERROR(_xlfn.XLOOKUP(COMPROMISOS_2025[[#This Row],[concatenado]],PAA[[#All],[RCP-RUBRO]],PAA[[#All],[Actividad3]],VLOOKUP(COMPROMISOS_2025[[#This Row],[Indicador Principal]],$AC$2:$AD$17,2,0),0),"")</f>
        <v/>
      </c>
    </row>
    <row r="1892" spans="1:25" hidden="1" x14ac:dyDescent="0.25">
      <c r="A1892">
        <v>1404</v>
      </c>
      <c r="B1892" t="s">
        <v>2491</v>
      </c>
      <c r="C1892" t="s">
        <v>1936</v>
      </c>
      <c r="D1892" t="s">
        <v>4182</v>
      </c>
      <c r="F1892">
        <v>406</v>
      </c>
      <c r="G1892">
        <v>65</v>
      </c>
      <c r="H1892" t="s">
        <v>662</v>
      </c>
      <c r="I1892" t="s">
        <v>2271</v>
      </c>
      <c r="J1892">
        <v>711750</v>
      </c>
      <c r="K1892">
        <v>2025</v>
      </c>
      <c r="L1892">
        <v>1011399715</v>
      </c>
      <c r="M1892" t="s">
        <v>3618</v>
      </c>
      <c r="N1892" t="s">
        <v>1688</v>
      </c>
      <c r="O1892" t="s">
        <v>1686</v>
      </c>
      <c r="P1892">
        <v>0</v>
      </c>
      <c r="Q1892">
        <v>711750</v>
      </c>
      <c r="R1892">
        <v>0</v>
      </c>
      <c r="S1892">
        <v>0</v>
      </c>
      <c r="T1892" t="str">
        <f t="shared" si="58"/>
        <v>14042.43.4302.85.0-205128.2.3.3.08.06.</v>
      </c>
      <c r="U1892" t="e" cm="1">
        <f t="array" aca="1" ref="U1892" ca="1">+IF(COMPROMISOS_2025[[#This Row],[P]]="20","41080111",_xlfn.XLOOKUP(COMPROMISOS_2025[[#This Row],[concatenado]],PAA[[#All],[RCP-RUBRO]],PAA[[#All],[INDICADOR]],"",0))</f>
        <v>#NAME?</v>
      </c>
      <c r="V1892" s="144" t="str">
        <f t="shared" si="59"/>
        <v>85</v>
      </c>
      <c r="W1892" s="136">
        <f>+COMPROMISOS_2025[[#This Row],[valor_total]]-COMPROMISOS_2025[[#This Row],[total_cancelado]]</f>
        <v>711750</v>
      </c>
      <c r="X1892" s="136">
        <f>COMPROMISOS_2025[[#This Row],[total_ordenes]]</f>
        <v>711750</v>
      </c>
      <c r="Y1892" t="str" cm="1">
        <f t="array" aca="1" ref="Y1892" ca="1">IFERROR(_xlfn.XLOOKUP(COMPROMISOS_2025[[#This Row],[concatenado]],PAA[[#All],[RCP-RUBRO]],PAA[[#All],[Actividad3]],VLOOKUP(COMPROMISOS_2025[[#This Row],[Indicador Principal]],$AC$2:$AD$17,2,0),0),"")</f>
        <v/>
      </c>
    </row>
    <row r="1893" spans="1:25" hidden="1" x14ac:dyDescent="0.25">
      <c r="A1893">
        <v>1405</v>
      </c>
      <c r="B1893" t="s">
        <v>2491</v>
      </c>
      <c r="C1893" t="s">
        <v>1936</v>
      </c>
      <c r="D1893" t="s">
        <v>4182</v>
      </c>
      <c r="F1893">
        <v>406</v>
      </c>
      <c r="G1893">
        <v>65</v>
      </c>
      <c r="H1893" t="s">
        <v>662</v>
      </c>
      <c r="I1893" t="s">
        <v>2271</v>
      </c>
      <c r="J1893">
        <v>1067625</v>
      </c>
      <c r="K1893">
        <v>2025</v>
      </c>
      <c r="L1893">
        <v>1011400174</v>
      </c>
      <c r="M1893" t="s">
        <v>3619</v>
      </c>
      <c r="N1893" t="s">
        <v>1688</v>
      </c>
      <c r="O1893" t="s">
        <v>1686</v>
      </c>
      <c r="P1893">
        <v>0</v>
      </c>
      <c r="Q1893">
        <v>1067625</v>
      </c>
      <c r="R1893">
        <v>0</v>
      </c>
      <c r="S1893">
        <v>0</v>
      </c>
      <c r="T1893" t="str">
        <f t="shared" si="58"/>
        <v>14052.43.4302.85.0-205128.2.3.3.08.06.</v>
      </c>
      <c r="U1893" t="e" cm="1">
        <f t="array" aca="1" ref="U1893" ca="1">+IF(COMPROMISOS_2025[[#This Row],[P]]="20","41080111",_xlfn.XLOOKUP(COMPROMISOS_2025[[#This Row],[concatenado]],PAA[[#All],[RCP-RUBRO]],PAA[[#All],[INDICADOR]],"",0))</f>
        <v>#NAME?</v>
      </c>
      <c r="V1893" s="144" t="str">
        <f t="shared" si="59"/>
        <v>85</v>
      </c>
      <c r="W1893" s="136">
        <f>+COMPROMISOS_2025[[#This Row],[valor_total]]-COMPROMISOS_2025[[#This Row],[total_cancelado]]</f>
        <v>1067625</v>
      </c>
      <c r="X1893" s="136">
        <f>COMPROMISOS_2025[[#This Row],[total_ordenes]]</f>
        <v>1067625</v>
      </c>
      <c r="Y1893" t="str" cm="1">
        <f t="array" aca="1" ref="Y1893" ca="1">IFERROR(_xlfn.XLOOKUP(COMPROMISOS_2025[[#This Row],[concatenado]],PAA[[#All],[RCP-RUBRO]],PAA[[#All],[Actividad3]],VLOOKUP(COMPROMISOS_2025[[#This Row],[Indicador Principal]],$AC$2:$AD$17,2,0),0),"")</f>
        <v/>
      </c>
    </row>
    <row r="1894" spans="1:25" hidden="1" x14ac:dyDescent="0.25">
      <c r="A1894">
        <v>1406</v>
      </c>
      <c r="B1894" t="s">
        <v>2491</v>
      </c>
      <c r="C1894" t="s">
        <v>1936</v>
      </c>
      <c r="D1894" t="s">
        <v>4182</v>
      </c>
      <c r="F1894">
        <v>406</v>
      </c>
      <c r="G1894">
        <v>65</v>
      </c>
      <c r="H1894" t="s">
        <v>662</v>
      </c>
      <c r="I1894" t="s">
        <v>2271</v>
      </c>
      <c r="J1894">
        <v>1423500</v>
      </c>
      <c r="K1894">
        <v>2025</v>
      </c>
      <c r="L1894">
        <v>1011510140</v>
      </c>
      <c r="M1894" t="s">
        <v>3997</v>
      </c>
      <c r="N1894" t="s">
        <v>1688</v>
      </c>
      <c r="O1894" t="s">
        <v>1686</v>
      </c>
      <c r="P1894">
        <v>0</v>
      </c>
      <c r="Q1894">
        <v>1423500</v>
      </c>
      <c r="R1894">
        <v>0</v>
      </c>
      <c r="S1894">
        <v>0</v>
      </c>
      <c r="T1894" t="str">
        <f t="shared" si="58"/>
        <v>14062.43.4302.85.0-205128.2.3.3.08.06.</v>
      </c>
      <c r="U1894" t="e" cm="1">
        <f t="array" aca="1" ref="U1894" ca="1">+IF(COMPROMISOS_2025[[#This Row],[P]]="20","41080111",_xlfn.XLOOKUP(COMPROMISOS_2025[[#This Row],[concatenado]],PAA[[#All],[RCP-RUBRO]],PAA[[#All],[INDICADOR]],"",0))</f>
        <v>#NAME?</v>
      </c>
      <c r="V1894" s="144" t="str">
        <f t="shared" si="59"/>
        <v>85</v>
      </c>
      <c r="W1894" s="136">
        <f>+COMPROMISOS_2025[[#This Row],[valor_total]]-COMPROMISOS_2025[[#This Row],[total_cancelado]]</f>
        <v>1423500</v>
      </c>
      <c r="X1894" s="136">
        <f>COMPROMISOS_2025[[#This Row],[total_ordenes]]</f>
        <v>1423500</v>
      </c>
      <c r="Y1894" t="str" cm="1">
        <f t="array" aca="1" ref="Y1894" ca="1">IFERROR(_xlfn.XLOOKUP(COMPROMISOS_2025[[#This Row],[concatenado]],PAA[[#All],[RCP-RUBRO]],PAA[[#All],[Actividad3]],VLOOKUP(COMPROMISOS_2025[[#This Row],[Indicador Principal]],$AC$2:$AD$17,2,0),0),"")</f>
        <v/>
      </c>
    </row>
    <row r="1895" spans="1:25" hidden="1" x14ac:dyDescent="0.25">
      <c r="A1895">
        <v>1407</v>
      </c>
      <c r="B1895" t="s">
        <v>2491</v>
      </c>
      <c r="C1895" t="s">
        <v>1936</v>
      </c>
      <c r="D1895" t="s">
        <v>4182</v>
      </c>
      <c r="F1895">
        <v>406</v>
      </c>
      <c r="G1895">
        <v>65</v>
      </c>
      <c r="H1895" t="s">
        <v>662</v>
      </c>
      <c r="I1895" t="s">
        <v>2271</v>
      </c>
      <c r="J1895">
        <v>1067625</v>
      </c>
      <c r="K1895">
        <v>2025</v>
      </c>
      <c r="L1895">
        <v>1011510616</v>
      </c>
      <c r="M1895" t="s">
        <v>4273</v>
      </c>
      <c r="N1895" t="s">
        <v>1688</v>
      </c>
      <c r="O1895" t="s">
        <v>1686</v>
      </c>
      <c r="P1895">
        <v>0</v>
      </c>
      <c r="Q1895">
        <v>1067625</v>
      </c>
      <c r="R1895">
        <v>0</v>
      </c>
      <c r="S1895">
        <v>0</v>
      </c>
      <c r="T1895" t="str">
        <f t="shared" si="58"/>
        <v>14072.43.4302.85.0-205128.2.3.3.08.06.</v>
      </c>
      <c r="U1895" t="e" cm="1">
        <f t="array" aca="1" ref="U1895" ca="1">+IF(COMPROMISOS_2025[[#This Row],[P]]="20","41080111",_xlfn.XLOOKUP(COMPROMISOS_2025[[#This Row],[concatenado]],PAA[[#All],[RCP-RUBRO]],PAA[[#All],[INDICADOR]],"",0))</f>
        <v>#NAME?</v>
      </c>
      <c r="V1895" s="144" t="str">
        <f t="shared" si="59"/>
        <v>85</v>
      </c>
      <c r="W1895" s="136">
        <f>+COMPROMISOS_2025[[#This Row],[valor_total]]-COMPROMISOS_2025[[#This Row],[total_cancelado]]</f>
        <v>1067625</v>
      </c>
      <c r="X1895" s="136">
        <f>COMPROMISOS_2025[[#This Row],[total_ordenes]]</f>
        <v>1067625</v>
      </c>
      <c r="Y1895" t="str" cm="1">
        <f t="array" aca="1" ref="Y1895" ca="1">IFERROR(_xlfn.XLOOKUP(COMPROMISOS_2025[[#This Row],[concatenado]],PAA[[#All],[RCP-RUBRO]],PAA[[#All],[Actividad3]],VLOOKUP(COMPROMISOS_2025[[#This Row],[Indicador Principal]],$AC$2:$AD$17,2,0),0),"")</f>
        <v/>
      </c>
    </row>
    <row r="1896" spans="1:25" hidden="1" x14ac:dyDescent="0.25">
      <c r="A1896">
        <v>1408</v>
      </c>
      <c r="B1896" t="s">
        <v>2491</v>
      </c>
      <c r="C1896" t="s">
        <v>1936</v>
      </c>
      <c r="D1896" t="s">
        <v>4182</v>
      </c>
      <c r="F1896">
        <v>406</v>
      </c>
      <c r="G1896">
        <v>65</v>
      </c>
      <c r="H1896" t="s">
        <v>662</v>
      </c>
      <c r="I1896" t="s">
        <v>2271</v>
      </c>
      <c r="J1896">
        <v>711750</v>
      </c>
      <c r="K1896">
        <v>2025</v>
      </c>
      <c r="L1896">
        <v>1011511435</v>
      </c>
      <c r="M1896" t="s">
        <v>3620</v>
      </c>
      <c r="N1896" t="s">
        <v>1688</v>
      </c>
      <c r="O1896" t="s">
        <v>1686</v>
      </c>
      <c r="P1896">
        <v>0</v>
      </c>
      <c r="Q1896">
        <v>711750</v>
      </c>
      <c r="R1896">
        <v>0</v>
      </c>
      <c r="S1896">
        <v>0</v>
      </c>
      <c r="T1896" t="str">
        <f t="shared" si="58"/>
        <v>14082.43.4302.85.0-205128.2.3.3.08.06.</v>
      </c>
      <c r="U1896" t="e" cm="1">
        <f t="array" aca="1" ref="U1896" ca="1">+IF(COMPROMISOS_2025[[#This Row],[P]]="20","41080111",_xlfn.XLOOKUP(COMPROMISOS_2025[[#This Row],[concatenado]],PAA[[#All],[RCP-RUBRO]],PAA[[#All],[INDICADOR]],"",0))</f>
        <v>#NAME?</v>
      </c>
      <c r="V1896" s="144" t="str">
        <f t="shared" si="59"/>
        <v>85</v>
      </c>
      <c r="W1896" s="136">
        <f>+COMPROMISOS_2025[[#This Row],[valor_total]]-COMPROMISOS_2025[[#This Row],[total_cancelado]]</f>
        <v>711750</v>
      </c>
      <c r="X1896" s="136">
        <f>COMPROMISOS_2025[[#This Row],[total_ordenes]]</f>
        <v>711750</v>
      </c>
      <c r="Y1896" t="str" cm="1">
        <f t="array" aca="1" ref="Y1896" ca="1">IFERROR(_xlfn.XLOOKUP(COMPROMISOS_2025[[#This Row],[concatenado]],PAA[[#All],[RCP-RUBRO]],PAA[[#All],[Actividad3]],VLOOKUP(COMPROMISOS_2025[[#This Row],[Indicador Principal]],$AC$2:$AD$17,2,0),0),"")</f>
        <v/>
      </c>
    </row>
    <row r="1897" spans="1:25" hidden="1" x14ac:dyDescent="0.25">
      <c r="A1897">
        <v>1409</v>
      </c>
      <c r="B1897" t="s">
        <v>2491</v>
      </c>
      <c r="C1897" t="s">
        <v>1936</v>
      </c>
      <c r="D1897" t="s">
        <v>4182</v>
      </c>
      <c r="F1897">
        <v>406</v>
      </c>
      <c r="G1897">
        <v>65</v>
      </c>
      <c r="H1897" t="s">
        <v>662</v>
      </c>
      <c r="I1897" t="s">
        <v>2271</v>
      </c>
      <c r="J1897">
        <v>711750</v>
      </c>
      <c r="K1897">
        <v>2025</v>
      </c>
      <c r="L1897">
        <v>1011511497</v>
      </c>
      <c r="M1897" t="s">
        <v>3621</v>
      </c>
      <c r="N1897" t="s">
        <v>1688</v>
      </c>
      <c r="O1897" t="s">
        <v>1686</v>
      </c>
      <c r="P1897">
        <v>0</v>
      </c>
      <c r="Q1897">
        <v>711750</v>
      </c>
      <c r="R1897">
        <v>0</v>
      </c>
      <c r="S1897">
        <v>0</v>
      </c>
      <c r="T1897" t="str">
        <f t="shared" si="58"/>
        <v>14092.43.4302.85.0-205128.2.3.3.08.06.</v>
      </c>
      <c r="U1897" t="e" cm="1">
        <f t="array" aca="1" ref="U1897" ca="1">+IF(COMPROMISOS_2025[[#This Row],[P]]="20","41080111",_xlfn.XLOOKUP(COMPROMISOS_2025[[#This Row],[concatenado]],PAA[[#All],[RCP-RUBRO]],PAA[[#All],[INDICADOR]],"",0))</f>
        <v>#NAME?</v>
      </c>
      <c r="V1897" s="144" t="str">
        <f t="shared" si="59"/>
        <v>85</v>
      </c>
      <c r="W1897" s="136">
        <f>+COMPROMISOS_2025[[#This Row],[valor_total]]-COMPROMISOS_2025[[#This Row],[total_cancelado]]</f>
        <v>711750</v>
      </c>
      <c r="X1897" s="136">
        <f>COMPROMISOS_2025[[#This Row],[total_ordenes]]</f>
        <v>711750</v>
      </c>
      <c r="Y1897" t="str" cm="1">
        <f t="array" aca="1" ref="Y1897" ca="1">IFERROR(_xlfn.XLOOKUP(COMPROMISOS_2025[[#This Row],[concatenado]],PAA[[#All],[RCP-RUBRO]],PAA[[#All],[Actividad3]],VLOOKUP(COMPROMISOS_2025[[#This Row],[Indicador Principal]],$AC$2:$AD$17,2,0),0),"")</f>
        <v/>
      </c>
    </row>
    <row r="1898" spans="1:25" hidden="1" x14ac:dyDescent="0.25">
      <c r="A1898">
        <v>1410</v>
      </c>
      <c r="B1898" t="s">
        <v>2491</v>
      </c>
      <c r="C1898" t="s">
        <v>1936</v>
      </c>
      <c r="D1898" t="s">
        <v>4182</v>
      </c>
      <c r="F1898">
        <v>406</v>
      </c>
      <c r="G1898">
        <v>65</v>
      </c>
      <c r="H1898" t="s">
        <v>662</v>
      </c>
      <c r="I1898" t="s">
        <v>2271</v>
      </c>
      <c r="J1898">
        <v>711750</v>
      </c>
      <c r="K1898">
        <v>2025</v>
      </c>
      <c r="L1898">
        <v>1011513907</v>
      </c>
      <c r="M1898" t="s">
        <v>4274</v>
      </c>
      <c r="N1898" t="s">
        <v>1688</v>
      </c>
      <c r="O1898" t="s">
        <v>1686</v>
      </c>
      <c r="P1898">
        <v>0</v>
      </c>
      <c r="Q1898">
        <v>711750</v>
      </c>
      <c r="R1898">
        <v>0</v>
      </c>
      <c r="S1898">
        <v>0</v>
      </c>
      <c r="T1898" t="str">
        <f t="shared" si="58"/>
        <v>14102.43.4302.85.0-205128.2.3.3.08.06.</v>
      </c>
      <c r="U1898" t="e" cm="1">
        <f t="array" aca="1" ref="U1898" ca="1">+IF(COMPROMISOS_2025[[#This Row],[P]]="20","41080111",_xlfn.XLOOKUP(COMPROMISOS_2025[[#This Row],[concatenado]],PAA[[#All],[RCP-RUBRO]],PAA[[#All],[INDICADOR]],"",0))</f>
        <v>#NAME?</v>
      </c>
      <c r="V1898" s="144" t="str">
        <f t="shared" si="59"/>
        <v>85</v>
      </c>
      <c r="W1898" s="136">
        <f>+COMPROMISOS_2025[[#This Row],[valor_total]]-COMPROMISOS_2025[[#This Row],[total_cancelado]]</f>
        <v>711750</v>
      </c>
      <c r="X1898" s="136">
        <f>COMPROMISOS_2025[[#This Row],[total_ordenes]]</f>
        <v>711750</v>
      </c>
      <c r="Y1898" t="str" cm="1">
        <f t="array" aca="1" ref="Y1898" ca="1">IFERROR(_xlfn.XLOOKUP(COMPROMISOS_2025[[#This Row],[concatenado]],PAA[[#All],[RCP-RUBRO]],PAA[[#All],[Actividad3]],VLOOKUP(COMPROMISOS_2025[[#This Row],[Indicador Principal]],$AC$2:$AD$17,2,0),0),"")</f>
        <v/>
      </c>
    </row>
    <row r="1899" spans="1:25" hidden="1" x14ac:dyDescent="0.25">
      <c r="A1899">
        <v>1411</v>
      </c>
      <c r="B1899" t="s">
        <v>2491</v>
      </c>
      <c r="C1899" t="s">
        <v>1936</v>
      </c>
      <c r="D1899" t="s">
        <v>4182</v>
      </c>
      <c r="F1899">
        <v>406</v>
      </c>
      <c r="G1899">
        <v>65</v>
      </c>
      <c r="H1899" t="s">
        <v>662</v>
      </c>
      <c r="I1899" t="s">
        <v>2271</v>
      </c>
      <c r="J1899">
        <v>2847000</v>
      </c>
      <c r="K1899">
        <v>2025</v>
      </c>
      <c r="L1899">
        <v>1013264193</v>
      </c>
      <c r="M1899" t="s">
        <v>3622</v>
      </c>
      <c r="N1899" t="s">
        <v>1688</v>
      </c>
      <c r="O1899" t="s">
        <v>1686</v>
      </c>
      <c r="P1899">
        <v>0</v>
      </c>
      <c r="Q1899">
        <v>2847000</v>
      </c>
      <c r="R1899">
        <v>0</v>
      </c>
      <c r="S1899">
        <v>0</v>
      </c>
      <c r="T1899" t="str">
        <f t="shared" si="58"/>
        <v>14112.43.4302.85.0-205128.2.3.3.08.06.</v>
      </c>
      <c r="U1899" t="e" cm="1">
        <f t="array" aca="1" ref="U1899" ca="1">+IF(COMPROMISOS_2025[[#This Row],[P]]="20","41080111",_xlfn.XLOOKUP(COMPROMISOS_2025[[#This Row],[concatenado]],PAA[[#All],[RCP-RUBRO]],PAA[[#All],[INDICADOR]],"",0))</f>
        <v>#NAME?</v>
      </c>
      <c r="V1899" s="144" t="str">
        <f t="shared" si="59"/>
        <v>85</v>
      </c>
      <c r="W1899" s="136">
        <f>+COMPROMISOS_2025[[#This Row],[valor_total]]-COMPROMISOS_2025[[#This Row],[total_cancelado]]</f>
        <v>2847000</v>
      </c>
      <c r="X1899" s="136">
        <f>COMPROMISOS_2025[[#This Row],[total_ordenes]]</f>
        <v>2847000</v>
      </c>
      <c r="Y1899" t="str" cm="1">
        <f t="array" aca="1" ref="Y1899" ca="1">IFERROR(_xlfn.XLOOKUP(COMPROMISOS_2025[[#This Row],[concatenado]],PAA[[#All],[RCP-RUBRO]],PAA[[#All],[Actividad3]],VLOOKUP(COMPROMISOS_2025[[#This Row],[Indicador Principal]],$AC$2:$AD$17,2,0),0),"")</f>
        <v/>
      </c>
    </row>
    <row r="1900" spans="1:25" hidden="1" x14ac:dyDescent="0.25">
      <c r="A1900">
        <v>1412</v>
      </c>
      <c r="B1900" t="s">
        <v>2491</v>
      </c>
      <c r="C1900" t="s">
        <v>1936</v>
      </c>
      <c r="D1900" t="s">
        <v>4182</v>
      </c>
      <c r="F1900">
        <v>406</v>
      </c>
      <c r="G1900">
        <v>65</v>
      </c>
      <c r="H1900" t="s">
        <v>662</v>
      </c>
      <c r="I1900" t="s">
        <v>2271</v>
      </c>
      <c r="J1900">
        <v>1067625</v>
      </c>
      <c r="K1900">
        <v>2025</v>
      </c>
      <c r="L1900">
        <v>10133373143</v>
      </c>
      <c r="M1900" t="s">
        <v>4275</v>
      </c>
      <c r="N1900" t="s">
        <v>1688</v>
      </c>
      <c r="O1900" t="s">
        <v>1686</v>
      </c>
      <c r="P1900">
        <v>0</v>
      </c>
      <c r="Q1900">
        <v>1067625</v>
      </c>
      <c r="R1900">
        <v>0</v>
      </c>
      <c r="S1900">
        <v>0</v>
      </c>
      <c r="T1900" t="str">
        <f t="shared" si="58"/>
        <v>14122.43.4302.85.0-205128.2.3.3.08.06.</v>
      </c>
      <c r="U1900" t="e" cm="1">
        <f t="array" aca="1" ref="U1900" ca="1">+IF(COMPROMISOS_2025[[#This Row],[P]]="20","41080111",_xlfn.XLOOKUP(COMPROMISOS_2025[[#This Row],[concatenado]],PAA[[#All],[RCP-RUBRO]],PAA[[#All],[INDICADOR]],"",0))</f>
        <v>#NAME?</v>
      </c>
      <c r="V1900" s="144" t="str">
        <f t="shared" si="59"/>
        <v>85</v>
      </c>
      <c r="W1900" s="136">
        <f>+COMPROMISOS_2025[[#This Row],[valor_total]]-COMPROMISOS_2025[[#This Row],[total_cancelado]]</f>
        <v>1067625</v>
      </c>
      <c r="X1900" s="136">
        <f>COMPROMISOS_2025[[#This Row],[total_ordenes]]</f>
        <v>1067625</v>
      </c>
      <c r="Y1900" t="str" cm="1">
        <f t="array" aca="1" ref="Y1900" ca="1">IFERROR(_xlfn.XLOOKUP(COMPROMISOS_2025[[#This Row],[concatenado]],PAA[[#All],[RCP-RUBRO]],PAA[[#All],[Actividad3]],VLOOKUP(COMPROMISOS_2025[[#This Row],[Indicador Principal]],$AC$2:$AD$17,2,0),0),"")</f>
        <v/>
      </c>
    </row>
    <row r="1901" spans="1:25" hidden="1" x14ac:dyDescent="0.25">
      <c r="A1901">
        <v>1413</v>
      </c>
      <c r="B1901" t="s">
        <v>2491</v>
      </c>
      <c r="C1901" t="s">
        <v>1936</v>
      </c>
      <c r="D1901" t="s">
        <v>4182</v>
      </c>
      <c r="F1901">
        <v>406</v>
      </c>
      <c r="G1901">
        <v>65</v>
      </c>
      <c r="H1901" t="s">
        <v>662</v>
      </c>
      <c r="I1901" t="s">
        <v>2271</v>
      </c>
      <c r="J1901">
        <v>711750</v>
      </c>
      <c r="K1901">
        <v>2025</v>
      </c>
      <c r="L1901">
        <v>1013339797</v>
      </c>
      <c r="M1901" t="s">
        <v>3623</v>
      </c>
      <c r="N1901" t="s">
        <v>1688</v>
      </c>
      <c r="O1901" t="s">
        <v>1686</v>
      </c>
      <c r="P1901">
        <v>0</v>
      </c>
      <c r="Q1901">
        <v>711750</v>
      </c>
      <c r="R1901">
        <v>0</v>
      </c>
      <c r="S1901">
        <v>0</v>
      </c>
      <c r="T1901" t="str">
        <f t="shared" si="58"/>
        <v>14132.43.4302.85.0-205128.2.3.3.08.06.</v>
      </c>
      <c r="U1901" t="e" cm="1">
        <f t="array" aca="1" ref="U1901" ca="1">+IF(COMPROMISOS_2025[[#This Row],[P]]="20","41080111",_xlfn.XLOOKUP(COMPROMISOS_2025[[#This Row],[concatenado]],PAA[[#All],[RCP-RUBRO]],PAA[[#All],[INDICADOR]],"",0))</f>
        <v>#NAME?</v>
      </c>
      <c r="V1901" s="144" t="str">
        <f t="shared" si="59"/>
        <v>85</v>
      </c>
      <c r="W1901" s="136">
        <f>+COMPROMISOS_2025[[#This Row],[valor_total]]-COMPROMISOS_2025[[#This Row],[total_cancelado]]</f>
        <v>711750</v>
      </c>
      <c r="X1901" s="136">
        <f>COMPROMISOS_2025[[#This Row],[total_ordenes]]</f>
        <v>711750</v>
      </c>
      <c r="Y1901" t="str" cm="1">
        <f t="array" aca="1" ref="Y1901" ca="1">IFERROR(_xlfn.XLOOKUP(COMPROMISOS_2025[[#This Row],[concatenado]],PAA[[#All],[RCP-RUBRO]],PAA[[#All],[Actividad3]],VLOOKUP(COMPROMISOS_2025[[#This Row],[Indicador Principal]],$AC$2:$AD$17,2,0),0),"")</f>
        <v/>
      </c>
    </row>
    <row r="1902" spans="1:25" hidden="1" x14ac:dyDescent="0.25">
      <c r="A1902">
        <v>1414</v>
      </c>
      <c r="B1902" t="s">
        <v>2491</v>
      </c>
      <c r="C1902" t="s">
        <v>1936</v>
      </c>
      <c r="D1902" t="s">
        <v>4182</v>
      </c>
      <c r="F1902">
        <v>406</v>
      </c>
      <c r="G1902">
        <v>65</v>
      </c>
      <c r="H1902" t="s">
        <v>662</v>
      </c>
      <c r="I1902" t="s">
        <v>2271</v>
      </c>
      <c r="J1902">
        <v>1423500</v>
      </c>
      <c r="K1902">
        <v>2025</v>
      </c>
      <c r="L1902">
        <v>1013339805</v>
      </c>
      <c r="M1902" t="s">
        <v>4276</v>
      </c>
      <c r="N1902" t="s">
        <v>1688</v>
      </c>
      <c r="O1902" t="s">
        <v>1686</v>
      </c>
      <c r="P1902">
        <v>0</v>
      </c>
      <c r="Q1902">
        <v>1423500</v>
      </c>
      <c r="R1902">
        <v>0</v>
      </c>
      <c r="S1902">
        <v>0</v>
      </c>
      <c r="T1902" t="str">
        <f t="shared" si="58"/>
        <v>14142.43.4302.85.0-205128.2.3.3.08.06.</v>
      </c>
      <c r="U1902" t="e" cm="1">
        <f t="array" aca="1" ref="U1902" ca="1">+IF(COMPROMISOS_2025[[#This Row],[P]]="20","41080111",_xlfn.XLOOKUP(COMPROMISOS_2025[[#This Row],[concatenado]],PAA[[#All],[RCP-RUBRO]],PAA[[#All],[INDICADOR]],"",0))</f>
        <v>#NAME?</v>
      </c>
      <c r="V1902" s="144" t="str">
        <f t="shared" si="59"/>
        <v>85</v>
      </c>
      <c r="W1902" s="136">
        <f>+COMPROMISOS_2025[[#This Row],[valor_total]]-COMPROMISOS_2025[[#This Row],[total_cancelado]]</f>
        <v>1423500</v>
      </c>
      <c r="X1902" s="136">
        <f>COMPROMISOS_2025[[#This Row],[total_ordenes]]</f>
        <v>1423500</v>
      </c>
      <c r="Y1902" t="str" cm="1">
        <f t="array" aca="1" ref="Y1902" ca="1">IFERROR(_xlfn.XLOOKUP(COMPROMISOS_2025[[#This Row],[concatenado]],PAA[[#All],[RCP-RUBRO]],PAA[[#All],[Actividad3]],VLOOKUP(COMPROMISOS_2025[[#This Row],[Indicador Principal]],$AC$2:$AD$17,2,0),0),"")</f>
        <v/>
      </c>
    </row>
    <row r="1903" spans="1:25" hidden="1" x14ac:dyDescent="0.25">
      <c r="A1903">
        <v>1415</v>
      </c>
      <c r="B1903" t="s">
        <v>2491</v>
      </c>
      <c r="C1903" t="s">
        <v>1936</v>
      </c>
      <c r="D1903" t="s">
        <v>4182</v>
      </c>
      <c r="F1903">
        <v>406</v>
      </c>
      <c r="G1903">
        <v>65</v>
      </c>
      <c r="H1903" t="s">
        <v>662</v>
      </c>
      <c r="I1903" t="s">
        <v>2271</v>
      </c>
      <c r="J1903">
        <v>711750</v>
      </c>
      <c r="K1903">
        <v>2025</v>
      </c>
      <c r="L1903">
        <v>1013342051</v>
      </c>
      <c r="M1903" t="s">
        <v>3624</v>
      </c>
      <c r="N1903" t="s">
        <v>1688</v>
      </c>
      <c r="O1903" t="s">
        <v>1686</v>
      </c>
      <c r="P1903">
        <v>0</v>
      </c>
      <c r="Q1903">
        <v>711750</v>
      </c>
      <c r="R1903">
        <v>0</v>
      </c>
      <c r="S1903">
        <v>0</v>
      </c>
      <c r="T1903" t="str">
        <f t="shared" si="58"/>
        <v>14152.43.4302.85.0-205128.2.3.3.08.06.</v>
      </c>
      <c r="U1903" t="e" cm="1">
        <f t="array" aca="1" ref="U1903" ca="1">+IF(COMPROMISOS_2025[[#This Row],[P]]="20","41080111",_xlfn.XLOOKUP(COMPROMISOS_2025[[#This Row],[concatenado]],PAA[[#All],[RCP-RUBRO]],PAA[[#All],[INDICADOR]],"",0))</f>
        <v>#NAME?</v>
      </c>
      <c r="V1903" s="144" t="str">
        <f t="shared" si="59"/>
        <v>85</v>
      </c>
      <c r="W1903" s="136">
        <f>+COMPROMISOS_2025[[#This Row],[valor_total]]-COMPROMISOS_2025[[#This Row],[total_cancelado]]</f>
        <v>711750</v>
      </c>
      <c r="X1903" s="136">
        <f>COMPROMISOS_2025[[#This Row],[total_ordenes]]</f>
        <v>711750</v>
      </c>
      <c r="Y1903" t="str" cm="1">
        <f t="array" aca="1" ref="Y1903" ca="1">IFERROR(_xlfn.XLOOKUP(COMPROMISOS_2025[[#This Row],[concatenado]],PAA[[#All],[RCP-RUBRO]],PAA[[#All],[Actividad3]],VLOOKUP(COMPROMISOS_2025[[#This Row],[Indicador Principal]],$AC$2:$AD$17,2,0),0),"")</f>
        <v/>
      </c>
    </row>
    <row r="1904" spans="1:25" hidden="1" x14ac:dyDescent="0.25">
      <c r="A1904">
        <v>1416</v>
      </c>
      <c r="B1904" t="s">
        <v>2491</v>
      </c>
      <c r="C1904" t="s">
        <v>1936</v>
      </c>
      <c r="D1904" t="s">
        <v>4182</v>
      </c>
      <c r="F1904">
        <v>406</v>
      </c>
      <c r="G1904">
        <v>65</v>
      </c>
      <c r="H1904" t="s">
        <v>662</v>
      </c>
      <c r="I1904" t="s">
        <v>2271</v>
      </c>
      <c r="J1904">
        <v>1067625</v>
      </c>
      <c r="K1904">
        <v>2025</v>
      </c>
      <c r="L1904">
        <v>1013457331</v>
      </c>
      <c r="M1904" t="s">
        <v>4277</v>
      </c>
      <c r="N1904" t="s">
        <v>1688</v>
      </c>
      <c r="O1904" t="s">
        <v>1686</v>
      </c>
      <c r="P1904">
        <v>0</v>
      </c>
      <c r="Q1904">
        <v>1067625</v>
      </c>
      <c r="R1904">
        <v>0</v>
      </c>
      <c r="S1904">
        <v>0</v>
      </c>
      <c r="T1904" t="str">
        <f t="shared" si="58"/>
        <v>14162.43.4302.85.0-205128.2.3.3.08.06.</v>
      </c>
      <c r="U1904" t="e" cm="1">
        <f t="array" aca="1" ref="U1904" ca="1">+IF(COMPROMISOS_2025[[#This Row],[P]]="20","41080111",_xlfn.XLOOKUP(COMPROMISOS_2025[[#This Row],[concatenado]],PAA[[#All],[RCP-RUBRO]],PAA[[#All],[INDICADOR]],"",0))</f>
        <v>#NAME?</v>
      </c>
      <c r="V1904" s="144" t="str">
        <f t="shared" si="59"/>
        <v>85</v>
      </c>
      <c r="W1904" s="136">
        <f>+COMPROMISOS_2025[[#This Row],[valor_total]]-COMPROMISOS_2025[[#This Row],[total_cancelado]]</f>
        <v>1067625</v>
      </c>
      <c r="X1904" s="136">
        <f>COMPROMISOS_2025[[#This Row],[total_ordenes]]</f>
        <v>1067625</v>
      </c>
      <c r="Y1904" t="str" cm="1">
        <f t="array" aca="1" ref="Y1904" ca="1">IFERROR(_xlfn.XLOOKUP(COMPROMISOS_2025[[#This Row],[concatenado]],PAA[[#All],[RCP-RUBRO]],PAA[[#All],[Actividad3]],VLOOKUP(COMPROMISOS_2025[[#This Row],[Indicador Principal]],$AC$2:$AD$17,2,0),0),"")</f>
        <v/>
      </c>
    </row>
    <row r="1905" spans="1:25" hidden="1" x14ac:dyDescent="0.25">
      <c r="A1905">
        <v>1417</v>
      </c>
      <c r="B1905" t="s">
        <v>2491</v>
      </c>
      <c r="C1905" t="s">
        <v>1936</v>
      </c>
      <c r="D1905" t="s">
        <v>4182</v>
      </c>
      <c r="F1905">
        <v>406</v>
      </c>
      <c r="G1905">
        <v>65</v>
      </c>
      <c r="H1905" t="s">
        <v>662</v>
      </c>
      <c r="I1905" t="s">
        <v>2271</v>
      </c>
      <c r="J1905">
        <v>711750</v>
      </c>
      <c r="K1905">
        <v>2025</v>
      </c>
      <c r="L1905">
        <v>1013459283</v>
      </c>
      <c r="M1905" t="s">
        <v>3625</v>
      </c>
      <c r="N1905" t="s">
        <v>1688</v>
      </c>
      <c r="O1905" t="s">
        <v>1686</v>
      </c>
      <c r="P1905">
        <v>0</v>
      </c>
      <c r="Q1905">
        <v>711750</v>
      </c>
      <c r="R1905">
        <v>0</v>
      </c>
      <c r="S1905">
        <v>0</v>
      </c>
      <c r="T1905" t="str">
        <f t="shared" si="58"/>
        <v>14172.43.4302.85.0-205128.2.3.3.08.06.</v>
      </c>
      <c r="U1905" t="e" cm="1">
        <f t="array" aca="1" ref="U1905" ca="1">+IF(COMPROMISOS_2025[[#This Row],[P]]="20","41080111",_xlfn.XLOOKUP(COMPROMISOS_2025[[#This Row],[concatenado]],PAA[[#All],[RCP-RUBRO]],PAA[[#All],[INDICADOR]],"",0))</f>
        <v>#NAME?</v>
      </c>
      <c r="V1905" s="144" t="str">
        <f t="shared" si="59"/>
        <v>85</v>
      </c>
      <c r="W1905" s="136">
        <f>+COMPROMISOS_2025[[#This Row],[valor_total]]-COMPROMISOS_2025[[#This Row],[total_cancelado]]</f>
        <v>711750</v>
      </c>
      <c r="X1905" s="136">
        <f>COMPROMISOS_2025[[#This Row],[total_ordenes]]</f>
        <v>711750</v>
      </c>
      <c r="Y1905" t="str" cm="1">
        <f t="array" aca="1" ref="Y1905" ca="1">IFERROR(_xlfn.XLOOKUP(COMPROMISOS_2025[[#This Row],[concatenado]],PAA[[#All],[RCP-RUBRO]],PAA[[#All],[Actividad3]],VLOOKUP(COMPROMISOS_2025[[#This Row],[Indicador Principal]],$AC$2:$AD$17,2,0),0),"")</f>
        <v/>
      </c>
    </row>
    <row r="1906" spans="1:25" hidden="1" x14ac:dyDescent="0.25">
      <c r="A1906">
        <v>1418</v>
      </c>
      <c r="B1906" t="s">
        <v>2491</v>
      </c>
      <c r="C1906" t="s">
        <v>1936</v>
      </c>
      <c r="D1906" t="s">
        <v>4182</v>
      </c>
      <c r="F1906">
        <v>406</v>
      </c>
      <c r="G1906">
        <v>65</v>
      </c>
      <c r="H1906" t="s">
        <v>662</v>
      </c>
      <c r="I1906" t="s">
        <v>2271</v>
      </c>
      <c r="J1906">
        <v>1423500</v>
      </c>
      <c r="K1906">
        <v>2025</v>
      </c>
      <c r="L1906">
        <v>1013459357</v>
      </c>
      <c r="M1906" t="s">
        <v>3999</v>
      </c>
      <c r="N1906" t="s">
        <v>1688</v>
      </c>
      <c r="O1906" t="s">
        <v>1686</v>
      </c>
      <c r="P1906">
        <v>0</v>
      </c>
      <c r="Q1906">
        <v>1423500</v>
      </c>
      <c r="R1906">
        <v>0</v>
      </c>
      <c r="S1906">
        <v>0</v>
      </c>
      <c r="T1906" t="str">
        <f t="shared" si="58"/>
        <v>14182.43.4302.85.0-205128.2.3.3.08.06.</v>
      </c>
      <c r="U1906" t="e" cm="1">
        <f t="array" aca="1" ref="U1906" ca="1">+IF(COMPROMISOS_2025[[#This Row],[P]]="20","41080111",_xlfn.XLOOKUP(COMPROMISOS_2025[[#This Row],[concatenado]],PAA[[#All],[RCP-RUBRO]],PAA[[#All],[INDICADOR]],"",0))</f>
        <v>#NAME?</v>
      </c>
      <c r="V1906" s="144" t="str">
        <f t="shared" si="59"/>
        <v>85</v>
      </c>
      <c r="W1906" s="136">
        <f>+COMPROMISOS_2025[[#This Row],[valor_total]]-COMPROMISOS_2025[[#This Row],[total_cancelado]]</f>
        <v>1423500</v>
      </c>
      <c r="X1906" s="136">
        <f>COMPROMISOS_2025[[#This Row],[total_ordenes]]</f>
        <v>1423500</v>
      </c>
      <c r="Y1906" t="str" cm="1">
        <f t="array" aca="1" ref="Y1906" ca="1">IFERROR(_xlfn.XLOOKUP(COMPROMISOS_2025[[#This Row],[concatenado]],PAA[[#All],[RCP-RUBRO]],PAA[[#All],[Actividad3]],VLOOKUP(COMPROMISOS_2025[[#This Row],[Indicador Principal]],$AC$2:$AD$17,2,0),0),"")</f>
        <v/>
      </c>
    </row>
    <row r="1907" spans="1:25" hidden="1" x14ac:dyDescent="0.25">
      <c r="A1907">
        <v>1419</v>
      </c>
      <c r="B1907" t="s">
        <v>2491</v>
      </c>
      <c r="C1907" t="s">
        <v>1936</v>
      </c>
      <c r="D1907" t="s">
        <v>4182</v>
      </c>
      <c r="F1907">
        <v>406</v>
      </c>
      <c r="G1907">
        <v>65</v>
      </c>
      <c r="H1907" t="s">
        <v>662</v>
      </c>
      <c r="I1907" t="s">
        <v>2271</v>
      </c>
      <c r="J1907">
        <v>2847000</v>
      </c>
      <c r="K1907">
        <v>2025</v>
      </c>
      <c r="L1907">
        <v>1013459361</v>
      </c>
      <c r="M1907" t="s">
        <v>3626</v>
      </c>
      <c r="N1907" t="s">
        <v>1688</v>
      </c>
      <c r="O1907" t="s">
        <v>1686</v>
      </c>
      <c r="P1907">
        <v>0</v>
      </c>
      <c r="Q1907">
        <v>2847000</v>
      </c>
      <c r="R1907">
        <v>0</v>
      </c>
      <c r="S1907">
        <v>0</v>
      </c>
      <c r="T1907" t="str">
        <f t="shared" si="58"/>
        <v>14192.43.4302.85.0-205128.2.3.3.08.06.</v>
      </c>
      <c r="U1907" t="e" cm="1">
        <f t="array" aca="1" ref="U1907" ca="1">+IF(COMPROMISOS_2025[[#This Row],[P]]="20","41080111",_xlfn.XLOOKUP(COMPROMISOS_2025[[#This Row],[concatenado]],PAA[[#All],[RCP-RUBRO]],PAA[[#All],[INDICADOR]],"",0))</f>
        <v>#NAME?</v>
      </c>
      <c r="V1907" s="144" t="str">
        <f t="shared" si="59"/>
        <v>85</v>
      </c>
      <c r="W1907" s="136">
        <f>+COMPROMISOS_2025[[#This Row],[valor_total]]-COMPROMISOS_2025[[#This Row],[total_cancelado]]</f>
        <v>2847000</v>
      </c>
      <c r="X1907" s="136">
        <f>COMPROMISOS_2025[[#This Row],[total_ordenes]]</f>
        <v>2847000</v>
      </c>
      <c r="Y1907" t="str" cm="1">
        <f t="array" aca="1" ref="Y1907" ca="1">IFERROR(_xlfn.XLOOKUP(COMPROMISOS_2025[[#This Row],[concatenado]],PAA[[#All],[RCP-RUBRO]],PAA[[#All],[Actividad3]],VLOOKUP(COMPROMISOS_2025[[#This Row],[Indicador Principal]],$AC$2:$AD$17,2,0),0),"")</f>
        <v/>
      </c>
    </row>
    <row r="1908" spans="1:25" hidden="1" x14ac:dyDescent="0.25">
      <c r="A1908">
        <v>1420</v>
      </c>
      <c r="B1908" t="s">
        <v>2491</v>
      </c>
      <c r="C1908" t="s">
        <v>1936</v>
      </c>
      <c r="D1908" t="s">
        <v>4182</v>
      </c>
      <c r="F1908">
        <v>406</v>
      </c>
      <c r="G1908">
        <v>65</v>
      </c>
      <c r="H1908" t="s">
        <v>662</v>
      </c>
      <c r="I1908" t="s">
        <v>2271</v>
      </c>
      <c r="J1908">
        <v>711750</v>
      </c>
      <c r="K1908">
        <v>2025</v>
      </c>
      <c r="L1908">
        <v>1013460929</v>
      </c>
      <c r="M1908" t="s">
        <v>3627</v>
      </c>
      <c r="N1908" t="s">
        <v>1688</v>
      </c>
      <c r="O1908" t="s">
        <v>1686</v>
      </c>
      <c r="P1908">
        <v>0</v>
      </c>
      <c r="Q1908">
        <v>711750</v>
      </c>
      <c r="R1908">
        <v>0</v>
      </c>
      <c r="S1908">
        <v>0</v>
      </c>
      <c r="T1908" t="str">
        <f t="shared" si="58"/>
        <v>14202.43.4302.85.0-205128.2.3.3.08.06.</v>
      </c>
      <c r="U1908" t="e" cm="1">
        <f t="array" aca="1" ref="U1908" ca="1">+IF(COMPROMISOS_2025[[#This Row],[P]]="20","41080111",_xlfn.XLOOKUP(COMPROMISOS_2025[[#This Row],[concatenado]],PAA[[#All],[RCP-RUBRO]],PAA[[#All],[INDICADOR]],"",0))</f>
        <v>#NAME?</v>
      </c>
      <c r="V1908" s="144" t="str">
        <f t="shared" si="59"/>
        <v>85</v>
      </c>
      <c r="W1908" s="136">
        <f>+COMPROMISOS_2025[[#This Row],[valor_total]]-COMPROMISOS_2025[[#This Row],[total_cancelado]]</f>
        <v>711750</v>
      </c>
      <c r="X1908" s="136">
        <f>COMPROMISOS_2025[[#This Row],[total_ordenes]]</f>
        <v>711750</v>
      </c>
      <c r="Y1908" t="str" cm="1">
        <f t="array" aca="1" ref="Y1908" ca="1">IFERROR(_xlfn.XLOOKUP(COMPROMISOS_2025[[#This Row],[concatenado]],PAA[[#All],[RCP-RUBRO]],PAA[[#All],[Actividad3]],VLOOKUP(COMPROMISOS_2025[[#This Row],[Indicador Principal]],$AC$2:$AD$17,2,0),0),"")</f>
        <v/>
      </c>
    </row>
    <row r="1909" spans="1:25" hidden="1" x14ac:dyDescent="0.25">
      <c r="A1909">
        <v>1421</v>
      </c>
      <c r="B1909" t="s">
        <v>2491</v>
      </c>
      <c r="C1909" t="s">
        <v>1936</v>
      </c>
      <c r="D1909" t="s">
        <v>4182</v>
      </c>
      <c r="F1909">
        <v>406</v>
      </c>
      <c r="G1909">
        <v>65</v>
      </c>
      <c r="H1909" t="s">
        <v>662</v>
      </c>
      <c r="I1909" t="s">
        <v>2271</v>
      </c>
      <c r="J1909">
        <v>711750</v>
      </c>
      <c r="K1909">
        <v>2025</v>
      </c>
      <c r="L1909">
        <v>1013462018</v>
      </c>
      <c r="M1909" t="s">
        <v>3628</v>
      </c>
      <c r="N1909" t="s">
        <v>1688</v>
      </c>
      <c r="O1909" t="s">
        <v>1686</v>
      </c>
      <c r="P1909">
        <v>0</v>
      </c>
      <c r="Q1909">
        <v>711750</v>
      </c>
      <c r="R1909">
        <v>0</v>
      </c>
      <c r="S1909">
        <v>0</v>
      </c>
      <c r="T1909" t="str">
        <f t="shared" si="58"/>
        <v>14212.43.4302.85.0-205128.2.3.3.08.06.</v>
      </c>
      <c r="U1909" t="e" cm="1">
        <f t="array" aca="1" ref="U1909" ca="1">+IF(COMPROMISOS_2025[[#This Row],[P]]="20","41080111",_xlfn.XLOOKUP(COMPROMISOS_2025[[#This Row],[concatenado]],PAA[[#All],[RCP-RUBRO]],PAA[[#All],[INDICADOR]],"",0))</f>
        <v>#NAME?</v>
      </c>
      <c r="V1909" s="144" t="str">
        <f t="shared" si="59"/>
        <v>85</v>
      </c>
      <c r="W1909" s="136">
        <f>+COMPROMISOS_2025[[#This Row],[valor_total]]-COMPROMISOS_2025[[#This Row],[total_cancelado]]</f>
        <v>711750</v>
      </c>
      <c r="X1909" s="136">
        <f>COMPROMISOS_2025[[#This Row],[total_ordenes]]</f>
        <v>711750</v>
      </c>
      <c r="Y1909" t="str" cm="1">
        <f t="array" aca="1" ref="Y1909" ca="1">IFERROR(_xlfn.XLOOKUP(COMPROMISOS_2025[[#This Row],[concatenado]],PAA[[#All],[RCP-RUBRO]],PAA[[#All],[Actividad3]],VLOOKUP(COMPROMISOS_2025[[#This Row],[Indicador Principal]],$AC$2:$AD$17,2,0),0),"")</f>
        <v/>
      </c>
    </row>
    <row r="1910" spans="1:25" hidden="1" x14ac:dyDescent="0.25">
      <c r="A1910">
        <v>1422</v>
      </c>
      <c r="B1910" t="s">
        <v>2491</v>
      </c>
      <c r="C1910" t="s">
        <v>1936</v>
      </c>
      <c r="D1910" t="s">
        <v>4182</v>
      </c>
      <c r="F1910">
        <v>406</v>
      </c>
      <c r="G1910">
        <v>65</v>
      </c>
      <c r="H1910" t="s">
        <v>662</v>
      </c>
      <c r="I1910" t="s">
        <v>2271</v>
      </c>
      <c r="J1910">
        <v>711750</v>
      </c>
      <c r="K1910">
        <v>2025</v>
      </c>
      <c r="L1910">
        <v>1013462498</v>
      </c>
      <c r="M1910" t="s">
        <v>3629</v>
      </c>
      <c r="N1910" t="s">
        <v>1688</v>
      </c>
      <c r="O1910" t="s">
        <v>1686</v>
      </c>
      <c r="P1910">
        <v>0</v>
      </c>
      <c r="Q1910">
        <v>711750</v>
      </c>
      <c r="R1910">
        <v>0</v>
      </c>
      <c r="S1910">
        <v>0</v>
      </c>
      <c r="T1910" t="str">
        <f t="shared" si="58"/>
        <v>14222.43.4302.85.0-205128.2.3.3.08.06.</v>
      </c>
      <c r="U1910" t="e" cm="1">
        <f t="array" aca="1" ref="U1910" ca="1">+IF(COMPROMISOS_2025[[#This Row],[P]]="20","41080111",_xlfn.XLOOKUP(COMPROMISOS_2025[[#This Row],[concatenado]],PAA[[#All],[RCP-RUBRO]],PAA[[#All],[INDICADOR]],"",0))</f>
        <v>#NAME?</v>
      </c>
      <c r="V1910" s="144" t="str">
        <f t="shared" si="59"/>
        <v>85</v>
      </c>
      <c r="W1910" s="136">
        <f>+COMPROMISOS_2025[[#This Row],[valor_total]]-COMPROMISOS_2025[[#This Row],[total_cancelado]]</f>
        <v>711750</v>
      </c>
      <c r="X1910" s="136">
        <f>COMPROMISOS_2025[[#This Row],[total_ordenes]]</f>
        <v>711750</v>
      </c>
      <c r="Y1910" t="str" cm="1">
        <f t="array" aca="1" ref="Y1910" ca="1">IFERROR(_xlfn.XLOOKUP(COMPROMISOS_2025[[#This Row],[concatenado]],PAA[[#All],[RCP-RUBRO]],PAA[[#All],[Actividad3]],VLOOKUP(COMPROMISOS_2025[[#This Row],[Indicador Principal]],$AC$2:$AD$17,2,0),0),"")</f>
        <v/>
      </c>
    </row>
    <row r="1911" spans="1:25" hidden="1" x14ac:dyDescent="0.25">
      <c r="A1911">
        <v>1423</v>
      </c>
      <c r="B1911" t="s">
        <v>2491</v>
      </c>
      <c r="C1911" t="s">
        <v>1936</v>
      </c>
      <c r="D1911" t="s">
        <v>4182</v>
      </c>
      <c r="F1911">
        <v>406</v>
      </c>
      <c r="G1911">
        <v>65</v>
      </c>
      <c r="H1911" t="s">
        <v>662</v>
      </c>
      <c r="I1911" t="s">
        <v>2271</v>
      </c>
      <c r="J1911">
        <v>1423500</v>
      </c>
      <c r="K1911">
        <v>2025</v>
      </c>
      <c r="L1911">
        <v>1014176211</v>
      </c>
      <c r="M1911" t="s">
        <v>4000</v>
      </c>
      <c r="N1911" t="s">
        <v>1688</v>
      </c>
      <c r="O1911" t="s">
        <v>1686</v>
      </c>
      <c r="P1911">
        <v>0</v>
      </c>
      <c r="Q1911">
        <v>1423500</v>
      </c>
      <c r="R1911">
        <v>0</v>
      </c>
      <c r="S1911">
        <v>0</v>
      </c>
      <c r="T1911" t="str">
        <f t="shared" si="58"/>
        <v>14232.43.4302.85.0-205128.2.3.3.08.06.</v>
      </c>
      <c r="U1911" t="e" cm="1">
        <f t="array" aca="1" ref="U1911" ca="1">+IF(COMPROMISOS_2025[[#This Row],[P]]="20","41080111",_xlfn.XLOOKUP(COMPROMISOS_2025[[#This Row],[concatenado]],PAA[[#All],[RCP-RUBRO]],PAA[[#All],[INDICADOR]],"",0))</f>
        <v>#NAME?</v>
      </c>
      <c r="V1911" s="144" t="str">
        <f t="shared" si="59"/>
        <v>85</v>
      </c>
      <c r="W1911" s="136">
        <f>+COMPROMISOS_2025[[#This Row],[valor_total]]-COMPROMISOS_2025[[#This Row],[total_cancelado]]</f>
        <v>1423500</v>
      </c>
      <c r="X1911" s="136">
        <f>COMPROMISOS_2025[[#This Row],[total_ordenes]]</f>
        <v>1423500</v>
      </c>
      <c r="Y1911" t="str" cm="1">
        <f t="array" aca="1" ref="Y1911" ca="1">IFERROR(_xlfn.XLOOKUP(COMPROMISOS_2025[[#This Row],[concatenado]],PAA[[#All],[RCP-RUBRO]],PAA[[#All],[Actividad3]],VLOOKUP(COMPROMISOS_2025[[#This Row],[Indicador Principal]],$AC$2:$AD$17,2,0),0),"")</f>
        <v/>
      </c>
    </row>
    <row r="1912" spans="1:25" hidden="1" x14ac:dyDescent="0.25">
      <c r="A1912">
        <v>1424</v>
      </c>
      <c r="B1912" t="s">
        <v>2491</v>
      </c>
      <c r="C1912" t="s">
        <v>1936</v>
      </c>
      <c r="D1912" t="s">
        <v>4182</v>
      </c>
      <c r="F1912">
        <v>406</v>
      </c>
      <c r="G1912">
        <v>65</v>
      </c>
      <c r="H1912" t="s">
        <v>662</v>
      </c>
      <c r="I1912" t="s">
        <v>2271</v>
      </c>
      <c r="J1912">
        <v>1423500</v>
      </c>
      <c r="K1912">
        <v>2025</v>
      </c>
      <c r="L1912">
        <v>1014291928</v>
      </c>
      <c r="M1912" t="s">
        <v>3630</v>
      </c>
      <c r="N1912" t="s">
        <v>1688</v>
      </c>
      <c r="O1912" t="s">
        <v>1686</v>
      </c>
      <c r="P1912">
        <v>0</v>
      </c>
      <c r="Q1912">
        <v>1423500</v>
      </c>
      <c r="R1912">
        <v>0</v>
      </c>
      <c r="S1912">
        <v>0</v>
      </c>
      <c r="T1912" t="str">
        <f t="shared" si="58"/>
        <v>14242.43.4302.85.0-205128.2.3.3.08.06.</v>
      </c>
      <c r="U1912" t="e" cm="1">
        <f t="array" aca="1" ref="U1912" ca="1">+IF(COMPROMISOS_2025[[#This Row],[P]]="20","41080111",_xlfn.XLOOKUP(COMPROMISOS_2025[[#This Row],[concatenado]],PAA[[#All],[RCP-RUBRO]],PAA[[#All],[INDICADOR]],"",0))</f>
        <v>#NAME?</v>
      </c>
      <c r="V1912" s="144" t="str">
        <f t="shared" si="59"/>
        <v>85</v>
      </c>
      <c r="W1912" s="136">
        <f>+COMPROMISOS_2025[[#This Row],[valor_total]]-COMPROMISOS_2025[[#This Row],[total_cancelado]]</f>
        <v>1423500</v>
      </c>
      <c r="X1912" s="136">
        <f>COMPROMISOS_2025[[#This Row],[total_ordenes]]</f>
        <v>1423500</v>
      </c>
      <c r="Y1912" t="str" cm="1">
        <f t="array" aca="1" ref="Y1912" ca="1">IFERROR(_xlfn.XLOOKUP(COMPROMISOS_2025[[#This Row],[concatenado]],PAA[[#All],[RCP-RUBRO]],PAA[[#All],[Actividad3]],VLOOKUP(COMPROMISOS_2025[[#This Row],[Indicador Principal]],$AC$2:$AD$17,2,0),0),"")</f>
        <v/>
      </c>
    </row>
    <row r="1913" spans="1:25" hidden="1" x14ac:dyDescent="0.25">
      <c r="A1913">
        <v>1425</v>
      </c>
      <c r="B1913" t="s">
        <v>2491</v>
      </c>
      <c r="C1913" t="s">
        <v>1936</v>
      </c>
      <c r="D1913" t="s">
        <v>4182</v>
      </c>
      <c r="F1913">
        <v>406</v>
      </c>
      <c r="G1913">
        <v>65</v>
      </c>
      <c r="H1913" t="s">
        <v>662</v>
      </c>
      <c r="I1913" t="s">
        <v>2271</v>
      </c>
      <c r="J1913">
        <v>711750</v>
      </c>
      <c r="K1913">
        <v>2025</v>
      </c>
      <c r="L1913">
        <v>1014311666</v>
      </c>
      <c r="M1913" t="s">
        <v>3631</v>
      </c>
      <c r="N1913" t="s">
        <v>1688</v>
      </c>
      <c r="O1913" t="s">
        <v>1686</v>
      </c>
      <c r="P1913">
        <v>0</v>
      </c>
      <c r="Q1913">
        <v>711750</v>
      </c>
      <c r="R1913">
        <v>0</v>
      </c>
      <c r="S1913">
        <v>0</v>
      </c>
      <c r="T1913" t="str">
        <f t="shared" si="58"/>
        <v>14252.43.4302.85.0-205128.2.3.3.08.06.</v>
      </c>
      <c r="U1913" t="e" cm="1">
        <f t="array" aca="1" ref="U1913" ca="1">+IF(COMPROMISOS_2025[[#This Row],[P]]="20","41080111",_xlfn.XLOOKUP(COMPROMISOS_2025[[#This Row],[concatenado]],PAA[[#All],[RCP-RUBRO]],PAA[[#All],[INDICADOR]],"",0))</f>
        <v>#NAME?</v>
      </c>
      <c r="V1913" s="144" t="str">
        <f t="shared" si="59"/>
        <v>85</v>
      </c>
      <c r="W1913" s="136">
        <f>+COMPROMISOS_2025[[#This Row],[valor_total]]-COMPROMISOS_2025[[#This Row],[total_cancelado]]</f>
        <v>711750</v>
      </c>
      <c r="X1913" s="136">
        <f>COMPROMISOS_2025[[#This Row],[total_ordenes]]</f>
        <v>711750</v>
      </c>
      <c r="Y1913" t="str" cm="1">
        <f t="array" aca="1" ref="Y1913" ca="1">IFERROR(_xlfn.XLOOKUP(COMPROMISOS_2025[[#This Row],[concatenado]],PAA[[#All],[RCP-RUBRO]],PAA[[#All],[Actividad3]],VLOOKUP(COMPROMISOS_2025[[#This Row],[Indicador Principal]],$AC$2:$AD$17,2,0),0),"")</f>
        <v/>
      </c>
    </row>
    <row r="1914" spans="1:25" hidden="1" x14ac:dyDescent="0.25">
      <c r="A1914">
        <v>1426</v>
      </c>
      <c r="B1914" t="s">
        <v>2491</v>
      </c>
      <c r="C1914" t="s">
        <v>1936</v>
      </c>
      <c r="D1914" t="s">
        <v>4182</v>
      </c>
      <c r="F1914">
        <v>406</v>
      </c>
      <c r="G1914">
        <v>65</v>
      </c>
      <c r="H1914" t="s">
        <v>662</v>
      </c>
      <c r="I1914" t="s">
        <v>2271</v>
      </c>
      <c r="J1914">
        <v>711750</v>
      </c>
      <c r="K1914">
        <v>2025</v>
      </c>
      <c r="L1914">
        <v>1014979755</v>
      </c>
      <c r="M1914" t="s">
        <v>4278</v>
      </c>
      <c r="N1914" t="s">
        <v>1688</v>
      </c>
      <c r="O1914" t="s">
        <v>1686</v>
      </c>
      <c r="P1914">
        <v>0</v>
      </c>
      <c r="Q1914">
        <v>711750</v>
      </c>
      <c r="R1914">
        <v>0</v>
      </c>
      <c r="S1914">
        <v>0</v>
      </c>
      <c r="T1914" t="str">
        <f t="shared" si="58"/>
        <v>14262.43.4302.85.0-205128.2.3.3.08.06.</v>
      </c>
      <c r="U1914" t="e" cm="1">
        <f t="array" aca="1" ref="U1914" ca="1">+IF(COMPROMISOS_2025[[#This Row],[P]]="20","41080111",_xlfn.XLOOKUP(COMPROMISOS_2025[[#This Row],[concatenado]],PAA[[#All],[RCP-RUBRO]],PAA[[#All],[INDICADOR]],"",0))</f>
        <v>#NAME?</v>
      </c>
      <c r="V1914" s="144" t="str">
        <f t="shared" si="59"/>
        <v>85</v>
      </c>
      <c r="W1914" s="136">
        <f>+COMPROMISOS_2025[[#This Row],[valor_total]]-COMPROMISOS_2025[[#This Row],[total_cancelado]]</f>
        <v>711750</v>
      </c>
      <c r="X1914" s="136">
        <f>COMPROMISOS_2025[[#This Row],[total_ordenes]]</f>
        <v>711750</v>
      </c>
      <c r="Y1914" t="str" cm="1">
        <f t="array" aca="1" ref="Y1914" ca="1">IFERROR(_xlfn.XLOOKUP(COMPROMISOS_2025[[#This Row],[concatenado]],PAA[[#All],[RCP-RUBRO]],PAA[[#All],[Actividad3]],VLOOKUP(COMPROMISOS_2025[[#This Row],[Indicador Principal]],$AC$2:$AD$17,2,0),0),"")</f>
        <v/>
      </c>
    </row>
    <row r="1915" spans="1:25" hidden="1" x14ac:dyDescent="0.25">
      <c r="A1915">
        <v>1427</v>
      </c>
      <c r="B1915" t="s">
        <v>2491</v>
      </c>
      <c r="C1915" t="s">
        <v>1936</v>
      </c>
      <c r="D1915" t="s">
        <v>4182</v>
      </c>
      <c r="F1915">
        <v>406</v>
      </c>
      <c r="G1915">
        <v>65</v>
      </c>
      <c r="H1915" t="s">
        <v>662</v>
      </c>
      <c r="I1915" t="s">
        <v>2271</v>
      </c>
      <c r="J1915">
        <v>1067625</v>
      </c>
      <c r="K1915">
        <v>2025</v>
      </c>
      <c r="L1915">
        <v>1015068954</v>
      </c>
      <c r="M1915" t="s">
        <v>3632</v>
      </c>
      <c r="N1915" t="s">
        <v>1688</v>
      </c>
      <c r="O1915" t="s">
        <v>1686</v>
      </c>
      <c r="P1915">
        <v>0</v>
      </c>
      <c r="Q1915">
        <v>1067625</v>
      </c>
      <c r="R1915">
        <v>0</v>
      </c>
      <c r="S1915">
        <v>0</v>
      </c>
      <c r="T1915" t="str">
        <f t="shared" si="58"/>
        <v>14272.43.4302.85.0-205128.2.3.3.08.06.</v>
      </c>
      <c r="U1915" t="e" cm="1">
        <f t="array" aca="1" ref="U1915" ca="1">+IF(COMPROMISOS_2025[[#This Row],[P]]="20","41080111",_xlfn.XLOOKUP(COMPROMISOS_2025[[#This Row],[concatenado]],PAA[[#All],[RCP-RUBRO]],PAA[[#All],[INDICADOR]],"",0))</f>
        <v>#NAME?</v>
      </c>
      <c r="V1915" s="144" t="str">
        <f t="shared" si="59"/>
        <v>85</v>
      </c>
      <c r="W1915" s="136">
        <f>+COMPROMISOS_2025[[#This Row],[valor_total]]-COMPROMISOS_2025[[#This Row],[total_cancelado]]</f>
        <v>1067625</v>
      </c>
      <c r="X1915" s="136">
        <f>COMPROMISOS_2025[[#This Row],[total_ordenes]]</f>
        <v>1067625</v>
      </c>
      <c r="Y1915" t="str" cm="1">
        <f t="array" aca="1" ref="Y1915" ca="1">IFERROR(_xlfn.XLOOKUP(COMPROMISOS_2025[[#This Row],[concatenado]],PAA[[#All],[RCP-RUBRO]],PAA[[#All],[Actividad3]],VLOOKUP(COMPROMISOS_2025[[#This Row],[Indicador Principal]],$AC$2:$AD$17,2,0),0),"")</f>
        <v/>
      </c>
    </row>
    <row r="1916" spans="1:25" hidden="1" x14ac:dyDescent="0.25">
      <c r="A1916">
        <v>1428</v>
      </c>
      <c r="B1916" t="s">
        <v>2491</v>
      </c>
      <c r="C1916" t="s">
        <v>1936</v>
      </c>
      <c r="D1916" t="s">
        <v>4182</v>
      </c>
      <c r="F1916">
        <v>406</v>
      </c>
      <c r="G1916">
        <v>65</v>
      </c>
      <c r="H1916" t="s">
        <v>662</v>
      </c>
      <c r="I1916" t="s">
        <v>2271</v>
      </c>
      <c r="J1916">
        <v>711750</v>
      </c>
      <c r="K1916">
        <v>2025</v>
      </c>
      <c r="L1916">
        <v>1015069797</v>
      </c>
      <c r="M1916" t="s">
        <v>3633</v>
      </c>
      <c r="N1916" t="s">
        <v>1688</v>
      </c>
      <c r="O1916" t="s">
        <v>1686</v>
      </c>
      <c r="P1916">
        <v>0</v>
      </c>
      <c r="Q1916">
        <v>711750</v>
      </c>
      <c r="R1916">
        <v>0</v>
      </c>
      <c r="S1916">
        <v>0</v>
      </c>
      <c r="T1916" t="str">
        <f t="shared" si="58"/>
        <v>14282.43.4302.85.0-205128.2.3.3.08.06.</v>
      </c>
      <c r="U1916" t="e" cm="1">
        <f t="array" aca="1" ref="U1916" ca="1">+IF(COMPROMISOS_2025[[#This Row],[P]]="20","41080111",_xlfn.XLOOKUP(COMPROMISOS_2025[[#This Row],[concatenado]],PAA[[#All],[RCP-RUBRO]],PAA[[#All],[INDICADOR]],"",0))</f>
        <v>#NAME?</v>
      </c>
      <c r="V1916" s="144" t="str">
        <f t="shared" si="59"/>
        <v>85</v>
      </c>
      <c r="W1916" s="136">
        <f>+COMPROMISOS_2025[[#This Row],[valor_total]]-COMPROMISOS_2025[[#This Row],[total_cancelado]]</f>
        <v>711750</v>
      </c>
      <c r="X1916" s="136">
        <f>COMPROMISOS_2025[[#This Row],[total_ordenes]]</f>
        <v>711750</v>
      </c>
      <c r="Y1916" t="str" cm="1">
        <f t="array" aca="1" ref="Y1916" ca="1">IFERROR(_xlfn.XLOOKUP(COMPROMISOS_2025[[#This Row],[concatenado]],PAA[[#All],[RCP-RUBRO]],PAA[[#All],[Actividad3]],VLOOKUP(COMPROMISOS_2025[[#This Row],[Indicador Principal]],$AC$2:$AD$17,2,0),0),"")</f>
        <v/>
      </c>
    </row>
    <row r="1917" spans="1:25" hidden="1" x14ac:dyDescent="0.25">
      <c r="A1917">
        <v>1429</v>
      </c>
      <c r="B1917" t="s">
        <v>2491</v>
      </c>
      <c r="C1917" t="s">
        <v>1936</v>
      </c>
      <c r="D1917" t="s">
        <v>4182</v>
      </c>
      <c r="F1917">
        <v>406</v>
      </c>
      <c r="G1917">
        <v>65</v>
      </c>
      <c r="H1917" t="s">
        <v>662</v>
      </c>
      <c r="I1917" t="s">
        <v>2271</v>
      </c>
      <c r="J1917">
        <v>711750</v>
      </c>
      <c r="K1917">
        <v>2025</v>
      </c>
      <c r="L1917">
        <v>1015071682</v>
      </c>
      <c r="M1917" t="s">
        <v>4279</v>
      </c>
      <c r="N1917" t="s">
        <v>1688</v>
      </c>
      <c r="O1917" t="s">
        <v>1686</v>
      </c>
      <c r="P1917">
        <v>0</v>
      </c>
      <c r="Q1917">
        <v>711750</v>
      </c>
      <c r="R1917">
        <v>0</v>
      </c>
      <c r="S1917">
        <v>0</v>
      </c>
      <c r="T1917" t="str">
        <f t="shared" si="58"/>
        <v>14292.43.4302.85.0-205128.2.3.3.08.06.</v>
      </c>
      <c r="U1917" t="e" cm="1">
        <f t="array" aca="1" ref="U1917" ca="1">+IF(COMPROMISOS_2025[[#This Row],[P]]="20","41080111",_xlfn.XLOOKUP(COMPROMISOS_2025[[#This Row],[concatenado]],PAA[[#All],[RCP-RUBRO]],PAA[[#All],[INDICADOR]],"",0))</f>
        <v>#NAME?</v>
      </c>
      <c r="V1917" s="144" t="str">
        <f t="shared" si="59"/>
        <v>85</v>
      </c>
      <c r="W1917" s="136">
        <f>+COMPROMISOS_2025[[#This Row],[valor_total]]-COMPROMISOS_2025[[#This Row],[total_cancelado]]</f>
        <v>711750</v>
      </c>
      <c r="X1917" s="136">
        <f>COMPROMISOS_2025[[#This Row],[total_ordenes]]</f>
        <v>711750</v>
      </c>
      <c r="Y1917" t="str" cm="1">
        <f t="array" aca="1" ref="Y1917" ca="1">IFERROR(_xlfn.XLOOKUP(COMPROMISOS_2025[[#This Row],[concatenado]],PAA[[#All],[RCP-RUBRO]],PAA[[#All],[Actividad3]],VLOOKUP(COMPROMISOS_2025[[#This Row],[Indicador Principal]],$AC$2:$AD$17,2,0),0),"")</f>
        <v/>
      </c>
    </row>
    <row r="1918" spans="1:25" hidden="1" x14ac:dyDescent="0.25">
      <c r="A1918">
        <v>1430</v>
      </c>
      <c r="B1918" t="s">
        <v>2491</v>
      </c>
      <c r="C1918" t="s">
        <v>1936</v>
      </c>
      <c r="D1918" t="s">
        <v>4182</v>
      </c>
      <c r="F1918">
        <v>406</v>
      </c>
      <c r="G1918">
        <v>65</v>
      </c>
      <c r="H1918" t="s">
        <v>662</v>
      </c>
      <c r="I1918" t="s">
        <v>2271</v>
      </c>
      <c r="J1918">
        <v>711750</v>
      </c>
      <c r="K1918">
        <v>2025</v>
      </c>
      <c r="L1918">
        <v>1015074223</v>
      </c>
      <c r="M1918" t="s">
        <v>3634</v>
      </c>
      <c r="N1918" t="s">
        <v>1688</v>
      </c>
      <c r="O1918" t="s">
        <v>1686</v>
      </c>
      <c r="P1918">
        <v>0</v>
      </c>
      <c r="Q1918">
        <v>711750</v>
      </c>
      <c r="R1918">
        <v>0</v>
      </c>
      <c r="S1918">
        <v>0</v>
      </c>
      <c r="T1918" t="str">
        <f t="shared" si="58"/>
        <v>14302.43.4302.85.0-205128.2.3.3.08.06.</v>
      </c>
      <c r="U1918" t="e" cm="1">
        <f t="array" aca="1" ref="U1918" ca="1">+IF(COMPROMISOS_2025[[#This Row],[P]]="20","41080111",_xlfn.XLOOKUP(COMPROMISOS_2025[[#This Row],[concatenado]],PAA[[#All],[RCP-RUBRO]],PAA[[#All],[INDICADOR]],"",0))</f>
        <v>#NAME?</v>
      </c>
      <c r="V1918" s="144" t="str">
        <f t="shared" si="59"/>
        <v>85</v>
      </c>
      <c r="W1918" s="136">
        <f>+COMPROMISOS_2025[[#This Row],[valor_total]]-COMPROMISOS_2025[[#This Row],[total_cancelado]]</f>
        <v>711750</v>
      </c>
      <c r="X1918" s="136">
        <f>COMPROMISOS_2025[[#This Row],[total_ordenes]]</f>
        <v>711750</v>
      </c>
      <c r="Y1918" t="str" cm="1">
        <f t="array" aca="1" ref="Y1918" ca="1">IFERROR(_xlfn.XLOOKUP(COMPROMISOS_2025[[#This Row],[concatenado]],PAA[[#All],[RCP-RUBRO]],PAA[[#All],[Actividad3]],VLOOKUP(COMPROMISOS_2025[[#This Row],[Indicador Principal]],$AC$2:$AD$17,2,0),0),"")</f>
        <v/>
      </c>
    </row>
    <row r="1919" spans="1:25" hidden="1" x14ac:dyDescent="0.25">
      <c r="A1919">
        <v>1431</v>
      </c>
      <c r="B1919" t="s">
        <v>2491</v>
      </c>
      <c r="C1919" t="s">
        <v>1936</v>
      </c>
      <c r="D1919" t="s">
        <v>4182</v>
      </c>
      <c r="F1919">
        <v>406</v>
      </c>
      <c r="G1919">
        <v>65</v>
      </c>
      <c r="H1919" t="s">
        <v>662</v>
      </c>
      <c r="I1919" t="s">
        <v>2271</v>
      </c>
      <c r="J1919">
        <v>1067625</v>
      </c>
      <c r="K1919">
        <v>2025</v>
      </c>
      <c r="L1919">
        <v>1015075616</v>
      </c>
      <c r="M1919" t="s">
        <v>3635</v>
      </c>
      <c r="N1919" t="s">
        <v>1688</v>
      </c>
      <c r="O1919" t="s">
        <v>1686</v>
      </c>
      <c r="P1919">
        <v>0</v>
      </c>
      <c r="Q1919">
        <v>1067625</v>
      </c>
      <c r="R1919">
        <v>0</v>
      </c>
      <c r="S1919">
        <v>0</v>
      </c>
      <c r="T1919" t="str">
        <f t="shared" si="58"/>
        <v>14312.43.4302.85.0-205128.2.3.3.08.06.</v>
      </c>
      <c r="U1919" t="e" cm="1">
        <f t="array" aca="1" ref="U1919" ca="1">+IF(COMPROMISOS_2025[[#This Row],[P]]="20","41080111",_xlfn.XLOOKUP(COMPROMISOS_2025[[#This Row],[concatenado]],PAA[[#All],[RCP-RUBRO]],PAA[[#All],[INDICADOR]],"",0))</f>
        <v>#NAME?</v>
      </c>
      <c r="V1919" s="144" t="str">
        <f t="shared" si="59"/>
        <v>85</v>
      </c>
      <c r="W1919" s="136">
        <f>+COMPROMISOS_2025[[#This Row],[valor_total]]-COMPROMISOS_2025[[#This Row],[total_cancelado]]</f>
        <v>1067625</v>
      </c>
      <c r="X1919" s="136">
        <f>COMPROMISOS_2025[[#This Row],[total_ordenes]]</f>
        <v>1067625</v>
      </c>
      <c r="Y1919" t="str" cm="1">
        <f t="array" aca="1" ref="Y1919" ca="1">IFERROR(_xlfn.XLOOKUP(COMPROMISOS_2025[[#This Row],[concatenado]],PAA[[#All],[RCP-RUBRO]],PAA[[#All],[Actividad3]],VLOOKUP(COMPROMISOS_2025[[#This Row],[Indicador Principal]],$AC$2:$AD$17,2,0),0),"")</f>
        <v/>
      </c>
    </row>
    <row r="1920" spans="1:25" hidden="1" x14ac:dyDescent="0.25">
      <c r="A1920">
        <v>1432</v>
      </c>
      <c r="B1920" t="s">
        <v>2491</v>
      </c>
      <c r="C1920" t="s">
        <v>1936</v>
      </c>
      <c r="D1920" t="s">
        <v>4182</v>
      </c>
      <c r="F1920">
        <v>406</v>
      </c>
      <c r="G1920">
        <v>65</v>
      </c>
      <c r="H1920" t="s">
        <v>662</v>
      </c>
      <c r="I1920" t="s">
        <v>2271</v>
      </c>
      <c r="J1920">
        <v>711750</v>
      </c>
      <c r="K1920">
        <v>2025</v>
      </c>
      <c r="L1920">
        <v>1015186603</v>
      </c>
      <c r="M1920" t="s">
        <v>3636</v>
      </c>
      <c r="N1920" t="s">
        <v>1688</v>
      </c>
      <c r="O1920" t="s">
        <v>1686</v>
      </c>
      <c r="P1920">
        <v>0</v>
      </c>
      <c r="Q1920">
        <v>711750</v>
      </c>
      <c r="R1920">
        <v>0</v>
      </c>
      <c r="S1920">
        <v>0</v>
      </c>
      <c r="T1920" t="str">
        <f t="shared" si="58"/>
        <v>14322.43.4302.85.0-205128.2.3.3.08.06.</v>
      </c>
      <c r="U1920" t="e" cm="1">
        <f t="array" aca="1" ref="U1920" ca="1">+IF(COMPROMISOS_2025[[#This Row],[P]]="20","41080111",_xlfn.XLOOKUP(COMPROMISOS_2025[[#This Row],[concatenado]],PAA[[#All],[RCP-RUBRO]],PAA[[#All],[INDICADOR]],"",0))</f>
        <v>#NAME?</v>
      </c>
      <c r="V1920" s="144" t="str">
        <f t="shared" si="59"/>
        <v>85</v>
      </c>
      <c r="W1920" s="136">
        <f>+COMPROMISOS_2025[[#This Row],[valor_total]]-COMPROMISOS_2025[[#This Row],[total_cancelado]]</f>
        <v>711750</v>
      </c>
      <c r="X1920" s="136">
        <f>COMPROMISOS_2025[[#This Row],[total_ordenes]]</f>
        <v>711750</v>
      </c>
      <c r="Y1920" t="str" cm="1">
        <f t="array" aca="1" ref="Y1920" ca="1">IFERROR(_xlfn.XLOOKUP(COMPROMISOS_2025[[#This Row],[concatenado]],PAA[[#All],[RCP-RUBRO]],PAA[[#All],[Actividad3]],VLOOKUP(COMPROMISOS_2025[[#This Row],[Indicador Principal]],$AC$2:$AD$17,2,0),0),"")</f>
        <v/>
      </c>
    </row>
    <row r="1921" spans="1:25" hidden="1" x14ac:dyDescent="0.25">
      <c r="A1921">
        <v>1433</v>
      </c>
      <c r="B1921" t="s">
        <v>2491</v>
      </c>
      <c r="C1921" t="s">
        <v>1936</v>
      </c>
      <c r="D1921" t="s">
        <v>4182</v>
      </c>
      <c r="F1921">
        <v>406</v>
      </c>
      <c r="G1921">
        <v>65</v>
      </c>
      <c r="H1921" t="s">
        <v>662</v>
      </c>
      <c r="I1921" t="s">
        <v>2271</v>
      </c>
      <c r="J1921">
        <v>1423500</v>
      </c>
      <c r="K1921">
        <v>2025</v>
      </c>
      <c r="L1921">
        <v>1015186711</v>
      </c>
      <c r="M1921" t="s">
        <v>4280</v>
      </c>
      <c r="N1921" t="s">
        <v>1688</v>
      </c>
      <c r="O1921" t="s">
        <v>1686</v>
      </c>
      <c r="P1921">
        <v>0</v>
      </c>
      <c r="Q1921">
        <v>1423500</v>
      </c>
      <c r="R1921">
        <v>0</v>
      </c>
      <c r="S1921">
        <v>0</v>
      </c>
      <c r="T1921" t="str">
        <f t="shared" si="58"/>
        <v>14332.43.4302.85.0-205128.2.3.3.08.06.</v>
      </c>
      <c r="U1921" t="e" cm="1">
        <f t="array" aca="1" ref="U1921" ca="1">+IF(COMPROMISOS_2025[[#This Row],[P]]="20","41080111",_xlfn.XLOOKUP(COMPROMISOS_2025[[#This Row],[concatenado]],PAA[[#All],[RCP-RUBRO]],PAA[[#All],[INDICADOR]],"",0))</f>
        <v>#NAME?</v>
      </c>
      <c r="V1921" s="144" t="str">
        <f t="shared" si="59"/>
        <v>85</v>
      </c>
      <c r="W1921" s="136">
        <f>+COMPROMISOS_2025[[#This Row],[valor_total]]-COMPROMISOS_2025[[#This Row],[total_cancelado]]</f>
        <v>1423500</v>
      </c>
      <c r="X1921" s="136">
        <f>COMPROMISOS_2025[[#This Row],[total_ordenes]]</f>
        <v>1423500</v>
      </c>
      <c r="Y1921" t="str" cm="1">
        <f t="array" aca="1" ref="Y1921" ca="1">IFERROR(_xlfn.XLOOKUP(COMPROMISOS_2025[[#This Row],[concatenado]],PAA[[#All],[RCP-RUBRO]],PAA[[#All],[Actividad3]],VLOOKUP(COMPROMISOS_2025[[#This Row],[Indicador Principal]],$AC$2:$AD$17,2,0),0),"")</f>
        <v/>
      </c>
    </row>
    <row r="1922" spans="1:25" hidden="1" x14ac:dyDescent="0.25">
      <c r="A1922">
        <v>1434</v>
      </c>
      <c r="B1922" t="s">
        <v>2491</v>
      </c>
      <c r="C1922" t="s">
        <v>1936</v>
      </c>
      <c r="D1922" t="s">
        <v>4182</v>
      </c>
      <c r="F1922">
        <v>406</v>
      </c>
      <c r="G1922">
        <v>65</v>
      </c>
      <c r="H1922" t="s">
        <v>662</v>
      </c>
      <c r="I1922" t="s">
        <v>2271</v>
      </c>
      <c r="J1922">
        <v>1423500</v>
      </c>
      <c r="K1922">
        <v>2025</v>
      </c>
      <c r="L1922">
        <v>1017147233</v>
      </c>
      <c r="M1922" t="s">
        <v>4281</v>
      </c>
      <c r="N1922" t="s">
        <v>1688</v>
      </c>
      <c r="O1922" t="s">
        <v>1686</v>
      </c>
      <c r="P1922">
        <v>0</v>
      </c>
      <c r="Q1922">
        <v>1423500</v>
      </c>
      <c r="R1922">
        <v>0</v>
      </c>
      <c r="S1922">
        <v>0</v>
      </c>
      <c r="T1922" t="str">
        <f t="shared" ref="T1922:T1985" si="60">IF(A1922&gt;=0,CONCATENATE(A1922,H1922),"")</f>
        <v>14342.43.4302.85.0-205128.2.3.3.08.06.</v>
      </c>
      <c r="U1922" t="e" cm="1">
        <f t="array" aca="1" ref="U1922" ca="1">+IF(COMPROMISOS_2025[[#This Row],[P]]="20","41080111",_xlfn.XLOOKUP(COMPROMISOS_2025[[#This Row],[concatenado]],PAA[[#All],[RCP-RUBRO]],PAA[[#All],[INDICADOR]],"",0))</f>
        <v>#NAME?</v>
      </c>
      <c r="V1922" s="144" t="str">
        <f t="shared" ref="V1922:V1985" si="61">+MID(H1922,11,2)</f>
        <v>85</v>
      </c>
      <c r="W1922" s="136">
        <f>+COMPROMISOS_2025[[#This Row],[valor_total]]-COMPROMISOS_2025[[#This Row],[total_cancelado]]</f>
        <v>1423500</v>
      </c>
      <c r="X1922" s="136">
        <f>COMPROMISOS_2025[[#This Row],[total_ordenes]]</f>
        <v>1423500</v>
      </c>
      <c r="Y1922" t="str" cm="1">
        <f t="array" aca="1" ref="Y1922" ca="1">IFERROR(_xlfn.XLOOKUP(COMPROMISOS_2025[[#This Row],[concatenado]],PAA[[#All],[RCP-RUBRO]],PAA[[#All],[Actividad3]],VLOOKUP(COMPROMISOS_2025[[#This Row],[Indicador Principal]],$AC$2:$AD$17,2,0),0),"")</f>
        <v/>
      </c>
    </row>
    <row r="1923" spans="1:25" hidden="1" x14ac:dyDescent="0.25">
      <c r="A1923">
        <v>1435</v>
      </c>
      <c r="B1923" t="s">
        <v>2491</v>
      </c>
      <c r="C1923" t="s">
        <v>1936</v>
      </c>
      <c r="D1923" t="s">
        <v>4182</v>
      </c>
      <c r="F1923">
        <v>406</v>
      </c>
      <c r="G1923">
        <v>65</v>
      </c>
      <c r="H1923" t="s">
        <v>662</v>
      </c>
      <c r="I1923" t="s">
        <v>2271</v>
      </c>
      <c r="J1923">
        <v>1423500</v>
      </c>
      <c r="K1923">
        <v>2025</v>
      </c>
      <c r="L1923">
        <v>1017156382</v>
      </c>
      <c r="M1923" t="s">
        <v>4002</v>
      </c>
      <c r="N1923" t="s">
        <v>1688</v>
      </c>
      <c r="O1923" t="s">
        <v>1686</v>
      </c>
      <c r="P1923">
        <v>0</v>
      </c>
      <c r="Q1923">
        <v>1423500</v>
      </c>
      <c r="R1923">
        <v>0</v>
      </c>
      <c r="S1923">
        <v>0</v>
      </c>
      <c r="T1923" t="str">
        <f t="shared" si="60"/>
        <v>14352.43.4302.85.0-205128.2.3.3.08.06.</v>
      </c>
      <c r="U1923" t="e" cm="1">
        <f t="array" aca="1" ref="U1923" ca="1">+IF(COMPROMISOS_2025[[#This Row],[P]]="20","41080111",_xlfn.XLOOKUP(COMPROMISOS_2025[[#This Row],[concatenado]],PAA[[#All],[RCP-RUBRO]],PAA[[#All],[INDICADOR]],"",0))</f>
        <v>#NAME?</v>
      </c>
      <c r="V1923" s="144" t="str">
        <f t="shared" si="61"/>
        <v>85</v>
      </c>
      <c r="W1923" s="136">
        <f>+COMPROMISOS_2025[[#This Row],[valor_total]]-COMPROMISOS_2025[[#This Row],[total_cancelado]]</f>
        <v>1423500</v>
      </c>
      <c r="X1923" s="136">
        <f>COMPROMISOS_2025[[#This Row],[total_ordenes]]</f>
        <v>1423500</v>
      </c>
      <c r="Y1923" t="str" cm="1">
        <f t="array" aca="1" ref="Y1923" ca="1">IFERROR(_xlfn.XLOOKUP(COMPROMISOS_2025[[#This Row],[concatenado]],PAA[[#All],[RCP-RUBRO]],PAA[[#All],[Actividad3]],VLOOKUP(COMPROMISOS_2025[[#This Row],[Indicador Principal]],$AC$2:$AD$17,2,0),0),"")</f>
        <v/>
      </c>
    </row>
    <row r="1924" spans="1:25" hidden="1" x14ac:dyDescent="0.25">
      <c r="A1924">
        <v>1436</v>
      </c>
      <c r="B1924" t="s">
        <v>2491</v>
      </c>
      <c r="C1924" t="s">
        <v>1936</v>
      </c>
      <c r="D1924" t="s">
        <v>4182</v>
      </c>
      <c r="F1924">
        <v>406</v>
      </c>
      <c r="G1924">
        <v>65</v>
      </c>
      <c r="H1924" t="s">
        <v>662</v>
      </c>
      <c r="I1924" t="s">
        <v>2271</v>
      </c>
      <c r="J1924">
        <v>711750</v>
      </c>
      <c r="K1924">
        <v>2025</v>
      </c>
      <c r="L1924">
        <v>1017166609</v>
      </c>
      <c r="M1924" t="s">
        <v>4282</v>
      </c>
      <c r="N1924" t="s">
        <v>1688</v>
      </c>
      <c r="O1924" t="s">
        <v>1686</v>
      </c>
      <c r="P1924">
        <v>0</v>
      </c>
      <c r="Q1924">
        <v>711750</v>
      </c>
      <c r="R1924">
        <v>0</v>
      </c>
      <c r="S1924">
        <v>0</v>
      </c>
      <c r="T1924" t="str">
        <f t="shared" si="60"/>
        <v>14362.43.4302.85.0-205128.2.3.3.08.06.</v>
      </c>
      <c r="U1924" t="e" cm="1">
        <f t="array" aca="1" ref="U1924" ca="1">+IF(COMPROMISOS_2025[[#This Row],[P]]="20","41080111",_xlfn.XLOOKUP(COMPROMISOS_2025[[#This Row],[concatenado]],PAA[[#All],[RCP-RUBRO]],PAA[[#All],[INDICADOR]],"",0))</f>
        <v>#NAME?</v>
      </c>
      <c r="V1924" s="144" t="str">
        <f t="shared" si="61"/>
        <v>85</v>
      </c>
      <c r="W1924" s="136">
        <f>+COMPROMISOS_2025[[#This Row],[valor_total]]-COMPROMISOS_2025[[#This Row],[total_cancelado]]</f>
        <v>711750</v>
      </c>
      <c r="X1924" s="136">
        <f>COMPROMISOS_2025[[#This Row],[total_ordenes]]</f>
        <v>711750</v>
      </c>
      <c r="Y1924" t="str" cm="1">
        <f t="array" aca="1" ref="Y1924" ca="1">IFERROR(_xlfn.XLOOKUP(COMPROMISOS_2025[[#This Row],[concatenado]],PAA[[#All],[RCP-RUBRO]],PAA[[#All],[Actividad3]],VLOOKUP(COMPROMISOS_2025[[#This Row],[Indicador Principal]],$AC$2:$AD$17,2,0),0),"")</f>
        <v/>
      </c>
    </row>
    <row r="1925" spans="1:25" hidden="1" x14ac:dyDescent="0.25">
      <c r="A1925">
        <v>1437</v>
      </c>
      <c r="B1925" t="s">
        <v>2491</v>
      </c>
      <c r="C1925" t="s">
        <v>1936</v>
      </c>
      <c r="D1925" t="s">
        <v>4182</v>
      </c>
      <c r="F1925">
        <v>406</v>
      </c>
      <c r="G1925">
        <v>65</v>
      </c>
      <c r="H1925" t="s">
        <v>662</v>
      </c>
      <c r="I1925" t="s">
        <v>2271</v>
      </c>
      <c r="J1925">
        <v>1067625</v>
      </c>
      <c r="K1925">
        <v>2025</v>
      </c>
      <c r="L1925">
        <v>1017172176</v>
      </c>
      <c r="M1925" t="s">
        <v>4283</v>
      </c>
      <c r="N1925" t="s">
        <v>1688</v>
      </c>
      <c r="O1925" t="s">
        <v>1686</v>
      </c>
      <c r="P1925">
        <v>0</v>
      </c>
      <c r="Q1925">
        <v>1067625</v>
      </c>
      <c r="R1925">
        <v>0</v>
      </c>
      <c r="S1925">
        <v>0</v>
      </c>
      <c r="T1925" t="str">
        <f t="shared" si="60"/>
        <v>14372.43.4302.85.0-205128.2.3.3.08.06.</v>
      </c>
      <c r="U1925" t="e" cm="1">
        <f t="array" aca="1" ref="U1925" ca="1">+IF(COMPROMISOS_2025[[#This Row],[P]]="20","41080111",_xlfn.XLOOKUP(COMPROMISOS_2025[[#This Row],[concatenado]],PAA[[#All],[RCP-RUBRO]],PAA[[#All],[INDICADOR]],"",0))</f>
        <v>#NAME?</v>
      </c>
      <c r="V1925" s="144" t="str">
        <f t="shared" si="61"/>
        <v>85</v>
      </c>
      <c r="W1925" s="136">
        <f>+COMPROMISOS_2025[[#This Row],[valor_total]]-COMPROMISOS_2025[[#This Row],[total_cancelado]]</f>
        <v>1067625</v>
      </c>
      <c r="X1925" s="136">
        <f>COMPROMISOS_2025[[#This Row],[total_ordenes]]</f>
        <v>1067625</v>
      </c>
      <c r="Y1925" t="str" cm="1">
        <f t="array" aca="1" ref="Y1925" ca="1">IFERROR(_xlfn.XLOOKUP(COMPROMISOS_2025[[#This Row],[concatenado]],PAA[[#All],[RCP-RUBRO]],PAA[[#All],[Actividad3]],VLOOKUP(COMPROMISOS_2025[[#This Row],[Indicador Principal]],$AC$2:$AD$17,2,0),0),"")</f>
        <v/>
      </c>
    </row>
    <row r="1926" spans="1:25" hidden="1" x14ac:dyDescent="0.25">
      <c r="A1926">
        <v>1438</v>
      </c>
      <c r="B1926" t="s">
        <v>2491</v>
      </c>
      <c r="C1926" t="s">
        <v>1936</v>
      </c>
      <c r="D1926" t="s">
        <v>4182</v>
      </c>
      <c r="F1926">
        <v>406</v>
      </c>
      <c r="G1926">
        <v>65</v>
      </c>
      <c r="H1926" t="s">
        <v>662</v>
      </c>
      <c r="I1926" t="s">
        <v>2271</v>
      </c>
      <c r="J1926">
        <v>2847000</v>
      </c>
      <c r="K1926">
        <v>2025</v>
      </c>
      <c r="L1926">
        <v>1017176363</v>
      </c>
      <c r="M1926" t="s">
        <v>3637</v>
      </c>
      <c r="N1926" t="s">
        <v>1688</v>
      </c>
      <c r="O1926" t="s">
        <v>1686</v>
      </c>
      <c r="P1926">
        <v>0</v>
      </c>
      <c r="Q1926">
        <v>2847000</v>
      </c>
      <c r="R1926">
        <v>0</v>
      </c>
      <c r="S1926">
        <v>0</v>
      </c>
      <c r="T1926" t="str">
        <f t="shared" si="60"/>
        <v>14382.43.4302.85.0-205128.2.3.3.08.06.</v>
      </c>
      <c r="U1926" t="e" cm="1">
        <f t="array" aca="1" ref="U1926" ca="1">+IF(COMPROMISOS_2025[[#This Row],[P]]="20","41080111",_xlfn.XLOOKUP(COMPROMISOS_2025[[#This Row],[concatenado]],PAA[[#All],[RCP-RUBRO]],PAA[[#All],[INDICADOR]],"",0))</f>
        <v>#NAME?</v>
      </c>
      <c r="V1926" s="144" t="str">
        <f t="shared" si="61"/>
        <v>85</v>
      </c>
      <c r="W1926" s="136">
        <f>+COMPROMISOS_2025[[#This Row],[valor_total]]-COMPROMISOS_2025[[#This Row],[total_cancelado]]</f>
        <v>2847000</v>
      </c>
      <c r="X1926" s="136">
        <f>COMPROMISOS_2025[[#This Row],[total_ordenes]]</f>
        <v>2847000</v>
      </c>
      <c r="Y1926" t="str" cm="1">
        <f t="array" aca="1" ref="Y1926" ca="1">IFERROR(_xlfn.XLOOKUP(COMPROMISOS_2025[[#This Row],[concatenado]],PAA[[#All],[RCP-RUBRO]],PAA[[#All],[Actividad3]],VLOOKUP(COMPROMISOS_2025[[#This Row],[Indicador Principal]],$AC$2:$AD$17,2,0),0),"")</f>
        <v/>
      </c>
    </row>
    <row r="1927" spans="1:25" hidden="1" x14ac:dyDescent="0.25">
      <c r="A1927">
        <v>1439</v>
      </c>
      <c r="B1927" t="s">
        <v>2491</v>
      </c>
      <c r="C1927" t="s">
        <v>1936</v>
      </c>
      <c r="D1927" t="s">
        <v>4182</v>
      </c>
      <c r="F1927">
        <v>406</v>
      </c>
      <c r="G1927">
        <v>65</v>
      </c>
      <c r="H1927" t="s">
        <v>662</v>
      </c>
      <c r="I1927" t="s">
        <v>2271</v>
      </c>
      <c r="J1927">
        <v>1423500</v>
      </c>
      <c r="K1927">
        <v>2025</v>
      </c>
      <c r="L1927">
        <v>1017190005</v>
      </c>
      <c r="M1927" t="s">
        <v>4284</v>
      </c>
      <c r="N1927" t="s">
        <v>1688</v>
      </c>
      <c r="O1927" t="s">
        <v>1686</v>
      </c>
      <c r="P1927">
        <v>0</v>
      </c>
      <c r="Q1927">
        <v>1423500</v>
      </c>
      <c r="R1927">
        <v>0</v>
      </c>
      <c r="S1927">
        <v>0</v>
      </c>
      <c r="T1927" t="str">
        <f t="shared" si="60"/>
        <v>14392.43.4302.85.0-205128.2.3.3.08.06.</v>
      </c>
      <c r="U1927" t="e" cm="1">
        <f t="array" aca="1" ref="U1927" ca="1">+IF(COMPROMISOS_2025[[#This Row],[P]]="20","41080111",_xlfn.XLOOKUP(COMPROMISOS_2025[[#This Row],[concatenado]],PAA[[#All],[RCP-RUBRO]],PAA[[#All],[INDICADOR]],"",0))</f>
        <v>#NAME?</v>
      </c>
      <c r="V1927" s="144" t="str">
        <f t="shared" si="61"/>
        <v>85</v>
      </c>
      <c r="W1927" s="136">
        <f>+COMPROMISOS_2025[[#This Row],[valor_total]]-COMPROMISOS_2025[[#This Row],[total_cancelado]]</f>
        <v>1423500</v>
      </c>
      <c r="X1927" s="136">
        <f>COMPROMISOS_2025[[#This Row],[total_ordenes]]</f>
        <v>1423500</v>
      </c>
      <c r="Y1927" t="str" cm="1">
        <f t="array" aca="1" ref="Y1927" ca="1">IFERROR(_xlfn.XLOOKUP(COMPROMISOS_2025[[#This Row],[concatenado]],PAA[[#All],[RCP-RUBRO]],PAA[[#All],[Actividad3]],VLOOKUP(COMPROMISOS_2025[[#This Row],[Indicador Principal]],$AC$2:$AD$17,2,0),0),"")</f>
        <v/>
      </c>
    </row>
    <row r="1928" spans="1:25" hidden="1" x14ac:dyDescent="0.25">
      <c r="A1928">
        <v>1440</v>
      </c>
      <c r="B1928" t="s">
        <v>2491</v>
      </c>
      <c r="C1928" t="s">
        <v>1936</v>
      </c>
      <c r="D1928" t="s">
        <v>4182</v>
      </c>
      <c r="F1928">
        <v>406</v>
      </c>
      <c r="G1928">
        <v>65</v>
      </c>
      <c r="H1928" t="s">
        <v>662</v>
      </c>
      <c r="I1928" t="s">
        <v>2271</v>
      </c>
      <c r="J1928">
        <v>1423500</v>
      </c>
      <c r="K1928">
        <v>2025</v>
      </c>
      <c r="L1928">
        <v>1017192877</v>
      </c>
      <c r="M1928" t="s">
        <v>4285</v>
      </c>
      <c r="N1928" t="s">
        <v>1688</v>
      </c>
      <c r="O1928" t="s">
        <v>1686</v>
      </c>
      <c r="P1928">
        <v>0</v>
      </c>
      <c r="Q1928">
        <v>1423500</v>
      </c>
      <c r="R1928">
        <v>0</v>
      </c>
      <c r="S1928">
        <v>0</v>
      </c>
      <c r="T1928" t="str">
        <f t="shared" si="60"/>
        <v>14402.43.4302.85.0-205128.2.3.3.08.06.</v>
      </c>
      <c r="U1928" t="e" cm="1">
        <f t="array" aca="1" ref="U1928" ca="1">+IF(COMPROMISOS_2025[[#This Row],[P]]="20","41080111",_xlfn.XLOOKUP(COMPROMISOS_2025[[#This Row],[concatenado]],PAA[[#All],[RCP-RUBRO]],PAA[[#All],[INDICADOR]],"",0))</f>
        <v>#NAME?</v>
      </c>
      <c r="V1928" s="144" t="str">
        <f t="shared" si="61"/>
        <v>85</v>
      </c>
      <c r="W1928" s="136">
        <f>+COMPROMISOS_2025[[#This Row],[valor_total]]-COMPROMISOS_2025[[#This Row],[total_cancelado]]</f>
        <v>1423500</v>
      </c>
      <c r="X1928" s="136">
        <f>COMPROMISOS_2025[[#This Row],[total_ordenes]]</f>
        <v>1423500</v>
      </c>
      <c r="Y1928" t="str" cm="1">
        <f t="array" aca="1" ref="Y1928" ca="1">IFERROR(_xlfn.XLOOKUP(COMPROMISOS_2025[[#This Row],[concatenado]],PAA[[#All],[RCP-RUBRO]],PAA[[#All],[Actividad3]],VLOOKUP(COMPROMISOS_2025[[#This Row],[Indicador Principal]],$AC$2:$AD$17,2,0),0),"")</f>
        <v/>
      </c>
    </row>
    <row r="1929" spans="1:25" hidden="1" x14ac:dyDescent="0.25">
      <c r="A1929">
        <v>1441</v>
      </c>
      <c r="B1929" t="s">
        <v>2491</v>
      </c>
      <c r="C1929" t="s">
        <v>1936</v>
      </c>
      <c r="D1929" t="s">
        <v>4182</v>
      </c>
      <c r="F1929">
        <v>406</v>
      </c>
      <c r="G1929">
        <v>65</v>
      </c>
      <c r="H1929" t="s">
        <v>662</v>
      </c>
      <c r="I1929" t="s">
        <v>2271</v>
      </c>
      <c r="J1929">
        <v>711750</v>
      </c>
      <c r="K1929">
        <v>2025</v>
      </c>
      <c r="L1929">
        <v>1017206217</v>
      </c>
      <c r="M1929" t="s">
        <v>4286</v>
      </c>
      <c r="N1929" t="s">
        <v>1688</v>
      </c>
      <c r="O1929" t="s">
        <v>1686</v>
      </c>
      <c r="P1929">
        <v>0</v>
      </c>
      <c r="Q1929">
        <v>711750</v>
      </c>
      <c r="R1929">
        <v>0</v>
      </c>
      <c r="S1929">
        <v>0</v>
      </c>
      <c r="T1929" t="str">
        <f t="shared" si="60"/>
        <v>14412.43.4302.85.0-205128.2.3.3.08.06.</v>
      </c>
      <c r="U1929" t="e" cm="1">
        <f t="array" aca="1" ref="U1929" ca="1">+IF(COMPROMISOS_2025[[#This Row],[P]]="20","41080111",_xlfn.XLOOKUP(COMPROMISOS_2025[[#This Row],[concatenado]],PAA[[#All],[RCP-RUBRO]],PAA[[#All],[INDICADOR]],"",0))</f>
        <v>#NAME?</v>
      </c>
      <c r="V1929" s="144" t="str">
        <f t="shared" si="61"/>
        <v>85</v>
      </c>
      <c r="W1929" s="136">
        <f>+COMPROMISOS_2025[[#This Row],[valor_total]]-COMPROMISOS_2025[[#This Row],[total_cancelado]]</f>
        <v>711750</v>
      </c>
      <c r="X1929" s="136">
        <f>COMPROMISOS_2025[[#This Row],[total_ordenes]]</f>
        <v>711750</v>
      </c>
      <c r="Y1929" t="str" cm="1">
        <f t="array" aca="1" ref="Y1929" ca="1">IFERROR(_xlfn.XLOOKUP(COMPROMISOS_2025[[#This Row],[concatenado]],PAA[[#All],[RCP-RUBRO]],PAA[[#All],[Actividad3]],VLOOKUP(COMPROMISOS_2025[[#This Row],[Indicador Principal]],$AC$2:$AD$17,2,0),0),"")</f>
        <v/>
      </c>
    </row>
    <row r="1930" spans="1:25" hidden="1" x14ac:dyDescent="0.25">
      <c r="A1930">
        <v>1442</v>
      </c>
      <c r="B1930" t="s">
        <v>2491</v>
      </c>
      <c r="C1930" t="s">
        <v>1936</v>
      </c>
      <c r="D1930" t="s">
        <v>4182</v>
      </c>
      <c r="F1930">
        <v>406</v>
      </c>
      <c r="G1930">
        <v>65</v>
      </c>
      <c r="H1930" t="s">
        <v>662</v>
      </c>
      <c r="I1930" t="s">
        <v>2271</v>
      </c>
      <c r="J1930">
        <v>711750</v>
      </c>
      <c r="K1930">
        <v>2025</v>
      </c>
      <c r="L1930">
        <v>1017207708</v>
      </c>
      <c r="M1930" t="s">
        <v>4287</v>
      </c>
      <c r="N1930" t="s">
        <v>1688</v>
      </c>
      <c r="O1930" t="s">
        <v>1686</v>
      </c>
      <c r="P1930">
        <v>0</v>
      </c>
      <c r="Q1930">
        <v>711750</v>
      </c>
      <c r="R1930">
        <v>0</v>
      </c>
      <c r="S1930">
        <v>0</v>
      </c>
      <c r="T1930" t="str">
        <f t="shared" si="60"/>
        <v>14422.43.4302.85.0-205128.2.3.3.08.06.</v>
      </c>
      <c r="U1930" t="e" cm="1">
        <f t="array" aca="1" ref="U1930" ca="1">+IF(COMPROMISOS_2025[[#This Row],[P]]="20","41080111",_xlfn.XLOOKUP(COMPROMISOS_2025[[#This Row],[concatenado]],PAA[[#All],[RCP-RUBRO]],PAA[[#All],[INDICADOR]],"",0))</f>
        <v>#NAME?</v>
      </c>
      <c r="V1930" s="144" t="str">
        <f t="shared" si="61"/>
        <v>85</v>
      </c>
      <c r="W1930" s="136">
        <f>+COMPROMISOS_2025[[#This Row],[valor_total]]-COMPROMISOS_2025[[#This Row],[total_cancelado]]</f>
        <v>711750</v>
      </c>
      <c r="X1930" s="136">
        <f>COMPROMISOS_2025[[#This Row],[total_ordenes]]</f>
        <v>711750</v>
      </c>
      <c r="Y1930" t="str" cm="1">
        <f t="array" aca="1" ref="Y1930" ca="1">IFERROR(_xlfn.XLOOKUP(COMPROMISOS_2025[[#This Row],[concatenado]],PAA[[#All],[RCP-RUBRO]],PAA[[#All],[Actividad3]],VLOOKUP(COMPROMISOS_2025[[#This Row],[Indicador Principal]],$AC$2:$AD$17,2,0),0),"")</f>
        <v/>
      </c>
    </row>
    <row r="1931" spans="1:25" hidden="1" x14ac:dyDescent="0.25">
      <c r="A1931">
        <v>1443</v>
      </c>
      <c r="B1931" t="s">
        <v>2491</v>
      </c>
      <c r="C1931" t="s">
        <v>1936</v>
      </c>
      <c r="D1931" t="s">
        <v>4182</v>
      </c>
      <c r="F1931">
        <v>406</v>
      </c>
      <c r="G1931">
        <v>65</v>
      </c>
      <c r="H1931" t="s">
        <v>662</v>
      </c>
      <c r="I1931" t="s">
        <v>2271</v>
      </c>
      <c r="J1931">
        <v>1423500</v>
      </c>
      <c r="K1931">
        <v>2025</v>
      </c>
      <c r="L1931">
        <v>1017217982</v>
      </c>
      <c r="M1931" t="s">
        <v>3638</v>
      </c>
      <c r="N1931" t="s">
        <v>1688</v>
      </c>
      <c r="O1931" t="s">
        <v>1686</v>
      </c>
      <c r="P1931">
        <v>0</v>
      </c>
      <c r="Q1931">
        <v>1423500</v>
      </c>
      <c r="R1931">
        <v>0</v>
      </c>
      <c r="S1931">
        <v>0</v>
      </c>
      <c r="T1931" t="str">
        <f t="shared" si="60"/>
        <v>14432.43.4302.85.0-205128.2.3.3.08.06.</v>
      </c>
      <c r="U1931" t="e" cm="1">
        <f t="array" aca="1" ref="U1931" ca="1">+IF(COMPROMISOS_2025[[#This Row],[P]]="20","41080111",_xlfn.XLOOKUP(COMPROMISOS_2025[[#This Row],[concatenado]],PAA[[#All],[RCP-RUBRO]],PAA[[#All],[INDICADOR]],"",0))</f>
        <v>#NAME?</v>
      </c>
      <c r="V1931" s="144" t="str">
        <f t="shared" si="61"/>
        <v>85</v>
      </c>
      <c r="W1931" s="136">
        <f>+COMPROMISOS_2025[[#This Row],[valor_total]]-COMPROMISOS_2025[[#This Row],[total_cancelado]]</f>
        <v>1423500</v>
      </c>
      <c r="X1931" s="136">
        <f>COMPROMISOS_2025[[#This Row],[total_ordenes]]</f>
        <v>1423500</v>
      </c>
      <c r="Y1931" t="str" cm="1">
        <f t="array" aca="1" ref="Y1931" ca="1">IFERROR(_xlfn.XLOOKUP(COMPROMISOS_2025[[#This Row],[concatenado]],PAA[[#All],[RCP-RUBRO]],PAA[[#All],[Actividad3]],VLOOKUP(COMPROMISOS_2025[[#This Row],[Indicador Principal]],$AC$2:$AD$17,2,0),0),"")</f>
        <v/>
      </c>
    </row>
    <row r="1932" spans="1:25" hidden="1" x14ac:dyDescent="0.25">
      <c r="A1932">
        <v>1444</v>
      </c>
      <c r="B1932" t="s">
        <v>2491</v>
      </c>
      <c r="C1932" t="s">
        <v>1936</v>
      </c>
      <c r="D1932" t="s">
        <v>4182</v>
      </c>
      <c r="F1932">
        <v>406</v>
      </c>
      <c r="G1932">
        <v>65</v>
      </c>
      <c r="H1932" t="s">
        <v>662</v>
      </c>
      <c r="I1932" t="s">
        <v>2271</v>
      </c>
      <c r="J1932">
        <v>1423500</v>
      </c>
      <c r="K1932">
        <v>2025</v>
      </c>
      <c r="L1932">
        <v>1017220010</v>
      </c>
      <c r="M1932" t="s">
        <v>3639</v>
      </c>
      <c r="N1932" t="s">
        <v>1688</v>
      </c>
      <c r="O1932" t="s">
        <v>1686</v>
      </c>
      <c r="P1932">
        <v>0</v>
      </c>
      <c r="Q1932">
        <v>1423500</v>
      </c>
      <c r="R1932">
        <v>0</v>
      </c>
      <c r="S1932">
        <v>0</v>
      </c>
      <c r="T1932" t="str">
        <f t="shared" si="60"/>
        <v>14442.43.4302.85.0-205128.2.3.3.08.06.</v>
      </c>
      <c r="U1932" t="e" cm="1">
        <f t="array" aca="1" ref="U1932" ca="1">+IF(COMPROMISOS_2025[[#This Row],[P]]="20","41080111",_xlfn.XLOOKUP(COMPROMISOS_2025[[#This Row],[concatenado]],PAA[[#All],[RCP-RUBRO]],PAA[[#All],[INDICADOR]],"",0))</f>
        <v>#NAME?</v>
      </c>
      <c r="V1932" s="144" t="str">
        <f t="shared" si="61"/>
        <v>85</v>
      </c>
      <c r="W1932" s="136">
        <f>+COMPROMISOS_2025[[#This Row],[valor_total]]-COMPROMISOS_2025[[#This Row],[total_cancelado]]</f>
        <v>1423500</v>
      </c>
      <c r="X1932" s="136">
        <f>COMPROMISOS_2025[[#This Row],[total_ordenes]]</f>
        <v>1423500</v>
      </c>
      <c r="Y1932" t="str" cm="1">
        <f t="array" aca="1" ref="Y1932" ca="1">IFERROR(_xlfn.XLOOKUP(COMPROMISOS_2025[[#This Row],[concatenado]],PAA[[#All],[RCP-RUBRO]],PAA[[#All],[Actividad3]],VLOOKUP(COMPROMISOS_2025[[#This Row],[Indicador Principal]],$AC$2:$AD$17,2,0),0),"")</f>
        <v/>
      </c>
    </row>
    <row r="1933" spans="1:25" hidden="1" x14ac:dyDescent="0.25">
      <c r="A1933">
        <v>1445</v>
      </c>
      <c r="B1933" t="s">
        <v>2491</v>
      </c>
      <c r="C1933" t="s">
        <v>1936</v>
      </c>
      <c r="D1933" t="s">
        <v>4182</v>
      </c>
      <c r="F1933">
        <v>406</v>
      </c>
      <c r="G1933">
        <v>65</v>
      </c>
      <c r="H1933" t="s">
        <v>662</v>
      </c>
      <c r="I1933" t="s">
        <v>2271</v>
      </c>
      <c r="J1933">
        <v>2847000</v>
      </c>
      <c r="K1933">
        <v>2025</v>
      </c>
      <c r="L1933">
        <v>1017224075</v>
      </c>
      <c r="M1933" t="s">
        <v>4288</v>
      </c>
      <c r="N1933" t="s">
        <v>1688</v>
      </c>
      <c r="O1933" t="s">
        <v>1686</v>
      </c>
      <c r="P1933">
        <v>0</v>
      </c>
      <c r="Q1933">
        <v>2847000</v>
      </c>
      <c r="R1933">
        <v>0</v>
      </c>
      <c r="S1933">
        <v>0</v>
      </c>
      <c r="T1933" t="str">
        <f t="shared" si="60"/>
        <v>14452.43.4302.85.0-205128.2.3.3.08.06.</v>
      </c>
      <c r="U1933" t="e" cm="1">
        <f t="array" aca="1" ref="U1933" ca="1">+IF(COMPROMISOS_2025[[#This Row],[P]]="20","41080111",_xlfn.XLOOKUP(COMPROMISOS_2025[[#This Row],[concatenado]],PAA[[#All],[RCP-RUBRO]],PAA[[#All],[INDICADOR]],"",0))</f>
        <v>#NAME?</v>
      </c>
      <c r="V1933" s="144" t="str">
        <f t="shared" si="61"/>
        <v>85</v>
      </c>
      <c r="W1933" s="136">
        <f>+COMPROMISOS_2025[[#This Row],[valor_total]]-COMPROMISOS_2025[[#This Row],[total_cancelado]]</f>
        <v>2847000</v>
      </c>
      <c r="X1933" s="136">
        <f>COMPROMISOS_2025[[#This Row],[total_ordenes]]</f>
        <v>2847000</v>
      </c>
      <c r="Y1933" t="str" cm="1">
        <f t="array" aca="1" ref="Y1933" ca="1">IFERROR(_xlfn.XLOOKUP(COMPROMISOS_2025[[#This Row],[concatenado]],PAA[[#All],[RCP-RUBRO]],PAA[[#All],[Actividad3]],VLOOKUP(COMPROMISOS_2025[[#This Row],[Indicador Principal]],$AC$2:$AD$17,2,0),0),"")</f>
        <v/>
      </c>
    </row>
    <row r="1934" spans="1:25" hidden="1" x14ac:dyDescent="0.25">
      <c r="A1934">
        <v>1446</v>
      </c>
      <c r="B1934" t="s">
        <v>2491</v>
      </c>
      <c r="C1934" t="s">
        <v>1936</v>
      </c>
      <c r="D1934" t="s">
        <v>4182</v>
      </c>
      <c r="F1934">
        <v>406</v>
      </c>
      <c r="G1934">
        <v>65</v>
      </c>
      <c r="H1934" t="s">
        <v>662</v>
      </c>
      <c r="I1934" t="s">
        <v>2271</v>
      </c>
      <c r="J1934">
        <v>711750</v>
      </c>
      <c r="K1934">
        <v>2025</v>
      </c>
      <c r="L1934">
        <v>1017227707</v>
      </c>
      <c r="M1934" t="s">
        <v>3640</v>
      </c>
      <c r="N1934" t="s">
        <v>1688</v>
      </c>
      <c r="O1934" t="s">
        <v>1686</v>
      </c>
      <c r="P1934">
        <v>0</v>
      </c>
      <c r="Q1934">
        <v>711750</v>
      </c>
      <c r="R1934">
        <v>0</v>
      </c>
      <c r="S1934">
        <v>0</v>
      </c>
      <c r="T1934" t="str">
        <f t="shared" si="60"/>
        <v>14462.43.4302.85.0-205128.2.3.3.08.06.</v>
      </c>
      <c r="U1934" t="e" cm="1">
        <f t="array" aca="1" ref="U1934" ca="1">+IF(COMPROMISOS_2025[[#This Row],[P]]="20","41080111",_xlfn.XLOOKUP(COMPROMISOS_2025[[#This Row],[concatenado]],PAA[[#All],[RCP-RUBRO]],PAA[[#All],[INDICADOR]],"",0))</f>
        <v>#NAME?</v>
      </c>
      <c r="V1934" s="144" t="str">
        <f t="shared" si="61"/>
        <v>85</v>
      </c>
      <c r="W1934" s="136">
        <f>+COMPROMISOS_2025[[#This Row],[valor_total]]-COMPROMISOS_2025[[#This Row],[total_cancelado]]</f>
        <v>711750</v>
      </c>
      <c r="X1934" s="136">
        <f>COMPROMISOS_2025[[#This Row],[total_ordenes]]</f>
        <v>711750</v>
      </c>
      <c r="Y1934" t="str" cm="1">
        <f t="array" aca="1" ref="Y1934" ca="1">IFERROR(_xlfn.XLOOKUP(COMPROMISOS_2025[[#This Row],[concatenado]],PAA[[#All],[RCP-RUBRO]],PAA[[#All],[Actividad3]],VLOOKUP(COMPROMISOS_2025[[#This Row],[Indicador Principal]],$AC$2:$AD$17,2,0),0),"")</f>
        <v/>
      </c>
    </row>
    <row r="1935" spans="1:25" hidden="1" x14ac:dyDescent="0.25">
      <c r="A1935">
        <v>1447</v>
      </c>
      <c r="B1935" t="s">
        <v>2491</v>
      </c>
      <c r="C1935" t="s">
        <v>1936</v>
      </c>
      <c r="D1935" t="s">
        <v>4182</v>
      </c>
      <c r="F1935">
        <v>406</v>
      </c>
      <c r="G1935">
        <v>65</v>
      </c>
      <c r="H1935" t="s">
        <v>662</v>
      </c>
      <c r="I1935" t="s">
        <v>2271</v>
      </c>
      <c r="J1935">
        <v>711750</v>
      </c>
      <c r="K1935">
        <v>2025</v>
      </c>
      <c r="L1935">
        <v>10172313363</v>
      </c>
      <c r="M1935" t="s">
        <v>4289</v>
      </c>
      <c r="N1935" t="s">
        <v>1688</v>
      </c>
      <c r="O1935" t="s">
        <v>1686</v>
      </c>
      <c r="P1935">
        <v>0</v>
      </c>
      <c r="Q1935">
        <v>711750</v>
      </c>
      <c r="R1935">
        <v>0</v>
      </c>
      <c r="S1935">
        <v>0</v>
      </c>
      <c r="T1935" t="str">
        <f t="shared" si="60"/>
        <v>14472.43.4302.85.0-205128.2.3.3.08.06.</v>
      </c>
      <c r="U1935" t="e" cm="1">
        <f t="array" aca="1" ref="U1935" ca="1">+IF(COMPROMISOS_2025[[#This Row],[P]]="20","41080111",_xlfn.XLOOKUP(COMPROMISOS_2025[[#This Row],[concatenado]],PAA[[#All],[RCP-RUBRO]],PAA[[#All],[INDICADOR]],"",0))</f>
        <v>#NAME?</v>
      </c>
      <c r="V1935" s="144" t="str">
        <f t="shared" si="61"/>
        <v>85</v>
      </c>
      <c r="W1935" s="136">
        <f>+COMPROMISOS_2025[[#This Row],[valor_total]]-COMPROMISOS_2025[[#This Row],[total_cancelado]]</f>
        <v>711750</v>
      </c>
      <c r="X1935" s="136">
        <f>COMPROMISOS_2025[[#This Row],[total_ordenes]]</f>
        <v>711750</v>
      </c>
      <c r="Y1935" t="str" cm="1">
        <f t="array" aca="1" ref="Y1935" ca="1">IFERROR(_xlfn.XLOOKUP(COMPROMISOS_2025[[#This Row],[concatenado]],PAA[[#All],[RCP-RUBRO]],PAA[[#All],[Actividad3]],VLOOKUP(COMPROMISOS_2025[[#This Row],[Indicador Principal]],$AC$2:$AD$17,2,0),0),"")</f>
        <v/>
      </c>
    </row>
    <row r="1936" spans="1:25" hidden="1" x14ac:dyDescent="0.25">
      <c r="A1936">
        <v>1448</v>
      </c>
      <c r="B1936" t="s">
        <v>2491</v>
      </c>
      <c r="C1936" t="s">
        <v>1936</v>
      </c>
      <c r="D1936" t="s">
        <v>4182</v>
      </c>
      <c r="F1936">
        <v>406</v>
      </c>
      <c r="G1936">
        <v>65</v>
      </c>
      <c r="H1936" t="s">
        <v>662</v>
      </c>
      <c r="I1936" t="s">
        <v>2271</v>
      </c>
      <c r="J1936">
        <v>711750</v>
      </c>
      <c r="K1936">
        <v>2025</v>
      </c>
      <c r="L1936">
        <v>1017234088</v>
      </c>
      <c r="M1936" t="s">
        <v>4006</v>
      </c>
      <c r="N1936" t="s">
        <v>1688</v>
      </c>
      <c r="O1936" t="s">
        <v>1686</v>
      </c>
      <c r="P1936">
        <v>0</v>
      </c>
      <c r="Q1936">
        <v>711750</v>
      </c>
      <c r="R1936">
        <v>0</v>
      </c>
      <c r="S1936">
        <v>0</v>
      </c>
      <c r="T1936" t="str">
        <f t="shared" si="60"/>
        <v>14482.43.4302.85.0-205128.2.3.3.08.06.</v>
      </c>
      <c r="U1936" t="e" cm="1">
        <f t="array" aca="1" ref="U1936" ca="1">+IF(COMPROMISOS_2025[[#This Row],[P]]="20","41080111",_xlfn.XLOOKUP(COMPROMISOS_2025[[#This Row],[concatenado]],PAA[[#All],[RCP-RUBRO]],PAA[[#All],[INDICADOR]],"",0))</f>
        <v>#NAME?</v>
      </c>
      <c r="V1936" s="144" t="str">
        <f t="shared" si="61"/>
        <v>85</v>
      </c>
      <c r="W1936" s="136">
        <f>+COMPROMISOS_2025[[#This Row],[valor_total]]-COMPROMISOS_2025[[#This Row],[total_cancelado]]</f>
        <v>711750</v>
      </c>
      <c r="X1936" s="136">
        <f>COMPROMISOS_2025[[#This Row],[total_ordenes]]</f>
        <v>711750</v>
      </c>
      <c r="Y1936" t="str" cm="1">
        <f t="array" aca="1" ref="Y1936" ca="1">IFERROR(_xlfn.XLOOKUP(COMPROMISOS_2025[[#This Row],[concatenado]],PAA[[#All],[RCP-RUBRO]],PAA[[#All],[Actividad3]],VLOOKUP(COMPROMISOS_2025[[#This Row],[Indicador Principal]],$AC$2:$AD$17,2,0),0),"")</f>
        <v/>
      </c>
    </row>
    <row r="1937" spans="1:25" hidden="1" x14ac:dyDescent="0.25">
      <c r="A1937">
        <v>1449</v>
      </c>
      <c r="B1937" t="s">
        <v>2491</v>
      </c>
      <c r="C1937" t="s">
        <v>1936</v>
      </c>
      <c r="D1937" t="s">
        <v>4182</v>
      </c>
      <c r="F1937">
        <v>406</v>
      </c>
      <c r="G1937">
        <v>65</v>
      </c>
      <c r="H1937" t="s">
        <v>662</v>
      </c>
      <c r="I1937" t="s">
        <v>2271</v>
      </c>
      <c r="J1937">
        <v>1423500</v>
      </c>
      <c r="K1937">
        <v>2025</v>
      </c>
      <c r="L1937">
        <v>1017235896</v>
      </c>
      <c r="M1937" t="s">
        <v>3641</v>
      </c>
      <c r="N1937" t="s">
        <v>1688</v>
      </c>
      <c r="O1937" t="s">
        <v>1686</v>
      </c>
      <c r="P1937">
        <v>0</v>
      </c>
      <c r="Q1937">
        <v>1423500</v>
      </c>
      <c r="R1937">
        <v>0</v>
      </c>
      <c r="S1937">
        <v>0</v>
      </c>
      <c r="T1937" t="str">
        <f t="shared" si="60"/>
        <v>14492.43.4302.85.0-205128.2.3.3.08.06.</v>
      </c>
      <c r="U1937" t="e" cm="1">
        <f t="array" aca="1" ref="U1937" ca="1">+IF(COMPROMISOS_2025[[#This Row],[P]]="20","41080111",_xlfn.XLOOKUP(COMPROMISOS_2025[[#This Row],[concatenado]],PAA[[#All],[RCP-RUBRO]],PAA[[#All],[INDICADOR]],"",0))</f>
        <v>#NAME?</v>
      </c>
      <c r="V1937" s="144" t="str">
        <f t="shared" si="61"/>
        <v>85</v>
      </c>
      <c r="W1937" s="136">
        <f>+COMPROMISOS_2025[[#This Row],[valor_total]]-COMPROMISOS_2025[[#This Row],[total_cancelado]]</f>
        <v>1423500</v>
      </c>
      <c r="X1937" s="136">
        <f>COMPROMISOS_2025[[#This Row],[total_ordenes]]</f>
        <v>1423500</v>
      </c>
      <c r="Y1937" t="str" cm="1">
        <f t="array" aca="1" ref="Y1937" ca="1">IFERROR(_xlfn.XLOOKUP(COMPROMISOS_2025[[#This Row],[concatenado]],PAA[[#All],[RCP-RUBRO]],PAA[[#All],[Actividad3]],VLOOKUP(COMPROMISOS_2025[[#This Row],[Indicador Principal]],$AC$2:$AD$17,2,0),0),"")</f>
        <v/>
      </c>
    </row>
    <row r="1938" spans="1:25" hidden="1" x14ac:dyDescent="0.25">
      <c r="A1938">
        <v>1450</v>
      </c>
      <c r="B1938" t="s">
        <v>2491</v>
      </c>
      <c r="C1938" t="s">
        <v>1936</v>
      </c>
      <c r="D1938" t="s">
        <v>4182</v>
      </c>
      <c r="F1938">
        <v>406</v>
      </c>
      <c r="G1938">
        <v>65</v>
      </c>
      <c r="H1938" t="s">
        <v>662</v>
      </c>
      <c r="I1938" t="s">
        <v>2271</v>
      </c>
      <c r="J1938">
        <v>711750</v>
      </c>
      <c r="K1938">
        <v>2025</v>
      </c>
      <c r="L1938">
        <v>1017240227</v>
      </c>
      <c r="M1938" t="s">
        <v>4290</v>
      </c>
      <c r="N1938" t="s">
        <v>1688</v>
      </c>
      <c r="O1938" t="s">
        <v>1686</v>
      </c>
      <c r="P1938">
        <v>0</v>
      </c>
      <c r="Q1938">
        <v>711750</v>
      </c>
      <c r="R1938">
        <v>0</v>
      </c>
      <c r="S1938">
        <v>0</v>
      </c>
      <c r="T1938" t="str">
        <f t="shared" si="60"/>
        <v>14502.43.4302.85.0-205128.2.3.3.08.06.</v>
      </c>
      <c r="U1938" t="e" cm="1">
        <f t="array" aca="1" ref="U1938" ca="1">+IF(COMPROMISOS_2025[[#This Row],[P]]="20","41080111",_xlfn.XLOOKUP(COMPROMISOS_2025[[#This Row],[concatenado]],PAA[[#All],[RCP-RUBRO]],PAA[[#All],[INDICADOR]],"",0))</f>
        <v>#NAME?</v>
      </c>
      <c r="V1938" s="144" t="str">
        <f t="shared" si="61"/>
        <v>85</v>
      </c>
      <c r="W1938" s="136">
        <f>+COMPROMISOS_2025[[#This Row],[valor_total]]-COMPROMISOS_2025[[#This Row],[total_cancelado]]</f>
        <v>711750</v>
      </c>
      <c r="X1938" s="136">
        <f>COMPROMISOS_2025[[#This Row],[total_ordenes]]</f>
        <v>711750</v>
      </c>
      <c r="Y1938" t="str" cm="1">
        <f t="array" aca="1" ref="Y1938" ca="1">IFERROR(_xlfn.XLOOKUP(COMPROMISOS_2025[[#This Row],[concatenado]],PAA[[#All],[RCP-RUBRO]],PAA[[#All],[Actividad3]],VLOOKUP(COMPROMISOS_2025[[#This Row],[Indicador Principal]],$AC$2:$AD$17,2,0),0),"")</f>
        <v/>
      </c>
    </row>
    <row r="1939" spans="1:25" hidden="1" x14ac:dyDescent="0.25">
      <c r="A1939">
        <v>1451</v>
      </c>
      <c r="B1939" t="s">
        <v>2491</v>
      </c>
      <c r="C1939" t="s">
        <v>1936</v>
      </c>
      <c r="D1939" t="s">
        <v>4182</v>
      </c>
      <c r="F1939">
        <v>406</v>
      </c>
      <c r="G1939">
        <v>65</v>
      </c>
      <c r="H1939" t="s">
        <v>662</v>
      </c>
      <c r="I1939" t="s">
        <v>2271</v>
      </c>
      <c r="J1939">
        <v>2135250</v>
      </c>
      <c r="K1939">
        <v>2025</v>
      </c>
      <c r="L1939">
        <v>1017243459</v>
      </c>
      <c r="M1939" t="s">
        <v>3642</v>
      </c>
      <c r="N1939" t="s">
        <v>1688</v>
      </c>
      <c r="O1939" t="s">
        <v>1686</v>
      </c>
      <c r="P1939">
        <v>0</v>
      </c>
      <c r="Q1939">
        <v>2135250</v>
      </c>
      <c r="R1939">
        <v>0</v>
      </c>
      <c r="S1939">
        <v>0</v>
      </c>
      <c r="T1939" t="str">
        <f t="shared" si="60"/>
        <v>14512.43.4302.85.0-205128.2.3.3.08.06.</v>
      </c>
      <c r="U1939" t="e" cm="1">
        <f t="array" aca="1" ref="U1939" ca="1">+IF(COMPROMISOS_2025[[#This Row],[P]]="20","41080111",_xlfn.XLOOKUP(COMPROMISOS_2025[[#This Row],[concatenado]],PAA[[#All],[RCP-RUBRO]],PAA[[#All],[INDICADOR]],"",0))</f>
        <v>#NAME?</v>
      </c>
      <c r="V1939" s="144" t="str">
        <f t="shared" si="61"/>
        <v>85</v>
      </c>
      <c r="W1939" s="136">
        <f>+COMPROMISOS_2025[[#This Row],[valor_total]]-COMPROMISOS_2025[[#This Row],[total_cancelado]]</f>
        <v>2135250</v>
      </c>
      <c r="X1939" s="136">
        <f>COMPROMISOS_2025[[#This Row],[total_ordenes]]</f>
        <v>2135250</v>
      </c>
      <c r="Y1939" t="str" cm="1">
        <f t="array" aca="1" ref="Y1939" ca="1">IFERROR(_xlfn.XLOOKUP(COMPROMISOS_2025[[#This Row],[concatenado]],PAA[[#All],[RCP-RUBRO]],PAA[[#All],[Actividad3]],VLOOKUP(COMPROMISOS_2025[[#This Row],[Indicador Principal]],$AC$2:$AD$17,2,0),0),"")</f>
        <v/>
      </c>
    </row>
    <row r="1940" spans="1:25" hidden="1" x14ac:dyDescent="0.25">
      <c r="A1940">
        <v>1452</v>
      </c>
      <c r="B1940" t="s">
        <v>2491</v>
      </c>
      <c r="C1940" t="s">
        <v>1936</v>
      </c>
      <c r="D1940" t="s">
        <v>4182</v>
      </c>
      <c r="F1940">
        <v>406</v>
      </c>
      <c r="G1940">
        <v>65</v>
      </c>
      <c r="H1940" t="s">
        <v>662</v>
      </c>
      <c r="I1940" t="s">
        <v>2271</v>
      </c>
      <c r="J1940">
        <v>711750</v>
      </c>
      <c r="K1940">
        <v>2025</v>
      </c>
      <c r="L1940">
        <v>1017244454</v>
      </c>
      <c r="M1940" t="s">
        <v>4291</v>
      </c>
      <c r="N1940" t="s">
        <v>1688</v>
      </c>
      <c r="O1940" t="s">
        <v>1686</v>
      </c>
      <c r="P1940">
        <v>0</v>
      </c>
      <c r="Q1940">
        <v>711750</v>
      </c>
      <c r="R1940">
        <v>0</v>
      </c>
      <c r="S1940">
        <v>0</v>
      </c>
      <c r="T1940" t="str">
        <f t="shared" si="60"/>
        <v>14522.43.4302.85.0-205128.2.3.3.08.06.</v>
      </c>
      <c r="U1940" t="e" cm="1">
        <f t="array" aca="1" ref="U1940" ca="1">+IF(COMPROMISOS_2025[[#This Row],[P]]="20","41080111",_xlfn.XLOOKUP(COMPROMISOS_2025[[#This Row],[concatenado]],PAA[[#All],[RCP-RUBRO]],PAA[[#All],[INDICADOR]],"",0))</f>
        <v>#NAME?</v>
      </c>
      <c r="V1940" s="144" t="str">
        <f t="shared" si="61"/>
        <v>85</v>
      </c>
      <c r="W1940" s="136">
        <f>+COMPROMISOS_2025[[#This Row],[valor_total]]-COMPROMISOS_2025[[#This Row],[total_cancelado]]</f>
        <v>711750</v>
      </c>
      <c r="X1940" s="136">
        <f>COMPROMISOS_2025[[#This Row],[total_ordenes]]</f>
        <v>711750</v>
      </c>
      <c r="Y1940" t="str" cm="1">
        <f t="array" aca="1" ref="Y1940" ca="1">IFERROR(_xlfn.XLOOKUP(COMPROMISOS_2025[[#This Row],[concatenado]],PAA[[#All],[RCP-RUBRO]],PAA[[#All],[Actividad3]],VLOOKUP(COMPROMISOS_2025[[#This Row],[Indicador Principal]],$AC$2:$AD$17,2,0),0),"")</f>
        <v/>
      </c>
    </row>
    <row r="1941" spans="1:25" hidden="1" x14ac:dyDescent="0.25">
      <c r="A1941">
        <v>1453</v>
      </c>
      <c r="B1941" t="s">
        <v>2491</v>
      </c>
      <c r="C1941" t="s">
        <v>1936</v>
      </c>
      <c r="D1941" t="s">
        <v>4182</v>
      </c>
      <c r="F1941">
        <v>406</v>
      </c>
      <c r="G1941">
        <v>65</v>
      </c>
      <c r="H1941" t="s">
        <v>662</v>
      </c>
      <c r="I1941" t="s">
        <v>2271</v>
      </c>
      <c r="J1941">
        <v>6405750</v>
      </c>
      <c r="K1941">
        <v>2025</v>
      </c>
      <c r="L1941">
        <v>1017246669</v>
      </c>
      <c r="M1941" t="s">
        <v>4292</v>
      </c>
      <c r="N1941" t="s">
        <v>1688</v>
      </c>
      <c r="O1941" t="s">
        <v>1686</v>
      </c>
      <c r="P1941">
        <v>0</v>
      </c>
      <c r="Q1941">
        <v>6405750</v>
      </c>
      <c r="R1941">
        <v>0</v>
      </c>
      <c r="S1941">
        <v>0</v>
      </c>
      <c r="T1941" t="str">
        <f t="shared" si="60"/>
        <v>14532.43.4302.85.0-205128.2.3.3.08.06.</v>
      </c>
      <c r="U1941" t="e" cm="1">
        <f t="array" aca="1" ref="U1941" ca="1">+IF(COMPROMISOS_2025[[#This Row],[P]]="20","41080111",_xlfn.XLOOKUP(COMPROMISOS_2025[[#This Row],[concatenado]],PAA[[#All],[RCP-RUBRO]],PAA[[#All],[INDICADOR]],"",0))</f>
        <v>#NAME?</v>
      </c>
      <c r="V1941" s="144" t="str">
        <f t="shared" si="61"/>
        <v>85</v>
      </c>
      <c r="W1941" s="136">
        <f>+COMPROMISOS_2025[[#This Row],[valor_total]]-COMPROMISOS_2025[[#This Row],[total_cancelado]]</f>
        <v>6405750</v>
      </c>
      <c r="X1941" s="136">
        <f>COMPROMISOS_2025[[#This Row],[total_ordenes]]</f>
        <v>6405750</v>
      </c>
      <c r="Y1941" t="str" cm="1">
        <f t="array" aca="1" ref="Y1941" ca="1">IFERROR(_xlfn.XLOOKUP(COMPROMISOS_2025[[#This Row],[concatenado]],PAA[[#All],[RCP-RUBRO]],PAA[[#All],[Actividad3]],VLOOKUP(COMPROMISOS_2025[[#This Row],[Indicador Principal]],$AC$2:$AD$17,2,0),0),"")</f>
        <v/>
      </c>
    </row>
    <row r="1942" spans="1:25" hidden="1" x14ac:dyDescent="0.25">
      <c r="A1942">
        <v>1454</v>
      </c>
      <c r="B1942" t="s">
        <v>2491</v>
      </c>
      <c r="C1942" t="s">
        <v>1936</v>
      </c>
      <c r="D1942" t="s">
        <v>4182</v>
      </c>
      <c r="F1942">
        <v>406</v>
      </c>
      <c r="G1942">
        <v>65</v>
      </c>
      <c r="H1942" t="s">
        <v>662</v>
      </c>
      <c r="I1942" t="s">
        <v>2271</v>
      </c>
      <c r="J1942">
        <v>2847000</v>
      </c>
      <c r="K1942">
        <v>2025</v>
      </c>
      <c r="L1942">
        <v>1017247281</v>
      </c>
      <c r="M1942" t="s">
        <v>4007</v>
      </c>
      <c r="N1942" t="s">
        <v>1688</v>
      </c>
      <c r="O1942" t="s">
        <v>1686</v>
      </c>
      <c r="P1942">
        <v>0</v>
      </c>
      <c r="Q1942">
        <v>2847000</v>
      </c>
      <c r="R1942">
        <v>0</v>
      </c>
      <c r="S1942">
        <v>0</v>
      </c>
      <c r="T1942" t="str">
        <f t="shared" si="60"/>
        <v>14542.43.4302.85.0-205128.2.3.3.08.06.</v>
      </c>
      <c r="U1942" t="e" cm="1">
        <f t="array" aca="1" ref="U1942" ca="1">+IF(COMPROMISOS_2025[[#This Row],[P]]="20","41080111",_xlfn.XLOOKUP(COMPROMISOS_2025[[#This Row],[concatenado]],PAA[[#All],[RCP-RUBRO]],PAA[[#All],[INDICADOR]],"",0))</f>
        <v>#NAME?</v>
      </c>
      <c r="V1942" s="144" t="str">
        <f t="shared" si="61"/>
        <v>85</v>
      </c>
      <c r="W1942" s="136">
        <f>+COMPROMISOS_2025[[#This Row],[valor_total]]-COMPROMISOS_2025[[#This Row],[total_cancelado]]</f>
        <v>2847000</v>
      </c>
      <c r="X1942" s="136">
        <f>COMPROMISOS_2025[[#This Row],[total_ordenes]]</f>
        <v>2847000</v>
      </c>
      <c r="Y1942" t="str" cm="1">
        <f t="array" aca="1" ref="Y1942" ca="1">IFERROR(_xlfn.XLOOKUP(COMPROMISOS_2025[[#This Row],[concatenado]],PAA[[#All],[RCP-RUBRO]],PAA[[#All],[Actividad3]],VLOOKUP(COMPROMISOS_2025[[#This Row],[Indicador Principal]],$AC$2:$AD$17,2,0),0),"")</f>
        <v/>
      </c>
    </row>
    <row r="1943" spans="1:25" hidden="1" x14ac:dyDescent="0.25">
      <c r="A1943">
        <v>1455</v>
      </c>
      <c r="B1943" t="s">
        <v>2491</v>
      </c>
      <c r="C1943" t="s">
        <v>1936</v>
      </c>
      <c r="D1943" t="s">
        <v>4182</v>
      </c>
      <c r="F1943">
        <v>406</v>
      </c>
      <c r="G1943">
        <v>65</v>
      </c>
      <c r="H1943" t="s">
        <v>662</v>
      </c>
      <c r="I1943" t="s">
        <v>2271</v>
      </c>
      <c r="J1943">
        <v>711750</v>
      </c>
      <c r="K1943">
        <v>2025</v>
      </c>
      <c r="L1943">
        <v>1017247931</v>
      </c>
      <c r="M1943" t="s">
        <v>4008</v>
      </c>
      <c r="N1943" t="s">
        <v>1688</v>
      </c>
      <c r="O1943" t="s">
        <v>1686</v>
      </c>
      <c r="P1943">
        <v>0</v>
      </c>
      <c r="Q1943">
        <v>711750</v>
      </c>
      <c r="R1943">
        <v>0</v>
      </c>
      <c r="S1943">
        <v>0</v>
      </c>
      <c r="T1943" t="str">
        <f t="shared" si="60"/>
        <v>14552.43.4302.85.0-205128.2.3.3.08.06.</v>
      </c>
      <c r="U1943" t="e" cm="1">
        <f t="array" aca="1" ref="U1943" ca="1">+IF(COMPROMISOS_2025[[#This Row],[P]]="20","41080111",_xlfn.XLOOKUP(COMPROMISOS_2025[[#This Row],[concatenado]],PAA[[#All],[RCP-RUBRO]],PAA[[#All],[INDICADOR]],"",0))</f>
        <v>#NAME?</v>
      </c>
      <c r="V1943" s="144" t="str">
        <f t="shared" si="61"/>
        <v>85</v>
      </c>
      <c r="W1943" s="136">
        <f>+COMPROMISOS_2025[[#This Row],[valor_total]]-COMPROMISOS_2025[[#This Row],[total_cancelado]]</f>
        <v>711750</v>
      </c>
      <c r="X1943" s="136">
        <f>COMPROMISOS_2025[[#This Row],[total_ordenes]]</f>
        <v>711750</v>
      </c>
      <c r="Y1943" t="str" cm="1">
        <f t="array" aca="1" ref="Y1943" ca="1">IFERROR(_xlfn.XLOOKUP(COMPROMISOS_2025[[#This Row],[concatenado]],PAA[[#All],[RCP-RUBRO]],PAA[[#All],[Actividad3]],VLOOKUP(COMPROMISOS_2025[[#This Row],[Indicador Principal]],$AC$2:$AD$17,2,0),0),"")</f>
        <v/>
      </c>
    </row>
    <row r="1944" spans="1:25" hidden="1" x14ac:dyDescent="0.25">
      <c r="A1944">
        <v>1456</v>
      </c>
      <c r="B1944" t="s">
        <v>2491</v>
      </c>
      <c r="C1944" t="s">
        <v>1936</v>
      </c>
      <c r="D1944" t="s">
        <v>4182</v>
      </c>
      <c r="F1944">
        <v>406</v>
      </c>
      <c r="G1944">
        <v>65</v>
      </c>
      <c r="H1944" t="s">
        <v>662</v>
      </c>
      <c r="I1944" t="s">
        <v>2271</v>
      </c>
      <c r="J1944">
        <v>1423500</v>
      </c>
      <c r="K1944">
        <v>2025</v>
      </c>
      <c r="L1944">
        <v>1017263035</v>
      </c>
      <c r="M1944" t="s">
        <v>3643</v>
      </c>
      <c r="N1944" t="s">
        <v>1688</v>
      </c>
      <c r="O1944" t="s">
        <v>1686</v>
      </c>
      <c r="P1944">
        <v>0</v>
      </c>
      <c r="Q1944">
        <v>1423500</v>
      </c>
      <c r="R1944">
        <v>0</v>
      </c>
      <c r="S1944">
        <v>0</v>
      </c>
      <c r="T1944" t="str">
        <f t="shared" si="60"/>
        <v>14562.43.4302.85.0-205128.2.3.3.08.06.</v>
      </c>
      <c r="U1944" t="e" cm="1">
        <f t="array" aca="1" ref="U1944" ca="1">+IF(COMPROMISOS_2025[[#This Row],[P]]="20","41080111",_xlfn.XLOOKUP(COMPROMISOS_2025[[#This Row],[concatenado]],PAA[[#All],[RCP-RUBRO]],PAA[[#All],[INDICADOR]],"",0))</f>
        <v>#NAME?</v>
      </c>
      <c r="V1944" s="144" t="str">
        <f t="shared" si="61"/>
        <v>85</v>
      </c>
      <c r="W1944" s="136">
        <f>+COMPROMISOS_2025[[#This Row],[valor_total]]-COMPROMISOS_2025[[#This Row],[total_cancelado]]</f>
        <v>1423500</v>
      </c>
      <c r="X1944" s="136">
        <f>COMPROMISOS_2025[[#This Row],[total_ordenes]]</f>
        <v>1423500</v>
      </c>
      <c r="Y1944" t="str" cm="1">
        <f t="array" aca="1" ref="Y1944" ca="1">IFERROR(_xlfn.XLOOKUP(COMPROMISOS_2025[[#This Row],[concatenado]],PAA[[#All],[RCP-RUBRO]],PAA[[#All],[Actividad3]],VLOOKUP(COMPROMISOS_2025[[#This Row],[Indicador Principal]],$AC$2:$AD$17,2,0),0),"")</f>
        <v/>
      </c>
    </row>
    <row r="1945" spans="1:25" hidden="1" x14ac:dyDescent="0.25">
      <c r="A1945">
        <v>1457</v>
      </c>
      <c r="B1945" t="s">
        <v>2491</v>
      </c>
      <c r="C1945" t="s">
        <v>1936</v>
      </c>
      <c r="D1945" t="s">
        <v>4182</v>
      </c>
      <c r="F1945">
        <v>406</v>
      </c>
      <c r="G1945">
        <v>65</v>
      </c>
      <c r="H1945" t="s">
        <v>662</v>
      </c>
      <c r="I1945" t="s">
        <v>2271</v>
      </c>
      <c r="J1945">
        <v>1423500</v>
      </c>
      <c r="K1945">
        <v>2025</v>
      </c>
      <c r="L1945">
        <v>1017265361</v>
      </c>
      <c r="M1945" t="s">
        <v>3644</v>
      </c>
      <c r="N1945" t="s">
        <v>1688</v>
      </c>
      <c r="O1945" t="s">
        <v>1686</v>
      </c>
      <c r="P1945">
        <v>0</v>
      </c>
      <c r="Q1945">
        <v>1423500</v>
      </c>
      <c r="R1945">
        <v>0</v>
      </c>
      <c r="S1945">
        <v>0</v>
      </c>
      <c r="T1945" t="str">
        <f t="shared" si="60"/>
        <v>14572.43.4302.85.0-205128.2.3.3.08.06.</v>
      </c>
      <c r="U1945" t="e" cm="1">
        <f t="array" aca="1" ref="U1945" ca="1">+IF(COMPROMISOS_2025[[#This Row],[P]]="20","41080111",_xlfn.XLOOKUP(COMPROMISOS_2025[[#This Row],[concatenado]],PAA[[#All],[RCP-RUBRO]],PAA[[#All],[INDICADOR]],"",0))</f>
        <v>#NAME?</v>
      </c>
      <c r="V1945" s="144" t="str">
        <f t="shared" si="61"/>
        <v>85</v>
      </c>
      <c r="W1945" s="136">
        <f>+COMPROMISOS_2025[[#This Row],[valor_total]]-COMPROMISOS_2025[[#This Row],[total_cancelado]]</f>
        <v>1423500</v>
      </c>
      <c r="X1945" s="136">
        <f>COMPROMISOS_2025[[#This Row],[total_ordenes]]</f>
        <v>1423500</v>
      </c>
      <c r="Y1945" t="str" cm="1">
        <f t="array" aca="1" ref="Y1945" ca="1">IFERROR(_xlfn.XLOOKUP(COMPROMISOS_2025[[#This Row],[concatenado]],PAA[[#All],[RCP-RUBRO]],PAA[[#All],[Actividad3]],VLOOKUP(COMPROMISOS_2025[[#This Row],[Indicador Principal]],$AC$2:$AD$17,2,0),0),"")</f>
        <v/>
      </c>
    </row>
    <row r="1946" spans="1:25" hidden="1" x14ac:dyDescent="0.25">
      <c r="A1946">
        <v>1458</v>
      </c>
      <c r="B1946" t="s">
        <v>2491</v>
      </c>
      <c r="C1946" t="s">
        <v>1936</v>
      </c>
      <c r="D1946" t="s">
        <v>4182</v>
      </c>
      <c r="F1946">
        <v>406</v>
      </c>
      <c r="G1946">
        <v>65</v>
      </c>
      <c r="H1946" t="s">
        <v>662</v>
      </c>
      <c r="I1946" t="s">
        <v>2271</v>
      </c>
      <c r="J1946">
        <v>5694000</v>
      </c>
      <c r="K1946">
        <v>2025</v>
      </c>
      <c r="L1946">
        <v>1017268216</v>
      </c>
      <c r="M1946" t="s">
        <v>4009</v>
      </c>
      <c r="N1946" t="s">
        <v>1688</v>
      </c>
      <c r="O1946" t="s">
        <v>1686</v>
      </c>
      <c r="P1946">
        <v>0</v>
      </c>
      <c r="Q1946">
        <v>5694000</v>
      </c>
      <c r="R1946">
        <v>0</v>
      </c>
      <c r="S1946">
        <v>0</v>
      </c>
      <c r="T1946" t="str">
        <f t="shared" si="60"/>
        <v>14582.43.4302.85.0-205128.2.3.3.08.06.</v>
      </c>
      <c r="U1946" t="e" cm="1">
        <f t="array" aca="1" ref="U1946" ca="1">+IF(COMPROMISOS_2025[[#This Row],[P]]="20","41080111",_xlfn.XLOOKUP(COMPROMISOS_2025[[#This Row],[concatenado]],PAA[[#All],[RCP-RUBRO]],PAA[[#All],[INDICADOR]],"",0))</f>
        <v>#NAME?</v>
      </c>
      <c r="V1946" s="144" t="str">
        <f t="shared" si="61"/>
        <v>85</v>
      </c>
      <c r="W1946" s="136">
        <f>+COMPROMISOS_2025[[#This Row],[valor_total]]-COMPROMISOS_2025[[#This Row],[total_cancelado]]</f>
        <v>5694000</v>
      </c>
      <c r="X1946" s="136">
        <f>COMPROMISOS_2025[[#This Row],[total_ordenes]]</f>
        <v>5694000</v>
      </c>
      <c r="Y1946" t="str" cm="1">
        <f t="array" aca="1" ref="Y1946" ca="1">IFERROR(_xlfn.XLOOKUP(COMPROMISOS_2025[[#This Row],[concatenado]],PAA[[#All],[RCP-RUBRO]],PAA[[#All],[Actividad3]],VLOOKUP(COMPROMISOS_2025[[#This Row],[Indicador Principal]],$AC$2:$AD$17,2,0),0),"")</f>
        <v/>
      </c>
    </row>
    <row r="1947" spans="1:25" hidden="1" x14ac:dyDescent="0.25">
      <c r="A1947">
        <v>1459</v>
      </c>
      <c r="B1947" t="s">
        <v>2491</v>
      </c>
      <c r="C1947" t="s">
        <v>1936</v>
      </c>
      <c r="D1947" t="s">
        <v>4182</v>
      </c>
      <c r="F1947">
        <v>406</v>
      </c>
      <c r="G1947">
        <v>65</v>
      </c>
      <c r="H1947" t="s">
        <v>662</v>
      </c>
      <c r="I1947" t="s">
        <v>2271</v>
      </c>
      <c r="J1947">
        <v>1423500</v>
      </c>
      <c r="K1947">
        <v>2025</v>
      </c>
      <c r="L1947">
        <v>1017269674</v>
      </c>
      <c r="M1947" t="s">
        <v>4293</v>
      </c>
      <c r="N1947" t="s">
        <v>1688</v>
      </c>
      <c r="O1947" t="s">
        <v>1686</v>
      </c>
      <c r="P1947">
        <v>0</v>
      </c>
      <c r="Q1947">
        <v>1423500</v>
      </c>
      <c r="R1947">
        <v>0</v>
      </c>
      <c r="S1947">
        <v>0</v>
      </c>
      <c r="T1947" t="str">
        <f t="shared" si="60"/>
        <v>14592.43.4302.85.0-205128.2.3.3.08.06.</v>
      </c>
      <c r="U1947" t="e" cm="1">
        <f t="array" aca="1" ref="U1947" ca="1">+IF(COMPROMISOS_2025[[#This Row],[P]]="20","41080111",_xlfn.XLOOKUP(COMPROMISOS_2025[[#This Row],[concatenado]],PAA[[#All],[RCP-RUBRO]],PAA[[#All],[INDICADOR]],"",0))</f>
        <v>#NAME?</v>
      </c>
      <c r="V1947" s="144" t="str">
        <f t="shared" si="61"/>
        <v>85</v>
      </c>
      <c r="W1947" s="136">
        <f>+COMPROMISOS_2025[[#This Row],[valor_total]]-COMPROMISOS_2025[[#This Row],[total_cancelado]]</f>
        <v>1423500</v>
      </c>
      <c r="X1947" s="136">
        <f>COMPROMISOS_2025[[#This Row],[total_ordenes]]</f>
        <v>1423500</v>
      </c>
      <c r="Y1947" t="str" cm="1">
        <f t="array" aca="1" ref="Y1947" ca="1">IFERROR(_xlfn.XLOOKUP(COMPROMISOS_2025[[#This Row],[concatenado]],PAA[[#All],[RCP-RUBRO]],PAA[[#All],[Actividad3]],VLOOKUP(COMPROMISOS_2025[[#This Row],[Indicador Principal]],$AC$2:$AD$17,2,0),0),"")</f>
        <v/>
      </c>
    </row>
    <row r="1948" spans="1:25" hidden="1" x14ac:dyDescent="0.25">
      <c r="A1948">
        <v>1460</v>
      </c>
      <c r="B1948" t="s">
        <v>2491</v>
      </c>
      <c r="C1948" t="s">
        <v>1936</v>
      </c>
      <c r="D1948" t="s">
        <v>4182</v>
      </c>
      <c r="F1948">
        <v>406</v>
      </c>
      <c r="G1948">
        <v>65</v>
      </c>
      <c r="H1948" t="s">
        <v>662</v>
      </c>
      <c r="I1948" t="s">
        <v>2271</v>
      </c>
      <c r="J1948">
        <v>711750</v>
      </c>
      <c r="K1948">
        <v>2025</v>
      </c>
      <c r="L1948">
        <v>1017269903</v>
      </c>
      <c r="M1948" t="s">
        <v>4294</v>
      </c>
      <c r="N1948" t="s">
        <v>1688</v>
      </c>
      <c r="O1948" t="s">
        <v>1686</v>
      </c>
      <c r="P1948">
        <v>0</v>
      </c>
      <c r="Q1948">
        <v>711750</v>
      </c>
      <c r="R1948">
        <v>0</v>
      </c>
      <c r="S1948">
        <v>0</v>
      </c>
      <c r="T1948" t="str">
        <f t="shared" si="60"/>
        <v>14602.43.4302.85.0-205128.2.3.3.08.06.</v>
      </c>
      <c r="U1948" t="e" cm="1">
        <f t="array" aca="1" ref="U1948" ca="1">+IF(COMPROMISOS_2025[[#This Row],[P]]="20","41080111",_xlfn.XLOOKUP(COMPROMISOS_2025[[#This Row],[concatenado]],PAA[[#All],[RCP-RUBRO]],PAA[[#All],[INDICADOR]],"",0))</f>
        <v>#NAME?</v>
      </c>
      <c r="V1948" s="144" t="str">
        <f t="shared" si="61"/>
        <v>85</v>
      </c>
      <c r="W1948" s="136">
        <f>+COMPROMISOS_2025[[#This Row],[valor_total]]-COMPROMISOS_2025[[#This Row],[total_cancelado]]</f>
        <v>711750</v>
      </c>
      <c r="X1948" s="136">
        <f>COMPROMISOS_2025[[#This Row],[total_ordenes]]</f>
        <v>711750</v>
      </c>
      <c r="Y1948" t="str" cm="1">
        <f t="array" aca="1" ref="Y1948" ca="1">IFERROR(_xlfn.XLOOKUP(COMPROMISOS_2025[[#This Row],[concatenado]],PAA[[#All],[RCP-RUBRO]],PAA[[#All],[Actividad3]],VLOOKUP(COMPROMISOS_2025[[#This Row],[Indicador Principal]],$AC$2:$AD$17,2,0),0),"")</f>
        <v/>
      </c>
    </row>
    <row r="1949" spans="1:25" hidden="1" x14ac:dyDescent="0.25">
      <c r="A1949">
        <v>1461</v>
      </c>
      <c r="B1949" t="s">
        <v>2491</v>
      </c>
      <c r="C1949" t="s">
        <v>1936</v>
      </c>
      <c r="D1949" t="s">
        <v>4182</v>
      </c>
      <c r="F1949">
        <v>406</v>
      </c>
      <c r="G1949">
        <v>65</v>
      </c>
      <c r="H1949" t="s">
        <v>662</v>
      </c>
      <c r="I1949" t="s">
        <v>2271</v>
      </c>
      <c r="J1949">
        <v>711750</v>
      </c>
      <c r="K1949">
        <v>2025</v>
      </c>
      <c r="L1949">
        <v>1017270409</v>
      </c>
      <c r="M1949" t="s">
        <v>4010</v>
      </c>
      <c r="N1949" t="s">
        <v>1688</v>
      </c>
      <c r="O1949" t="s">
        <v>1686</v>
      </c>
      <c r="P1949">
        <v>0</v>
      </c>
      <c r="Q1949">
        <v>711750</v>
      </c>
      <c r="R1949">
        <v>0</v>
      </c>
      <c r="S1949">
        <v>0</v>
      </c>
      <c r="T1949" t="str">
        <f t="shared" si="60"/>
        <v>14612.43.4302.85.0-205128.2.3.3.08.06.</v>
      </c>
      <c r="U1949" t="e" cm="1">
        <f t="array" aca="1" ref="U1949" ca="1">+IF(COMPROMISOS_2025[[#This Row],[P]]="20","41080111",_xlfn.XLOOKUP(COMPROMISOS_2025[[#This Row],[concatenado]],PAA[[#All],[RCP-RUBRO]],PAA[[#All],[INDICADOR]],"",0))</f>
        <v>#NAME?</v>
      </c>
      <c r="V1949" s="144" t="str">
        <f t="shared" si="61"/>
        <v>85</v>
      </c>
      <c r="W1949" s="136">
        <f>+COMPROMISOS_2025[[#This Row],[valor_total]]-COMPROMISOS_2025[[#This Row],[total_cancelado]]</f>
        <v>711750</v>
      </c>
      <c r="X1949" s="136">
        <f>COMPROMISOS_2025[[#This Row],[total_ordenes]]</f>
        <v>711750</v>
      </c>
      <c r="Y1949" t="str" cm="1">
        <f t="array" aca="1" ref="Y1949" ca="1">IFERROR(_xlfn.XLOOKUP(COMPROMISOS_2025[[#This Row],[concatenado]],PAA[[#All],[RCP-RUBRO]],PAA[[#All],[Actividad3]],VLOOKUP(COMPROMISOS_2025[[#This Row],[Indicador Principal]],$AC$2:$AD$17,2,0),0),"")</f>
        <v/>
      </c>
    </row>
    <row r="1950" spans="1:25" hidden="1" x14ac:dyDescent="0.25">
      <c r="A1950">
        <v>1462</v>
      </c>
      <c r="B1950" t="s">
        <v>2491</v>
      </c>
      <c r="C1950" t="s">
        <v>1936</v>
      </c>
      <c r="D1950" t="s">
        <v>4182</v>
      </c>
      <c r="F1950">
        <v>406</v>
      </c>
      <c r="G1950">
        <v>65</v>
      </c>
      <c r="H1950" t="s">
        <v>662</v>
      </c>
      <c r="I1950" t="s">
        <v>2271</v>
      </c>
      <c r="J1950">
        <v>1067625</v>
      </c>
      <c r="K1950">
        <v>2025</v>
      </c>
      <c r="L1950">
        <v>1017272625</v>
      </c>
      <c r="M1950" t="s">
        <v>4012</v>
      </c>
      <c r="N1950" t="s">
        <v>1688</v>
      </c>
      <c r="O1950" t="s">
        <v>1686</v>
      </c>
      <c r="P1950">
        <v>0</v>
      </c>
      <c r="Q1950">
        <v>1067625</v>
      </c>
      <c r="R1950">
        <v>0</v>
      </c>
      <c r="S1950">
        <v>0</v>
      </c>
      <c r="T1950" t="str">
        <f t="shared" si="60"/>
        <v>14622.43.4302.85.0-205128.2.3.3.08.06.</v>
      </c>
      <c r="U1950" t="e" cm="1">
        <f t="array" aca="1" ref="U1950" ca="1">+IF(COMPROMISOS_2025[[#This Row],[P]]="20","41080111",_xlfn.XLOOKUP(COMPROMISOS_2025[[#This Row],[concatenado]],PAA[[#All],[RCP-RUBRO]],PAA[[#All],[INDICADOR]],"",0))</f>
        <v>#NAME?</v>
      </c>
      <c r="V1950" s="144" t="str">
        <f t="shared" si="61"/>
        <v>85</v>
      </c>
      <c r="W1950" s="136">
        <f>+COMPROMISOS_2025[[#This Row],[valor_total]]-COMPROMISOS_2025[[#This Row],[total_cancelado]]</f>
        <v>1067625</v>
      </c>
      <c r="X1950" s="136">
        <f>COMPROMISOS_2025[[#This Row],[total_ordenes]]</f>
        <v>1067625</v>
      </c>
      <c r="Y1950" t="str" cm="1">
        <f t="array" aca="1" ref="Y1950" ca="1">IFERROR(_xlfn.XLOOKUP(COMPROMISOS_2025[[#This Row],[concatenado]],PAA[[#All],[RCP-RUBRO]],PAA[[#All],[Actividad3]],VLOOKUP(COMPROMISOS_2025[[#This Row],[Indicador Principal]],$AC$2:$AD$17,2,0),0),"")</f>
        <v/>
      </c>
    </row>
    <row r="1951" spans="1:25" hidden="1" x14ac:dyDescent="0.25">
      <c r="A1951">
        <v>1463</v>
      </c>
      <c r="B1951" t="s">
        <v>2491</v>
      </c>
      <c r="C1951" t="s">
        <v>1936</v>
      </c>
      <c r="D1951" t="s">
        <v>4182</v>
      </c>
      <c r="F1951">
        <v>406</v>
      </c>
      <c r="G1951">
        <v>65</v>
      </c>
      <c r="H1951" t="s">
        <v>662</v>
      </c>
      <c r="I1951" t="s">
        <v>2271</v>
      </c>
      <c r="J1951">
        <v>1067625</v>
      </c>
      <c r="K1951">
        <v>2025</v>
      </c>
      <c r="L1951">
        <v>1017922512</v>
      </c>
      <c r="M1951" t="s">
        <v>3645</v>
      </c>
      <c r="N1951" t="s">
        <v>1688</v>
      </c>
      <c r="O1951" t="s">
        <v>1686</v>
      </c>
      <c r="P1951">
        <v>0</v>
      </c>
      <c r="Q1951">
        <v>1067625</v>
      </c>
      <c r="R1951">
        <v>0</v>
      </c>
      <c r="S1951">
        <v>0</v>
      </c>
      <c r="T1951" t="str">
        <f t="shared" si="60"/>
        <v>14632.43.4302.85.0-205128.2.3.3.08.06.</v>
      </c>
      <c r="U1951" t="e" cm="1">
        <f t="array" aca="1" ref="U1951" ca="1">+IF(COMPROMISOS_2025[[#This Row],[P]]="20","41080111",_xlfn.XLOOKUP(COMPROMISOS_2025[[#This Row],[concatenado]],PAA[[#All],[RCP-RUBRO]],PAA[[#All],[INDICADOR]],"",0))</f>
        <v>#NAME?</v>
      </c>
      <c r="V1951" s="144" t="str">
        <f t="shared" si="61"/>
        <v>85</v>
      </c>
      <c r="W1951" s="136">
        <f>+COMPROMISOS_2025[[#This Row],[valor_total]]-COMPROMISOS_2025[[#This Row],[total_cancelado]]</f>
        <v>1067625</v>
      </c>
      <c r="X1951" s="136">
        <f>COMPROMISOS_2025[[#This Row],[total_ordenes]]</f>
        <v>1067625</v>
      </c>
      <c r="Y1951" t="str" cm="1">
        <f t="array" aca="1" ref="Y1951" ca="1">IFERROR(_xlfn.XLOOKUP(COMPROMISOS_2025[[#This Row],[concatenado]],PAA[[#All],[RCP-RUBRO]],PAA[[#All],[Actividad3]],VLOOKUP(COMPROMISOS_2025[[#This Row],[Indicador Principal]],$AC$2:$AD$17,2,0),0),"")</f>
        <v/>
      </c>
    </row>
    <row r="1952" spans="1:25" hidden="1" x14ac:dyDescent="0.25">
      <c r="A1952">
        <v>1464</v>
      </c>
      <c r="B1952" t="s">
        <v>2491</v>
      </c>
      <c r="C1952" t="s">
        <v>1936</v>
      </c>
      <c r="D1952" t="s">
        <v>4182</v>
      </c>
      <c r="F1952">
        <v>406</v>
      </c>
      <c r="G1952">
        <v>65</v>
      </c>
      <c r="H1952" t="s">
        <v>662</v>
      </c>
      <c r="I1952" t="s">
        <v>2271</v>
      </c>
      <c r="J1952">
        <v>1067625</v>
      </c>
      <c r="K1952">
        <v>2025</v>
      </c>
      <c r="L1952">
        <v>1017923607</v>
      </c>
      <c r="M1952" t="s">
        <v>4015</v>
      </c>
      <c r="N1952" t="s">
        <v>1688</v>
      </c>
      <c r="O1952" t="s">
        <v>1686</v>
      </c>
      <c r="P1952">
        <v>0</v>
      </c>
      <c r="Q1952">
        <v>1067625</v>
      </c>
      <c r="R1952">
        <v>0</v>
      </c>
      <c r="S1952">
        <v>0</v>
      </c>
      <c r="T1952" t="str">
        <f t="shared" si="60"/>
        <v>14642.43.4302.85.0-205128.2.3.3.08.06.</v>
      </c>
      <c r="U1952" t="e" cm="1">
        <f t="array" aca="1" ref="U1952" ca="1">+IF(COMPROMISOS_2025[[#This Row],[P]]="20","41080111",_xlfn.XLOOKUP(COMPROMISOS_2025[[#This Row],[concatenado]],PAA[[#All],[RCP-RUBRO]],PAA[[#All],[INDICADOR]],"",0))</f>
        <v>#NAME?</v>
      </c>
      <c r="V1952" s="144" t="str">
        <f t="shared" si="61"/>
        <v>85</v>
      </c>
      <c r="W1952" s="136">
        <f>+COMPROMISOS_2025[[#This Row],[valor_total]]-COMPROMISOS_2025[[#This Row],[total_cancelado]]</f>
        <v>1067625</v>
      </c>
      <c r="X1952" s="136">
        <f>COMPROMISOS_2025[[#This Row],[total_ordenes]]</f>
        <v>1067625</v>
      </c>
      <c r="Y1952" t="str" cm="1">
        <f t="array" aca="1" ref="Y1952" ca="1">IFERROR(_xlfn.XLOOKUP(COMPROMISOS_2025[[#This Row],[concatenado]],PAA[[#All],[RCP-RUBRO]],PAA[[#All],[Actividad3]],VLOOKUP(COMPROMISOS_2025[[#This Row],[Indicador Principal]],$AC$2:$AD$17,2,0),0),"")</f>
        <v/>
      </c>
    </row>
    <row r="1953" spans="1:25" hidden="1" x14ac:dyDescent="0.25">
      <c r="A1953">
        <v>1465</v>
      </c>
      <c r="B1953" t="s">
        <v>2491</v>
      </c>
      <c r="C1953" t="s">
        <v>1936</v>
      </c>
      <c r="D1953" t="s">
        <v>4182</v>
      </c>
      <c r="F1953">
        <v>406</v>
      </c>
      <c r="G1953">
        <v>65</v>
      </c>
      <c r="H1953" t="s">
        <v>662</v>
      </c>
      <c r="I1953" t="s">
        <v>2271</v>
      </c>
      <c r="J1953">
        <v>1067625</v>
      </c>
      <c r="K1953">
        <v>2025</v>
      </c>
      <c r="L1953">
        <v>1017925877</v>
      </c>
      <c r="M1953" t="s">
        <v>4295</v>
      </c>
      <c r="N1953" t="s">
        <v>1688</v>
      </c>
      <c r="O1953" t="s">
        <v>1686</v>
      </c>
      <c r="P1953">
        <v>0</v>
      </c>
      <c r="Q1953">
        <v>1067625</v>
      </c>
      <c r="R1953">
        <v>0</v>
      </c>
      <c r="S1953">
        <v>0</v>
      </c>
      <c r="T1953" t="str">
        <f t="shared" si="60"/>
        <v>14652.43.4302.85.0-205128.2.3.3.08.06.</v>
      </c>
      <c r="U1953" t="e" cm="1">
        <f t="array" aca="1" ref="U1953" ca="1">+IF(COMPROMISOS_2025[[#This Row],[P]]="20","41080111",_xlfn.XLOOKUP(COMPROMISOS_2025[[#This Row],[concatenado]],PAA[[#All],[RCP-RUBRO]],PAA[[#All],[INDICADOR]],"",0))</f>
        <v>#NAME?</v>
      </c>
      <c r="V1953" s="144" t="str">
        <f t="shared" si="61"/>
        <v>85</v>
      </c>
      <c r="W1953" s="136">
        <f>+COMPROMISOS_2025[[#This Row],[valor_total]]-COMPROMISOS_2025[[#This Row],[total_cancelado]]</f>
        <v>1067625</v>
      </c>
      <c r="X1953" s="136">
        <f>COMPROMISOS_2025[[#This Row],[total_ordenes]]</f>
        <v>1067625</v>
      </c>
      <c r="Y1953" t="str" cm="1">
        <f t="array" aca="1" ref="Y1953" ca="1">IFERROR(_xlfn.XLOOKUP(COMPROMISOS_2025[[#This Row],[concatenado]],PAA[[#All],[RCP-RUBRO]],PAA[[#All],[Actividad3]],VLOOKUP(COMPROMISOS_2025[[#This Row],[Indicador Principal]],$AC$2:$AD$17,2,0),0),"")</f>
        <v/>
      </c>
    </row>
    <row r="1954" spans="1:25" hidden="1" x14ac:dyDescent="0.25">
      <c r="A1954">
        <v>1466</v>
      </c>
      <c r="B1954" t="s">
        <v>2491</v>
      </c>
      <c r="C1954" t="s">
        <v>1936</v>
      </c>
      <c r="D1954" t="s">
        <v>4182</v>
      </c>
      <c r="F1954">
        <v>406</v>
      </c>
      <c r="G1954">
        <v>65</v>
      </c>
      <c r="H1954" t="s">
        <v>662</v>
      </c>
      <c r="I1954" t="s">
        <v>2271</v>
      </c>
      <c r="J1954">
        <v>711750</v>
      </c>
      <c r="K1954">
        <v>2025</v>
      </c>
      <c r="L1954">
        <v>1017926694</v>
      </c>
      <c r="M1954" t="s">
        <v>3646</v>
      </c>
      <c r="N1954" t="s">
        <v>1688</v>
      </c>
      <c r="O1954" t="s">
        <v>1686</v>
      </c>
      <c r="P1954">
        <v>0</v>
      </c>
      <c r="Q1954">
        <v>711750</v>
      </c>
      <c r="R1954">
        <v>0</v>
      </c>
      <c r="S1954">
        <v>0</v>
      </c>
      <c r="T1954" t="str">
        <f t="shared" si="60"/>
        <v>14662.43.4302.85.0-205128.2.3.3.08.06.</v>
      </c>
      <c r="U1954" t="e" cm="1">
        <f t="array" aca="1" ref="U1954" ca="1">+IF(COMPROMISOS_2025[[#This Row],[P]]="20","41080111",_xlfn.XLOOKUP(COMPROMISOS_2025[[#This Row],[concatenado]],PAA[[#All],[RCP-RUBRO]],PAA[[#All],[INDICADOR]],"",0))</f>
        <v>#NAME?</v>
      </c>
      <c r="V1954" s="144" t="str">
        <f t="shared" si="61"/>
        <v>85</v>
      </c>
      <c r="W1954" s="136">
        <f>+COMPROMISOS_2025[[#This Row],[valor_total]]-COMPROMISOS_2025[[#This Row],[total_cancelado]]</f>
        <v>711750</v>
      </c>
      <c r="X1954" s="136">
        <f>COMPROMISOS_2025[[#This Row],[total_ordenes]]</f>
        <v>711750</v>
      </c>
      <c r="Y1954" t="str" cm="1">
        <f t="array" aca="1" ref="Y1954" ca="1">IFERROR(_xlfn.XLOOKUP(COMPROMISOS_2025[[#This Row],[concatenado]],PAA[[#All],[RCP-RUBRO]],PAA[[#All],[Actividad3]],VLOOKUP(COMPROMISOS_2025[[#This Row],[Indicador Principal]],$AC$2:$AD$17,2,0),0),"")</f>
        <v/>
      </c>
    </row>
    <row r="1955" spans="1:25" hidden="1" x14ac:dyDescent="0.25">
      <c r="A1955">
        <v>1467</v>
      </c>
      <c r="B1955" t="s">
        <v>2491</v>
      </c>
      <c r="C1955" t="s">
        <v>1936</v>
      </c>
      <c r="D1955" t="s">
        <v>4182</v>
      </c>
      <c r="F1955">
        <v>406</v>
      </c>
      <c r="G1955">
        <v>65</v>
      </c>
      <c r="H1955" t="s">
        <v>662</v>
      </c>
      <c r="I1955" t="s">
        <v>2271</v>
      </c>
      <c r="J1955">
        <v>711750</v>
      </c>
      <c r="K1955">
        <v>2025</v>
      </c>
      <c r="L1955">
        <v>1017927385</v>
      </c>
      <c r="M1955" t="s">
        <v>3647</v>
      </c>
      <c r="N1955" t="s">
        <v>1688</v>
      </c>
      <c r="O1955" t="s">
        <v>1686</v>
      </c>
      <c r="P1955">
        <v>0</v>
      </c>
      <c r="Q1955">
        <v>711750</v>
      </c>
      <c r="R1955">
        <v>0</v>
      </c>
      <c r="S1955">
        <v>0</v>
      </c>
      <c r="T1955" t="str">
        <f t="shared" si="60"/>
        <v>14672.43.4302.85.0-205128.2.3.3.08.06.</v>
      </c>
      <c r="U1955" t="e" cm="1">
        <f t="array" aca="1" ref="U1955" ca="1">+IF(COMPROMISOS_2025[[#This Row],[P]]="20","41080111",_xlfn.XLOOKUP(COMPROMISOS_2025[[#This Row],[concatenado]],PAA[[#All],[RCP-RUBRO]],PAA[[#All],[INDICADOR]],"",0))</f>
        <v>#NAME?</v>
      </c>
      <c r="V1955" s="144" t="str">
        <f t="shared" si="61"/>
        <v>85</v>
      </c>
      <c r="W1955" s="136">
        <f>+COMPROMISOS_2025[[#This Row],[valor_total]]-COMPROMISOS_2025[[#This Row],[total_cancelado]]</f>
        <v>711750</v>
      </c>
      <c r="X1955" s="136">
        <f>COMPROMISOS_2025[[#This Row],[total_ordenes]]</f>
        <v>711750</v>
      </c>
      <c r="Y1955" t="str" cm="1">
        <f t="array" aca="1" ref="Y1955" ca="1">IFERROR(_xlfn.XLOOKUP(COMPROMISOS_2025[[#This Row],[concatenado]],PAA[[#All],[RCP-RUBRO]],PAA[[#All],[Actividad3]],VLOOKUP(COMPROMISOS_2025[[#This Row],[Indicador Principal]],$AC$2:$AD$17,2,0),0),"")</f>
        <v/>
      </c>
    </row>
    <row r="1956" spans="1:25" hidden="1" x14ac:dyDescent="0.25">
      <c r="A1956">
        <v>1468</v>
      </c>
      <c r="B1956" t="s">
        <v>2491</v>
      </c>
      <c r="C1956" t="s">
        <v>1936</v>
      </c>
      <c r="D1956" t="s">
        <v>4182</v>
      </c>
      <c r="F1956">
        <v>406</v>
      </c>
      <c r="G1956">
        <v>65</v>
      </c>
      <c r="H1956" t="s">
        <v>662</v>
      </c>
      <c r="I1956" t="s">
        <v>2271</v>
      </c>
      <c r="J1956">
        <v>711750</v>
      </c>
      <c r="K1956">
        <v>2025</v>
      </c>
      <c r="L1956">
        <v>1017928368</v>
      </c>
      <c r="M1956" t="s">
        <v>3648</v>
      </c>
      <c r="N1956" t="s">
        <v>1688</v>
      </c>
      <c r="O1956" t="s">
        <v>1686</v>
      </c>
      <c r="P1956">
        <v>0</v>
      </c>
      <c r="Q1956">
        <v>711750</v>
      </c>
      <c r="R1956">
        <v>0</v>
      </c>
      <c r="S1956">
        <v>0</v>
      </c>
      <c r="T1956" t="str">
        <f t="shared" si="60"/>
        <v>14682.43.4302.85.0-205128.2.3.3.08.06.</v>
      </c>
      <c r="U1956" t="e" cm="1">
        <f t="array" aca="1" ref="U1956" ca="1">+IF(COMPROMISOS_2025[[#This Row],[P]]="20","41080111",_xlfn.XLOOKUP(COMPROMISOS_2025[[#This Row],[concatenado]],PAA[[#All],[RCP-RUBRO]],PAA[[#All],[INDICADOR]],"",0))</f>
        <v>#NAME?</v>
      </c>
      <c r="V1956" s="144" t="str">
        <f t="shared" si="61"/>
        <v>85</v>
      </c>
      <c r="W1956" s="136">
        <f>+COMPROMISOS_2025[[#This Row],[valor_total]]-COMPROMISOS_2025[[#This Row],[total_cancelado]]</f>
        <v>711750</v>
      </c>
      <c r="X1956" s="136">
        <f>COMPROMISOS_2025[[#This Row],[total_ordenes]]</f>
        <v>711750</v>
      </c>
      <c r="Y1956" t="str" cm="1">
        <f t="array" aca="1" ref="Y1956" ca="1">IFERROR(_xlfn.XLOOKUP(COMPROMISOS_2025[[#This Row],[concatenado]],PAA[[#All],[RCP-RUBRO]],PAA[[#All],[Actividad3]],VLOOKUP(COMPROMISOS_2025[[#This Row],[Indicador Principal]],$AC$2:$AD$17,2,0),0),"")</f>
        <v/>
      </c>
    </row>
    <row r="1957" spans="1:25" hidden="1" x14ac:dyDescent="0.25">
      <c r="A1957">
        <v>1469</v>
      </c>
      <c r="B1957" t="s">
        <v>2491</v>
      </c>
      <c r="C1957" t="s">
        <v>1936</v>
      </c>
      <c r="D1957" t="s">
        <v>4182</v>
      </c>
      <c r="F1957">
        <v>406</v>
      </c>
      <c r="G1957">
        <v>65</v>
      </c>
      <c r="H1957" t="s">
        <v>662</v>
      </c>
      <c r="I1957" t="s">
        <v>2271</v>
      </c>
      <c r="J1957">
        <v>1067625</v>
      </c>
      <c r="K1957">
        <v>2025</v>
      </c>
      <c r="L1957">
        <v>1017929166</v>
      </c>
      <c r="M1957" t="s">
        <v>3649</v>
      </c>
      <c r="N1957" t="s">
        <v>1688</v>
      </c>
      <c r="O1957" t="s">
        <v>1686</v>
      </c>
      <c r="P1957">
        <v>0</v>
      </c>
      <c r="Q1957">
        <v>1067625</v>
      </c>
      <c r="R1957">
        <v>0</v>
      </c>
      <c r="S1957">
        <v>0</v>
      </c>
      <c r="T1957" t="str">
        <f t="shared" si="60"/>
        <v>14692.43.4302.85.0-205128.2.3.3.08.06.</v>
      </c>
      <c r="U1957" t="e" cm="1">
        <f t="array" aca="1" ref="U1957" ca="1">+IF(COMPROMISOS_2025[[#This Row],[P]]="20","41080111",_xlfn.XLOOKUP(COMPROMISOS_2025[[#This Row],[concatenado]],PAA[[#All],[RCP-RUBRO]],PAA[[#All],[INDICADOR]],"",0))</f>
        <v>#NAME?</v>
      </c>
      <c r="V1957" s="144" t="str">
        <f t="shared" si="61"/>
        <v>85</v>
      </c>
      <c r="W1957" s="136">
        <f>+COMPROMISOS_2025[[#This Row],[valor_total]]-COMPROMISOS_2025[[#This Row],[total_cancelado]]</f>
        <v>1067625</v>
      </c>
      <c r="X1957" s="136">
        <f>COMPROMISOS_2025[[#This Row],[total_ordenes]]</f>
        <v>1067625</v>
      </c>
      <c r="Y1957" t="str" cm="1">
        <f t="array" aca="1" ref="Y1957" ca="1">IFERROR(_xlfn.XLOOKUP(COMPROMISOS_2025[[#This Row],[concatenado]],PAA[[#All],[RCP-RUBRO]],PAA[[#All],[Actividad3]],VLOOKUP(COMPROMISOS_2025[[#This Row],[Indicador Principal]],$AC$2:$AD$17,2,0),0),"")</f>
        <v/>
      </c>
    </row>
    <row r="1958" spans="1:25" hidden="1" x14ac:dyDescent="0.25">
      <c r="A1958">
        <v>1470</v>
      </c>
      <c r="B1958" t="s">
        <v>2491</v>
      </c>
      <c r="C1958" t="s">
        <v>1936</v>
      </c>
      <c r="D1958" t="s">
        <v>4182</v>
      </c>
      <c r="F1958">
        <v>406</v>
      </c>
      <c r="G1958">
        <v>65</v>
      </c>
      <c r="H1958" t="s">
        <v>662</v>
      </c>
      <c r="I1958" t="s">
        <v>2271</v>
      </c>
      <c r="J1958">
        <v>711750</v>
      </c>
      <c r="K1958">
        <v>2025</v>
      </c>
      <c r="L1958">
        <v>1017931622</v>
      </c>
      <c r="M1958" t="s">
        <v>3650</v>
      </c>
      <c r="N1958" t="s">
        <v>1688</v>
      </c>
      <c r="O1958" t="s">
        <v>1686</v>
      </c>
      <c r="P1958">
        <v>0</v>
      </c>
      <c r="Q1958">
        <v>711750</v>
      </c>
      <c r="R1958">
        <v>0</v>
      </c>
      <c r="S1958">
        <v>0</v>
      </c>
      <c r="T1958" t="str">
        <f t="shared" si="60"/>
        <v>14702.43.4302.85.0-205128.2.3.3.08.06.</v>
      </c>
      <c r="U1958" t="e" cm="1">
        <f t="array" aca="1" ref="U1958" ca="1">+IF(COMPROMISOS_2025[[#This Row],[P]]="20","41080111",_xlfn.XLOOKUP(COMPROMISOS_2025[[#This Row],[concatenado]],PAA[[#All],[RCP-RUBRO]],PAA[[#All],[INDICADOR]],"",0))</f>
        <v>#NAME?</v>
      </c>
      <c r="V1958" s="144" t="str">
        <f t="shared" si="61"/>
        <v>85</v>
      </c>
      <c r="W1958" s="136">
        <f>+COMPROMISOS_2025[[#This Row],[valor_total]]-COMPROMISOS_2025[[#This Row],[total_cancelado]]</f>
        <v>711750</v>
      </c>
      <c r="X1958" s="136">
        <f>COMPROMISOS_2025[[#This Row],[total_ordenes]]</f>
        <v>711750</v>
      </c>
      <c r="Y1958" t="str" cm="1">
        <f t="array" aca="1" ref="Y1958" ca="1">IFERROR(_xlfn.XLOOKUP(COMPROMISOS_2025[[#This Row],[concatenado]],PAA[[#All],[RCP-RUBRO]],PAA[[#All],[Actividad3]],VLOOKUP(COMPROMISOS_2025[[#This Row],[Indicador Principal]],$AC$2:$AD$17,2,0),0),"")</f>
        <v/>
      </c>
    </row>
    <row r="1959" spans="1:25" hidden="1" x14ac:dyDescent="0.25">
      <c r="A1959">
        <v>1471</v>
      </c>
      <c r="B1959" t="s">
        <v>2491</v>
      </c>
      <c r="C1959" t="s">
        <v>1936</v>
      </c>
      <c r="D1959" t="s">
        <v>4182</v>
      </c>
      <c r="F1959">
        <v>406</v>
      </c>
      <c r="G1959">
        <v>65</v>
      </c>
      <c r="H1959" t="s">
        <v>662</v>
      </c>
      <c r="I1959" t="s">
        <v>2271</v>
      </c>
      <c r="J1959">
        <v>711750</v>
      </c>
      <c r="K1959">
        <v>2025</v>
      </c>
      <c r="L1959">
        <v>1018223473</v>
      </c>
      <c r="M1959" t="s">
        <v>3651</v>
      </c>
      <c r="N1959" t="s">
        <v>1688</v>
      </c>
      <c r="O1959" t="s">
        <v>1686</v>
      </c>
      <c r="P1959">
        <v>0</v>
      </c>
      <c r="Q1959">
        <v>711750</v>
      </c>
      <c r="R1959">
        <v>0</v>
      </c>
      <c r="S1959">
        <v>0</v>
      </c>
      <c r="T1959" t="str">
        <f t="shared" si="60"/>
        <v>14712.43.4302.85.0-205128.2.3.3.08.06.</v>
      </c>
      <c r="U1959" t="e" cm="1">
        <f t="array" aca="1" ref="U1959" ca="1">+IF(COMPROMISOS_2025[[#This Row],[P]]="20","41080111",_xlfn.XLOOKUP(COMPROMISOS_2025[[#This Row],[concatenado]],PAA[[#All],[RCP-RUBRO]],PAA[[#All],[INDICADOR]],"",0))</f>
        <v>#NAME?</v>
      </c>
      <c r="V1959" s="144" t="str">
        <f t="shared" si="61"/>
        <v>85</v>
      </c>
      <c r="W1959" s="136">
        <f>+COMPROMISOS_2025[[#This Row],[valor_total]]-COMPROMISOS_2025[[#This Row],[total_cancelado]]</f>
        <v>711750</v>
      </c>
      <c r="X1959" s="136">
        <f>COMPROMISOS_2025[[#This Row],[total_ordenes]]</f>
        <v>711750</v>
      </c>
      <c r="Y1959" t="str" cm="1">
        <f t="array" aca="1" ref="Y1959" ca="1">IFERROR(_xlfn.XLOOKUP(COMPROMISOS_2025[[#This Row],[concatenado]],PAA[[#All],[RCP-RUBRO]],PAA[[#All],[Actividad3]],VLOOKUP(COMPROMISOS_2025[[#This Row],[Indicador Principal]],$AC$2:$AD$17,2,0),0),"")</f>
        <v/>
      </c>
    </row>
    <row r="1960" spans="1:25" hidden="1" x14ac:dyDescent="0.25">
      <c r="A1960">
        <v>1472</v>
      </c>
      <c r="B1960" t="s">
        <v>2491</v>
      </c>
      <c r="C1960" t="s">
        <v>1936</v>
      </c>
      <c r="D1960" t="s">
        <v>4182</v>
      </c>
      <c r="F1960">
        <v>406</v>
      </c>
      <c r="G1960">
        <v>65</v>
      </c>
      <c r="H1960" t="s">
        <v>662</v>
      </c>
      <c r="I1960" t="s">
        <v>2271</v>
      </c>
      <c r="J1960">
        <v>1423500</v>
      </c>
      <c r="K1960">
        <v>2025</v>
      </c>
      <c r="L1960">
        <v>1018225068</v>
      </c>
      <c r="M1960" t="s">
        <v>4016</v>
      </c>
      <c r="N1960" t="s">
        <v>1688</v>
      </c>
      <c r="O1960" t="s">
        <v>1686</v>
      </c>
      <c r="P1960">
        <v>0</v>
      </c>
      <c r="Q1960">
        <v>1423500</v>
      </c>
      <c r="R1960">
        <v>0</v>
      </c>
      <c r="S1960">
        <v>0</v>
      </c>
      <c r="T1960" t="str">
        <f t="shared" si="60"/>
        <v>14722.43.4302.85.0-205128.2.3.3.08.06.</v>
      </c>
      <c r="U1960" t="e" cm="1">
        <f t="array" aca="1" ref="U1960" ca="1">+IF(COMPROMISOS_2025[[#This Row],[P]]="20","41080111",_xlfn.XLOOKUP(COMPROMISOS_2025[[#This Row],[concatenado]],PAA[[#All],[RCP-RUBRO]],PAA[[#All],[INDICADOR]],"",0))</f>
        <v>#NAME?</v>
      </c>
      <c r="V1960" s="144" t="str">
        <f t="shared" si="61"/>
        <v>85</v>
      </c>
      <c r="W1960" s="136">
        <f>+COMPROMISOS_2025[[#This Row],[valor_total]]-COMPROMISOS_2025[[#This Row],[total_cancelado]]</f>
        <v>1423500</v>
      </c>
      <c r="X1960" s="136">
        <f>COMPROMISOS_2025[[#This Row],[total_ordenes]]</f>
        <v>1423500</v>
      </c>
      <c r="Y1960" t="str" cm="1">
        <f t="array" aca="1" ref="Y1960" ca="1">IFERROR(_xlfn.XLOOKUP(COMPROMISOS_2025[[#This Row],[concatenado]],PAA[[#All],[RCP-RUBRO]],PAA[[#All],[Actividad3]],VLOOKUP(COMPROMISOS_2025[[#This Row],[Indicador Principal]],$AC$2:$AD$17,2,0),0),"")</f>
        <v/>
      </c>
    </row>
    <row r="1961" spans="1:25" hidden="1" x14ac:dyDescent="0.25">
      <c r="A1961">
        <v>1473</v>
      </c>
      <c r="B1961" t="s">
        <v>2491</v>
      </c>
      <c r="C1961" t="s">
        <v>1936</v>
      </c>
      <c r="D1961" t="s">
        <v>4182</v>
      </c>
      <c r="F1961">
        <v>406</v>
      </c>
      <c r="G1961">
        <v>65</v>
      </c>
      <c r="H1961" t="s">
        <v>662</v>
      </c>
      <c r="I1961" t="s">
        <v>2271</v>
      </c>
      <c r="J1961">
        <v>1423500</v>
      </c>
      <c r="K1961">
        <v>2025</v>
      </c>
      <c r="L1961">
        <v>1018226620</v>
      </c>
      <c r="M1961" t="s">
        <v>4018</v>
      </c>
      <c r="N1961" t="s">
        <v>1688</v>
      </c>
      <c r="O1961" t="s">
        <v>1686</v>
      </c>
      <c r="P1961">
        <v>0</v>
      </c>
      <c r="Q1961">
        <v>1423500</v>
      </c>
      <c r="R1961">
        <v>0</v>
      </c>
      <c r="S1961">
        <v>0</v>
      </c>
      <c r="T1961" t="str">
        <f t="shared" si="60"/>
        <v>14732.43.4302.85.0-205128.2.3.3.08.06.</v>
      </c>
      <c r="U1961" t="e" cm="1">
        <f t="array" aca="1" ref="U1961" ca="1">+IF(COMPROMISOS_2025[[#This Row],[P]]="20","41080111",_xlfn.XLOOKUP(COMPROMISOS_2025[[#This Row],[concatenado]],PAA[[#All],[RCP-RUBRO]],PAA[[#All],[INDICADOR]],"",0))</f>
        <v>#NAME?</v>
      </c>
      <c r="V1961" s="144" t="str">
        <f t="shared" si="61"/>
        <v>85</v>
      </c>
      <c r="W1961" s="136">
        <f>+COMPROMISOS_2025[[#This Row],[valor_total]]-COMPROMISOS_2025[[#This Row],[total_cancelado]]</f>
        <v>1423500</v>
      </c>
      <c r="X1961" s="136">
        <f>COMPROMISOS_2025[[#This Row],[total_ordenes]]</f>
        <v>1423500</v>
      </c>
      <c r="Y1961" t="str" cm="1">
        <f t="array" aca="1" ref="Y1961" ca="1">IFERROR(_xlfn.XLOOKUP(COMPROMISOS_2025[[#This Row],[concatenado]],PAA[[#All],[RCP-RUBRO]],PAA[[#All],[Actividad3]],VLOOKUP(COMPROMISOS_2025[[#This Row],[Indicador Principal]],$AC$2:$AD$17,2,0),0),"")</f>
        <v/>
      </c>
    </row>
    <row r="1962" spans="1:25" hidden="1" x14ac:dyDescent="0.25">
      <c r="A1962">
        <v>1474</v>
      </c>
      <c r="B1962" t="s">
        <v>2491</v>
      </c>
      <c r="C1962" t="s">
        <v>1936</v>
      </c>
      <c r="D1962" t="s">
        <v>4182</v>
      </c>
      <c r="F1962">
        <v>406</v>
      </c>
      <c r="G1962">
        <v>65</v>
      </c>
      <c r="H1962" t="s">
        <v>662</v>
      </c>
      <c r="I1962" t="s">
        <v>2271</v>
      </c>
      <c r="J1962">
        <v>5694000</v>
      </c>
      <c r="K1962">
        <v>2025</v>
      </c>
      <c r="L1962">
        <v>1018230336</v>
      </c>
      <c r="M1962" t="s">
        <v>4019</v>
      </c>
      <c r="N1962" t="s">
        <v>1688</v>
      </c>
      <c r="O1962" t="s">
        <v>1686</v>
      </c>
      <c r="P1962">
        <v>0</v>
      </c>
      <c r="Q1962">
        <v>5694000</v>
      </c>
      <c r="R1962">
        <v>0</v>
      </c>
      <c r="S1962">
        <v>0</v>
      </c>
      <c r="T1962" t="str">
        <f t="shared" si="60"/>
        <v>14742.43.4302.85.0-205128.2.3.3.08.06.</v>
      </c>
      <c r="U1962" t="e" cm="1">
        <f t="array" aca="1" ref="U1962" ca="1">+IF(COMPROMISOS_2025[[#This Row],[P]]="20","41080111",_xlfn.XLOOKUP(COMPROMISOS_2025[[#This Row],[concatenado]],PAA[[#All],[RCP-RUBRO]],PAA[[#All],[INDICADOR]],"",0))</f>
        <v>#NAME?</v>
      </c>
      <c r="V1962" s="144" t="str">
        <f t="shared" si="61"/>
        <v>85</v>
      </c>
      <c r="W1962" s="136">
        <f>+COMPROMISOS_2025[[#This Row],[valor_total]]-COMPROMISOS_2025[[#This Row],[total_cancelado]]</f>
        <v>5694000</v>
      </c>
      <c r="X1962" s="136">
        <f>COMPROMISOS_2025[[#This Row],[total_ordenes]]</f>
        <v>5694000</v>
      </c>
      <c r="Y1962" t="str" cm="1">
        <f t="array" aca="1" ref="Y1962" ca="1">IFERROR(_xlfn.XLOOKUP(COMPROMISOS_2025[[#This Row],[concatenado]],PAA[[#All],[RCP-RUBRO]],PAA[[#All],[Actividad3]],VLOOKUP(COMPROMISOS_2025[[#This Row],[Indicador Principal]],$AC$2:$AD$17,2,0),0),"")</f>
        <v/>
      </c>
    </row>
    <row r="1963" spans="1:25" hidden="1" x14ac:dyDescent="0.25">
      <c r="A1963">
        <v>1475</v>
      </c>
      <c r="B1963" t="s">
        <v>2491</v>
      </c>
      <c r="C1963" t="s">
        <v>1936</v>
      </c>
      <c r="D1963" t="s">
        <v>4182</v>
      </c>
      <c r="F1963">
        <v>406</v>
      </c>
      <c r="G1963">
        <v>65</v>
      </c>
      <c r="H1963" t="s">
        <v>662</v>
      </c>
      <c r="I1963" t="s">
        <v>2271</v>
      </c>
      <c r="J1963">
        <v>711750</v>
      </c>
      <c r="K1963">
        <v>2025</v>
      </c>
      <c r="L1963">
        <v>1018235039</v>
      </c>
      <c r="M1963" t="s">
        <v>3652</v>
      </c>
      <c r="N1963" t="s">
        <v>1688</v>
      </c>
      <c r="O1963" t="s">
        <v>1686</v>
      </c>
      <c r="P1963">
        <v>0</v>
      </c>
      <c r="Q1963">
        <v>711750</v>
      </c>
      <c r="R1963">
        <v>0</v>
      </c>
      <c r="S1963">
        <v>0</v>
      </c>
      <c r="T1963" t="str">
        <f t="shared" si="60"/>
        <v>14752.43.4302.85.0-205128.2.3.3.08.06.</v>
      </c>
      <c r="U1963" t="e" cm="1">
        <f t="array" aca="1" ref="U1963" ca="1">+IF(COMPROMISOS_2025[[#This Row],[P]]="20","41080111",_xlfn.XLOOKUP(COMPROMISOS_2025[[#This Row],[concatenado]],PAA[[#All],[RCP-RUBRO]],PAA[[#All],[INDICADOR]],"",0))</f>
        <v>#NAME?</v>
      </c>
      <c r="V1963" s="144" t="str">
        <f t="shared" si="61"/>
        <v>85</v>
      </c>
      <c r="W1963" s="136">
        <f>+COMPROMISOS_2025[[#This Row],[valor_total]]-COMPROMISOS_2025[[#This Row],[total_cancelado]]</f>
        <v>711750</v>
      </c>
      <c r="X1963" s="136">
        <f>COMPROMISOS_2025[[#This Row],[total_ordenes]]</f>
        <v>711750</v>
      </c>
      <c r="Y1963" t="str" cm="1">
        <f t="array" aca="1" ref="Y1963" ca="1">IFERROR(_xlfn.XLOOKUP(COMPROMISOS_2025[[#This Row],[concatenado]],PAA[[#All],[RCP-RUBRO]],PAA[[#All],[Actividad3]],VLOOKUP(COMPROMISOS_2025[[#This Row],[Indicador Principal]],$AC$2:$AD$17,2,0),0),"")</f>
        <v/>
      </c>
    </row>
    <row r="1964" spans="1:25" hidden="1" x14ac:dyDescent="0.25">
      <c r="A1964">
        <v>1476</v>
      </c>
      <c r="B1964" t="s">
        <v>2491</v>
      </c>
      <c r="C1964" t="s">
        <v>1936</v>
      </c>
      <c r="D1964" t="s">
        <v>4182</v>
      </c>
      <c r="F1964">
        <v>406</v>
      </c>
      <c r="G1964">
        <v>65</v>
      </c>
      <c r="H1964" t="s">
        <v>662</v>
      </c>
      <c r="I1964" t="s">
        <v>2271</v>
      </c>
      <c r="J1964">
        <v>1423500</v>
      </c>
      <c r="K1964">
        <v>2025</v>
      </c>
      <c r="L1964">
        <v>1018237672</v>
      </c>
      <c r="M1964" t="s">
        <v>4296</v>
      </c>
      <c r="N1964" t="s">
        <v>1688</v>
      </c>
      <c r="O1964" t="s">
        <v>1686</v>
      </c>
      <c r="P1964">
        <v>0</v>
      </c>
      <c r="Q1964">
        <v>1423500</v>
      </c>
      <c r="R1964">
        <v>0</v>
      </c>
      <c r="S1964">
        <v>0</v>
      </c>
      <c r="T1964" t="str">
        <f t="shared" si="60"/>
        <v>14762.43.4302.85.0-205128.2.3.3.08.06.</v>
      </c>
      <c r="U1964" t="e" cm="1">
        <f t="array" aca="1" ref="U1964" ca="1">+IF(COMPROMISOS_2025[[#This Row],[P]]="20","41080111",_xlfn.XLOOKUP(COMPROMISOS_2025[[#This Row],[concatenado]],PAA[[#All],[RCP-RUBRO]],PAA[[#All],[INDICADOR]],"",0))</f>
        <v>#NAME?</v>
      </c>
      <c r="V1964" s="144" t="str">
        <f t="shared" si="61"/>
        <v>85</v>
      </c>
      <c r="W1964" s="136">
        <f>+COMPROMISOS_2025[[#This Row],[valor_total]]-COMPROMISOS_2025[[#This Row],[total_cancelado]]</f>
        <v>1423500</v>
      </c>
      <c r="X1964" s="136">
        <f>COMPROMISOS_2025[[#This Row],[total_ordenes]]</f>
        <v>1423500</v>
      </c>
      <c r="Y1964" t="str" cm="1">
        <f t="array" aca="1" ref="Y1964" ca="1">IFERROR(_xlfn.XLOOKUP(COMPROMISOS_2025[[#This Row],[concatenado]],PAA[[#All],[RCP-RUBRO]],PAA[[#All],[Actividad3]],VLOOKUP(COMPROMISOS_2025[[#This Row],[Indicador Principal]],$AC$2:$AD$17,2,0),0),"")</f>
        <v/>
      </c>
    </row>
    <row r="1965" spans="1:25" hidden="1" x14ac:dyDescent="0.25">
      <c r="A1965">
        <v>1477</v>
      </c>
      <c r="B1965" t="s">
        <v>2491</v>
      </c>
      <c r="C1965" t="s">
        <v>1936</v>
      </c>
      <c r="D1965" t="s">
        <v>4182</v>
      </c>
      <c r="F1965">
        <v>406</v>
      </c>
      <c r="G1965">
        <v>65</v>
      </c>
      <c r="H1965" t="s">
        <v>662</v>
      </c>
      <c r="I1965" t="s">
        <v>2271</v>
      </c>
      <c r="J1965">
        <v>711750</v>
      </c>
      <c r="K1965">
        <v>2025</v>
      </c>
      <c r="L1965">
        <v>1018238388</v>
      </c>
      <c r="M1965" t="s">
        <v>3653</v>
      </c>
      <c r="N1965" t="s">
        <v>1688</v>
      </c>
      <c r="O1965" t="s">
        <v>1686</v>
      </c>
      <c r="P1965">
        <v>0</v>
      </c>
      <c r="Q1965">
        <v>711750</v>
      </c>
      <c r="R1965">
        <v>0</v>
      </c>
      <c r="S1965">
        <v>0</v>
      </c>
      <c r="T1965" t="str">
        <f t="shared" si="60"/>
        <v>14772.43.4302.85.0-205128.2.3.3.08.06.</v>
      </c>
      <c r="U1965" t="e" cm="1">
        <f t="array" aca="1" ref="U1965" ca="1">+IF(COMPROMISOS_2025[[#This Row],[P]]="20","41080111",_xlfn.XLOOKUP(COMPROMISOS_2025[[#This Row],[concatenado]],PAA[[#All],[RCP-RUBRO]],PAA[[#All],[INDICADOR]],"",0))</f>
        <v>#NAME?</v>
      </c>
      <c r="V1965" s="144" t="str">
        <f t="shared" si="61"/>
        <v>85</v>
      </c>
      <c r="W1965" s="136">
        <f>+COMPROMISOS_2025[[#This Row],[valor_total]]-COMPROMISOS_2025[[#This Row],[total_cancelado]]</f>
        <v>711750</v>
      </c>
      <c r="X1965" s="136">
        <f>COMPROMISOS_2025[[#This Row],[total_ordenes]]</f>
        <v>711750</v>
      </c>
      <c r="Y1965" t="str" cm="1">
        <f t="array" aca="1" ref="Y1965" ca="1">IFERROR(_xlfn.XLOOKUP(COMPROMISOS_2025[[#This Row],[concatenado]],PAA[[#All],[RCP-RUBRO]],PAA[[#All],[Actividad3]],VLOOKUP(COMPROMISOS_2025[[#This Row],[Indicador Principal]],$AC$2:$AD$17,2,0),0),"")</f>
        <v/>
      </c>
    </row>
    <row r="1966" spans="1:25" hidden="1" x14ac:dyDescent="0.25">
      <c r="A1966">
        <v>1478</v>
      </c>
      <c r="B1966" t="s">
        <v>2491</v>
      </c>
      <c r="C1966" t="s">
        <v>1936</v>
      </c>
      <c r="D1966" t="s">
        <v>4182</v>
      </c>
      <c r="F1966">
        <v>406</v>
      </c>
      <c r="G1966">
        <v>65</v>
      </c>
      <c r="H1966" t="s">
        <v>662</v>
      </c>
      <c r="I1966" t="s">
        <v>2271</v>
      </c>
      <c r="J1966">
        <v>711750</v>
      </c>
      <c r="K1966">
        <v>2025</v>
      </c>
      <c r="L1966">
        <v>1018239007</v>
      </c>
      <c r="M1966" t="s">
        <v>4297</v>
      </c>
      <c r="N1966" t="s">
        <v>1688</v>
      </c>
      <c r="O1966" t="s">
        <v>1686</v>
      </c>
      <c r="P1966">
        <v>0</v>
      </c>
      <c r="Q1966">
        <v>711750</v>
      </c>
      <c r="R1966">
        <v>0</v>
      </c>
      <c r="S1966">
        <v>0</v>
      </c>
      <c r="T1966" t="str">
        <f t="shared" si="60"/>
        <v>14782.43.4302.85.0-205128.2.3.3.08.06.</v>
      </c>
      <c r="U1966" t="e" cm="1">
        <f t="array" aca="1" ref="U1966" ca="1">+IF(COMPROMISOS_2025[[#This Row],[P]]="20","41080111",_xlfn.XLOOKUP(COMPROMISOS_2025[[#This Row],[concatenado]],PAA[[#All],[RCP-RUBRO]],PAA[[#All],[INDICADOR]],"",0))</f>
        <v>#NAME?</v>
      </c>
      <c r="V1966" s="144" t="str">
        <f t="shared" si="61"/>
        <v>85</v>
      </c>
      <c r="W1966" s="136">
        <f>+COMPROMISOS_2025[[#This Row],[valor_total]]-COMPROMISOS_2025[[#This Row],[total_cancelado]]</f>
        <v>711750</v>
      </c>
      <c r="X1966" s="136">
        <f>COMPROMISOS_2025[[#This Row],[total_ordenes]]</f>
        <v>711750</v>
      </c>
      <c r="Y1966" t="str" cm="1">
        <f t="array" aca="1" ref="Y1966" ca="1">IFERROR(_xlfn.XLOOKUP(COMPROMISOS_2025[[#This Row],[concatenado]],PAA[[#All],[RCP-RUBRO]],PAA[[#All],[Actividad3]],VLOOKUP(COMPROMISOS_2025[[#This Row],[Indicador Principal]],$AC$2:$AD$17,2,0),0),"")</f>
        <v/>
      </c>
    </row>
    <row r="1967" spans="1:25" hidden="1" x14ac:dyDescent="0.25">
      <c r="A1967">
        <v>1479</v>
      </c>
      <c r="B1967" t="s">
        <v>2491</v>
      </c>
      <c r="C1967" t="s">
        <v>1936</v>
      </c>
      <c r="D1967" t="s">
        <v>4182</v>
      </c>
      <c r="F1967">
        <v>406</v>
      </c>
      <c r="G1967">
        <v>65</v>
      </c>
      <c r="H1967" t="s">
        <v>662</v>
      </c>
      <c r="I1967" t="s">
        <v>2271</v>
      </c>
      <c r="J1967">
        <v>711750</v>
      </c>
      <c r="K1967">
        <v>2025</v>
      </c>
      <c r="L1967">
        <v>1018240558</v>
      </c>
      <c r="M1967" t="s">
        <v>3654</v>
      </c>
      <c r="N1967" t="s">
        <v>1688</v>
      </c>
      <c r="O1967" t="s">
        <v>1686</v>
      </c>
      <c r="P1967">
        <v>0</v>
      </c>
      <c r="Q1967">
        <v>711750</v>
      </c>
      <c r="R1967">
        <v>0</v>
      </c>
      <c r="S1967">
        <v>0</v>
      </c>
      <c r="T1967" t="str">
        <f t="shared" si="60"/>
        <v>14792.43.4302.85.0-205128.2.3.3.08.06.</v>
      </c>
      <c r="U1967" t="e" cm="1">
        <f t="array" aca="1" ref="U1967" ca="1">+IF(COMPROMISOS_2025[[#This Row],[P]]="20","41080111",_xlfn.XLOOKUP(COMPROMISOS_2025[[#This Row],[concatenado]],PAA[[#All],[RCP-RUBRO]],PAA[[#All],[INDICADOR]],"",0))</f>
        <v>#NAME?</v>
      </c>
      <c r="V1967" s="144" t="str">
        <f t="shared" si="61"/>
        <v>85</v>
      </c>
      <c r="W1967" s="136">
        <f>+COMPROMISOS_2025[[#This Row],[valor_total]]-COMPROMISOS_2025[[#This Row],[total_cancelado]]</f>
        <v>711750</v>
      </c>
      <c r="X1967" s="136">
        <f>COMPROMISOS_2025[[#This Row],[total_ordenes]]</f>
        <v>711750</v>
      </c>
      <c r="Y1967" t="str" cm="1">
        <f t="array" aca="1" ref="Y1967" ca="1">IFERROR(_xlfn.XLOOKUP(COMPROMISOS_2025[[#This Row],[concatenado]],PAA[[#All],[RCP-RUBRO]],PAA[[#All],[Actividad3]],VLOOKUP(COMPROMISOS_2025[[#This Row],[Indicador Principal]],$AC$2:$AD$17,2,0),0),"")</f>
        <v/>
      </c>
    </row>
    <row r="1968" spans="1:25" hidden="1" x14ac:dyDescent="0.25">
      <c r="A1968">
        <v>1480</v>
      </c>
      <c r="B1968" t="s">
        <v>2491</v>
      </c>
      <c r="C1968" t="s">
        <v>1936</v>
      </c>
      <c r="D1968" t="s">
        <v>4182</v>
      </c>
      <c r="F1968">
        <v>406</v>
      </c>
      <c r="G1968">
        <v>65</v>
      </c>
      <c r="H1968" t="s">
        <v>662</v>
      </c>
      <c r="I1968" t="s">
        <v>2271</v>
      </c>
      <c r="J1968">
        <v>1067625</v>
      </c>
      <c r="K1968">
        <v>2025</v>
      </c>
      <c r="L1968">
        <v>1018242485</v>
      </c>
      <c r="M1968" t="s">
        <v>3655</v>
      </c>
      <c r="N1968" t="s">
        <v>1688</v>
      </c>
      <c r="O1968" t="s">
        <v>1686</v>
      </c>
      <c r="P1968">
        <v>0</v>
      </c>
      <c r="Q1968">
        <v>1067625</v>
      </c>
      <c r="R1968">
        <v>0</v>
      </c>
      <c r="S1968">
        <v>0</v>
      </c>
      <c r="T1968" t="str">
        <f t="shared" si="60"/>
        <v>14802.43.4302.85.0-205128.2.3.3.08.06.</v>
      </c>
      <c r="U1968" t="e" cm="1">
        <f t="array" aca="1" ref="U1968" ca="1">+IF(COMPROMISOS_2025[[#This Row],[P]]="20","41080111",_xlfn.XLOOKUP(COMPROMISOS_2025[[#This Row],[concatenado]],PAA[[#All],[RCP-RUBRO]],PAA[[#All],[INDICADOR]],"",0))</f>
        <v>#NAME?</v>
      </c>
      <c r="V1968" s="144" t="str">
        <f t="shared" si="61"/>
        <v>85</v>
      </c>
      <c r="W1968" s="136">
        <f>+COMPROMISOS_2025[[#This Row],[valor_total]]-COMPROMISOS_2025[[#This Row],[total_cancelado]]</f>
        <v>1067625</v>
      </c>
      <c r="X1968" s="136">
        <f>COMPROMISOS_2025[[#This Row],[total_ordenes]]</f>
        <v>1067625</v>
      </c>
      <c r="Y1968" t="str" cm="1">
        <f t="array" aca="1" ref="Y1968" ca="1">IFERROR(_xlfn.XLOOKUP(COMPROMISOS_2025[[#This Row],[concatenado]],PAA[[#All],[RCP-RUBRO]],PAA[[#All],[Actividad3]],VLOOKUP(COMPROMISOS_2025[[#This Row],[Indicador Principal]],$AC$2:$AD$17,2,0),0),"")</f>
        <v/>
      </c>
    </row>
    <row r="1969" spans="1:25" hidden="1" x14ac:dyDescent="0.25">
      <c r="A1969">
        <v>1481</v>
      </c>
      <c r="B1969" t="s">
        <v>2491</v>
      </c>
      <c r="C1969" t="s">
        <v>1936</v>
      </c>
      <c r="D1969" t="s">
        <v>4182</v>
      </c>
      <c r="F1969">
        <v>406</v>
      </c>
      <c r="G1969">
        <v>65</v>
      </c>
      <c r="H1969" t="s">
        <v>662</v>
      </c>
      <c r="I1969" t="s">
        <v>2271</v>
      </c>
      <c r="J1969">
        <v>711750</v>
      </c>
      <c r="K1969">
        <v>2025</v>
      </c>
      <c r="L1969">
        <v>1018244713</v>
      </c>
      <c r="M1969" t="s">
        <v>3656</v>
      </c>
      <c r="N1969" t="s">
        <v>1688</v>
      </c>
      <c r="O1969" t="s">
        <v>1686</v>
      </c>
      <c r="P1969">
        <v>0</v>
      </c>
      <c r="Q1969">
        <v>711750</v>
      </c>
      <c r="R1969">
        <v>0</v>
      </c>
      <c r="S1969">
        <v>0</v>
      </c>
      <c r="T1969" t="str">
        <f t="shared" si="60"/>
        <v>14812.43.4302.85.0-205128.2.3.3.08.06.</v>
      </c>
      <c r="U1969" t="e" cm="1">
        <f t="array" aca="1" ref="U1969" ca="1">+IF(COMPROMISOS_2025[[#This Row],[P]]="20","41080111",_xlfn.XLOOKUP(COMPROMISOS_2025[[#This Row],[concatenado]],PAA[[#All],[RCP-RUBRO]],PAA[[#All],[INDICADOR]],"",0))</f>
        <v>#NAME?</v>
      </c>
      <c r="V1969" s="144" t="str">
        <f t="shared" si="61"/>
        <v>85</v>
      </c>
      <c r="W1969" s="136">
        <f>+COMPROMISOS_2025[[#This Row],[valor_total]]-COMPROMISOS_2025[[#This Row],[total_cancelado]]</f>
        <v>711750</v>
      </c>
      <c r="X1969" s="136">
        <f>COMPROMISOS_2025[[#This Row],[total_ordenes]]</f>
        <v>711750</v>
      </c>
      <c r="Y1969" t="str" cm="1">
        <f t="array" aca="1" ref="Y1969" ca="1">IFERROR(_xlfn.XLOOKUP(COMPROMISOS_2025[[#This Row],[concatenado]],PAA[[#All],[RCP-RUBRO]],PAA[[#All],[Actividad3]],VLOOKUP(COMPROMISOS_2025[[#This Row],[Indicador Principal]],$AC$2:$AD$17,2,0),0),"")</f>
        <v/>
      </c>
    </row>
    <row r="1970" spans="1:25" hidden="1" x14ac:dyDescent="0.25">
      <c r="A1970">
        <v>1482</v>
      </c>
      <c r="B1970" t="s">
        <v>2491</v>
      </c>
      <c r="C1970" t="s">
        <v>1936</v>
      </c>
      <c r="D1970" t="s">
        <v>4182</v>
      </c>
      <c r="F1970">
        <v>406</v>
      </c>
      <c r="G1970">
        <v>65</v>
      </c>
      <c r="H1970" t="s">
        <v>662</v>
      </c>
      <c r="I1970" t="s">
        <v>2271</v>
      </c>
      <c r="J1970">
        <v>711750</v>
      </c>
      <c r="K1970">
        <v>2025</v>
      </c>
      <c r="L1970">
        <v>1018245321</v>
      </c>
      <c r="M1970" t="s">
        <v>4298</v>
      </c>
      <c r="N1970" t="s">
        <v>1688</v>
      </c>
      <c r="O1970" t="s">
        <v>1686</v>
      </c>
      <c r="P1970">
        <v>0</v>
      </c>
      <c r="Q1970">
        <v>711750</v>
      </c>
      <c r="R1970">
        <v>0</v>
      </c>
      <c r="S1970">
        <v>0</v>
      </c>
      <c r="T1970" t="str">
        <f t="shared" si="60"/>
        <v>14822.43.4302.85.0-205128.2.3.3.08.06.</v>
      </c>
      <c r="U1970" t="e" cm="1">
        <f t="array" aca="1" ref="U1970" ca="1">+IF(COMPROMISOS_2025[[#This Row],[P]]="20","41080111",_xlfn.XLOOKUP(COMPROMISOS_2025[[#This Row],[concatenado]],PAA[[#All],[RCP-RUBRO]],PAA[[#All],[INDICADOR]],"",0))</f>
        <v>#NAME?</v>
      </c>
      <c r="V1970" s="144" t="str">
        <f t="shared" si="61"/>
        <v>85</v>
      </c>
      <c r="W1970" s="136">
        <f>+COMPROMISOS_2025[[#This Row],[valor_total]]-COMPROMISOS_2025[[#This Row],[total_cancelado]]</f>
        <v>711750</v>
      </c>
      <c r="X1970" s="136">
        <f>COMPROMISOS_2025[[#This Row],[total_ordenes]]</f>
        <v>711750</v>
      </c>
      <c r="Y1970" t="str" cm="1">
        <f t="array" aca="1" ref="Y1970" ca="1">IFERROR(_xlfn.XLOOKUP(COMPROMISOS_2025[[#This Row],[concatenado]],PAA[[#All],[RCP-RUBRO]],PAA[[#All],[Actividad3]],VLOOKUP(COMPROMISOS_2025[[#This Row],[Indicador Principal]],$AC$2:$AD$17,2,0),0),"")</f>
        <v/>
      </c>
    </row>
    <row r="1971" spans="1:25" hidden="1" x14ac:dyDescent="0.25">
      <c r="A1971">
        <v>1483</v>
      </c>
      <c r="B1971" t="s">
        <v>2491</v>
      </c>
      <c r="C1971" t="s">
        <v>1936</v>
      </c>
      <c r="D1971" t="s">
        <v>4182</v>
      </c>
      <c r="F1971">
        <v>406</v>
      </c>
      <c r="G1971">
        <v>65</v>
      </c>
      <c r="H1971" t="s">
        <v>662</v>
      </c>
      <c r="I1971" t="s">
        <v>2271</v>
      </c>
      <c r="J1971">
        <v>711750</v>
      </c>
      <c r="K1971">
        <v>2025</v>
      </c>
      <c r="L1971">
        <v>1018247069</v>
      </c>
      <c r="M1971" t="s">
        <v>3657</v>
      </c>
      <c r="N1971" t="s">
        <v>1688</v>
      </c>
      <c r="O1971" t="s">
        <v>1686</v>
      </c>
      <c r="P1971">
        <v>0</v>
      </c>
      <c r="Q1971">
        <v>711750</v>
      </c>
      <c r="R1971">
        <v>0</v>
      </c>
      <c r="S1971">
        <v>0</v>
      </c>
      <c r="T1971" t="str">
        <f t="shared" si="60"/>
        <v>14832.43.4302.85.0-205128.2.3.3.08.06.</v>
      </c>
      <c r="U1971" t="e" cm="1">
        <f t="array" aca="1" ref="U1971" ca="1">+IF(COMPROMISOS_2025[[#This Row],[P]]="20","41080111",_xlfn.XLOOKUP(COMPROMISOS_2025[[#This Row],[concatenado]],PAA[[#All],[RCP-RUBRO]],PAA[[#All],[INDICADOR]],"",0))</f>
        <v>#NAME?</v>
      </c>
      <c r="V1971" s="144" t="str">
        <f t="shared" si="61"/>
        <v>85</v>
      </c>
      <c r="W1971" s="136">
        <f>+COMPROMISOS_2025[[#This Row],[valor_total]]-COMPROMISOS_2025[[#This Row],[total_cancelado]]</f>
        <v>711750</v>
      </c>
      <c r="X1971" s="136">
        <f>COMPROMISOS_2025[[#This Row],[total_ordenes]]</f>
        <v>711750</v>
      </c>
      <c r="Y1971" t="str" cm="1">
        <f t="array" aca="1" ref="Y1971" ca="1">IFERROR(_xlfn.XLOOKUP(COMPROMISOS_2025[[#This Row],[concatenado]],PAA[[#All],[RCP-RUBRO]],PAA[[#All],[Actividad3]],VLOOKUP(COMPROMISOS_2025[[#This Row],[Indicador Principal]],$AC$2:$AD$17,2,0),0),"")</f>
        <v/>
      </c>
    </row>
    <row r="1972" spans="1:25" hidden="1" x14ac:dyDescent="0.25">
      <c r="A1972">
        <v>1484</v>
      </c>
      <c r="B1972" t="s">
        <v>2491</v>
      </c>
      <c r="C1972" t="s">
        <v>1936</v>
      </c>
      <c r="D1972" t="s">
        <v>4182</v>
      </c>
      <c r="F1972">
        <v>406</v>
      </c>
      <c r="G1972">
        <v>65</v>
      </c>
      <c r="H1972" t="s">
        <v>662</v>
      </c>
      <c r="I1972" t="s">
        <v>2271</v>
      </c>
      <c r="J1972">
        <v>711750</v>
      </c>
      <c r="K1972">
        <v>2025</v>
      </c>
      <c r="L1972">
        <v>1018346496</v>
      </c>
      <c r="M1972" t="s">
        <v>3658</v>
      </c>
      <c r="N1972" t="s">
        <v>1688</v>
      </c>
      <c r="O1972" t="s">
        <v>1686</v>
      </c>
      <c r="P1972">
        <v>0</v>
      </c>
      <c r="Q1972">
        <v>711750</v>
      </c>
      <c r="R1972">
        <v>0</v>
      </c>
      <c r="S1972">
        <v>0</v>
      </c>
      <c r="T1972" t="str">
        <f t="shared" si="60"/>
        <v>14842.43.4302.85.0-205128.2.3.3.08.06.</v>
      </c>
      <c r="U1972" t="e" cm="1">
        <f t="array" aca="1" ref="U1972" ca="1">+IF(COMPROMISOS_2025[[#This Row],[P]]="20","41080111",_xlfn.XLOOKUP(COMPROMISOS_2025[[#This Row],[concatenado]],PAA[[#All],[RCP-RUBRO]],PAA[[#All],[INDICADOR]],"",0))</f>
        <v>#NAME?</v>
      </c>
      <c r="V1972" s="144" t="str">
        <f t="shared" si="61"/>
        <v>85</v>
      </c>
      <c r="W1972" s="136">
        <f>+COMPROMISOS_2025[[#This Row],[valor_total]]-COMPROMISOS_2025[[#This Row],[total_cancelado]]</f>
        <v>711750</v>
      </c>
      <c r="X1972" s="136">
        <f>COMPROMISOS_2025[[#This Row],[total_ordenes]]</f>
        <v>711750</v>
      </c>
      <c r="Y1972" t="str" cm="1">
        <f t="array" aca="1" ref="Y1972" ca="1">IFERROR(_xlfn.XLOOKUP(COMPROMISOS_2025[[#This Row],[concatenado]],PAA[[#All],[RCP-RUBRO]],PAA[[#All],[Actividad3]],VLOOKUP(COMPROMISOS_2025[[#This Row],[Indicador Principal]],$AC$2:$AD$17,2,0),0),"")</f>
        <v/>
      </c>
    </row>
    <row r="1973" spans="1:25" hidden="1" x14ac:dyDescent="0.25">
      <c r="A1973">
        <v>1485</v>
      </c>
      <c r="B1973" t="s">
        <v>2491</v>
      </c>
      <c r="C1973" t="s">
        <v>1936</v>
      </c>
      <c r="D1973" t="s">
        <v>4182</v>
      </c>
      <c r="F1973">
        <v>406</v>
      </c>
      <c r="G1973">
        <v>65</v>
      </c>
      <c r="H1973" t="s">
        <v>662</v>
      </c>
      <c r="I1973" t="s">
        <v>2271</v>
      </c>
      <c r="J1973">
        <v>2847000</v>
      </c>
      <c r="K1973">
        <v>2025</v>
      </c>
      <c r="L1973">
        <v>1018419929</v>
      </c>
      <c r="M1973" t="s">
        <v>4299</v>
      </c>
      <c r="N1973" t="s">
        <v>1688</v>
      </c>
      <c r="O1973" t="s">
        <v>1686</v>
      </c>
      <c r="P1973">
        <v>0</v>
      </c>
      <c r="Q1973">
        <v>2847000</v>
      </c>
      <c r="R1973">
        <v>0</v>
      </c>
      <c r="S1973">
        <v>0</v>
      </c>
      <c r="T1973" t="str">
        <f t="shared" si="60"/>
        <v>14852.43.4302.85.0-205128.2.3.3.08.06.</v>
      </c>
      <c r="U1973" t="e" cm="1">
        <f t="array" aca="1" ref="U1973" ca="1">+IF(COMPROMISOS_2025[[#This Row],[P]]="20","41080111",_xlfn.XLOOKUP(COMPROMISOS_2025[[#This Row],[concatenado]],PAA[[#All],[RCP-RUBRO]],PAA[[#All],[INDICADOR]],"",0))</f>
        <v>#NAME?</v>
      </c>
      <c r="V1973" s="144" t="str">
        <f t="shared" si="61"/>
        <v>85</v>
      </c>
      <c r="W1973" s="136">
        <f>+COMPROMISOS_2025[[#This Row],[valor_total]]-COMPROMISOS_2025[[#This Row],[total_cancelado]]</f>
        <v>2847000</v>
      </c>
      <c r="X1973" s="136">
        <f>COMPROMISOS_2025[[#This Row],[total_ordenes]]</f>
        <v>2847000</v>
      </c>
      <c r="Y1973" t="str" cm="1">
        <f t="array" aca="1" ref="Y1973" ca="1">IFERROR(_xlfn.XLOOKUP(COMPROMISOS_2025[[#This Row],[concatenado]],PAA[[#All],[RCP-RUBRO]],PAA[[#All],[Actividad3]],VLOOKUP(COMPROMISOS_2025[[#This Row],[Indicador Principal]],$AC$2:$AD$17,2,0),0),"")</f>
        <v/>
      </c>
    </row>
    <row r="1974" spans="1:25" hidden="1" x14ac:dyDescent="0.25">
      <c r="A1974">
        <v>1486</v>
      </c>
      <c r="B1974" t="s">
        <v>2491</v>
      </c>
      <c r="C1974" t="s">
        <v>1936</v>
      </c>
      <c r="D1974" t="s">
        <v>4182</v>
      </c>
      <c r="F1974">
        <v>406</v>
      </c>
      <c r="G1974">
        <v>65</v>
      </c>
      <c r="H1974" t="s">
        <v>662</v>
      </c>
      <c r="I1974" t="s">
        <v>2271</v>
      </c>
      <c r="J1974">
        <v>2847000</v>
      </c>
      <c r="K1974">
        <v>2025</v>
      </c>
      <c r="L1974">
        <v>1018513690</v>
      </c>
      <c r="M1974" t="s">
        <v>4022</v>
      </c>
      <c r="N1974" t="s">
        <v>1688</v>
      </c>
      <c r="O1974" t="s">
        <v>1686</v>
      </c>
      <c r="P1974">
        <v>0</v>
      </c>
      <c r="Q1974">
        <v>2847000</v>
      </c>
      <c r="R1974">
        <v>0</v>
      </c>
      <c r="S1974">
        <v>0</v>
      </c>
      <c r="T1974" t="str">
        <f t="shared" si="60"/>
        <v>14862.43.4302.85.0-205128.2.3.3.08.06.</v>
      </c>
      <c r="U1974" t="e" cm="1">
        <f t="array" aca="1" ref="U1974" ca="1">+IF(COMPROMISOS_2025[[#This Row],[P]]="20","41080111",_xlfn.XLOOKUP(COMPROMISOS_2025[[#This Row],[concatenado]],PAA[[#All],[RCP-RUBRO]],PAA[[#All],[INDICADOR]],"",0))</f>
        <v>#NAME?</v>
      </c>
      <c r="V1974" s="144" t="str">
        <f t="shared" si="61"/>
        <v>85</v>
      </c>
      <c r="W1974" s="136">
        <f>+COMPROMISOS_2025[[#This Row],[valor_total]]-COMPROMISOS_2025[[#This Row],[total_cancelado]]</f>
        <v>2847000</v>
      </c>
      <c r="X1974" s="136">
        <f>COMPROMISOS_2025[[#This Row],[total_ordenes]]</f>
        <v>2847000</v>
      </c>
      <c r="Y1974" t="str" cm="1">
        <f t="array" aca="1" ref="Y1974" ca="1">IFERROR(_xlfn.XLOOKUP(COMPROMISOS_2025[[#This Row],[concatenado]],PAA[[#All],[RCP-RUBRO]],PAA[[#All],[Actividad3]],VLOOKUP(COMPROMISOS_2025[[#This Row],[Indicador Principal]],$AC$2:$AD$17,2,0),0),"")</f>
        <v/>
      </c>
    </row>
    <row r="1975" spans="1:25" hidden="1" x14ac:dyDescent="0.25">
      <c r="A1975">
        <v>1487</v>
      </c>
      <c r="B1975" t="s">
        <v>2491</v>
      </c>
      <c r="C1975" t="s">
        <v>1936</v>
      </c>
      <c r="D1975" t="s">
        <v>4182</v>
      </c>
      <c r="F1975">
        <v>406</v>
      </c>
      <c r="G1975">
        <v>65</v>
      </c>
      <c r="H1975" t="s">
        <v>662</v>
      </c>
      <c r="I1975" t="s">
        <v>2271</v>
      </c>
      <c r="J1975">
        <v>1067625</v>
      </c>
      <c r="K1975">
        <v>2025</v>
      </c>
      <c r="L1975">
        <v>1019602772</v>
      </c>
      <c r="M1975" t="s">
        <v>3659</v>
      </c>
      <c r="N1975" t="s">
        <v>1688</v>
      </c>
      <c r="O1975" t="s">
        <v>1686</v>
      </c>
      <c r="P1975">
        <v>0</v>
      </c>
      <c r="Q1975">
        <v>1067625</v>
      </c>
      <c r="R1975">
        <v>0</v>
      </c>
      <c r="S1975">
        <v>0</v>
      </c>
      <c r="T1975" t="str">
        <f t="shared" si="60"/>
        <v>14872.43.4302.85.0-205128.2.3.3.08.06.</v>
      </c>
      <c r="U1975" t="e" cm="1">
        <f t="array" aca="1" ref="U1975" ca="1">+IF(COMPROMISOS_2025[[#This Row],[P]]="20","41080111",_xlfn.XLOOKUP(COMPROMISOS_2025[[#This Row],[concatenado]],PAA[[#All],[RCP-RUBRO]],PAA[[#All],[INDICADOR]],"",0))</f>
        <v>#NAME?</v>
      </c>
      <c r="V1975" s="144" t="str">
        <f t="shared" si="61"/>
        <v>85</v>
      </c>
      <c r="W1975" s="136">
        <f>+COMPROMISOS_2025[[#This Row],[valor_total]]-COMPROMISOS_2025[[#This Row],[total_cancelado]]</f>
        <v>1067625</v>
      </c>
      <c r="X1975" s="136">
        <f>COMPROMISOS_2025[[#This Row],[total_ordenes]]</f>
        <v>1067625</v>
      </c>
      <c r="Y1975" t="str" cm="1">
        <f t="array" aca="1" ref="Y1975" ca="1">IFERROR(_xlfn.XLOOKUP(COMPROMISOS_2025[[#This Row],[concatenado]],PAA[[#All],[RCP-RUBRO]],PAA[[#All],[Actividad3]],VLOOKUP(COMPROMISOS_2025[[#This Row],[Indicador Principal]],$AC$2:$AD$17,2,0),0),"")</f>
        <v/>
      </c>
    </row>
    <row r="1976" spans="1:25" hidden="1" x14ac:dyDescent="0.25">
      <c r="A1976">
        <v>1488</v>
      </c>
      <c r="B1976" t="s">
        <v>2491</v>
      </c>
      <c r="C1976" t="s">
        <v>1936</v>
      </c>
      <c r="D1976" t="s">
        <v>4182</v>
      </c>
      <c r="F1976">
        <v>406</v>
      </c>
      <c r="G1976">
        <v>65</v>
      </c>
      <c r="H1976" t="s">
        <v>662</v>
      </c>
      <c r="I1976" t="s">
        <v>2271</v>
      </c>
      <c r="J1976">
        <v>1423500</v>
      </c>
      <c r="K1976">
        <v>2025</v>
      </c>
      <c r="L1976">
        <v>1019984910</v>
      </c>
      <c r="M1976" t="s">
        <v>4023</v>
      </c>
      <c r="N1976" t="s">
        <v>1688</v>
      </c>
      <c r="O1976" t="s">
        <v>1686</v>
      </c>
      <c r="P1976">
        <v>0</v>
      </c>
      <c r="Q1976">
        <v>1423500</v>
      </c>
      <c r="R1976">
        <v>0</v>
      </c>
      <c r="S1976">
        <v>0</v>
      </c>
      <c r="T1976" t="str">
        <f t="shared" si="60"/>
        <v>14882.43.4302.85.0-205128.2.3.3.08.06.</v>
      </c>
      <c r="U1976" t="e" cm="1">
        <f t="array" aca="1" ref="U1976" ca="1">+IF(COMPROMISOS_2025[[#This Row],[P]]="20","41080111",_xlfn.XLOOKUP(COMPROMISOS_2025[[#This Row],[concatenado]],PAA[[#All],[RCP-RUBRO]],PAA[[#All],[INDICADOR]],"",0))</f>
        <v>#NAME?</v>
      </c>
      <c r="V1976" s="144" t="str">
        <f t="shared" si="61"/>
        <v>85</v>
      </c>
      <c r="W1976" s="136">
        <f>+COMPROMISOS_2025[[#This Row],[valor_total]]-COMPROMISOS_2025[[#This Row],[total_cancelado]]</f>
        <v>1423500</v>
      </c>
      <c r="X1976" s="136">
        <f>COMPROMISOS_2025[[#This Row],[total_ordenes]]</f>
        <v>1423500</v>
      </c>
      <c r="Y1976" t="str" cm="1">
        <f t="array" aca="1" ref="Y1976" ca="1">IFERROR(_xlfn.XLOOKUP(COMPROMISOS_2025[[#This Row],[concatenado]],PAA[[#All],[RCP-RUBRO]],PAA[[#All],[Actividad3]],VLOOKUP(COMPROMISOS_2025[[#This Row],[Indicador Principal]],$AC$2:$AD$17,2,0),0),"")</f>
        <v/>
      </c>
    </row>
    <row r="1977" spans="1:25" hidden="1" x14ac:dyDescent="0.25">
      <c r="A1977">
        <v>1489</v>
      </c>
      <c r="B1977" t="s">
        <v>2491</v>
      </c>
      <c r="C1977" t="s">
        <v>1936</v>
      </c>
      <c r="D1977" t="s">
        <v>4182</v>
      </c>
      <c r="F1977">
        <v>406</v>
      </c>
      <c r="G1977">
        <v>65</v>
      </c>
      <c r="H1977" t="s">
        <v>662</v>
      </c>
      <c r="I1977" t="s">
        <v>2271</v>
      </c>
      <c r="J1977">
        <v>1423500</v>
      </c>
      <c r="K1977">
        <v>2025</v>
      </c>
      <c r="L1977">
        <v>1020104801</v>
      </c>
      <c r="M1977" t="s">
        <v>4025</v>
      </c>
      <c r="N1977" t="s">
        <v>1688</v>
      </c>
      <c r="O1977" t="s">
        <v>1686</v>
      </c>
      <c r="P1977">
        <v>0</v>
      </c>
      <c r="Q1977">
        <v>1423500</v>
      </c>
      <c r="R1977">
        <v>0</v>
      </c>
      <c r="S1977">
        <v>0</v>
      </c>
      <c r="T1977" t="str">
        <f t="shared" si="60"/>
        <v>14892.43.4302.85.0-205128.2.3.3.08.06.</v>
      </c>
      <c r="U1977" t="e" cm="1">
        <f t="array" aca="1" ref="U1977" ca="1">+IF(COMPROMISOS_2025[[#This Row],[P]]="20","41080111",_xlfn.XLOOKUP(COMPROMISOS_2025[[#This Row],[concatenado]],PAA[[#All],[RCP-RUBRO]],PAA[[#All],[INDICADOR]],"",0))</f>
        <v>#NAME?</v>
      </c>
      <c r="V1977" s="144" t="str">
        <f t="shared" si="61"/>
        <v>85</v>
      </c>
      <c r="W1977" s="136">
        <f>+COMPROMISOS_2025[[#This Row],[valor_total]]-COMPROMISOS_2025[[#This Row],[total_cancelado]]</f>
        <v>1423500</v>
      </c>
      <c r="X1977" s="136">
        <f>COMPROMISOS_2025[[#This Row],[total_ordenes]]</f>
        <v>1423500</v>
      </c>
      <c r="Y1977" t="str" cm="1">
        <f t="array" aca="1" ref="Y1977" ca="1">IFERROR(_xlfn.XLOOKUP(COMPROMISOS_2025[[#This Row],[concatenado]],PAA[[#All],[RCP-RUBRO]],PAA[[#All],[Actividad3]],VLOOKUP(COMPROMISOS_2025[[#This Row],[Indicador Principal]],$AC$2:$AD$17,2,0),0),"")</f>
        <v/>
      </c>
    </row>
    <row r="1978" spans="1:25" hidden="1" x14ac:dyDescent="0.25">
      <c r="A1978">
        <v>1490</v>
      </c>
      <c r="B1978" t="s">
        <v>2491</v>
      </c>
      <c r="C1978" t="s">
        <v>1936</v>
      </c>
      <c r="D1978" t="s">
        <v>4182</v>
      </c>
      <c r="F1978">
        <v>406</v>
      </c>
      <c r="G1978">
        <v>65</v>
      </c>
      <c r="H1978" t="s">
        <v>662</v>
      </c>
      <c r="I1978" t="s">
        <v>2271</v>
      </c>
      <c r="J1978">
        <v>1067625</v>
      </c>
      <c r="K1978">
        <v>2025</v>
      </c>
      <c r="L1978">
        <v>1020106175</v>
      </c>
      <c r="M1978" t="s">
        <v>4026</v>
      </c>
      <c r="N1978" t="s">
        <v>1688</v>
      </c>
      <c r="O1978" t="s">
        <v>1686</v>
      </c>
      <c r="P1978">
        <v>0</v>
      </c>
      <c r="Q1978">
        <v>1067625</v>
      </c>
      <c r="R1978">
        <v>0</v>
      </c>
      <c r="S1978">
        <v>0</v>
      </c>
      <c r="T1978" t="str">
        <f t="shared" si="60"/>
        <v>14902.43.4302.85.0-205128.2.3.3.08.06.</v>
      </c>
      <c r="U1978" t="e" cm="1">
        <f t="array" aca="1" ref="U1978" ca="1">+IF(COMPROMISOS_2025[[#This Row],[P]]="20","41080111",_xlfn.XLOOKUP(COMPROMISOS_2025[[#This Row],[concatenado]],PAA[[#All],[RCP-RUBRO]],PAA[[#All],[INDICADOR]],"",0))</f>
        <v>#NAME?</v>
      </c>
      <c r="V1978" s="144" t="str">
        <f t="shared" si="61"/>
        <v>85</v>
      </c>
      <c r="W1978" s="136">
        <f>+COMPROMISOS_2025[[#This Row],[valor_total]]-COMPROMISOS_2025[[#This Row],[total_cancelado]]</f>
        <v>1067625</v>
      </c>
      <c r="X1978" s="136">
        <f>COMPROMISOS_2025[[#This Row],[total_ordenes]]</f>
        <v>1067625</v>
      </c>
      <c r="Y1978" t="str" cm="1">
        <f t="array" aca="1" ref="Y1978" ca="1">IFERROR(_xlfn.XLOOKUP(COMPROMISOS_2025[[#This Row],[concatenado]],PAA[[#All],[RCP-RUBRO]],PAA[[#All],[Actividad3]],VLOOKUP(COMPROMISOS_2025[[#This Row],[Indicador Principal]],$AC$2:$AD$17,2,0),0),"")</f>
        <v/>
      </c>
    </row>
    <row r="1979" spans="1:25" hidden="1" x14ac:dyDescent="0.25">
      <c r="A1979">
        <v>1491</v>
      </c>
      <c r="B1979" t="s">
        <v>2491</v>
      </c>
      <c r="C1979" t="s">
        <v>1936</v>
      </c>
      <c r="D1979" t="s">
        <v>4182</v>
      </c>
      <c r="F1979">
        <v>406</v>
      </c>
      <c r="G1979">
        <v>65</v>
      </c>
      <c r="H1979" t="s">
        <v>662</v>
      </c>
      <c r="I1979" t="s">
        <v>2271</v>
      </c>
      <c r="J1979">
        <v>1067625</v>
      </c>
      <c r="K1979">
        <v>2025</v>
      </c>
      <c r="L1979">
        <v>1020109551</v>
      </c>
      <c r="M1979" t="s">
        <v>4300</v>
      </c>
      <c r="N1979" t="s">
        <v>1688</v>
      </c>
      <c r="O1979" t="s">
        <v>1686</v>
      </c>
      <c r="P1979">
        <v>0</v>
      </c>
      <c r="Q1979">
        <v>1067625</v>
      </c>
      <c r="R1979">
        <v>0</v>
      </c>
      <c r="S1979">
        <v>0</v>
      </c>
      <c r="T1979" t="str">
        <f t="shared" si="60"/>
        <v>14912.43.4302.85.0-205128.2.3.3.08.06.</v>
      </c>
      <c r="U1979" t="e" cm="1">
        <f t="array" aca="1" ref="U1979" ca="1">+IF(COMPROMISOS_2025[[#This Row],[P]]="20","41080111",_xlfn.XLOOKUP(COMPROMISOS_2025[[#This Row],[concatenado]],PAA[[#All],[RCP-RUBRO]],PAA[[#All],[INDICADOR]],"",0))</f>
        <v>#NAME?</v>
      </c>
      <c r="V1979" s="144" t="str">
        <f t="shared" si="61"/>
        <v>85</v>
      </c>
      <c r="W1979" s="136">
        <f>+COMPROMISOS_2025[[#This Row],[valor_total]]-COMPROMISOS_2025[[#This Row],[total_cancelado]]</f>
        <v>1067625</v>
      </c>
      <c r="X1979" s="136">
        <f>COMPROMISOS_2025[[#This Row],[total_ordenes]]</f>
        <v>1067625</v>
      </c>
      <c r="Y1979" t="str" cm="1">
        <f t="array" aca="1" ref="Y1979" ca="1">IFERROR(_xlfn.XLOOKUP(COMPROMISOS_2025[[#This Row],[concatenado]],PAA[[#All],[RCP-RUBRO]],PAA[[#All],[Actividad3]],VLOOKUP(COMPROMISOS_2025[[#This Row],[Indicador Principal]],$AC$2:$AD$17,2,0),0),"")</f>
        <v/>
      </c>
    </row>
    <row r="1980" spans="1:25" hidden="1" x14ac:dyDescent="0.25">
      <c r="A1980">
        <v>1492</v>
      </c>
      <c r="B1980" t="s">
        <v>2491</v>
      </c>
      <c r="C1980" t="s">
        <v>1936</v>
      </c>
      <c r="D1980" t="s">
        <v>4182</v>
      </c>
      <c r="F1980">
        <v>406</v>
      </c>
      <c r="G1980">
        <v>65</v>
      </c>
      <c r="H1980" t="s">
        <v>662</v>
      </c>
      <c r="I1980" t="s">
        <v>2271</v>
      </c>
      <c r="J1980">
        <v>711750</v>
      </c>
      <c r="K1980">
        <v>2025</v>
      </c>
      <c r="L1980">
        <v>10201103817</v>
      </c>
      <c r="M1980" t="s">
        <v>3660</v>
      </c>
      <c r="N1980" t="s">
        <v>1688</v>
      </c>
      <c r="O1980" t="s">
        <v>1686</v>
      </c>
      <c r="P1980">
        <v>0</v>
      </c>
      <c r="Q1980">
        <v>711750</v>
      </c>
      <c r="R1980">
        <v>0</v>
      </c>
      <c r="S1980">
        <v>0</v>
      </c>
      <c r="T1980" t="str">
        <f t="shared" si="60"/>
        <v>14922.43.4302.85.0-205128.2.3.3.08.06.</v>
      </c>
      <c r="U1980" t="e" cm="1">
        <f t="array" aca="1" ref="U1980" ca="1">+IF(COMPROMISOS_2025[[#This Row],[P]]="20","41080111",_xlfn.XLOOKUP(COMPROMISOS_2025[[#This Row],[concatenado]],PAA[[#All],[RCP-RUBRO]],PAA[[#All],[INDICADOR]],"",0))</f>
        <v>#NAME?</v>
      </c>
      <c r="V1980" s="144" t="str">
        <f t="shared" si="61"/>
        <v>85</v>
      </c>
      <c r="W1980" s="136">
        <f>+COMPROMISOS_2025[[#This Row],[valor_total]]-COMPROMISOS_2025[[#This Row],[total_cancelado]]</f>
        <v>711750</v>
      </c>
      <c r="X1980" s="136">
        <f>COMPROMISOS_2025[[#This Row],[total_ordenes]]</f>
        <v>711750</v>
      </c>
      <c r="Y1980" t="str" cm="1">
        <f t="array" aca="1" ref="Y1980" ca="1">IFERROR(_xlfn.XLOOKUP(COMPROMISOS_2025[[#This Row],[concatenado]],PAA[[#All],[RCP-RUBRO]],PAA[[#All],[Actividad3]],VLOOKUP(COMPROMISOS_2025[[#This Row],[Indicador Principal]],$AC$2:$AD$17,2,0),0),"")</f>
        <v/>
      </c>
    </row>
    <row r="1981" spans="1:25" hidden="1" x14ac:dyDescent="0.25">
      <c r="A1981">
        <v>1493</v>
      </c>
      <c r="B1981" t="s">
        <v>2491</v>
      </c>
      <c r="C1981" t="s">
        <v>1936</v>
      </c>
      <c r="D1981" t="s">
        <v>4182</v>
      </c>
      <c r="F1981">
        <v>406</v>
      </c>
      <c r="G1981">
        <v>65</v>
      </c>
      <c r="H1981" t="s">
        <v>662</v>
      </c>
      <c r="I1981" t="s">
        <v>2271</v>
      </c>
      <c r="J1981">
        <v>711750</v>
      </c>
      <c r="K1981">
        <v>2025</v>
      </c>
      <c r="L1981">
        <v>1020110535</v>
      </c>
      <c r="M1981" t="s">
        <v>3661</v>
      </c>
      <c r="N1981" t="s">
        <v>1688</v>
      </c>
      <c r="O1981" t="s">
        <v>1686</v>
      </c>
      <c r="P1981">
        <v>0</v>
      </c>
      <c r="Q1981">
        <v>711750</v>
      </c>
      <c r="R1981">
        <v>0</v>
      </c>
      <c r="S1981">
        <v>0</v>
      </c>
      <c r="T1981" t="str">
        <f t="shared" si="60"/>
        <v>14932.43.4302.85.0-205128.2.3.3.08.06.</v>
      </c>
      <c r="U1981" t="e" cm="1">
        <f t="array" aca="1" ref="U1981" ca="1">+IF(COMPROMISOS_2025[[#This Row],[P]]="20","41080111",_xlfn.XLOOKUP(COMPROMISOS_2025[[#This Row],[concatenado]],PAA[[#All],[RCP-RUBRO]],PAA[[#All],[INDICADOR]],"",0))</f>
        <v>#NAME?</v>
      </c>
      <c r="V1981" s="144" t="str">
        <f t="shared" si="61"/>
        <v>85</v>
      </c>
      <c r="W1981" s="136">
        <f>+COMPROMISOS_2025[[#This Row],[valor_total]]-COMPROMISOS_2025[[#This Row],[total_cancelado]]</f>
        <v>711750</v>
      </c>
      <c r="X1981" s="136">
        <f>COMPROMISOS_2025[[#This Row],[total_ordenes]]</f>
        <v>711750</v>
      </c>
      <c r="Y1981" t="str" cm="1">
        <f t="array" aca="1" ref="Y1981" ca="1">IFERROR(_xlfn.XLOOKUP(COMPROMISOS_2025[[#This Row],[concatenado]],PAA[[#All],[RCP-RUBRO]],PAA[[#All],[Actividad3]],VLOOKUP(COMPROMISOS_2025[[#This Row],[Indicador Principal]],$AC$2:$AD$17,2,0),0),"")</f>
        <v/>
      </c>
    </row>
    <row r="1982" spans="1:25" hidden="1" x14ac:dyDescent="0.25">
      <c r="A1982">
        <v>1494</v>
      </c>
      <c r="B1982" t="s">
        <v>2491</v>
      </c>
      <c r="C1982" t="s">
        <v>1936</v>
      </c>
      <c r="D1982" t="s">
        <v>4182</v>
      </c>
      <c r="F1982">
        <v>406</v>
      </c>
      <c r="G1982">
        <v>65</v>
      </c>
      <c r="H1982" t="s">
        <v>662</v>
      </c>
      <c r="I1982" t="s">
        <v>2271</v>
      </c>
      <c r="J1982">
        <v>1067625</v>
      </c>
      <c r="K1982">
        <v>2025</v>
      </c>
      <c r="L1982">
        <v>1020112430</v>
      </c>
      <c r="M1982" t="s">
        <v>3662</v>
      </c>
      <c r="N1982" t="s">
        <v>1688</v>
      </c>
      <c r="O1982" t="s">
        <v>1686</v>
      </c>
      <c r="P1982">
        <v>0</v>
      </c>
      <c r="Q1982">
        <v>1067625</v>
      </c>
      <c r="R1982">
        <v>0</v>
      </c>
      <c r="S1982">
        <v>0</v>
      </c>
      <c r="T1982" t="str">
        <f t="shared" si="60"/>
        <v>14942.43.4302.85.0-205128.2.3.3.08.06.</v>
      </c>
      <c r="U1982" t="e" cm="1">
        <f t="array" aca="1" ref="U1982" ca="1">+IF(COMPROMISOS_2025[[#This Row],[P]]="20","41080111",_xlfn.XLOOKUP(COMPROMISOS_2025[[#This Row],[concatenado]],PAA[[#All],[RCP-RUBRO]],PAA[[#All],[INDICADOR]],"",0))</f>
        <v>#NAME?</v>
      </c>
      <c r="V1982" s="144" t="str">
        <f t="shared" si="61"/>
        <v>85</v>
      </c>
      <c r="W1982" s="136">
        <f>+COMPROMISOS_2025[[#This Row],[valor_total]]-COMPROMISOS_2025[[#This Row],[total_cancelado]]</f>
        <v>1067625</v>
      </c>
      <c r="X1982" s="136">
        <f>COMPROMISOS_2025[[#This Row],[total_ordenes]]</f>
        <v>1067625</v>
      </c>
      <c r="Y1982" t="str" cm="1">
        <f t="array" aca="1" ref="Y1982" ca="1">IFERROR(_xlfn.XLOOKUP(COMPROMISOS_2025[[#This Row],[concatenado]],PAA[[#All],[RCP-RUBRO]],PAA[[#All],[Actividad3]],VLOOKUP(COMPROMISOS_2025[[#This Row],[Indicador Principal]],$AC$2:$AD$17,2,0),0),"")</f>
        <v/>
      </c>
    </row>
    <row r="1983" spans="1:25" hidden="1" x14ac:dyDescent="0.25">
      <c r="A1983">
        <v>1495</v>
      </c>
      <c r="B1983" t="s">
        <v>2491</v>
      </c>
      <c r="C1983" t="s">
        <v>1936</v>
      </c>
      <c r="D1983" t="s">
        <v>4182</v>
      </c>
      <c r="F1983">
        <v>406</v>
      </c>
      <c r="G1983">
        <v>65</v>
      </c>
      <c r="H1983" t="s">
        <v>662</v>
      </c>
      <c r="I1983" t="s">
        <v>2271</v>
      </c>
      <c r="J1983">
        <v>1423500</v>
      </c>
      <c r="K1983">
        <v>2025</v>
      </c>
      <c r="L1983">
        <v>1020115396</v>
      </c>
      <c r="M1983" t="s">
        <v>4027</v>
      </c>
      <c r="N1983" t="s">
        <v>1688</v>
      </c>
      <c r="O1983" t="s">
        <v>1686</v>
      </c>
      <c r="P1983">
        <v>0</v>
      </c>
      <c r="Q1983">
        <v>1423500</v>
      </c>
      <c r="R1983">
        <v>0</v>
      </c>
      <c r="S1983">
        <v>0</v>
      </c>
      <c r="T1983" t="str">
        <f t="shared" si="60"/>
        <v>14952.43.4302.85.0-205128.2.3.3.08.06.</v>
      </c>
      <c r="U1983" t="e" cm="1">
        <f t="array" aca="1" ref="U1983" ca="1">+IF(COMPROMISOS_2025[[#This Row],[P]]="20","41080111",_xlfn.XLOOKUP(COMPROMISOS_2025[[#This Row],[concatenado]],PAA[[#All],[RCP-RUBRO]],PAA[[#All],[INDICADOR]],"",0))</f>
        <v>#NAME?</v>
      </c>
      <c r="V1983" s="144" t="str">
        <f t="shared" si="61"/>
        <v>85</v>
      </c>
      <c r="W1983" s="136">
        <f>+COMPROMISOS_2025[[#This Row],[valor_total]]-COMPROMISOS_2025[[#This Row],[total_cancelado]]</f>
        <v>1423500</v>
      </c>
      <c r="X1983" s="136">
        <f>COMPROMISOS_2025[[#This Row],[total_ordenes]]</f>
        <v>1423500</v>
      </c>
      <c r="Y1983" t="str" cm="1">
        <f t="array" aca="1" ref="Y1983" ca="1">IFERROR(_xlfn.XLOOKUP(COMPROMISOS_2025[[#This Row],[concatenado]],PAA[[#All],[RCP-RUBRO]],PAA[[#All],[Actividad3]],VLOOKUP(COMPROMISOS_2025[[#This Row],[Indicador Principal]],$AC$2:$AD$17,2,0),0),"")</f>
        <v/>
      </c>
    </row>
    <row r="1984" spans="1:25" hidden="1" x14ac:dyDescent="0.25">
      <c r="A1984">
        <v>1496</v>
      </c>
      <c r="B1984" t="s">
        <v>2491</v>
      </c>
      <c r="C1984" t="s">
        <v>1936</v>
      </c>
      <c r="D1984" t="s">
        <v>4182</v>
      </c>
      <c r="F1984">
        <v>406</v>
      </c>
      <c r="G1984">
        <v>65</v>
      </c>
      <c r="H1984" t="s">
        <v>662</v>
      </c>
      <c r="I1984" t="s">
        <v>2271</v>
      </c>
      <c r="J1984">
        <v>711750</v>
      </c>
      <c r="K1984">
        <v>2025</v>
      </c>
      <c r="L1984">
        <v>1020115624</v>
      </c>
      <c r="M1984" t="s">
        <v>3663</v>
      </c>
      <c r="N1984" t="s">
        <v>1688</v>
      </c>
      <c r="O1984" t="s">
        <v>1686</v>
      </c>
      <c r="P1984">
        <v>0</v>
      </c>
      <c r="Q1984">
        <v>711750</v>
      </c>
      <c r="R1984">
        <v>0</v>
      </c>
      <c r="S1984">
        <v>0</v>
      </c>
      <c r="T1984" t="str">
        <f t="shared" si="60"/>
        <v>14962.43.4302.85.0-205128.2.3.3.08.06.</v>
      </c>
      <c r="U1984" t="e" cm="1">
        <f t="array" aca="1" ref="U1984" ca="1">+IF(COMPROMISOS_2025[[#This Row],[P]]="20","41080111",_xlfn.XLOOKUP(COMPROMISOS_2025[[#This Row],[concatenado]],PAA[[#All],[RCP-RUBRO]],PAA[[#All],[INDICADOR]],"",0))</f>
        <v>#NAME?</v>
      </c>
      <c r="V1984" s="144" t="str">
        <f t="shared" si="61"/>
        <v>85</v>
      </c>
      <c r="W1984" s="136">
        <f>+COMPROMISOS_2025[[#This Row],[valor_total]]-COMPROMISOS_2025[[#This Row],[total_cancelado]]</f>
        <v>711750</v>
      </c>
      <c r="X1984" s="136">
        <f>COMPROMISOS_2025[[#This Row],[total_ordenes]]</f>
        <v>711750</v>
      </c>
      <c r="Y1984" t="str" cm="1">
        <f t="array" aca="1" ref="Y1984" ca="1">IFERROR(_xlfn.XLOOKUP(COMPROMISOS_2025[[#This Row],[concatenado]],PAA[[#All],[RCP-RUBRO]],PAA[[#All],[Actividad3]],VLOOKUP(COMPROMISOS_2025[[#This Row],[Indicador Principal]],$AC$2:$AD$17,2,0),0),"")</f>
        <v/>
      </c>
    </row>
    <row r="1985" spans="1:25" hidden="1" x14ac:dyDescent="0.25">
      <c r="A1985">
        <v>1497</v>
      </c>
      <c r="B1985" t="s">
        <v>2491</v>
      </c>
      <c r="C1985" t="s">
        <v>1936</v>
      </c>
      <c r="D1985" t="s">
        <v>4182</v>
      </c>
      <c r="F1985">
        <v>406</v>
      </c>
      <c r="G1985">
        <v>65</v>
      </c>
      <c r="H1985" t="s">
        <v>662</v>
      </c>
      <c r="I1985" t="s">
        <v>2271</v>
      </c>
      <c r="J1985">
        <v>711750</v>
      </c>
      <c r="K1985">
        <v>2025</v>
      </c>
      <c r="L1985">
        <v>1020116076</v>
      </c>
      <c r="M1985" t="s">
        <v>3664</v>
      </c>
      <c r="N1985" t="s">
        <v>1688</v>
      </c>
      <c r="O1985" t="s">
        <v>1686</v>
      </c>
      <c r="P1985">
        <v>0</v>
      </c>
      <c r="Q1985">
        <v>711750</v>
      </c>
      <c r="R1985">
        <v>0</v>
      </c>
      <c r="S1985">
        <v>0</v>
      </c>
      <c r="T1985" t="str">
        <f t="shared" si="60"/>
        <v>14972.43.4302.85.0-205128.2.3.3.08.06.</v>
      </c>
      <c r="U1985" t="e" cm="1">
        <f t="array" aca="1" ref="U1985" ca="1">+IF(COMPROMISOS_2025[[#This Row],[P]]="20","41080111",_xlfn.XLOOKUP(COMPROMISOS_2025[[#This Row],[concatenado]],PAA[[#All],[RCP-RUBRO]],PAA[[#All],[INDICADOR]],"",0))</f>
        <v>#NAME?</v>
      </c>
      <c r="V1985" s="144" t="str">
        <f t="shared" si="61"/>
        <v>85</v>
      </c>
      <c r="W1985" s="136">
        <f>+COMPROMISOS_2025[[#This Row],[valor_total]]-COMPROMISOS_2025[[#This Row],[total_cancelado]]</f>
        <v>711750</v>
      </c>
      <c r="X1985" s="136">
        <f>COMPROMISOS_2025[[#This Row],[total_ordenes]]</f>
        <v>711750</v>
      </c>
      <c r="Y1985" t="str" cm="1">
        <f t="array" aca="1" ref="Y1985" ca="1">IFERROR(_xlfn.XLOOKUP(COMPROMISOS_2025[[#This Row],[concatenado]],PAA[[#All],[RCP-RUBRO]],PAA[[#All],[Actividad3]],VLOOKUP(COMPROMISOS_2025[[#This Row],[Indicador Principal]],$AC$2:$AD$17,2,0),0),"")</f>
        <v/>
      </c>
    </row>
    <row r="1986" spans="1:25" hidden="1" x14ac:dyDescent="0.25">
      <c r="A1986">
        <v>1498</v>
      </c>
      <c r="B1986" t="s">
        <v>2491</v>
      </c>
      <c r="C1986" t="s">
        <v>1936</v>
      </c>
      <c r="D1986" t="s">
        <v>4182</v>
      </c>
      <c r="F1986">
        <v>406</v>
      </c>
      <c r="G1986">
        <v>65</v>
      </c>
      <c r="H1986" t="s">
        <v>662</v>
      </c>
      <c r="I1986" t="s">
        <v>2271</v>
      </c>
      <c r="J1986">
        <v>711750</v>
      </c>
      <c r="K1986">
        <v>2025</v>
      </c>
      <c r="L1986">
        <v>1020117961</v>
      </c>
      <c r="M1986" t="s">
        <v>3665</v>
      </c>
      <c r="N1986" t="s">
        <v>1688</v>
      </c>
      <c r="O1986" t="s">
        <v>1686</v>
      </c>
      <c r="P1986">
        <v>0</v>
      </c>
      <c r="Q1986">
        <v>711750</v>
      </c>
      <c r="R1986">
        <v>0</v>
      </c>
      <c r="S1986">
        <v>0</v>
      </c>
      <c r="T1986" t="str">
        <f t="shared" ref="T1986:T2049" si="62">IF(A1986&gt;=0,CONCATENATE(A1986,H1986),"")</f>
        <v>14982.43.4302.85.0-205128.2.3.3.08.06.</v>
      </c>
      <c r="U1986" t="e" cm="1">
        <f t="array" aca="1" ref="U1986" ca="1">+IF(COMPROMISOS_2025[[#This Row],[P]]="20","41080111",_xlfn.XLOOKUP(COMPROMISOS_2025[[#This Row],[concatenado]],PAA[[#All],[RCP-RUBRO]],PAA[[#All],[INDICADOR]],"",0))</f>
        <v>#NAME?</v>
      </c>
      <c r="V1986" s="144" t="str">
        <f t="shared" ref="V1986:V2049" si="63">+MID(H1986,11,2)</f>
        <v>85</v>
      </c>
      <c r="W1986" s="136">
        <f>+COMPROMISOS_2025[[#This Row],[valor_total]]-COMPROMISOS_2025[[#This Row],[total_cancelado]]</f>
        <v>711750</v>
      </c>
      <c r="X1986" s="136">
        <f>COMPROMISOS_2025[[#This Row],[total_ordenes]]</f>
        <v>711750</v>
      </c>
      <c r="Y1986" t="str" cm="1">
        <f t="array" aca="1" ref="Y1986" ca="1">IFERROR(_xlfn.XLOOKUP(COMPROMISOS_2025[[#This Row],[concatenado]],PAA[[#All],[RCP-RUBRO]],PAA[[#All],[Actividad3]],VLOOKUP(COMPROMISOS_2025[[#This Row],[Indicador Principal]],$AC$2:$AD$17,2,0),0),"")</f>
        <v/>
      </c>
    </row>
    <row r="1987" spans="1:25" hidden="1" x14ac:dyDescent="0.25">
      <c r="A1987">
        <v>1499</v>
      </c>
      <c r="B1987" t="s">
        <v>2491</v>
      </c>
      <c r="C1987" t="s">
        <v>1936</v>
      </c>
      <c r="D1987" t="s">
        <v>4182</v>
      </c>
      <c r="F1987">
        <v>406</v>
      </c>
      <c r="G1987">
        <v>65</v>
      </c>
      <c r="H1987" t="s">
        <v>662</v>
      </c>
      <c r="I1987" t="s">
        <v>2271</v>
      </c>
      <c r="J1987">
        <v>1067625</v>
      </c>
      <c r="K1987">
        <v>2025</v>
      </c>
      <c r="L1987">
        <v>1020223807</v>
      </c>
      <c r="M1987" t="s">
        <v>4301</v>
      </c>
      <c r="N1987" t="s">
        <v>1688</v>
      </c>
      <c r="O1987" t="s">
        <v>1686</v>
      </c>
      <c r="P1987">
        <v>0</v>
      </c>
      <c r="Q1987">
        <v>1067625</v>
      </c>
      <c r="R1987">
        <v>0</v>
      </c>
      <c r="S1987">
        <v>0</v>
      </c>
      <c r="T1987" t="str">
        <f t="shared" si="62"/>
        <v>14992.43.4302.85.0-205128.2.3.3.08.06.</v>
      </c>
      <c r="U1987" t="e" cm="1">
        <f t="array" aca="1" ref="U1987" ca="1">+IF(COMPROMISOS_2025[[#This Row],[P]]="20","41080111",_xlfn.XLOOKUP(COMPROMISOS_2025[[#This Row],[concatenado]],PAA[[#All],[RCP-RUBRO]],PAA[[#All],[INDICADOR]],"",0))</f>
        <v>#NAME?</v>
      </c>
      <c r="V1987" s="144" t="str">
        <f t="shared" si="63"/>
        <v>85</v>
      </c>
      <c r="W1987" s="136">
        <f>+COMPROMISOS_2025[[#This Row],[valor_total]]-COMPROMISOS_2025[[#This Row],[total_cancelado]]</f>
        <v>1067625</v>
      </c>
      <c r="X1987" s="136">
        <f>COMPROMISOS_2025[[#This Row],[total_ordenes]]</f>
        <v>1067625</v>
      </c>
      <c r="Y1987" t="str" cm="1">
        <f t="array" aca="1" ref="Y1987" ca="1">IFERROR(_xlfn.XLOOKUP(COMPROMISOS_2025[[#This Row],[concatenado]],PAA[[#All],[RCP-RUBRO]],PAA[[#All],[Actividad3]],VLOOKUP(COMPROMISOS_2025[[#This Row],[Indicador Principal]],$AC$2:$AD$17,2,0),0),"")</f>
        <v/>
      </c>
    </row>
    <row r="1988" spans="1:25" hidden="1" x14ac:dyDescent="0.25">
      <c r="A1988">
        <v>1500</v>
      </c>
      <c r="B1988" t="s">
        <v>2491</v>
      </c>
      <c r="C1988" t="s">
        <v>1936</v>
      </c>
      <c r="D1988" t="s">
        <v>4182</v>
      </c>
      <c r="F1988">
        <v>406</v>
      </c>
      <c r="G1988">
        <v>65</v>
      </c>
      <c r="H1988" t="s">
        <v>662</v>
      </c>
      <c r="I1988" t="s">
        <v>2271</v>
      </c>
      <c r="J1988">
        <v>1423500</v>
      </c>
      <c r="K1988">
        <v>2025</v>
      </c>
      <c r="L1988">
        <v>1020302179</v>
      </c>
      <c r="M1988" t="s">
        <v>4302</v>
      </c>
      <c r="N1988" t="s">
        <v>1688</v>
      </c>
      <c r="O1988" t="s">
        <v>1686</v>
      </c>
      <c r="P1988">
        <v>0</v>
      </c>
      <c r="Q1988">
        <v>1423500</v>
      </c>
      <c r="R1988">
        <v>0</v>
      </c>
      <c r="S1988">
        <v>0</v>
      </c>
      <c r="T1988" t="str">
        <f t="shared" si="62"/>
        <v>15002.43.4302.85.0-205128.2.3.3.08.06.</v>
      </c>
      <c r="U1988" t="e" cm="1">
        <f t="array" aca="1" ref="U1988" ca="1">+IF(COMPROMISOS_2025[[#This Row],[P]]="20","41080111",_xlfn.XLOOKUP(COMPROMISOS_2025[[#This Row],[concatenado]],PAA[[#All],[RCP-RUBRO]],PAA[[#All],[INDICADOR]],"",0))</f>
        <v>#NAME?</v>
      </c>
      <c r="V1988" s="144" t="str">
        <f t="shared" si="63"/>
        <v>85</v>
      </c>
      <c r="W1988" s="136">
        <f>+COMPROMISOS_2025[[#This Row],[valor_total]]-COMPROMISOS_2025[[#This Row],[total_cancelado]]</f>
        <v>1423500</v>
      </c>
      <c r="X1988" s="136">
        <f>COMPROMISOS_2025[[#This Row],[total_ordenes]]</f>
        <v>1423500</v>
      </c>
      <c r="Y1988" t="str" cm="1">
        <f t="array" aca="1" ref="Y1988" ca="1">IFERROR(_xlfn.XLOOKUP(COMPROMISOS_2025[[#This Row],[concatenado]],PAA[[#All],[RCP-RUBRO]],PAA[[#All],[Actividad3]],VLOOKUP(COMPROMISOS_2025[[#This Row],[Indicador Principal]],$AC$2:$AD$17,2,0),0),"")</f>
        <v/>
      </c>
    </row>
    <row r="1989" spans="1:25" hidden="1" x14ac:dyDescent="0.25">
      <c r="A1989">
        <v>1501</v>
      </c>
      <c r="B1989" t="s">
        <v>2491</v>
      </c>
      <c r="C1989" t="s">
        <v>1936</v>
      </c>
      <c r="D1989" t="s">
        <v>4182</v>
      </c>
      <c r="F1989">
        <v>406</v>
      </c>
      <c r="G1989">
        <v>65</v>
      </c>
      <c r="H1989" t="s">
        <v>662</v>
      </c>
      <c r="I1989" t="s">
        <v>2271</v>
      </c>
      <c r="J1989">
        <v>711750</v>
      </c>
      <c r="K1989">
        <v>2025</v>
      </c>
      <c r="L1989">
        <v>1020302978</v>
      </c>
      <c r="M1989" t="s">
        <v>3666</v>
      </c>
      <c r="N1989" t="s">
        <v>1688</v>
      </c>
      <c r="O1989" t="s">
        <v>1686</v>
      </c>
      <c r="P1989">
        <v>0</v>
      </c>
      <c r="Q1989">
        <v>711750</v>
      </c>
      <c r="R1989">
        <v>0</v>
      </c>
      <c r="S1989">
        <v>0</v>
      </c>
      <c r="T1989" t="str">
        <f t="shared" si="62"/>
        <v>15012.43.4302.85.0-205128.2.3.3.08.06.</v>
      </c>
      <c r="U1989" t="e" cm="1">
        <f t="array" aca="1" ref="U1989" ca="1">+IF(COMPROMISOS_2025[[#This Row],[P]]="20","41080111",_xlfn.XLOOKUP(COMPROMISOS_2025[[#This Row],[concatenado]],PAA[[#All],[RCP-RUBRO]],PAA[[#All],[INDICADOR]],"",0))</f>
        <v>#NAME?</v>
      </c>
      <c r="V1989" s="144" t="str">
        <f t="shared" si="63"/>
        <v>85</v>
      </c>
      <c r="W1989" s="136">
        <f>+COMPROMISOS_2025[[#This Row],[valor_total]]-COMPROMISOS_2025[[#This Row],[total_cancelado]]</f>
        <v>711750</v>
      </c>
      <c r="X1989" s="136">
        <f>COMPROMISOS_2025[[#This Row],[total_ordenes]]</f>
        <v>711750</v>
      </c>
      <c r="Y1989" t="str" cm="1">
        <f t="array" aca="1" ref="Y1989" ca="1">IFERROR(_xlfn.XLOOKUP(COMPROMISOS_2025[[#This Row],[concatenado]],PAA[[#All],[RCP-RUBRO]],PAA[[#All],[Actividad3]],VLOOKUP(COMPROMISOS_2025[[#This Row],[Indicador Principal]],$AC$2:$AD$17,2,0),0),"")</f>
        <v/>
      </c>
    </row>
    <row r="1990" spans="1:25" hidden="1" x14ac:dyDescent="0.25">
      <c r="A1990">
        <v>1502</v>
      </c>
      <c r="B1990" t="s">
        <v>2491</v>
      </c>
      <c r="C1990" t="s">
        <v>1936</v>
      </c>
      <c r="D1990" t="s">
        <v>4182</v>
      </c>
      <c r="F1990">
        <v>406</v>
      </c>
      <c r="G1990">
        <v>65</v>
      </c>
      <c r="H1990" t="s">
        <v>662</v>
      </c>
      <c r="I1990" t="s">
        <v>2271</v>
      </c>
      <c r="J1990">
        <v>711750</v>
      </c>
      <c r="K1990">
        <v>2025</v>
      </c>
      <c r="L1990">
        <v>1020304332</v>
      </c>
      <c r="M1990" t="s">
        <v>3667</v>
      </c>
      <c r="N1990" t="s">
        <v>1688</v>
      </c>
      <c r="O1990" t="s">
        <v>1686</v>
      </c>
      <c r="P1990">
        <v>0</v>
      </c>
      <c r="Q1990">
        <v>711750</v>
      </c>
      <c r="R1990">
        <v>0</v>
      </c>
      <c r="S1990">
        <v>0</v>
      </c>
      <c r="T1990" t="str">
        <f t="shared" si="62"/>
        <v>15022.43.4302.85.0-205128.2.3.3.08.06.</v>
      </c>
      <c r="U1990" t="e" cm="1">
        <f t="array" aca="1" ref="U1990" ca="1">+IF(COMPROMISOS_2025[[#This Row],[P]]="20","41080111",_xlfn.XLOOKUP(COMPROMISOS_2025[[#This Row],[concatenado]],PAA[[#All],[RCP-RUBRO]],PAA[[#All],[INDICADOR]],"",0))</f>
        <v>#NAME?</v>
      </c>
      <c r="V1990" s="144" t="str">
        <f t="shared" si="63"/>
        <v>85</v>
      </c>
      <c r="W1990" s="136">
        <f>+COMPROMISOS_2025[[#This Row],[valor_total]]-COMPROMISOS_2025[[#This Row],[total_cancelado]]</f>
        <v>711750</v>
      </c>
      <c r="X1990" s="136">
        <f>COMPROMISOS_2025[[#This Row],[total_ordenes]]</f>
        <v>711750</v>
      </c>
      <c r="Y1990" t="str" cm="1">
        <f t="array" aca="1" ref="Y1990" ca="1">IFERROR(_xlfn.XLOOKUP(COMPROMISOS_2025[[#This Row],[concatenado]],PAA[[#All],[RCP-RUBRO]],PAA[[#All],[Actividad3]],VLOOKUP(COMPROMISOS_2025[[#This Row],[Indicador Principal]],$AC$2:$AD$17,2,0),0),"")</f>
        <v/>
      </c>
    </row>
    <row r="1991" spans="1:25" hidden="1" x14ac:dyDescent="0.25">
      <c r="A1991">
        <v>1503</v>
      </c>
      <c r="B1991" t="s">
        <v>2491</v>
      </c>
      <c r="C1991" t="s">
        <v>1936</v>
      </c>
      <c r="D1991" t="s">
        <v>4182</v>
      </c>
      <c r="F1991">
        <v>406</v>
      </c>
      <c r="G1991">
        <v>65</v>
      </c>
      <c r="H1991" t="s">
        <v>662</v>
      </c>
      <c r="I1991" t="s">
        <v>2271</v>
      </c>
      <c r="J1991">
        <v>711750</v>
      </c>
      <c r="K1991">
        <v>2025</v>
      </c>
      <c r="L1991">
        <v>1020304812</v>
      </c>
      <c r="M1991" t="s">
        <v>3668</v>
      </c>
      <c r="N1991" t="s">
        <v>1688</v>
      </c>
      <c r="O1991" t="s">
        <v>1686</v>
      </c>
      <c r="P1991">
        <v>0</v>
      </c>
      <c r="Q1991">
        <v>711750</v>
      </c>
      <c r="R1991">
        <v>0</v>
      </c>
      <c r="S1991">
        <v>0</v>
      </c>
      <c r="T1991" t="str">
        <f t="shared" si="62"/>
        <v>15032.43.4302.85.0-205128.2.3.3.08.06.</v>
      </c>
      <c r="U1991" t="e" cm="1">
        <f t="array" aca="1" ref="U1991" ca="1">+IF(COMPROMISOS_2025[[#This Row],[P]]="20","41080111",_xlfn.XLOOKUP(COMPROMISOS_2025[[#This Row],[concatenado]],PAA[[#All],[RCP-RUBRO]],PAA[[#All],[INDICADOR]],"",0))</f>
        <v>#NAME?</v>
      </c>
      <c r="V1991" s="144" t="str">
        <f t="shared" si="63"/>
        <v>85</v>
      </c>
      <c r="W1991" s="136">
        <f>+COMPROMISOS_2025[[#This Row],[valor_total]]-COMPROMISOS_2025[[#This Row],[total_cancelado]]</f>
        <v>711750</v>
      </c>
      <c r="X1991" s="136">
        <f>COMPROMISOS_2025[[#This Row],[total_ordenes]]</f>
        <v>711750</v>
      </c>
      <c r="Y1991" t="str" cm="1">
        <f t="array" aca="1" ref="Y1991" ca="1">IFERROR(_xlfn.XLOOKUP(COMPROMISOS_2025[[#This Row],[concatenado]],PAA[[#All],[RCP-RUBRO]],PAA[[#All],[Actividad3]],VLOOKUP(COMPROMISOS_2025[[#This Row],[Indicador Principal]],$AC$2:$AD$17,2,0),0),"")</f>
        <v/>
      </c>
    </row>
    <row r="1992" spans="1:25" hidden="1" x14ac:dyDescent="0.25">
      <c r="A1992">
        <v>1504</v>
      </c>
      <c r="B1992" t="s">
        <v>2491</v>
      </c>
      <c r="C1992" t="s">
        <v>1936</v>
      </c>
      <c r="D1992" t="s">
        <v>4182</v>
      </c>
      <c r="F1992">
        <v>406</v>
      </c>
      <c r="G1992">
        <v>65</v>
      </c>
      <c r="H1992" t="s">
        <v>662</v>
      </c>
      <c r="I1992" t="s">
        <v>2271</v>
      </c>
      <c r="J1992">
        <v>2847000</v>
      </c>
      <c r="K1992">
        <v>2025</v>
      </c>
      <c r="L1992">
        <v>1020399709</v>
      </c>
      <c r="M1992" t="s">
        <v>4303</v>
      </c>
      <c r="N1992" t="s">
        <v>1688</v>
      </c>
      <c r="O1992" t="s">
        <v>1686</v>
      </c>
      <c r="P1992">
        <v>0</v>
      </c>
      <c r="Q1992">
        <v>2847000</v>
      </c>
      <c r="R1992">
        <v>0</v>
      </c>
      <c r="S1992">
        <v>0</v>
      </c>
      <c r="T1992" t="str">
        <f t="shared" si="62"/>
        <v>15042.43.4302.85.0-205128.2.3.3.08.06.</v>
      </c>
      <c r="U1992" t="e" cm="1">
        <f t="array" aca="1" ref="U1992" ca="1">+IF(COMPROMISOS_2025[[#This Row],[P]]="20","41080111",_xlfn.XLOOKUP(COMPROMISOS_2025[[#This Row],[concatenado]],PAA[[#All],[RCP-RUBRO]],PAA[[#All],[INDICADOR]],"",0))</f>
        <v>#NAME?</v>
      </c>
      <c r="V1992" s="144" t="str">
        <f t="shared" si="63"/>
        <v>85</v>
      </c>
      <c r="W1992" s="136">
        <f>+COMPROMISOS_2025[[#This Row],[valor_total]]-COMPROMISOS_2025[[#This Row],[total_cancelado]]</f>
        <v>2847000</v>
      </c>
      <c r="X1992" s="136">
        <f>COMPROMISOS_2025[[#This Row],[total_ordenes]]</f>
        <v>2847000</v>
      </c>
      <c r="Y1992" t="str" cm="1">
        <f t="array" aca="1" ref="Y1992" ca="1">IFERROR(_xlfn.XLOOKUP(COMPROMISOS_2025[[#This Row],[concatenado]],PAA[[#All],[RCP-RUBRO]],PAA[[#All],[Actividad3]],VLOOKUP(COMPROMISOS_2025[[#This Row],[Indicador Principal]],$AC$2:$AD$17,2,0),0),"")</f>
        <v/>
      </c>
    </row>
    <row r="1993" spans="1:25" hidden="1" x14ac:dyDescent="0.25">
      <c r="A1993">
        <v>1505</v>
      </c>
      <c r="B1993" t="s">
        <v>2491</v>
      </c>
      <c r="C1993" t="s">
        <v>1936</v>
      </c>
      <c r="D1993" t="s">
        <v>4182</v>
      </c>
      <c r="F1993">
        <v>406</v>
      </c>
      <c r="G1993">
        <v>65</v>
      </c>
      <c r="H1993" t="s">
        <v>662</v>
      </c>
      <c r="I1993" t="s">
        <v>2271</v>
      </c>
      <c r="J1993">
        <v>711750</v>
      </c>
      <c r="K1993">
        <v>2025</v>
      </c>
      <c r="L1993">
        <v>1020435051</v>
      </c>
      <c r="M1993" t="s">
        <v>3669</v>
      </c>
      <c r="N1993" t="s">
        <v>1688</v>
      </c>
      <c r="O1993" t="s">
        <v>1686</v>
      </c>
      <c r="P1993">
        <v>0</v>
      </c>
      <c r="Q1993">
        <v>711750</v>
      </c>
      <c r="R1993">
        <v>0</v>
      </c>
      <c r="S1993">
        <v>0</v>
      </c>
      <c r="T1993" t="str">
        <f t="shared" si="62"/>
        <v>15052.43.4302.85.0-205128.2.3.3.08.06.</v>
      </c>
      <c r="U1993" t="e" cm="1">
        <f t="array" aca="1" ref="U1993" ca="1">+IF(COMPROMISOS_2025[[#This Row],[P]]="20","41080111",_xlfn.XLOOKUP(COMPROMISOS_2025[[#This Row],[concatenado]],PAA[[#All],[RCP-RUBRO]],PAA[[#All],[INDICADOR]],"",0))</f>
        <v>#NAME?</v>
      </c>
      <c r="V1993" s="144" t="str">
        <f t="shared" si="63"/>
        <v>85</v>
      </c>
      <c r="W1993" s="136">
        <f>+COMPROMISOS_2025[[#This Row],[valor_total]]-COMPROMISOS_2025[[#This Row],[total_cancelado]]</f>
        <v>711750</v>
      </c>
      <c r="X1993" s="136">
        <f>COMPROMISOS_2025[[#This Row],[total_ordenes]]</f>
        <v>711750</v>
      </c>
      <c r="Y1993" t="str" cm="1">
        <f t="array" aca="1" ref="Y1993" ca="1">IFERROR(_xlfn.XLOOKUP(COMPROMISOS_2025[[#This Row],[concatenado]],PAA[[#All],[RCP-RUBRO]],PAA[[#All],[Actividad3]],VLOOKUP(COMPROMISOS_2025[[#This Row],[Indicador Principal]],$AC$2:$AD$17,2,0),0),"")</f>
        <v/>
      </c>
    </row>
    <row r="1994" spans="1:25" hidden="1" x14ac:dyDescent="0.25">
      <c r="A1994">
        <v>1506</v>
      </c>
      <c r="B1994" t="s">
        <v>2491</v>
      </c>
      <c r="C1994" t="s">
        <v>1936</v>
      </c>
      <c r="D1994" t="s">
        <v>4182</v>
      </c>
      <c r="F1994">
        <v>406</v>
      </c>
      <c r="G1994">
        <v>65</v>
      </c>
      <c r="H1994" t="s">
        <v>662</v>
      </c>
      <c r="I1994" t="s">
        <v>2271</v>
      </c>
      <c r="J1994">
        <v>1067625</v>
      </c>
      <c r="K1994">
        <v>2025</v>
      </c>
      <c r="L1994">
        <v>1020462194</v>
      </c>
      <c r="M1994" t="s">
        <v>4304</v>
      </c>
      <c r="N1994" t="s">
        <v>1688</v>
      </c>
      <c r="O1994" t="s">
        <v>1686</v>
      </c>
      <c r="P1994">
        <v>0</v>
      </c>
      <c r="Q1994">
        <v>1067625</v>
      </c>
      <c r="R1994">
        <v>0</v>
      </c>
      <c r="S1994">
        <v>0</v>
      </c>
      <c r="T1994" t="str">
        <f t="shared" si="62"/>
        <v>15062.43.4302.85.0-205128.2.3.3.08.06.</v>
      </c>
      <c r="U1994" t="e" cm="1">
        <f t="array" aca="1" ref="U1994" ca="1">+IF(COMPROMISOS_2025[[#This Row],[P]]="20","41080111",_xlfn.XLOOKUP(COMPROMISOS_2025[[#This Row],[concatenado]],PAA[[#All],[RCP-RUBRO]],PAA[[#All],[INDICADOR]],"",0))</f>
        <v>#NAME?</v>
      </c>
      <c r="V1994" s="144" t="str">
        <f t="shared" si="63"/>
        <v>85</v>
      </c>
      <c r="W1994" s="136">
        <f>+COMPROMISOS_2025[[#This Row],[valor_total]]-COMPROMISOS_2025[[#This Row],[total_cancelado]]</f>
        <v>1067625</v>
      </c>
      <c r="X1994" s="136">
        <f>COMPROMISOS_2025[[#This Row],[total_ordenes]]</f>
        <v>1067625</v>
      </c>
      <c r="Y1994" t="str" cm="1">
        <f t="array" aca="1" ref="Y1994" ca="1">IFERROR(_xlfn.XLOOKUP(COMPROMISOS_2025[[#This Row],[concatenado]],PAA[[#All],[RCP-RUBRO]],PAA[[#All],[Actividad3]],VLOOKUP(COMPROMISOS_2025[[#This Row],[Indicador Principal]],$AC$2:$AD$17,2,0),0),"")</f>
        <v/>
      </c>
    </row>
    <row r="1995" spans="1:25" hidden="1" x14ac:dyDescent="0.25">
      <c r="A1995">
        <v>1507</v>
      </c>
      <c r="B1995" t="s">
        <v>2491</v>
      </c>
      <c r="C1995" t="s">
        <v>1936</v>
      </c>
      <c r="D1995" t="s">
        <v>4182</v>
      </c>
      <c r="F1995">
        <v>406</v>
      </c>
      <c r="G1995">
        <v>65</v>
      </c>
      <c r="H1995" t="s">
        <v>662</v>
      </c>
      <c r="I1995" t="s">
        <v>2271</v>
      </c>
      <c r="J1995">
        <v>711750</v>
      </c>
      <c r="K1995">
        <v>2025</v>
      </c>
      <c r="L1995">
        <v>1020464040</v>
      </c>
      <c r="M1995" t="s">
        <v>4305</v>
      </c>
      <c r="N1995" t="s">
        <v>1688</v>
      </c>
      <c r="O1995" t="s">
        <v>1686</v>
      </c>
      <c r="P1995">
        <v>0</v>
      </c>
      <c r="Q1995">
        <v>711750</v>
      </c>
      <c r="R1995">
        <v>0</v>
      </c>
      <c r="S1995">
        <v>0</v>
      </c>
      <c r="T1995" t="str">
        <f t="shared" si="62"/>
        <v>15072.43.4302.85.0-205128.2.3.3.08.06.</v>
      </c>
      <c r="U1995" t="e" cm="1">
        <f t="array" aca="1" ref="U1995" ca="1">+IF(COMPROMISOS_2025[[#This Row],[P]]="20","41080111",_xlfn.XLOOKUP(COMPROMISOS_2025[[#This Row],[concatenado]],PAA[[#All],[RCP-RUBRO]],PAA[[#All],[INDICADOR]],"",0))</f>
        <v>#NAME?</v>
      </c>
      <c r="V1995" s="144" t="str">
        <f t="shared" si="63"/>
        <v>85</v>
      </c>
      <c r="W1995" s="136">
        <f>+COMPROMISOS_2025[[#This Row],[valor_total]]-COMPROMISOS_2025[[#This Row],[total_cancelado]]</f>
        <v>711750</v>
      </c>
      <c r="X1995" s="136">
        <f>COMPROMISOS_2025[[#This Row],[total_ordenes]]</f>
        <v>711750</v>
      </c>
      <c r="Y1995" t="str" cm="1">
        <f t="array" aca="1" ref="Y1995" ca="1">IFERROR(_xlfn.XLOOKUP(COMPROMISOS_2025[[#This Row],[concatenado]],PAA[[#All],[RCP-RUBRO]],PAA[[#All],[Actividad3]],VLOOKUP(COMPROMISOS_2025[[#This Row],[Indicador Principal]],$AC$2:$AD$17,2,0),0),"")</f>
        <v/>
      </c>
    </row>
    <row r="1996" spans="1:25" hidden="1" x14ac:dyDescent="0.25">
      <c r="A1996">
        <v>1508</v>
      </c>
      <c r="B1996" t="s">
        <v>2491</v>
      </c>
      <c r="C1996" t="s">
        <v>1936</v>
      </c>
      <c r="D1996" t="s">
        <v>4182</v>
      </c>
      <c r="F1996">
        <v>406</v>
      </c>
      <c r="G1996">
        <v>65</v>
      </c>
      <c r="H1996" t="s">
        <v>662</v>
      </c>
      <c r="I1996" t="s">
        <v>2271</v>
      </c>
      <c r="J1996">
        <v>1067625</v>
      </c>
      <c r="K1996">
        <v>2025</v>
      </c>
      <c r="L1996">
        <v>1020467552</v>
      </c>
      <c r="M1996" t="s">
        <v>4306</v>
      </c>
      <c r="N1996" t="s">
        <v>1688</v>
      </c>
      <c r="O1996" t="s">
        <v>1686</v>
      </c>
      <c r="P1996">
        <v>0</v>
      </c>
      <c r="Q1996">
        <v>1067625</v>
      </c>
      <c r="R1996">
        <v>0</v>
      </c>
      <c r="S1996">
        <v>0</v>
      </c>
      <c r="T1996" t="str">
        <f t="shared" si="62"/>
        <v>15082.43.4302.85.0-205128.2.3.3.08.06.</v>
      </c>
      <c r="U1996" t="e" cm="1">
        <f t="array" aca="1" ref="U1996" ca="1">+IF(COMPROMISOS_2025[[#This Row],[P]]="20","41080111",_xlfn.XLOOKUP(COMPROMISOS_2025[[#This Row],[concatenado]],PAA[[#All],[RCP-RUBRO]],PAA[[#All],[INDICADOR]],"",0))</f>
        <v>#NAME?</v>
      </c>
      <c r="V1996" s="144" t="str">
        <f t="shared" si="63"/>
        <v>85</v>
      </c>
      <c r="W1996" s="136">
        <f>+COMPROMISOS_2025[[#This Row],[valor_total]]-COMPROMISOS_2025[[#This Row],[total_cancelado]]</f>
        <v>1067625</v>
      </c>
      <c r="X1996" s="136">
        <f>COMPROMISOS_2025[[#This Row],[total_ordenes]]</f>
        <v>1067625</v>
      </c>
      <c r="Y1996" t="str" cm="1">
        <f t="array" aca="1" ref="Y1996" ca="1">IFERROR(_xlfn.XLOOKUP(COMPROMISOS_2025[[#This Row],[concatenado]],PAA[[#All],[RCP-RUBRO]],PAA[[#All],[Actividad3]],VLOOKUP(COMPROMISOS_2025[[#This Row],[Indicador Principal]],$AC$2:$AD$17,2,0),0),"")</f>
        <v/>
      </c>
    </row>
    <row r="1997" spans="1:25" hidden="1" x14ac:dyDescent="0.25">
      <c r="A1997">
        <v>1509</v>
      </c>
      <c r="B1997" t="s">
        <v>2491</v>
      </c>
      <c r="C1997" t="s">
        <v>1936</v>
      </c>
      <c r="D1997" t="s">
        <v>4182</v>
      </c>
      <c r="F1997">
        <v>406</v>
      </c>
      <c r="G1997">
        <v>65</v>
      </c>
      <c r="H1997" t="s">
        <v>662</v>
      </c>
      <c r="I1997" t="s">
        <v>2271</v>
      </c>
      <c r="J1997">
        <v>711750</v>
      </c>
      <c r="K1997">
        <v>2025</v>
      </c>
      <c r="L1997">
        <v>1020473191</v>
      </c>
      <c r="M1997" t="s">
        <v>4307</v>
      </c>
      <c r="N1997" t="s">
        <v>1688</v>
      </c>
      <c r="O1997" t="s">
        <v>1686</v>
      </c>
      <c r="P1997">
        <v>0</v>
      </c>
      <c r="Q1997">
        <v>711750</v>
      </c>
      <c r="R1997">
        <v>0</v>
      </c>
      <c r="S1997">
        <v>0</v>
      </c>
      <c r="T1997" t="str">
        <f t="shared" si="62"/>
        <v>15092.43.4302.85.0-205128.2.3.3.08.06.</v>
      </c>
      <c r="U1997" t="e" cm="1">
        <f t="array" aca="1" ref="U1997" ca="1">+IF(COMPROMISOS_2025[[#This Row],[P]]="20","41080111",_xlfn.XLOOKUP(COMPROMISOS_2025[[#This Row],[concatenado]],PAA[[#All],[RCP-RUBRO]],PAA[[#All],[INDICADOR]],"",0))</f>
        <v>#NAME?</v>
      </c>
      <c r="V1997" s="144" t="str">
        <f t="shared" si="63"/>
        <v>85</v>
      </c>
      <c r="W1997" s="136">
        <f>+COMPROMISOS_2025[[#This Row],[valor_total]]-COMPROMISOS_2025[[#This Row],[total_cancelado]]</f>
        <v>711750</v>
      </c>
      <c r="X1997" s="136">
        <f>COMPROMISOS_2025[[#This Row],[total_ordenes]]</f>
        <v>711750</v>
      </c>
      <c r="Y1997" t="str" cm="1">
        <f t="array" aca="1" ref="Y1997" ca="1">IFERROR(_xlfn.XLOOKUP(COMPROMISOS_2025[[#This Row],[concatenado]],PAA[[#All],[RCP-RUBRO]],PAA[[#All],[Actividad3]],VLOOKUP(COMPROMISOS_2025[[#This Row],[Indicador Principal]],$AC$2:$AD$17,2,0),0),"")</f>
        <v/>
      </c>
    </row>
    <row r="1998" spans="1:25" hidden="1" x14ac:dyDescent="0.25">
      <c r="A1998">
        <v>1510</v>
      </c>
      <c r="B1998" t="s">
        <v>2491</v>
      </c>
      <c r="C1998" t="s">
        <v>1936</v>
      </c>
      <c r="D1998" t="s">
        <v>4182</v>
      </c>
      <c r="F1998">
        <v>406</v>
      </c>
      <c r="G1998">
        <v>65</v>
      </c>
      <c r="H1998" t="s">
        <v>662</v>
      </c>
      <c r="I1998" t="s">
        <v>2271</v>
      </c>
      <c r="J1998">
        <v>1067625</v>
      </c>
      <c r="K1998">
        <v>2025</v>
      </c>
      <c r="L1998">
        <v>1020490926</v>
      </c>
      <c r="M1998" t="s">
        <v>4029</v>
      </c>
      <c r="N1998" t="s">
        <v>1688</v>
      </c>
      <c r="O1998" t="s">
        <v>1686</v>
      </c>
      <c r="P1998">
        <v>0</v>
      </c>
      <c r="Q1998">
        <v>1067625</v>
      </c>
      <c r="R1998">
        <v>0</v>
      </c>
      <c r="S1998">
        <v>0</v>
      </c>
      <c r="T1998" t="str">
        <f t="shared" si="62"/>
        <v>15102.43.4302.85.0-205128.2.3.3.08.06.</v>
      </c>
      <c r="U1998" t="e" cm="1">
        <f t="array" aca="1" ref="U1998" ca="1">+IF(COMPROMISOS_2025[[#This Row],[P]]="20","41080111",_xlfn.XLOOKUP(COMPROMISOS_2025[[#This Row],[concatenado]],PAA[[#All],[RCP-RUBRO]],PAA[[#All],[INDICADOR]],"",0))</f>
        <v>#NAME?</v>
      </c>
      <c r="V1998" s="144" t="str">
        <f t="shared" si="63"/>
        <v>85</v>
      </c>
      <c r="W1998" s="136">
        <f>+COMPROMISOS_2025[[#This Row],[valor_total]]-COMPROMISOS_2025[[#This Row],[total_cancelado]]</f>
        <v>1067625</v>
      </c>
      <c r="X1998" s="136">
        <f>COMPROMISOS_2025[[#This Row],[total_ordenes]]</f>
        <v>1067625</v>
      </c>
      <c r="Y1998" t="str" cm="1">
        <f t="array" aca="1" ref="Y1998" ca="1">IFERROR(_xlfn.XLOOKUP(COMPROMISOS_2025[[#This Row],[concatenado]],PAA[[#All],[RCP-RUBRO]],PAA[[#All],[Actividad3]],VLOOKUP(COMPROMISOS_2025[[#This Row],[Indicador Principal]],$AC$2:$AD$17,2,0),0),"")</f>
        <v/>
      </c>
    </row>
    <row r="1999" spans="1:25" hidden="1" x14ac:dyDescent="0.25">
      <c r="A1999">
        <v>1511</v>
      </c>
      <c r="B1999" t="s">
        <v>2491</v>
      </c>
      <c r="C1999" t="s">
        <v>1936</v>
      </c>
      <c r="D1999" t="s">
        <v>4182</v>
      </c>
      <c r="F1999">
        <v>406</v>
      </c>
      <c r="G1999">
        <v>65</v>
      </c>
      <c r="H1999" t="s">
        <v>662</v>
      </c>
      <c r="I1999" t="s">
        <v>2271</v>
      </c>
      <c r="J1999">
        <v>711750</v>
      </c>
      <c r="K1999">
        <v>2025</v>
      </c>
      <c r="L1999">
        <v>1020731919</v>
      </c>
      <c r="M1999" t="s">
        <v>4308</v>
      </c>
      <c r="N1999" t="s">
        <v>1688</v>
      </c>
      <c r="O1999" t="s">
        <v>1686</v>
      </c>
      <c r="P1999">
        <v>0</v>
      </c>
      <c r="Q1999">
        <v>711750</v>
      </c>
      <c r="R1999">
        <v>0</v>
      </c>
      <c r="S1999">
        <v>0</v>
      </c>
      <c r="T1999" t="str">
        <f t="shared" si="62"/>
        <v>15112.43.4302.85.0-205128.2.3.3.08.06.</v>
      </c>
      <c r="U1999" t="e" cm="1">
        <f t="array" aca="1" ref="U1999" ca="1">+IF(COMPROMISOS_2025[[#This Row],[P]]="20","41080111",_xlfn.XLOOKUP(COMPROMISOS_2025[[#This Row],[concatenado]],PAA[[#All],[RCP-RUBRO]],PAA[[#All],[INDICADOR]],"",0))</f>
        <v>#NAME?</v>
      </c>
      <c r="V1999" s="144" t="str">
        <f t="shared" si="63"/>
        <v>85</v>
      </c>
      <c r="W1999" s="136">
        <f>+COMPROMISOS_2025[[#This Row],[valor_total]]-COMPROMISOS_2025[[#This Row],[total_cancelado]]</f>
        <v>711750</v>
      </c>
      <c r="X1999" s="136">
        <f>COMPROMISOS_2025[[#This Row],[total_ordenes]]</f>
        <v>711750</v>
      </c>
      <c r="Y1999" t="str" cm="1">
        <f t="array" aca="1" ref="Y1999" ca="1">IFERROR(_xlfn.XLOOKUP(COMPROMISOS_2025[[#This Row],[concatenado]],PAA[[#All],[RCP-RUBRO]],PAA[[#All],[Actividad3]],VLOOKUP(COMPROMISOS_2025[[#This Row],[Indicador Principal]],$AC$2:$AD$17,2,0),0),"")</f>
        <v/>
      </c>
    </row>
    <row r="2000" spans="1:25" hidden="1" x14ac:dyDescent="0.25">
      <c r="A2000">
        <v>1512</v>
      </c>
      <c r="B2000" t="s">
        <v>2491</v>
      </c>
      <c r="C2000" t="s">
        <v>1936</v>
      </c>
      <c r="D2000" t="s">
        <v>4182</v>
      </c>
      <c r="F2000">
        <v>406</v>
      </c>
      <c r="G2000">
        <v>65</v>
      </c>
      <c r="H2000" t="s">
        <v>662</v>
      </c>
      <c r="I2000" t="s">
        <v>2271</v>
      </c>
      <c r="J2000">
        <v>1067625</v>
      </c>
      <c r="K2000">
        <v>2025</v>
      </c>
      <c r="L2000">
        <v>1021398644</v>
      </c>
      <c r="M2000" t="s">
        <v>3670</v>
      </c>
      <c r="N2000" t="s">
        <v>1688</v>
      </c>
      <c r="O2000" t="s">
        <v>1686</v>
      </c>
      <c r="P2000">
        <v>0</v>
      </c>
      <c r="Q2000">
        <v>1067625</v>
      </c>
      <c r="R2000">
        <v>0</v>
      </c>
      <c r="S2000">
        <v>0</v>
      </c>
      <c r="T2000" t="str">
        <f t="shared" si="62"/>
        <v>15122.43.4302.85.0-205128.2.3.3.08.06.</v>
      </c>
      <c r="U2000" t="e" cm="1">
        <f t="array" aca="1" ref="U2000" ca="1">+IF(COMPROMISOS_2025[[#This Row],[P]]="20","41080111",_xlfn.XLOOKUP(COMPROMISOS_2025[[#This Row],[concatenado]],PAA[[#All],[RCP-RUBRO]],PAA[[#All],[INDICADOR]],"",0))</f>
        <v>#NAME?</v>
      </c>
      <c r="V2000" s="144" t="str">
        <f t="shared" si="63"/>
        <v>85</v>
      </c>
      <c r="W2000" s="136">
        <f>+COMPROMISOS_2025[[#This Row],[valor_total]]-COMPROMISOS_2025[[#This Row],[total_cancelado]]</f>
        <v>1067625</v>
      </c>
      <c r="X2000" s="136">
        <f>COMPROMISOS_2025[[#This Row],[total_ordenes]]</f>
        <v>1067625</v>
      </c>
      <c r="Y2000" t="str" cm="1">
        <f t="array" aca="1" ref="Y2000" ca="1">IFERROR(_xlfn.XLOOKUP(COMPROMISOS_2025[[#This Row],[concatenado]],PAA[[#All],[RCP-RUBRO]],PAA[[#All],[Actividad3]],VLOOKUP(COMPROMISOS_2025[[#This Row],[Indicador Principal]],$AC$2:$AD$17,2,0),0),"")</f>
        <v/>
      </c>
    </row>
    <row r="2001" spans="1:25" hidden="1" x14ac:dyDescent="0.25">
      <c r="A2001">
        <v>1513</v>
      </c>
      <c r="B2001" t="s">
        <v>2491</v>
      </c>
      <c r="C2001" t="s">
        <v>1936</v>
      </c>
      <c r="D2001" t="s">
        <v>4182</v>
      </c>
      <c r="F2001">
        <v>406</v>
      </c>
      <c r="G2001">
        <v>65</v>
      </c>
      <c r="H2001" t="s">
        <v>662</v>
      </c>
      <c r="I2001" t="s">
        <v>2271</v>
      </c>
      <c r="J2001">
        <v>1067625</v>
      </c>
      <c r="K2001">
        <v>2025</v>
      </c>
      <c r="L2001">
        <v>1021803306</v>
      </c>
      <c r="M2001" t="s">
        <v>3671</v>
      </c>
      <c r="N2001" t="s">
        <v>1688</v>
      </c>
      <c r="O2001" t="s">
        <v>1686</v>
      </c>
      <c r="P2001">
        <v>0</v>
      </c>
      <c r="Q2001">
        <v>1067625</v>
      </c>
      <c r="R2001">
        <v>0</v>
      </c>
      <c r="S2001">
        <v>0</v>
      </c>
      <c r="T2001" t="str">
        <f t="shared" si="62"/>
        <v>15132.43.4302.85.0-205128.2.3.3.08.06.</v>
      </c>
      <c r="U2001" t="e" cm="1">
        <f t="array" aca="1" ref="U2001" ca="1">+IF(COMPROMISOS_2025[[#This Row],[P]]="20","41080111",_xlfn.XLOOKUP(COMPROMISOS_2025[[#This Row],[concatenado]],PAA[[#All],[RCP-RUBRO]],PAA[[#All],[INDICADOR]],"",0))</f>
        <v>#NAME?</v>
      </c>
      <c r="V2001" s="144" t="str">
        <f t="shared" si="63"/>
        <v>85</v>
      </c>
      <c r="W2001" s="136">
        <f>+COMPROMISOS_2025[[#This Row],[valor_total]]-COMPROMISOS_2025[[#This Row],[total_cancelado]]</f>
        <v>1067625</v>
      </c>
      <c r="X2001" s="136">
        <f>COMPROMISOS_2025[[#This Row],[total_ordenes]]</f>
        <v>1067625</v>
      </c>
      <c r="Y2001" t="str" cm="1">
        <f t="array" aca="1" ref="Y2001" ca="1">IFERROR(_xlfn.XLOOKUP(COMPROMISOS_2025[[#This Row],[concatenado]],PAA[[#All],[RCP-RUBRO]],PAA[[#All],[Actividad3]],VLOOKUP(COMPROMISOS_2025[[#This Row],[Indicador Principal]],$AC$2:$AD$17,2,0),0),"")</f>
        <v/>
      </c>
    </row>
    <row r="2002" spans="1:25" hidden="1" x14ac:dyDescent="0.25">
      <c r="A2002">
        <v>1514</v>
      </c>
      <c r="B2002" t="s">
        <v>2491</v>
      </c>
      <c r="C2002" t="s">
        <v>1936</v>
      </c>
      <c r="D2002" t="s">
        <v>4182</v>
      </c>
      <c r="F2002">
        <v>406</v>
      </c>
      <c r="G2002">
        <v>65</v>
      </c>
      <c r="H2002" t="s">
        <v>662</v>
      </c>
      <c r="I2002" t="s">
        <v>2271</v>
      </c>
      <c r="J2002">
        <v>711750</v>
      </c>
      <c r="K2002">
        <v>2025</v>
      </c>
      <c r="L2002">
        <v>1021804231</v>
      </c>
      <c r="M2002" t="s">
        <v>4309</v>
      </c>
      <c r="N2002" t="s">
        <v>1688</v>
      </c>
      <c r="O2002" t="s">
        <v>1686</v>
      </c>
      <c r="P2002">
        <v>0</v>
      </c>
      <c r="Q2002">
        <v>711750</v>
      </c>
      <c r="R2002">
        <v>0</v>
      </c>
      <c r="S2002">
        <v>0</v>
      </c>
      <c r="T2002" t="str">
        <f t="shared" si="62"/>
        <v>15142.43.4302.85.0-205128.2.3.3.08.06.</v>
      </c>
      <c r="U2002" t="e" cm="1">
        <f t="array" aca="1" ref="U2002" ca="1">+IF(COMPROMISOS_2025[[#This Row],[P]]="20","41080111",_xlfn.XLOOKUP(COMPROMISOS_2025[[#This Row],[concatenado]],PAA[[#All],[RCP-RUBRO]],PAA[[#All],[INDICADOR]],"",0))</f>
        <v>#NAME?</v>
      </c>
      <c r="V2002" s="144" t="str">
        <f t="shared" si="63"/>
        <v>85</v>
      </c>
      <c r="W2002" s="136">
        <f>+COMPROMISOS_2025[[#This Row],[valor_total]]-COMPROMISOS_2025[[#This Row],[total_cancelado]]</f>
        <v>711750</v>
      </c>
      <c r="X2002" s="136">
        <f>COMPROMISOS_2025[[#This Row],[total_ordenes]]</f>
        <v>711750</v>
      </c>
      <c r="Y2002" t="str" cm="1">
        <f t="array" aca="1" ref="Y2002" ca="1">IFERROR(_xlfn.XLOOKUP(COMPROMISOS_2025[[#This Row],[concatenado]],PAA[[#All],[RCP-RUBRO]],PAA[[#All],[Actividad3]],VLOOKUP(COMPROMISOS_2025[[#This Row],[Indicador Principal]],$AC$2:$AD$17,2,0),0),"")</f>
        <v/>
      </c>
    </row>
    <row r="2003" spans="1:25" hidden="1" x14ac:dyDescent="0.25">
      <c r="A2003">
        <v>1515</v>
      </c>
      <c r="B2003" t="s">
        <v>2491</v>
      </c>
      <c r="C2003" t="s">
        <v>1936</v>
      </c>
      <c r="D2003" t="s">
        <v>4182</v>
      </c>
      <c r="F2003">
        <v>406</v>
      </c>
      <c r="G2003">
        <v>65</v>
      </c>
      <c r="H2003" t="s">
        <v>662</v>
      </c>
      <c r="I2003" t="s">
        <v>2271</v>
      </c>
      <c r="J2003">
        <v>1067625</v>
      </c>
      <c r="K2003">
        <v>2025</v>
      </c>
      <c r="L2003">
        <v>1021923103</v>
      </c>
      <c r="M2003" t="s">
        <v>3672</v>
      </c>
      <c r="N2003" t="s">
        <v>1688</v>
      </c>
      <c r="O2003" t="s">
        <v>1686</v>
      </c>
      <c r="P2003">
        <v>0</v>
      </c>
      <c r="Q2003">
        <v>1067625</v>
      </c>
      <c r="R2003">
        <v>0</v>
      </c>
      <c r="S2003">
        <v>0</v>
      </c>
      <c r="T2003" t="str">
        <f t="shared" si="62"/>
        <v>15152.43.4302.85.0-205128.2.3.3.08.06.</v>
      </c>
      <c r="U2003" t="e" cm="1">
        <f t="array" aca="1" ref="U2003" ca="1">+IF(COMPROMISOS_2025[[#This Row],[P]]="20","41080111",_xlfn.XLOOKUP(COMPROMISOS_2025[[#This Row],[concatenado]],PAA[[#All],[RCP-RUBRO]],PAA[[#All],[INDICADOR]],"",0))</f>
        <v>#NAME?</v>
      </c>
      <c r="V2003" s="144" t="str">
        <f t="shared" si="63"/>
        <v>85</v>
      </c>
      <c r="W2003" s="136">
        <f>+COMPROMISOS_2025[[#This Row],[valor_total]]-COMPROMISOS_2025[[#This Row],[total_cancelado]]</f>
        <v>1067625</v>
      </c>
      <c r="X2003" s="136">
        <f>COMPROMISOS_2025[[#This Row],[total_ordenes]]</f>
        <v>1067625</v>
      </c>
      <c r="Y2003" t="str" cm="1">
        <f t="array" aca="1" ref="Y2003" ca="1">IFERROR(_xlfn.XLOOKUP(COMPROMISOS_2025[[#This Row],[concatenado]],PAA[[#All],[RCP-RUBRO]],PAA[[#All],[Actividad3]],VLOOKUP(COMPROMISOS_2025[[#This Row],[Indicador Principal]],$AC$2:$AD$17,2,0),0),"")</f>
        <v/>
      </c>
    </row>
    <row r="2004" spans="1:25" hidden="1" x14ac:dyDescent="0.25">
      <c r="A2004">
        <v>1516</v>
      </c>
      <c r="B2004" t="s">
        <v>2491</v>
      </c>
      <c r="C2004" t="s">
        <v>1936</v>
      </c>
      <c r="D2004" t="s">
        <v>4182</v>
      </c>
      <c r="F2004">
        <v>406</v>
      </c>
      <c r="G2004">
        <v>65</v>
      </c>
      <c r="H2004" t="s">
        <v>662</v>
      </c>
      <c r="I2004" t="s">
        <v>2271</v>
      </c>
      <c r="J2004">
        <v>1067625</v>
      </c>
      <c r="K2004">
        <v>2025</v>
      </c>
      <c r="L2004">
        <v>1021923426</v>
      </c>
      <c r="M2004" t="s">
        <v>3673</v>
      </c>
      <c r="N2004" t="s">
        <v>1688</v>
      </c>
      <c r="O2004" t="s">
        <v>1686</v>
      </c>
      <c r="P2004">
        <v>0</v>
      </c>
      <c r="Q2004">
        <v>1067625</v>
      </c>
      <c r="R2004">
        <v>0</v>
      </c>
      <c r="S2004">
        <v>0</v>
      </c>
      <c r="T2004" t="str">
        <f t="shared" si="62"/>
        <v>15162.43.4302.85.0-205128.2.3.3.08.06.</v>
      </c>
      <c r="U2004" t="e" cm="1">
        <f t="array" aca="1" ref="U2004" ca="1">+IF(COMPROMISOS_2025[[#This Row],[P]]="20","41080111",_xlfn.XLOOKUP(COMPROMISOS_2025[[#This Row],[concatenado]],PAA[[#All],[RCP-RUBRO]],PAA[[#All],[INDICADOR]],"",0))</f>
        <v>#NAME?</v>
      </c>
      <c r="V2004" s="144" t="str">
        <f t="shared" si="63"/>
        <v>85</v>
      </c>
      <c r="W2004" s="136">
        <f>+COMPROMISOS_2025[[#This Row],[valor_total]]-COMPROMISOS_2025[[#This Row],[total_cancelado]]</f>
        <v>1067625</v>
      </c>
      <c r="X2004" s="136">
        <f>COMPROMISOS_2025[[#This Row],[total_ordenes]]</f>
        <v>1067625</v>
      </c>
      <c r="Y2004" t="str" cm="1">
        <f t="array" aca="1" ref="Y2004" ca="1">IFERROR(_xlfn.XLOOKUP(COMPROMISOS_2025[[#This Row],[concatenado]],PAA[[#All],[RCP-RUBRO]],PAA[[#All],[Actividad3]],VLOOKUP(COMPROMISOS_2025[[#This Row],[Indicador Principal]],$AC$2:$AD$17,2,0),0),"")</f>
        <v/>
      </c>
    </row>
    <row r="2005" spans="1:25" hidden="1" x14ac:dyDescent="0.25">
      <c r="A2005">
        <v>1517</v>
      </c>
      <c r="B2005" t="s">
        <v>2491</v>
      </c>
      <c r="C2005" t="s">
        <v>1936</v>
      </c>
      <c r="D2005" t="s">
        <v>4182</v>
      </c>
      <c r="F2005">
        <v>406</v>
      </c>
      <c r="G2005">
        <v>65</v>
      </c>
      <c r="H2005" t="s">
        <v>662</v>
      </c>
      <c r="I2005" t="s">
        <v>2271</v>
      </c>
      <c r="J2005">
        <v>1779375</v>
      </c>
      <c r="K2005">
        <v>2025</v>
      </c>
      <c r="L2005">
        <v>1021924359</v>
      </c>
      <c r="M2005" t="s">
        <v>3674</v>
      </c>
      <c r="N2005" t="s">
        <v>1688</v>
      </c>
      <c r="O2005" t="s">
        <v>1686</v>
      </c>
      <c r="P2005">
        <v>0</v>
      </c>
      <c r="Q2005">
        <v>1779375</v>
      </c>
      <c r="R2005">
        <v>0</v>
      </c>
      <c r="S2005">
        <v>0</v>
      </c>
      <c r="T2005" t="str">
        <f t="shared" si="62"/>
        <v>15172.43.4302.85.0-205128.2.3.3.08.06.</v>
      </c>
      <c r="U2005" t="e" cm="1">
        <f t="array" aca="1" ref="U2005" ca="1">+IF(COMPROMISOS_2025[[#This Row],[P]]="20","41080111",_xlfn.XLOOKUP(COMPROMISOS_2025[[#This Row],[concatenado]],PAA[[#All],[RCP-RUBRO]],PAA[[#All],[INDICADOR]],"",0))</f>
        <v>#NAME?</v>
      </c>
      <c r="V2005" s="144" t="str">
        <f t="shared" si="63"/>
        <v>85</v>
      </c>
      <c r="W2005" s="136">
        <f>+COMPROMISOS_2025[[#This Row],[valor_total]]-COMPROMISOS_2025[[#This Row],[total_cancelado]]</f>
        <v>1779375</v>
      </c>
      <c r="X2005" s="136">
        <f>COMPROMISOS_2025[[#This Row],[total_ordenes]]</f>
        <v>1779375</v>
      </c>
      <c r="Y2005" t="str" cm="1">
        <f t="array" aca="1" ref="Y2005" ca="1">IFERROR(_xlfn.XLOOKUP(COMPROMISOS_2025[[#This Row],[concatenado]],PAA[[#All],[RCP-RUBRO]],PAA[[#All],[Actividad3]],VLOOKUP(COMPROMISOS_2025[[#This Row],[Indicador Principal]],$AC$2:$AD$17,2,0),0),"")</f>
        <v/>
      </c>
    </row>
    <row r="2006" spans="1:25" hidden="1" x14ac:dyDescent="0.25">
      <c r="A2006">
        <v>1518</v>
      </c>
      <c r="B2006" t="s">
        <v>2491</v>
      </c>
      <c r="C2006" t="s">
        <v>1936</v>
      </c>
      <c r="D2006" t="s">
        <v>4182</v>
      </c>
      <c r="F2006">
        <v>406</v>
      </c>
      <c r="G2006">
        <v>65</v>
      </c>
      <c r="H2006" t="s">
        <v>662</v>
      </c>
      <c r="I2006" t="s">
        <v>2271</v>
      </c>
      <c r="J2006">
        <v>1067625</v>
      </c>
      <c r="K2006">
        <v>2025</v>
      </c>
      <c r="L2006">
        <v>1021925931</v>
      </c>
      <c r="M2006" t="s">
        <v>3675</v>
      </c>
      <c r="N2006" t="s">
        <v>1688</v>
      </c>
      <c r="O2006" t="s">
        <v>1686</v>
      </c>
      <c r="P2006">
        <v>0</v>
      </c>
      <c r="Q2006">
        <v>1067625</v>
      </c>
      <c r="R2006">
        <v>0</v>
      </c>
      <c r="S2006">
        <v>0</v>
      </c>
      <c r="T2006" t="str">
        <f t="shared" si="62"/>
        <v>15182.43.4302.85.0-205128.2.3.3.08.06.</v>
      </c>
      <c r="U2006" t="e" cm="1">
        <f t="array" aca="1" ref="U2006" ca="1">+IF(COMPROMISOS_2025[[#This Row],[P]]="20","41080111",_xlfn.XLOOKUP(COMPROMISOS_2025[[#This Row],[concatenado]],PAA[[#All],[RCP-RUBRO]],PAA[[#All],[INDICADOR]],"",0))</f>
        <v>#NAME?</v>
      </c>
      <c r="V2006" s="144" t="str">
        <f t="shared" si="63"/>
        <v>85</v>
      </c>
      <c r="W2006" s="136">
        <f>+COMPROMISOS_2025[[#This Row],[valor_total]]-COMPROMISOS_2025[[#This Row],[total_cancelado]]</f>
        <v>1067625</v>
      </c>
      <c r="X2006" s="136">
        <f>COMPROMISOS_2025[[#This Row],[total_ordenes]]</f>
        <v>1067625</v>
      </c>
      <c r="Y2006" t="str" cm="1">
        <f t="array" aca="1" ref="Y2006" ca="1">IFERROR(_xlfn.XLOOKUP(COMPROMISOS_2025[[#This Row],[concatenado]],PAA[[#All],[RCP-RUBRO]],PAA[[#All],[Actividad3]],VLOOKUP(COMPROMISOS_2025[[#This Row],[Indicador Principal]],$AC$2:$AD$17,2,0),0),"")</f>
        <v/>
      </c>
    </row>
    <row r="2007" spans="1:25" hidden="1" x14ac:dyDescent="0.25">
      <c r="A2007">
        <v>1519</v>
      </c>
      <c r="B2007" t="s">
        <v>2491</v>
      </c>
      <c r="C2007" t="s">
        <v>1936</v>
      </c>
      <c r="D2007" t="s">
        <v>4182</v>
      </c>
      <c r="F2007">
        <v>406</v>
      </c>
      <c r="G2007">
        <v>65</v>
      </c>
      <c r="H2007" t="s">
        <v>662</v>
      </c>
      <c r="I2007" t="s">
        <v>2271</v>
      </c>
      <c r="J2007">
        <v>711750</v>
      </c>
      <c r="K2007">
        <v>2025</v>
      </c>
      <c r="L2007">
        <v>1021927047</v>
      </c>
      <c r="M2007" t="s">
        <v>4310</v>
      </c>
      <c r="N2007" t="s">
        <v>1688</v>
      </c>
      <c r="O2007" t="s">
        <v>1686</v>
      </c>
      <c r="P2007">
        <v>0</v>
      </c>
      <c r="Q2007">
        <v>711750</v>
      </c>
      <c r="R2007">
        <v>0</v>
      </c>
      <c r="S2007">
        <v>0</v>
      </c>
      <c r="T2007" t="str">
        <f t="shared" si="62"/>
        <v>15192.43.4302.85.0-205128.2.3.3.08.06.</v>
      </c>
      <c r="U2007" t="e" cm="1">
        <f t="array" aca="1" ref="U2007" ca="1">+IF(COMPROMISOS_2025[[#This Row],[P]]="20","41080111",_xlfn.XLOOKUP(COMPROMISOS_2025[[#This Row],[concatenado]],PAA[[#All],[RCP-RUBRO]],PAA[[#All],[INDICADOR]],"",0))</f>
        <v>#NAME?</v>
      </c>
      <c r="V2007" s="144" t="str">
        <f t="shared" si="63"/>
        <v>85</v>
      </c>
      <c r="W2007" s="136">
        <f>+COMPROMISOS_2025[[#This Row],[valor_total]]-COMPROMISOS_2025[[#This Row],[total_cancelado]]</f>
        <v>711750</v>
      </c>
      <c r="X2007" s="136">
        <f>COMPROMISOS_2025[[#This Row],[total_ordenes]]</f>
        <v>711750</v>
      </c>
      <c r="Y2007" t="str" cm="1">
        <f t="array" aca="1" ref="Y2007" ca="1">IFERROR(_xlfn.XLOOKUP(COMPROMISOS_2025[[#This Row],[concatenado]],PAA[[#All],[RCP-RUBRO]],PAA[[#All],[Actividad3]],VLOOKUP(COMPROMISOS_2025[[#This Row],[Indicador Principal]],$AC$2:$AD$17,2,0),0),"")</f>
        <v/>
      </c>
    </row>
    <row r="2008" spans="1:25" hidden="1" x14ac:dyDescent="0.25">
      <c r="A2008">
        <v>1520</v>
      </c>
      <c r="B2008" t="s">
        <v>2491</v>
      </c>
      <c r="C2008" t="s">
        <v>1936</v>
      </c>
      <c r="D2008" t="s">
        <v>4182</v>
      </c>
      <c r="F2008">
        <v>406</v>
      </c>
      <c r="G2008">
        <v>65</v>
      </c>
      <c r="H2008" t="s">
        <v>662</v>
      </c>
      <c r="I2008" t="s">
        <v>2271</v>
      </c>
      <c r="J2008">
        <v>1067625</v>
      </c>
      <c r="K2008">
        <v>2025</v>
      </c>
      <c r="L2008">
        <v>1022002744</v>
      </c>
      <c r="M2008" t="s">
        <v>4311</v>
      </c>
      <c r="N2008" t="s">
        <v>1688</v>
      </c>
      <c r="O2008" t="s">
        <v>1686</v>
      </c>
      <c r="P2008">
        <v>0</v>
      </c>
      <c r="Q2008">
        <v>1067625</v>
      </c>
      <c r="R2008">
        <v>0</v>
      </c>
      <c r="S2008">
        <v>0</v>
      </c>
      <c r="T2008" t="str">
        <f t="shared" si="62"/>
        <v>15202.43.4302.85.0-205128.2.3.3.08.06.</v>
      </c>
      <c r="U2008" t="e" cm="1">
        <f t="array" aca="1" ref="U2008" ca="1">+IF(COMPROMISOS_2025[[#This Row],[P]]="20","41080111",_xlfn.XLOOKUP(COMPROMISOS_2025[[#This Row],[concatenado]],PAA[[#All],[RCP-RUBRO]],PAA[[#All],[INDICADOR]],"",0))</f>
        <v>#NAME?</v>
      </c>
      <c r="V2008" s="144" t="str">
        <f t="shared" si="63"/>
        <v>85</v>
      </c>
      <c r="W2008" s="136">
        <f>+COMPROMISOS_2025[[#This Row],[valor_total]]-COMPROMISOS_2025[[#This Row],[total_cancelado]]</f>
        <v>1067625</v>
      </c>
      <c r="X2008" s="136">
        <f>COMPROMISOS_2025[[#This Row],[total_ordenes]]</f>
        <v>1067625</v>
      </c>
      <c r="Y2008" t="str" cm="1">
        <f t="array" aca="1" ref="Y2008" ca="1">IFERROR(_xlfn.XLOOKUP(COMPROMISOS_2025[[#This Row],[concatenado]],PAA[[#All],[RCP-RUBRO]],PAA[[#All],[Actividad3]],VLOOKUP(COMPROMISOS_2025[[#This Row],[Indicador Principal]],$AC$2:$AD$17,2,0),0),"")</f>
        <v/>
      </c>
    </row>
    <row r="2009" spans="1:25" hidden="1" x14ac:dyDescent="0.25">
      <c r="A2009">
        <v>1521</v>
      </c>
      <c r="B2009" t="s">
        <v>2491</v>
      </c>
      <c r="C2009" t="s">
        <v>1936</v>
      </c>
      <c r="D2009" t="s">
        <v>4182</v>
      </c>
      <c r="F2009">
        <v>406</v>
      </c>
      <c r="G2009">
        <v>65</v>
      </c>
      <c r="H2009" t="s">
        <v>662</v>
      </c>
      <c r="I2009" t="s">
        <v>2271</v>
      </c>
      <c r="J2009">
        <v>1067625</v>
      </c>
      <c r="K2009">
        <v>2025</v>
      </c>
      <c r="L2009">
        <v>1022003119</v>
      </c>
      <c r="M2009" t="s">
        <v>4312</v>
      </c>
      <c r="N2009" t="s">
        <v>1688</v>
      </c>
      <c r="O2009" t="s">
        <v>1686</v>
      </c>
      <c r="P2009">
        <v>0</v>
      </c>
      <c r="Q2009">
        <v>1067625</v>
      </c>
      <c r="R2009">
        <v>0</v>
      </c>
      <c r="S2009">
        <v>0</v>
      </c>
      <c r="T2009" t="str">
        <f t="shared" si="62"/>
        <v>15212.43.4302.85.0-205128.2.3.3.08.06.</v>
      </c>
      <c r="U2009" t="e" cm="1">
        <f t="array" aca="1" ref="U2009" ca="1">+IF(COMPROMISOS_2025[[#This Row],[P]]="20","41080111",_xlfn.XLOOKUP(COMPROMISOS_2025[[#This Row],[concatenado]],PAA[[#All],[RCP-RUBRO]],PAA[[#All],[INDICADOR]],"",0))</f>
        <v>#NAME?</v>
      </c>
      <c r="V2009" s="144" t="str">
        <f t="shared" si="63"/>
        <v>85</v>
      </c>
      <c r="W2009" s="136">
        <f>+COMPROMISOS_2025[[#This Row],[valor_total]]-COMPROMISOS_2025[[#This Row],[total_cancelado]]</f>
        <v>1067625</v>
      </c>
      <c r="X2009" s="136">
        <f>COMPROMISOS_2025[[#This Row],[total_ordenes]]</f>
        <v>1067625</v>
      </c>
      <c r="Y2009" t="str" cm="1">
        <f t="array" aca="1" ref="Y2009" ca="1">IFERROR(_xlfn.XLOOKUP(COMPROMISOS_2025[[#This Row],[concatenado]],PAA[[#All],[RCP-RUBRO]],PAA[[#All],[Actividad3]],VLOOKUP(COMPROMISOS_2025[[#This Row],[Indicador Principal]],$AC$2:$AD$17,2,0),0),"")</f>
        <v/>
      </c>
    </row>
    <row r="2010" spans="1:25" hidden="1" x14ac:dyDescent="0.25">
      <c r="A2010">
        <v>1522</v>
      </c>
      <c r="B2010" t="s">
        <v>2491</v>
      </c>
      <c r="C2010" t="s">
        <v>1936</v>
      </c>
      <c r="D2010" t="s">
        <v>4182</v>
      </c>
      <c r="F2010">
        <v>406</v>
      </c>
      <c r="G2010">
        <v>65</v>
      </c>
      <c r="H2010" t="s">
        <v>662</v>
      </c>
      <c r="I2010" t="s">
        <v>2271</v>
      </c>
      <c r="J2010">
        <v>711750</v>
      </c>
      <c r="K2010">
        <v>2025</v>
      </c>
      <c r="L2010">
        <v>1022004608</v>
      </c>
      <c r="M2010" t="s">
        <v>3676</v>
      </c>
      <c r="N2010" t="s">
        <v>1688</v>
      </c>
      <c r="O2010" t="s">
        <v>1686</v>
      </c>
      <c r="P2010">
        <v>0</v>
      </c>
      <c r="Q2010">
        <v>711750</v>
      </c>
      <c r="R2010">
        <v>0</v>
      </c>
      <c r="S2010">
        <v>0</v>
      </c>
      <c r="T2010" t="str">
        <f t="shared" si="62"/>
        <v>15222.43.4302.85.0-205128.2.3.3.08.06.</v>
      </c>
      <c r="U2010" t="e" cm="1">
        <f t="array" aca="1" ref="U2010" ca="1">+IF(COMPROMISOS_2025[[#This Row],[P]]="20","41080111",_xlfn.XLOOKUP(COMPROMISOS_2025[[#This Row],[concatenado]],PAA[[#All],[RCP-RUBRO]],PAA[[#All],[INDICADOR]],"",0))</f>
        <v>#NAME?</v>
      </c>
      <c r="V2010" s="144" t="str">
        <f t="shared" si="63"/>
        <v>85</v>
      </c>
      <c r="W2010" s="136">
        <f>+COMPROMISOS_2025[[#This Row],[valor_total]]-COMPROMISOS_2025[[#This Row],[total_cancelado]]</f>
        <v>711750</v>
      </c>
      <c r="X2010" s="136">
        <f>COMPROMISOS_2025[[#This Row],[total_ordenes]]</f>
        <v>711750</v>
      </c>
      <c r="Y2010" t="str" cm="1">
        <f t="array" aca="1" ref="Y2010" ca="1">IFERROR(_xlfn.XLOOKUP(COMPROMISOS_2025[[#This Row],[concatenado]],PAA[[#All],[RCP-RUBRO]],PAA[[#All],[Actividad3]],VLOOKUP(COMPROMISOS_2025[[#This Row],[Indicador Principal]],$AC$2:$AD$17,2,0),0),"")</f>
        <v/>
      </c>
    </row>
    <row r="2011" spans="1:25" hidden="1" x14ac:dyDescent="0.25">
      <c r="A2011">
        <v>1523</v>
      </c>
      <c r="B2011" t="s">
        <v>2491</v>
      </c>
      <c r="C2011" t="s">
        <v>1936</v>
      </c>
      <c r="D2011" t="s">
        <v>4182</v>
      </c>
      <c r="F2011">
        <v>406</v>
      </c>
      <c r="G2011">
        <v>65</v>
      </c>
      <c r="H2011" t="s">
        <v>662</v>
      </c>
      <c r="I2011" t="s">
        <v>2271</v>
      </c>
      <c r="J2011">
        <v>711750</v>
      </c>
      <c r="K2011">
        <v>2025</v>
      </c>
      <c r="L2011">
        <v>1022148130</v>
      </c>
      <c r="M2011" t="s">
        <v>3677</v>
      </c>
      <c r="N2011" t="s">
        <v>1688</v>
      </c>
      <c r="O2011" t="s">
        <v>1686</v>
      </c>
      <c r="P2011">
        <v>0</v>
      </c>
      <c r="Q2011">
        <v>711750</v>
      </c>
      <c r="R2011">
        <v>0</v>
      </c>
      <c r="S2011">
        <v>0</v>
      </c>
      <c r="T2011" t="str">
        <f t="shared" si="62"/>
        <v>15232.43.4302.85.0-205128.2.3.3.08.06.</v>
      </c>
      <c r="U2011" t="e" cm="1">
        <f t="array" aca="1" ref="U2011" ca="1">+IF(COMPROMISOS_2025[[#This Row],[P]]="20","41080111",_xlfn.XLOOKUP(COMPROMISOS_2025[[#This Row],[concatenado]],PAA[[#All],[RCP-RUBRO]],PAA[[#All],[INDICADOR]],"",0))</f>
        <v>#NAME?</v>
      </c>
      <c r="V2011" s="144" t="str">
        <f t="shared" si="63"/>
        <v>85</v>
      </c>
      <c r="W2011" s="136">
        <f>+COMPROMISOS_2025[[#This Row],[valor_total]]-COMPROMISOS_2025[[#This Row],[total_cancelado]]</f>
        <v>711750</v>
      </c>
      <c r="X2011" s="136">
        <f>COMPROMISOS_2025[[#This Row],[total_ordenes]]</f>
        <v>711750</v>
      </c>
      <c r="Y2011" t="str" cm="1">
        <f t="array" aca="1" ref="Y2011" ca="1">IFERROR(_xlfn.XLOOKUP(COMPROMISOS_2025[[#This Row],[concatenado]],PAA[[#All],[RCP-RUBRO]],PAA[[#All],[Actividad3]],VLOOKUP(COMPROMISOS_2025[[#This Row],[Indicador Principal]],$AC$2:$AD$17,2,0),0),"")</f>
        <v/>
      </c>
    </row>
    <row r="2012" spans="1:25" hidden="1" x14ac:dyDescent="0.25">
      <c r="A2012">
        <v>1524</v>
      </c>
      <c r="B2012" t="s">
        <v>2491</v>
      </c>
      <c r="C2012" t="s">
        <v>1936</v>
      </c>
      <c r="D2012" t="s">
        <v>4182</v>
      </c>
      <c r="F2012">
        <v>406</v>
      </c>
      <c r="G2012">
        <v>65</v>
      </c>
      <c r="H2012" t="s">
        <v>662</v>
      </c>
      <c r="I2012" t="s">
        <v>2271</v>
      </c>
      <c r="J2012">
        <v>711750</v>
      </c>
      <c r="K2012">
        <v>2025</v>
      </c>
      <c r="L2012">
        <v>1022148638</v>
      </c>
      <c r="M2012" t="s">
        <v>3678</v>
      </c>
      <c r="N2012" t="s">
        <v>1688</v>
      </c>
      <c r="O2012" t="s">
        <v>1686</v>
      </c>
      <c r="P2012">
        <v>0</v>
      </c>
      <c r="Q2012">
        <v>711750</v>
      </c>
      <c r="R2012">
        <v>0</v>
      </c>
      <c r="S2012">
        <v>0</v>
      </c>
      <c r="T2012" t="str">
        <f t="shared" si="62"/>
        <v>15242.43.4302.85.0-205128.2.3.3.08.06.</v>
      </c>
      <c r="U2012" t="e" cm="1">
        <f t="array" aca="1" ref="U2012" ca="1">+IF(COMPROMISOS_2025[[#This Row],[P]]="20","41080111",_xlfn.XLOOKUP(COMPROMISOS_2025[[#This Row],[concatenado]],PAA[[#All],[RCP-RUBRO]],PAA[[#All],[INDICADOR]],"",0))</f>
        <v>#NAME?</v>
      </c>
      <c r="V2012" s="144" t="str">
        <f t="shared" si="63"/>
        <v>85</v>
      </c>
      <c r="W2012" s="136">
        <f>+COMPROMISOS_2025[[#This Row],[valor_total]]-COMPROMISOS_2025[[#This Row],[total_cancelado]]</f>
        <v>711750</v>
      </c>
      <c r="X2012" s="136">
        <f>COMPROMISOS_2025[[#This Row],[total_ordenes]]</f>
        <v>711750</v>
      </c>
      <c r="Y2012" t="str" cm="1">
        <f t="array" aca="1" ref="Y2012" ca="1">IFERROR(_xlfn.XLOOKUP(COMPROMISOS_2025[[#This Row],[concatenado]],PAA[[#All],[RCP-RUBRO]],PAA[[#All],[Actividad3]],VLOOKUP(COMPROMISOS_2025[[#This Row],[Indicador Principal]],$AC$2:$AD$17,2,0),0),"")</f>
        <v/>
      </c>
    </row>
    <row r="2013" spans="1:25" hidden="1" x14ac:dyDescent="0.25">
      <c r="A2013">
        <v>1525</v>
      </c>
      <c r="B2013" t="s">
        <v>2491</v>
      </c>
      <c r="C2013" t="s">
        <v>1936</v>
      </c>
      <c r="D2013" t="s">
        <v>4182</v>
      </c>
      <c r="F2013">
        <v>406</v>
      </c>
      <c r="G2013">
        <v>65</v>
      </c>
      <c r="H2013" t="s">
        <v>662</v>
      </c>
      <c r="I2013" t="s">
        <v>2271</v>
      </c>
      <c r="J2013">
        <v>1779375</v>
      </c>
      <c r="K2013">
        <v>2025</v>
      </c>
      <c r="L2013">
        <v>10221538121</v>
      </c>
      <c r="M2013" t="s">
        <v>3679</v>
      </c>
      <c r="N2013" t="s">
        <v>1688</v>
      </c>
      <c r="O2013" t="s">
        <v>1686</v>
      </c>
      <c r="P2013">
        <v>0</v>
      </c>
      <c r="Q2013">
        <v>1779375</v>
      </c>
      <c r="R2013">
        <v>0</v>
      </c>
      <c r="S2013">
        <v>0</v>
      </c>
      <c r="T2013" t="str">
        <f t="shared" si="62"/>
        <v>15252.43.4302.85.0-205128.2.3.3.08.06.</v>
      </c>
      <c r="U2013" t="e" cm="1">
        <f t="array" aca="1" ref="U2013" ca="1">+IF(COMPROMISOS_2025[[#This Row],[P]]="20","41080111",_xlfn.XLOOKUP(COMPROMISOS_2025[[#This Row],[concatenado]],PAA[[#All],[RCP-RUBRO]],PAA[[#All],[INDICADOR]],"",0))</f>
        <v>#NAME?</v>
      </c>
      <c r="V2013" s="144" t="str">
        <f t="shared" si="63"/>
        <v>85</v>
      </c>
      <c r="W2013" s="136">
        <f>+COMPROMISOS_2025[[#This Row],[valor_total]]-COMPROMISOS_2025[[#This Row],[total_cancelado]]</f>
        <v>1779375</v>
      </c>
      <c r="X2013" s="136">
        <f>COMPROMISOS_2025[[#This Row],[total_ordenes]]</f>
        <v>1779375</v>
      </c>
      <c r="Y2013" t="str" cm="1">
        <f t="array" aca="1" ref="Y2013" ca="1">IFERROR(_xlfn.XLOOKUP(COMPROMISOS_2025[[#This Row],[concatenado]],PAA[[#All],[RCP-RUBRO]],PAA[[#All],[Actividad3]],VLOOKUP(COMPROMISOS_2025[[#This Row],[Indicador Principal]],$AC$2:$AD$17,2,0),0),"")</f>
        <v/>
      </c>
    </row>
    <row r="2014" spans="1:25" hidden="1" x14ac:dyDescent="0.25">
      <c r="A2014">
        <v>1526</v>
      </c>
      <c r="B2014" t="s">
        <v>2491</v>
      </c>
      <c r="C2014" t="s">
        <v>1936</v>
      </c>
      <c r="D2014" t="s">
        <v>4182</v>
      </c>
      <c r="F2014">
        <v>406</v>
      </c>
      <c r="G2014">
        <v>65</v>
      </c>
      <c r="H2014" t="s">
        <v>662</v>
      </c>
      <c r="I2014" t="s">
        <v>2271</v>
      </c>
      <c r="J2014">
        <v>1067625</v>
      </c>
      <c r="K2014">
        <v>2025</v>
      </c>
      <c r="L2014">
        <v>1023374722</v>
      </c>
      <c r="M2014" t="s">
        <v>4033</v>
      </c>
      <c r="N2014" t="s">
        <v>1688</v>
      </c>
      <c r="O2014" t="s">
        <v>1686</v>
      </c>
      <c r="P2014">
        <v>0</v>
      </c>
      <c r="Q2014">
        <v>1067625</v>
      </c>
      <c r="R2014">
        <v>0</v>
      </c>
      <c r="S2014">
        <v>0</v>
      </c>
      <c r="T2014" t="str">
        <f t="shared" si="62"/>
        <v>15262.43.4302.85.0-205128.2.3.3.08.06.</v>
      </c>
      <c r="U2014" t="e" cm="1">
        <f t="array" aca="1" ref="U2014" ca="1">+IF(COMPROMISOS_2025[[#This Row],[P]]="20","41080111",_xlfn.XLOOKUP(COMPROMISOS_2025[[#This Row],[concatenado]],PAA[[#All],[RCP-RUBRO]],PAA[[#All],[INDICADOR]],"",0))</f>
        <v>#NAME?</v>
      </c>
      <c r="V2014" s="144" t="str">
        <f t="shared" si="63"/>
        <v>85</v>
      </c>
      <c r="W2014" s="136">
        <f>+COMPROMISOS_2025[[#This Row],[valor_total]]-COMPROMISOS_2025[[#This Row],[total_cancelado]]</f>
        <v>1067625</v>
      </c>
      <c r="X2014" s="136">
        <f>COMPROMISOS_2025[[#This Row],[total_ordenes]]</f>
        <v>1067625</v>
      </c>
      <c r="Y2014" t="str" cm="1">
        <f t="array" aca="1" ref="Y2014" ca="1">IFERROR(_xlfn.XLOOKUP(COMPROMISOS_2025[[#This Row],[concatenado]],PAA[[#All],[RCP-RUBRO]],PAA[[#All],[Actividad3]],VLOOKUP(COMPROMISOS_2025[[#This Row],[Indicador Principal]],$AC$2:$AD$17,2,0),0),"")</f>
        <v/>
      </c>
    </row>
    <row r="2015" spans="1:25" hidden="1" x14ac:dyDescent="0.25">
      <c r="A2015">
        <v>1527</v>
      </c>
      <c r="B2015" t="s">
        <v>2491</v>
      </c>
      <c r="C2015" t="s">
        <v>1936</v>
      </c>
      <c r="D2015" t="s">
        <v>4182</v>
      </c>
      <c r="F2015">
        <v>406</v>
      </c>
      <c r="G2015">
        <v>65</v>
      </c>
      <c r="H2015" t="s">
        <v>662</v>
      </c>
      <c r="I2015" t="s">
        <v>2271</v>
      </c>
      <c r="J2015">
        <v>711750</v>
      </c>
      <c r="K2015">
        <v>2025</v>
      </c>
      <c r="L2015">
        <v>1023385897</v>
      </c>
      <c r="M2015" t="s">
        <v>4313</v>
      </c>
      <c r="N2015" t="s">
        <v>1688</v>
      </c>
      <c r="O2015" t="s">
        <v>1686</v>
      </c>
      <c r="P2015">
        <v>0</v>
      </c>
      <c r="Q2015">
        <v>711750</v>
      </c>
      <c r="R2015">
        <v>0</v>
      </c>
      <c r="S2015">
        <v>0</v>
      </c>
      <c r="T2015" t="str">
        <f t="shared" si="62"/>
        <v>15272.43.4302.85.0-205128.2.3.3.08.06.</v>
      </c>
      <c r="U2015" t="e" cm="1">
        <f t="array" aca="1" ref="U2015" ca="1">+IF(COMPROMISOS_2025[[#This Row],[P]]="20","41080111",_xlfn.XLOOKUP(COMPROMISOS_2025[[#This Row],[concatenado]],PAA[[#All],[RCP-RUBRO]],PAA[[#All],[INDICADOR]],"",0))</f>
        <v>#NAME?</v>
      </c>
      <c r="V2015" s="144" t="str">
        <f t="shared" si="63"/>
        <v>85</v>
      </c>
      <c r="W2015" s="136">
        <f>+COMPROMISOS_2025[[#This Row],[valor_total]]-COMPROMISOS_2025[[#This Row],[total_cancelado]]</f>
        <v>711750</v>
      </c>
      <c r="X2015" s="136">
        <f>COMPROMISOS_2025[[#This Row],[total_ordenes]]</f>
        <v>711750</v>
      </c>
      <c r="Y2015" t="str" cm="1">
        <f t="array" aca="1" ref="Y2015" ca="1">IFERROR(_xlfn.XLOOKUP(COMPROMISOS_2025[[#This Row],[concatenado]],PAA[[#All],[RCP-RUBRO]],PAA[[#All],[Actividad3]],VLOOKUP(COMPROMISOS_2025[[#This Row],[Indicador Principal]],$AC$2:$AD$17,2,0),0),"")</f>
        <v/>
      </c>
    </row>
    <row r="2016" spans="1:25" hidden="1" x14ac:dyDescent="0.25">
      <c r="A2016">
        <v>1528</v>
      </c>
      <c r="B2016" t="s">
        <v>2491</v>
      </c>
      <c r="C2016" t="s">
        <v>1936</v>
      </c>
      <c r="D2016" t="s">
        <v>4182</v>
      </c>
      <c r="F2016">
        <v>406</v>
      </c>
      <c r="G2016">
        <v>65</v>
      </c>
      <c r="H2016" t="s">
        <v>662</v>
      </c>
      <c r="I2016" t="s">
        <v>2271</v>
      </c>
      <c r="J2016">
        <v>1067625</v>
      </c>
      <c r="K2016">
        <v>2025</v>
      </c>
      <c r="L2016">
        <v>1023522157</v>
      </c>
      <c r="M2016" t="s">
        <v>3680</v>
      </c>
      <c r="N2016" t="s">
        <v>1688</v>
      </c>
      <c r="O2016" t="s">
        <v>1686</v>
      </c>
      <c r="P2016">
        <v>0</v>
      </c>
      <c r="Q2016">
        <v>1067625</v>
      </c>
      <c r="R2016">
        <v>0</v>
      </c>
      <c r="S2016">
        <v>0</v>
      </c>
      <c r="T2016" t="str">
        <f t="shared" si="62"/>
        <v>15282.43.4302.85.0-205128.2.3.3.08.06.</v>
      </c>
      <c r="U2016" t="e" cm="1">
        <f t="array" aca="1" ref="U2016" ca="1">+IF(COMPROMISOS_2025[[#This Row],[P]]="20","41080111",_xlfn.XLOOKUP(COMPROMISOS_2025[[#This Row],[concatenado]],PAA[[#All],[RCP-RUBRO]],PAA[[#All],[INDICADOR]],"",0))</f>
        <v>#NAME?</v>
      </c>
      <c r="V2016" s="144" t="str">
        <f t="shared" si="63"/>
        <v>85</v>
      </c>
      <c r="W2016" s="136">
        <f>+COMPROMISOS_2025[[#This Row],[valor_total]]-COMPROMISOS_2025[[#This Row],[total_cancelado]]</f>
        <v>1067625</v>
      </c>
      <c r="X2016" s="136">
        <f>COMPROMISOS_2025[[#This Row],[total_ordenes]]</f>
        <v>1067625</v>
      </c>
      <c r="Y2016" t="str" cm="1">
        <f t="array" aca="1" ref="Y2016" ca="1">IFERROR(_xlfn.XLOOKUP(COMPROMISOS_2025[[#This Row],[concatenado]],PAA[[#All],[RCP-RUBRO]],PAA[[#All],[Actividad3]],VLOOKUP(COMPROMISOS_2025[[#This Row],[Indicador Principal]],$AC$2:$AD$17,2,0),0),"")</f>
        <v/>
      </c>
    </row>
    <row r="2017" spans="1:25" hidden="1" x14ac:dyDescent="0.25">
      <c r="A2017">
        <v>1529</v>
      </c>
      <c r="B2017" t="s">
        <v>2491</v>
      </c>
      <c r="C2017" t="s">
        <v>1936</v>
      </c>
      <c r="D2017" t="s">
        <v>4182</v>
      </c>
      <c r="F2017">
        <v>406</v>
      </c>
      <c r="G2017">
        <v>65</v>
      </c>
      <c r="H2017" t="s">
        <v>662</v>
      </c>
      <c r="I2017" t="s">
        <v>2271</v>
      </c>
      <c r="J2017">
        <v>711750</v>
      </c>
      <c r="K2017">
        <v>2025</v>
      </c>
      <c r="L2017">
        <v>1023522739</v>
      </c>
      <c r="M2017" t="s">
        <v>3681</v>
      </c>
      <c r="N2017" t="s">
        <v>1688</v>
      </c>
      <c r="O2017" t="s">
        <v>1686</v>
      </c>
      <c r="P2017">
        <v>0</v>
      </c>
      <c r="Q2017">
        <v>711750</v>
      </c>
      <c r="R2017">
        <v>0</v>
      </c>
      <c r="S2017">
        <v>0</v>
      </c>
      <c r="T2017" t="str">
        <f t="shared" si="62"/>
        <v>15292.43.4302.85.0-205128.2.3.3.08.06.</v>
      </c>
      <c r="U2017" t="e" cm="1">
        <f t="array" aca="1" ref="U2017" ca="1">+IF(COMPROMISOS_2025[[#This Row],[P]]="20","41080111",_xlfn.XLOOKUP(COMPROMISOS_2025[[#This Row],[concatenado]],PAA[[#All],[RCP-RUBRO]],PAA[[#All],[INDICADOR]],"",0))</f>
        <v>#NAME?</v>
      </c>
      <c r="V2017" s="144" t="str">
        <f t="shared" si="63"/>
        <v>85</v>
      </c>
      <c r="W2017" s="136">
        <f>+COMPROMISOS_2025[[#This Row],[valor_total]]-COMPROMISOS_2025[[#This Row],[total_cancelado]]</f>
        <v>711750</v>
      </c>
      <c r="X2017" s="136">
        <f>COMPROMISOS_2025[[#This Row],[total_ordenes]]</f>
        <v>711750</v>
      </c>
      <c r="Y2017" t="str" cm="1">
        <f t="array" aca="1" ref="Y2017" ca="1">IFERROR(_xlfn.XLOOKUP(COMPROMISOS_2025[[#This Row],[concatenado]],PAA[[#All],[RCP-RUBRO]],PAA[[#All],[Actividad3]],VLOOKUP(COMPROMISOS_2025[[#This Row],[Indicador Principal]],$AC$2:$AD$17,2,0),0),"")</f>
        <v/>
      </c>
    </row>
    <row r="2018" spans="1:25" hidden="1" x14ac:dyDescent="0.25">
      <c r="A2018">
        <v>1530</v>
      </c>
      <c r="B2018" t="s">
        <v>2491</v>
      </c>
      <c r="C2018" t="s">
        <v>1936</v>
      </c>
      <c r="D2018" t="s">
        <v>4182</v>
      </c>
      <c r="F2018">
        <v>406</v>
      </c>
      <c r="G2018">
        <v>65</v>
      </c>
      <c r="H2018" t="s">
        <v>662</v>
      </c>
      <c r="I2018" t="s">
        <v>2271</v>
      </c>
      <c r="J2018">
        <v>711750</v>
      </c>
      <c r="K2018">
        <v>2025</v>
      </c>
      <c r="L2018">
        <v>1023524988</v>
      </c>
      <c r="M2018" t="s">
        <v>4314</v>
      </c>
      <c r="N2018" t="s">
        <v>1688</v>
      </c>
      <c r="O2018" t="s">
        <v>1686</v>
      </c>
      <c r="P2018">
        <v>0</v>
      </c>
      <c r="Q2018">
        <v>711750</v>
      </c>
      <c r="R2018">
        <v>0</v>
      </c>
      <c r="S2018">
        <v>0</v>
      </c>
      <c r="T2018" t="str">
        <f t="shared" si="62"/>
        <v>15302.43.4302.85.0-205128.2.3.3.08.06.</v>
      </c>
      <c r="U2018" t="e" cm="1">
        <f t="array" aca="1" ref="U2018" ca="1">+IF(COMPROMISOS_2025[[#This Row],[P]]="20","41080111",_xlfn.XLOOKUP(COMPROMISOS_2025[[#This Row],[concatenado]],PAA[[#All],[RCP-RUBRO]],PAA[[#All],[INDICADOR]],"",0))</f>
        <v>#NAME?</v>
      </c>
      <c r="V2018" s="144" t="str">
        <f t="shared" si="63"/>
        <v>85</v>
      </c>
      <c r="W2018" s="136">
        <f>+COMPROMISOS_2025[[#This Row],[valor_total]]-COMPROMISOS_2025[[#This Row],[total_cancelado]]</f>
        <v>711750</v>
      </c>
      <c r="X2018" s="136">
        <f>COMPROMISOS_2025[[#This Row],[total_ordenes]]</f>
        <v>711750</v>
      </c>
      <c r="Y2018" t="str" cm="1">
        <f t="array" aca="1" ref="Y2018" ca="1">IFERROR(_xlfn.XLOOKUP(COMPROMISOS_2025[[#This Row],[concatenado]],PAA[[#All],[RCP-RUBRO]],PAA[[#All],[Actividad3]],VLOOKUP(COMPROMISOS_2025[[#This Row],[Indicador Principal]],$AC$2:$AD$17,2,0),0),"")</f>
        <v/>
      </c>
    </row>
    <row r="2019" spans="1:25" hidden="1" x14ac:dyDescent="0.25">
      <c r="A2019">
        <v>1531</v>
      </c>
      <c r="B2019" t="s">
        <v>2491</v>
      </c>
      <c r="C2019" t="s">
        <v>1936</v>
      </c>
      <c r="D2019" t="s">
        <v>4182</v>
      </c>
      <c r="F2019">
        <v>406</v>
      </c>
      <c r="G2019">
        <v>65</v>
      </c>
      <c r="H2019" t="s">
        <v>662</v>
      </c>
      <c r="I2019" t="s">
        <v>2271</v>
      </c>
      <c r="J2019">
        <v>1067625</v>
      </c>
      <c r="K2019">
        <v>2025</v>
      </c>
      <c r="L2019">
        <v>1023592449</v>
      </c>
      <c r="M2019" t="s">
        <v>3682</v>
      </c>
      <c r="N2019" t="s">
        <v>1688</v>
      </c>
      <c r="O2019" t="s">
        <v>1686</v>
      </c>
      <c r="P2019">
        <v>0</v>
      </c>
      <c r="Q2019">
        <v>1067625</v>
      </c>
      <c r="R2019">
        <v>0</v>
      </c>
      <c r="S2019">
        <v>0</v>
      </c>
      <c r="T2019" t="str">
        <f t="shared" si="62"/>
        <v>15312.43.4302.85.0-205128.2.3.3.08.06.</v>
      </c>
      <c r="U2019" t="e" cm="1">
        <f t="array" aca="1" ref="U2019" ca="1">+IF(COMPROMISOS_2025[[#This Row],[P]]="20","41080111",_xlfn.XLOOKUP(COMPROMISOS_2025[[#This Row],[concatenado]],PAA[[#All],[RCP-RUBRO]],PAA[[#All],[INDICADOR]],"",0))</f>
        <v>#NAME?</v>
      </c>
      <c r="V2019" s="144" t="str">
        <f t="shared" si="63"/>
        <v>85</v>
      </c>
      <c r="W2019" s="136">
        <f>+COMPROMISOS_2025[[#This Row],[valor_total]]-COMPROMISOS_2025[[#This Row],[total_cancelado]]</f>
        <v>1067625</v>
      </c>
      <c r="X2019" s="136">
        <f>COMPROMISOS_2025[[#This Row],[total_ordenes]]</f>
        <v>1067625</v>
      </c>
      <c r="Y2019" t="str" cm="1">
        <f t="array" aca="1" ref="Y2019" ca="1">IFERROR(_xlfn.XLOOKUP(COMPROMISOS_2025[[#This Row],[concatenado]],PAA[[#All],[RCP-RUBRO]],PAA[[#All],[Actividad3]],VLOOKUP(COMPROMISOS_2025[[#This Row],[Indicador Principal]],$AC$2:$AD$17,2,0),0),"")</f>
        <v/>
      </c>
    </row>
    <row r="2020" spans="1:25" hidden="1" x14ac:dyDescent="0.25">
      <c r="A2020">
        <v>1532</v>
      </c>
      <c r="B2020" t="s">
        <v>2491</v>
      </c>
      <c r="C2020" t="s">
        <v>1936</v>
      </c>
      <c r="D2020" t="s">
        <v>4182</v>
      </c>
      <c r="F2020">
        <v>406</v>
      </c>
      <c r="G2020">
        <v>65</v>
      </c>
      <c r="H2020" t="s">
        <v>662</v>
      </c>
      <c r="I2020" t="s">
        <v>2271</v>
      </c>
      <c r="J2020">
        <v>711750</v>
      </c>
      <c r="K2020">
        <v>2025</v>
      </c>
      <c r="L2020">
        <v>1023625192</v>
      </c>
      <c r="M2020" t="s">
        <v>3683</v>
      </c>
      <c r="N2020" t="s">
        <v>1688</v>
      </c>
      <c r="O2020" t="s">
        <v>1686</v>
      </c>
      <c r="P2020">
        <v>0</v>
      </c>
      <c r="Q2020">
        <v>711750</v>
      </c>
      <c r="R2020">
        <v>0</v>
      </c>
      <c r="S2020">
        <v>0</v>
      </c>
      <c r="T2020" t="str">
        <f t="shared" si="62"/>
        <v>15322.43.4302.85.0-205128.2.3.3.08.06.</v>
      </c>
      <c r="U2020" t="e" cm="1">
        <f t="array" aca="1" ref="U2020" ca="1">+IF(COMPROMISOS_2025[[#This Row],[P]]="20","41080111",_xlfn.XLOOKUP(COMPROMISOS_2025[[#This Row],[concatenado]],PAA[[#All],[RCP-RUBRO]],PAA[[#All],[INDICADOR]],"",0))</f>
        <v>#NAME?</v>
      </c>
      <c r="V2020" s="144" t="str">
        <f t="shared" si="63"/>
        <v>85</v>
      </c>
      <c r="W2020" s="136">
        <f>+COMPROMISOS_2025[[#This Row],[valor_total]]-COMPROMISOS_2025[[#This Row],[total_cancelado]]</f>
        <v>711750</v>
      </c>
      <c r="X2020" s="136">
        <f>COMPROMISOS_2025[[#This Row],[total_ordenes]]</f>
        <v>711750</v>
      </c>
      <c r="Y2020" t="str" cm="1">
        <f t="array" aca="1" ref="Y2020" ca="1">IFERROR(_xlfn.XLOOKUP(COMPROMISOS_2025[[#This Row],[concatenado]],PAA[[#All],[RCP-RUBRO]],PAA[[#All],[Actividad3]],VLOOKUP(COMPROMISOS_2025[[#This Row],[Indicador Principal]],$AC$2:$AD$17,2,0),0),"")</f>
        <v/>
      </c>
    </row>
    <row r="2021" spans="1:25" hidden="1" x14ac:dyDescent="0.25">
      <c r="A2021">
        <v>1533</v>
      </c>
      <c r="B2021" t="s">
        <v>2491</v>
      </c>
      <c r="C2021" t="s">
        <v>1936</v>
      </c>
      <c r="D2021" t="s">
        <v>4182</v>
      </c>
      <c r="F2021">
        <v>406</v>
      </c>
      <c r="G2021">
        <v>65</v>
      </c>
      <c r="H2021" t="s">
        <v>662</v>
      </c>
      <c r="I2021" t="s">
        <v>2271</v>
      </c>
      <c r="J2021">
        <v>1067625</v>
      </c>
      <c r="K2021">
        <v>2025</v>
      </c>
      <c r="L2021">
        <v>1023625491</v>
      </c>
      <c r="M2021" t="s">
        <v>4035</v>
      </c>
      <c r="N2021" t="s">
        <v>1688</v>
      </c>
      <c r="O2021" t="s">
        <v>1686</v>
      </c>
      <c r="P2021">
        <v>0</v>
      </c>
      <c r="Q2021">
        <v>1067625</v>
      </c>
      <c r="R2021">
        <v>0</v>
      </c>
      <c r="S2021">
        <v>0</v>
      </c>
      <c r="T2021" t="str">
        <f t="shared" si="62"/>
        <v>15332.43.4302.85.0-205128.2.3.3.08.06.</v>
      </c>
      <c r="U2021" t="e" cm="1">
        <f t="array" aca="1" ref="U2021" ca="1">+IF(COMPROMISOS_2025[[#This Row],[P]]="20","41080111",_xlfn.XLOOKUP(COMPROMISOS_2025[[#This Row],[concatenado]],PAA[[#All],[RCP-RUBRO]],PAA[[#All],[INDICADOR]],"",0))</f>
        <v>#NAME?</v>
      </c>
      <c r="V2021" s="144" t="str">
        <f t="shared" si="63"/>
        <v>85</v>
      </c>
      <c r="W2021" s="136">
        <f>+COMPROMISOS_2025[[#This Row],[valor_total]]-COMPROMISOS_2025[[#This Row],[total_cancelado]]</f>
        <v>1067625</v>
      </c>
      <c r="X2021" s="136">
        <f>COMPROMISOS_2025[[#This Row],[total_ordenes]]</f>
        <v>1067625</v>
      </c>
      <c r="Y2021" t="str" cm="1">
        <f t="array" aca="1" ref="Y2021" ca="1">IFERROR(_xlfn.XLOOKUP(COMPROMISOS_2025[[#This Row],[concatenado]],PAA[[#All],[RCP-RUBRO]],PAA[[#All],[Actividad3]],VLOOKUP(COMPROMISOS_2025[[#This Row],[Indicador Principal]],$AC$2:$AD$17,2,0),0),"")</f>
        <v/>
      </c>
    </row>
    <row r="2022" spans="1:25" hidden="1" x14ac:dyDescent="0.25">
      <c r="A2022">
        <v>1534</v>
      </c>
      <c r="B2022" t="s">
        <v>2491</v>
      </c>
      <c r="C2022" t="s">
        <v>1936</v>
      </c>
      <c r="D2022" t="s">
        <v>4182</v>
      </c>
      <c r="F2022">
        <v>406</v>
      </c>
      <c r="G2022">
        <v>65</v>
      </c>
      <c r="H2022" t="s">
        <v>662</v>
      </c>
      <c r="I2022" t="s">
        <v>2271</v>
      </c>
      <c r="J2022">
        <v>711750</v>
      </c>
      <c r="K2022">
        <v>2025</v>
      </c>
      <c r="L2022">
        <v>1023629534</v>
      </c>
      <c r="M2022" t="s">
        <v>3684</v>
      </c>
      <c r="N2022" t="s">
        <v>1688</v>
      </c>
      <c r="O2022" t="s">
        <v>1686</v>
      </c>
      <c r="P2022">
        <v>0</v>
      </c>
      <c r="Q2022">
        <v>711750</v>
      </c>
      <c r="R2022">
        <v>0</v>
      </c>
      <c r="S2022">
        <v>0</v>
      </c>
      <c r="T2022" t="str">
        <f t="shared" si="62"/>
        <v>15342.43.4302.85.0-205128.2.3.3.08.06.</v>
      </c>
      <c r="U2022" t="e" cm="1">
        <f t="array" aca="1" ref="U2022" ca="1">+IF(COMPROMISOS_2025[[#This Row],[P]]="20","41080111",_xlfn.XLOOKUP(COMPROMISOS_2025[[#This Row],[concatenado]],PAA[[#All],[RCP-RUBRO]],PAA[[#All],[INDICADOR]],"",0))</f>
        <v>#NAME?</v>
      </c>
      <c r="V2022" s="144" t="str">
        <f t="shared" si="63"/>
        <v>85</v>
      </c>
      <c r="W2022" s="136">
        <f>+COMPROMISOS_2025[[#This Row],[valor_total]]-COMPROMISOS_2025[[#This Row],[total_cancelado]]</f>
        <v>711750</v>
      </c>
      <c r="X2022" s="136">
        <f>COMPROMISOS_2025[[#This Row],[total_ordenes]]</f>
        <v>711750</v>
      </c>
      <c r="Y2022" t="str" cm="1">
        <f t="array" aca="1" ref="Y2022" ca="1">IFERROR(_xlfn.XLOOKUP(COMPROMISOS_2025[[#This Row],[concatenado]],PAA[[#All],[RCP-RUBRO]],PAA[[#All],[Actividad3]],VLOOKUP(COMPROMISOS_2025[[#This Row],[Indicador Principal]],$AC$2:$AD$17,2,0),0),"")</f>
        <v/>
      </c>
    </row>
    <row r="2023" spans="1:25" hidden="1" x14ac:dyDescent="0.25">
      <c r="A2023">
        <v>1535</v>
      </c>
      <c r="B2023" t="s">
        <v>2491</v>
      </c>
      <c r="C2023" t="s">
        <v>1936</v>
      </c>
      <c r="D2023" t="s">
        <v>4182</v>
      </c>
      <c r="F2023">
        <v>406</v>
      </c>
      <c r="G2023">
        <v>65</v>
      </c>
      <c r="H2023" t="s">
        <v>662</v>
      </c>
      <c r="I2023" t="s">
        <v>2271</v>
      </c>
      <c r="J2023">
        <v>1067625</v>
      </c>
      <c r="K2023">
        <v>2025</v>
      </c>
      <c r="L2023">
        <v>1023629914</v>
      </c>
      <c r="M2023" t="s">
        <v>4315</v>
      </c>
      <c r="N2023" t="s">
        <v>1688</v>
      </c>
      <c r="O2023" t="s">
        <v>1686</v>
      </c>
      <c r="P2023">
        <v>0</v>
      </c>
      <c r="Q2023">
        <v>1067625</v>
      </c>
      <c r="R2023">
        <v>0</v>
      </c>
      <c r="S2023">
        <v>0</v>
      </c>
      <c r="T2023" t="str">
        <f t="shared" si="62"/>
        <v>15352.43.4302.85.0-205128.2.3.3.08.06.</v>
      </c>
      <c r="U2023" t="e" cm="1">
        <f t="array" aca="1" ref="U2023" ca="1">+IF(COMPROMISOS_2025[[#This Row],[P]]="20","41080111",_xlfn.XLOOKUP(COMPROMISOS_2025[[#This Row],[concatenado]],PAA[[#All],[RCP-RUBRO]],PAA[[#All],[INDICADOR]],"",0))</f>
        <v>#NAME?</v>
      </c>
      <c r="V2023" s="144" t="str">
        <f t="shared" si="63"/>
        <v>85</v>
      </c>
      <c r="W2023" s="136">
        <f>+COMPROMISOS_2025[[#This Row],[valor_total]]-COMPROMISOS_2025[[#This Row],[total_cancelado]]</f>
        <v>1067625</v>
      </c>
      <c r="X2023" s="136">
        <f>COMPROMISOS_2025[[#This Row],[total_ordenes]]</f>
        <v>1067625</v>
      </c>
      <c r="Y2023" t="str" cm="1">
        <f t="array" aca="1" ref="Y2023" ca="1">IFERROR(_xlfn.XLOOKUP(COMPROMISOS_2025[[#This Row],[concatenado]],PAA[[#All],[RCP-RUBRO]],PAA[[#All],[Actividad3]],VLOOKUP(COMPROMISOS_2025[[#This Row],[Indicador Principal]],$AC$2:$AD$17,2,0),0),"")</f>
        <v/>
      </c>
    </row>
    <row r="2024" spans="1:25" hidden="1" x14ac:dyDescent="0.25">
      <c r="A2024">
        <v>1536</v>
      </c>
      <c r="B2024" t="s">
        <v>2491</v>
      </c>
      <c r="C2024" t="s">
        <v>1936</v>
      </c>
      <c r="D2024" t="s">
        <v>4182</v>
      </c>
      <c r="F2024">
        <v>406</v>
      </c>
      <c r="G2024">
        <v>65</v>
      </c>
      <c r="H2024" t="s">
        <v>662</v>
      </c>
      <c r="I2024" t="s">
        <v>2271</v>
      </c>
      <c r="J2024">
        <v>711750</v>
      </c>
      <c r="K2024">
        <v>2025</v>
      </c>
      <c r="L2024">
        <v>1023629926</v>
      </c>
      <c r="M2024" t="s">
        <v>3685</v>
      </c>
      <c r="N2024" t="s">
        <v>1688</v>
      </c>
      <c r="O2024" t="s">
        <v>1686</v>
      </c>
      <c r="P2024">
        <v>0</v>
      </c>
      <c r="Q2024">
        <v>711750</v>
      </c>
      <c r="R2024">
        <v>0</v>
      </c>
      <c r="S2024">
        <v>0</v>
      </c>
      <c r="T2024" t="str">
        <f t="shared" si="62"/>
        <v>15362.43.4302.85.0-205128.2.3.3.08.06.</v>
      </c>
      <c r="U2024" t="e" cm="1">
        <f t="array" aca="1" ref="U2024" ca="1">+IF(COMPROMISOS_2025[[#This Row],[P]]="20","41080111",_xlfn.XLOOKUP(COMPROMISOS_2025[[#This Row],[concatenado]],PAA[[#All],[RCP-RUBRO]],PAA[[#All],[INDICADOR]],"",0))</f>
        <v>#NAME?</v>
      </c>
      <c r="V2024" s="144" t="str">
        <f t="shared" si="63"/>
        <v>85</v>
      </c>
      <c r="W2024" s="136">
        <f>+COMPROMISOS_2025[[#This Row],[valor_total]]-COMPROMISOS_2025[[#This Row],[total_cancelado]]</f>
        <v>711750</v>
      </c>
      <c r="X2024" s="136">
        <f>COMPROMISOS_2025[[#This Row],[total_ordenes]]</f>
        <v>711750</v>
      </c>
      <c r="Y2024" t="str" cm="1">
        <f t="array" aca="1" ref="Y2024" ca="1">IFERROR(_xlfn.XLOOKUP(COMPROMISOS_2025[[#This Row],[concatenado]],PAA[[#All],[RCP-RUBRO]],PAA[[#All],[Actividad3]],VLOOKUP(COMPROMISOS_2025[[#This Row],[Indicador Principal]],$AC$2:$AD$17,2,0),0),"")</f>
        <v/>
      </c>
    </row>
    <row r="2025" spans="1:25" hidden="1" x14ac:dyDescent="0.25">
      <c r="A2025">
        <v>1537</v>
      </c>
      <c r="B2025" t="s">
        <v>2491</v>
      </c>
      <c r="C2025" t="s">
        <v>1936</v>
      </c>
      <c r="D2025" t="s">
        <v>4182</v>
      </c>
      <c r="F2025">
        <v>406</v>
      </c>
      <c r="G2025">
        <v>65</v>
      </c>
      <c r="H2025" t="s">
        <v>662</v>
      </c>
      <c r="I2025" t="s">
        <v>2271</v>
      </c>
      <c r="J2025">
        <v>1423500</v>
      </c>
      <c r="K2025">
        <v>2025</v>
      </c>
      <c r="L2025">
        <v>1023630469</v>
      </c>
      <c r="M2025" t="s">
        <v>4036</v>
      </c>
      <c r="N2025" t="s">
        <v>1688</v>
      </c>
      <c r="O2025" t="s">
        <v>1686</v>
      </c>
      <c r="P2025">
        <v>0</v>
      </c>
      <c r="Q2025">
        <v>1423500</v>
      </c>
      <c r="R2025">
        <v>0</v>
      </c>
      <c r="S2025">
        <v>0</v>
      </c>
      <c r="T2025" t="str">
        <f t="shared" si="62"/>
        <v>15372.43.4302.85.0-205128.2.3.3.08.06.</v>
      </c>
      <c r="U2025" t="e" cm="1">
        <f t="array" aca="1" ref="U2025" ca="1">+IF(COMPROMISOS_2025[[#This Row],[P]]="20","41080111",_xlfn.XLOOKUP(COMPROMISOS_2025[[#This Row],[concatenado]],PAA[[#All],[RCP-RUBRO]],PAA[[#All],[INDICADOR]],"",0))</f>
        <v>#NAME?</v>
      </c>
      <c r="V2025" s="144" t="str">
        <f t="shared" si="63"/>
        <v>85</v>
      </c>
      <c r="W2025" s="136">
        <f>+COMPROMISOS_2025[[#This Row],[valor_total]]-COMPROMISOS_2025[[#This Row],[total_cancelado]]</f>
        <v>1423500</v>
      </c>
      <c r="X2025" s="136">
        <f>COMPROMISOS_2025[[#This Row],[total_ordenes]]</f>
        <v>1423500</v>
      </c>
      <c r="Y2025" t="str" cm="1">
        <f t="array" aca="1" ref="Y2025" ca="1">IFERROR(_xlfn.XLOOKUP(COMPROMISOS_2025[[#This Row],[concatenado]],PAA[[#All],[RCP-RUBRO]],PAA[[#All],[Actividad3]],VLOOKUP(COMPROMISOS_2025[[#This Row],[Indicador Principal]],$AC$2:$AD$17,2,0),0),"")</f>
        <v/>
      </c>
    </row>
    <row r="2026" spans="1:25" hidden="1" x14ac:dyDescent="0.25">
      <c r="A2026">
        <v>1538</v>
      </c>
      <c r="B2026" t="s">
        <v>2491</v>
      </c>
      <c r="C2026" t="s">
        <v>1936</v>
      </c>
      <c r="D2026" t="s">
        <v>4182</v>
      </c>
      <c r="F2026">
        <v>406</v>
      </c>
      <c r="G2026">
        <v>65</v>
      </c>
      <c r="H2026" t="s">
        <v>662</v>
      </c>
      <c r="I2026" t="s">
        <v>2271</v>
      </c>
      <c r="J2026">
        <v>711750</v>
      </c>
      <c r="K2026">
        <v>2025</v>
      </c>
      <c r="L2026">
        <v>1023631790</v>
      </c>
      <c r="M2026" t="s">
        <v>3686</v>
      </c>
      <c r="N2026" t="s">
        <v>1688</v>
      </c>
      <c r="O2026" t="s">
        <v>1686</v>
      </c>
      <c r="P2026">
        <v>0</v>
      </c>
      <c r="Q2026">
        <v>711750</v>
      </c>
      <c r="R2026">
        <v>0</v>
      </c>
      <c r="S2026">
        <v>0</v>
      </c>
      <c r="T2026" t="str">
        <f t="shared" si="62"/>
        <v>15382.43.4302.85.0-205128.2.3.3.08.06.</v>
      </c>
      <c r="U2026" t="e" cm="1">
        <f t="array" aca="1" ref="U2026" ca="1">+IF(COMPROMISOS_2025[[#This Row],[P]]="20","41080111",_xlfn.XLOOKUP(COMPROMISOS_2025[[#This Row],[concatenado]],PAA[[#All],[RCP-RUBRO]],PAA[[#All],[INDICADOR]],"",0))</f>
        <v>#NAME?</v>
      </c>
      <c r="V2026" s="144" t="str">
        <f t="shared" si="63"/>
        <v>85</v>
      </c>
      <c r="W2026" s="136">
        <f>+COMPROMISOS_2025[[#This Row],[valor_total]]-COMPROMISOS_2025[[#This Row],[total_cancelado]]</f>
        <v>711750</v>
      </c>
      <c r="X2026" s="136">
        <f>COMPROMISOS_2025[[#This Row],[total_ordenes]]</f>
        <v>711750</v>
      </c>
      <c r="Y2026" t="str" cm="1">
        <f t="array" aca="1" ref="Y2026" ca="1">IFERROR(_xlfn.XLOOKUP(COMPROMISOS_2025[[#This Row],[concatenado]],PAA[[#All],[RCP-RUBRO]],PAA[[#All],[Actividad3]],VLOOKUP(COMPROMISOS_2025[[#This Row],[Indicador Principal]],$AC$2:$AD$17,2,0),0),"")</f>
        <v/>
      </c>
    </row>
    <row r="2027" spans="1:25" hidden="1" x14ac:dyDescent="0.25">
      <c r="A2027">
        <v>1539</v>
      </c>
      <c r="B2027" t="s">
        <v>2491</v>
      </c>
      <c r="C2027" t="s">
        <v>1936</v>
      </c>
      <c r="D2027" t="s">
        <v>4182</v>
      </c>
      <c r="F2027">
        <v>406</v>
      </c>
      <c r="G2027">
        <v>65</v>
      </c>
      <c r="H2027" t="s">
        <v>662</v>
      </c>
      <c r="I2027" t="s">
        <v>2271</v>
      </c>
      <c r="J2027">
        <v>1067625</v>
      </c>
      <c r="K2027">
        <v>2025</v>
      </c>
      <c r="L2027">
        <v>1023632698</v>
      </c>
      <c r="M2027" t="s">
        <v>3687</v>
      </c>
      <c r="N2027" t="s">
        <v>1688</v>
      </c>
      <c r="O2027" t="s">
        <v>1686</v>
      </c>
      <c r="P2027">
        <v>0</v>
      </c>
      <c r="Q2027">
        <v>1067625</v>
      </c>
      <c r="R2027">
        <v>0</v>
      </c>
      <c r="S2027">
        <v>0</v>
      </c>
      <c r="T2027" t="str">
        <f t="shared" si="62"/>
        <v>15392.43.4302.85.0-205128.2.3.3.08.06.</v>
      </c>
      <c r="U2027" t="e" cm="1">
        <f t="array" aca="1" ref="U2027" ca="1">+IF(COMPROMISOS_2025[[#This Row],[P]]="20","41080111",_xlfn.XLOOKUP(COMPROMISOS_2025[[#This Row],[concatenado]],PAA[[#All],[RCP-RUBRO]],PAA[[#All],[INDICADOR]],"",0))</f>
        <v>#NAME?</v>
      </c>
      <c r="V2027" s="144" t="str">
        <f t="shared" si="63"/>
        <v>85</v>
      </c>
      <c r="W2027" s="136">
        <f>+COMPROMISOS_2025[[#This Row],[valor_total]]-COMPROMISOS_2025[[#This Row],[total_cancelado]]</f>
        <v>1067625</v>
      </c>
      <c r="X2027" s="136">
        <f>COMPROMISOS_2025[[#This Row],[total_ordenes]]</f>
        <v>1067625</v>
      </c>
      <c r="Y2027" t="str" cm="1">
        <f t="array" aca="1" ref="Y2027" ca="1">IFERROR(_xlfn.XLOOKUP(COMPROMISOS_2025[[#This Row],[concatenado]],PAA[[#All],[RCP-RUBRO]],PAA[[#All],[Actividad3]],VLOOKUP(COMPROMISOS_2025[[#This Row],[Indicador Principal]],$AC$2:$AD$17,2,0),0),"")</f>
        <v/>
      </c>
    </row>
    <row r="2028" spans="1:25" hidden="1" x14ac:dyDescent="0.25">
      <c r="A2028">
        <v>1540</v>
      </c>
      <c r="B2028" t="s">
        <v>2491</v>
      </c>
      <c r="C2028" t="s">
        <v>1936</v>
      </c>
      <c r="D2028" t="s">
        <v>4182</v>
      </c>
      <c r="F2028">
        <v>406</v>
      </c>
      <c r="G2028">
        <v>65</v>
      </c>
      <c r="H2028" t="s">
        <v>662</v>
      </c>
      <c r="I2028" t="s">
        <v>2271</v>
      </c>
      <c r="J2028">
        <v>711750</v>
      </c>
      <c r="K2028">
        <v>2025</v>
      </c>
      <c r="L2028">
        <v>1023636382</v>
      </c>
      <c r="M2028" t="s">
        <v>4316</v>
      </c>
      <c r="N2028" t="s">
        <v>1688</v>
      </c>
      <c r="O2028" t="s">
        <v>1686</v>
      </c>
      <c r="P2028">
        <v>0</v>
      </c>
      <c r="Q2028">
        <v>711750</v>
      </c>
      <c r="R2028">
        <v>0</v>
      </c>
      <c r="S2028">
        <v>0</v>
      </c>
      <c r="T2028" t="str">
        <f t="shared" si="62"/>
        <v>15402.43.4302.85.0-205128.2.3.3.08.06.</v>
      </c>
      <c r="U2028" t="e" cm="1">
        <f t="array" aca="1" ref="U2028" ca="1">+IF(COMPROMISOS_2025[[#This Row],[P]]="20","41080111",_xlfn.XLOOKUP(COMPROMISOS_2025[[#This Row],[concatenado]],PAA[[#All],[RCP-RUBRO]],PAA[[#All],[INDICADOR]],"",0))</f>
        <v>#NAME?</v>
      </c>
      <c r="V2028" s="144" t="str">
        <f t="shared" si="63"/>
        <v>85</v>
      </c>
      <c r="W2028" s="136">
        <f>+COMPROMISOS_2025[[#This Row],[valor_total]]-COMPROMISOS_2025[[#This Row],[total_cancelado]]</f>
        <v>711750</v>
      </c>
      <c r="X2028" s="136">
        <f>COMPROMISOS_2025[[#This Row],[total_ordenes]]</f>
        <v>711750</v>
      </c>
      <c r="Y2028" t="str" cm="1">
        <f t="array" aca="1" ref="Y2028" ca="1">IFERROR(_xlfn.XLOOKUP(COMPROMISOS_2025[[#This Row],[concatenado]],PAA[[#All],[RCP-RUBRO]],PAA[[#All],[Actividad3]],VLOOKUP(COMPROMISOS_2025[[#This Row],[Indicador Principal]],$AC$2:$AD$17,2,0),0),"")</f>
        <v/>
      </c>
    </row>
    <row r="2029" spans="1:25" hidden="1" x14ac:dyDescent="0.25">
      <c r="A2029">
        <v>1541</v>
      </c>
      <c r="B2029" t="s">
        <v>2491</v>
      </c>
      <c r="C2029" t="s">
        <v>1936</v>
      </c>
      <c r="D2029" t="s">
        <v>4182</v>
      </c>
      <c r="F2029">
        <v>406</v>
      </c>
      <c r="G2029">
        <v>65</v>
      </c>
      <c r="H2029" t="s">
        <v>662</v>
      </c>
      <c r="I2029" t="s">
        <v>2271</v>
      </c>
      <c r="J2029">
        <v>711750</v>
      </c>
      <c r="K2029">
        <v>2025</v>
      </c>
      <c r="L2029">
        <v>1023638406</v>
      </c>
      <c r="M2029" t="s">
        <v>3688</v>
      </c>
      <c r="N2029" t="s">
        <v>1688</v>
      </c>
      <c r="O2029" t="s">
        <v>1686</v>
      </c>
      <c r="P2029">
        <v>0</v>
      </c>
      <c r="Q2029">
        <v>711750</v>
      </c>
      <c r="R2029">
        <v>0</v>
      </c>
      <c r="S2029">
        <v>0</v>
      </c>
      <c r="T2029" t="str">
        <f t="shared" si="62"/>
        <v>15412.43.4302.85.0-205128.2.3.3.08.06.</v>
      </c>
      <c r="U2029" t="e" cm="1">
        <f t="array" aca="1" ref="U2029" ca="1">+IF(COMPROMISOS_2025[[#This Row],[P]]="20","41080111",_xlfn.XLOOKUP(COMPROMISOS_2025[[#This Row],[concatenado]],PAA[[#All],[RCP-RUBRO]],PAA[[#All],[INDICADOR]],"",0))</f>
        <v>#NAME?</v>
      </c>
      <c r="V2029" s="144" t="str">
        <f t="shared" si="63"/>
        <v>85</v>
      </c>
      <c r="W2029" s="136">
        <f>+COMPROMISOS_2025[[#This Row],[valor_total]]-COMPROMISOS_2025[[#This Row],[total_cancelado]]</f>
        <v>711750</v>
      </c>
      <c r="X2029" s="136">
        <f>COMPROMISOS_2025[[#This Row],[total_ordenes]]</f>
        <v>711750</v>
      </c>
      <c r="Y2029" t="str" cm="1">
        <f t="array" aca="1" ref="Y2029" ca="1">IFERROR(_xlfn.XLOOKUP(COMPROMISOS_2025[[#This Row],[concatenado]],PAA[[#All],[RCP-RUBRO]],PAA[[#All],[Actividad3]],VLOOKUP(COMPROMISOS_2025[[#This Row],[Indicador Principal]],$AC$2:$AD$17,2,0),0),"")</f>
        <v/>
      </c>
    </row>
    <row r="2030" spans="1:25" hidden="1" x14ac:dyDescent="0.25">
      <c r="A2030">
        <v>1542</v>
      </c>
      <c r="B2030" t="s">
        <v>2491</v>
      </c>
      <c r="C2030" t="s">
        <v>1936</v>
      </c>
      <c r="D2030" t="s">
        <v>4182</v>
      </c>
      <c r="F2030">
        <v>406</v>
      </c>
      <c r="G2030">
        <v>65</v>
      </c>
      <c r="H2030" t="s">
        <v>662</v>
      </c>
      <c r="I2030" t="s">
        <v>2271</v>
      </c>
      <c r="J2030">
        <v>711750</v>
      </c>
      <c r="K2030">
        <v>2025</v>
      </c>
      <c r="L2030">
        <v>1024484843</v>
      </c>
      <c r="M2030" t="s">
        <v>4317</v>
      </c>
      <c r="N2030" t="s">
        <v>1688</v>
      </c>
      <c r="O2030" t="s">
        <v>1686</v>
      </c>
      <c r="P2030">
        <v>0</v>
      </c>
      <c r="Q2030">
        <v>711750</v>
      </c>
      <c r="R2030">
        <v>0</v>
      </c>
      <c r="S2030">
        <v>0</v>
      </c>
      <c r="T2030" t="str">
        <f t="shared" si="62"/>
        <v>15422.43.4302.85.0-205128.2.3.3.08.06.</v>
      </c>
      <c r="U2030" t="e" cm="1">
        <f t="array" aca="1" ref="U2030" ca="1">+IF(COMPROMISOS_2025[[#This Row],[P]]="20","41080111",_xlfn.XLOOKUP(COMPROMISOS_2025[[#This Row],[concatenado]],PAA[[#All],[RCP-RUBRO]],PAA[[#All],[INDICADOR]],"",0))</f>
        <v>#NAME?</v>
      </c>
      <c r="V2030" s="144" t="str">
        <f t="shared" si="63"/>
        <v>85</v>
      </c>
      <c r="W2030" s="136">
        <f>+COMPROMISOS_2025[[#This Row],[valor_total]]-COMPROMISOS_2025[[#This Row],[total_cancelado]]</f>
        <v>711750</v>
      </c>
      <c r="X2030" s="136">
        <f>COMPROMISOS_2025[[#This Row],[total_ordenes]]</f>
        <v>711750</v>
      </c>
      <c r="Y2030" t="str" cm="1">
        <f t="array" aca="1" ref="Y2030" ca="1">IFERROR(_xlfn.XLOOKUP(COMPROMISOS_2025[[#This Row],[concatenado]],PAA[[#All],[RCP-RUBRO]],PAA[[#All],[Actividad3]],VLOOKUP(COMPROMISOS_2025[[#This Row],[Indicador Principal]],$AC$2:$AD$17,2,0),0),"")</f>
        <v/>
      </c>
    </row>
    <row r="2031" spans="1:25" hidden="1" x14ac:dyDescent="0.25">
      <c r="A2031">
        <v>1543</v>
      </c>
      <c r="B2031" t="s">
        <v>2491</v>
      </c>
      <c r="C2031" t="s">
        <v>1936</v>
      </c>
      <c r="D2031" t="s">
        <v>4182</v>
      </c>
      <c r="F2031">
        <v>406</v>
      </c>
      <c r="G2031">
        <v>65</v>
      </c>
      <c r="H2031" t="s">
        <v>662</v>
      </c>
      <c r="I2031" t="s">
        <v>2271</v>
      </c>
      <c r="J2031">
        <v>711750</v>
      </c>
      <c r="K2031">
        <v>2025</v>
      </c>
      <c r="L2031">
        <v>1025645512</v>
      </c>
      <c r="M2031" t="s">
        <v>3689</v>
      </c>
      <c r="N2031" t="s">
        <v>1688</v>
      </c>
      <c r="O2031" t="s">
        <v>1686</v>
      </c>
      <c r="P2031">
        <v>0</v>
      </c>
      <c r="Q2031">
        <v>711750</v>
      </c>
      <c r="R2031">
        <v>0</v>
      </c>
      <c r="S2031">
        <v>0</v>
      </c>
      <c r="T2031" t="str">
        <f t="shared" si="62"/>
        <v>15432.43.4302.85.0-205128.2.3.3.08.06.</v>
      </c>
      <c r="U2031" t="e" cm="1">
        <f t="array" aca="1" ref="U2031" ca="1">+IF(COMPROMISOS_2025[[#This Row],[P]]="20","41080111",_xlfn.XLOOKUP(COMPROMISOS_2025[[#This Row],[concatenado]],PAA[[#All],[RCP-RUBRO]],PAA[[#All],[INDICADOR]],"",0))</f>
        <v>#NAME?</v>
      </c>
      <c r="V2031" s="144" t="str">
        <f t="shared" si="63"/>
        <v>85</v>
      </c>
      <c r="W2031" s="136">
        <f>+COMPROMISOS_2025[[#This Row],[valor_total]]-COMPROMISOS_2025[[#This Row],[total_cancelado]]</f>
        <v>711750</v>
      </c>
      <c r="X2031" s="136">
        <f>COMPROMISOS_2025[[#This Row],[total_ordenes]]</f>
        <v>711750</v>
      </c>
      <c r="Y2031" t="str" cm="1">
        <f t="array" aca="1" ref="Y2031" ca="1">IFERROR(_xlfn.XLOOKUP(COMPROMISOS_2025[[#This Row],[concatenado]],PAA[[#All],[RCP-RUBRO]],PAA[[#All],[Actividad3]],VLOOKUP(COMPROMISOS_2025[[#This Row],[Indicador Principal]],$AC$2:$AD$17,2,0),0),"")</f>
        <v/>
      </c>
    </row>
    <row r="2032" spans="1:25" hidden="1" x14ac:dyDescent="0.25">
      <c r="A2032">
        <v>1544</v>
      </c>
      <c r="B2032" t="s">
        <v>2491</v>
      </c>
      <c r="C2032" t="s">
        <v>1936</v>
      </c>
      <c r="D2032" t="s">
        <v>4182</v>
      </c>
      <c r="F2032">
        <v>406</v>
      </c>
      <c r="G2032">
        <v>65</v>
      </c>
      <c r="H2032" t="s">
        <v>662</v>
      </c>
      <c r="I2032" t="s">
        <v>2271</v>
      </c>
      <c r="J2032">
        <v>711750</v>
      </c>
      <c r="K2032">
        <v>2025</v>
      </c>
      <c r="L2032">
        <v>1025645730</v>
      </c>
      <c r="M2032" t="s">
        <v>3690</v>
      </c>
      <c r="N2032" t="s">
        <v>1688</v>
      </c>
      <c r="O2032" t="s">
        <v>1686</v>
      </c>
      <c r="P2032">
        <v>0</v>
      </c>
      <c r="Q2032">
        <v>711750</v>
      </c>
      <c r="R2032">
        <v>0</v>
      </c>
      <c r="S2032">
        <v>0</v>
      </c>
      <c r="T2032" t="str">
        <f t="shared" si="62"/>
        <v>15442.43.4302.85.0-205128.2.3.3.08.06.</v>
      </c>
      <c r="U2032" t="e" cm="1">
        <f t="array" aca="1" ref="U2032" ca="1">+IF(COMPROMISOS_2025[[#This Row],[P]]="20","41080111",_xlfn.XLOOKUP(COMPROMISOS_2025[[#This Row],[concatenado]],PAA[[#All],[RCP-RUBRO]],PAA[[#All],[INDICADOR]],"",0))</f>
        <v>#NAME?</v>
      </c>
      <c r="V2032" s="144" t="str">
        <f t="shared" si="63"/>
        <v>85</v>
      </c>
      <c r="W2032" s="136">
        <f>+COMPROMISOS_2025[[#This Row],[valor_total]]-COMPROMISOS_2025[[#This Row],[total_cancelado]]</f>
        <v>711750</v>
      </c>
      <c r="X2032" s="136">
        <f>COMPROMISOS_2025[[#This Row],[total_ordenes]]</f>
        <v>711750</v>
      </c>
      <c r="Y2032" t="str" cm="1">
        <f t="array" aca="1" ref="Y2032" ca="1">IFERROR(_xlfn.XLOOKUP(COMPROMISOS_2025[[#This Row],[concatenado]],PAA[[#All],[RCP-RUBRO]],PAA[[#All],[Actividad3]],VLOOKUP(COMPROMISOS_2025[[#This Row],[Indicador Principal]],$AC$2:$AD$17,2,0),0),"")</f>
        <v/>
      </c>
    </row>
    <row r="2033" spans="1:25" hidden="1" x14ac:dyDescent="0.25">
      <c r="A2033">
        <v>1545</v>
      </c>
      <c r="B2033" t="s">
        <v>2491</v>
      </c>
      <c r="C2033" t="s">
        <v>1936</v>
      </c>
      <c r="D2033" t="s">
        <v>4182</v>
      </c>
      <c r="F2033">
        <v>406</v>
      </c>
      <c r="G2033">
        <v>65</v>
      </c>
      <c r="H2033" t="s">
        <v>662</v>
      </c>
      <c r="I2033" t="s">
        <v>2271</v>
      </c>
      <c r="J2033">
        <v>711750</v>
      </c>
      <c r="K2033">
        <v>2025</v>
      </c>
      <c r="L2033">
        <v>1025649690</v>
      </c>
      <c r="M2033" t="s">
        <v>3691</v>
      </c>
      <c r="N2033" t="s">
        <v>1688</v>
      </c>
      <c r="O2033" t="s">
        <v>1686</v>
      </c>
      <c r="P2033">
        <v>0</v>
      </c>
      <c r="Q2033">
        <v>711750</v>
      </c>
      <c r="R2033">
        <v>0</v>
      </c>
      <c r="S2033">
        <v>0</v>
      </c>
      <c r="T2033" t="str">
        <f t="shared" si="62"/>
        <v>15452.43.4302.85.0-205128.2.3.3.08.06.</v>
      </c>
      <c r="U2033" t="e" cm="1">
        <f t="array" aca="1" ref="U2033" ca="1">+IF(COMPROMISOS_2025[[#This Row],[P]]="20","41080111",_xlfn.XLOOKUP(COMPROMISOS_2025[[#This Row],[concatenado]],PAA[[#All],[RCP-RUBRO]],PAA[[#All],[INDICADOR]],"",0))</f>
        <v>#NAME?</v>
      </c>
      <c r="V2033" s="144" t="str">
        <f t="shared" si="63"/>
        <v>85</v>
      </c>
      <c r="W2033" s="136">
        <f>+COMPROMISOS_2025[[#This Row],[valor_total]]-COMPROMISOS_2025[[#This Row],[total_cancelado]]</f>
        <v>711750</v>
      </c>
      <c r="X2033" s="136">
        <f>COMPROMISOS_2025[[#This Row],[total_ordenes]]</f>
        <v>711750</v>
      </c>
      <c r="Y2033" t="str" cm="1">
        <f t="array" aca="1" ref="Y2033" ca="1">IFERROR(_xlfn.XLOOKUP(COMPROMISOS_2025[[#This Row],[concatenado]],PAA[[#All],[RCP-RUBRO]],PAA[[#All],[Actividad3]],VLOOKUP(COMPROMISOS_2025[[#This Row],[Indicador Principal]],$AC$2:$AD$17,2,0),0),"")</f>
        <v/>
      </c>
    </row>
    <row r="2034" spans="1:25" hidden="1" x14ac:dyDescent="0.25">
      <c r="A2034">
        <v>1546</v>
      </c>
      <c r="B2034" t="s">
        <v>2491</v>
      </c>
      <c r="C2034" t="s">
        <v>1936</v>
      </c>
      <c r="D2034" t="s">
        <v>4182</v>
      </c>
      <c r="F2034">
        <v>406</v>
      </c>
      <c r="G2034">
        <v>65</v>
      </c>
      <c r="H2034" t="s">
        <v>662</v>
      </c>
      <c r="I2034" t="s">
        <v>2271</v>
      </c>
      <c r="J2034">
        <v>711750</v>
      </c>
      <c r="K2034">
        <v>2025</v>
      </c>
      <c r="L2034">
        <v>1025649713</v>
      </c>
      <c r="M2034" t="s">
        <v>3692</v>
      </c>
      <c r="N2034" t="s">
        <v>1688</v>
      </c>
      <c r="O2034" t="s">
        <v>1686</v>
      </c>
      <c r="P2034">
        <v>0</v>
      </c>
      <c r="Q2034">
        <v>711750</v>
      </c>
      <c r="R2034">
        <v>0</v>
      </c>
      <c r="S2034">
        <v>0</v>
      </c>
      <c r="T2034" t="str">
        <f t="shared" si="62"/>
        <v>15462.43.4302.85.0-205128.2.3.3.08.06.</v>
      </c>
      <c r="U2034" t="e" cm="1">
        <f t="array" aca="1" ref="U2034" ca="1">+IF(COMPROMISOS_2025[[#This Row],[P]]="20","41080111",_xlfn.XLOOKUP(COMPROMISOS_2025[[#This Row],[concatenado]],PAA[[#All],[RCP-RUBRO]],PAA[[#All],[INDICADOR]],"",0))</f>
        <v>#NAME?</v>
      </c>
      <c r="V2034" s="144" t="str">
        <f t="shared" si="63"/>
        <v>85</v>
      </c>
      <c r="W2034" s="136">
        <f>+COMPROMISOS_2025[[#This Row],[valor_total]]-COMPROMISOS_2025[[#This Row],[total_cancelado]]</f>
        <v>711750</v>
      </c>
      <c r="X2034" s="136">
        <f>COMPROMISOS_2025[[#This Row],[total_ordenes]]</f>
        <v>711750</v>
      </c>
      <c r="Y2034" t="str" cm="1">
        <f t="array" aca="1" ref="Y2034" ca="1">IFERROR(_xlfn.XLOOKUP(COMPROMISOS_2025[[#This Row],[concatenado]],PAA[[#All],[RCP-RUBRO]],PAA[[#All],[Actividad3]],VLOOKUP(COMPROMISOS_2025[[#This Row],[Indicador Principal]],$AC$2:$AD$17,2,0),0),"")</f>
        <v/>
      </c>
    </row>
    <row r="2035" spans="1:25" hidden="1" x14ac:dyDescent="0.25">
      <c r="A2035">
        <v>1547</v>
      </c>
      <c r="B2035" t="s">
        <v>2491</v>
      </c>
      <c r="C2035" t="s">
        <v>1936</v>
      </c>
      <c r="D2035" t="s">
        <v>4182</v>
      </c>
      <c r="F2035">
        <v>406</v>
      </c>
      <c r="G2035">
        <v>65</v>
      </c>
      <c r="H2035" t="s">
        <v>662</v>
      </c>
      <c r="I2035" t="s">
        <v>2271</v>
      </c>
      <c r="J2035">
        <v>1067625</v>
      </c>
      <c r="K2035">
        <v>2025</v>
      </c>
      <c r="L2035">
        <v>1025650852</v>
      </c>
      <c r="M2035" t="s">
        <v>4318</v>
      </c>
      <c r="N2035" t="s">
        <v>1688</v>
      </c>
      <c r="O2035" t="s">
        <v>1686</v>
      </c>
      <c r="P2035">
        <v>0</v>
      </c>
      <c r="Q2035">
        <v>1067625</v>
      </c>
      <c r="R2035">
        <v>0</v>
      </c>
      <c r="S2035">
        <v>0</v>
      </c>
      <c r="T2035" t="str">
        <f t="shared" si="62"/>
        <v>15472.43.4302.85.0-205128.2.3.3.08.06.</v>
      </c>
      <c r="U2035" t="e" cm="1">
        <f t="array" aca="1" ref="U2035" ca="1">+IF(COMPROMISOS_2025[[#This Row],[P]]="20","41080111",_xlfn.XLOOKUP(COMPROMISOS_2025[[#This Row],[concatenado]],PAA[[#All],[RCP-RUBRO]],PAA[[#All],[INDICADOR]],"",0))</f>
        <v>#NAME?</v>
      </c>
      <c r="V2035" s="144" t="str">
        <f t="shared" si="63"/>
        <v>85</v>
      </c>
      <c r="W2035" s="136">
        <f>+COMPROMISOS_2025[[#This Row],[valor_total]]-COMPROMISOS_2025[[#This Row],[total_cancelado]]</f>
        <v>1067625</v>
      </c>
      <c r="X2035" s="136">
        <f>COMPROMISOS_2025[[#This Row],[total_ordenes]]</f>
        <v>1067625</v>
      </c>
      <c r="Y2035" t="str" cm="1">
        <f t="array" aca="1" ref="Y2035" ca="1">IFERROR(_xlfn.XLOOKUP(COMPROMISOS_2025[[#This Row],[concatenado]],PAA[[#All],[RCP-RUBRO]],PAA[[#All],[Actividad3]],VLOOKUP(COMPROMISOS_2025[[#This Row],[Indicador Principal]],$AC$2:$AD$17,2,0),0),"")</f>
        <v/>
      </c>
    </row>
    <row r="2036" spans="1:25" hidden="1" x14ac:dyDescent="0.25">
      <c r="A2036">
        <v>1548</v>
      </c>
      <c r="B2036" t="s">
        <v>2491</v>
      </c>
      <c r="C2036" t="s">
        <v>1936</v>
      </c>
      <c r="D2036" t="s">
        <v>4182</v>
      </c>
      <c r="F2036">
        <v>406</v>
      </c>
      <c r="G2036">
        <v>65</v>
      </c>
      <c r="H2036" t="s">
        <v>662</v>
      </c>
      <c r="I2036" t="s">
        <v>2271</v>
      </c>
      <c r="J2036">
        <v>711750</v>
      </c>
      <c r="K2036">
        <v>2025</v>
      </c>
      <c r="L2036">
        <v>1025653001</v>
      </c>
      <c r="M2036" t="s">
        <v>3693</v>
      </c>
      <c r="N2036" t="s">
        <v>1688</v>
      </c>
      <c r="O2036" t="s">
        <v>1686</v>
      </c>
      <c r="P2036">
        <v>0</v>
      </c>
      <c r="Q2036">
        <v>711750</v>
      </c>
      <c r="R2036">
        <v>0</v>
      </c>
      <c r="S2036">
        <v>0</v>
      </c>
      <c r="T2036" t="str">
        <f t="shared" si="62"/>
        <v>15482.43.4302.85.0-205128.2.3.3.08.06.</v>
      </c>
      <c r="U2036" t="e" cm="1">
        <f t="array" aca="1" ref="U2036" ca="1">+IF(COMPROMISOS_2025[[#This Row],[P]]="20","41080111",_xlfn.XLOOKUP(COMPROMISOS_2025[[#This Row],[concatenado]],PAA[[#All],[RCP-RUBRO]],PAA[[#All],[INDICADOR]],"",0))</f>
        <v>#NAME?</v>
      </c>
      <c r="V2036" s="144" t="str">
        <f t="shared" si="63"/>
        <v>85</v>
      </c>
      <c r="W2036" s="136">
        <f>+COMPROMISOS_2025[[#This Row],[valor_total]]-COMPROMISOS_2025[[#This Row],[total_cancelado]]</f>
        <v>711750</v>
      </c>
      <c r="X2036" s="136">
        <f>COMPROMISOS_2025[[#This Row],[total_ordenes]]</f>
        <v>711750</v>
      </c>
      <c r="Y2036" t="str" cm="1">
        <f t="array" aca="1" ref="Y2036" ca="1">IFERROR(_xlfn.XLOOKUP(COMPROMISOS_2025[[#This Row],[concatenado]],PAA[[#All],[RCP-RUBRO]],PAA[[#All],[Actividad3]],VLOOKUP(COMPROMISOS_2025[[#This Row],[Indicador Principal]],$AC$2:$AD$17,2,0),0),"")</f>
        <v/>
      </c>
    </row>
    <row r="2037" spans="1:25" hidden="1" x14ac:dyDescent="0.25">
      <c r="A2037">
        <v>1549</v>
      </c>
      <c r="B2037" t="s">
        <v>2491</v>
      </c>
      <c r="C2037" t="s">
        <v>1936</v>
      </c>
      <c r="D2037" t="s">
        <v>4182</v>
      </c>
      <c r="F2037">
        <v>406</v>
      </c>
      <c r="G2037">
        <v>65</v>
      </c>
      <c r="H2037" t="s">
        <v>662</v>
      </c>
      <c r="I2037" t="s">
        <v>2271</v>
      </c>
      <c r="J2037">
        <v>711750</v>
      </c>
      <c r="K2037">
        <v>2025</v>
      </c>
      <c r="L2037">
        <v>1025653009</v>
      </c>
      <c r="M2037" t="s">
        <v>3694</v>
      </c>
      <c r="N2037" t="s">
        <v>1688</v>
      </c>
      <c r="O2037" t="s">
        <v>1686</v>
      </c>
      <c r="P2037">
        <v>0</v>
      </c>
      <c r="Q2037">
        <v>711750</v>
      </c>
      <c r="R2037">
        <v>0</v>
      </c>
      <c r="S2037">
        <v>0</v>
      </c>
      <c r="T2037" t="str">
        <f t="shared" si="62"/>
        <v>15492.43.4302.85.0-205128.2.3.3.08.06.</v>
      </c>
      <c r="U2037" t="e" cm="1">
        <f t="array" aca="1" ref="U2037" ca="1">+IF(COMPROMISOS_2025[[#This Row],[P]]="20","41080111",_xlfn.XLOOKUP(COMPROMISOS_2025[[#This Row],[concatenado]],PAA[[#All],[RCP-RUBRO]],PAA[[#All],[INDICADOR]],"",0))</f>
        <v>#NAME?</v>
      </c>
      <c r="V2037" s="144" t="str">
        <f t="shared" si="63"/>
        <v>85</v>
      </c>
      <c r="W2037" s="136">
        <f>+COMPROMISOS_2025[[#This Row],[valor_total]]-COMPROMISOS_2025[[#This Row],[total_cancelado]]</f>
        <v>711750</v>
      </c>
      <c r="X2037" s="136">
        <f>COMPROMISOS_2025[[#This Row],[total_ordenes]]</f>
        <v>711750</v>
      </c>
      <c r="Y2037" t="str" cm="1">
        <f t="array" aca="1" ref="Y2037" ca="1">IFERROR(_xlfn.XLOOKUP(COMPROMISOS_2025[[#This Row],[concatenado]],PAA[[#All],[RCP-RUBRO]],PAA[[#All],[Actividad3]],VLOOKUP(COMPROMISOS_2025[[#This Row],[Indicador Principal]],$AC$2:$AD$17,2,0),0),"")</f>
        <v/>
      </c>
    </row>
    <row r="2038" spans="1:25" hidden="1" x14ac:dyDescent="0.25">
      <c r="A2038">
        <v>1550</v>
      </c>
      <c r="B2038" t="s">
        <v>2491</v>
      </c>
      <c r="C2038" t="s">
        <v>1936</v>
      </c>
      <c r="D2038" t="s">
        <v>4182</v>
      </c>
      <c r="F2038">
        <v>406</v>
      </c>
      <c r="G2038">
        <v>65</v>
      </c>
      <c r="H2038" t="s">
        <v>662</v>
      </c>
      <c r="I2038" t="s">
        <v>2271</v>
      </c>
      <c r="J2038">
        <v>711750</v>
      </c>
      <c r="K2038">
        <v>2025</v>
      </c>
      <c r="L2038">
        <v>1025655241</v>
      </c>
      <c r="M2038" t="s">
        <v>3695</v>
      </c>
      <c r="N2038" t="s">
        <v>1688</v>
      </c>
      <c r="O2038" t="s">
        <v>1686</v>
      </c>
      <c r="P2038">
        <v>0</v>
      </c>
      <c r="Q2038">
        <v>711750</v>
      </c>
      <c r="R2038">
        <v>0</v>
      </c>
      <c r="S2038">
        <v>0</v>
      </c>
      <c r="T2038" t="str">
        <f t="shared" si="62"/>
        <v>15502.43.4302.85.0-205128.2.3.3.08.06.</v>
      </c>
      <c r="U2038" t="e" cm="1">
        <f t="array" aca="1" ref="U2038" ca="1">+IF(COMPROMISOS_2025[[#This Row],[P]]="20","41080111",_xlfn.XLOOKUP(COMPROMISOS_2025[[#This Row],[concatenado]],PAA[[#All],[RCP-RUBRO]],PAA[[#All],[INDICADOR]],"",0))</f>
        <v>#NAME?</v>
      </c>
      <c r="V2038" s="144" t="str">
        <f t="shared" si="63"/>
        <v>85</v>
      </c>
      <c r="W2038" s="136">
        <f>+COMPROMISOS_2025[[#This Row],[valor_total]]-COMPROMISOS_2025[[#This Row],[total_cancelado]]</f>
        <v>711750</v>
      </c>
      <c r="X2038" s="136">
        <f>COMPROMISOS_2025[[#This Row],[total_ordenes]]</f>
        <v>711750</v>
      </c>
      <c r="Y2038" t="str" cm="1">
        <f t="array" aca="1" ref="Y2038" ca="1">IFERROR(_xlfn.XLOOKUP(COMPROMISOS_2025[[#This Row],[concatenado]],PAA[[#All],[RCP-RUBRO]],PAA[[#All],[Actividad3]],VLOOKUP(COMPROMISOS_2025[[#This Row],[Indicador Principal]],$AC$2:$AD$17,2,0),0),"")</f>
        <v/>
      </c>
    </row>
    <row r="2039" spans="1:25" hidden="1" x14ac:dyDescent="0.25">
      <c r="A2039">
        <v>1551</v>
      </c>
      <c r="B2039" t="s">
        <v>2491</v>
      </c>
      <c r="C2039" t="s">
        <v>1936</v>
      </c>
      <c r="D2039" t="s">
        <v>4182</v>
      </c>
      <c r="F2039">
        <v>406</v>
      </c>
      <c r="G2039">
        <v>65</v>
      </c>
      <c r="H2039" t="s">
        <v>662</v>
      </c>
      <c r="I2039" t="s">
        <v>2271</v>
      </c>
      <c r="J2039">
        <v>711750</v>
      </c>
      <c r="K2039">
        <v>2025</v>
      </c>
      <c r="L2039">
        <v>1025655257</v>
      </c>
      <c r="M2039" t="s">
        <v>4319</v>
      </c>
      <c r="N2039" t="s">
        <v>1688</v>
      </c>
      <c r="O2039" t="s">
        <v>1686</v>
      </c>
      <c r="P2039">
        <v>0</v>
      </c>
      <c r="Q2039">
        <v>711750</v>
      </c>
      <c r="R2039">
        <v>0</v>
      </c>
      <c r="S2039">
        <v>0</v>
      </c>
      <c r="T2039" t="str">
        <f t="shared" si="62"/>
        <v>15512.43.4302.85.0-205128.2.3.3.08.06.</v>
      </c>
      <c r="U2039" t="e" cm="1">
        <f t="array" aca="1" ref="U2039" ca="1">+IF(COMPROMISOS_2025[[#This Row],[P]]="20","41080111",_xlfn.XLOOKUP(COMPROMISOS_2025[[#This Row],[concatenado]],PAA[[#All],[RCP-RUBRO]],PAA[[#All],[INDICADOR]],"",0))</f>
        <v>#NAME?</v>
      </c>
      <c r="V2039" s="144" t="str">
        <f t="shared" si="63"/>
        <v>85</v>
      </c>
      <c r="W2039" s="136">
        <f>+COMPROMISOS_2025[[#This Row],[valor_total]]-COMPROMISOS_2025[[#This Row],[total_cancelado]]</f>
        <v>711750</v>
      </c>
      <c r="X2039" s="136">
        <f>COMPROMISOS_2025[[#This Row],[total_ordenes]]</f>
        <v>711750</v>
      </c>
      <c r="Y2039" t="str" cm="1">
        <f t="array" aca="1" ref="Y2039" ca="1">IFERROR(_xlfn.XLOOKUP(COMPROMISOS_2025[[#This Row],[concatenado]],PAA[[#All],[RCP-RUBRO]],PAA[[#All],[Actividad3]],VLOOKUP(COMPROMISOS_2025[[#This Row],[Indicador Principal]],$AC$2:$AD$17,2,0),0),"")</f>
        <v/>
      </c>
    </row>
    <row r="2040" spans="1:25" hidden="1" x14ac:dyDescent="0.25">
      <c r="A2040">
        <v>1552</v>
      </c>
      <c r="B2040" t="s">
        <v>2491</v>
      </c>
      <c r="C2040" t="s">
        <v>1936</v>
      </c>
      <c r="D2040" t="s">
        <v>4182</v>
      </c>
      <c r="F2040">
        <v>406</v>
      </c>
      <c r="G2040">
        <v>65</v>
      </c>
      <c r="H2040" t="s">
        <v>662</v>
      </c>
      <c r="I2040" t="s">
        <v>2271</v>
      </c>
      <c r="J2040">
        <v>1423500</v>
      </c>
      <c r="K2040">
        <v>2025</v>
      </c>
      <c r="L2040">
        <v>1025658645</v>
      </c>
      <c r="M2040" t="s">
        <v>3696</v>
      </c>
      <c r="N2040" t="s">
        <v>1688</v>
      </c>
      <c r="O2040" t="s">
        <v>1686</v>
      </c>
      <c r="P2040">
        <v>0</v>
      </c>
      <c r="Q2040">
        <v>1423500</v>
      </c>
      <c r="R2040">
        <v>0</v>
      </c>
      <c r="S2040">
        <v>0</v>
      </c>
      <c r="T2040" t="str">
        <f t="shared" si="62"/>
        <v>15522.43.4302.85.0-205128.2.3.3.08.06.</v>
      </c>
      <c r="U2040" t="e" cm="1">
        <f t="array" aca="1" ref="U2040" ca="1">+IF(COMPROMISOS_2025[[#This Row],[P]]="20","41080111",_xlfn.XLOOKUP(COMPROMISOS_2025[[#This Row],[concatenado]],PAA[[#All],[RCP-RUBRO]],PAA[[#All],[INDICADOR]],"",0))</f>
        <v>#NAME?</v>
      </c>
      <c r="V2040" s="144" t="str">
        <f t="shared" si="63"/>
        <v>85</v>
      </c>
      <c r="W2040" s="136">
        <f>+COMPROMISOS_2025[[#This Row],[valor_total]]-COMPROMISOS_2025[[#This Row],[total_cancelado]]</f>
        <v>1423500</v>
      </c>
      <c r="X2040" s="136">
        <f>COMPROMISOS_2025[[#This Row],[total_ordenes]]</f>
        <v>1423500</v>
      </c>
      <c r="Y2040" t="str" cm="1">
        <f t="array" aca="1" ref="Y2040" ca="1">IFERROR(_xlfn.XLOOKUP(COMPROMISOS_2025[[#This Row],[concatenado]],PAA[[#All],[RCP-RUBRO]],PAA[[#All],[Actividad3]],VLOOKUP(COMPROMISOS_2025[[#This Row],[Indicador Principal]],$AC$2:$AD$17,2,0),0),"")</f>
        <v/>
      </c>
    </row>
    <row r="2041" spans="1:25" hidden="1" x14ac:dyDescent="0.25">
      <c r="A2041">
        <v>1553</v>
      </c>
      <c r="B2041" t="s">
        <v>2491</v>
      </c>
      <c r="C2041" t="s">
        <v>1936</v>
      </c>
      <c r="D2041" t="s">
        <v>4182</v>
      </c>
      <c r="F2041">
        <v>406</v>
      </c>
      <c r="G2041">
        <v>65</v>
      </c>
      <c r="H2041" t="s">
        <v>662</v>
      </c>
      <c r="I2041" t="s">
        <v>2271</v>
      </c>
      <c r="J2041">
        <v>711750</v>
      </c>
      <c r="K2041">
        <v>2025</v>
      </c>
      <c r="L2041">
        <v>1025660057</v>
      </c>
      <c r="M2041" t="s">
        <v>3697</v>
      </c>
      <c r="N2041" t="s">
        <v>1688</v>
      </c>
      <c r="O2041" t="s">
        <v>1686</v>
      </c>
      <c r="P2041">
        <v>0</v>
      </c>
      <c r="Q2041">
        <v>711750</v>
      </c>
      <c r="R2041">
        <v>0</v>
      </c>
      <c r="S2041">
        <v>0</v>
      </c>
      <c r="T2041" t="str">
        <f t="shared" si="62"/>
        <v>15532.43.4302.85.0-205128.2.3.3.08.06.</v>
      </c>
      <c r="U2041" t="e" cm="1">
        <f t="array" aca="1" ref="U2041" ca="1">+IF(COMPROMISOS_2025[[#This Row],[P]]="20","41080111",_xlfn.XLOOKUP(COMPROMISOS_2025[[#This Row],[concatenado]],PAA[[#All],[RCP-RUBRO]],PAA[[#All],[INDICADOR]],"",0))</f>
        <v>#NAME?</v>
      </c>
      <c r="V2041" s="144" t="str">
        <f t="shared" si="63"/>
        <v>85</v>
      </c>
      <c r="W2041" s="136">
        <f>+COMPROMISOS_2025[[#This Row],[valor_total]]-COMPROMISOS_2025[[#This Row],[total_cancelado]]</f>
        <v>711750</v>
      </c>
      <c r="X2041" s="136">
        <f>COMPROMISOS_2025[[#This Row],[total_ordenes]]</f>
        <v>711750</v>
      </c>
      <c r="Y2041" t="str" cm="1">
        <f t="array" aca="1" ref="Y2041" ca="1">IFERROR(_xlfn.XLOOKUP(COMPROMISOS_2025[[#This Row],[concatenado]],PAA[[#All],[RCP-RUBRO]],PAA[[#All],[Actividad3]],VLOOKUP(COMPROMISOS_2025[[#This Row],[Indicador Principal]],$AC$2:$AD$17,2,0),0),"")</f>
        <v/>
      </c>
    </row>
    <row r="2042" spans="1:25" hidden="1" x14ac:dyDescent="0.25">
      <c r="A2042">
        <v>1554</v>
      </c>
      <c r="B2042" t="s">
        <v>2491</v>
      </c>
      <c r="C2042" t="s">
        <v>1936</v>
      </c>
      <c r="D2042" t="s">
        <v>4182</v>
      </c>
      <c r="F2042">
        <v>406</v>
      </c>
      <c r="G2042">
        <v>65</v>
      </c>
      <c r="H2042" t="s">
        <v>662</v>
      </c>
      <c r="I2042" t="s">
        <v>2271</v>
      </c>
      <c r="J2042">
        <v>711750</v>
      </c>
      <c r="K2042">
        <v>2025</v>
      </c>
      <c r="L2042">
        <v>1025662182</v>
      </c>
      <c r="M2042" t="s">
        <v>3698</v>
      </c>
      <c r="N2042" t="s">
        <v>1688</v>
      </c>
      <c r="O2042" t="s">
        <v>1686</v>
      </c>
      <c r="P2042">
        <v>0</v>
      </c>
      <c r="Q2042">
        <v>711750</v>
      </c>
      <c r="R2042">
        <v>0</v>
      </c>
      <c r="S2042">
        <v>0</v>
      </c>
      <c r="T2042" t="str">
        <f t="shared" si="62"/>
        <v>15542.43.4302.85.0-205128.2.3.3.08.06.</v>
      </c>
      <c r="U2042" t="e" cm="1">
        <f t="array" aca="1" ref="U2042" ca="1">+IF(COMPROMISOS_2025[[#This Row],[P]]="20","41080111",_xlfn.XLOOKUP(COMPROMISOS_2025[[#This Row],[concatenado]],PAA[[#All],[RCP-RUBRO]],PAA[[#All],[INDICADOR]],"",0))</f>
        <v>#NAME?</v>
      </c>
      <c r="V2042" s="144" t="str">
        <f t="shared" si="63"/>
        <v>85</v>
      </c>
      <c r="W2042" s="136">
        <f>+COMPROMISOS_2025[[#This Row],[valor_total]]-COMPROMISOS_2025[[#This Row],[total_cancelado]]</f>
        <v>711750</v>
      </c>
      <c r="X2042" s="136">
        <f>COMPROMISOS_2025[[#This Row],[total_ordenes]]</f>
        <v>711750</v>
      </c>
      <c r="Y2042" t="str" cm="1">
        <f t="array" aca="1" ref="Y2042" ca="1">IFERROR(_xlfn.XLOOKUP(COMPROMISOS_2025[[#This Row],[concatenado]],PAA[[#All],[RCP-RUBRO]],PAA[[#All],[Actividad3]],VLOOKUP(COMPROMISOS_2025[[#This Row],[Indicador Principal]],$AC$2:$AD$17,2,0),0),"")</f>
        <v/>
      </c>
    </row>
    <row r="2043" spans="1:25" hidden="1" x14ac:dyDescent="0.25">
      <c r="A2043">
        <v>1555</v>
      </c>
      <c r="B2043" t="s">
        <v>2491</v>
      </c>
      <c r="C2043" t="s">
        <v>1936</v>
      </c>
      <c r="D2043" t="s">
        <v>4182</v>
      </c>
      <c r="F2043">
        <v>406</v>
      </c>
      <c r="G2043">
        <v>65</v>
      </c>
      <c r="H2043" t="s">
        <v>662</v>
      </c>
      <c r="I2043" t="s">
        <v>2271</v>
      </c>
      <c r="J2043">
        <v>711750</v>
      </c>
      <c r="K2043">
        <v>2025</v>
      </c>
      <c r="L2043">
        <v>1025760229</v>
      </c>
      <c r="M2043" t="s">
        <v>3699</v>
      </c>
      <c r="N2043" t="s">
        <v>1688</v>
      </c>
      <c r="O2043" t="s">
        <v>1686</v>
      </c>
      <c r="P2043">
        <v>0</v>
      </c>
      <c r="Q2043">
        <v>711750</v>
      </c>
      <c r="R2043">
        <v>0</v>
      </c>
      <c r="S2043">
        <v>0</v>
      </c>
      <c r="T2043" t="str">
        <f t="shared" si="62"/>
        <v>15552.43.4302.85.0-205128.2.3.3.08.06.</v>
      </c>
      <c r="U2043" t="e" cm="1">
        <f t="array" aca="1" ref="U2043" ca="1">+IF(COMPROMISOS_2025[[#This Row],[P]]="20","41080111",_xlfn.XLOOKUP(COMPROMISOS_2025[[#This Row],[concatenado]],PAA[[#All],[RCP-RUBRO]],PAA[[#All],[INDICADOR]],"",0))</f>
        <v>#NAME?</v>
      </c>
      <c r="V2043" s="144" t="str">
        <f t="shared" si="63"/>
        <v>85</v>
      </c>
      <c r="W2043" s="136">
        <f>+COMPROMISOS_2025[[#This Row],[valor_total]]-COMPROMISOS_2025[[#This Row],[total_cancelado]]</f>
        <v>711750</v>
      </c>
      <c r="X2043" s="136">
        <f>COMPROMISOS_2025[[#This Row],[total_ordenes]]</f>
        <v>711750</v>
      </c>
      <c r="Y2043" t="str" cm="1">
        <f t="array" aca="1" ref="Y2043" ca="1">IFERROR(_xlfn.XLOOKUP(COMPROMISOS_2025[[#This Row],[concatenado]],PAA[[#All],[RCP-RUBRO]],PAA[[#All],[Actividad3]],VLOOKUP(COMPROMISOS_2025[[#This Row],[Indicador Principal]],$AC$2:$AD$17,2,0),0),"")</f>
        <v/>
      </c>
    </row>
    <row r="2044" spans="1:25" hidden="1" x14ac:dyDescent="0.25">
      <c r="A2044">
        <v>1556</v>
      </c>
      <c r="B2044" t="s">
        <v>2491</v>
      </c>
      <c r="C2044" t="s">
        <v>1936</v>
      </c>
      <c r="D2044" t="s">
        <v>4182</v>
      </c>
      <c r="F2044">
        <v>406</v>
      </c>
      <c r="G2044">
        <v>65</v>
      </c>
      <c r="H2044" t="s">
        <v>662</v>
      </c>
      <c r="I2044" t="s">
        <v>2271</v>
      </c>
      <c r="J2044">
        <v>1067625</v>
      </c>
      <c r="K2044">
        <v>2025</v>
      </c>
      <c r="L2044">
        <v>1025769984</v>
      </c>
      <c r="M2044" t="s">
        <v>3701</v>
      </c>
      <c r="N2044" t="s">
        <v>1688</v>
      </c>
      <c r="O2044" t="s">
        <v>1686</v>
      </c>
      <c r="P2044">
        <v>0</v>
      </c>
      <c r="Q2044">
        <v>1067625</v>
      </c>
      <c r="R2044">
        <v>0</v>
      </c>
      <c r="S2044">
        <v>0</v>
      </c>
      <c r="T2044" t="str">
        <f t="shared" si="62"/>
        <v>15562.43.4302.85.0-205128.2.3.3.08.06.</v>
      </c>
      <c r="U2044" t="e" cm="1">
        <f t="array" aca="1" ref="U2044" ca="1">+IF(COMPROMISOS_2025[[#This Row],[P]]="20","41080111",_xlfn.XLOOKUP(COMPROMISOS_2025[[#This Row],[concatenado]],PAA[[#All],[RCP-RUBRO]],PAA[[#All],[INDICADOR]],"",0))</f>
        <v>#NAME?</v>
      </c>
      <c r="V2044" s="144" t="str">
        <f t="shared" si="63"/>
        <v>85</v>
      </c>
      <c r="W2044" s="136">
        <f>+COMPROMISOS_2025[[#This Row],[valor_total]]-COMPROMISOS_2025[[#This Row],[total_cancelado]]</f>
        <v>1067625</v>
      </c>
      <c r="X2044" s="136">
        <f>COMPROMISOS_2025[[#This Row],[total_ordenes]]</f>
        <v>1067625</v>
      </c>
      <c r="Y2044" t="str" cm="1">
        <f t="array" aca="1" ref="Y2044" ca="1">IFERROR(_xlfn.XLOOKUP(COMPROMISOS_2025[[#This Row],[concatenado]],PAA[[#All],[RCP-RUBRO]],PAA[[#All],[Actividad3]],VLOOKUP(COMPROMISOS_2025[[#This Row],[Indicador Principal]],$AC$2:$AD$17,2,0),0),"")</f>
        <v/>
      </c>
    </row>
    <row r="2045" spans="1:25" hidden="1" x14ac:dyDescent="0.25">
      <c r="A2045">
        <v>1557</v>
      </c>
      <c r="B2045" t="s">
        <v>2491</v>
      </c>
      <c r="C2045" t="s">
        <v>1936</v>
      </c>
      <c r="D2045" t="s">
        <v>4182</v>
      </c>
      <c r="F2045">
        <v>406</v>
      </c>
      <c r="G2045">
        <v>65</v>
      </c>
      <c r="H2045" t="s">
        <v>662</v>
      </c>
      <c r="I2045" t="s">
        <v>2271</v>
      </c>
      <c r="J2045">
        <v>1067625</v>
      </c>
      <c r="K2045">
        <v>2025</v>
      </c>
      <c r="L2045">
        <v>1025881448</v>
      </c>
      <c r="M2045" t="s">
        <v>4039</v>
      </c>
      <c r="N2045" t="s">
        <v>1688</v>
      </c>
      <c r="O2045" t="s">
        <v>1686</v>
      </c>
      <c r="P2045">
        <v>0</v>
      </c>
      <c r="Q2045">
        <v>1067625</v>
      </c>
      <c r="R2045">
        <v>0</v>
      </c>
      <c r="S2045">
        <v>0</v>
      </c>
      <c r="T2045" t="str">
        <f t="shared" si="62"/>
        <v>15572.43.4302.85.0-205128.2.3.3.08.06.</v>
      </c>
      <c r="U2045" t="e" cm="1">
        <f t="array" aca="1" ref="U2045" ca="1">+IF(COMPROMISOS_2025[[#This Row],[P]]="20","41080111",_xlfn.XLOOKUP(COMPROMISOS_2025[[#This Row],[concatenado]],PAA[[#All],[RCP-RUBRO]],PAA[[#All],[INDICADOR]],"",0))</f>
        <v>#NAME?</v>
      </c>
      <c r="V2045" s="144" t="str">
        <f t="shared" si="63"/>
        <v>85</v>
      </c>
      <c r="W2045" s="136">
        <f>+COMPROMISOS_2025[[#This Row],[valor_total]]-COMPROMISOS_2025[[#This Row],[total_cancelado]]</f>
        <v>1067625</v>
      </c>
      <c r="X2045" s="136">
        <f>COMPROMISOS_2025[[#This Row],[total_ordenes]]</f>
        <v>1067625</v>
      </c>
      <c r="Y2045" t="str" cm="1">
        <f t="array" aca="1" ref="Y2045" ca="1">IFERROR(_xlfn.XLOOKUP(COMPROMISOS_2025[[#This Row],[concatenado]],PAA[[#All],[RCP-RUBRO]],PAA[[#All],[Actividad3]],VLOOKUP(COMPROMISOS_2025[[#This Row],[Indicador Principal]],$AC$2:$AD$17,2,0),0),"")</f>
        <v/>
      </c>
    </row>
    <row r="2046" spans="1:25" hidden="1" x14ac:dyDescent="0.25">
      <c r="A2046">
        <v>1558</v>
      </c>
      <c r="B2046" t="s">
        <v>2491</v>
      </c>
      <c r="C2046" t="s">
        <v>1936</v>
      </c>
      <c r="D2046" t="s">
        <v>4182</v>
      </c>
      <c r="F2046">
        <v>406</v>
      </c>
      <c r="G2046">
        <v>65</v>
      </c>
      <c r="H2046" t="s">
        <v>662</v>
      </c>
      <c r="I2046" t="s">
        <v>2271</v>
      </c>
      <c r="J2046">
        <v>2847000</v>
      </c>
      <c r="K2046">
        <v>2025</v>
      </c>
      <c r="L2046">
        <v>1025882497</v>
      </c>
      <c r="M2046" t="s">
        <v>4040</v>
      </c>
      <c r="N2046" t="s">
        <v>1688</v>
      </c>
      <c r="O2046" t="s">
        <v>1686</v>
      </c>
      <c r="P2046">
        <v>0</v>
      </c>
      <c r="Q2046">
        <v>2847000</v>
      </c>
      <c r="R2046">
        <v>0</v>
      </c>
      <c r="S2046">
        <v>0</v>
      </c>
      <c r="T2046" t="str">
        <f t="shared" si="62"/>
        <v>15582.43.4302.85.0-205128.2.3.3.08.06.</v>
      </c>
      <c r="U2046" t="e" cm="1">
        <f t="array" aca="1" ref="U2046" ca="1">+IF(COMPROMISOS_2025[[#This Row],[P]]="20","41080111",_xlfn.XLOOKUP(COMPROMISOS_2025[[#This Row],[concatenado]],PAA[[#All],[RCP-RUBRO]],PAA[[#All],[INDICADOR]],"",0))</f>
        <v>#NAME?</v>
      </c>
      <c r="V2046" s="144" t="str">
        <f t="shared" si="63"/>
        <v>85</v>
      </c>
      <c r="W2046" s="136">
        <f>+COMPROMISOS_2025[[#This Row],[valor_total]]-COMPROMISOS_2025[[#This Row],[total_cancelado]]</f>
        <v>2847000</v>
      </c>
      <c r="X2046" s="136">
        <f>COMPROMISOS_2025[[#This Row],[total_ordenes]]</f>
        <v>2847000</v>
      </c>
      <c r="Y2046" t="str" cm="1">
        <f t="array" aca="1" ref="Y2046" ca="1">IFERROR(_xlfn.XLOOKUP(COMPROMISOS_2025[[#This Row],[concatenado]],PAA[[#All],[RCP-RUBRO]],PAA[[#All],[Actividad3]],VLOOKUP(COMPROMISOS_2025[[#This Row],[Indicador Principal]],$AC$2:$AD$17,2,0),0),"")</f>
        <v/>
      </c>
    </row>
    <row r="2047" spans="1:25" hidden="1" x14ac:dyDescent="0.25">
      <c r="A2047">
        <v>1559</v>
      </c>
      <c r="B2047" t="s">
        <v>2491</v>
      </c>
      <c r="C2047" t="s">
        <v>1936</v>
      </c>
      <c r="D2047" t="s">
        <v>4182</v>
      </c>
      <c r="F2047">
        <v>406</v>
      </c>
      <c r="G2047">
        <v>65</v>
      </c>
      <c r="H2047" t="s">
        <v>662</v>
      </c>
      <c r="I2047" t="s">
        <v>2271</v>
      </c>
      <c r="J2047">
        <v>1423500</v>
      </c>
      <c r="K2047">
        <v>2025</v>
      </c>
      <c r="L2047">
        <v>1025883399</v>
      </c>
      <c r="M2047" t="s">
        <v>4041</v>
      </c>
      <c r="N2047" t="s">
        <v>1688</v>
      </c>
      <c r="O2047" t="s">
        <v>1686</v>
      </c>
      <c r="P2047">
        <v>0</v>
      </c>
      <c r="Q2047">
        <v>1423500</v>
      </c>
      <c r="R2047">
        <v>0</v>
      </c>
      <c r="S2047">
        <v>0</v>
      </c>
      <c r="T2047" t="str">
        <f t="shared" si="62"/>
        <v>15592.43.4302.85.0-205128.2.3.3.08.06.</v>
      </c>
      <c r="U2047" t="e" cm="1">
        <f t="array" aca="1" ref="U2047" ca="1">+IF(COMPROMISOS_2025[[#This Row],[P]]="20","41080111",_xlfn.XLOOKUP(COMPROMISOS_2025[[#This Row],[concatenado]],PAA[[#All],[RCP-RUBRO]],PAA[[#All],[INDICADOR]],"",0))</f>
        <v>#NAME?</v>
      </c>
      <c r="V2047" s="144" t="str">
        <f t="shared" si="63"/>
        <v>85</v>
      </c>
      <c r="W2047" s="136">
        <f>+COMPROMISOS_2025[[#This Row],[valor_total]]-COMPROMISOS_2025[[#This Row],[total_cancelado]]</f>
        <v>1423500</v>
      </c>
      <c r="X2047" s="136">
        <f>COMPROMISOS_2025[[#This Row],[total_ordenes]]</f>
        <v>1423500</v>
      </c>
      <c r="Y2047" t="str" cm="1">
        <f t="array" aca="1" ref="Y2047" ca="1">IFERROR(_xlfn.XLOOKUP(COMPROMISOS_2025[[#This Row],[concatenado]],PAA[[#All],[RCP-RUBRO]],PAA[[#All],[Actividad3]],VLOOKUP(COMPROMISOS_2025[[#This Row],[Indicador Principal]],$AC$2:$AD$17,2,0),0),"")</f>
        <v/>
      </c>
    </row>
    <row r="2048" spans="1:25" hidden="1" x14ac:dyDescent="0.25">
      <c r="A2048">
        <v>1560</v>
      </c>
      <c r="B2048" t="s">
        <v>2491</v>
      </c>
      <c r="C2048" t="s">
        <v>1936</v>
      </c>
      <c r="D2048" t="s">
        <v>4182</v>
      </c>
      <c r="F2048">
        <v>406</v>
      </c>
      <c r="G2048">
        <v>65</v>
      </c>
      <c r="H2048" t="s">
        <v>662</v>
      </c>
      <c r="I2048" t="s">
        <v>2271</v>
      </c>
      <c r="J2048">
        <v>6405750</v>
      </c>
      <c r="K2048">
        <v>2025</v>
      </c>
      <c r="L2048">
        <v>1025885093</v>
      </c>
      <c r="M2048" t="s">
        <v>4320</v>
      </c>
      <c r="N2048" t="s">
        <v>1688</v>
      </c>
      <c r="O2048" t="s">
        <v>1686</v>
      </c>
      <c r="P2048">
        <v>0</v>
      </c>
      <c r="Q2048">
        <v>6405750</v>
      </c>
      <c r="R2048">
        <v>0</v>
      </c>
      <c r="S2048">
        <v>0</v>
      </c>
      <c r="T2048" t="str">
        <f t="shared" si="62"/>
        <v>15602.43.4302.85.0-205128.2.3.3.08.06.</v>
      </c>
      <c r="U2048" t="e" cm="1">
        <f t="array" aca="1" ref="U2048" ca="1">+IF(COMPROMISOS_2025[[#This Row],[P]]="20","41080111",_xlfn.XLOOKUP(COMPROMISOS_2025[[#This Row],[concatenado]],PAA[[#All],[RCP-RUBRO]],PAA[[#All],[INDICADOR]],"",0))</f>
        <v>#NAME?</v>
      </c>
      <c r="V2048" s="144" t="str">
        <f t="shared" si="63"/>
        <v>85</v>
      </c>
      <c r="W2048" s="136">
        <f>+COMPROMISOS_2025[[#This Row],[valor_total]]-COMPROMISOS_2025[[#This Row],[total_cancelado]]</f>
        <v>6405750</v>
      </c>
      <c r="X2048" s="136">
        <f>COMPROMISOS_2025[[#This Row],[total_ordenes]]</f>
        <v>6405750</v>
      </c>
      <c r="Y2048" t="str" cm="1">
        <f t="array" aca="1" ref="Y2048" ca="1">IFERROR(_xlfn.XLOOKUP(COMPROMISOS_2025[[#This Row],[concatenado]],PAA[[#All],[RCP-RUBRO]],PAA[[#All],[Actividad3]],VLOOKUP(COMPROMISOS_2025[[#This Row],[Indicador Principal]],$AC$2:$AD$17,2,0),0),"")</f>
        <v/>
      </c>
    </row>
    <row r="2049" spans="1:25" hidden="1" x14ac:dyDescent="0.25">
      <c r="A2049">
        <v>1561</v>
      </c>
      <c r="B2049" t="s">
        <v>2491</v>
      </c>
      <c r="C2049" t="s">
        <v>1936</v>
      </c>
      <c r="D2049" t="s">
        <v>4182</v>
      </c>
      <c r="F2049">
        <v>406</v>
      </c>
      <c r="G2049">
        <v>65</v>
      </c>
      <c r="H2049" t="s">
        <v>662</v>
      </c>
      <c r="I2049" t="s">
        <v>2271</v>
      </c>
      <c r="J2049">
        <v>1779375</v>
      </c>
      <c r="K2049">
        <v>2025</v>
      </c>
      <c r="L2049">
        <v>1025889869</v>
      </c>
      <c r="M2049" t="s">
        <v>4321</v>
      </c>
      <c r="N2049" t="s">
        <v>1688</v>
      </c>
      <c r="O2049" t="s">
        <v>1686</v>
      </c>
      <c r="P2049">
        <v>0</v>
      </c>
      <c r="Q2049">
        <v>1779375</v>
      </c>
      <c r="R2049">
        <v>0</v>
      </c>
      <c r="S2049">
        <v>0</v>
      </c>
      <c r="T2049" t="str">
        <f t="shared" si="62"/>
        <v>15612.43.4302.85.0-205128.2.3.3.08.06.</v>
      </c>
      <c r="U2049" t="e" cm="1">
        <f t="array" aca="1" ref="U2049" ca="1">+IF(COMPROMISOS_2025[[#This Row],[P]]="20","41080111",_xlfn.XLOOKUP(COMPROMISOS_2025[[#This Row],[concatenado]],PAA[[#All],[RCP-RUBRO]],PAA[[#All],[INDICADOR]],"",0))</f>
        <v>#NAME?</v>
      </c>
      <c r="V2049" s="144" t="str">
        <f t="shared" si="63"/>
        <v>85</v>
      </c>
      <c r="W2049" s="136">
        <f>+COMPROMISOS_2025[[#This Row],[valor_total]]-COMPROMISOS_2025[[#This Row],[total_cancelado]]</f>
        <v>1779375</v>
      </c>
      <c r="X2049" s="136">
        <f>COMPROMISOS_2025[[#This Row],[total_ordenes]]</f>
        <v>1779375</v>
      </c>
      <c r="Y2049" t="str" cm="1">
        <f t="array" aca="1" ref="Y2049" ca="1">IFERROR(_xlfn.XLOOKUP(COMPROMISOS_2025[[#This Row],[concatenado]],PAA[[#All],[RCP-RUBRO]],PAA[[#All],[Actividad3]],VLOOKUP(COMPROMISOS_2025[[#This Row],[Indicador Principal]],$AC$2:$AD$17,2,0),0),"")</f>
        <v/>
      </c>
    </row>
    <row r="2050" spans="1:25" hidden="1" x14ac:dyDescent="0.25">
      <c r="A2050">
        <v>1562</v>
      </c>
      <c r="B2050" t="s">
        <v>2491</v>
      </c>
      <c r="C2050" t="s">
        <v>1936</v>
      </c>
      <c r="D2050" t="s">
        <v>4182</v>
      </c>
      <c r="F2050">
        <v>406</v>
      </c>
      <c r="G2050">
        <v>65</v>
      </c>
      <c r="H2050" t="s">
        <v>662</v>
      </c>
      <c r="I2050" t="s">
        <v>2271</v>
      </c>
      <c r="J2050">
        <v>711750</v>
      </c>
      <c r="K2050">
        <v>2025</v>
      </c>
      <c r="L2050">
        <v>1025890055</v>
      </c>
      <c r="M2050" t="s">
        <v>3702</v>
      </c>
      <c r="N2050" t="s">
        <v>1688</v>
      </c>
      <c r="O2050" t="s">
        <v>1686</v>
      </c>
      <c r="P2050">
        <v>0</v>
      </c>
      <c r="Q2050">
        <v>711750</v>
      </c>
      <c r="R2050">
        <v>0</v>
      </c>
      <c r="S2050">
        <v>0</v>
      </c>
      <c r="T2050" t="str">
        <f t="shared" ref="T2050:T2113" si="64">IF(A2050&gt;=0,CONCATENATE(A2050,H2050),"")</f>
        <v>15622.43.4302.85.0-205128.2.3.3.08.06.</v>
      </c>
      <c r="U2050" t="e" cm="1">
        <f t="array" aca="1" ref="U2050" ca="1">+IF(COMPROMISOS_2025[[#This Row],[P]]="20","41080111",_xlfn.XLOOKUP(COMPROMISOS_2025[[#This Row],[concatenado]],PAA[[#All],[RCP-RUBRO]],PAA[[#All],[INDICADOR]],"",0))</f>
        <v>#NAME?</v>
      </c>
      <c r="V2050" s="144" t="str">
        <f t="shared" ref="V2050:V2113" si="65">+MID(H2050,11,2)</f>
        <v>85</v>
      </c>
      <c r="W2050" s="136">
        <f>+COMPROMISOS_2025[[#This Row],[valor_total]]-COMPROMISOS_2025[[#This Row],[total_cancelado]]</f>
        <v>711750</v>
      </c>
      <c r="X2050" s="136">
        <f>COMPROMISOS_2025[[#This Row],[total_ordenes]]</f>
        <v>711750</v>
      </c>
      <c r="Y2050" t="str" cm="1">
        <f t="array" aca="1" ref="Y2050" ca="1">IFERROR(_xlfn.XLOOKUP(COMPROMISOS_2025[[#This Row],[concatenado]],PAA[[#All],[RCP-RUBRO]],PAA[[#All],[Actividad3]],VLOOKUP(COMPROMISOS_2025[[#This Row],[Indicador Principal]],$AC$2:$AD$17,2,0),0),"")</f>
        <v/>
      </c>
    </row>
    <row r="2051" spans="1:25" hidden="1" x14ac:dyDescent="0.25">
      <c r="A2051">
        <v>1563</v>
      </c>
      <c r="B2051" t="s">
        <v>2491</v>
      </c>
      <c r="C2051" t="s">
        <v>1936</v>
      </c>
      <c r="D2051" t="s">
        <v>4182</v>
      </c>
      <c r="F2051">
        <v>406</v>
      </c>
      <c r="G2051">
        <v>65</v>
      </c>
      <c r="H2051" t="s">
        <v>662</v>
      </c>
      <c r="I2051" t="s">
        <v>2271</v>
      </c>
      <c r="J2051">
        <v>711750</v>
      </c>
      <c r="K2051">
        <v>2025</v>
      </c>
      <c r="L2051">
        <v>1025892033</v>
      </c>
      <c r="M2051" t="s">
        <v>3703</v>
      </c>
      <c r="N2051" t="s">
        <v>1688</v>
      </c>
      <c r="O2051" t="s">
        <v>1686</v>
      </c>
      <c r="P2051">
        <v>0</v>
      </c>
      <c r="Q2051">
        <v>711750</v>
      </c>
      <c r="R2051">
        <v>0</v>
      </c>
      <c r="S2051">
        <v>0</v>
      </c>
      <c r="T2051" t="str">
        <f t="shared" si="64"/>
        <v>15632.43.4302.85.0-205128.2.3.3.08.06.</v>
      </c>
      <c r="U2051" t="e" cm="1">
        <f t="array" aca="1" ref="U2051" ca="1">+IF(COMPROMISOS_2025[[#This Row],[P]]="20","41080111",_xlfn.XLOOKUP(COMPROMISOS_2025[[#This Row],[concatenado]],PAA[[#All],[RCP-RUBRO]],PAA[[#All],[INDICADOR]],"",0))</f>
        <v>#NAME?</v>
      </c>
      <c r="V2051" s="144" t="str">
        <f t="shared" si="65"/>
        <v>85</v>
      </c>
      <c r="W2051" s="136">
        <f>+COMPROMISOS_2025[[#This Row],[valor_total]]-COMPROMISOS_2025[[#This Row],[total_cancelado]]</f>
        <v>711750</v>
      </c>
      <c r="X2051" s="136">
        <f>COMPROMISOS_2025[[#This Row],[total_ordenes]]</f>
        <v>711750</v>
      </c>
      <c r="Y2051" t="str" cm="1">
        <f t="array" aca="1" ref="Y2051" ca="1">IFERROR(_xlfn.XLOOKUP(COMPROMISOS_2025[[#This Row],[concatenado]],PAA[[#All],[RCP-RUBRO]],PAA[[#All],[Actividad3]],VLOOKUP(COMPROMISOS_2025[[#This Row],[Indicador Principal]],$AC$2:$AD$17,2,0),0),"")</f>
        <v/>
      </c>
    </row>
    <row r="2052" spans="1:25" hidden="1" x14ac:dyDescent="0.25">
      <c r="A2052">
        <v>1564</v>
      </c>
      <c r="B2052" t="s">
        <v>2491</v>
      </c>
      <c r="C2052" t="s">
        <v>1936</v>
      </c>
      <c r="D2052" t="s">
        <v>4182</v>
      </c>
      <c r="F2052">
        <v>406</v>
      </c>
      <c r="G2052">
        <v>65</v>
      </c>
      <c r="H2052" t="s">
        <v>662</v>
      </c>
      <c r="I2052" t="s">
        <v>2271</v>
      </c>
      <c r="J2052">
        <v>711750</v>
      </c>
      <c r="K2052">
        <v>2025</v>
      </c>
      <c r="L2052">
        <v>1025893313</v>
      </c>
      <c r="M2052" t="s">
        <v>3704</v>
      </c>
      <c r="N2052" t="s">
        <v>1688</v>
      </c>
      <c r="O2052" t="s">
        <v>1686</v>
      </c>
      <c r="P2052">
        <v>0</v>
      </c>
      <c r="Q2052">
        <v>711750</v>
      </c>
      <c r="R2052">
        <v>0</v>
      </c>
      <c r="S2052">
        <v>0</v>
      </c>
      <c r="T2052" t="str">
        <f t="shared" si="64"/>
        <v>15642.43.4302.85.0-205128.2.3.3.08.06.</v>
      </c>
      <c r="U2052" t="e" cm="1">
        <f t="array" aca="1" ref="U2052" ca="1">+IF(COMPROMISOS_2025[[#This Row],[P]]="20","41080111",_xlfn.XLOOKUP(COMPROMISOS_2025[[#This Row],[concatenado]],PAA[[#All],[RCP-RUBRO]],PAA[[#All],[INDICADOR]],"",0))</f>
        <v>#NAME?</v>
      </c>
      <c r="V2052" s="144" t="str">
        <f t="shared" si="65"/>
        <v>85</v>
      </c>
      <c r="W2052" s="136">
        <f>+COMPROMISOS_2025[[#This Row],[valor_total]]-COMPROMISOS_2025[[#This Row],[total_cancelado]]</f>
        <v>711750</v>
      </c>
      <c r="X2052" s="136">
        <f>COMPROMISOS_2025[[#This Row],[total_ordenes]]</f>
        <v>711750</v>
      </c>
      <c r="Y2052" t="str" cm="1">
        <f t="array" aca="1" ref="Y2052" ca="1">IFERROR(_xlfn.XLOOKUP(COMPROMISOS_2025[[#This Row],[concatenado]],PAA[[#All],[RCP-RUBRO]],PAA[[#All],[Actividad3]],VLOOKUP(COMPROMISOS_2025[[#This Row],[Indicador Principal]],$AC$2:$AD$17,2,0),0),"")</f>
        <v/>
      </c>
    </row>
    <row r="2053" spans="1:25" hidden="1" x14ac:dyDescent="0.25">
      <c r="A2053">
        <v>1565</v>
      </c>
      <c r="B2053" t="s">
        <v>2491</v>
      </c>
      <c r="C2053" t="s">
        <v>1936</v>
      </c>
      <c r="D2053" t="s">
        <v>4182</v>
      </c>
      <c r="F2053">
        <v>406</v>
      </c>
      <c r="G2053">
        <v>65</v>
      </c>
      <c r="H2053" t="s">
        <v>662</v>
      </c>
      <c r="I2053" t="s">
        <v>2271</v>
      </c>
      <c r="J2053">
        <v>711750</v>
      </c>
      <c r="K2053">
        <v>2025</v>
      </c>
      <c r="L2053">
        <v>1025897941</v>
      </c>
      <c r="M2053" t="s">
        <v>3705</v>
      </c>
      <c r="N2053" t="s">
        <v>1688</v>
      </c>
      <c r="O2053" t="s">
        <v>1686</v>
      </c>
      <c r="P2053">
        <v>0</v>
      </c>
      <c r="Q2053">
        <v>711750</v>
      </c>
      <c r="R2053">
        <v>0</v>
      </c>
      <c r="S2053">
        <v>0</v>
      </c>
      <c r="T2053" t="str">
        <f t="shared" si="64"/>
        <v>15652.43.4302.85.0-205128.2.3.3.08.06.</v>
      </c>
      <c r="U2053" t="e" cm="1">
        <f t="array" aca="1" ref="U2053" ca="1">+IF(COMPROMISOS_2025[[#This Row],[P]]="20","41080111",_xlfn.XLOOKUP(COMPROMISOS_2025[[#This Row],[concatenado]],PAA[[#All],[RCP-RUBRO]],PAA[[#All],[INDICADOR]],"",0))</f>
        <v>#NAME?</v>
      </c>
      <c r="V2053" s="144" t="str">
        <f t="shared" si="65"/>
        <v>85</v>
      </c>
      <c r="W2053" s="136">
        <f>+COMPROMISOS_2025[[#This Row],[valor_total]]-COMPROMISOS_2025[[#This Row],[total_cancelado]]</f>
        <v>711750</v>
      </c>
      <c r="X2053" s="136">
        <f>COMPROMISOS_2025[[#This Row],[total_ordenes]]</f>
        <v>711750</v>
      </c>
      <c r="Y2053" t="str" cm="1">
        <f t="array" aca="1" ref="Y2053" ca="1">IFERROR(_xlfn.XLOOKUP(COMPROMISOS_2025[[#This Row],[concatenado]],PAA[[#All],[RCP-RUBRO]],PAA[[#All],[Actividad3]],VLOOKUP(COMPROMISOS_2025[[#This Row],[Indicador Principal]],$AC$2:$AD$17,2,0),0),"")</f>
        <v/>
      </c>
    </row>
    <row r="2054" spans="1:25" hidden="1" x14ac:dyDescent="0.25">
      <c r="A2054">
        <v>1566</v>
      </c>
      <c r="B2054" t="s">
        <v>2491</v>
      </c>
      <c r="C2054" t="s">
        <v>1936</v>
      </c>
      <c r="D2054" t="s">
        <v>4182</v>
      </c>
      <c r="F2054">
        <v>406</v>
      </c>
      <c r="G2054">
        <v>65</v>
      </c>
      <c r="H2054" t="s">
        <v>662</v>
      </c>
      <c r="I2054" t="s">
        <v>2271</v>
      </c>
      <c r="J2054">
        <v>1067625</v>
      </c>
      <c r="K2054">
        <v>2025</v>
      </c>
      <c r="L2054">
        <v>1026143753</v>
      </c>
      <c r="M2054" t="s">
        <v>3706</v>
      </c>
      <c r="N2054" t="s">
        <v>1688</v>
      </c>
      <c r="O2054" t="s">
        <v>1686</v>
      </c>
      <c r="P2054">
        <v>0</v>
      </c>
      <c r="Q2054">
        <v>1067625</v>
      </c>
      <c r="R2054">
        <v>0</v>
      </c>
      <c r="S2054">
        <v>0</v>
      </c>
      <c r="T2054" t="str">
        <f t="shared" si="64"/>
        <v>15662.43.4302.85.0-205128.2.3.3.08.06.</v>
      </c>
      <c r="U2054" t="e" cm="1">
        <f t="array" aca="1" ref="U2054" ca="1">+IF(COMPROMISOS_2025[[#This Row],[P]]="20","41080111",_xlfn.XLOOKUP(COMPROMISOS_2025[[#This Row],[concatenado]],PAA[[#All],[RCP-RUBRO]],PAA[[#All],[INDICADOR]],"",0))</f>
        <v>#NAME?</v>
      </c>
      <c r="V2054" s="144" t="str">
        <f t="shared" si="65"/>
        <v>85</v>
      </c>
      <c r="W2054" s="136">
        <f>+COMPROMISOS_2025[[#This Row],[valor_total]]-COMPROMISOS_2025[[#This Row],[total_cancelado]]</f>
        <v>1067625</v>
      </c>
      <c r="X2054" s="136">
        <f>COMPROMISOS_2025[[#This Row],[total_ordenes]]</f>
        <v>1067625</v>
      </c>
      <c r="Y2054" t="str" cm="1">
        <f t="array" aca="1" ref="Y2054" ca="1">IFERROR(_xlfn.XLOOKUP(COMPROMISOS_2025[[#This Row],[concatenado]],PAA[[#All],[RCP-RUBRO]],PAA[[#All],[Actividad3]],VLOOKUP(COMPROMISOS_2025[[#This Row],[Indicador Principal]],$AC$2:$AD$17,2,0),0),"")</f>
        <v/>
      </c>
    </row>
    <row r="2055" spans="1:25" hidden="1" x14ac:dyDescent="0.25">
      <c r="A2055">
        <v>1567</v>
      </c>
      <c r="B2055" t="s">
        <v>2491</v>
      </c>
      <c r="C2055" t="s">
        <v>1936</v>
      </c>
      <c r="D2055" t="s">
        <v>4182</v>
      </c>
      <c r="F2055">
        <v>406</v>
      </c>
      <c r="G2055">
        <v>65</v>
      </c>
      <c r="H2055" t="s">
        <v>662</v>
      </c>
      <c r="I2055" t="s">
        <v>2271</v>
      </c>
      <c r="J2055">
        <v>711750</v>
      </c>
      <c r="K2055">
        <v>2025</v>
      </c>
      <c r="L2055">
        <v>1026145133</v>
      </c>
      <c r="M2055" t="s">
        <v>4322</v>
      </c>
      <c r="N2055" t="s">
        <v>1688</v>
      </c>
      <c r="O2055" t="s">
        <v>1686</v>
      </c>
      <c r="P2055">
        <v>0</v>
      </c>
      <c r="Q2055">
        <v>711750</v>
      </c>
      <c r="R2055">
        <v>0</v>
      </c>
      <c r="S2055">
        <v>0</v>
      </c>
      <c r="T2055" t="str">
        <f t="shared" si="64"/>
        <v>15672.43.4302.85.0-205128.2.3.3.08.06.</v>
      </c>
      <c r="U2055" t="e" cm="1">
        <f t="array" aca="1" ref="U2055" ca="1">+IF(COMPROMISOS_2025[[#This Row],[P]]="20","41080111",_xlfn.XLOOKUP(COMPROMISOS_2025[[#This Row],[concatenado]],PAA[[#All],[RCP-RUBRO]],PAA[[#All],[INDICADOR]],"",0))</f>
        <v>#NAME?</v>
      </c>
      <c r="V2055" s="144" t="str">
        <f t="shared" si="65"/>
        <v>85</v>
      </c>
      <c r="W2055" s="136">
        <f>+COMPROMISOS_2025[[#This Row],[valor_total]]-COMPROMISOS_2025[[#This Row],[total_cancelado]]</f>
        <v>711750</v>
      </c>
      <c r="X2055" s="136">
        <f>COMPROMISOS_2025[[#This Row],[total_ordenes]]</f>
        <v>711750</v>
      </c>
      <c r="Y2055" t="str" cm="1">
        <f t="array" aca="1" ref="Y2055" ca="1">IFERROR(_xlfn.XLOOKUP(COMPROMISOS_2025[[#This Row],[concatenado]],PAA[[#All],[RCP-RUBRO]],PAA[[#All],[Actividad3]],VLOOKUP(COMPROMISOS_2025[[#This Row],[Indicador Principal]],$AC$2:$AD$17,2,0),0),"")</f>
        <v/>
      </c>
    </row>
    <row r="2056" spans="1:25" hidden="1" x14ac:dyDescent="0.25">
      <c r="A2056">
        <v>1568</v>
      </c>
      <c r="B2056" t="s">
        <v>2491</v>
      </c>
      <c r="C2056" t="s">
        <v>1936</v>
      </c>
      <c r="D2056" t="s">
        <v>4182</v>
      </c>
      <c r="F2056">
        <v>406</v>
      </c>
      <c r="G2056">
        <v>65</v>
      </c>
      <c r="H2056" t="s">
        <v>662</v>
      </c>
      <c r="I2056" t="s">
        <v>2271</v>
      </c>
      <c r="J2056">
        <v>1067625</v>
      </c>
      <c r="K2056">
        <v>2025</v>
      </c>
      <c r="L2056">
        <v>1026158293</v>
      </c>
      <c r="M2056" t="s">
        <v>4323</v>
      </c>
      <c r="N2056" t="s">
        <v>1688</v>
      </c>
      <c r="O2056" t="s">
        <v>1686</v>
      </c>
      <c r="P2056">
        <v>0</v>
      </c>
      <c r="Q2056">
        <v>1067625</v>
      </c>
      <c r="R2056">
        <v>0</v>
      </c>
      <c r="S2056">
        <v>0</v>
      </c>
      <c r="T2056" t="str">
        <f t="shared" si="64"/>
        <v>15682.43.4302.85.0-205128.2.3.3.08.06.</v>
      </c>
      <c r="U2056" t="e" cm="1">
        <f t="array" aca="1" ref="U2056" ca="1">+IF(COMPROMISOS_2025[[#This Row],[P]]="20","41080111",_xlfn.XLOOKUP(COMPROMISOS_2025[[#This Row],[concatenado]],PAA[[#All],[RCP-RUBRO]],PAA[[#All],[INDICADOR]],"",0))</f>
        <v>#NAME?</v>
      </c>
      <c r="V2056" s="144" t="str">
        <f t="shared" si="65"/>
        <v>85</v>
      </c>
      <c r="W2056" s="136">
        <f>+COMPROMISOS_2025[[#This Row],[valor_total]]-COMPROMISOS_2025[[#This Row],[total_cancelado]]</f>
        <v>1067625</v>
      </c>
      <c r="X2056" s="136">
        <f>COMPROMISOS_2025[[#This Row],[total_ordenes]]</f>
        <v>1067625</v>
      </c>
      <c r="Y2056" t="str" cm="1">
        <f t="array" aca="1" ref="Y2056" ca="1">IFERROR(_xlfn.XLOOKUP(COMPROMISOS_2025[[#This Row],[concatenado]],PAA[[#All],[RCP-RUBRO]],PAA[[#All],[Actividad3]],VLOOKUP(COMPROMISOS_2025[[#This Row],[Indicador Principal]],$AC$2:$AD$17,2,0),0),"")</f>
        <v/>
      </c>
    </row>
    <row r="2057" spans="1:25" hidden="1" x14ac:dyDescent="0.25">
      <c r="A2057">
        <v>1569</v>
      </c>
      <c r="B2057" t="s">
        <v>2491</v>
      </c>
      <c r="C2057" t="s">
        <v>1936</v>
      </c>
      <c r="D2057" t="s">
        <v>4182</v>
      </c>
      <c r="F2057">
        <v>406</v>
      </c>
      <c r="G2057">
        <v>65</v>
      </c>
      <c r="H2057" t="s">
        <v>662</v>
      </c>
      <c r="I2057" t="s">
        <v>2271</v>
      </c>
      <c r="J2057">
        <v>1423500</v>
      </c>
      <c r="K2057">
        <v>2025</v>
      </c>
      <c r="L2057">
        <v>1027660812</v>
      </c>
      <c r="M2057" t="s">
        <v>3707</v>
      </c>
      <c r="N2057" t="s">
        <v>1688</v>
      </c>
      <c r="O2057" t="s">
        <v>1686</v>
      </c>
      <c r="P2057">
        <v>0</v>
      </c>
      <c r="Q2057">
        <v>1423500</v>
      </c>
      <c r="R2057">
        <v>0</v>
      </c>
      <c r="S2057">
        <v>0</v>
      </c>
      <c r="T2057" t="str">
        <f t="shared" si="64"/>
        <v>15692.43.4302.85.0-205128.2.3.3.08.06.</v>
      </c>
      <c r="U2057" t="e" cm="1">
        <f t="array" aca="1" ref="U2057" ca="1">+IF(COMPROMISOS_2025[[#This Row],[P]]="20","41080111",_xlfn.XLOOKUP(COMPROMISOS_2025[[#This Row],[concatenado]],PAA[[#All],[RCP-RUBRO]],PAA[[#All],[INDICADOR]],"",0))</f>
        <v>#NAME?</v>
      </c>
      <c r="V2057" s="144" t="str">
        <f t="shared" si="65"/>
        <v>85</v>
      </c>
      <c r="W2057" s="136">
        <f>+COMPROMISOS_2025[[#This Row],[valor_total]]-COMPROMISOS_2025[[#This Row],[total_cancelado]]</f>
        <v>1423500</v>
      </c>
      <c r="X2057" s="136">
        <f>COMPROMISOS_2025[[#This Row],[total_ordenes]]</f>
        <v>1423500</v>
      </c>
      <c r="Y2057" t="str" cm="1">
        <f t="array" aca="1" ref="Y2057" ca="1">IFERROR(_xlfn.XLOOKUP(COMPROMISOS_2025[[#This Row],[concatenado]],PAA[[#All],[RCP-RUBRO]],PAA[[#All],[Actividad3]],VLOOKUP(COMPROMISOS_2025[[#This Row],[Indicador Principal]],$AC$2:$AD$17,2,0),0),"")</f>
        <v/>
      </c>
    </row>
    <row r="2058" spans="1:25" hidden="1" x14ac:dyDescent="0.25">
      <c r="A2058">
        <v>1570</v>
      </c>
      <c r="B2058" t="s">
        <v>2491</v>
      </c>
      <c r="C2058" t="s">
        <v>1936</v>
      </c>
      <c r="D2058" t="s">
        <v>4182</v>
      </c>
      <c r="F2058">
        <v>406</v>
      </c>
      <c r="G2058">
        <v>65</v>
      </c>
      <c r="H2058" t="s">
        <v>662</v>
      </c>
      <c r="I2058" t="s">
        <v>2271</v>
      </c>
      <c r="J2058">
        <v>1067625</v>
      </c>
      <c r="K2058">
        <v>2025</v>
      </c>
      <c r="L2058">
        <v>1027661588</v>
      </c>
      <c r="M2058" t="s">
        <v>3708</v>
      </c>
      <c r="N2058" t="s">
        <v>1688</v>
      </c>
      <c r="O2058" t="s">
        <v>1686</v>
      </c>
      <c r="P2058">
        <v>0</v>
      </c>
      <c r="Q2058">
        <v>1067625</v>
      </c>
      <c r="R2058">
        <v>0</v>
      </c>
      <c r="S2058">
        <v>0</v>
      </c>
      <c r="T2058" t="str">
        <f t="shared" si="64"/>
        <v>15702.43.4302.85.0-205128.2.3.3.08.06.</v>
      </c>
      <c r="U2058" t="e" cm="1">
        <f t="array" aca="1" ref="U2058" ca="1">+IF(COMPROMISOS_2025[[#This Row],[P]]="20","41080111",_xlfn.XLOOKUP(COMPROMISOS_2025[[#This Row],[concatenado]],PAA[[#All],[RCP-RUBRO]],PAA[[#All],[INDICADOR]],"",0))</f>
        <v>#NAME?</v>
      </c>
      <c r="V2058" s="144" t="str">
        <f t="shared" si="65"/>
        <v>85</v>
      </c>
      <c r="W2058" s="136">
        <f>+COMPROMISOS_2025[[#This Row],[valor_total]]-COMPROMISOS_2025[[#This Row],[total_cancelado]]</f>
        <v>1067625</v>
      </c>
      <c r="X2058" s="136">
        <f>COMPROMISOS_2025[[#This Row],[total_ordenes]]</f>
        <v>1067625</v>
      </c>
      <c r="Y2058" t="str" cm="1">
        <f t="array" aca="1" ref="Y2058" ca="1">IFERROR(_xlfn.XLOOKUP(COMPROMISOS_2025[[#This Row],[concatenado]],PAA[[#All],[RCP-RUBRO]],PAA[[#All],[Actividad3]],VLOOKUP(COMPROMISOS_2025[[#This Row],[Indicador Principal]],$AC$2:$AD$17,2,0),0),"")</f>
        <v/>
      </c>
    </row>
    <row r="2059" spans="1:25" hidden="1" x14ac:dyDescent="0.25">
      <c r="A2059">
        <v>1571</v>
      </c>
      <c r="B2059" t="s">
        <v>2491</v>
      </c>
      <c r="C2059" t="s">
        <v>1936</v>
      </c>
      <c r="D2059" t="s">
        <v>4182</v>
      </c>
      <c r="F2059">
        <v>406</v>
      </c>
      <c r="G2059">
        <v>65</v>
      </c>
      <c r="H2059" t="s">
        <v>662</v>
      </c>
      <c r="I2059" t="s">
        <v>2271</v>
      </c>
      <c r="J2059">
        <v>711750</v>
      </c>
      <c r="K2059">
        <v>2025</v>
      </c>
      <c r="L2059">
        <v>1027661719</v>
      </c>
      <c r="M2059" t="s">
        <v>3709</v>
      </c>
      <c r="N2059" t="s">
        <v>1688</v>
      </c>
      <c r="O2059" t="s">
        <v>1686</v>
      </c>
      <c r="P2059">
        <v>0</v>
      </c>
      <c r="Q2059">
        <v>711750</v>
      </c>
      <c r="R2059">
        <v>0</v>
      </c>
      <c r="S2059">
        <v>0</v>
      </c>
      <c r="T2059" t="str">
        <f t="shared" si="64"/>
        <v>15712.43.4302.85.0-205128.2.3.3.08.06.</v>
      </c>
      <c r="U2059" t="e" cm="1">
        <f t="array" aca="1" ref="U2059" ca="1">+IF(COMPROMISOS_2025[[#This Row],[P]]="20","41080111",_xlfn.XLOOKUP(COMPROMISOS_2025[[#This Row],[concatenado]],PAA[[#All],[RCP-RUBRO]],PAA[[#All],[INDICADOR]],"",0))</f>
        <v>#NAME?</v>
      </c>
      <c r="V2059" s="144" t="str">
        <f t="shared" si="65"/>
        <v>85</v>
      </c>
      <c r="W2059" s="136">
        <f>+COMPROMISOS_2025[[#This Row],[valor_total]]-COMPROMISOS_2025[[#This Row],[total_cancelado]]</f>
        <v>711750</v>
      </c>
      <c r="X2059" s="136">
        <f>COMPROMISOS_2025[[#This Row],[total_ordenes]]</f>
        <v>711750</v>
      </c>
      <c r="Y2059" t="str" cm="1">
        <f t="array" aca="1" ref="Y2059" ca="1">IFERROR(_xlfn.XLOOKUP(COMPROMISOS_2025[[#This Row],[concatenado]],PAA[[#All],[RCP-RUBRO]],PAA[[#All],[Actividad3]],VLOOKUP(COMPROMISOS_2025[[#This Row],[Indicador Principal]],$AC$2:$AD$17,2,0),0),"")</f>
        <v/>
      </c>
    </row>
    <row r="2060" spans="1:25" hidden="1" x14ac:dyDescent="0.25">
      <c r="A2060">
        <v>1572</v>
      </c>
      <c r="B2060" t="s">
        <v>2491</v>
      </c>
      <c r="C2060" t="s">
        <v>1936</v>
      </c>
      <c r="D2060" t="s">
        <v>4182</v>
      </c>
      <c r="F2060">
        <v>406</v>
      </c>
      <c r="G2060">
        <v>65</v>
      </c>
      <c r="H2060" t="s">
        <v>662</v>
      </c>
      <c r="I2060" t="s">
        <v>2271</v>
      </c>
      <c r="J2060">
        <v>1423500</v>
      </c>
      <c r="K2060">
        <v>2025</v>
      </c>
      <c r="L2060">
        <v>1027662395</v>
      </c>
      <c r="M2060" t="s">
        <v>3710</v>
      </c>
      <c r="N2060" t="s">
        <v>1688</v>
      </c>
      <c r="O2060" t="s">
        <v>1686</v>
      </c>
      <c r="P2060">
        <v>0</v>
      </c>
      <c r="Q2060">
        <v>1423500</v>
      </c>
      <c r="R2060">
        <v>0</v>
      </c>
      <c r="S2060">
        <v>0</v>
      </c>
      <c r="T2060" t="str">
        <f t="shared" si="64"/>
        <v>15722.43.4302.85.0-205128.2.3.3.08.06.</v>
      </c>
      <c r="U2060" t="e" cm="1">
        <f t="array" aca="1" ref="U2060" ca="1">+IF(COMPROMISOS_2025[[#This Row],[P]]="20","41080111",_xlfn.XLOOKUP(COMPROMISOS_2025[[#This Row],[concatenado]],PAA[[#All],[RCP-RUBRO]],PAA[[#All],[INDICADOR]],"",0))</f>
        <v>#NAME?</v>
      </c>
      <c r="V2060" s="144" t="str">
        <f t="shared" si="65"/>
        <v>85</v>
      </c>
      <c r="W2060" s="136">
        <f>+COMPROMISOS_2025[[#This Row],[valor_total]]-COMPROMISOS_2025[[#This Row],[total_cancelado]]</f>
        <v>1423500</v>
      </c>
      <c r="X2060" s="136">
        <f>COMPROMISOS_2025[[#This Row],[total_ordenes]]</f>
        <v>1423500</v>
      </c>
      <c r="Y2060" t="str" cm="1">
        <f t="array" aca="1" ref="Y2060" ca="1">IFERROR(_xlfn.XLOOKUP(COMPROMISOS_2025[[#This Row],[concatenado]],PAA[[#All],[RCP-RUBRO]],PAA[[#All],[Actividad3]],VLOOKUP(COMPROMISOS_2025[[#This Row],[Indicador Principal]],$AC$2:$AD$17,2,0),0),"")</f>
        <v/>
      </c>
    </row>
    <row r="2061" spans="1:25" hidden="1" x14ac:dyDescent="0.25">
      <c r="A2061">
        <v>1573</v>
      </c>
      <c r="B2061" t="s">
        <v>2491</v>
      </c>
      <c r="C2061" t="s">
        <v>1936</v>
      </c>
      <c r="D2061" t="s">
        <v>4182</v>
      </c>
      <c r="F2061">
        <v>406</v>
      </c>
      <c r="G2061">
        <v>65</v>
      </c>
      <c r="H2061" t="s">
        <v>662</v>
      </c>
      <c r="I2061" t="s">
        <v>2271</v>
      </c>
      <c r="J2061">
        <v>2847000</v>
      </c>
      <c r="K2061">
        <v>2025</v>
      </c>
      <c r="L2061">
        <v>1027740617</v>
      </c>
      <c r="M2061" t="s">
        <v>4324</v>
      </c>
      <c r="N2061" t="s">
        <v>1688</v>
      </c>
      <c r="O2061" t="s">
        <v>1686</v>
      </c>
      <c r="P2061">
        <v>0</v>
      </c>
      <c r="Q2061">
        <v>2847000</v>
      </c>
      <c r="R2061">
        <v>0</v>
      </c>
      <c r="S2061">
        <v>0</v>
      </c>
      <c r="T2061" t="str">
        <f t="shared" si="64"/>
        <v>15732.43.4302.85.0-205128.2.3.3.08.06.</v>
      </c>
      <c r="U2061" t="e" cm="1">
        <f t="array" aca="1" ref="U2061" ca="1">+IF(COMPROMISOS_2025[[#This Row],[P]]="20","41080111",_xlfn.XLOOKUP(COMPROMISOS_2025[[#This Row],[concatenado]],PAA[[#All],[RCP-RUBRO]],PAA[[#All],[INDICADOR]],"",0))</f>
        <v>#NAME?</v>
      </c>
      <c r="V2061" s="144" t="str">
        <f t="shared" si="65"/>
        <v>85</v>
      </c>
      <c r="W2061" s="136">
        <f>+COMPROMISOS_2025[[#This Row],[valor_total]]-COMPROMISOS_2025[[#This Row],[total_cancelado]]</f>
        <v>2847000</v>
      </c>
      <c r="X2061" s="136">
        <f>COMPROMISOS_2025[[#This Row],[total_ordenes]]</f>
        <v>2847000</v>
      </c>
      <c r="Y2061" t="str" cm="1">
        <f t="array" aca="1" ref="Y2061" ca="1">IFERROR(_xlfn.XLOOKUP(COMPROMISOS_2025[[#This Row],[concatenado]],PAA[[#All],[RCP-RUBRO]],PAA[[#All],[Actividad3]],VLOOKUP(COMPROMISOS_2025[[#This Row],[Indicador Principal]],$AC$2:$AD$17,2,0),0),"")</f>
        <v/>
      </c>
    </row>
    <row r="2062" spans="1:25" hidden="1" x14ac:dyDescent="0.25">
      <c r="A2062">
        <v>1574</v>
      </c>
      <c r="B2062" t="s">
        <v>2491</v>
      </c>
      <c r="C2062" t="s">
        <v>1936</v>
      </c>
      <c r="D2062" t="s">
        <v>4182</v>
      </c>
      <c r="F2062">
        <v>406</v>
      </c>
      <c r="G2062">
        <v>65</v>
      </c>
      <c r="H2062" t="s">
        <v>662</v>
      </c>
      <c r="I2062" t="s">
        <v>2271</v>
      </c>
      <c r="J2062">
        <v>2491125</v>
      </c>
      <c r="K2062">
        <v>2025</v>
      </c>
      <c r="L2062">
        <v>1027802140</v>
      </c>
      <c r="M2062" t="s">
        <v>4325</v>
      </c>
      <c r="N2062" t="s">
        <v>1688</v>
      </c>
      <c r="O2062" t="s">
        <v>1686</v>
      </c>
      <c r="P2062">
        <v>0</v>
      </c>
      <c r="Q2062">
        <v>2491125</v>
      </c>
      <c r="R2062">
        <v>0</v>
      </c>
      <c r="S2062">
        <v>0</v>
      </c>
      <c r="T2062" t="str">
        <f t="shared" si="64"/>
        <v>15742.43.4302.85.0-205128.2.3.3.08.06.</v>
      </c>
      <c r="U2062" t="e" cm="1">
        <f t="array" aca="1" ref="U2062" ca="1">+IF(COMPROMISOS_2025[[#This Row],[P]]="20","41080111",_xlfn.XLOOKUP(COMPROMISOS_2025[[#This Row],[concatenado]],PAA[[#All],[RCP-RUBRO]],PAA[[#All],[INDICADOR]],"",0))</f>
        <v>#NAME?</v>
      </c>
      <c r="V2062" s="144" t="str">
        <f t="shared" si="65"/>
        <v>85</v>
      </c>
      <c r="W2062" s="136">
        <f>+COMPROMISOS_2025[[#This Row],[valor_total]]-COMPROMISOS_2025[[#This Row],[total_cancelado]]</f>
        <v>2491125</v>
      </c>
      <c r="X2062" s="136">
        <f>COMPROMISOS_2025[[#This Row],[total_ordenes]]</f>
        <v>2491125</v>
      </c>
      <c r="Y2062" t="str" cm="1">
        <f t="array" aca="1" ref="Y2062" ca="1">IFERROR(_xlfn.XLOOKUP(COMPROMISOS_2025[[#This Row],[concatenado]],PAA[[#All],[RCP-RUBRO]],PAA[[#All],[Actividad3]],VLOOKUP(COMPROMISOS_2025[[#This Row],[Indicador Principal]],$AC$2:$AD$17,2,0),0),"")</f>
        <v/>
      </c>
    </row>
    <row r="2063" spans="1:25" hidden="1" x14ac:dyDescent="0.25">
      <c r="A2063">
        <v>1575</v>
      </c>
      <c r="B2063" t="s">
        <v>2491</v>
      </c>
      <c r="C2063" t="s">
        <v>1936</v>
      </c>
      <c r="D2063" t="s">
        <v>4182</v>
      </c>
      <c r="F2063">
        <v>406</v>
      </c>
      <c r="G2063">
        <v>65</v>
      </c>
      <c r="H2063" t="s">
        <v>662</v>
      </c>
      <c r="I2063" t="s">
        <v>2271</v>
      </c>
      <c r="J2063">
        <v>711750</v>
      </c>
      <c r="K2063">
        <v>2025</v>
      </c>
      <c r="L2063">
        <v>1027803523</v>
      </c>
      <c r="M2063" t="s">
        <v>3711</v>
      </c>
      <c r="N2063" t="s">
        <v>1688</v>
      </c>
      <c r="O2063" t="s">
        <v>1686</v>
      </c>
      <c r="P2063">
        <v>0</v>
      </c>
      <c r="Q2063">
        <v>711750</v>
      </c>
      <c r="R2063">
        <v>0</v>
      </c>
      <c r="S2063">
        <v>0</v>
      </c>
      <c r="T2063" t="str">
        <f t="shared" si="64"/>
        <v>15752.43.4302.85.0-205128.2.3.3.08.06.</v>
      </c>
      <c r="U2063" t="e" cm="1">
        <f t="array" aca="1" ref="U2063" ca="1">+IF(COMPROMISOS_2025[[#This Row],[P]]="20","41080111",_xlfn.XLOOKUP(COMPROMISOS_2025[[#This Row],[concatenado]],PAA[[#All],[RCP-RUBRO]],PAA[[#All],[INDICADOR]],"",0))</f>
        <v>#NAME?</v>
      </c>
      <c r="V2063" s="144" t="str">
        <f t="shared" si="65"/>
        <v>85</v>
      </c>
      <c r="W2063" s="136">
        <f>+COMPROMISOS_2025[[#This Row],[valor_total]]-COMPROMISOS_2025[[#This Row],[total_cancelado]]</f>
        <v>711750</v>
      </c>
      <c r="X2063" s="136">
        <f>COMPROMISOS_2025[[#This Row],[total_ordenes]]</f>
        <v>711750</v>
      </c>
      <c r="Y2063" t="str" cm="1">
        <f t="array" aca="1" ref="Y2063" ca="1">IFERROR(_xlfn.XLOOKUP(COMPROMISOS_2025[[#This Row],[concatenado]],PAA[[#All],[RCP-RUBRO]],PAA[[#All],[Actividad3]],VLOOKUP(COMPROMISOS_2025[[#This Row],[Indicador Principal]],$AC$2:$AD$17,2,0),0),"")</f>
        <v/>
      </c>
    </row>
    <row r="2064" spans="1:25" hidden="1" x14ac:dyDescent="0.25">
      <c r="A2064">
        <v>1576</v>
      </c>
      <c r="B2064" t="s">
        <v>2491</v>
      </c>
      <c r="C2064" t="s">
        <v>1936</v>
      </c>
      <c r="D2064" t="s">
        <v>4182</v>
      </c>
      <c r="F2064">
        <v>406</v>
      </c>
      <c r="G2064">
        <v>65</v>
      </c>
      <c r="H2064" t="s">
        <v>662</v>
      </c>
      <c r="I2064" t="s">
        <v>2271</v>
      </c>
      <c r="J2064">
        <v>711750</v>
      </c>
      <c r="K2064">
        <v>2025</v>
      </c>
      <c r="L2064">
        <v>1027805346</v>
      </c>
      <c r="M2064" t="s">
        <v>4326</v>
      </c>
      <c r="N2064" t="s">
        <v>1688</v>
      </c>
      <c r="O2064" t="s">
        <v>1686</v>
      </c>
      <c r="P2064">
        <v>0</v>
      </c>
      <c r="Q2064">
        <v>711750</v>
      </c>
      <c r="R2064">
        <v>0</v>
      </c>
      <c r="S2064">
        <v>0</v>
      </c>
      <c r="T2064" t="str">
        <f t="shared" si="64"/>
        <v>15762.43.4302.85.0-205128.2.3.3.08.06.</v>
      </c>
      <c r="U2064" t="e" cm="1">
        <f t="array" aca="1" ref="U2064" ca="1">+IF(COMPROMISOS_2025[[#This Row],[P]]="20","41080111",_xlfn.XLOOKUP(COMPROMISOS_2025[[#This Row],[concatenado]],PAA[[#All],[RCP-RUBRO]],PAA[[#All],[INDICADOR]],"",0))</f>
        <v>#NAME?</v>
      </c>
      <c r="V2064" s="144" t="str">
        <f t="shared" si="65"/>
        <v>85</v>
      </c>
      <c r="W2064" s="136">
        <f>+COMPROMISOS_2025[[#This Row],[valor_total]]-COMPROMISOS_2025[[#This Row],[total_cancelado]]</f>
        <v>711750</v>
      </c>
      <c r="X2064" s="136">
        <f>COMPROMISOS_2025[[#This Row],[total_ordenes]]</f>
        <v>711750</v>
      </c>
      <c r="Y2064" t="str" cm="1">
        <f t="array" aca="1" ref="Y2064" ca="1">IFERROR(_xlfn.XLOOKUP(COMPROMISOS_2025[[#This Row],[concatenado]],PAA[[#All],[RCP-RUBRO]],PAA[[#All],[Actividad3]],VLOOKUP(COMPROMISOS_2025[[#This Row],[Indicador Principal]],$AC$2:$AD$17,2,0),0),"")</f>
        <v/>
      </c>
    </row>
    <row r="2065" spans="1:25" hidden="1" x14ac:dyDescent="0.25">
      <c r="A2065">
        <v>1577</v>
      </c>
      <c r="B2065" t="s">
        <v>2491</v>
      </c>
      <c r="C2065" t="s">
        <v>1936</v>
      </c>
      <c r="D2065" t="s">
        <v>4182</v>
      </c>
      <c r="F2065">
        <v>406</v>
      </c>
      <c r="G2065">
        <v>65</v>
      </c>
      <c r="H2065" t="s">
        <v>662</v>
      </c>
      <c r="I2065" t="s">
        <v>2271</v>
      </c>
      <c r="J2065">
        <v>711750</v>
      </c>
      <c r="K2065">
        <v>2025</v>
      </c>
      <c r="L2065">
        <v>1027808238</v>
      </c>
      <c r="M2065" t="s">
        <v>3712</v>
      </c>
      <c r="N2065" t="s">
        <v>1688</v>
      </c>
      <c r="O2065" t="s">
        <v>1686</v>
      </c>
      <c r="P2065">
        <v>0</v>
      </c>
      <c r="Q2065">
        <v>711750</v>
      </c>
      <c r="R2065">
        <v>0</v>
      </c>
      <c r="S2065">
        <v>0</v>
      </c>
      <c r="T2065" t="str">
        <f t="shared" si="64"/>
        <v>15772.43.4302.85.0-205128.2.3.3.08.06.</v>
      </c>
      <c r="U2065" t="e" cm="1">
        <f t="array" aca="1" ref="U2065" ca="1">+IF(COMPROMISOS_2025[[#This Row],[P]]="20","41080111",_xlfn.XLOOKUP(COMPROMISOS_2025[[#This Row],[concatenado]],PAA[[#All],[RCP-RUBRO]],PAA[[#All],[INDICADOR]],"",0))</f>
        <v>#NAME?</v>
      </c>
      <c r="V2065" s="144" t="str">
        <f t="shared" si="65"/>
        <v>85</v>
      </c>
      <c r="W2065" s="136">
        <f>+COMPROMISOS_2025[[#This Row],[valor_total]]-COMPROMISOS_2025[[#This Row],[total_cancelado]]</f>
        <v>711750</v>
      </c>
      <c r="X2065" s="136">
        <f>COMPROMISOS_2025[[#This Row],[total_ordenes]]</f>
        <v>711750</v>
      </c>
      <c r="Y2065" t="str" cm="1">
        <f t="array" aca="1" ref="Y2065" ca="1">IFERROR(_xlfn.XLOOKUP(COMPROMISOS_2025[[#This Row],[concatenado]],PAA[[#All],[RCP-RUBRO]],PAA[[#All],[Actividad3]],VLOOKUP(COMPROMISOS_2025[[#This Row],[Indicador Principal]],$AC$2:$AD$17,2,0),0),"")</f>
        <v/>
      </c>
    </row>
    <row r="2066" spans="1:25" hidden="1" x14ac:dyDescent="0.25">
      <c r="A2066">
        <v>1578</v>
      </c>
      <c r="B2066" t="s">
        <v>2491</v>
      </c>
      <c r="C2066" t="s">
        <v>1936</v>
      </c>
      <c r="D2066" t="s">
        <v>4182</v>
      </c>
      <c r="F2066">
        <v>406</v>
      </c>
      <c r="G2066">
        <v>65</v>
      </c>
      <c r="H2066" t="s">
        <v>662</v>
      </c>
      <c r="I2066" t="s">
        <v>2271</v>
      </c>
      <c r="J2066">
        <v>711750</v>
      </c>
      <c r="K2066">
        <v>2025</v>
      </c>
      <c r="L2066">
        <v>1027942953</v>
      </c>
      <c r="M2066" t="s">
        <v>4043</v>
      </c>
      <c r="N2066" t="s">
        <v>1688</v>
      </c>
      <c r="O2066" t="s">
        <v>1686</v>
      </c>
      <c r="P2066">
        <v>0</v>
      </c>
      <c r="Q2066">
        <v>711750</v>
      </c>
      <c r="R2066">
        <v>0</v>
      </c>
      <c r="S2066">
        <v>0</v>
      </c>
      <c r="T2066" t="str">
        <f t="shared" si="64"/>
        <v>15782.43.4302.85.0-205128.2.3.3.08.06.</v>
      </c>
      <c r="U2066" t="e" cm="1">
        <f t="array" aca="1" ref="U2066" ca="1">+IF(COMPROMISOS_2025[[#This Row],[P]]="20","41080111",_xlfn.XLOOKUP(COMPROMISOS_2025[[#This Row],[concatenado]],PAA[[#All],[RCP-RUBRO]],PAA[[#All],[INDICADOR]],"",0))</f>
        <v>#NAME?</v>
      </c>
      <c r="V2066" s="144" t="str">
        <f t="shared" si="65"/>
        <v>85</v>
      </c>
      <c r="W2066" s="136">
        <f>+COMPROMISOS_2025[[#This Row],[valor_total]]-COMPROMISOS_2025[[#This Row],[total_cancelado]]</f>
        <v>711750</v>
      </c>
      <c r="X2066" s="136">
        <f>COMPROMISOS_2025[[#This Row],[total_ordenes]]</f>
        <v>711750</v>
      </c>
      <c r="Y2066" t="str" cm="1">
        <f t="array" aca="1" ref="Y2066" ca="1">IFERROR(_xlfn.XLOOKUP(COMPROMISOS_2025[[#This Row],[concatenado]],PAA[[#All],[RCP-RUBRO]],PAA[[#All],[Actividad3]],VLOOKUP(COMPROMISOS_2025[[#This Row],[Indicador Principal]],$AC$2:$AD$17,2,0),0),"")</f>
        <v/>
      </c>
    </row>
    <row r="2067" spans="1:25" hidden="1" x14ac:dyDescent="0.25">
      <c r="A2067">
        <v>1579</v>
      </c>
      <c r="B2067" t="s">
        <v>2491</v>
      </c>
      <c r="C2067" t="s">
        <v>1936</v>
      </c>
      <c r="D2067" t="s">
        <v>4182</v>
      </c>
      <c r="F2067">
        <v>406</v>
      </c>
      <c r="G2067">
        <v>65</v>
      </c>
      <c r="H2067" t="s">
        <v>662</v>
      </c>
      <c r="I2067" t="s">
        <v>2271</v>
      </c>
      <c r="J2067">
        <v>3558750</v>
      </c>
      <c r="K2067">
        <v>2025</v>
      </c>
      <c r="L2067">
        <v>1027946487</v>
      </c>
      <c r="M2067" t="s">
        <v>3713</v>
      </c>
      <c r="N2067" t="s">
        <v>1688</v>
      </c>
      <c r="O2067" t="s">
        <v>1686</v>
      </c>
      <c r="P2067">
        <v>0</v>
      </c>
      <c r="Q2067">
        <v>3558750</v>
      </c>
      <c r="R2067">
        <v>0</v>
      </c>
      <c r="S2067">
        <v>0</v>
      </c>
      <c r="T2067" t="str">
        <f t="shared" si="64"/>
        <v>15792.43.4302.85.0-205128.2.3.3.08.06.</v>
      </c>
      <c r="U2067" t="e" cm="1">
        <f t="array" aca="1" ref="U2067" ca="1">+IF(COMPROMISOS_2025[[#This Row],[P]]="20","41080111",_xlfn.XLOOKUP(COMPROMISOS_2025[[#This Row],[concatenado]],PAA[[#All],[RCP-RUBRO]],PAA[[#All],[INDICADOR]],"",0))</f>
        <v>#NAME?</v>
      </c>
      <c r="V2067" s="144" t="str">
        <f t="shared" si="65"/>
        <v>85</v>
      </c>
      <c r="W2067" s="136">
        <f>+COMPROMISOS_2025[[#This Row],[valor_total]]-COMPROMISOS_2025[[#This Row],[total_cancelado]]</f>
        <v>3558750</v>
      </c>
      <c r="X2067" s="136">
        <f>COMPROMISOS_2025[[#This Row],[total_ordenes]]</f>
        <v>3558750</v>
      </c>
      <c r="Y2067" t="str" cm="1">
        <f t="array" aca="1" ref="Y2067" ca="1">IFERROR(_xlfn.XLOOKUP(COMPROMISOS_2025[[#This Row],[concatenado]],PAA[[#All],[RCP-RUBRO]],PAA[[#All],[Actividad3]],VLOOKUP(COMPROMISOS_2025[[#This Row],[Indicador Principal]],$AC$2:$AD$17,2,0),0),"")</f>
        <v/>
      </c>
    </row>
    <row r="2068" spans="1:25" hidden="1" x14ac:dyDescent="0.25">
      <c r="A2068">
        <v>1580</v>
      </c>
      <c r="B2068" t="s">
        <v>2491</v>
      </c>
      <c r="C2068" t="s">
        <v>1936</v>
      </c>
      <c r="D2068" t="s">
        <v>4182</v>
      </c>
      <c r="F2068">
        <v>406</v>
      </c>
      <c r="G2068">
        <v>65</v>
      </c>
      <c r="H2068" t="s">
        <v>662</v>
      </c>
      <c r="I2068" t="s">
        <v>2271</v>
      </c>
      <c r="J2068">
        <v>5694000</v>
      </c>
      <c r="K2068">
        <v>2025</v>
      </c>
      <c r="L2068">
        <v>1027947045</v>
      </c>
      <c r="M2068" t="s">
        <v>4327</v>
      </c>
      <c r="N2068" t="s">
        <v>1688</v>
      </c>
      <c r="O2068" t="s">
        <v>1686</v>
      </c>
      <c r="P2068">
        <v>0</v>
      </c>
      <c r="Q2068">
        <v>5694000</v>
      </c>
      <c r="R2068">
        <v>0</v>
      </c>
      <c r="S2068">
        <v>0</v>
      </c>
      <c r="T2068" t="str">
        <f t="shared" si="64"/>
        <v>15802.43.4302.85.0-205128.2.3.3.08.06.</v>
      </c>
      <c r="U2068" t="e" cm="1">
        <f t="array" aca="1" ref="U2068" ca="1">+IF(COMPROMISOS_2025[[#This Row],[P]]="20","41080111",_xlfn.XLOOKUP(COMPROMISOS_2025[[#This Row],[concatenado]],PAA[[#All],[RCP-RUBRO]],PAA[[#All],[INDICADOR]],"",0))</f>
        <v>#NAME?</v>
      </c>
      <c r="V2068" s="144" t="str">
        <f t="shared" si="65"/>
        <v>85</v>
      </c>
      <c r="W2068" s="136">
        <f>+COMPROMISOS_2025[[#This Row],[valor_total]]-COMPROMISOS_2025[[#This Row],[total_cancelado]]</f>
        <v>5694000</v>
      </c>
      <c r="X2068" s="136">
        <f>COMPROMISOS_2025[[#This Row],[total_ordenes]]</f>
        <v>5694000</v>
      </c>
      <c r="Y2068" t="str" cm="1">
        <f t="array" aca="1" ref="Y2068" ca="1">IFERROR(_xlfn.XLOOKUP(COMPROMISOS_2025[[#This Row],[concatenado]],PAA[[#All],[RCP-RUBRO]],PAA[[#All],[Actividad3]],VLOOKUP(COMPROMISOS_2025[[#This Row],[Indicador Principal]],$AC$2:$AD$17,2,0),0),"")</f>
        <v/>
      </c>
    </row>
    <row r="2069" spans="1:25" hidden="1" x14ac:dyDescent="0.25">
      <c r="A2069">
        <v>1581</v>
      </c>
      <c r="B2069" t="s">
        <v>2491</v>
      </c>
      <c r="C2069" t="s">
        <v>1936</v>
      </c>
      <c r="D2069" t="s">
        <v>4182</v>
      </c>
      <c r="F2069">
        <v>406</v>
      </c>
      <c r="G2069">
        <v>65</v>
      </c>
      <c r="H2069" t="s">
        <v>662</v>
      </c>
      <c r="I2069" t="s">
        <v>2271</v>
      </c>
      <c r="J2069">
        <v>1067625</v>
      </c>
      <c r="K2069">
        <v>2025</v>
      </c>
      <c r="L2069">
        <v>1027947439</v>
      </c>
      <c r="M2069" t="s">
        <v>3714</v>
      </c>
      <c r="N2069" t="s">
        <v>1688</v>
      </c>
      <c r="O2069" t="s">
        <v>1686</v>
      </c>
      <c r="P2069">
        <v>0</v>
      </c>
      <c r="Q2069">
        <v>1067625</v>
      </c>
      <c r="R2069">
        <v>0</v>
      </c>
      <c r="S2069">
        <v>0</v>
      </c>
      <c r="T2069" t="str">
        <f t="shared" si="64"/>
        <v>15812.43.4302.85.0-205128.2.3.3.08.06.</v>
      </c>
      <c r="U2069" t="e" cm="1">
        <f t="array" aca="1" ref="U2069" ca="1">+IF(COMPROMISOS_2025[[#This Row],[P]]="20","41080111",_xlfn.XLOOKUP(COMPROMISOS_2025[[#This Row],[concatenado]],PAA[[#All],[RCP-RUBRO]],PAA[[#All],[INDICADOR]],"",0))</f>
        <v>#NAME?</v>
      </c>
      <c r="V2069" s="144" t="str">
        <f t="shared" si="65"/>
        <v>85</v>
      </c>
      <c r="W2069" s="136">
        <f>+COMPROMISOS_2025[[#This Row],[valor_total]]-COMPROMISOS_2025[[#This Row],[total_cancelado]]</f>
        <v>1067625</v>
      </c>
      <c r="X2069" s="136">
        <f>COMPROMISOS_2025[[#This Row],[total_ordenes]]</f>
        <v>1067625</v>
      </c>
      <c r="Y2069" t="str" cm="1">
        <f t="array" aca="1" ref="Y2069" ca="1">IFERROR(_xlfn.XLOOKUP(COMPROMISOS_2025[[#This Row],[concatenado]],PAA[[#All],[RCP-RUBRO]],PAA[[#All],[Actividad3]],VLOOKUP(COMPROMISOS_2025[[#This Row],[Indicador Principal]],$AC$2:$AD$17,2,0),0),"")</f>
        <v/>
      </c>
    </row>
    <row r="2070" spans="1:25" hidden="1" x14ac:dyDescent="0.25">
      <c r="A2070">
        <v>1582</v>
      </c>
      <c r="B2070" t="s">
        <v>2491</v>
      </c>
      <c r="C2070" t="s">
        <v>1936</v>
      </c>
      <c r="D2070" t="s">
        <v>4182</v>
      </c>
      <c r="F2070">
        <v>406</v>
      </c>
      <c r="G2070">
        <v>65</v>
      </c>
      <c r="H2070" t="s">
        <v>662</v>
      </c>
      <c r="I2070" t="s">
        <v>2271</v>
      </c>
      <c r="J2070">
        <v>711750</v>
      </c>
      <c r="K2070">
        <v>2025</v>
      </c>
      <c r="L2070">
        <v>1027948308</v>
      </c>
      <c r="M2070" t="s">
        <v>3715</v>
      </c>
      <c r="N2070" t="s">
        <v>1688</v>
      </c>
      <c r="O2070" t="s">
        <v>1686</v>
      </c>
      <c r="P2070">
        <v>0</v>
      </c>
      <c r="Q2070">
        <v>711750</v>
      </c>
      <c r="R2070">
        <v>0</v>
      </c>
      <c r="S2070">
        <v>0</v>
      </c>
      <c r="T2070" t="str">
        <f t="shared" si="64"/>
        <v>15822.43.4302.85.0-205128.2.3.3.08.06.</v>
      </c>
      <c r="U2070" t="e" cm="1">
        <f t="array" aca="1" ref="U2070" ca="1">+IF(COMPROMISOS_2025[[#This Row],[P]]="20","41080111",_xlfn.XLOOKUP(COMPROMISOS_2025[[#This Row],[concatenado]],PAA[[#All],[RCP-RUBRO]],PAA[[#All],[INDICADOR]],"",0))</f>
        <v>#NAME?</v>
      </c>
      <c r="V2070" s="144" t="str">
        <f t="shared" si="65"/>
        <v>85</v>
      </c>
      <c r="W2070" s="136">
        <f>+COMPROMISOS_2025[[#This Row],[valor_total]]-COMPROMISOS_2025[[#This Row],[total_cancelado]]</f>
        <v>711750</v>
      </c>
      <c r="X2070" s="136">
        <f>COMPROMISOS_2025[[#This Row],[total_ordenes]]</f>
        <v>711750</v>
      </c>
      <c r="Y2070" t="str" cm="1">
        <f t="array" aca="1" ref="Y2070" ca="1">IFERROR(_xlfn.XLOOKUP(COMPROMISOS_2025[[#This Row],[concatenado]],PAA[[#All],[RCP-RUBRO]],PAA[[#All],[Actividad3]],VLOOKUP(COMPROMISOS_2025[[#This Row],[Indicador Principal]],$AC$2:$AD$17,2,0),0),"")</f>
        <v/>
      </c>
    </row>
    <row r="2071" spans="1:25" hidden="1" x14ac:dyDescent="0.25">
      <c r="A2071">
        <v>1583</v>
      </c>
      <c r="B2071" t="s">
        <v>2491</v>
      </c>
      <c r="C2071" t="s">
        <v>1936</v>
      </c>
      <c r="D2071" t="s">
        <v>4182</v>
      </c>
      <c r="F2071">
        <v>406</v>
      </c>
      <c r="G2071">
        <v>65</v>
      </c>
      <c r="H2071" t="s">
        <v>662</v>
      </c>
      <c r="I2071" t="s">
        <v>2271</v>
      </c>
      <c r="J2071">
        <v>711750</v>
      </c>
      <c r="K2071">
        <v>2025</v>
      </c>
      <c r="L2071">
        <v>1027948479</v>
      </c>
      <c r="M2071" t="s">
        <v>3716</v>
      </c>
      <c r="N2071" t="s">
        <v>1688</v>
      </c>
      <c r="O2071" t="s">
        <v>1686</v>
      </c>
      <c r="P2071">
        <v>0</v>
      </c>
      <c r="Q2071">
        <v>711750</v>
      </c>
      <c r="R2071">
        <v>0</v>
      </c>
      <c r="S2071">
        <v>0</v>
      </c>
      <c r="T2071" t="str">
        <f t="shared" si="64"/>
        <v>15832.43.4302.85.0-205128.2.3.3.08.06.</v>
      </c>
      <c r="U2071" t="e" cm="1">
        <f t="array" aca="1" ref="U2071" ca="1">+IF(COMPROMISOS_2025[[#This Row],[P]]="20","41080111",_xlfn.XLOOKUP(COMPROMISOS_2025[[#This Row],[concatenado]],PAA[[#All],[RCP-RUBRO]],PAA[[#All],[INDICADOR]],"",0))</f>
        <v>#NAME?</v>
      </c>
      <c r="V2071" s="144" t="str">
        <f t="shared" si="65"/>
        <v>85</v>
      </c>
      <c r="W2071" s="136">
        <f>+COMPROMISOS_2025[[#This Row],[valor_total]]-COMPROMISOS_2025[[#This Row],[total_cancelado]]</f>
        <v>711750</v>
      </c>
      <c r="X2071" s="136">
        <f>COMPROMISOS_2025[[#This Row],[total_ordenes]]</f>
        <v>711750</v>
      </c>
      <c r="Y2071" t="str" cm="1">
        <f t="array" aca="1" ref="Y2071" ca="1">IFERROR(_xlfn.XLOOKUP(COMPROMISOS_2025[[#This Row],[concatenado]],PAA[[#All],[RCP-RUBRO]],PAA[[#All],[Actividad3]],VLOOKUP(COMPROMISOS_2025[[#This Row],[Indicador Principal]],$AC$2:$AD$17,2,0),0),"")</f>
        <v/>
      </c>
    </row>
    <row r="2072" spans="1:25" hidden="1" x14ac:dyDescent="0.25">
      <c r="A2072">
        <v>1584</v>
      </c>
      <c r="B2072" t="s">
        <v>2491</v>
      </c>
      <c r="C2072" t="s">
        <v>1936</v>
      </c>
      <c r="D2072" t="s">
        <v>4182</v>
      </c>
      <c r="F2072">
        <v>406</v>
      </c>
      <c r="G2072">
        <v>65</v>
      </c>
      <c r="H2072" t="s">
        <v>662</v>
      </c>
      <c r="I2072" t="s">
        <v>2271</v>
      </c>
      <c r="J2072">
        <v>1067625</v>
      </c>
      <c r="K2072">
        <v>2025</v>
      </c>
      <c r="L2072">
        <v>1027949289</v>
      </c>
      <c r="M2072" t="s">
        <v>3717</v>
      </c>
      <c r="N2072" t="s">
        <v>1688</v>
      </c>
      <c r="O2072" t="s">
        <v>1686</v>
      </c>
      <c r="P2072">
        <v>0</v>
      </c>
      <c r="Q2072">
        <v>1067625</v>
      </c>
      <c r="R2072">
        <v>0</v>
      </c>
      <c r="S2072">
        <v>0</v>
      </c>
      <c r="T2072" t="str">
        <f t="shared" si="64"/>
        <v>15842.43.4302.85.0-205128.2.3.3.08.06.</v>
      </c>
      <c r="U2072" t="e" cm="1">
        <f t="array" aca="1" ref="U2072" ca="1">+IF(COMPROMISOS_2025[[#This Row],[P]]="20","41080111",_xlfn.XLOOKUP(COMPROMISOS_2025[[#This Row],[concatenado]],PAA[[#All],[RCP-RUBRO]],PAA[[#All],[INDICADOR]],"",0))</f>
        <v>#NAME?</v>
      </c>
      <c r="V2072" s="144" t="str">
        <f t="shared" si="65"/>
        <v>85</v>
      </c>
      <c r="W2072" s="136">
        <f>+COMPROMISOS_2025[[#This Row],[valor_total]]-COMPROMISOS_2025[[#This Row],[total_cancelado]]</f>
        <v>1067625</v>
      </c>
      <c r="X2072" s="136">
        <f>COMPROMISOS_2025[[#This Row],[total_ordenes]]</f>
        <v>1067625</v>
      </c>
      <c r="Y2072" t="str" cm="1">
        <f t="array" aca="1" ref="Y2072" ca="1">IFERROR(_xlfn.XLOOKUP(COMPROMISOS_2025[[#This Row],[concatenado]],PAA[[#All],[RCP-RUBRO]],PAA[[#All],[Actividad3]],VLOOKUP(COMPROMISOS_2025[[#This Row],[Indicador Principal]],$AC$2:$AD$17,2,0),0),"")</f>
        <v/>
      </c>
    </row>
    <row r="2073" spans="1:25" hidden="1" x14ac:dyDescent="0.25">
      <c r="A2073">
        <v>1585</v>
      </c>
      <c r="B2073" t="s">
        <v>2491</v>
      </c>
      <c r="C2073" t="s">
        <v>1936</v>
      </c>
      <c r="D2073" t="s">
        <v>4182</v>
      </c>
      <c r="F2073">
        <v>406</v>
      </c>
      <c r="G2073">
        <v>65</v>
      </c>
      <c r="H2073" t="s">
        <v>662</v>
      </c>
      <c r="I2073" t="s">
        <v>2271</v>
      </c>
      <c r="J2073">
        <v>1067625</v>
      </c>
      <c r="K2073">
        <v>2025</v>
      </c>
      <c r="L2073">
        <v>1027949936</v>
      </c>
      <c r="M2073" t="s">
        <v>4047</v>
      </c>
      <c r="N2073" t="s">
        <v>1688</v>
      </c>
      <c r="O2073" t="s">
        <v>1686</v>
      </c>
      <c r="P2073">
        <v>0</v>
      </c>
      <c r="Q2073">
        <v>1067625</v>
      </c>
      <c r="R2073">
        <v>0</v>
      </c>
      <c r="S2073">
        <v>0</v>
      </c>
      <c r="T2073" t="str">
        <f t="shared" si="64"/>
        <v>15852.43.4302.85.0-205128.2.3.3.08.06.</v>
      </c>
      <c r="U2073" t="e" cm="1">
        <f t="array" aca="1" ref="U2073" ca="1">+IF(COMPROMISOS_2025[[#This Row],[P]]="20","41080111",_xlfn.XLOOKUP(COMPROMISOS_2025[[#This Row],[concatenado]],PAA[[#All],[RCP-RUBRO]],PAA[[#All],[INDICADOR]],"",0))</f>
        <v>#NAME?</v>
      </c>
      <c r="V2073" s="144" t="str">
        <f t="shared" si="65"/>
        <v>85</v>
      </c>
      <c r="W2073" s="136">
        <f>+COMPROMISOS_2025[[#This Row],[valor_total]]-COMPROMISOS_2025[[#This Row],[total_cancelado]]</f>
        <v>1067625</v>
      </c>
      <c r="X2073" s="136">
        <f>COMPROMISOS_2025[[#This Row],[total_ordenes]]</f>
        <v>1067625</v>
      </c>
      <c r="Y2073" t="str" cm="1">
        <f t="array" aca="1" ref="Y2073" ca="1">IFERROR(_xlfn.XLOOKUP(COMPROMISOS_2025[[#This Row],[concatenado]],PAA[[#All],[RCP-RUBRO]],PAA[[#All],[Actividad3]],VLOOKUP(COMPROMISOS_2025[[#This Row],[Indicador Principal]],$AC$2:$AD$17,2,0),0),"")</f>
        <v/>
      </c>
    </row>
    <row r="2074" spans="1:25" hidden="1" x14ac:dyDescent="0.25">
      <c r="A2074">
        <v>1586</v>
      </c>
      <c r="B2074" t="s">
        <v>2491</v>
      </c>
      <c r="C2074" t="s">
        <v>1936</v>
      </c>
      <c r="D2074" t="s">
        <v>4182</v>
      </c>
      <c r="F2074">
        <v>406</v>
      </c>
      <c r="G2074">
        <v>65</v>
      </c>
      <c r="H2074" t="s">
        <v>662</v>
      </c>
      <c r="I2074" t="s">
        <v>2271</v>
      </c>
      <c r="J2074">
        <v>711750</v>
      </c>
      <c r="K2074">
        <v>2025</v>
      </c>
      <c r="L2074">
        <v>1027950068</v>
      </c>
      <c r="M2074" t="s">
        <v>3718</v>
      </c>
      <c r="N2074" t="s">
        <v>1688</v>
      </c>
      <c r="O2074" t="s">
        <v>1686</v>
      </c>
      <c r="P2074">
        <v>0</v>
      </c>
      <c r="Q2074">
        <v>711750</v>
      </c>
      <c r="R2074">
        <v>0</v>
      </c>
      <c r="S2074">
        <v>0</v>
      </c>
      <c r="T2074" t="str">
        <f t="shared" si="64"/>
        <v>15862.43.4302.85.0-205128.2.3.3.08.06.</v>
      </c>
      <c r="U2074" t="e" cm="1">
        <f t="array" aca="1" ref="U2074" ca="1">+IF(COMPROMISOS_2025[[#This Row],[P]]="20","41080111",_xlfn.XLOOKUP(COMPROMISOS_2025[[#This Row],[concatenado]],PAA[[#All],[RCP-RUBRO]],PAA[[#All],[INDICADOR]],"",0))</f>
        <v>#NAME?</v>
      </c>
      <c r="V2074" s="144" t="str">
        <f t="shared" si="65"/>
        <v>85</v>
      </c>
      <c r="W2074" s="136">
        <f>+COMPROMISOS_2025[[#This Row],[valor_total]]-COMPROMISOS_2025[[#This Row],[total_cancelado]]</f>
        <v>711750</v>
      </c>
      <c r="X2074" s="136">
        <f>COMPROMISOS_2025[[#This Row],[total_ordenes]]</f>
        <v>711750</v>
      </c>
      <c r="Y2074" t="str" cm="1">
        <f t="array" aca="1" ref="Y2074" ca="1">IFERROR(_xlfn.XLOOKUP(COMPROMISOS_2025[[#This Row],[concatenado]],PAA[[#All],[RCP-RUBRO]],PAA[[#All],[Actividad3]],VLOOKUP(COMPROMISOS_2025[[#This Row],[Indicador Principal]],$AC$2:$AD$17,2,0),0),"")</f>
        <v/>
      </c>
    </row>
    <row r="2075" spans="1:25" hidden="1" x14ac:dyDescent="0.25">
      <c r="A2075">
        <v>1587</v>
      </c>
      <c r="B2075" t="s">
        <v>2491</v>
      </c>
      <c r="C2075" t="s">
        <v>1936</v>
      </c>
      <c r="D2075" t="s">
        <v>4182</v>
      </c>
      <c r="F2075">
        <v>406</v>
      </c>
      <c r="G2075">
        <v>65</v>
      </c>
      <c r="H2075" t="s">
        <v>662</v>
      </c>
      <c r="I2075" t="s">
        <v>2271</v>
      </c>
      <c r="J2075">
        <v>711750</v>
      </c>
      <c r="K2075">
        <v>2025</v>
      </c>
      <c r="L2075">
        <v>1027950756</v>
      </c>
      <c r="M2075" t="s">
        <v>4048</v>
      </c>
      <c r="N2075" t="s">
        <v>1688</v>
      </c>
      <c r="O2075" t="s">
        <v>1686</v>
      </c>
      <c r="P2075">
        <v>0</v>
      </c>
      <c r="Q2075">
        <v>711750</v>
      </c>
      <c r="R2075">
        <v>0</v>
      </c>
      <c r="S2075">
        <v>0</v>
      </c>
      <c r="T2075" t="str">
        <f t="shared" si="64"/>
        <v>15872.43.4302.85.0-205128.2.3.3.08.06.</v>
      </c>
      <c r="U2075" t="e" cm="1">
        <f t="array" aca="1" ref="U2075" ca="1">+IF(COMPROMISOS_2025[[#This Row],[P]]="20","41080111",_xlfn.XLOOKUP(COMPROMISOS_2025[[#This Row],[concatenado]],PAA[[#All],[RCP-RUBRO]],PAA[[#All],[INDICADOR]],"",0))</f>
        <v>#NAME?</v>
      </c>
      <c r="V2075" s="144" t="str">
        <f t="shared" si="65"/>
        <v>85</v>
      </c>
      <c r="W2075" s="136">
        <f>+COMPROMISOS_2025[[#This Row],[valor_total]]-COMPROMISOS_2025[[#This Row],[total_cancelado]]</f>
        <v>711750</v>
      </c>
      <c r="X2075" s="136">
        <f>COMPROMISOS_2025[[#This Row],[total_ordenes]]</f>
        <v>711750</v>
      </c>
      <c r="Y2075" t="str" cm="1">
        <f t="array" aca="1" ref="Y2075" ca="1">IFERROR(_xlfn.XLOOKUP(COMPROMISOS_2025[[#This Row],[concatenado]],PAA[[#All],[RCP-RUBRO]],PAA[[#All],[Actividad3]],VLOOKUP(COMPROMISOS_2025[[#This Row],[Indicador Principal]],$AC$2:$AD$17,2,0),0),"")</f>
        <v/>
      </c>
    </row>
    <row r="2076" spans="1:25" hidden="1" x14ac:dyDescent="0.25">
      <c r="A2076">
        <v>1588</v>
      </c>
      <c r="B2076" t="s">
        <v>2491</v>
      </c>
      <c r="C2076" t="s">
        <v>1936</v>
      </c>
      <c r="D2076" t="s">
        <v>4182</v>
      </c>
      <c r="F2076">
        <v>406</v>
      </c>
      <c r="G2076">
        <v>65</v>
      </c>
      <c r="H2076" t="s">
        <v>662</v>
      </c>
      <c r="I2076" t="s">
        <v>2271</v>
      </c>
      <c r="J2076">
        <v>711750</v>
      </c>
      <c r="K2076">
        <v>2025</v>
      </c>
      <c r="L2076">
        <v>1027951989</v>
      </c>
      <c r="M2076" t="s">
        <v>3719</v>
      </c>
      <c r="N2076" t="s">
        <v>1688</v>
      </c>
      <c r="O2076" t="s">
        <v>1686</v>
      </c>
      <c r="P2076">
        <v>0</v>
      </c>
      <c r="Q2076">
        <v>711750</v>
      </c>
      <c r="R2076">
        <v>0</v>
      </c>
      <c r="S2076">
        <v>0</v>
      </c>
      <c r="T2076" t="str">
        <f t="shared" si="64"/>
        <v>15882.43.4302.85.0-205128.2.3.3.08.06.</v>
      </c>
      <c r="U2076" t="e" cm="1">
        <f t="array" aca="1" ref="U2076" ca="1">+IF(COMPROMISOS_2025[[#This Row],[P]]="20","41080111",_xlfn.XLOOKUP(COMPROMISOS_2025[[#This Row],[concatenado]],PAA[[#All],[RCP-RUBRO]],PAA[[#All],[INDICADOR]],"",0))</f>
        <v>#NAME?</v>
      </c>
      <c r="V2076" s="144" t="str">
        <f t="shared" si="65"/>
        <v>85</v>
      </c>
      <c r="W2076" s="136">
        <f>+COMPROMISOS_2025[[#This Row],[valor_total]]-COMPROMISOS_2025[[#This Row],[total_cancelado]]</f>
        <v>711750</v>
      </c>
      <c r="X2076" s="136">
        <f>COMPROMISOS_2025[[#This Row],[total_ordenes]]</f>
        <v>711750</v>
      </c>
      <c r="Y2076" t="str" cm="1">
        <f t="array" aca="1" ref="Y2076" ca="1">IFERROR(_xlfn.XLOOKUP(COMPROMISOS_2025[[#This Row],[concatenado]],PAA[[#All],[RCP-RUBRO]],PAA[[#All],[Actividad3]],VLOOKUP(COMPROMISOS_2025[[#This Row],[Indicador Principal]],$AC$2:$AD$17,2,0),0),"")</f>
        <v/>
      </c>
    </row>
    <row r="2077" spans="1:25" hidden="1" x14ac:dyDescent="0.25">
      <c r="A2077">
        <v>1589</v>
      </c>
      <c r="B2077" t="s">
        <v>2491</v>
      </c>
      <c r="C2077" t="s">
        <v>1936</v>
      </c>
      <c r="D2077" t="s">
        <v>4182</v>
      </c>
      <c r="F2077">
        <v>406</v>
      </c>
      <c r="G2077">
        <v>65</v>
      </c>
      <c r="H2077" t="s">
        <v>662</v>
      </c>
      <c r="I2077" t="s">
        <v>2271</v>
      </c>
      <c r="J2077">
        <v>1067625</v>
      </c>
      <c r="K2077">
        <v>2025</v>
      </c>
      <c r="L2077">
        <v>1027952406</v>
      </c>
      <c r="M2077" t="s">
        <v>3720</v>
      </c>
      <c r="N2077" t="s">
        <v>1688</v>
      </c>
      <c r="O2077" t="s">
        <v>1686</v>
      </c>
      <c r="P2077">
        <v>0</v>
      </c>
      <c r="Q2077">
        <v>1067625</v>
      </c>
      <c r="R2077">
        <v>0</v>
      </c>
      <c r="S2077">
        <v>0</v>
      </c>
      <c r="T2077" t="str">
        <f t="shared" si="64"/>
        <v>15892.43.4302.85.0-205128.2.3.3.08.06.</v>
      </c>
      <c r="U2077" t="e" cm="1">
        <f t="array" aca="1" ref="U2077" ca="1">+IF(COMPROMISOS_2025[[#This Row],[P]]="20","41080111",_xlfn.XLOOKUP(COMPROMISOS_2025[[#This Row],[concatenado]],PAA[[#All],[RCP-RUBRO]],PAA[[#All],[INDICADOR]],"",0))</f>
        <v>#NAME?</v>
      </c>
      <c r="V2077" s="144" t="str">
        <f t="shared" si="65"/>
        <v>85</v>
      </c>
      <c r="W2077" s="136">
        <f>+COMPROMISOS_2025[[#This Row],[valor_total]]-COMPROMISOS_2025[[#This Row],[total_cancelado]]</f>
        <v>1067625</v>
      </c>
      <c r="X2077" s="136">
        <f>COMPROMISOS_2025[[#This Row],[total_ordenes]]</f>
        <v>1067625</v>
      </c>
      <c r="Y2077" t="str" cm="1">
        <f t="array" aca="1" ref="Y2077" ca="1">IFERROR(_xlfn.XLOOKUP(COMPROMISOS_2025[[#This Row],[concatenado]],PAA[[#All],[RCP-RUBRO]],PAA[[#All],[Actividad3]],VLOOKUP(COMPROMISOS_2025[[#This Row],[Indicador Principal]],$AC$2:$AD$17,2,0),0),"")</f>
        <v/>
      </c>
    </row>
    <row r="2078" spans="1:25" hidden="1" x14ac:dyDescent="0.25">
      <c r="A2078">
        <v>1590</v>
      </c>
      <c r="B2078" t="s">
        <v>2491</v>
      </c>
      <c r="C2078" t="s">
        <v>1936</v>
      </c>
      <c r="D2078" t="s">
        <v>4182</v>
      </c>
      <c r="F2078">
        <v>406</v>
      </c>
      <c r="G2078">
        <v>65</v>
      </c>
      <c r="H2078" t="s">
        <v>662</v>
      </c>
      <c r="I2078" t="s">
        <v>2271</v>
      </c>
      <c r="J2078">
        <v>711750</v>
      </c>
      <c r="K2078">
        <v>2025</v>
      </c>
      <c r="L2078">
        <v>1027953650</v>
      </c>
      <c r="M2078" t="s">
        <v>3721</v>
      </c>
      <c r="N2078" t="s">
        <v>1688</v>
      </c>
      <c r="O2078" t="s">
        <v>1686</v>
      </c>
      <c r="P2078">
        <v>0</v>
      </c>
      <c r="Q2078">
        <v>711750</v>
      </c>
      <c r="R2078">
        <v>0</v>
      </c>
      <c r="S2078">
        <v>0</v>
      </c>
      <c r="T2078" t="str">
        <f t="shared" si="64"/>
        <v>15902.43.4302.85.0-205128.2.3.3.08.06.</v>
      </c>
      <c r="U2078" t="e" cm="1">
        <f t="array" aca="1" ref="U2078" ca="1">+IF(COMPROMISOS_2025[[#This Row],[P]]="20","41080111",_xlfn.XLOOKUP(COMPROMISOS_2025[[#This Row],[concatenado]],PAA[[#All],[RCP-RUBRO]],PAA[[#All],[INDICADOR]],"",0))</f>
        <v>#NAME?</v>
      </c>
      <c r="V2078" s="144" t="str">
        <f t="shared" si="65"/>
        <v>85</v>
      </c>
      <c r="W2078" s="136">
        <f>+COMPROMISOS_2025[[#This Row],[valor_total]]-COMPROMISOS_2025[[#This Row],[total_cancelado]]</f>
        <v>711750</v>
      </c>
      <c r="X2078" s="136">
        <f>COMPROMISOS_2025[[#This Row],[total_ordenes]]</f>
        <v>711750</v>
      </c>
      <c r="Y2078" t="str" cm="1">
        <f t="array" aca="1" ref="Y2078" ca="1">IFERROR(_xlfn.XLOOKUP(COMPROMISOS_2025[[#This Row],[concatenado]],PAA[[#All],[RCP-RUBRO]],PAA[[#All],[Actividad3]],VLOOKUP(COMPROMISOS_2025[[#This Row],[Indicador Principal]],$AC$2:$AD$17,2,0),0),"")</f>
        <v/>
      </c>
    </row>
    <row r="2079" spans="1:25" hidden="1" x14ac:dyDescent="0.25">
      <c r="A2079">
        <v>1591</v>
      </c>
      <c r="B2079" t="s">
        <v>2491</v>
      </c>
      <c r="C2079" t="s">
        <v>1936</v>
      </c>
      <c r="D2079" t="s">
        <v>4182</v>
      </c>
      <c r="F2079">
        <v>406</v>
      </c>
      <c r="G2079">
        <v>65</v>
      </c>
      <c r="H2079" t="s">
        <v>662</v>
      </c>
      <c r="I2079" t="s">
        <v>2271</v>
      </c>
      <c r="J2079">
        <v>1067625</v>
      </c>
      <c r="K2079">
        <v>2025</v>
      </c>
      <c r="L2079">
        <v>1027955036</v>
      </c>
      <c r="M2079" t="s">
        <v>3722</v>
      </c>
      <c r="N2079" t="s">
        <v>1688</v>
      </c>
      <c r="O2079" t="s">
        <v>1686</v>
      </c>
      <c r="P2079">
        <v>0</v>
      </c>
      <c r="Q2079">
        <v>1067625</v>
      </c>
      <c r="R2079">
        <v>0</v>
      </c>
      <c r="S2079">
        <v>0</v>
      </c>
      <c r="T2079" t="str">
        <f t="shared" si="64"/>
        <v>15912.43.4302.85.0-205128.2.3.3.08.06.</v>
      </c>
      <c r="U2079" t="e" cm="1">
        <f t="array" aca="1" ref="U2079" ca="1">+IF(COMPROMISOS_2025[[#This Row],[P]]="20","41080111",_xlfn.XLOOKUP(COMPROMISOS_2025[[#This Row],[concatenado]],PAA[[#All],[RCP-RUBRO]],PAA[[#All],[INDICADOR]],"",0))</f>
        <v>#NAME?</v>
      </c>
      <c r="V2079" s="144" t="str">
        <f t="shared" si="65"/>
        <v>85</v>
      </c>
      <c r="W2079" s="136">
        <f>+COMPROMISOS_2025[[#This Row],[valor_total]]-COMPROMISOS_2025[[#This Row],[total_cancelado]]</f>
        <v>1067625</v>
      </c>
      <c r="X2079" s="136">
        <f>COMPROMISOS_2025[[#This Row],[total_ordenes]]</f>
        <v>1067625</v>
      </c>
      <c r="Y2079" t="str" cm="1">
        <f t="array" aca="1" ref="Y2079" ca="1">IFERROR(_xlfn.XLOOKUP(COMPROMISOS_2025[[#This Row],[concatenado]],PAA[[#All],[RCP-RUBRO]],PAA[[#All],[Actividad3]],VLOOKUP(COMPROMISOS_2025[[#This Row],[Indicador Principal]],$AC$2:$AD$17,2,0),0),"")</f>
        <v/>
      </c>
    </row>
    <row r="2080" spans="1:25" hidden="1" x14ac:dyDescent="0.25">
      <c r="A2080">
        <v>1592</v>
      </c>
      <c r="B2080" t="s">
        <v>2491</v>
      </c>
      <c r="C2080" t="s">
        <v>1936</v>
      </c>
      <c r="D2080" t="s">
        <v>4182</v>
      </c>
      <c r="F2080">
        <v>406</v>
      </c>
      <c r="G2080">
        <v>65</v>
      </c>
      <c r="H2080" t="s">
        <v>662</v>
      </c>
      <c r="I2080" t="s">
        <v>2271</v>
      </c>
      <c r="J2080">
        <v>711750</v>
      </c>
      <c r="K2080">
        <v>2025</v>
      </c>
      <c r="L2080">
        <v>1027956059</v>
      </c>
      <c r="M2080" t="s">
        <v>3723</v>
      </c>
      <c r="N2080" t="s">
        <v>1688</v>
      </c>
      <c r="O2080" t="s">
        <v>1686</v>
      </c>
      <c r="P2080">
        <v>0</v>
      </c>
      <c r="Q2080">
        <v>711750</v>
      </c>
      <c r="R2080">
        <v>0</v>
      </c>
      <c r="S2080">
        <v>0</v>
      </c>
      <c r="T2080" t="str">
        <f t="shared" si="64"/>
        <v>15922.43.4302.85.0-205128.2.3.3.08.06.</v>
      </c>
      <c r="U2080" t="e" cm="1">
        <f t="array" aca="1" ref="U2080" ca="1">+IF(COMPROMISOS_2025[[#This Row],[P]]="20","41080111",_xlfn.XLOOKUP(COMPROMISOS_2025[[#This Row],[concatenado]],PAA[[#All],[RCP-RUBRO]],PAA[[#All],[INDICADOR]],"",0))</f>
        <v>#NAME?</v>
      </c>
      <c r="V2080" s="144" t="str">
        <f t="shared" si="65"/>
        <v>85</v>
      </c>
      <c r="W2080" s="136">
        <f>+COMPROMISOS_2025[[#This Row],[valor_total]]-COMPROMISOS_2025[[#This Row],[total_cancelado]]</f>
        <v>711750</v>
      </c>
      <c r="X2080" s="136">
        <f>COMPROMISOS_2025[[#This Row],[total_ordenes]]</f>
        <v>711750</v>
      </c>
      <c r="Y2080" t="str" cm="1">
        <f t="array" aca="1" ref="Y2080" ca="1">IFERROR(_xlfn.XLOOKUP(COMPROMISOS_2025[[#This Row],[concatenado]],PAA[[#All],[RCP-RUBRO]],PAA[[#All],[Actividad3]],VLOOKUP(COMPROMISOS_2025[[#This Row],[Indicador Principal]],$AC$2:$AD$17,2,0),0),"")</f>
        <v/>
      </c>
    </row>
    <row r="2081" spans="1:25" hidden="1" x14ac:dyDescent="0.25">
      <c r="A2081">
        <v>1593</v>
      </c>
      <c r="B2081" t="s">
        <v>2491</v>
      </c>
      <c r="C2081" t="s">
        <v>1936</v>
      </c>
      <c r="D2081" t="s">
        <v>4182</v>
      </c>
      <c r="F2081">
        <v>406</v>
      </c>
      <c r="G2081">
        <v>65</v>
      </c>
      <c r="H2081" t="s">
        <v>662</v>
      </c>
      <c r="I2081" t="s">
        <v>2271</v>
      </c>
      <c r="J2081">
        <v>711750</v>
      </c>
      <c r="K2081">
        <v>2025</v>
      </c>
      <c r="L2081">
        <v>1027958076</v>
      </c>
      <c r="M2081" t="s">
        <v>4328</v>
      </c>
      <c r="N2081" t="s">
        <v>1688</v>
      </c>
      <c r="O2081" t="s">
        <v>1686</v>
      </c>
      <c r="P2081">
        <v>0</v>
      </c>
      <c r="Q2081">
        <v>711750</v>
      </c>
      <c r="R2081">
        <v>0</v>
      </c>
      <c r="S2081">
        <v>0</v>
      </c>
      <c r="T2081" t="str">
        <f t="shared" si="64"/>
        <v>15932.43.4302.85.0-205128.2.3.3.08.06.</v>
      </c>
      <c r="U2081" t="e" cm="1">
        <f t="array" aca="1" ref="U2081" ca="1">+IF(COMPROMISOS_2025[[#This Row],[P]]="20","41080111",_xlfn.XLOOKUP(COMPROMISOS_2025[[#This Row],[concatenado]],PAA[[#All],[RCP-RUBRO]],PAA[[#All],[INDICADOR]],"",0))</f>
        <v>#NAME?</v>
      </c>
      <c r="V2081" s="144" t="str">
        <f t="shared" si="65"/>
        <v>85</v>
      </c>
      <c r="W2081" s="136">
        <f>+COMPROMISOS_2025[[#This Row],[valor_total]]-COMPROMISOS_2025[[#This Row],[total_cancelado]]</f>
        <v>711750</v>
      </c>
      <c r="X2081" s="136">
        <f>COMPROMISOS_2025[[#This Row],[total_ordenes]]</f>
        <v>711750</v>
      </c>
      <c r="Y2081" t="str" cm="1">
        <f t="array" aca="1" ref="Y2081" ca="1">IFERROR(_xlfn.XLOOKUP(COMPROMISOS_2025[[#This Row],[concatenado]],PAA[[#All],[RCP-RUBRO]],PAA[[#All],[Actividad3]],VLOOKUP(COMPROMISOS_2025[[#This Row],[Indicador Principal]],$AC$2:$AD$17,2,0),0),"")</f>
        <v/>
      </c>
    </row>
    <row r="2082" spans="1:25" hidden="1" x14ac:dyDescent="0.25">
      <c r="A2082">
        <v>1594</v>
      </c>
      <c r="B2082" t="s">
        <v>2491</v>
      </c>
      <c r="C2082" t="s">
        <v>1936</v>
      </c>
      <c r="D2082" t="s">
        <v>4182</v>
      </c>
      <c r="F2082">
        <v>406</v>
      </c>
      <c r="G2082">
        <v>65</v>
      </c>
      <c r="H2082" t="s">
        <v>662</v>
      </c>
      <c r="I2082" t="s">
        <v>2271</v>
      </c>
      <c r="J2082">
        <v>711750</v>
      </c>
      <c r="K2082">
        <v>2025</v>
      </c>
      <c r="L2082">
        <v>1027958537</v>
      </c>
      <c r="M2082" t="s">
        <v>3724</v>
      </c>
      <c r="N2082" t="s">
        <v>1688</v>
      </c>
      <c r="O2082" t="s">
        <v>1686</v>
      </c>
      <c r="P2082">
        <v>0</v>
      </c>
      <c r="Q2082">
        <v>711750</v>
      </c>
      <c r="R2082">
        <v>0</v>
      </c>
      <c r="S2082">
        <v>0</v>
      </c>
      <c r="T2082" t="str">
        <f t="shared" si="64"/>
        <v>15942.43.4302.85.0-205128.2.3.3.08.06.</v>
      </c>
      <c r="U2082" t="e" cm="1">
        <f t="array" aca="1" ref="U2082" ca="1">+IF(COMPROMISOS_2025[[#This Row],[P]]="20","41080111",_xlfn.XLOOKUP(COMPROMISOS_2025[[#This Row],[concatenado]],PAA[[#All],[RCP-RUBRO]],PAA[[#All],[INDICADOR]],"",0))</f>
        <v>#NAME?</v>
      </c>
      <c r="V2082" s="144" t="str">
        <f t="shared" si="65"/>
        <v>85</v>
      </c>
      <c r="W2082" s="136">
        <f>+COMPROMISOS_2025[[#This Row],[valor_total]]-COMPROMISOS_2025[[#This Row],[total_cancelado]]</f>
        <v>711750</v>
      </c>
      <c r="X2082" s="136">
        <f>COMPROMISOS_2025[[#This Row],[total_ordenes]]</f>
        <v>711750</v>
      </c>
      <c r="Y2082" t="str" cm="1">
        <f t="array" aca="1" ref="Y2082" ca="1">IFERROR(_xlfn.XLOOKUP(COMPROMISOS_2025[[#This Row],[concatenado]],PAA[[#All],[RCP-RUBRO]],PAA[[#All],[Actividad3]],VLOOKUP(COMPROMISOS_2025[[#This Row],[Indicador Principal]],$AC$2:$AD$17,2,0),0),"")</f>
        <v/>
      </c>
    </row>
    <row r="2083" spans="1:25" hidden="1" x14ac:dyDescent="0.25">
      <c r="A2083">
        <v>1595</v>
      </c>
      <c r="B2083" t="s">
        <v>2491</v>
      </c>
      <c r="C2083" t="s">
        <v>1936</v>
      </c>
      <c r="D2083" t="s">
        <v>4182</v>
      </c>
      <c r="F2083">
        <v>406</v>
      </c>
      <c r="G2083">
        <v>65</v>
      </c>
      <c r="H2083" t="s">
        <v>662</v>
      </c>
      <c r="I2083" t="s">
        <v>2271</v>
      </c>
      <c r="J2083">
        <v>1067625</v>
      </c>
      <c r="K2083">
        <v>2025</v>
      </c>
      <c r="L2083">
        <v>1027963235</v>
      </c>
      <c r="M2083" t="s">
        <v>3725</v>
      </c>
      <c r="N2083" t="s">
        <v>1688</v>
      </c>
      <c r="O2083" t="s">
        <v>1686</v>
      </c>
      <c r="P2083">
        <v>0</v>
      </c>
      <c r="Q2083">
        <v>1067625</v>
      </c>
      <c r="R2083">
        <v>0</v>
      </c>
      <c r="S2083">
        <v>0</v>
      </c>
      <c r="T2083" t="str">
        <f t="shared" si="64"/>
        <v>15952.43.4302.85.0-205128.2.3.3.08.06.</v>
      </c>
      <c r="U2083" t="e" cm="1">
        <f t="array" aca="1" ref="U2083" ca="1">+IF(COMPROMISOS_2025[[#This Row],[P]]="20","41080111",_xlfn.XLOOKUP(COMPROMISOS_2025[[#This Row],[concatenado]],PAA[[#All],[RCP-RUBRO]],PAA[[#All],[INDICADOR]],"",0))</f>
        <v>#NAME?</v>
      </c>
      <c r="V2083" s="144" t="str">
        <f t="shared" si="65"/>
        <v>85</v>
      </c>
      <c r="W2083" s="136">
        <f>+COMPROMISOS_2025[[#This Row],[valor_total]]-COMPROMISOS_2025[[#This Row],[total_cancelado]]</f>
        <v>1067625</v>
      </c>
      <c r="X2083" s="136">
        <f>COMPROMISOS_2025[[#This Row],[total_ordenes]]</f>
        <v>1067625</v>
      </c>
      <c r="Y2083" t="str" cm="1">
        <f t="array" aca="1" ref="Y2083" ca="1">IFERROR(_xlfn.XLOOKUP(COMPROMISOS_2025[[#This Row],[concatenado]],PAA[[#All],[RCP-RUBRO]],PAA[[#All],[Actividad3]],VLOOKUP(COMPROMISOS_2025[[#This Row],[Indicador Principal]],$AC$2:$AD$17,2,0),0),"")</f>
        <v/>
      </c>
    </row>
    <row r="2084" spans="1:25" hidden="1" x14ac:dyDescent="0.25">
      <c r="A2084">
        <v>1596</v>
      </c>
      <c r="B2084" t="s">
        <v>2491</v>
      </c>
      <c r="C2084" t="s">
        <v>1936</v>
      </c>
      <c r="D2084" t="s">
        <v>4182</v>
      </c>
      <c r="F2084">
        <v>406</v>
      </c>
      <c r="G2084">
        <v>65</v>
      </c>
      <c r="H2084" t="s">
        <v>662</v>
      </c>
      <c r="I2084" t="s">
        <v>2271</v>
      </c>
      <c r="J2084">
        <v>1067625</v>
      </c>
      <c r="K2084">
        <v>2025</v>
      </c>
      <c r="L2084">
        <v>1027963438</v>
      </c>
      <c r="M2084" t="s">
        <v>4329</v>
      </c>
      <c r="N2084" t="s">
        <v>1688</v>
      </c>
      <c r="O2084" t="s">
        <v>1686</v>
      </c>
      <c r="P2084">
        <v>0</v>
      </c>
      <c r="Q2084">
        <v>1067625</v>
      </c>
      <c r="R2084">
        <v>0</v>
      </c>
      <c r="S2084">
        <v>0</v>
      </c>
      <c r="T2084" t="str">
        <f t="shared" si="64"/>
        <v>15962.43.4302.85.0-205128.2.3.3.08.06.</v>
      </c>
      <c r="U2084" t="e" cm="1">
        <f t="array" aca="1" ref="U2084" ca="1">+IF(COMPROMISOS_2025[[#This Row],[P]]="20","41080111",_xlfn.XLOOKUP(COMPROMISOS_2025[[#This Row],[concatenado]],PAA[[#All],[RCP-RUBRO]],PAA[[#All],[INDICADOR]],"",0))</f>
        <v>#NAME?</v>
      </c>
      <c r="V2084" s="144" t="str">
        <f t="shared" si="65"/>
        <v>85</v>
      </c>
      <c r="W2084" s="136">
        <f>+COMPROMISOS_2025[[#This Row],[valor_total]]-COMPROMISOS_2025[[#This Row],[total_cancelado]]</f>
        <v>1067625</v>
      </c>
      <c r="X2084" s="136">
        <f>COMPROMISOS_2025[[#This Row],[total_ordenes]]</f>
        <v>1067625</v>
      </c>
      <c r="Y2084" t="str" cm="1">
        <f t="array" aca="1" ref="Y2084" ca="1">IFERROR(_xlfn.XLOOKUP(COMPROMISOS_2025[[#This Row],[concatenado]],PAA[[#All],[RCP-RUBRO]],PAA[[#All],[Actividad3]],VLOOKUP(COMPROMISOS_2025[[#This Row],[Indicador Principal]],$AC$2:$AD$17,2,0),0),"")</f>
        <v/>
      </c>
    </row>
    <row r="2085" spans="1:25" hidden="1" x14ac:dyDescent="0.25">
      <c r="A2085">
        <v>1597</v>
      </c>
      <c r="B2085" t="s">
        <v>2491</v>
      </c>
      <c r="C2085" t="s">
        <v>1936</v>
      </c>
      <c r="D2085" t="s">
        <v>4182</v>
      </c>
      <c r="F2085">
        <v>406</v>
      </c>
      <c r="G2085">
        <v>65</v>
      </c>
      <c r="H2085" t="s">
        <v>662</v>
      </c>
      <c r="I2085" t="s">
        <v>2271</v>
      </c>
      <c r="J2085">
        <v>1067625</v>
      </c>
      <c r="K2085">
        <v>2025</v>
      </c>
      <c r="L2085">
        <v>1028001738</v>
      </c>
      <c r="M2085" t="s">
        <v>4050</v>
      </c>
      <c r="N2085" t="s">
        <v>1688</v>
      </c>
      <c r="O2085" t="s">
        <v>1686</v>
      </c>
      <c r="P2085">
        <v>0</v>
      </c>
      <c r="Q2085">
        <v>1067625</v>
      </c>
      <c r="R2085">
        <v>0</v>
      </c>
      <c r="S2085">
        <v>0</v>
      </c>
      <c r="T2085" t="str">
        <f t="shared" si="64"/>
        <v>15972.43.4302.85.0-205128.2.3.3.08.06.</v>
      </c>
      <c r="U2085" t="e" cm="1">
        <f t="array" aca="1" ref="U2085" ca="1">+IF(COMPROMISOS_2025[[#This Row],[P]]="20","41080111",_xlfn.XLOOKUP(COMPROMISOS_2025[[#This Row],[concatenado]],PAA[[#All],[RCP-RUBRO]],PAA[[#All],[INDICADOR]],"",0))</f>
        <v>#NAME?</v>
      </c>
      <c r="V2085" s="144" t="str">
        <f t="shared" si="65"/>
        <v>85</v>
      </c>
      <c r="W2085" s="136">
        <f>+COMPROMISOS_2025[[#This Row],[valor_total]]-COMPROMISOS_2025[[#This Row],[total_cancelado]]</f>
        <v>1067625</v>
      </c>
      <c r="X2085" s="136">
        <f>COMPROMISOS_2025[[#This Row],[total_ordenes]]</f>
        <v>1067625</v>
      </c>
      <c r="Y2085" t="str" cm="1">
        <f t="array" aca="1" ref="Y2085" ca="1">IFERROR(_xlfn.XLOOKUP(COMPROMISOS_2025[[#This Row],[concatenado]],PAA[[#All],[RCP-RUBRO]],PAA[[#All],[Actividad3]],VLOOKUP(COMPROMISOS_2025[[#This Row],[Indicador Principal]],$AC$2:$AD$17,2,0),0),"")</f>
        <v/>
      </c>
    </row>
    <row r="2086" spans="1:25" hidden="1" x14ac:dyDescent="0.25">
      <c r="A2086">
        <v>1598</v>
      </c>
      <c r="B2086" t="s">
        <v>2491</v>
      </c>
      <c r="C2086" t="s">
        <v>1936</v>
      </c>
      <c r="D2086" t="s">
        <v>4182</v>
      </c>
      <c r="F2086">
        <v>406</v>
      </c>
      <c r="G2086">
        <v>65</v>
      </c>
      <c r="H2086" t="s">
        <v>662</v>
      </c>
      <c r="I2086" t="s">
        <v>2271</v>
      </c>
      <c r="J2086">
        <v>711750</v>
      </c>
      <c r="K2086">
        <v>2025</v>
      </c>
      <c r="L2086">
        <v>1028008390</v>
      </c>
      <c r="M2086" t="s">
        <v>3726</v>
      </c>
      <c r="N2086" t="s">
        <v>1688</v>
      </c>
      <c r="O2086" t="s">
        <v>1686</v>
      </c>
      <c r="P2086">
        <v>0</v>
      </c>
      <c r="Q2086">
        <v>711750</v>
      </c>
      <c r="R2086">
        <v>0</v>
      </c>
      <c r="S2086">
        <v>0</v>
      </c>
      <c r="T2086" t="str">
        <f t="shared" si="64"/>
        <v>15982.43.4302.85.0-205128.2.3.3.08.06.</v>
      </c>
      <c r="U2086" t="e" cm="1">
        <f t="array" aca="1" ref="U2086" ca="1">+IF(COMPROMISOS_2025[[#This Row],[P]]="20","41080111",_xlfn.XLOOKUP(COMPROMISOS_2025[[#This Row],[concatenado]],PAA[[#All],[RCP-RUBRO]],PAA[[#All],[INDICADOR]],"",0))</f>
        <v>#NAME?</v>
      </c>
      <c r="V2086" s="144" t="str">
        <f t="shared" si="65"/>
        <v>85</v>
      </c>
      <c r="W2086" s="136">
        <f>+COMPROMISOS_2025[[#This Row],[valor_total]]-COMPROMISOS_2025[[#This Row],[total_cancelado]]</f>
        <v>711750</v>
      </c>
      <c r="X2086" s="136">
        <f>COMPROMISOS_2025[[#This Row],[total_ordenes]]</f>
        <v>711750</v>
      </c>
      <c r="Y2086" t="str" cm="1">
        <f t="array" aca="1" ref="Y2086" ca="1">IFERROR(_xlfn.XLOOKUP(COMPROMISOS_2025[[#This Row],[concatenado]],PAA[[#All],[RCP-RUBRO]],PAA[[#All],[Actividad3]],VLOOKUP(COMPROMISOS_2025[[#This Row],[Indicador Principal]],$AC$2:$AD$17,2,0),0),"")</f>
        <v/>
      </c>
    </row>
    <row r="2087" spans="1:25" hidden="1" x14ac:dyDescent="0.25">
      <c r="A2087">
        <v>1599</v>
      </c>
      <c r="B2087" t="s">
        <v>2491</v>
      </c>
      <c r="C2087" t="s">
        <v>1936</v>
      </c>
      <c r="D2087" t="s">
        <v>4182</v>
      </c>
      <c r="F2087">
        <v>406</v>
      </c>
      <c r="G2087">
        <v>65</v>
      </c>
      <c r="H2087" t="s">
        <v>662</v>
      </c>
      <c r="I2087" t="s">
        <v>2271</v>
      </c>
      <c r="J2087">
        <v>711750</v>
      </c>
      <c r="K2087">
        <v>2025</v>
      </c>
      <c r="L2087">
        <v>10280137243</v>
      </c>
      <c r="M2087" t="s">
        <v>4051</v>
      </c>
      <c r="N2087" t="s">
        <v>1688</v>
      </c>
      <c r="O2087" t="s">
        <v>1686</v>
      </c>
      <c r="P2087">
        <v>0</v>
      </c>
      <c r="Q2087">
        <v>711750</v>
      </c>
      <c r="R2087">
        <v>0</v>
      </c>
      <c r="S2087">
        <v>0</v>
      </c>
      <c r="T2087" t="str">
        <f t="shared" si="64"/>
        <v>15992.43.4302.85.0-205128.2.3.3.08.06.</v>
      </c>
      <c r="U2087" t="e" cm="1">
        <f t="array" aca="1" ref="U2087" ca="1">+IF(COMPROMISOS_2025[[#This Row],[P]]="20","41080111",_xlfn.XLOOKUP(COMPROMISOS_2025[[#This Row],[concatenado]],PAA[[#All],[RCP-RUBRO]],PAA[[#All],[INDICADOR]],"",0))</f>
        <v>#NAME?</v>
      </c>
      <c r="V2087" s="144" t="str">
        <f t="shared" si="65"/>
        <v>85</v>
      </c>
      <c r="W2087" s="136">
        <f>+COMPROMISOS_2025[[#This Row],[valor_total]]-COMPROMISOS_2025[[#This Row],[total_cancelado]]</f>
        <v>711750</v>
      </c>
      <c r="X2087" s="136">
        <f>COMPROMISOS_2025[[#This Row],[total_ordenes]]</f>
        <v>711750</v>
      </c>
      <c r="Y2087" t="str" cm="1">
        <f t="array" aca="1" ref="Y2087" ca="1">IFERROR(_xlfn.XLOOKUP(COMPROMISOS_2025[[#This Row],[concatenado]],PAA[[#All],[RCP-RUBRO]],PAA[[#All],[Actividad3]],VLOOKUP(COMPROMISOS_2025[[#This Row],[Indicador Principal]],$AC$2:$AD$17,2,0),0),"")</f>
        <v/>
      </c>
    </row>
    <row r="2088" spans="1:25" hidden="1" x14ac:dyDescent="0.25">
      <c r="A2088">
        <v>1600</v>
      </c>
      <c r="B2088" t="s">
        <v>2491</v>
      </c>
      <c r="C2088" t="s">
        <v>1936</v>
      </c>
      <c r="D2088" t="s">
        <v>4182</v>
      </c>
      <c r="F2088">
        <v>406</v>
      </c>
      <c r="G2088">
        <v>65</v>
      </c>
      <c r="H2088" t="s">
        <v>662</v>
      </c>
      <c r="I2088" t="s">
        <v>2271</v>
      </c>
      <c r="J2088">
        <v>2847000</v>
      </c>
      <c r="K2088">
        <v>2025</v>
      </c>
      <c r="L2088">
        <v>1028013832</v>
      </c>
      <c r="M2088" t="s">
        <v>3446</v>
      </c>
      <c r="N2088" t="s">
        <v>1688</v>
      </c>
      <c r="O2088" t="s">
        <v>1686</v>
      </c>
      <c r="P2088">
        <v>0</v>
      </c>
      <c r="Q2088">
        <v>2847000</v>
      </c>
      <c r="R2088">
        <v>0</v>
      </c>
      <c r="S2088">
        <v>0</v>
      </c>
      <c r="T2088" t="str">
        <f t="shared" si="64"/>
        <v>16002.43.4302.85.0-205128.2.3.3.08.06.</v>
      </c>
      <c r="U2088" t="e" cm="1">
        <f t="array" aca="1" ref="U2088" ca="1">+IF(COMPROMISOS_2025[[#This Row],[P]]="20","41080111",_xlfn.XLOOKUP(COMPROMISOS_2025[[#This Row],[concatenado]],PAA[[#All],[RCP-RUBRO]],PAA[[#All],[INDICADOR]],"",0))</f>
        <v>#NAME?</v>
      </c>
      <c r="V2088" s="144" t="str">
        <f t="shared" si="65"/>
        <v>85</v>
      </c>
      <c r="W2088" s="136">
        <f>+COMPROMISOS_2025[[#This Row],[valor_total]]-COMPROMISOS_2025[[#This Row],[total_cancelado]]</f>
        <v>2847000</v>
      </c>
      <c r="X2088" s="136">
        <f>COMPROMISOS_2025[[#This Row],[total_ordenes]]</f>
        <v>2847000</v>
      </c>
      <c r="Y2088" t="str" cm="1">
        <f t="array" aca="1" ref="Y2088" ca="1">IFERROR(_xlfn.XLOOKUP(COMPROMISOS_2025[[#This Row],[concatenado]],PAA[[#All],[RCP-RUBRO]],PAA[[#All],[Actividad3]],VLOOKUP(COMPROMISOS_2025[[#This Row],[Indicador Principal]],$AC$2:$AD$17,2,0),0),"")</f>
        <v/>
      </c>
    </row>
    <row r="2089" spans="1:25" hidden="1" x14ac:dyDescent="0.25">
      <c r="A2089">
        <v>1601</v>
      </c>
      <c r="B2089" t="s">
        <v>2491</v>
      </c>
      <c r="C2089" t="s">
        <v>1936</v>
      </c>
      <c r="D2089" t="s">
        <v>4182</v>
      </c>
      <c r="F2089">
        <v>406</v>
      </c>
      <c r="G2089">
        <v>65</v>
      </c>
      <c r="H2089" t="s">
        <v>662</v>
      </c>
      <c r="I2089" t="s">
        <v>2271</v>
      </c>
      <c r="J2089">
        <v>711750</v>
      </c>
      <c r="K2089">
        <v>2025</v>
      </c>
      <c r="L2089">
        <v>1028033738</v>
      </c>
      <c r="M2089" t="s">
        <v>3727</v>
      </c>
      <c r="N2089" t="s">
        <v>1688</v>
      </c>
      <c r="O2089" t="s">
        <v>1686</v>
      </c>
      <c r="P2089">
        <v>0</v>
      </c>
      <c r="Q2089">
        <v>711750</v>
      </c>
      <c r="R2089">
        <v>0</v>
      </c>
      <c r="S2089">
        <v>0</v>
      </c>
      <c r="T2089" t="str">
        <f t="shared" si="64"/>
        <v>16012.43.4302.85.0-205128.2.3.3.08.06.</v>
      </c>
      <c r="U2089" t="e" cm="1">
        <f t="array" aca="1" ref="U2089" ca="1">+IF(COMPROMISOS_2025[[#This Row],[P]]="20","41080111",_xlfn.XLOOKUP(COMPROMISOS_2025[[#This Row],[concatenado]],PAA[[#All],[RCP-RUBRO]],PAA[[#All],[INDICADOR]],"",0))</f>
        <v>#NAME?</v>
      </c>
      <c r="V2089" s="144" t="str">
        <f t="shared" si="65"/>
        <v>85</v>
      </c>
      <c r="W2089" s="136">
        <f>+COMPROMISOS_2025[[#This Row],[valor_total]]-COMPROMISOS_2025[[#This Row],[total_cancelado]]</f>
        <v>711750</v>
      </c>
      <c r="X2089" s="136">
        <f>COMPROMISOS_2025[[#This Row],[total_ordenes]]</f>
        <v>711750</v>
      </c>
      <c r="Y2089" t="str" cm="1">
        <f t="array" aca="1" ref="Y2089" ca="1">IFERROR(_xlfn.XLOOKUP(COMPROMISOS_2025[[#This Row],[concatenado]],PAA[[#All],[RCP-RUBRO]],PAA[[#All],[Actividad3]],VLOOKUP(COMPROMISOS_2025[[#This Row],[Indicador Principal]],$AC$2:$AD$17,2,0),0),"")</f>
        <v/>
      </c>
    </row>
    <row r="2090" spans="1:25" hidden="1" x14ac:dyDescent="0.25">
      <c r="A2090">
        <v>1602</v>
      </c>
      <c r="B2090" t="s">
        <v>2491</v>
      </c>
      <c r="C2090" t="s">
        <v>1936</v>
      </c>
      <c r="D2090" t="s">
        <v>4182</v>
      </c>
      <c r="F2090">
        <v>406</v>
      </c>
      <c r="G2090">
        <v>65</v>
      </c>
      <c r="H2090" t="s">
        <v>662</v>
      </c>
      <c r="I2090" t="s">
        <v>2271</v>
      </c>
      <c r="J2090">
        <v>1423500</v>
      </c>
      <c r="K2090">
        <v>2025</v>
      </c>
      <c r="L2090">
        <v>1028038160</v>
      </c>
      <c r="M2090" t="s">
        <v>4052</v>
      </c>
      <c r="N2090" t="s">
        <v>1688</v>
      </c>
      <c r="O2090" t="s">
        <v>1686</v>
      </c>
      <c r="P2090">
        <v>0</v>
      </c>
      <c r="Q2090">
        <v>1423500</v>
      </c>
      <c r="R2090">
        <v>0</v>
      </c>
      <c r="S2090">
        <v>0</v>
      </c>
      <c r="T2090" t="str">
        <f t="shared" si="64"/>
        <v>16022.43.4302.85.0-205128.2.3.3.08.06.</v>
      </c>
      <c r="U2090" t="e" cm="1">
        <f t="array" aca="1" ref="U2090" ca="1">+IF(COMPROMISOS_2025[[#This Row],[P]]="20","41080111",_xlfn.XLOOKUP(COMPROMISOS_2025[[#This Row],[concatenado]],PAA[[#All],[RCP-RUBRO]],PAA[[#All],[INDICADOR]],"",0))</f>
        <v>#NAME?</v>
      </c>
      <c r="V2090" s="144" t="str">
        <f t="shared" si="65"/>
        <v>85</v>
      </c>
      <c r="W2090" s="136">
        <f>+COMPROMISOS_2025[[#This Row],[valor_total]]-COMPROMISOS_2025[[#This Row],[total_cancelado]]</f>
        <v>1423500</v>
      </c>
      <c r="X2090" s="136">
        <f>COMPROMISOS_2025[[#This Row],[total_ordenes]]</f>
        <v>1423500</v>
      </c>
      <c r="Y2090" t="str" cm="1">
        <f t="array" aca="1" ref="Y2090" ca="1">IFERROR(_xlfn.XLOOKUP(COMPROMISOS_2025[[#This Row],[concatenado]],PAA[[#All],[RCP-RUBRO]],PAA[[#All],[Actividad3]],VLOOKUP(COMPROMISOS_2025[[#This Row],[Indicador Principal]],$AC$2:$AD$17,2,0),0),"")</f>
        <v/>
      </c>
    </row>
    <row r="2091" spans="1:25" hidden="1" x14ac:dyDescent="0.25">
      <c r="A2091">
        <v>1603</v>
      </c>
      <c r="B2091" t="s">
        <v>2491</v>
      </c>
      <c r="C2091" t="s">
        <v>1936</v>
      </c>
      <c r="D2091" t="s">
        <v>4182</v>
      </c>
      <c r="F2091">
        <v>406</v>
      </c>
      <c r="G2091">
        <v>65</v>
      </c>
      <c r="H2091" t="s">
        <v>662</v>
      </c>
      <c r="I2091" t="s">
        <v>2271</v>
      </c>
      <c r="J2091">
        <v>1423500</v>
      </c>
      <c r="K2091">
        <v>2025</v>
      </c>
      <c r="L2091">
        <v>1029140649</v>
      </c>
      <c r="M2091" t="s">
        <v>4053</v>
      </c>
      <c r="N2091" t="s">
        <v>1688</v>
      </c>
      <c r="O2091" t="s">
        <v>1686</v>
      </c>
      <c r="P2091">
        <v>0</v>
      </c>
      <c r="Q2091">
        <v>1423500</v>
      </c>
      <c r="R2091">
        <v>0</v>
      </c>
      <c r="S2091">
        <v>0</v>
      </c>
      <c r="T2091" t="str">
        <f t="shared" si="64"/>
        <v>16032.43.4302.85.0-205128.2.3.3.08.06.</v>
      </c>
      <c r="U2091" t="e" cm="1">
        <f t="array" aca="1" ref="U2091" ca="1">+IF(COMPROMISOS_2025[[#This Row],[P]]="20","41080111",_xlfn.XLOOKUP(COMPROMISOS_2025[[#This Row],[concatenado]],PAA[[#All],[RCP-RUBRO]],PAA[[#All],[INDICADOR]],"",0))</f>
        <v>#NAME?</v>
      </c>
      <c r="V2091" s="144" t="str">
        <f t="shared" si="65"/>
        <v>85</v>
      </c>
      <c r="W2091" s="136">
        <f>+COMPROMISOS_2025[[#This Row],[valor_total]]-COMPROMISOS_2025[[#This Row],[total_cancelado]]</f>
        <v>1423500</v>
      </c>
      <c r="X2091" s="136">
        <f>COMPROMISOS_2025[[#This Row],[total_ordenes]]</f>
        <v>1423500</v>
      </c>
      <c r="Y2091" t="str" cm="1">
        <f t="array" aca="1" ref="Y2091" ca="1">IFERROR(_xlfn.XLOOKUP(COMPROMISOS_2025[[#This Row],[concatenado]],PAA[[#All],[RCP-RUBRO]],PAA[[#All],[Actividad3]],VLOOKUP(COMPROMISOS_2025[[#This Row],[Indicador Principal]],$AC$2:$AD$17,2,0),0),"")</f>
        <v/>
      </c>
    </row>
    <row r="2092" spans="1:25" hidden="1" x14ac:dyDescent="0.25">
      <c r="A2092">
        <v>1604</v>
      </c>
      <c r="B2092" t="s">
        <v>2491</v>
      </c>
      <c r="C2092" t="s">
        <v>1936</v>
      </c>
      <c r="D2092" t="s">
        <v>4182</v>
      </c>
      <c r="F2092">
        <v>406</v>
      </c>
      <c r="G2092">
        <v>65</v>
      </c>
      <c r="H2092" t="s">
        <v>662</v>
      </c>
      <c r="I2092" t="s">
        <v>2271</v>
      </c>
      <c r="J2092">
        <v>1067625</v>
      </c>
      <c r="K2092">
        <v>2025</v>
      </c>
      <c r="L2092">
        <v>1029300329</v>
      </c>
      <c r="M2092" t="s">
        <v>3728</v>
      </c>
      <c r="N2092" t="s">
        <v>1688</v>
      </c>
      <c r="O2092" t="s">
        <v>1686</v>
      </c>
      <c r="P2092">
        <v>0</v>
      </c>
      <c r="Q2092">
        <v>1067625</v>
      </c>
      <c r="R2092">
        <v>0</v>
      </c>
      <c r="S2092">
        <v>0</v>
      </c>
      <c r="T2092" t="str">
        <f t="shared" si="64"/>
        <v>16042.43.4302.85.0-205128.2.3.3.08.06.</v>
      </c>
      <c r="U2092" t="e" cm="1">
        <f t="array" aca="1" ref="U2092" ca="1">+IF(COMPROMISOS_2025[[#This Row],[P]]="20","41080111",_xlfn.XLOOKUP(COMPROMISOS_2025[[#This Row],[concatenado]],PAA[[#All],[RCP-RUBRO]],PAA[[#All],[INDICADOR]],"",0))</f>
        <v>#NAME?</v>
      </c>
      <c r="V2092" s="144" t="str">
        <f t="shared" si="65"/>
        <v>85</v>
      </c>
      <c r="W2092" s="136">
        <f>+COMPROMISOS_2025[[#This Row],[valor_total]]-COMPROMISOS_2025[[#This Row],[total_cancelado]]</f>
        <v>1067625</v>
      </c>
      <c r="X2092" s="136">
        <f>COMPROMISOS_2025[[#This Row],[total_ordenes]]</f>
        <v>1067625</v>
      </c>
      <c r="Y2092" t="str" cm="1">
        <f t="array" aca="1" ref="Y2092" ca="1">IFERROR(_xlfn.XLOOKUP(COMPROMISOS_2025[[#This Row],[concatenado]],PAA[[#All],[RCP-RUBRO]],PAA[[#All],[Actividad3]],VLOOKUP(COMPROMISOS_2025[[#This Row],[Indicador Principal]],$AC$2:$AD$17,2,0),0),"")</f>
        <v/>
      </c>
    </row>
    <row r="2093" spans="1:25" hidden="1" x14ac:dyDescent="0.25">
      <c r="A2093">
        <v>1605</v>
      </c>
      <c r="B2093" t="s">
        <v>2491</v>
      </c>
      <c r="C2093" t="s">
        <v>1936</v>
      </c>
      <c r="D2093" t="s">
        <v>4182</v>
      </c>
      <c r="F2093">
        <v>406</v>
      </c>
      <c r="G2093">
        <v>65</v>
      </c>
      <c r="H2093" t="s">
        <v>662</v>
      </c>
      <c r="I2093" t="s">
        <v>2271</v>
      </c>
      <c r="J2093">
        <v>1067625</v>
      </c>
      <c r="K2093">
        <v>2025</v>
      </c>
      <c r="L2093">
        <v>1029721776</v>
      </c>
      <c r="M2093" t="s">
        <v>3729</v>
      </c>
      <c r="N2093" t="s">
        <v>1688</v>
      </c>
      <c r="O2093" t="s">
        <v>1686</v>
      </c>
      <c r="P2093">
        <v>0</v>
      </c>
      <c r="Q2093">
        <v>1067625</v>
      </c>
      <c r="R2093">
        <v>0</v>
      </c>
      <c r="S2093">
        <v>0</v>
      </c>
      <c r="T2093" t="str">
        <f t="shared" si="64"/>
        <v>16052.43.4302.85.0-205128.2.3.3.08.06.</v>
      </c>
      <c r="U2093" t="e" cm="1">
        <f t="array" aca="1" ref="U2093" ca="1">+IF(COMPROMISOS_2025[[#This Row],[P]]="20","41080111",_xlfn.XLOOKUP(COMPROMISOS_2025[[#This Row],[concatenado]],PAA[[#All],[RCP-RUBRO]],PAA[[#All],[INDICADOR]],"",0))</f>
        <v>#NAME?</v>
      </c>
      <c r="V2093" s="144" t="str">
        <f t="shared" si="65"/>
        <v>85</v>
      </c>
      <c r="W2093" s="136">
        <f>+COMPROMISOS_2025[[#This Row],[valor_total]]-COMPROMISOS_2025[[#This Row],[total_cancelado]]</f>
        <v>1067625</v>
      </c>
      <c r="X2093" s="136">
        <f>COMPROMISOS_2025[[#This Row],[total_ordenes]]</f>
        <v>1067625</v>
      </c>
      <c r="Y2093" t="str" cm="1">
        <f t="array" aca="1" ref="Y2093" ca="1">IFERROR(_xlfn.XLOOKUP(COMPROMISOS_2025[[#This Row],[concatenado]],PAA[[#All],[RCP-RUBRO]],PAA[[#All],[Actividad3]],VLOOKUP(COMPROMISOS_2025[[#This Row],[Indicador Principal]],$AC$2:$AD$17,2,0),0),"")</f>
        <v/>
      </c>
    </row>
    <row r="2094" spans="1:25" hidden="1" x14ac:dyDescent="0.25">
      <c r="A2094">
        <v>1606</v>
      </c>
      <c r="B2094" t="s">
        <v>2491</v>
      </c>
      <c r="C2094" t="s">
        <v>1936</v>
      </c>
      <c r="D2094" t="s">
        <v>4182</v>
      </c>
      <c r="F2094">
        <v>406</v>
      </c>
      <c r="G2094">
        <v>65</v>
      </c>
      <c r="H2094" t="s">
        <v>662</v>
      </c>
      <c r="I2094" t="s">
        <v>2271</v>
      </c>
      <c r="J2094">
        <v>711750</v>
      </c>
      <c r="K2094">
        <v>2025</v>
      </c>
      <c r="L2094">
        <v>1030240900</v>
      </c>
      <c r="M2094" t="s">
        <v>4330</v>
      </c>
      <c r="N2094" t="s">
        <v>1688</v>
      </c>
      <c r="O2094" t="s">
        <v>1686</v>
      </c>
      <c r="P2094">
        <v>0</v>
      </c>
      <c r="Q2094">
        <v>711750</v>
      </c>
      <c r="R2094">
        <v>0</v>
      </c>
      <c r="S2094">
        <v>0</v>
      </c>
      <c r="T2094" t="str">
        <f t="shared" si="64"/>
        <v>16062.43.4302.85.0-205128.2.3.3.08.06.</v>
      </c>
      <c r="U2094" t="e" cm="1">
        <f t="array" aca="1" ref="U2094" ca="1">+IF(COMPROMISOS_2025[[#This Row],[P]]="20","41080111",_xlfn.XLOOKUP(COMPROMISOS_2025[[#This Row],[concatenado]],PAA[[#All],[RCP-RUBRO]],PAA[[#All],[INDICADOR]],"",0))</f>
        <v>#NAME?</v>
      </c>
      <c r="V2094" s="144" t="str">
        <f t="shared" si="65"/>
        <v>85</v>
      </c>
      <c r="W2094" s="136">
        <f>+COMPROMISOS_2025[[#This Row],[valor_total]]-COMPROMISOS_2025[[#This Row],[total_cancelado]]</f>
        <v>711750</v>
      </c>
      <c r="X2094" s="136">
        <f>COMPROMISOS_2025[[#This Row],[total_ordenes]]</f>
        <v>711750</v>
      </c>
      <c r="Y2094" t="str" cm="1">
        <f t="array" aca="1" ref="Y2094" ca="1">IFERROR(_xlfn.XLOOKUP(COMPROMISOS_2025[[#This Row],[concatenado]],PAA[[#All],[RCP-RUBRO]],PAA[[#All],[Actividad3]],VLOOKUP(COMPROMISOS_2025[[#This Row],[Indicador Principal]],$AC$2:$AD$17,2,0),0),"")</f>
        <v/>
      </c>
    </row>
    <row r="2095" spans="1:25" hidden="1" x14ac:dyDescent="0.25">
      <c r="A2095">
        <v>1607</v>
      </c>
      <c r="B2095" t="s">
        <v>2491</v>
      </c>
      <c r="C2095" t="s">
        <v>1936</v>
      </c>
      <c r="D2095" t="s">
        <v>4182</v>
      </c>
      <c r="F2095">
        <v>406</v>
      </c>
      <c r="G2095">
        <v>65</v>
      </c>
      <c r="H2095" t="s">
        <v>662</v>
      </c>
      <c r="I2095" t="s">
        <v>2271</v>
      </c>
      <c r="J2095">
        <v>1423500</v>
      </c>
      <c r="K2095">
        <v>2025</v>
      </c>
      <c r="L2095">
        <v>1031650720</v>
      </c>
      <c r="M2095" t="s">
        <v>4054</v>
      </c>
      <c r="N2095" t="s">
        <v>1688</v>
      </c>
      <c r="O2095" t="s">
        <v>1686</v>
      </c>
      <c r="P2095">
        <v>0</v>
      </c>
      <c r="Q2095">
        <v>1423500</v>
      </c>
      <c r="R2095">
        <v>0</v>
      </c>
      <c r="S2095">
        <v>0</v>
      </c>
      <c r="T2095" t="str">
        <f t="shared" si="64"/>
        <v>16072.43.4302.85.0-205128.2.3.3.08.06.</v>
      </c>
      <c r="U2095" t="e" cm="1">
        <f t="array" aca="1" ref="U2095" ca="1">+IF(COMPROMISOS_2025[[#This Row],[P]]="20","41080111",_xlfn.XLOOKUP(COMPROMISOS_2025[[#This Row],[concatenado]],PAA[[#All],[RCP-RUBRO]],PAA[[#All],[INDICADOR]],"",0))</f>
        <v>#NAME?</v>
      </c>
      <c r="V2095" s="144" t="str">
        <f t="shared" si="65"/>
        <v>85</v>
      </c>
      <c r="W2095" s="136">
        <f>+COMPROMISOS_2025[[#This Row],[valor_total]]-COMPROMISOS_2025[[#This Row],[total_cancelado]]</f>
        <v>1423500</v>
      </c>
      <c r="X2095" s="136">
        <f>COMPROMISOS_2025[[#This Row],[total_ordenes]]</f>
        <v>1423500</v>
      </c>
      <c r="Y2095" t="str" cm="1">
        <f t="array" aca="1" ref="Y2095" ca="1">IFERROR(_xlfn.XLOOKUP(COMPROMISOS_2025[[#This Row],[concatenado]],PAA[[#All],[RCP-RUBRO]],PAA[[#All],[Actividad3]],VLOOKUP(COMPROMISOS_2025[[#This Row],[Indicador Principal]],$AC$2:$AD$17,2,0),0),"")</f>
        <v/>
      </c>
    </row>
    <row r="2096" spans="1:25" hidden="1" x14ac:dyDescent="0.25">
      <c r="A2096">
        <v>1608</v>
      </c>
      <c r="B2096" t="s">
        <v>2491</v>
      </c>
      <c r="C2096" t="s">
        <v>1936</v>
      </c>
      <c r="D2096" t="s">
        <v>4182</v>
      </c>
      <c r="F2096">
        <v>406</v>
      </c>
      <c r="G2096">
        <v>65</v>
      </c>
      <c r="H2096" t="s">
        <v>662</v>
      </c>
      <c r="I2096" t="s">
        <v>2271</v>
      </c>
      <c r="J2096">
        <v>711750</v>
      </c>
      <c r="K2096">
        <v>2025</v>
      </c>
      <c r="L2096">
        <v>1031940766</v>
      </c>
      <c r="M2096" t="s">
        <v>3730</v>
      </c>
      <c r="N2096" t="s">
        <v>1688</v>
      </c>
      <c r="O2096" t="s">
        <v>1686</v>
      </c>
      <c r="P2096">
        <v>0</v>
      </c>
      <c r="Q2096">
        <v>711750</v>
      </c>
      <c r="R2096">
        <v>0</v>
      </c>
      <c r="S2096">
        <v>0</v>
      </c>
      <c r="T2096" t="str">
        <f t="shared" si="64"/>
        <v>16082.43.4302.85.0-205128.2.3.3.08.06.</v>
      </c>
      <c r="U2096" t="e" cm="1">
        <f t="array" aca="1" ref="U2096" ca="1">+IF(COMPROMISOS_2025[[#This Row],[P]]="20","41080111",_xlfn.XLOOKUP(COMPROMISOS_2025[[#This Row],[concatenado]],PAA[[#All],[RCP-RUBRO]],PAA[[#All],[INDICADOR]],"",0))</f>
        <v>#NAME?</v>
      </c>
      <c r="V2096" s="144" t="str">
        <f t="shared" si="65"/>
        <v>85</v>
      </c>
      <c r="W2096" s="136">
        <f>+COMPROMISOS_2025[[#This Row],[valor_total]]-COMPROMISOS_2025[[#This Row],[total_cancelado]]</f>
        <v>711750</v>
      </c>
      <c r="X2096" s="136">
        <f>COMPROMISOS_2025[[#This Row],[total_ordenes]]</f>
        <v>711750</v>
      </c>
      <c r="Y2096" t="str" cm="1">
        <f t="array" aca="1" ref="Y2096" ca="1">IFERROR(_xlfn.XLOOKUP(COMPROMISOS_2025[[#This Row],[concatenado]],PAA[[#All],[RCP-RUBRO]],PAA[[#All],[Actividad3]],VLOOKUP(COMPROMISOS_2025[[#This Row],[Indicador Principal]],$AC$2:$AD$17,2,0),0),"")</f>
        <v/>
      </c>
    </row>
    <row r="2097" spans="1:25" hidden="1" x14ac:dyDescent="0.25">
      <c r="A2097">
        <v>1609</v>
      </c>
      <c r="B2097" t="s">
        <v>2491</v>
      </c>
      <c r="C2097" t="s">
        <v>1936</v>
      </c>
      <c r="D2097" t="s">
        <v>4182</v>
      </c>
      <c r="F2097">
        <v>406</v>
      </c>
      <c r="G2097">
        <v>65</v>
      </c>
      <c r="H2097" t="s">
        <v>662</v>
      </c>
      <c r="I2097" t="s">
        <v>2271</v>
      </c>
      <c r="J2097">
        <v>711750</v>
      </c>
      <c r="K2097">
        <v>2025</v>
      </c>
      <c r="L2097">
        <v>1031941157</v>
      </c>
      <c r="M2097" t="s">
        <v>3731</v>
      </c>
      <c r="N2097" t="s">
        <v>1688</v>
      </c>
      <c r="O2097" t="s">
        <v>1686</v>
      </c>
      <c r="P2097">
        <v>0</v>
      </c>
      <c r="Q2097">
        <v>711750</v>
      </c>
      <c r="R2097">
        <v>0</v>
      </c>
      <c r="S2097">
        <v>0</v>
      </c>
      <c r="T2097" t="str">
        <f t="shared" si="64"/>
        <v>16092.43.4302.85.0-205128.2.3.3.08.06.</v>
      </c>
      <c r="U2097" t="e" cm="1">
        <f t="array" aca="1" ref="U2097" ca="1">+IF(COMPROMISOS_2025[[#This Row],[P]]="20","41080111",_xlfn.XLOOKUP(COMPROMISOS_2025[[#This Row],[concatenado]],PAA[[#All],[RCP-RUBRO]],PAA[[#All],[INDICADOR]],"",0))</f>
        <v>#NAME?</v>
      </c>
      <c r="V2097" s="144" t="str">
        <f t="shared" si="65"/>
        <v>85</v>
      </c>
      <c r="W2097" s="136">
        <f>+COMPROMISOS_2025[[#This Row],[valor_total]]-COMPROMISOS_2025[[#This Row],[total_cancelado]]</f>
        <v>711750</v>
      </c>
      <c r="X2097" s="136">
        <f>COMPROMISOS_2025[[#This Row],[total_ordenes]]</f>
        <v>711750</v>
      </c>
      <c r="Y2097" t="str" cm="1">
        <f t="array" aca="1" ref="Y2097" ca="1">IFERROR(_xlfn.XLOOKUP(COMPROMISOS_2025[[#This Row],[concatenado]],PAA[[#All],[RCP-RUBRO]],PAA[[#All],[Actividad3]],VLOOKUP(COMPROMISOS_2025[[#This Row],[Indicador Principal]],$AC$2:$AD$17,2,0),0),"")</f>
        <v/>
      </c>
    </row>
    <row r="2098" spans="1:25" hidden="1" x14ac:dyDescent="0.25">
      <c r="A2098">
        <v>1610</v>
      </c>
      <c r="B2098" t="s">
        <v>2491</v>
      </c>
      <c r="C2098" t="s">
        <v>1936</v>
      </c>
      <c r="D2098" t="s">
        <v>4182</v>
      </c>
      <c r="F2098">
        <v>406</v>
      </c>
      <c r="G2098">
        <v>65</v>
      </c>
      <c r="H2098" t="s">
        <v>662</v>
      </c>
      <c r="I2098" t="s">
        <v>2271</v>
      </c>
      <c r="J2098">
        <v>711750</v>
      </c>
      <c r="K2098">
        <v>2025</v>
      </c>
      <c r="L2098">
        <v>1031941500</v>
      </c>
      <c r="M2098" t="s">
        <v>3732</v>
      </c>
      <c r="N2098" t="s">
        <v>1688</v>
      </c>
      <c r="O2098" t="s">
        <v>1686</v>
      </c>
      <c r="P2098">
        <v>0</v>
      </c>
      <c r="Q2098">
        <v>711750</v>
      </c>
      <c r="R2098">
        <v>0</v>
      </c>
      <c r="S2098">
        <v>0</v>
      </c>
      <c r="T2098" t="str">
        <f t="shared" si="64"/>
        <v>16102.43.4302.85.0-205128.2.3.3.08.06.</v>
      </c>
      <c r="U2098" t="e" cm="1">
        <f t="array" aca="1" ref="U2098" ca="1">+IF(COMPROMISOS_2025[[#This Row],[P]]="20","41080111",_xlfn.XLOOKUP(COMPROMISOS_2025[[#This Row],[concatenado]],PAA[[#All],[RCP-RUBRO]],PAA[[#All],[INDICADOR]],"",0))</f>
        <v>#NAME?</v>
      </c>
      <c r="V2098" s="144" t="str">
        <f t="shared" si="65"/>
        <v>85</v>
      </c>
      <c r="W2098" s="136">
        <f>+COMPROMISOS_2025[[#This Row],[valor_total]]-COMPROMISOS_2025[[#This Row],[total_cancelado]]</f>
        <v>711750</v>
      </c>
      <c r="X2098" s="136">
        <f>COMPROMISOS_2025[[#This Row],[total_ordenes]]</f>
        <v>711750</v>
      </c>
      <c r="Y2098" t="str" cm="1">
        <f t="array" aca="1" ref="Y2098" ca="1">IFERROR(_xlfn.XLOOKUP(COMPROMISOS_2025[[#This Row],[concatenado]],PAA[[#All],[RCP-RUBRO]],PAA[[#All],[Actividad3]],VLOOKUP(COMPROMISOS_2025[[#This Row],[Indicador Principal]],$AC$2:$AD$17,2,0),0),"")</f>
        <v/>
      </c>
    </row>
    <row r="2099" spans="1:25" hidden="1" x14ac:dyDescent="0.25">
      <c r="A2099">
        <v>1611</v>
      </c>
      <c r="B2099" t="s">
        <v>2491</v>
      </c>
      <c r="C2099" t="s">
        <v>1936</v>
      </c>
      <c r="D2099" t="s">
        <v>4182</v>
      </c>
      <c r="F2099">
        <v>406</v>
      </c>
      <c r="G2099">
        <v>65</v>
      </c>
      <c r="H2099" t="s">
        <v>662</v>
      </c>
      <c r="I2099" t="s">
        <v>2271</v>
      </c>
      <c r="J2099">
        <v>1067625</v>
      </c>
      <c r="K2099">
        <v>2025</v>
      </c>
      <c r="L2099">
        <v>1031941991</v>
      </c>
      <c r="M2099" t="s">
        <v>3733</v>
      </c>
      <c r="N2099" t="s">
        <v>1688</v>
      </c>
      <c r="O2099" t="s">
        <v>1686</v>
      </c>
      <c r="P2099">
        <v>0</v>
      </c>
      <c r="Q2099">
        <v>1067625</v>
      </c>
      <c r="R2099">
        <v>0</v>
      </c>
      <c r="S2099">
        <v>0</v>
      </c>
      <c r="T2099" t="str">
        <f t="shared" si="64"/>
        <v>16112.43.4302.85.0-205128.2.3.3.08.06.</v>
      </c>
      <c r="U2099" t="e" cm="1">
        <f t="array" aca="1" ref="U2099" ca="1">+IF(COMPROMISOS_2025[[#This Row],[P]]="20","41080111",_xlfn.XLOOKUP(COMPROMISOS_2025[[#This Row],[concatenado]],PAA[[#All],[RCP-RUBRO]],PAA[[#All],[INDICADOR]],"",0))</f>
        <v>#NAME?</v>
      </c>
      <c r="V2099" s="144" t="str">
        <f t="shared" si="65"/>
        <v>85</v>
      </c>
      <c r="W2099" s="136">
        <f>+COMPROMISOS_2025[[#This Row],[valor_total]]-COMPROMISOS_2025[[#This Row],[total_cancelado]]</f>
        <v>1067625</v>
      </c>
      <c r="X2099" s="136">
        <f>COMPROMISOS_2025[[#This Row],[total_ordenes]]</f>
        <v>1067625</v>
      </c>
      <c r="Y2099" t="str" cm="1">
        <f t="array" aca="1" ref="Y2099" ca="1">IFERROR(_xlfn.XLOOKUP(COMPROMISOS_2025[[#This Row],[concatenado]],PAA[[#All],[RCP-RUBRO]],PAA[[#All],[Actividad3]],VLOOKUP(COMPROMISOS_2025[[#This Row],[Indicador Principal]],$AC$2:$AD$17,2,0),0),"")</f>
        <v/>
      </c>
    </row>
    <row r="2100" spans="1:25" hidden="1" x14ac:dyDescent="0.25">
      <c r="A2100">
        <v>1612</v>
      </c>
      <c r="B2100" t="s">
        <v>2491</v>
      </c>
      <c r="C2100" t="s">
        <v>1936</v>
      </c>
      <c r="D2100" t="s">
        <v>4182</v>
      </c>
      <c r="F2100">
        <v>406</v>
      </c>
      <c r="G2100">
        <v>65</v>
      </c>
      <c r="H2100" t="s">
        <v>662</v>
      </c>
      <c r="I2100" t="s">
        <v>2271</v>
      </c>
      <c r="J2100">
        <v>1067625</v>
      </c>
      <c r="K2100">
        <v>2025</v>
      </c>
      <c r="L2100">
        <v>1032011013</v>
      </c>
      <c r="M2100" t="s">
        <v>3734</v>
      </c>
      <c r="N2100" t="s">
        <v>1688</v>
      </c>
      <c r="O2100" t="s">
        <v>1686</v>
      </c>
      <c r="P2100">
        <v>0</v>
      </c>
      <c r="Q2100">
        <v>1067625</v>
      </c>
      <c r="R2100">
        <v>0</v>
      </c>
      <c r="S2100">
        <v>0</v>
      </c>
      <c r="T2100" t="str">
        <f t="shared" si="64"/>
        <v>16122.43.4302.85.0-205128.2.3.3.08.06.</v>
      </c>
      <c r="U2100" t="e" cm="1">
        <f t="array" aca="1" ref="U2100" ca="1">+IF(COMPROMISOS_2025[[#This Row],[P]]="20","41080111",_xlfn.XLOOKUP(COMPROMISOS_2025[[#This Row],[concatenado]],PAA[[#All],[RCP-RUBRO]],PAA[[#All],[INDICADOR]],"",0))</f>
        <v>#NAME?</v>
      </c>
      <c r="V2100" s="144" t="str">
        <f t="shared" si="65"/>
        <v>85</v>
      </c>
      <c r="W2100" s="136">
        <f>+COMPROMISOS_2025[[#This Row],[valor_total]]-COMPROMISOS_2025[[#This Row],[total_cancelado]]</f>
        <v>1067625</v>
      </c>
      <c r="X2100" s="136">
        <f>COMPROMISOS_2025[[#This Row],[total_ordenes]]</f>
        <v>1067625</v>
      </c>
      <c r="Y2100" t="str" cm="1">
        <f t="array" aca="1" ref="Y2100" ca="1">IFERROR(_xlfn.XLOOKUP(COMPROMISOS_2025[[#This Row],[concatenado]],PAA[[#All],[RCP-RUBRO]],PAA[[#All],[Actividad3]],VLOOKUP(COMPROMISOS_2025[[#This Row],[Indicador Principal]],$AC$2:$AD$17,2,0),0),"")</f>
        <v/>
      </c>
    </row>
    <row r="2101" spans="1:25" hidden="1" x14ac:dyDescent="0.25">
      <c r="A2101">
        <v>1613</v>
      </c>
      <c r="B2101" t="s">
        <v>2491</v>
      </c>
      <c r="C2101" t="s">
        <v>1936</v>
      </c>
      <c r="D2101" t="s">
        <v>4182</v>
      </c>
      <c r="F2101">
        <v>406</v>
      </c>
      <c r="G2101">
        <v>65</v>
      </c>
      <c r="H2101" t="s">
        <v>662</v>
      </c>
      <c r="I2101" t="s">
        <v>2271</v>
      </c>
      <c r="J2101">
        <v>1067625</v>
      </c>
      <c r="K2101">
        <v>2025</v>
      </c>
      <c r="L2101">
        <v>1032011253</v>
      </c>
      <c r="M2101" t="s">
        <v>4331</v>
      </c>
      <c r="N2101" t="s">
        <v>1688</v>
      </c>
      <c r="O2101" t="s">
        <v>1686</v>
      </c>
      <c r="P2101">
        <v>0</v>
      </c>
      <c r="Q2101">
        <v>1067625</v>
      </c>
      <c r="R2101">
        <v>0</v>
      </c>
      <c r="S2101">
        <v>0</v>
      </c>
      <c r="T2101" t="str">
        <f t="shared" si="64"/>
        <v>16132.43.4302.85.0-205128.2.3.3.08.06.</v>
      </c>
      <c r="U2101" t="e" cm="1">
        <f t="array" aca="1" ref="U2101" ca="1">+IF(COMPROMISOS_2025[[#This Row],[P]]="20","41080111",_xlfn.XLOOKUP(COMPROMISOS_2025[[#This Row],[concatenado]],PAA[[#All],[RCP-RUBRO]],PAA[[#All],[INDICADOR]],"",0))</f>
        <v>#NAME?</v>
      </c>
      <c r="V2101" s="144" t="str">
        <f t="shared" si="65"/>
        <v>85</v>
      </c>
      <c r="W2101" s="136">
        <f>+COMPROMISOS_2025[[#This Row],[valor_total]]-COMPROMISOS_2025[[#This Row],[total_cancelado]]</f>
        <v>1067625</v>
      </c>
      <c r="X2101" s="136">
        <f>COMPROMISOS_2025[[#This Row],[total_ordenes]]</f>
        <v>1067625</v>
      </c>
      <c r="Y2101" t="str" cm="1">
        <f t="array" aca="1" ref="Y2101" ca="1">IFERROR(_xlfn.XLOOKUP(COMPROMISOS_2025[[#This Row],[concatenado]],PAA[[#All],[RCP-RUBRO]],PAA[[#All],[Actividad3]],VLOOKUP(COMPROMISOS_2025[[#This Row],[Indicador Principal]],$AC$2:$AD$17,2,0),0),"")</f>
        <v/>
      </c>
    </row>
    <row r="2102" spans="1:25" hidden="1" x14ac:dyDescent="0.25">
      <c r="A2102">
        <v>1614</v>
      </c>
      <c r="B2102" t="s">
        <v>2491</v>
      </c>
      <c r="C2102" t="s">
        <v>1936</v>
      </c>
      <c r="D2102" t="s">
        <v>4182</v>
      </c>
      <c r="F2102">
        <v>406</v>
      </c>
      <c r="G2102">
        <v>65</v>
      </c>
      <c r="H2102" t="s">
        <v>662</v>
      </c>
      <c r="I2102" t="s">
        <v>2271</v>
      </c>
      <c r="J2102">
        <v>1067625</v>
      </c>
      <c r="K2102">
        <v>2025</v>
      </c>
      <c r="L2102">
        <v>1032011525</v>
      </c>
      <c r="M2102" t="s">
        <v>4332</v>
      </c>
      <c r="N2102" t="s">
        <v>1688</v>
      </c>
      <c r="O2102" t="s">
        <v>1686</v>
      </c>
      <c r="P2102">
        <v>0</v>
      </c>
      <c r="Q2102">
        <v>1067625</v>
      </c>
      <c r="R2102">
        <v>0</v>
      </c>
      <c r="S2102">
        <v>0</v>
      </c>
      <c r="T2102" t="str">
        <f t="shared" si="64"/>
        <v>16142.43.4302.85.0-205128.2.3.3.08.06.</v>
      </c>
      <c r="U2102" t="e" cm="1">
        <f t="array" aca="1" ref="U2102" ca="1">+IF(COMPROMISOS_2025[[#This Row],[P]]="20","41080111",_xlfn.XLOOKUP(COMPROMISOS_2025[[#This Row],[concatenado]],PAA[[#All],[RCP-RUBRO]],PAA[[#All],[INDICADOR]],"",0))</f>
        <v>#NAME?</v>
      </c>
      <c r="V2102" s="144" t="str">
        <f t="shared" si="65"/>
        <v>85</v>
      </c>
      <c r="W2102" s="136">
        <f>+COMPROMISOS_2025[[#This Row],[valor_total]]-COMPROMISOS_2025[[#This Row],[total_cancelado]]</f>
        <v>1067625</v>
      </c>
      <c r="X2102" s="136">
        <f>COMPROMISOS_2025[[#This Row],[total_ordenes]]</f>
        <v>1067625</v>
      </c>
      <c r="Y2102" t="str" cm="1">
        <f t="array" aca="1" ref="Y2102" ca="1">IFERROR(_xlfn.XLOOKUP(COMPROMISOS_2025[[#This Row],[concatenado]],PAA[[#All],[RCP-RUBRO]],PAA[[#All],[Actividad3]],VLOOKUP(COMPROMISOS_2025[[#This Row],[Indicador Principal]],$AC$2:$AD$17,2,0),0),"")</f>
        <v/>
      </c>
    </row>
    <row r="2103" spans="1:25" hidden="1" x14ac:dyDescent="0.25">
      <c r="A2103">
        <v>1615</v>
      </c>
      <c r="B2103" t="s">
        <v>2491</v>
      </c>
      <c r="C2103" t="s">
        <v>1936</v>
      </c>
      <c r="D2103" t="s">
        <v>4182</v>
      </c>
      <c r="F2103">
        <v>406</v>
      </c>
      <c r="G2103">
        <v>65</v>
      </c>
      <c r="H2103" t="s">
        <v>662</v>
      </c>
      <c r="I2103" t="s">
        <v>2271</v>
      </c>
      <c r="J2103">
        <v>711750</v>
      </c>
      <c r="K2103">
        <v>2025</v>
      </c>
      <c r="L2103">
        <v>1032011644</v>
      </c>
      <c r="M2103" t="s">
        <v>3735</v>
      </c>
      <c r="N2103" t="s">
        <v>1688</v>
      </c>
      <c r="O2103" t="s">
        <v>1686</v>
      </c>
      <c r="P2103">
        <v>0</v>
      </c>
      <c r="Q2103">
        <v>711750</v>
      </c>
      <c r="R2103">
        <v>0</v>
      </c>
      <c r="S2103">
        <v>0</v>
      </c>
      <c r="T2103" t="str">
        <f t="shared" si="64"/>
        <v>16152.43.4302.85.0-205128.2.3.3.08.06.</v>
      </c>
      <c r="U2103" t="e" cm="1">
        <f t="array" aca="1" ref="U2103" ca="1">+IF(COMPROMISOS_2025[[#This Row],[P]]="20","41080111",_xlfn.XLOOKUP(COMPROMISOS_2025[[#This Row],[concatenado]],PAA[[#All],[RCP-RUBRO]],PAA[[#All],[INDICADOR]],"",0))</f>
        <v>#NAME?</v>
      </c>
      <c r="V2103" s="144" t="str">
        <f t="shared" si="65"/>
        <v>85</v>
      </c>
      <c r="W2103" s="136">
        <f>+COMPROMISOS_2025[[#This Row],[valor_total]]-COMPROMISOS_2025[[#This Row],[total_cancelado]]</f>
        <v>711750</v>
      </c>
      <c r="X2103" s="136">
        <f>COMPROMISOS_2025[[#This Row],[total_ordenes]]</f>
        <v>711750</v>
      </c>
      <c r="Y2103" t="str" cm="1">
        <f t="array" aca="1" ref="Y2103" ca="1">IFERROR(_xlfn.XLOOKUP(COMPROMISOS_2025[[#This Row],[concatenado]],PAA[[#All],[RCP-RUBRO]],PAA[[#All],[Actividad3]],VLOOKUP(COMPROMISOS_2025[[#This Row],[Indicador Principal]],$AC$2:$AD$17,2,0),0),"")</f>
        <v/>
      </c>
    </row>
    <row r="2104" spans="1:25" hidden="1" x14ac:dyDescent="0.25">
      <c r="A2104">
        <v>1616</v>
      </c>
      <c r="B2104" t="s">
        <v>2491</v>
      </c>
      <c r="C2104" t="s">
        <v>1936</v>
      </c>
      <c r="D2104" t="s">
        <v>4182</v>
      </c>
      <c r="F2104">
        <v>406</v>
      </c>
      <c r="G2104">
        <v>65</v>
      </c>
      <c r="H2104" t="s">
        <v>662</v>
      </c>
      <c r="I2104" t="s">
        <v>2271</v>
      </c>
      <c r="J2104">
        <v>711750</v>
      </c>
      <c r="K2104">
        <v>2025</v>
      </c>
      <c r="L2104">
        <v>1032017528</v>
      </c>
      <c r="M2104" t="s">
        <v>3736</v>
      </c>
      <c r="N2104" t="s">
        <v>1688</v>
      </c>
      <c r="O2104" t="s">
        <v>1686</v>
      </c>
      <c r="P2104">
        <v>0</v>
      </c>
      <c r="Q2104">
        <v>711750</v>
      </c>
      <c r="R2104">
        <v>0</v>
      </c>
      <c r="S2104">
        <v>0</v>
      </c>
      <c r="T2104" t="str">
        <f t="shared" si="64"/>
        <v>16162.43.4302.85.0-205128.2.3.3.08.06.</v>
      </c>
      <c r="U2104" t="e" cm="1">
        <f t="array" aca="1" ref="U2104" ca="1">+IF(COMPROMISOS_2025[[#This Row],[P]]="20","41080111",_xlfn.XLOOKUP(COMPROMISOS_2025[[#This Row],[concatenado]],PAA[[#All],[RCP-RUBRO]],PAA[[#All],[INDICADOR]],"",0))</f>
        <v>#NAME?</v>
      </c>
      <c r="V2104" s="144" t="str">
        <f t="shared" si="65"/>
        <v>85</v>
      </c>
      <c r="W2104" s="136">
        <f>+COMPROMISOS_2025[[#This Row],[valor_total]]-COMPROMISOS_2025[[#This Row],[total_cancelado]]</f>
        <v>711750</v>
      </c>
      <c r="X2104" s="136">
        <f>COMPROMISOS_2025[[#This Row],[total_ordenes]]</f>
        <v>711750</v>
      </c>
      <c r="Y2104" t="str" cm="1">
        <f t="array" aca="1" ref="Y2104" ca="1">IFERROR(_xlfn.XLOOKUP(COMPROMISOS_2025[[#This Row],[concatenado]],PAA[[#All],[RCP-RUBRO]],PAA[[#All],[Actividad3]],VLOOKUP(COMPROMISOS_2025[[#This Row],[Indicador Principal]],$AC$2:$AD$17,2,0),0),"")</f>
        <v/>
      </c>
    </row>
    <row r="2105" spans="1:25" hidden="1" x14ac:dyDescent="0.25">
      <c r="A2105">
        <v>1617</v>
      </c>
      <c r="B2105" t="s">
        <v>2491</v>
      </c>
      <c r="C2105" t="s">
        <v>1936</v>
      </c>
      <c r="D2105" t="s">
        <v>4182</v>
      </c>
      <c r="F2105">
        <v>406</v>
      </c>
      <c r="G2105">
        <v>65</v>
      </c>
      <c r="H2105" t="s">
        <v>662</v>
      </c>
      <c r="I2105" t="s">
        <v>2271</v>
      </c>
      <c r="J2105">
        <v>1423500</v>
      </c>
      <c r="K2105">
        <v>2025</v>
      </c>
      <c r="L2105">
        <v>1032099259</v>
      </c>
      <c r="M2105" t="s">
        <v>4333</v>
      </c>
      <c r="N2105" t="s">
        <v>1688</v>
      </c>
      <c r="O2105" t="s">
        <v>1686</v>
      </c>
      <c r="P2105">
        <v>0</v>
      </c>
      <c r="Q2105">
        <v>1423500</v>
      </c>
      <c r="R2105">
        <v>0</v>
      </c>
      <c r="S2105">
        <v>0</v>
      </c>
      <c r="T2105" t="str">
        <f t="shared" si="64"/>
        <v>16172.43.4302.85.0-205128.2.3.3.08.06.</v>
      </c>
      <c r="U2105" t="e" cm="1">
        <f t="array" aca="1" ref="U2105" ca="1">+IF(COMPROMISOS_2025[[#This Row],[P]]="20","41080111",_xlfn.XLOOKUP(COMPROMISOS_2025[[#This Row],[concatenado]],PAA[[#All],[RCP-RUBRO]],PAA[[#All],[INDICADOR]],"",0))</f>
        <v>#NAME?</v>
      </c>
      <c r="V2105" s="144" t="str">
        <f t="shared" si="65"/>
        <v>85</v>
      </c>
      <c r="W2105" s="136">
        <f>+COMPROMISOS_2025[[#This Row],[valor_total]]-COMPROMISOS_2025[[#This Row],[total_cancelado]]</f>
        <v>1423500</v>
      </c>
      <c r="X2105" s="136">
        <f>COMPROMISOS_2025[[#This Row],[total_ordenes]]</f>
        <v>1423500</v>
      </c>
      <c r="Y2105" t="str" cm="1">
        <f t="array" aca="1" ref="Y2105" ca="1">IFERROR(_xlfn.XLOOKUP(COMPROMISOS_2025[[#This Row],[concatenado]],PAA[[#All],[RCP-RUBRO]],PAA[[#All],[Actividad3]],VLOOKUP(COMPROMISOS_2025[[#This Row],[Indicador Principal]],$AC$2:$AD$17,2,0),0),"")</f>
        <v/>
      </c>
    </row>
    <row r="2106" spans="1:25" hidden="1" x14ac:dyDescent="0.25">
      <c r="A2106">
        <v>1620</v>
      </c>
      <c r="B2106" t="s">
        <v>2491</v>
      </c>
      <c r="C2106" t="s">
        <v>1936</v>
      </c>
      <c r="D2106" t="s">
        <v>4182</v>
      </c>
      <c r="F2106">
        <v>406</v>
      </c>
      <c r="G2106">
        <v>65</v>
      </c>
      <c r="H2106" t="s">
        <v>662</v>
      </c>
      <c r="I2106" t="s">
        <v>2271</v>
      </c>
      <c r="J2106">
        <v>1067625</v>
      </c>
      <c r="K2106">
        <v>2025</v>
      </c>
      <c r="L2106">
        <v>1032177898</v>
      </c>
      <c r="M2106" t="s">
        <v>4056</v>
      </c>
      <c r="N2106" t="s">
        <v>1688</v>
      </c>
      <c r="O2106" t="s">
        <v>1686</v>
      </c>
      <c r="P2106">
        <v>0</v>
      </c>
      <c r="Q2106">
        <v>1067625</v>
      </c>
      <c r="R2106">
        <v>0</v>
      </c>
      <c r="S2106">
        <v>0</v>
      </c>
      <c r="T2106" t="str">
        <f t="shared" si="64"/>
        <v>16202.43.4302.85.0-205128.2.3.3.08.06.</v>
      </c>
      <c r="U2106" t="e" cm="1">
        <f t="array" aca="1" ref="U2106" ca="1">+IF(COMPROMISOS_2025[[#This Row],[P]]="20","41080111",_xlfn.XLOOKUP(COMPROMISOS_2025[[#This Row],[concatenado]],PAA[[#All],[RCP-RUBRO]],PAA[[#All],[INDICADOR]],"",0))</f>
        <v>#NAME?</v>
      </c>
      <c r="V2106" s="144" t="str">
        <f t="shared" si="65"/>
        <v>85</v>
      </c>
      <c r="W2106" s="136">
        <f>+COMPROMISOS_2025[[#This Row],[valor_total]]-COMPROMISOS_2025[[#This Row],[total_cancelado]]</f>
        <v>1067625</v>
      </c>
      <c r="X2106" s="136">
        <f>COMPROMISOS_2025[[#This Row],[total_ordenes]]</f>
        <v>1067625</v>
      </c>
      <c r="Y2106" t="str" cm="1">
        <f t="array" aca="1" ref="Y2106" ca="1">IFERROR(_xlfn.XLOOKUP(COMPROMISOS_2025[[#This Row],[concatenado]],PAA[[#All],[RCP-RUBRO]],PAA[[#All],[Actividad3]],VLOOKUP(COMPROMISOS_2025[[#This Row],[Indicador Principal]],$AC$2:$AD$17,2,0),0),"")</f>
        <v/>
      </c>
    </row>
    <row r="2107" spans="1:25" hidden="1" x14ac:dyDescent="0.25">
      <c r="A2107">
        <v>1621</v>
      </c>
      <c r="B2107" t="s">
        <v>2491</v>
      </c>
      <c r="C2107" t="s">
        <v>1936</v>
      </c>
      <c r="D2107" t="s">
        <v>4182</v>
      </c>
      <c r="F2107">
        <v>406</v>
      </c>
      <c r="G2107">
        <v>65</v>
      </c>
      <c r="H2107" t="s">
        <v>662</v>
      </c>
      <c r="I2107" t="s">
        <v>2271</v>
      </c>
      <c r="J2107">
        <v>711750</v>
      </c>
      <c r="K2107">
        <v>2025</v>
      </c>
      <c r="L2107">
        <v>1032178455</v>
      </c>
      <c r="M2107" t="s">
        <v>4057</v>
      </c>
      <c r="N2107" t="s">
        <v>1688</v>
      </c>
      <c r="O2107" t="s">
        <v>1686</v>
      </c>
      <c r="P2107">
        <v>0</v>
      </c>
      <c r="Q2107">
        <v>711750</v>
      </c>
      <c r="R2107">
        <v>0</v>
      </c>
      <c r="S2107">
        <v>0</v>
      </c>
      <c r="T2107" t="str">
        <f t="shared" si="64"/>
        <v>16212.43.4302.85.0-205128.2.3.3.08.06.</v>
      </c>
      <c r="U2107" t="e" cm="1">
        <f t="array" aca="1" ref="U2107" ca="1">+IF(COMPROMISOS_2025[[#This Row],[P]]="20","41080111",_xlfn.XLOOKUP(COMPROMISOS_2025[[#This Row],[concatenado]],PAA[[#All],[RCP-RUBRO]],PAA[[#All],[INDICADOR]],"",0))</f>
        <v>#NAME?</v>
      </c>
      <c r="V2107" s="144" t="str">
        <f t="shared" si="65"/>
        <v>85</v>
      </c>
      <c r="W2107" s="136">
        <f>+COMPROMISOS_2025[[#This Row],[valor_total]]-COMPROMISOS_2025[[#This Row],[total_cancelado]]</f>
        <v>711750</v>
      </c>
      <c r="X2107" s="136">
        <f>COMPROMISOS_2025[[#This Row],[total_ordenes]]</f>
        <v>711750</v>
      </c>
      <c r="Y2107" t="str" cm="1">
        <f t="array" aca="1" ref="Y2107" ca="1">IFERROR(_xlfn.XLOOKUP(COMPROMISOS_2025[[#This Row],[concatenado]],PAA[[#All],[RCP-RUBRO]],PAA[[#All],[Actividad3]],VLOOKUP(COMPROMISOS_2025[[#This Row],[Indicador Principal]],$AC$2:$AD$17,2,0),0),"")</f>
        <v/>
      </c>
    </row>
    <row r="2108" spans="1:25" hidden="1" x14ac:dyDescent="0.25">
      <c r="A2108">
        <v>1622</v>
      </c>
      <c r="B2108" t="s">
        <v>2491</v>
      </c>
      <c r="C2108" t="s">
        <v>1936</v>
      </c>
      <c r="D2108" t="s">
        <v>4182</v>
      </c>
      <c r="F2108">
        <v>406</v>
      </c>
      <c r="G2108">
        <v>65</v>
      </c>
      <c r="H2108" t="s">
        <v>662</v>
      </c>
      <c r="I2108" t="s">
        <v>2271</v>
      </c>
      <c r="J2108">
        <v>711750</v>
      </c>
      <c r="K2108">
        <v>2025</v>
      </c>
      <c r="L2108">
        <v>1032182703</v>
      </c>
      <c r="M2108" t="s">
        <v>3737</v>
      </c>
      <c r="N2108" t="s">
        <v>1688</v>
      </c>
      <c r="O2108" t="s">
        <v>1686</v>
      </c>
      <c r="P2108">
        <v>0</v>
      </c>
      <c r="Q2108">
        <v>711750</v>
      </c>
      <c r="R2108">
        <v>0</v>
      </c>
      <c r="S2108">
        <v>0</v>
      </c>
      <c r="T2108" t="str">
        <f t="shared" si="64"/>
        <v>16222.43.4302.85.0-205128.2.3.3.08.06.</v>
      </c>
      <c r="U2108" t="e" cm="1">
        <f t="array" aca="1" ref="U2108" ca="1">+IF(COMPROMISOS_2025[[#This Row],[P]]="20","41080111",_xlfn.XLOOKUP(COMPROMISOS_2025[[#This Row],[concatenado]],PAA[[#All],[RCP-RUBRO]],PAA[[#All],[INDICADOR]],"",0))</f>
        <v>#NAME?</v>
      </c>
      <c r="V2108" s="144" t="str">
        <f t="shared" si="65"/>
        <v>85</v>
      </c>
      <c r="W2108" s="136">
        <f>+COMPROMISOS_2025[[#This Row],[valor_total]]-COMPROMISOS_2025[[#This Row],[total_cancelado]]</f>
        <v>711750</v>
      </c>
      <c r="X2108" s="136">
        <f>COMPROMISOS_2025[[#This Row],[total_ordenes]]</f>
        <v>711750</v>
      </c>
      <c r="Y2108" t="str" cm="1">
        <f t="array" aca="1" ref="Y2108" ca="1">IFERROR(_xlfn.XLOOKUP(COMPROMISOS_2025[[#This Row],[concatenado]],PAA[[#All],[RCP-RUBRO]],PAA[[#All],[Actividad3]],VLOOKUP(COMPROMISOS_2025[[#This Row],[Indicador Principal]],$AC$2:$AD$17,2,0),0),"")</f>
        <v/>
      </c>
    </row>
    <row r="2109" spans="1:25" hidden="1" x14ac:dyDescent="0.25">
      <c r="A2109">
        <v>1623</v>
      </c>
      <c r="B2109" t="s">
        <v>2491</v>
      </c>
      <c r="C2109" t="s">
        <v>1936</v>
      </c>
      <c r="D2109" t="s">
        <v>4182</v>
      </c>
      <c r="F2109">
        <v>406</v>
      </c>
      <c r="G2109">
        <v>65</v>
      </c>
      <c r="H2109" t="s">
        <v>662</v>
      </c>
      <c r="I2109" t="s">
        <v>2271</v>
      </c>
      <c r="J2109">
        <v>711750</v>
      </c>
      <c r="K2109">
        <v>2025</v>
      </c>
      <c r="L2109">
        <v>1032183392</v>
      </c>
      <c r="M2109" t="s">
        <v>4334</v>
      </c>
      <c r="N2109" t="s">
        <v>1688</v>
      </c>
      <c r="O2109" t="s">
        <v>1686</v>
      </c>
      <c r="P2109">
        <v>0</v>
      </c>
      <c r="Q2109">
        <v>711750</v>
      </c>
      <c r="R2109">
        <v>0</v>
      </c>
      <c r="S2109">
        <v>0</v>
      </c>
      <c r="T2109" t="str">
        <f t="shared" si="64"/>
        <v>16232.43.4302.85.0-205128.2.3.3.08.06.</v>
      </c>
      <c r="U2109" t="e" cm="1">
        <f t="array" aca="1" ref="U2109" ca="1">+IF(COMPROMISOS_2025[[#This Row],[P]]="20","41080111",_xlfn.XLOOKUP(COMPROMISOS_2025[[#This Row],[concatenado]],PAA[[#All],[RCP-RUBRO]],PAA[[#All],[INDICADOR]],"",0))</f>
        <v>#NAME?</v>
      </c>
      <c r="V2109" s="144" t="str">
        <f t="shared" si="65"/>
        <v>85</v>
      </c>
      <c r="W2109" s="136">
        <f>+COMPROMISOS_2025[[#This Row],[valor_total]]-COMPROMISOS_2025[[#This Row],[total_cancelado]]</f>
        <v>711750</v>
      </c>
      <c r="X2109" s="136">
        <f>COMPROMISOS_2025[[#This Row],[total_ordenes]]</f>
        <v>711750</v>
      </c>
      <c r="Y2109" t="str" cm="1">
        <f t="array" aca="1" ref="Y2109" ca="1">IFERROR(_xlfn.XLOOKUP(COMPROMISOS_2025[[#This Row],[concatenado]],PAA[[#All],[RCP-RUBRO]],PAA[[#All],[Actividad3]],VLOOKUP(COMPROMISOS_2025[[#This Row],[Indicador Principal]],$AC$2:$AD$17,2,0),0),"")</f>
        <v/>
      </c>
    </row>
    <row r="2110" spans="1:25" hidden="1" x14ac:dyDescent="0.25">
      <c r="A2110">
        <v>1624</v>
      </c>
      <c r="B2110" t="s">
        <v>2491</v>
      </c>
      <c r="C2110" t="s">
        <v>1936</v>
      </c>
      <c r="D2110" t="s">
        <v>4182</v>
      </c>
      <c r="F2110">
        <v>406</v>
      </c>
      <c r="G2110">
        <v>65</v>
      </c>
      <c r="H2110" t="s">
        <v>662</v>
      </c>
      <c r="I2110" t="s">
        <v>2271</v>
      </c>
      <c r="J2110">
        <v>1067625</v>
      </c>
      <c r="K2110">
        <v>2025</v>
      </c>
      <c r="L2110">
        <v>1032184130</v>
      </c>
      <c r="M2110" t="s">
        <v>3738</v>
      </c>
      <c r="N2110" t="s">
        <v>1688</v>
      </c>
      <c r="O2110" t="s">
        <v>1686</v>
      </c>
      <c r="P2110">
        <v>0</v>
      </c>
      <c r="Q2110">
        <v>1067625</v>
      </c>
      <c r="R2110">
        <v>0</v>
      </c>
      <c r="S2110">
        <v>0</v>
      </c>
      <c r="T2110" t="str">
        <f t="shared" si="64"/>
        <v>16242.43.4302.85.0-205128.2.3.3.08.06.</v>
      </c>
      <c r="U2110" t="e" cm="1">
        <f t="array" aca="1" ref="U2110" ca="1">+IF(COMPROMISOS_2025[[#This Row],[P]]="20","41080111",_xlfn.XLOOKUP(COMPROMISOS_2025[[#This Row],[concatenado]],PAA[[#All],[RCP-RUBRO]],PAA[[#All],[INDICADOR]],"",0))</f>
        <v>#NAME?</v>
      </c>
      <c r="V2110" s="144" t="str">
        <f t="shared" si="65"/>
        <v>85</v>
      </c>
      <c r="W2110" s="136">
        <f>+COMPROMISOS_2025[[#This Row],[valor_total]]-COMPROMISOS_2025[[#This Row],[total_cancelado]]</f>
        <v>1067625</v>
      </c>
      <c r="X2110" s="136">
        <f>COMPROMISOS_2025[[#This Row],[total_ordenes]]</f>
        <v>1067625</v>
      </c>
      <c r="Y2110" t="str" cm="1">
        <f t="array" aca="1" ref="Y2110" ca="1">IFERROR(_xlfn.XLOOKUP(COMPROMISOS_2025[[#This Row],[concatenado]],PAA[[#All],[RCP-RUBRO]],PAA[[#All],[Actividad3]],VLOOKUP(COMPROMISOS_2025[[#This Row],[Indicador Principal]],$AC$2:$AD$17,2,0),0),"")</f>
        <v/>
      </c>
    </row>
    <row r="2111" spans="1:25" hidden="1" x14ac:dyDescent="0.25">
      <c r="A2111">
        <v>1625</v>
      </c>
      <c r="B2111" t="s">
        <v>2491</v>
      </c>
      <c r="C2111" t="s">
        <v>1936</v>
      </c>
      <c r="D2111" t="s">
        <v>4182</v>
      </c>
      <c r="F2111">
        <v>406</v>
      </c>
      <c r="G2111">
        <v>65</v>
      </c>
      <c r="H2111" t="s">
        <v>662</v>
      </c>
      <c r="I2111" t="s">
        <v>2271</v>
      </c>
      <c r="J2111">
        <v>711750</v>
      </c>
      <c r="K2111">
        <v>2025</v>
      </c>
      <c r="L2111">
        <v>1032184213</v>
      </c>
      <c r="M2111" t="s">
        <v>3739</v>
      </c>
      <c r="N2111" t="s">
        <v>1688</v>
      </c>
      <c r="O2111" t="s">
        <v>1686</v>
      </c>
      <c r="P2111">
        <v>0</v>
      </c>
      <c r="Q2111">
        <v>711750</v>
      </c>
      <c r="R2111">
        <v>0</v>
      </c>
      <c r="S2111">
        <v>0</v>
      </c>
      <c r="T2111" t="str">
        <f t="shared" si="64"/>
        <v>16252.43.4302.85.0-205128.2.3.3.08.06.</v>
      </c>
      <c r="U2111" t="e" cm="1">
        <f t="array" aca="1" ref="U2111" ca="1">+IF(COMPROMISOS_2025[[#This Row],[P]]="20","41080111",_xlfn.XLOOKUP(COMPROMISOS_2025[[#This Row],[concatenado]],PAA[[#All],[RCP-RUBRO]],PAA[[#All],[INDICADOR]],"",0))</f>
        <v>#NAME?</v>
      </c>
      <c r="V2111" s="144" t="str">
        <f t="shared" si="65"/>
        <v>85</v>
      </c>
      <c r="W2111" s="136">
        <f>+COMPROMISOS_2025[[#This Row],[valor_total]]-COMPROMISOS_2025[[#This Row],[total_cancelado]]</f>
        <v>711750</v>
      </c>
      <c r="X2111" s="136">
        <f>COMPROMISOS_2025[[#This Row],[total_ordenes]]</f>
        <v>711750</v>
      </c>
      <c r="Y2111" t="str" cm="1">
        <f t="array" aca="1" ref="Y2111" ca="1">IFERROR(_xlfn.XLOOKUP(COMPROMISOS_2025[[#This Row],[concatenado]],PAA[[#All],[RCP-RUBRO]],PAA[[#All],[Actividad3]],VLOOKUP(COMPROMISOS_2025[[#This Row],[Indicador Principal]],$AC$2:$AD$17,2,0),0),"")</f>
        <v/>
      </c>
    </row>
    <row r="2112" spans="1:25" hidden="1" x14ac:dyDescent="0.25">
      <c r="A2112">
        <v>1626</v>
      </c>
      <c r="B2112" t="s">
        <v>2491</v>
      </c>
      <c r="C2112" t="s">
        <v>1936</v>
      </c>
      <c r="D2112" t="s">
        <v>4182</v>
      </c>
      <c r="F2112">
        <v>406</v>
      </c>
      <c r="G2112">
        <v>65</v>
      </c>
      <c r="H2112" t="s">
        <v>662</v>
      </c>
      <c r="I2112" t="s">
        <v>2271</v>
      </c>
      <c r="J2112">
        <v>711750</v>
      </c>
      <c r="K2112">
        <v>2025</v>
      </c>
      <c r="L2112">
        <v>1032500480</v>
      </c>
      <c r="M2112" t="s">
        <v>4335</v>
      </c>
      <c r="N2112" t="s">
        <v>1688</v>
      </c>
      <c r="O2112" t="s">
        <v>1686</v>
      </c>
      <c r="P2112">
        <v>0</v>
      </c>
      <c r="Q2112">
        <v>711750</v>
      </c>
      <c r="R2112">
        <v>0</v>
      </c>
      <c r="S2112">
        <v>0</v>
      </c>
      <c r="T2112" t="str">
        <f t="shared" si="64"/>
        <v>16262.43.4302.85.0-205128.2.3.3.08.06.</v>
      </c>
      <c r="U2112" t="e" cm="1">
        <f t="array" aca="1" ref="U2112" ca="1">+IF(COMPROMISOS_2025[[#This Row],[P]]="20","41080111",_xlfn.XLOOKUP(COMPROMISOS_2025[[#This Row],[concatenado]],PAA[[#All],[RCP-RUBRO]],PAA[[#All],[INDICADOR]],"",0))</f>
        <v>#NAME?</v>
      </c>
      <c r="V2112" s="144" t="str">
        <f t="shared" si="65"/>
        <v>85</v>
      </c>
      <c r="W2112" s="136">
        <f>+COMPROMISOS_2025[[#This Row],[valor_total]]-COMPROMISOS_2025[[#This Row],[total_cancelado]]</f>
        <v>711750</v>
      </c>
      <c r="X2112" s="136">
        <f>COMPROMISOS_2025[[#This Row],[total_ordenes]]</f>
        <v>711750</v>
      </c>
      <c r="Y2112" t="str" cm="1">
        <f t="array" aca="1" ref="Y2112" ca="1">IFERROR(_xlfn.XLOOKUP(COMPROMISOS_2025[[#This Row],[concatenado]],PAA[[#All],[RCP-RUBRO]],PAA[[#All],[Actividad3]],VLOOKUP(COMPROMISOS_2025[[#This Row],[Indicador Principal]],$AC$2:$AD$17,2,0),0),"")</f>
        <v/>
      </c>
    </row>
    <row r="2113" spans="1:25" hidden="1" x14ac:dyDescent="0.25">
      <c r="A2113">
        <v>1627</v>
      </c>
      <c r="B2113" t="s">
        <v>2491</v>
      </c>
      <c r="C2113" t="s">
        <v>1936</v>
      </c>
      <c r="D2113" t="s">
        <v>4182</v>
      </c>
      <c r="F2113">
        <v>406</v>
      </c>
      <c r="G2113">
        <v>65</v>
      </c>
      <c r="H2113" t="s">
        <v>662</v>
      </c>
      <c r="I2113" t="s">
        <v>2271</v>
      </c>
      <c r="J2113">
        <v>1067625</v>
      </c>
      <c r="K2113">
        <v>2025</v>
      </c>
      <c r="L2113">
        <v>1033178916</v>
      </c>
      <c r="M2113" t="s">
        <v>3740</v>
      </c>
      <c r="N2113" t="s">
        <v>1688</v>
      </c>
      <c r="O2113" t="s">
        <v>1686</v>
      </c>
      <c r="P2113">
        <v>0</v>
      </c>
      <c r="Q2113">
        <v>1067625</v>
      </c>
      <c r="R2113">
        <v>0</v>
      </c>
      <c r="S2113">
        <v>0</v>
      </c>
      <c r="T2113" t="str">
        <f t="shared" si="64"/>
        <v>16272.43.4302.85.0-205128.2.3.3.08.06.</v>
      </c>
      <c r="U2113" t="e" cm="1">
        <f t="array" aca="1" ref="U2113" ca="1">+IF(COMPROMISOS_2025[[#This Row],[P]]="20","41080111",_xlfn.XLOOKUP(COMPROMISOS_2025[[#This Row],[concatenado]],PAA[[#All],[RCP-RUBRO]],PAA[[#All],[INDICADOR]],"",0))</f>
        <v>#NAME?</v>
      </c>
      <c r="V2113" s="144" t="str">
        <f t="shared" si="65"/>
        <v>85</v>
      </c>
      <c r="W2113" s="136">
        <f>+COMPROMISOS_2025[[#This Row],[valor_total]]-COMPROMISOS_2025[[#This Row],[total_cancelado]]</f>
        <v>1067625</v>
      </c>
      <c r="X2113" s="136">
        <f>COMPROMISOS_2025[[#This Row],[total_ordenes]]</f>
        <v>1067625</v>
      </c>
      <c r="Y2113" t="str" cm="1">
        <f t="array" aca="1" ref="Y2113" ca="1">IFERROR(_xlfn.XLOOKUP(COMPROMISOS_2025[[#This Row],[concatenado]],PAA[[#All],[RCP-RUBRO]],PAA[[#All],[Actividad3]],VLOOKUP(COMPROMISOS_2025[[#This Row],[Indicador Principal]],$AC$2:$AD$17,2,0),0),"")</f>
        <v/>
      </c>
    </row>
    <row r="2114" spans="1:25" hidden="1" x14ac:dyDescent="0.25">
      <c r="A2114">
        <v>1628</v>
      </c>
      <c r="B2114" t="s">
        <v>2491</v>
      </c>
      <c r="C2114" t="s">
        <v>1936</v>
      </c>
      <c r="D2114" t="s">
        <v>4182</v>
      </c>
      <c r="F2114">
        <v>406</v>
      </c>
      <c r="G2114">
        <v>65</v>
      </c>
      <c r="H2114" t="s">
        <v>662</v>
      </c>
      <c r="I2114" t="s">
        <v>2271</v>
      </c>
      <c r="J2114">
        <v>1067625</v>
      </c>
      <c r="K2114">
        <v>2025</v>
      </c>
      <c r="L2114">
        <v>10331799147</v>
      </c>
      <c r="M2114" t="s">
        <v>4336</v>
      </c>
      <c r="N2114" t="s">
        <v>1688</v>
      </c>
      <c r="O2114" t="s">
        <v>1686</v>
      </c>
      <c r="P2114">
        <v>0</v>
      </c>
      <c r="Q2114">
        <v>1067625</v>
      </c>
      <c r="R2114">
        <v>0</v>
      </c>
      <c r="S2114">
        <v>0</v>
      </c>
      <c r="T2114" t="str">
        <f t="shared" ref="T2114:T2177" si="66">IF(A2114&gt;=0,CONCATENATE(A2114,H2114),"")</f>
        <v>16282.43.4302.85.0-205128.2.3.3.08.06.</v>
      </c>
      <c r="U2114" t="e" cm="1">
        <f t="array" aca="1" ref="U2114" ca="1">+IF(COMPROMISOS_2025[[#This Row],[P]]="20","41080111",_xlfn.XLOOKUP(COMPROMISOS_2025[[#This Row],[concatenado]],PAA[[#All],[RCP-RUBRO]],PAA[[#All],[INDICADOR]],"",0))</f>
        <v>#NAME?</v>
      </c>
      <c r="V2114" s="144" t="str">
        <f t="shared" ref="V2114:V2177" si="67">+MID(H2114,11,2)</f>
        <v>85</v>
      </c>
      <c r="W2114" s="136">
        <f>+COMPROMISOS_2025[[#This Row],[valor_total]]-COMPROMISOS_2025[[#This Row],[total_cancelado]]</f>
        <v>1067625</v>
      </c>
      <c r="X2114" s="136">
        <f>COMPROMISOS_2025[[#This Row],[total_ordenes]]</f>
        <v>1067625</v>
      </c>
      <c r="Y2114" t="str" cm="1">
        <f t="array" aca="1" ref="Y2114" ca="1">IFERROR(_xlfn.XLOOKUP(COMPROMISOS_2025[[#This Row],[concatenado]],PAA[[#All],[RCP-RUBRO]],PAA[[#All],[Actividad3]],VLOOKUP(COMPROMISOS_2025[[#This Row],[Indicador Principal]],$AC$2:$AD$17,2,0),0),"")</f>
        <v/>
      </c>
    </row>
    <row r="2115" spans="1:25" hidden="1" x14ac:dyDescent="0.25">
      <c r="A2115">
        <v>1629</v>
      </c>
      <c r="B2115" t="s">
        <v>2491</v>
      </c>
      <c r="C2115" t="s">
        <v>1936</v>
      </c>
      <c r="D2115" t="s">
        <v>4182</v>
      </c>
      <c r="F2115">
        <v>406</v>
      </c>
      <c r="G2115">
        <v>65</v>
      </c>
      <c r="H2115" t="s">
        <v>662</v>
      </c>
      <c r="I2115" t="s">
        <v>2271</v>
      </c>
      <c r="J2115">
        <v>711750</v>
      </c>
      <c r="K2115">
        <v>2025</v>
      </c>
      <c r="L2115">
        <v>1033180779</v>
      </c>
      <c r="M2115" t="s">
        <v>3741</v>
      </c>
      <c r="N2115" t="s">
        <v>1688</v>
      </c>
      <c r="O2115" t="s">
        <v>1686</v>
      </c>
      <c r="P2115">
        <v>0</v>
      </c>
      <c r="Q2115">
        <v>711750</v>
      </c>
      <c r="R2115">
        <v>0</v>
      </c>
      <c r="S2115">
        <v>0</v>
      </c>
      <c r="T2115" t="str">
        <f t="shared" si="66"/>
        <v>16292.43.4302.85.0-205128.2.3.3.08.06.</v>
      </c>
      <c r="U2115" t="e" cm="1">
        <f t="array" aca="1" ref="U2115" ca="1">+IF(COMPROMISOS_2025[[#This Row],[P]]="20","41080111",_xlfn.XLOOKUP(COMPROMISOS_2025[[#This Row],[concatenado]],PAA[[#All],[RCP-RUBRO]],PAA[[#All],[INDICADOR]],"",0))</f>
        <v>#NAME?</v>
      </c>
      <c r="V2115" s="144" t="str">
        <f t="shared" si="67"/>
        <v>85</v>
      </c>
      <c r="W2115" s="136">
        <f>+COMPROMISOS_2025[[#This Row],[valor_total]]-COMPROMISOS_2025[[#This Row],[total_cancelado]]</f>
        <v>711750</v>
      </c>
      <c r="X2115" s="136">
        <f>COMPROMISOS_2025[[#This Row],[total_ordenes]]</f>
        <v>711750</v>
      </c>
      <c r="Y2115" t="str" cm="1">
        <f t="array" aca="1" ref="Y2115" ca="1">IFERROR(_xlfn.XLOOKUP(COMPROMISOS_2025[[#This Row],[concatenado]],PAA[[#All],[RCP-RUBRO]],PAA[[#All],[Actividad3]],VLOOKUP(COMPROMISOS_2025[[#This Row],[Indicador Principal]],$AC$2:$AD$17,2,0),0),"")</f>
        <v/>
      </c>
    </row>
    <row r="2116" spans="1:25" hidden="1" x14ac:dyDescent="0.25">
      <c r="A2116">
        <v>1630</v>
      </c>
      <c r="B2116" t="s">
        <v>2491</v>
      </c>
      <c r="C2116" t="s">
        <v>1936</v>
      </c>
      <c r="D2116" t="s">
        <v>4182</v>
      </c>
      <c r="F2116">
        <v>406</v>
      </c>
      <c r="G2116">
        <v>65</v>
      </c>
      <c r="H2116" t="s">
        <v>662</v>
      </c>
      <c r="I2116" t="s">
        <v>2271</v>
      </c>
      <c r="J2116">
        <v>1067625</v>
      </c>
      <c r="K2116">
        <v>2025</v>
      </c>
      <c r="L2116">
        <v>1033180980</v>
      </c>
      <c r="M2116" t="s">
        <v>3742</v>
      </c>
      <c r="N2116" t="s">
        <v>1688</v>
      </c>
      <c r="O2116" t="s">
        <v>1686</v>
      </c>
      <c r="P2116">
        <v>0</v>
      </c>
      <c r="Q2116">
        <v>1067625</v>
      </c>
      <c r="R2116">
        <v>0</v>
      </c>
      <c r="S2116">
        <v>0</v>
      </c>
      <c r="T2116" t="str">
        <f t="shared" si="66"/>
        <v>16302.43.4302.85.0-205128.2.3.3.08.06.</v>
      </c>
      <c r="U2116" t="e" cm="1">
        <f t="array" aca="1" ref="U2116" ca="1">+IF(COMPROMISOS_2025[[#This Row],[P]]="20","41080111",_xlfn.XLOOKUP(COMPROMISOS_2025[[#This Row],[concatenado]],PAA[[#All],[RCP-RUBRO]],PAA[[#All],[INDICADOR]],"",0))</f>
        <v>#NAME?</v>
      </c>
      <c r="V2116" s="144" t="str">
        <f t="shared" si="67"/>
        <v>85</v>
      </c>
      <c r="W2116" s="136">
        <f>+COMPROMISOS_2025[[#This Row],[valor_total]]-COMPROMISOS_2025[[#This Row],[total_cancelado]]</f>
        <v>1067625</v>
      </c>
      <c r="X2116" s="136">
        <f>COMPROMISOS_2025[[#This Row],[total_ordenes]]</f>
        <v>1067625</v>
      </c>
      <c r="Y2116" t="str" cm="1">
        <f t="array" aca="1" ref="Y2116" ca="1">IFERROR(_xlfn.XLOOKUP(COMPROMISOS_2025[[#This Row],[concatenado]],PAA[[#All],[RCP-RUBRO]],PAA[[#All],[Actividad3]],VLOOKUP(COMPROMISOS_2025[[#This Row],[Indicador Principal]],$AC$2:$AD$17,2,0),0),"")</f>
        <v/>
      </c>
    </row>
    <row r="2117" spans="1:25" hidden="1" x14ac:dyDescent="0.25">
      <c r="A2117">
        <v>1631</v>
      </c>
      <c r="B2117" t="s">
        <v>2491</v>
      </c>
      <c r="C2117" t="s">
        <v>1936</v>
      </c>
      <c r="D2117" t="s">
        <v>4182</v>
      </c>
      <c r="F2117">
        <v>406</v>
      </c>
      <c r="G2117">
        <v>65</v>
      </c>
      <c r="H2117" t="s">
        <v>662</v>
      </c>
      <c r="I2117" t="s">
        <v>2271</v>
      </c>
      <c r="J2117">
        <v>711750</v>
      </c>
      <c r="K2117">
        <v>2025</v>
      </c>
      <c r="L2117">
        <v>1033181662</v>
      </c>
      <c r="M2117" t="s">
        <v>3743</v>
      </c>
      <c r="N2117" t="s">
        <v>1688</v>
      </c>
      <c r="O2117" t="s">
        <v>1686</v>
      </c>
      <c r="P2117">
        <v>0</v>
      </c>
      <c r="Q2117">
        <v>711750</v>
      </c>
      <c r="R2117">
        <v>0</v>
      </c>
      <c r="S2117">
        <v>0</v>
      </c>
      <c r="T2117" t="str">
        <f t="shared" si="66"/>
        <v>16312.43.4302.85.0-205128.2.3.3.08.06.</v>
      </c>
      <c r="U2117" t="e" cm="1">
        <f t="array" aca="1" ref="U2117" ca="1">+IF(COMPROMISOS_2025[[#This Row],[P]]="20","41080111",_xlfn.XLOOKUP(COMPROMISOS_2025[[#This Row],[concatenado]],PAA[[#All],[RCP-RUBRO]],PAA[[#All],[INDICADOR]],"",0))</f>
        <v>#NAME?</v>
      </c>
      <c r="V2117" s="144" t="str">
        <f t="shared" si="67"/>
        <v>85</v>
      </c>
      <c r="W2117" s="136">
        <f>+COMPROMISOS_2025[[#This Row],[valor_total]]-COMPROMISOS_2025[[#This Row],[total_cancelado]]</f>
        <v>711750</v>
      </c>
      <c r="X2117" s="136">
        <f>COMPROMISOS_2025[[#This Row],[total_ordenes]]</f>
        <v>711750</v>
      </c>
      <c r="Y2117" t="str" cm="1">
        <f t="array" aca="1" ref="Y2117" ca="1">IFERROR(_xlfn.XLOOKUP(COMPROMISOS_2025[[#This Row],[concatenado]],PAA[[#All],[RCP-RUBRO]],PAA[[#All],[Actividad3]],VLOOKUP(COMPROMISOS_2025[[#This Row],[Indicador Principal]],$AC$2:$AD$17,2,0),0),"")</f>
        <v/>
      </c>
    </row>
    <row r="2118" spans="1:25" hidden="1" x14ac:dyDescent="0.25">
      <c r="A2118">
        <v>1632</v>
      </c>
      <c r="B2118" t="s">
        <v>2491</v>
      </c>
      <c r="C2118" t="s">
        <v>1936</v>
      </c>
      <c r="D2118" t="s">
        <v>4182</v>
      </c>
      <c r="F2118">
        <v>406</v>
      </c>
      <c r="G2118">
        <v>65</v>
      </c>
      <c r="H2118" t="s">
        <v>662</v>
      </c>
      <c r="I2118" t="s">
        <v>2271</v>
      </c>
      <c r="J2118">
        <v>1423500</v>
      </c>
      <c r="K2118">
        <v>2025</v>
      </c>
      <c r="L2118">
        <v>1033182657</v>
      </c>
      <c r="M2118" t="s">
        <v>4058</v>
      </c>
      <c r="N2118" t="s">
        <v>1688</v>
      </c>
      <c r="O2118" t="s">
        <v>1686</v>
      </c>
      <c r="P2118">
        <v>0</v>
      </c>
      <c r="Q2118">
        <v>1423500</v>
      </c>
      <c r="R2118">
        <v>0</v>
      </c>
      <c r="S2118">
        <v>0</v>
      </c>
      <c r="T2118" t="str">
        <f t="shared" si="66"/>
        <v>16322.43.4302.85.0-205128.2.3.3.08.06.</v>
      </c>
      <c r="U2118" t="e" cm="1">
        <f t="array" aca="1" ref="U2118" ca="1">+IF(COMPROMISOS_2025[[#This Row],[P]]="20","41080111",_xlfn.XLOOKUP(COMPROMISOS_2025[[#This Row],[concatenado]],PAA[[#All],[RCP-RUBRO]],PAA[[#All],[INDICADOR]],"",0))</f>
        <v>#NAME?</v>
      </c>
      <c r="V2118" s="144" t="str">
        <f t="shared" si="67"/>
        <v>85</v>
      </c>
      <c r="W2118" s="136">
        <f>+COMPROMISOS_2025[[#This Row],[valor_total]]-COMPROMISOS_2025[[#This Row],[total_cancelado]]</f>
        <v>1423500</v>
      </c>
      <c r="X2118" s="136">
        <f>COMPROMISOS_2025[[#This Row],[total_ordenes]]</f>
        <v>1423500</v>
      </c>
      <c r="Y2118" t="str" cm="1">
        <f t="array" aca="1" ref="Y2118" ca="1">IFERROR(_xlfn.XLOOKUP(COMPROMISOS_2025[[#This Row],[concatenado]],PAA[[#All],[RCP-RUBRO]],PAA[[#All],[Actividad3]],VLOOKUP(COMPROMISOS_2025[[#This Row],[Indicador Principal]],$AC$2:$AD$17,2,0),0),"")</f>
        <v/>
      </c>
    </row>
    <row r="2119" spans="1:25" hidden="1" x14ac:dyDescent="0.25">
      <c r="A2119">
        <v>1633</v>
      </c>
      <c r="B2119" t="s">
        <v>2491</v>
      </c>
      <c r="C2119" t="s">
        <v>1936</v>
      </c>
      <c r="D2119" t="s">
        <v>4182</v>
      </c>
      <c r="F2119">
        <v>406</v>
      </c>
      <c r="G2119">
        <v>65</v>
      </c>
      <c r="H2119" t="s">
        <v>662</v>
      </c>
      <c r="I2119" t="s">
        <v>2271</v>
      </c>
      <c r="J2119">
        <v>711750</v>
      </c>
      <c r="K2119">
        <v>2025</v>
      </c>
      <c r="L2119">
        <v>1033183586</v>
      </c>
      <c r="M2119" t="s">
        <v>3744</v>
      </c>
      <c r="N2119" t="s">
        <v>1688</v>
      </c>
      <c r="O2119" t="s">
        <v>1686</v>
      </c>
      <c r="P2119">
        <v>0</v>
      </c>
      <c r="Q2119">
        <v>711750</v>
      </c>
      <c r="R2119">
        <v>0</v>
      </c>
      <c r="S2119">
        <v>0</v>
      </c>
      <c r="T2119" t="str">
        <f t="shared" si="66"/>
        <v>16332.43.4302.85.0-205128.2.3.3.08.06.</v>
      </c>
      <c r="U2119" t="e" cm="1">
        <f t="array" aca="1" ref="U2119" ca="1">+IF(COMPROMISOS_2025[[#This Row],[P]]="20","41080111",_xlfn.XLOOKUP(COMPROMISOS_2025[[#This Row],[concatenado]],PAA[[#All],[RCP-RUBRO]],PAA[[#All],[INDICADOR]],"",0))</f>
        <v>#NAME?</v>
      </c>
      <c r="V2119" s="144" t="str">
        <f t="shared" si="67"/>
        <v>85</v>
      </c>
      <c r="W2119" s="136">
        <f>+COMPROMISOS_2025[[#This Row],[valor_total]]-COMPROMISOS_2025[[#This Row],[total_cancelado]]</f>
        <v>711750</v>
      </c>
      <c r="X2119" s="136">
        <f>COMPROMISOS_2025[[#This Row],[total_ordenes]]</f>
        <v>711750</v>
      </c>
      <c r="Y2119" t="str" cm="1">
        <f t="array" aca="1" ref="Y2119" ca="1">IFERROR(_xlfn.XLOOKUP(COMPROMISOS_2025[[#This Row],[concatenado]],PAA[[#All],[RCP-RUBRO]],PAA[[#All],[Actividad3]],VLOOKUP(COMPROMISOS_2025[[#This Row],[Indicador Principal]],$AC$2:$AD$17,2,0),0),"")</f>
        <v/>
      </c>
    </row>
    <row r="2120" spans="1:25" hidden="1" x14ac:dyDescent="0.25">
      <c r="A2120">
        <v>1634</v>
      </c>
      <c r="B2120" t="s">
        <v>2491</v>
      </c>
      <c r="C2120" t="s">
        <v>1936</v>
      </c>
      <c r="D2120" t="s">
        <v>4182</v>
      </c>
      <c r="F2120">
        <v>406</v>
      </c>
      <c r="G2120">
        <v>65</v>
      </c>
      <c r="H2120" t="s">
        <v>662</v>
      </c>
      <c r="I2120" t="s">
        <v>2271</v>
      </c>
      <c r="J2120">
        <v>711750</v>
      </c>
      <c r="K2120">
        <v>2025</v>
      </c>
      <c r="L2120">
        <v>1033184234</v>
      </c>
      <c r="M2120" t="s">
        <v>3745</v>
      </c>
      <c r="N2120" t="s">
        <v>1688</v>
      </c>
      <c r="O2120" t="s">
        <v>1686</v>
      </c>
      <c r="P2120">
        <v>0</v>
      </c>
      <c r="Q2120">
        <v>711750</v>
      </c>
      <c r="R2120">
        <v>0</v>
      </c>
      <c r="S2120">
        <v>0</v>
      </c>
      <c r="T2120" t="str">
        <f t="shared" si="66"/>
        <v>16342.43.4302.85.0-205128.2.3.3.08.06.</v>
      </c>
      <c r="U2120" t="e" cm="1">
        <f t="array" aca="1" ref="U2120" ca="1">+IF(COMPROMISOS_2025[[#This Row],[P]]="20","41080111",_xlfn.XLOOKUP(COMPROMISOS_2025[[#This Row],[concatenado]],PAA[[#All],[RCP-RUBRO]],PAA[[#All],[INDICADOR]],"",0))</f>
        <v>#NAME?</v>
      </c>
      <c r="V2120" s="144" t="str">
        <f t="shared" si="67"/>
        <v>85</v>
      </c>
      <c r="W2120" s="136">
        <f>+COMPROMISOS_2025[[#This Row],[valor_total]]-COMPROMISOS_2025[[#This Row],[total_cancelado]]</f>
        <v>711750</v>
      </c>
      <c r="X2120" s="136">
        <f>COMPROMISOS_2025[[#This Row],[total_ordenes]]</f>
        <v>711750</v>
      </c>
      <c r="Y2120" t="str" cm="1">
        <f t="array" aca="1" ref="Y2120" ca="1">IFERROR(_xlfn.XLOOKUP(COMPROMISOS_2025[[#This Row],[concatenado]],PAA[[#All],[RCP-RUBRO]],PAA[[#All],[Actividad3]],VLOOKUP(COMPROMISOS_2025[[#This Row],[Indicador Principal]],$AC$2:$AD$17,2,0),0),"")</f>
        <v/>
      </c>
    </row>
    <row r="2121" spans="1:25" hidden="1" x14ac:dyDescent="0.25">
      <c r="A2121">
        <v>1635</v>
      </c>
      <c r="B2121" t="s">
        <v>2491</v>
      </c>
      <c r="C2121" t="s">
        <v>1936</v>
      </c>
      <c r="D2121" t="s">
        <v>4182</v>
      </c>
      <c r="F2121">
        <v>406</v>
      </c>
      <c r="G2121">
        <v>65</v>
      </c>
      <c r="H2121" t="s">
        <v>662</v>
      </c>
      <c r="I2121" t="s">
        <v>2271</v>
      </c>
      <c r="J2121">
        <v>1067625</v>
      </c>
      <c r="K2121">
        <v>2025</v>
      </c>
      <c r="L2121">
        <v>1033184738</v>
      </c>
      <c r="M2121" t="s">
        <v>3746</v>
      </c>
      <c r="N2121" t="s">
        <v>1688</v>
      </c>
      <c r="O2121" t="s">
        <v>1686</v>
      </c>
      <c r="P2121">
        <v>0</v>
      </c>
      <c r="Q2121">
        <v>1067625</v>
      </c>
      <c r="R2121">
        <v>0</v>
      </c>
      <c r="S2121">
        <v>0</v>
      </c>
      <c r="T2121" t="str">
        <f t="shared" si="66"/>
        <v>16352.43.4302.85.0-205128.2.3.3.08.06.</v>
      </c>
      <c r="U2121" t="e" cm="1">
        <f t="array" aca="1" ref="U2121" ca="1">+IF(COMPROMISOS_2025[[#This Row],[P]]="20","41080111",_xlfn.XLOOKUP(COMPROMISOS_2025[[#This Row],[concatenado]],PAA[[#All],[RCP-RUBRO]],PAA[[#All],[INDICADOR]],"",0))</f>
        <v>#NAME?</v>
      </c>
      <c r="V2121" s="144" t="str">
        <f t="shared" si="67"/>
        <v>85</v>
      </c>
      <c r="W2121" s="136">
        <f>+COMPROMISOS_2025[[#This Row],[valor_total]]-COMPROMISOS_2025[[#This Row],[total_cancelado]]</f>
        <v>1067625</v>
      </c>
      <c r="X2121" s="136">
        <f>COMPROMISOS_2025[[#This Row],[total_ordenes]]</f>
        <v>1067625</v>
      </c>
      <c r="Y2121" t="str" cm="1">
        <f t="array" aca="1" ref="Y2121" ca="1">IFERROR(_xlfn.XLOOKUP(COMPROMISOS_2025[[#This Row],[concatenado]],PAA[[#All],[RCP-RUBRO]],PAA[[#All],[Actividad3]],VLOOKUP(COMPROMISOS_2025[[#This Row],[Indicador Principal]],$AC$2:$AD$17,2,0),0),"")</f>
        <v/>
      </c>
    </row>
    <row r="2122" spans="1:25" hidden="1" x14ac:dyDescent="0.25">
      <c r="A2122">
        <v>1636</v>
      </c>
      <c r="B2122" t="s">
        <v>2491</v>
      </c>
      <c r="C2122" t="s">
        <v>1936</v>
      </c>
      <c r="D2122" t="s">
        <v>4182</v>
      </c>
      <c r="F2122">
        <v>406</v>
      </c>
      <c r="G2122">
        <v>65</v>
      </c>
      <c r="H2122" t="s">
        <v>662</v>
      </c>
      <c r="I2122" t="s">
        <v>2271</v>
      </c>
      <c r="J2122">
        <v>2491125</v>
      </c>
      <c r="K2122">
        <v>2025</v>
      </c>
      <c r="L2122">
        <v>1033258934</v>
      </c>
      <c r="M2122" t="s">
        <v>4337</v>
      </c>
      <c r="N2122" t="s">
        <v>1688</v>
      </c>
      <c r="O2122" t="s">
        <v>1686</v>
      </c>
      <c r="P2122">
        <v>0</v>
      </c>
      <c r="Q2122">
        <v>2491125</v>
      </c>
      <c r="R2122">
        <v>0</v>
      </c>
      <c r="S2122">
        <v>0</v>
      </c>
      <c r="T2122" t="str">
        <f t="shared" si="66"/>
        <v>16362.43.4302.85.0-205128.2.3.3.08.06.</v>
      </c>
      <c r="U2122" t="e" cm="1">
        <f t="array" aca="1" ref="U2122" ca="1">+IF(COMPROMISOS_2025[[#This Row],[P]]="20","41080111",_xlfn.XLOOKUP(COMPROMISOS_2025[[#This Row],[concatenado]],PAA[[#All],[RCP-RUBRO]],PAA[[#All],[INDICADOR]],"",0))</f>
        <v>#NAME?</v>
      </c>
      <c r="V2122" s="144" t="str">
        <f t="shared" si="67"/>
        <v>85</v>
      </c>
      <c r="W2122" s="136">
        <f>+COMPROMISOS_2025[[#This Row],[valor_total]]-COMPROMISOS_2025[[#This Row],[total_cancelado]]</f>
        <v>2491125</v>
      </c>
      <c r="X2122" s="136">
        <f>COMPROMISOS_2025[[#This Row],[total_ordenes]]</f>
        <v>2491125</v>
      </c>
      <c r="Y2122" t="str" cm="1">
        <f t="array" aca="1" ref="Y2122" ca="1">IFERROR(_xlfn.XLOOKUP(COMPROMISOS_2025[[#This Row],[concatenado]],PAA[[#All],[RCP-RUBRO]],PAA[[#All],[Actividad3]],VLOOKUP(COMPROMISOS_2025[[#This Row],[Indicador Principal]],$AC$2:$AD$17,2,0),0),"")</f>
        <v/>
      </c>
    </row>
    <row r="2123" spans="1:25" hidden="1" x14ac:dyDescent="0.25">
      <c r="A2123">
        <v>1637</v>
      </c>
      <c r="B2123" t="s">
        <v>2491</v>
      </c>
      <c r="C2123" t="s">
        <v>1936</v>
      </c>
      <c r="D2123" t="s">
        <v>4182</v>
      </c>
      <c r="F2123">
        <v>406</v>
      </c>
      <c r="G2123">
        <v>65</v>
      </c>
      <c r="H2123" t="s">
        <v>662</v>
      </c>
      <c r="I2123" t="s">
        <v>2271</v>
      </c>
      <c r="J2123">
        <v>1423500</v>
      </c>
      <c r="K2123">
        <v>2025</v>
      </c>
      <c r="L2123">
        <v>1033260221</v>
      </c>
      <c r="M2123" t="s">
        <v>4059</v>
      </c>
      <c r="N2123" t="s">
        <v>1688</v>
      </c>
      <c r="O2123" t="s">
        <v>1686</v>
      </c>
      <c r="P2123">
        <v>0</v>
      </c>
      <c r="Q2123">
        <v>1423500</v>
      </c>
      <c r="R2123">
        <v>0</v>
      </c>
      <c r="S2123">
        <v>0</v>
      </c>
      <c r="T2123" t="str">
        <f t="shared" si="66"/>
        <v>16372.43.4302.85.0-205128.2.3.3.08.06.</v>
      </c>
      <c r="U2123" t="e" cm="1">
        <f t="array" aca="1" ref="U2123" ca="1">+IF(COMPROMISOS_2025[[#This Row],[P]]="20","41080111",_xlfn.XLOOKUP(COMPROMISOS_2025[[#This Row],[concatenado]],PAA[[#All],[RCP-RUBRO]],PAA[[#All],[INDICADOR]],"",0))</f>
        <v>#NAME?</v>
      </c>
      <c r="V2123" s="144" t="str">
        <f t="shared" si="67"/>
        <v>85</v>
      </c>
      <c r="W2123" s="136">
        <f>+COMPROMISOS_2025[[#This Row],[valor_total]]-COMPROMISOS_2025[[#This Row],[total_cancelado]]</f>
        <v>1423500</v>
      </c>
      <c r="X2123" s="136">
        <f>COMPROMISOS_2025[[#This Row],[total_ordenes]]</f>
        <v>1423500</v>
      </c>
      <c r="Y2123" t="str" cm="1">
        <f t="array" aca="1" ref="Y2123" ca="1">IFERROR(_xlfn.XLOOKUP(COMPROMISOS_2025[[#This Row],[concatenado]],PAA[[#All],[RCP-RUBRO]],PAA[[#All],[Actividad3]],VLOOKUP(COMPROMISOS_2025[[#This Row],[Indicador Principal]],$AC$2:$AD$17,2,0),0),"")</f>
        <v/>
      </c>
    </row>
    <row r="2124" spans="1:25" hidden="1" x14ac:dyDescent="0.25">
      <c r="A2124">
        <v>1638</v>
      </c>
      <c r="B2124" t="s">
        <v>2491</v>
      </c>
      <c r="C2124" t="s">
        <v>1936</v>
      </c>
      <c r="D2124" t="s">
        <v>4182</v>
      </c>
      <c r="F2124">
        <v>406</v>
      </c>
      <c r="G2124">
        <v>65</v>
      </c>
      <c r="H2124" t="s">
        <v>662</v>
      </c>
      <c r="I2124" t="s">
        <v>2271</v>
      </c>
      <c r="J2124">
        <v>711750</v>
      </c>
      <c r="K2124">
        <v>2025</v>
      </c>
      <c r="L2124">
        <v>1033338792</v>
      </c>
      <c r="M2124" t="s">
        <v>4338</v>
      </c>
      <c r="N2124" t="s">
        <v>1688</v>
      </c>
      <c r="O2124" t="s">
        <v>1686</v>
      </c>
      <c r="P2124">
        <v>0</v>
      </c>
      <c r="Q2124">
        <v>711750</v>
      </c>
      <c r="R2124">
        <v>0</v>
      </c>
      <c r="S2124">
        <v>0</v>
      </c>
      <c r="T2124" t="str">
        <f t="shared" si="66"/>
        <v>16382.43.4302.85.0-205128.2.3.3.08.06.</v>
      </c>
      <c r="U2124" t="e" cm="1">
        <f t="array" aca="1" ref="U2124" ca="1">+IF(COMPROMISOS_2025[[#This Row],[P]]="20","41080111",_xlfn.XLOOKUP(COMPROMISOS_2025[[#This Row],[concatenado]],PAA[[#All],[RCP-RUBRO]],PAA[[#All],[INDICADOR]],"",0))</f>
        <v>#NAME?</v>
      </c>
      <c r="V2124" s="144" t="str">
        <f t="shared" si="67"/>
        <v>85</v>
      </c>
      <c r="W2124" s="136">
        <f>+COMPROMISOS_2025[[#This Row],[valor_total]]-COMPROMISOS_2025[[#This Row],[total_cancelado]]</f>
        <v>711750</v>
      </c>
      <c r="X2124" s="136">
        <f>COMPROMISOS_2025[[#This Row],[total_ordenes]]</f>
        <v>711750</v>
      </c>
      <c r="Y2124" t="str" cm="1">
        <f t="array" aca="1" ref="Y2124" ca="1">IFERROR(_xlfn.XLOOKUP(COMPROMISOS_2025[[#This Row],[concatenado]],PAA[[#All],[RCP-RUBRO]],PAA[[#All],[Actividad3]],VLOOKUP(COMPROMISOS_2025[[#This Row],[Indicador Principal]],$AC$2:$AD$17,2,0),0),"")</f>
        <v/>
      </c>
    </row>
    <row r="2125" spans="1:25" hidden="1" x14ac:dyDescent="0.25">
      <c r="A2125">
        <v>1639</v>
      </c>
      <c r="B2125" t="s">
        <v>2491</v>
      </c>
      <c r="C2125" t="s">
        <v>1936</v>
      </c>
      <c r="D2125" t="s">
        <v>4182</v>
      </c>
      <c r="F2125">
        <v>406</v>
      </c>
      <c r="G2125">
        <v>65</v>
      </c>
      <c r="H2125" t="s">
        <v>662</v>
      </c>
      <c r="I2125" t="s">
        <v>2271</v>
      </c>
      <c r="J2125">
        <v>711750</v>
      </c>
      <c r="K2125">
        <v>2025</v>
      </c>
      <c r="L2125">
        <v>1033426573</v>
      </c>
      <c r="M2125" t="s">
        <v>4339</v>
      </c>
      <c r="N2125" t="s">
        <v>1688</v>
      </c>
      <c r="O2125" t="s">
        <v>1686</v>
      </c>
      <c r="P2125">
        <v>0</v>
      </c>
      <c r="Q2125">
        <v>711750</v>
      </c>
      <c r="R2125">
        <v>0</v>
      </c>
      <c r="S2125">
        <v>0</v>
      </c>
      <c r="T2125" t="str">
        <f t="shared" si="66"/>
        <v>16392.43.4302.85.0-205128.2.3.3.08.06.</v>
      </c>
      <c r="U2125" t="e" cm="1">
        <f t="array" aca="1" ref="U2125" ca="1">+IF(COMPROMISOS_2025[[#This Row],[P]]="20","41080111",_xlfn.XLOOKUP(COMPROMISOS_2025[[#This Row],[concatenado]],PAA[[#All],[RCP-RUBRO]],PAA[[#All],[INDICADOR]],"",0))</f>
        <v>#NAME?</v>
      </c>
      <c r="V2125" s="144" t="str">
        <f t="shared" si="67"/>
        <v>85</v>
      </c>
      <c r="W2125" s="136">
        <f>+COMPROMISOS_2025[[#This Row],[valor_total]]-COMPROMISOS_2025[[#This Row],[total_cancelado]]</f>
        <v>711750</v>
      </c>
      <c r="X2125" s="136">
        <f>COMPROMISOS_2025[[#This Row],[total_ordenes]]</f>
        <v>711750</v>
      </c>
      <c r="Y2125" t="str" cm="1">
        <f t="array" aca="1" ref="Y2125" ca="1">IFERROR(_xlfn.XLOOKUP(COMPROMISOS_2025[[#This Row],[concatenado]],PAA[[#All],[RCP-RUBRO]],PAA[[#All],[Actividad3]],VLOOKUP(COMPROMISOS_2025[[#This Row],[Indicador Principal]],$AC$2:$AD$17,2,0),0),"")</f>
        <v/>
      </c>
    </row>
    <row r="2126" spans="1:25" hidden="1" x14ac:dyDescent="0.25">
      <c r="A2126">
        <v>1640</v>
      </c>
      <c r="B2126" t="s">
        <v>2491</v>
      </c>
      <c r="C2126" t="s">
        <v>1936</v>
      </c>
      <c r="D2126" t="s">
        <v>4182</v>
      </c>
      <c r="F2126">
        <v>406</v>
      </c>
      <c r="G2126">
        <v>65</v>
      </c>
      <c r="H2126" t="s">
        <v>662</v>
      </c>
      <c r="I2126" t="s">
        <v>2271</v>
      </c>
      <c r="J2126">
        <v>1067625</v>
      </c>
      <c r="K2126">
        <v>2025</v>
      </c>
      <c r="L2126">
        <v>1033489811</v>
      </c>
      <c r="M2126" t="s">
        <v>4340</v>
      </c>
      <c r="N2126" t="s">
        <v>1688</v>
      </c>
      <c r="O2126" t="s">
        <v>1686</v>
      </c>
      <c r="P2126">
        <v>0</v>
      </c>
      <c r="Q2126">
        <v>1067625</v>
      </c>
      <c r="R2126">
        <v>0</v>
      </c>
      <c r="S2126">
        <v>0</v>
      </c>
      <c r="T2126" t="str">
        <f t="shared" si="66"/>
        <v>16402.43.4302.85.0-205128.2.3.3.08.06.</v>
      </c>
      <c r="U2126" t="e" cm="1">
        <f t="array" aca="1" ref="U2126" ca="1">+IF(COMPROMISOS_2025[[#This Row],[P]]="20","41080111",_xlfn.XLOOKUP(COMPROMISOS_2025[[#This Row],[concatenado]],PAA[[#All],[RCP-RUBRO]],PAA[[#All],[INDICADOR]],"",0))</f>
        <v>#NAME?</v>
      </c>
      <c r="V2126" s="144" t="str">
        <f t="shared" si="67"/>
        <v>85</v>
      </c>
      <c r="W2126" s="136">
        <f>+COMPROMISOS_2025[[#This Row],[valor_total]]-COMPROMISOS_2025[[#This Row],[total_cancelado]]</f>
        <v>1067625</v>
      </c>
      <c r="X2126" s="136">
        <f>COMPROMISOS_2025[[#This Row],[total_ordenes]]</f>
        <v>1067625</v>
      </c>
      <c r="Y2126" t="str" cm="1">
        <f t="array" aca="1" ref="Y2126" ca="1">IFERROR(_xlfn.XLOOKUP(COMPROMISOS_2025[[#This Row],[concatenado]],PAA[[#All],[RCP-RUBRO]],PAA[[#All],[Actividad3]],VLOOKUP(COMPROMISOS_2025[[#This Row],[Indicador Principal]],$AC$2:$AD$17,2,0),0),"")</f>
        <v/>
      </c>
    </row>
    <row r="2127" spans="1:25" hidden="1" x14ac:dyDescent="0.25">
      <c r="A2127">
        <v>1641</v>
      </c>
      <c r="B2127" t="s">
        <v>2491</v>
      </c>
      <c r="C2127" t="s">
        <v>1936</v>
      </c>
      <c r="D2127" t="s">
        <v>4182</v>
      </c>
      <c r="F2127">
        <v>406</v>
      </c>
      <c r="G2127">
        <v>65</v>
      </c>
      <c r="H2127" t="s">
        <v>662</v>
      </c>
      <c r="I2127" t="s">
        <v>2271</v>
      </c>
      <c r="J2127">
        <v>711750</v>
      </c>
      <c r="K2127">
        <v>2025</v>
      </c>
      <c r="L2127">
        <v>1033490856</v>
      </c>
      <c r="M2127" t="s">
        <v>3747</v>
      </c>
      <c r="N2127" t="s">
        <v>1688</v>
      </c>
      <c r="O2127" t="s">
        <v>1686</v>
      </c>
      <c r="P2127">
        <v>0</v>
      </c>
      <c r="Q2127">
        <v>711750</v>
      </c>
      <c r="R2127">
        <v>0</v>
      </c>
      <c r="S2127">
        <v>0</v>
      </c>
      <c r="T2127" t="str">
        <f t="shared" si="66"/>
        <v>16412.43.4302.85.0-205128.2.3.3.08.06.</v>
      </c>
      <c r="U2127" t="e" cm="1">
        <f t="array" aca="1" ref="U2127" ca="1">+IF(COMPROMISOS_2025[[#This Row],[P]]="20","41080111",_xlfn.XLOOKUP(COMPROMISOS_2025[[#This Row],[concatenado]],PAA[[#All],[RCP-RUBRO]],PAA[[#All],[INDICADOR]],"",0))</f>
        <v>#NAME?</v>
      </c>
      <c r="V2127" s="144" t="str">
        <f t="shared" si="67"/>
        <v>85</v>
      </c>
      <c r="W2127" s="136">
        <f>+COMPROMISOS_2025[[#This Row],[valor_total]]-COMPROMISOS_2025[[#This Row],[total_cancelado]]</f>
        <v>711750</v>
      </c>
      <c r="X2127" s="136">
        <f>COMPROMISOS_2025[[#This Row],[total_ordenes]]</f>
        <v>711750</v>
      </c>
      <c r="Y2127" t="str" cm="1">
        <f t="array" aca="1" ref="Y2127" ca="1">IFERROR(_xlfn.XLOOKUP(COMPROMISOS_2025[[#This Row],[concatenado]],PAA[[#All],[RCP-RUBRO]],PAA[[#All],[Actividad3]],VLOOKUP(COMPROMISOS_2025[[#This Row],[Indicador Principal]],$AC$2:$AD$17,2,0),0),"")</f>
        <v/>
      </c>
    </row>
    <row r="2128" spans="1:25" hidden="1" x14ac:dyDescent="0.25">
      <c r="A2128">
        <v>1642</v>
      </c>
      <c r="B2128" t="s">
        <v>2491</v>
      </c>
      <c r="C2128" t="s">
        <v>1936</v>
      </c>
      <c r="D2128" t="s">
        <v>4182</v>
      </c>
      <c r="F2128">
        <v>406</v>
      </c>
      <c r="G2128">
        <v>65</v>
      </c>
      <c r="H2128" t="s">
        <v>662</v>
      </c>
      <c r="I2128" t="s">
        <v>2271</v>
      </c>
      <c r="J2128">
        <v>1423500</v>
      </c>
      <c r="K2128">
        <v>2025</v>
      </c>
      <c r="L2128">
        <v>1034668204</v>
      </c>
      <c r="M2128" t="s">
        <v>4341</v>
      </c>
      <c r="N2128" t="s">
        <v>1688</v>
      </c>
      <c r="O2128" t="s">
        <v>1686</v>
      </c>
      <c r="P2128">
        <v>0</v>
      </c>
      <c r="Q2128">
        <v>1423500</v>
      </c>
      <c r="R2128">
        <v>0</v>
      </c>
      <c r="S2128">
        <v>0</v>
      </c>
      <c r="T2128" t="str">
        <f t="shared" si="66"/>
        <v>16422.43.4302.85.0-205128.2.3.3.08.06.</v>
      </c>
      <c r="U2128" t="e" cm="1">
        <f t="array" aca="1" ref="U2128" ca="1">+IF(COMPROMISOS_2025[[#This Row],[P]]="20","41080111",_xlfn.XLOOKUP(COMPROMISOS_2025[[#This Row],[concatenado]],PAA[[#All],[RCP-RUBRO]],PAA[[#All],[INDICADOR]],"",0))</f>
        <v>#NAME?</v>
      </c>
      <c r="V2128" s="144" t="str">
        <f t="shared" si="67"/>
        <v>85</v>
      </c>
      <c r="W2128" s="136">
        <f>+COMPROMISOS_2025[[#This Row],[valor_total]]-COMPROMISOS_2025[[#This Row],[total_cancelado]]</f>
        <v>1423500</v>
      </c>
      <c r="X2128" s="136">
        <f>COMPROMISOS_2025[[#This Row],[total_ordenes]]</f>
        <v>1423500</v>
      </c>
      <c r="Y2128" t="str" cm="1">
        <f t="array" aca="1" ref="Y2128" ca="1">IFERROR(_xlfn.XLOOKUP(COMPROMISOS_2025[[#This Row],[concatenado]],PAA[[#All],[RCP-RUBRO]],PAA[[#All],[Actividad3]],VLOOKUP(COMPROMISOS_2025[[#This Row],[Indicador Principal]],$AC$2:$AD$17,2,0),0),"")</f>
        <v/>
      </c>
    </row>
    <row r="2129" spans="1:25" hidden="1" x14ac:dyDescent="0.25">
      <c r="A2129">
        <v>1643</v>
      </c>
      <c r="B2129" t="s">
        <v>2491</v>
      </c>
      <c r="C2129" t="s">
        <v>1936</v>
      </c>
      <c r="D2129" t="s">
        <v>4182</v>
      </c>
      <c r="F2129">
        <v>406</v>
      </c>
      <c r="G2129">
        <v>65</v>
      </c>
      <c r="H2129" t="s">
        <v>662</v>
      </c>
      <c r="I2129" t="s">
        <v>2271</v>
      </c>
      <c r="J2129">
        <v>711750</v>
      </c>
      <c r="K2129">
        <v>2025</v>
      </c>
      <c r="L2129">
        <v>1034917651</v>
      </c>
      <c r="M2129" t="s">
        <v>4174</v>
      </c>
      <c r="N2129" t="s">
        <v>1688</v>
      </c>
      <c r="O2129" t="s">
        <v>1686</v>
      </c>
      <c r="P2129">
        <v>0</v>
      </c>
      <c r="Q2129">
        <v>711750</v>
      </c>
      <c r="R2129">
        <v>0</v>
      </c>
      <c r="S2129">
        <v>0</v>
      </c>
      <c r="T2129" t="str">
        <f t="shared" si="66"/>
        <v>16432.43.4302.85.0-205128.2.3.3.08.06.</v>
      </c>
      <c r="U2129" t="e" cm="1">
        <f t="array" aca="1" ref="U2129" ca="1">+IF(COMPROMISOS_2025[[#This Row],[P]]="20","41080111",_xlfn.XLOOKUP(COMPROMISOS_2025[[#This Row],[concatenado]],PAA[[#All],[RCP-RUBRO]],PAA[[#All],[INDICADOR]],"",0))</f>
        <v>#NAME?</v>
      </c>
      <c r="V2129" s="144" t="str">
        <f t="shared" si="67"/>
        <v>85</v>
      </c>
      <c r="W2129" s="136">
        <f>+COMPROMISOS_2025[[#This Row],[valor_total]]-COMPROMISOS_2025[[#This Row],[total_cancelado]]</f>
        <v>711750</v>
      </c>
      <c r="X2129" s="136">
        <f>COMPROMISOS_2025[[#This Row],[total_ordenes]]</f>
        <v>711750</v>
      </c>
      <c r="Y2129" t="str" cm="1">
        <f t="array" aca="1" ref="Y2129" ca="1">IFERROR(_xlfn.XLOOKUP(COMPROMISOS_2025[[#This Row],[concatenado]],PAA[[#All],[RCP-RUBRO]],PAA[[#All],[Actividad3]],VLOOKUP(COMPROMISOS_2025[[#This Row],[Indicador Principal]],$AC$2:$AD$17,2,0),0),"")</f>
        <v/>
      </c>
    </row>
    <row r="2130" spans="1:25" hidden="1" x14ac:dyDescent="0.25">
      <c r="A2130">
        <v>1644</v>
      </c>
      <c r="B2130" t="s">
        <v>2491</v>
      </c>
      <c r="C2130" t="s">
        <v>1936</v>
      </c>
      <c r="D2130" t="s">
        <v>4182</v>
      </c>
      <c r="F2130">
        <v>406</v>
      </c>
      <c r="G2130">
        <v>65</v>
      </c>
      <c r="H2130" t="s">
        <v>662</v>
      </c>
      <c r="I2130" t="s">
        <v>2271</v>
      </c>
      <c r="J2130">
        <v>711750</v>
      </c>
      <c r="K2130">
        <v>2025</v>
      </c>
      <c r="L2130">
        <v>1034921394</v>
      </c>
      <c r="M2130" t="s">
        <v>3748</v>
      </c>
      <c r="N2130" t="s">
        <v>1688</v>
      </c>
      <c r="O2130" t="s">
        <v>1686</v>
      </c>
      <c r="P2130">
        <v>0</v>
      </c>
      <c r="Q2130">
        <v>711750</v>
      </c>
      <c r="R2130">
        <v>0</v>
      </c>
      <c r="S2130">
        <v>0</v>
      </c>
      <c r="T2130" t="str">
        <f t="shared" si="66"/>
        <v>16442.43.4302.85.0-205128.2.3.3.08.06.</v>
      </c>
      <c r="U2130" t="e" cm="1">
        <f t="array" aca="1" ref="U2130" ca="1">+IF(COMPROMISOS_2025[[#This Row],[P]]="20","41080111",_xlfn.XLOOKUP(COMPROMISOS_2025[[#This Row],[concatenado]],PAA[[#All],[RCP-RUBRO]],PAA[[#All],[INDICADOR]],"",0))</f>
        <v>#NAME?</v>
      </c>
      <c r="V2130" s="144" t="str">
        <f t="shared" si="67"/>
        <v>85</v>
      </c>
      <c r="W2130" s="136">
        <f>+COMPROMISOS_2025[[#This Row],[valor_total]]-COMPROMISOS_2025[[#This Row],[total_cancelado]]</f>
        <v>711750</v>
      </c>
      <c r="X2130" s="136">
        <f>COMPROMISOS_2025[[#This Row],[total_ordenes]]</f>
        <v>711750</v>
      </c>
      <c r="Y2130" t="str" cm="1">
        <f t="array" aca="1" ref="Y2130" ca="1">IFERROR(_xlfn.XLOOKUP(COMPROMISOS_2025[[#This Row],[concatenado]],PAA[[#All],[RCP-RUBRO]],PAA[[#All],[Actividad3]],VLOOKUP(COMPROMISOS_2025[[#This Row],[Indicador Principal]],$AC$2:$AD$17,2,0),0),"")</f>
        <v/>
      </c>
    </row>
    <row r="2131" spans="1:25" hidden="1" x14ac:dyDescent="0.25">
      <c r="A2131">
        <v>1645</v>
      </c>
      <c r="B2131" t="s">
        <v>2491</v>
      </c>
      <c r="C2131" t="s">
        <v>1936</v>
      </c>
      <c r="D2131" t="s">
        <v>4182</v>
      </c>
      <c r="F2131">
        <v>406</v>
      </c>
      <c r="G2131">
        <v>65</v>
      </c>
      <c r="H2131" t="s">
        <v>662</v>
      </c>
      <c r="I2131" t="s">
        <v>2271</v>
      </c>
      <c r="J2131">
        <v>2847000</v>
      </c>
      <c r="K2131">
        <v>2025</v>
      </c>
      <c r="L2131">
        <v>1034986454</v>
      </c>
      <c r="M2131" t="s">
        <v>4342</v>
      </c>
      <c r="N2131" t="s">
        <v>1688</v>
      </c>
      <c r="O2131" t="s">
        <v>1686</v>
      </c>
      <c r="P2131">
        <v>0</v>
      </c>
      <c r="Q2131">
        <v>2847000</v>
      </c>
      <c r="R2131">
        <v>0</v>
      </c>
      <c r="S2131">
        <v>0</v>
      </c>
      <c r="T2131" t="str">
        <f t="shared" si="66"/>
        <v>16452.43.4302.85.0-205128.2.3.3.08.06.</v>
      </c>
      <c r="U2131" t="e" cm="1">
        <f t="array" aca="1" ref="U2131" ca="1">+IF(COMPROMISOS_2025[[#This Row],[P]]="20","41080111",_xlfn.XLOOKUP(COMPROMISOS_2025[[#This Row],[concatenado]],PAA[[#All],[RCP-RUBRO]],PAA[[#All],[INDICADOR]],"",0))</f>
        <v>#NAME?</v>
      </c>
      <c r="V2131" s="144" t="str">
        <f t="shared" si="67"/>
        <v>85</v>
      </c>
      <c r="W2131" s="136">
        <f>+COMPROMISOS_2025[[#This Row],[valor_total]]-COMPROMISOS_2025[[#This Row],[total_cancelado]]</f>
        <v>2847000</v>
      </c>
      <c r="X2131" s="136">
        <f>COMPROMISOS_2025[[#This Row],[total_ordenes]]</f>
        <v>2847000</v>
      </c>
      <c r="Y2131" t="str" cm="1">
        <f t="array" aca="1" ref="Y2131" ca="1">IFERROR(_xlfn.XLOOKUP(COMPROMISOS_2025[[#This Row],[concatenado]],PAA[[#All],[RCP-RUBRO]],PAA[[#All],[Actividad3]],VLOOKUP(COMPROMISOS_2025[[#This Row],[Indicador Principal]],$AC$2:$AD$17,2,0),0),"")</f>
        <v/>
      </c>
    </row>
    <row r="2132" spans="1:25" hidden="1" x14ac:dyDescent="0.25">
      <c r="A2132">
        <v>1646</v>
      </c>
      <c r="B2132" t="s">
        <v>2491</v>
      </c>
      <c r="C2132" t="s">
        <v>1936</v>
      </c>
      <c r="D2132" t="s">
        <v>4182</v>
      </c>
      <c r="F2132">
        <v>406</v>
      </c>
      <c r="G2132">
        <v>65</v>
      </c>
      <c r="H2132" t="s">
        <v>662</v>
      </c>
      <c r="I2132" t="s">
        <v>2271</v>
      </c>
      <c r="J2132">
        <v>1067625</v>
      </c>
      <c r="K2132">
        <v>2025</v>
      </c>
      <c r="L2132">
        <v>1034986751</v>
      </c>
      <c r="M2132" t="s">
        <v>4343</v>
      </c>
      <c r="N2132" t="s">
        <v>1688</v>
      </c>
      <c r="O2132" t="s">
        <v>1686</v>
      </c>
      <c r="P2132">
        <v>0</v>
      </c>
      <c r="Q2132">
        <v>1067625</v>
      </c>
      <c r="R2132">
        <v>0</v>
      </c>
      <c r="S2132">
        <v>0</v>
      </c>
      <c r="T2132" t="str">
        <f t="shared" si="66"/>
        <v>16462.43.4302.85.0-205128.2.3.3.08.06.</v>
      </c>
      <c r="U2132" t="e" cm="1">
        <f t="array" aca="1" ref="U2132" ca="1">+IF(COMPROMISOS_2025[[#This Row],[P]]="20","41080111",_xlfn.XLOOKUP(COMPROMISOS_2025[[#This Row],[concatenado]],PAA[[#All],[RCP-RUBRO]],PAA[[#All],[INDICADOR]],"",0))</f>
        <v>#NAME?</v>
      </c>
      <c r="V2132" s="144" t="str">
        <f t="shared" si="67"/>
        <v>85</v>
      </c>
      <c r="W2132" s="136">
        <f>+COMPROMISOS_2025[[#This Row],[valor_total]]-COMPROMISOS_2025[[#This Row],[total_cancelado]]</f>
        <v>1067625</v>
      </c>
      <c r="X2132" s="136">
        <f>COMPROMISOS_2025[[#This Row],[total_ordenes]]</f>
        <v>1067625</v>
      </c>
      <c r="Y2132" t="str" cm="1">
        <f t="array" aca="1" ref="Y2132" ca="1">IFERROR(_xlfn.XLOOKUP(COMPROMISOS_2025[[#This Row],[concatenado]],PAA[[#All],[RCP-RUBRO]],PAA[[#All],[Actividad3]],VLOOKUP(COMPROMISOS_2025[[#This Row],[Indicador Principal]],$AC$2:$AD$17,2,0),0),"")</f>
        <v/>
      </c>
    </row>
    <row r="2133" spans="1:25" hidden="1" x14ac:dyDescent="0.25">
      <c r="A2133">
        <v>1647</v>
      </c>
      <c r="B2133" t="s">
        <v>2491</v>
      </c>
      <c r="C2133" t="s">
        <v>1936</v>
      </c>
      <c r="D2133" t="s">
        <v>4182</v>
      </c>
      <c r="F2133">
        <v>406</v>
      </c>
      <c r="G2133">
        <v>65</v>
      </c>
      <c r="H2133" t="s">
        <v>662</v>
      </c>
      <c r="I2133" t="s">
        <v>2271</v>
      </c>
      <c r="J2133">
        <v>1067625</v>
      </c>
      <c r="K2133">
        <v>2025</v>
      </c>
      <c r="L2133">
        <v>1034987017</v>
      </c>
      <c r="M2133" t="s">
        <v>4062</v>
      </c>
      <c r="N2133" t="s">
        <v>1688</v>
      </c>
      <c r="O2133" t="s">
        <v>1686</v>
      </c>
      <c r="P2133">
        <v>0</v>
      </c>
      <c r="Q2133">
        <v>1067625</v>
      </c>
      <c r="R2133">
        <v>0</v>
      </c>
      <c r="S2133">
        <v>0</v>
      </c>
      <c r="T2133" t="str">
        <f t="shared" si="66"/>
        <v>16472.43.4302.85.0-205128.2.3.3.08.06.</v>
      </c>
      <c r="U2133" t="e" cm="1">
        <f t="array" aca="1" ref="U2133" ca="1">+IF(COMPROMISOS_2025[[#This Row],[P]]="20","41080111",_xlfn.XLOOKUP(COMPROMISOS_2025[[#This Row],[concatenado]],PAA[[#All],[RCP-RUBRO]],PAA[[#All],[INDICADOR]],"",0))</f>
        <v>#NAME?</v>
      </c>
      <c r="V2133" s="144" t="str">
        <f t="shared" si="67"/>
        <v>85</v>
      </c>
      <c r="W2133" s="136">
        <f>+COMPROMISOS_2025[[#This Row],[valor_total]]-COMPROMISOS_2025[[#This Row],[total_cancelado]]</f>
        <v>1067625</v>
      </c>
      <c r="X2133" s="136">
        <f>COMPROMISOS_2025[[#This Row],[total_ordenes]]</f>
        <v>1067625</v>
      </c>
      <c r="Y2133" t="str" cm="1">
        <f t="array" aca="1" ref="Y2133" ca="1">IFERROR(_xlfn.XLOOKUP(COMPROMISOS_2025[[#This Row],[concatenado]],PAA[[#All],[RCP-RUBRO]],PAA[[#All],[Actividad3]],VLOOKUP(COMPROMISOS_2025[[#This Row],[Indicador Principal]],$AC$2:$AD$17,2,0),0),"")</f>
        <v/>
      </c>
    </row>
    <row r="2134" spans="1:25" hidden="1" x14ac:dyDescent="0.25">
      <c r="A2134">
        <v>1648</v>
      </c>
      <c r="B2134" t="s">
        <v>2491</v>
      </c>
      <c r="C2134" t="s">
        <v>1936</v>
      </c>
      <c r="D2134" t="s">
        <v>4182</v>
      </c>
      <c r="F2134">
        <v>406</v>
      </c>
      <c r="G2134">
        <v>65</v>
      </c>
      <c r="H2134" t="s">
        <v>662</v>
      </c>
      <c r="I2134" t="s">
        <v>2271</v>
      </c>
      <c r="J2134">
        <v>711750</v>
      </c>
      <c r="K2134">
        <v>2025</v>
      </c>
      <c r="L2134">
        <v>1034987578</v>
      </c>
      <c r="M2134" t="s">
        <v>3749</v>
      </c>
      <c r="N2134" t="s">
        <v>1688</v>
      </c>
      <c r="O2134" t="s">
        <v>1686</v>
      </c>
      <c r="P2134">
        <v>0</v>
      </c>
      <c r="Q2134">
        <v>711750</v>
      </c>
      <c r="R2134">
        <v>0</v>
      </c>
      <c r="S2134">
        <v>0</v>
      </c>
      <c r="T2134" t="str">
        <f t="shared" si="66"/>
        <v>16482.43.4302.85.0-205128.2.3.3.08.06.</v>
      </c>
      <c r="U2134" t="e" cm="1">
        <f t="array" aca="1" ref="U2134" ca="1">+IF(COMPROMISOS_2025[[#This Row],[P]]="20","41080111",_xlfn.XLOOKUP(COMPROMISOS_2025[[#This Row],[concatenado]],PAA[[#All],[RCP-RUBRO]],PAA[[#All],[INDICADOR]],"",0))</f>
        <v>#NAME?</v>
      </c>
      <c r="V2134" s="144" t="str">
        <f t="shared" si="67"/>
        <v>85</v>
      </c>
      <c r="W2134" s="136">
        <f>+COMPROMISOS_2025[[#This Row],[valor_total]]-COMPROMISOS_2025[[#This Row],[total_cancelado]]</f>
        <v>711750</v>
      </c>
      <c r="X2134" s="136">
        <f>COMPROMISOS_2025[[#This Row],[total_ordenes]]</f>
        <v>711750</v>
      </c>
      <c r="Y2134" t="str" cm="1">
        <f t="array" aca="1" ref="Y2134" ca="1">IFERROR(_xlfn.XLOOKUP(COMPROMISOS_2025[[#This Row],[concatenado]],PAA[[#All],[RCP-RUBRO]],PAA[[#All],[Actividad3]],VLOOKUP(COMPROMISOS_2025[[#This Row],[Indicador Principal]],$AC$2:$AD$17,2,0),0),"")</f>
        <v/>
      </c>
    </row>
    <row r="2135" spans="1:25" hidden="1" x14ac:dyDescent="0.25">
      <c r="A2135">
        <v>1649</v>
      </c>
      <c r="B2135" t="s">
        <v>2491</v>
      </c>
      <c r="C2135" t="s">
        <v>1936</v>
      </c>
      <c r="D2135" t="s">
        <v>4182</v>
      </c>
      <c r="F2135">
        <v>406</v>
      </c>
      <c r="G2135">
        <v>65</v>
      </c>
      <c r="H2135" t="s">
        <v>662</v>
      </c>
      <c r="I2135" t="s">
        <v>2271</v>
      </c>
      <c r="J2135">
        <v>1067625</v>
      </c>
      <c r="K2135">
        <v>2025</v>
      </c>
      <c r="L2135">
        <v>1034989348</v>
      </c>
      <c r="M2135" t="s">
        <v>3750</v>
      </c>
      <c r="N2135" t="s">
        <v>1688</v>
      </c>
      <c r="O2135" t="s">
        <v>1686</v>
      </c>
      <c r="P2135">
        <v>0</v>
      </c>
      <c r="Q2135">
        <v>1067625</v>
      </c>
      <c r="R2135">
        <v>0</v>
      </c>
      <c r="S2135">
        <v>0</v>
      </c>
      <c r="T2135" t="str">
        <f t="shared" si="66"/>
        <v>16492.43.4302.85.0-205128.2.3.3.08.06.</v>
      </c>
      <c r="U2135" t="e" cm="1">
        <f t="array" aca="1" ref="U2135" ca="1">+IF(COMPROMISOS_2025[[#This Row],[P]]="20","41080111",_xlfn.XLOOKUP(COMPROMISOS_2025[[#This Row],[concatenado]],PAA[[#All],[RCP-RUBRO]],PAA[[#All],[INDICADOR]],"",0))</f>
        <v>#NAME?</v>
      </c>
      <c r="V2135" s="144" t="str">
        <f t="shared" si="67"/>
        <v>85</v>
      </c>
      <c r="W2135" s="136">
        <f>+COMPROMISOS_2025[[#This Row],[valor_total]]-COMPROMISOS_2025[[#This Row],[total_cancelado]]</f>
        <v>1067625</v>
      </c>
      <c r="X2135" s="136">
        <f>COMPROMISOS_2025[[#This Row],[total_ordenes]]</f>
        <v>1067625</v>
      </c>
      <c r="Y2135" t="str" cm="1">
        <f t="array" aca="1" ref="Y2135" ca="1">IFERROR(_xlfn.XLOOKUP(COMPROMISOS_2025[[#This Row],[concatenado]],PAA[[#All],[RCP-RUBRO]],PAA[[#All],[Actividad3]],VLOOKUP(COMPROMISOS_2025[[#This Row],[Indicador Principal]],$AC$2:$AD$17,2,0),0),"")</f>
        <v/>
      </c>
    </row>
    <row r="2136" spans="1:25" hidden="1" x14ac:dyDescent="0.25">
      <c r="A2136">
        <v>1650</v>
      </c>
      <c r="B2136" t="s">
        <v>2491</v>
      </c>
      <c r="C2136" t="s">
        <v>1936</v>
      </c>
      <c r="D2136" t="s">
        <v>4182</v>
      </c>
      <c r="F2136">
        <v>406</v>
      </c>
      <c r="G2136">
        <v>65</v>
      </c>
      <c r="H2136" t="s">
        <v>662</v>
      </c>
      <c r="I2136" t="s">
        <v>2271</v>
      </c>
      <c r="J2136">
        <v>1423500</v>
      </c>
      <c r="K2136">
        <v>2025</v>
      </c>
      <c r="L2136">
        <v>1034989506</v>
      </c>
      <c r="M2136" t="s">
        <v>3751</v>
      </c>
      <c r="N2136" t="s">
        <v>1688</v>
      </c>
      <c r="O2136" t="s">
        <v>1686</v>
      </c>
      <c r="P2136">
        <v>0</v>
      </c>
      <c r="Q2136">
        <v>1423500</v>
      </c>
      <c r="R2136">
        <v>0</v>
      </c>
      <c r="S2136">
        <v>0</v>
      </c>
      <c r="T2136" t="str">
        <f t="shared" si="66"/>
        <v>16502.43.4302.85.0-205128.2.3.3.08.06.</v>
      </c>
      <c r="U2136" t="e" cm="1">
        <f t="array" aca="1" ref="U2136" ca="1">+IF(COMPROMISOS_2025[[#This Row],[P]]="20","41080111",_xlfn.XLOOKUP(COMPROMISOS_2025[[#This Row],[concatenado]],PAA[[#All],[RCP-RUBRO]],PAA[[#All],[INDICADOR]],"",0))</f>
        <v>#NAME?</v>
      </c>
      <c r="V2136" s="144" t="str">
        <f t="shared" si="67"/>
        <v>85</v>
      </c>
      <c r="W2136" s="136">
        <f>+COMPROMISOS_2025[[#This Row],[valor_total]]-COMPROMISOS_2025[[#This Row],[total_cancelado]]</f>
        <v>1423500</v>
      </c>
      <c r="X2136" s="136">
        <f>COMPROMISOS_2025[[#This Row],[total_ordenes]]</f>
        <v>1423500</v>
      </c>
      <c r="Y2136" t="str" cm="1">
        <f t="array" aca="1" ref="Y2136" ca="1">IFERROR(_xlfn.XLOOKUP(COMPROMISOS_2025[[#This Row],[concatenado]],PAA[[#All],[RCP-RUBRO]],PAA[[#All],[Actividad3]],VLOOKUP(COMPROMISOS_2025[[#This Row],[Indicador Principal]],$AC$2:$AD$17,2,0),0),"")</f>
        <v/>
      </c>
    </row>
    <row r="2137" spans="1:25" hidden="1" x14ac:dyDescent="0.25">
      <c r="A2137">
        <v>1651</v>
      </c>
      <c r="B2137" t="s">
        <v>2491</v>
      </c>
      <c r="C2137" t="s">
        <v>1936</v>
      </c>
      <c r="D2137" t="s">
        <v>4182</v>
      </c>
      <c r="F2137">
        <v>406</v>
      </c>
      <c r="G2137">
        <v>65</v>
      </c>
      <c r="H2137" t="s">
        <v>662</v>
      </c>
      <c r="I2137" t="s">
        <v>2271</v>
      </c>
      <c r="J2137">
        <v>711750</v>
      </c>
      <c r="K2137">
        <v>2025</v>
      </c>
      <c r="L2137">
        <v>1034989950</v>
      </c>
      <c r="M2137" t="s">
        <v>3752</v>
      </c>
      <c r="N2137" t="s">
        <v>1688</v>
      </c>
      <c r="O2137" t="s">
        <v>1686</v>
      </c>
      <c r="P2137">
        <v>0</v>
      </c>
      <c r="Q2137">
        <v>711750</v>
      </c>
      <c r="R2137">
        <v>0</v>
      </c>
      <c r="S2137">
        <v>0</v>
      </c>
      <c r="T2137" t="str">
        <f t="shared" si="66"/>
        <v>16512.43.4302.85.0-205128.2.3.3.08.06.</v>
      </c>
      <c r="U2137" t="e" cm="1">
        <f t="array" aca="1" ref="U2137" ca="1">+IF(COMPROMISOS_2025[[#This Row],[P]]="20","41080111",_xlfn.XLOOKUP(COMPROMISOS_2025[[#This Row],[concatenado]],PAA[[#All],[RCP-RUBRO]],PAA[[#All],[INDICADOR]],"",0))</f>
        <v>#NAME?</v>
      </c>
      <c r="V2137" s="144" t="str">
        <f t="shared" si="67"/>
        <v>85</v>
      </c>
      <c r="W2137" s="136">
        <f>+COMPROMISOS_2025[[#This Row],[valor_total]]-COMPROMISOS_2025[[#This Row],[total_cancelado]]</f>
        <v>711750</v>
      </c>
      <c r="X2137" s="136">
        <f>COMPROMISOS_2025[[#This Row],[total_ordenes]]</f>
        <v>711750</v>
      </c>
      <c r="Y2137" t="str" cm="1">
        <f t="array" aca="1" ref="Y2137" ca="1">IFERROR(_xlfn.XLOOKUP(COMPROMISOS_2025[[#This Row],[concatenado]],PAA[[#All],[RCP-RUBRO]],PAA[[#All],[Actividad3]],VLOOKUP(COMPROMISOS_2025[[#This Row],[Indicador Principal]],$AC$2:$AD$17,2,0),0),"")</f>
        <v/>
      </c>
    </row>
    <row r="2138" spans="1:25" hidden="1" x14ac:dyDescent="0.25">
      <c r="A2138">
        <v>1652</v>
      </c>
      <c r="B2138" t="s">
        <v>2491</v>
      </c>
      <c r="C2138" t="s">
        <v>1936</v>
      </c>
      <c r="D2138" t="s">
        <v>4182</v>
      </c>
      <c r="F2138">
        <v>406</v>
      </c>
      <c r="G2138">
        <v>65</v>
      </c>
      <c r="H2138" t="s">
        <v>662</v>
      </c>
      <c r="I2138" t="s">
        <v>2271</v>
      </c>
      <c r="J2138">
        <v>711750</v>
      </c>
      <c r="K2138">
        <v>2025</v>
      </c>
      <c r="L2138">
        <v>1034990879</v>
      </c>
      <c r="M2138" t="s">
        <v>3753</v>
      </c>
      <c r="N2138" t="s">
        <v>1688</v>
      </c>
      <c r="O2138" t="s">
        <v>1686</v>
      </c>
      <c r="P2138">
        <v>0</v>
      </c>
      <c r="Q2138">
        <v>711750</v>
      </c>
      <c r="R2138">
        <v>0</v>
      </c>
      <c r="S2138">
        <v>0</v>
      </c>
      <c r="T2138" t="str">
        <f t="shared" si="66"/>
        <v>16522.43.4302.85.0-205128.2.3.3.08.06.</v>
      </c>
      <c r="U2138" t="e" cm="1">
        <f t="array" aca="1" ref="U2138" ca="1">+IF(COMPROMISOS_2025[[#This Row],[P]]="20","41080111",_xlfn.XLOOKUP(COMPROMISOS_2025[[#This Row],[concatenado]],PAA[[#All],[RCP-RUBRO]],PAA[[#All],[INDICADOR]],"",0))</f>
        <v>#NAME?</v>
      </c>
      <c r="V2138" s="144" t="str">
        <f t="shared" si="67"/>
        <v>85</v>
      </c>
      <c r="W2138" s="136">
        <f>+COMPROMISOS_2025[[#This Row],[valor_total]]-COMPROMISOS_2025[[#This Row],[total_cancelado]]</f>
        <v>711750</v>
      </c>
      <c r="X2138" s="136">
        <f>COMPROMISOS_2025[[#This Row],[total_ordenes]]</f>
        <v>711750</v>
      </c>
      <c r="Y2138" t="str" cm="1">
        <f t="array" aca="1" ref="Y2138" ca="1">IFERROR(_xlfn.XLOOKUP(COMPROMISOS_2025[[#This Row],[concatenado]],PAA[[#All],[RCP-RUBRO]],PAA[[#All],[Actividad3]],VLOOKUP(COMPROMISOS_2025[[#This Row],[Indicador Principal]],$AC$2:$AD$17,2,0),0),"")</f>
        <v/>
      </c>
    </row>
    <row r="2139" spans="1:25" hidden="1" x14ac:dyDescent="0.25">
      <c r="A2139">
        <v>1653</v>
      </c>
      <c r="B2139" t="s">
        <v>2491</v>
      </c>
      <c r="C2139" t="s">
        <v>1936</v>
      </c>
      <c r="D2139" t="s">
        <v>4182</v>
      </c>
      <c r="F2139">
        <v>406</v>
      </c>
      <c r="G2139">
        <v>65</v>
      </c>
      <c r="H2139" t="s">
        <v>662</v>
      </c>
      <c r="I2139" t="s">
        <v>2271</v>
      </c>
      <c r="J2139">
        <v>2491125</v>
      </c>
      <c r="K2139">
        <v>2025</v>
      </c>
      <c r="L2139">
        <v>1034990951</v>
      </c>
      <c r="M2139" t="s">
        <v>4344</v>
      </c>
      <c r="N2139" t="s">
        <v>1688</v>
      </c>
      <c r="O2139" t="s">
        <v>1686</v>
      </c>
      <c r="P2139">
        <v>0</v>
      </c>
      <c r="Q2139">
        <v>2491125</v>
      </c>
      <c r="R2139">
        <v>0</v>
      </c>
      <c r="S2139">
        <v>0</v>
      </c>
      <c r="T2139" t="str">
        <f t="shared" si="66"/>
        <v>16532.43.4302.85.0-205128.2.3.3.08.06.</v>
      </c>
      <c r="U2139" t="e" cm="1">
        <f t="array" aca="1" ref="U2139" ca="1">+IF(COMPROMISOS_2025[[#This Row],[P]]="20","41080111",_xlfn.XLOOKUP(COMPROMISOS_2025[[#This Row],[concatenado]],PAA[[#All],[RCP-RUBRO]],PAA[[#All],[INDICADOR]],"",0))</f>
        <v>#NAME?</v>
      </c>
      <c r="V2139" s="144" t="str">
        <f t="shared" si="67"/>
        <v>85</v>
      </c>
      <c r="W2139" s="136">
        <f>+COMPROMISOS_2025[[#This Row],[valor_total]]-COMPROMISOS_2025[[#This Row],[total_cancelado]]</f>
        <v>2491125</v>
      </c>
      <c r="X2139" s="136">
        <f>COMPROMISOS_2025[[#This Row],[total_ordenes]]</f>
        <v>2491125</v>
      </c>
      <c r="Y2139" t="str" cm="1">
        <f t="array" aca="1" ref="Y2139" ca="1">IFERROR(_xlfn.XLOOKUP(COMPROMISOS_2025[[#This Row],[concatenado]],PAA[[#All],[RCP-RUBRO]],PAA[[#All],[Actividad3]],VLOOKUP(COMPROMISOS_2025[[#This Row],[Indicador Principal]],$AC$2:$AD$17,2,0),0),"")</f>
        <v/>
      </c>
    </row>
    <row r="2140" spans="1:25" hidden="1" x14ac:dyDescent="0.25">
      <c r="A2140">
        <v>1654</v>
      </c>
      <c r="B2140" t="s">
        <v>2491</v>
      </c>
      <c r="C2140" t="s">
        <v>1936</v>
      </c>
      <c r="D2140" t="s">
        <v>4182</v>
      </c>
      <c r="F2140">
        <v>406</v>
      </c>
      <c r="G2140">
        <v>65</v>
      </c>
      <c r="H2140" t="s">
        <v>662</v>
      </c>
      <c r="I2140" t="s">
        <v>2271</v>
      </c>
      <c r="J2140">
        <v>711750</v>
      </c>
      <c r="K2140">
        <v>2025</v>
      </c>
      <c r="L2140">
        <v>1034991124</v>
      </c>
      <c r="M2140" t="s">
        <v>3754</v>
      </c>
      <c r="N2140" t="s">
        <v>1688</v>
      </c>
      <c r="O2140" t="s">
        <v>1686</v>
      </c>
      <c r="P2140">
        <v>0</v>
      </c>
      <c r="Q2140">
        <v>711750</v>
      </c>
      <c r="R2140">
        <v>0</v>
      </c>
      <c r="S2140">
        <v>0</v>
      </c>
      <c r="T2140" t="str">
        <f t="shared" si="66"/>
        <v>16542.43.4302.85.0-205128.2.3.3.08.06.</v>
      </c>
      <c r="U2140" t="e" cm="1">
        <f t="array" aca="1" ref="U2140" ca="1">+IF(COMPROMISOS_2025[[#This Row],[P]]="20","41080111",_xlfn.XLOOKUP(COMPROMISOS_2025[[#This Row],[concatenado]],PAA[[#All],[RCP-RUBRO]],PAA[[#All],[INDICADOR]],"",0))</f>
        <v>#NAME?</v>
      </c>
      <c r="V2140" s="144" t="str">
        <f t="shared" si="67"/>
        <v>85</v>
      </c>
      <c r="W2140" s="136">
        <f>+COMPROMISOS_2025[[#This Row],[valor_total]]-COMPROMISOS_2025[[#This Row],[total_cancelado]]</f>
        <v>711750</v>
      </c>
      <c r="X2140" s="136">
        <f>COMPROMISOS_2025[[#This Row],[total_ordenes]]</f>
        <v>711750</v>
      </c>
      <c r="Y2140" t="str" cm="1">
        <f t="array" aca="1" ref="Y2140" ca="1">IFERROR(_xlfn.XLOOKUP(COMPROMISOS_2025[[#This Row],[concatenado]],PAA[[#All],[RCP-RUBRO]],PAA[[#All],[Actividad3]],VLOOKUP(COMPROMISOS_2025[[#This Row],[Indicador Principal]],$AC$2:$AD$17,2,0),0),"")</f>
        <v/>
      </c>
    </row>
    <row r="2141" spans="1:25" hidden="1" x14ac:dyDescent="0.25">
      <c r="A2141">
        <v>1655</v>
      </c>
      <c r="B2141" t="s">
        <v>2491</v>
      </c>
      <c r="C2141" t="s">
        <v>1936</v>
      </c>
      <c r="D2141" t="s">
        <v>4182</v>
      </c>
      <c r="F2141">
        <v>406</v>
      </c>
      <c r="G2141">
        <v>65</v>
      </c>
      <c r="H2141" t="s">
        <v>662</v>
      </c>
      <c r="I2141" t="s">
        <v>2271</v>
      </c>
      <c r="J2141">
        <v>1067625</v>
      </c>
      <c r="K2141">
        <v>2025</v>
      </c>
      <c r="L2141">
        <v>1034992419</v>
      </c>
      <c r="M2141" t="s">
        <v>3755</v>
      </c>
      <c r="N2141" t="s">
        <v>1688</v>
      </c>
      <c r="O2141" t="s">
        <v>1686</v>
      </c>
      <c r="P2141">
        <v>0</v>
      </c>
      <c r="Q2141">
        <v>1067625</v>
      </c>
      <c r="R2141">
        <v>0</v>
      </c>
      <c r="S2141">
        <v>0</v>
      </c>
      <c r="T2141" t="str">
        <f t="shared" si="66"/>
        <v>16552.43.4302.85.0-205128.2.3.3.08.06.</v>
      </c>
      <c r="U2141" t="e" cm="1">
        <f t="array" aca="1" ref="U2141" ca="1">+IF(COMPROMISOS_2025[[#This Row],[P]]="20","41080111",_xlfn.XLOOKUP(COMPROMISOS_2025[[#This Row],[concatenado]],PAA[[#All],[RCP-RUBRO]],PAA[[#All],[INDICADOR]],"",0))</f>
        <v>#NAME?</v>
      </c>
      <c r="V2141" s="144" t="str">
        <f t="shared" si="67"/>
        <v>85</v>
      </c>
      <c r="W2141" s="136">
        <f>+COMPROMISOS_2025[[#This Row],[valor_total]]-COMPROMISOS_2025[[#This Row],[total_cancelado]]</f>
        <v>1067625</v>
      </c>
      <c r="X2141" s="136">
        <f>COMPROMISOS_2025[[#This Row],[total_ordenes]]</f>
        <v>1067625</v>
      </c>
      <c r="Y2141" t="str" cm="1">
        <f t="array" aca="1" ref="Y2141" ca="1">IFERROR(_xlfn.XLOOKUP(COMPROMISOS_2025[[#This Row],[concatenado]],PAA[[#All],[RCP-RUBRO]],PAA[[#All],[Actividad3]],VLOOKUP(COMPROMISOS_2025[[#This Row],[Indicador Principal]],$AC$2:$AD$17,2,0),0),"")</f>
        <v/>
      </c>
    </row>
    <row r="2142" spans="1:25" hidden="1" x14ac:dyDescent="0.25">
      <c r="A2142">
        <v>1656</v>
      </c>
      <c r="B2142" t="s">
        <v>2491</v>
      </c>
      <c r="C2142" t="s">
        <v>1936</v>
      </c>
      <c r="D2142" t="s">
        <v>4182</v>
      </c>
      <c r="F2142">
        <v>406</v>
      </c>
      <c r="G2142">
        <v>65</v>
      </c>
      <c r="H2142" t="s">
        <v>662</v>
      </c>
      <c r="I2142" t="s">
        <v>2271</v>
      </c>
      <c r="J2142">
        <v>711750</v>
      </c>
      <c r="K2142">
        <v>2025</v>
      </c>
      <c r="L2142">
        <v>1034993134</v>
      </c>
      <c r="M2142" t="s">
        <v>3756</v>
      </c>
      <c r="N2142" t="s">
        <v>1688</v>
      </c>
      <c r="O2142" t="s">
        <v>1686</v>
      </c>
      <c r="P2142">
        <v>0</v>
      </c>
      <c r="Q2142">
        <v>711750</v>
      </c>
      <c r="R2142">
        <v>0</v>
      </c>
      <c r="S2142">
        <v>0</v>
      </c>
      <c r="T2142" t="str">
        <f t="shared" si="66"/>
        <v>16562.43.4302.85.0-205128.2.3.3.08.06.</v>
      </c>
      <c r="U2142" t="e" cm="1">
        <f t="array" aca="1" ref="U2142" ca="1">+IF(COMPROMISOS_2025[[#This Row],[P]]="20","41080111",_xlfn.XLOOKUP(COMPROMISOS_2025[[#This Row],[concatenado]],PAA[[#All],[RCP-RUBRO]],PAA[[#All],[INDICADOR]],"",0))</f>
        <v>#NAME?</v>
      </c>
      <c r="V2142" s="144" t="str">
        <f t="shared" si="67"/>
        <v>85</v>
      </c>
      <c r="W2142" s="136">
        <f>+COMPROMISOS_2025[[#This Row],[valor_total]]-COMPROMISOS_2025[[#This Row],[total_cancelado]]</f>
        <v>711750</v>
      </c>
      <c r="X2142" s="136">
        <f>COMPROMISOS_2025[[#This Row],[total_ordenes]]</f>
        <v>711750</v>
      </c>
      <c r="Y2142" t="str" cm="1">
        <f t="array" aca="1" ref="Y2142" ca="1">IFERROR(_xlfn.XLOOKUP(COMPROMISOS_2025[[#This Row],[concatenado]],PAA[[#All],[RCP-RUBRO]],PAA[[#All],[Actividad3]],VLOOKUP(COMPROMISOS_2025[[#This Row],[Indicador Principal]],$AC$2:$AD$17,2,0),0),"")</f>
        <v/>
      </c>
    </row>
    <row r="2143" spans="1:25" hidden="1" x14ac:dyDescent="0.25">
      <c r="A2143">
        <v>1657</v>
      </c>
      <c r="B2143" t="s">
        <v>2491</v>
      </c>
      <c r="C2143" t="s">
        <v>1936</v>
      </c>
      <c r="D2143" t="s">
        <v>4182</v>
      </c>
      <c r="F2143">
        <v>406</v>
      </c>
      <c r="G2143">
        <v>65</v>
      </c>
      <c r="H2143" t="s">
        <v>662</v>
      </c>
      <c r="I2143" t="s">
        <v>2271</v>
      </c>
      <c r="J2143">
        <v>711750</v>
      </c>
      <c r="K2143">
        <v>2025</v>
      </c>
      <c r="L2143">
        <v>1034994208</v>
      </c>
      <c r="M2143" t="s">
        <v>4345</v>
      </c>
      <c r="N2143" t="s">
        <v>1688</v>
      </c>
      <c r="O2143" t="s">
        <v>1686</v>
      </c>
      <c r="P2143">
        <v>0</v>
      </c>
      <c r="Q2143">
        <v>711750</v>
      </c>
      <c r="R2143">
        <v>0</v>
      </c>
      <c r="S2143">
        <v>0</v>
      </c>
      <c r="T2143" t="str">
        <f t="shared" si="66"/>
        <v>16572.43.4302.85.0-205128.2.3.3.08.06.</v>
      </c>
      <c r="U2143" t="e" cm="1">
        <f t="array" aca="1" ref="U2143" ca="1">+IF(COMPROMISOS_2025[[#This Row],[P]]="20","41080111",_xlfn.XLOOKUP(COMPROMISOS_2025[[#This Row],[concatenado]],PAA[[#All],[RCP-RUBRO]],PAA[[#All],[INDICADOR]],"",0))</f>
        <v>#NAME?</v>
      </c>
      <c r="V2143" s="144" t="str">
        <f t="shared" si="67"/>
        <v>85</v>
      </c>
      <c r="W2143" s="136">
        <f>+COMPROMISOS_2025[[#This Row],[valor_total]]-COMPROMISOS_2025[[#This Row],[total_cancelado]]</f>
        <v>711750</v>
      </c>
      <c r="X2143" s="136">
        <f>COMPROMISOS_2025[[#This Row],[total_ordenes]]</f>
        <v>711750</v>
      </c>
      <c r="Y2143" t="str" cm="1">
        <f t="array" aca="1" ref="Y2143" ca="1">IFERROR(_xlfn.XLOOKUP(COMPROMISOS_2025[[#This Row],[concatenado]],PAA[[#All],[RCP-RUBRO]],PAA[[#All],[Actividad3]],VLOOKUP(COMPROMISOS_2025[[#This Row],[Indicador Principal]],$AC$2:$AD$17,2,0),0),"")</f>
        <v/>
      </c>
    </row>
    <row r="2144" spans="1:25" hidden="1" x14ac:dyDescent="0.25">
      <c r="A2144">
        <v>1658</v>
      </c>
      <c r="B2144" t="s">
        <v>2491</v>
      </c>
      <c r="C2144" t="s">
        <v>1936</v>
      </c>
      <c r="D2144" t="s">
        <v>4182</v>
      </c>
      <c r="F2144">
        <v>406</v>
      </c>
      <c r="G2144">
        <v>65</v>
      </c>
      <c r="H2144" t="s">
        <v>662</v>
      </c>
      <c r="I2144" t="s">
        <v>2271</v>
      </c>
      <c r="J2144">
        <v>711750</v>
      </c>
      <c r="K2144">
        <v>2025</v>
      </c>
      <c r="L2144">
        <v>1034995540</v>
      </c>
      <c r="M2144" t="s">
        <v>3757</v>
      </c>
      <c r="N2144" t="s">
        <v>1688</v>
      </c>
      <c r="O2144" t="s">
        <v>1686</v>
      </c>
      <c r="P2144">
        <v>0</v>
      </c>
      <c r="Q2144">
        <v>711750</v>
      </c>
      <c r="R2144">
        <v>0</v>
      </c>
      <c r="S2144">
        <v>0</v>
      </c>
      <c r="T2144" t="str">
        <f t="shared" si="66"/>
        <v>16582.43.4302.85.0-205128.2.3.3.08.06.</v>
      </c>
      <c r="U2144" t="e" cm="1">
        <f t="array" aca="1" ref="U2144" ca="1">+IF(COMPROMISOS_2025[[#This Row],[P]]="20","41080111",_xlfn.XLOOKUP(COMPROMISOS_2025[[#This Row],[concatenado]],PAA[[#All],[RCP-RUBRO]],PAA[[#All],[INDICADOR]],"",0))</f>
        <v>#NAME?</v>
      </c>
      <c r="V2144" s="144" t="str">
        <f t="shared" si="67"/>
        <v>85</v>
      </c>
      <c r="W2144" s="136">
        <f>+COMPROMISOS_2025[[#This Row],[valor_total]]-COMPROMISOS_2025[[#This Row],[total_cancelado]]</f>
        <v>711750</v>
      </c>
      <c r="X2144" s="136">
        <f>COMPROMISOS_2025[[#This Row],[total_ordenes]]</f>
        <v>711750</v>
      </c>
      <c r="Y2144" t="str" cm="1">
        <f t="array" aca="1" ref="Y2144" ca="1">IFERROR(_xlfn.XLOOKUP(COMPROMISOS_2025[[#This Row],[concatenado]],PAA[[#All],[RCP-RUBRO]],PAA[[#All],[Actividad3]],VLOOKUP(COMPROMISOS_2025[[#This Row],[Indicador Principal]],$AC$2:$AD$17,2,0),0),"")</f>
        <v/>
      </c>
    </row>
    <row r="2145" spans="1:25" hidden="1" x14ac:dyDescent="0.25">
      <c r="A2145">
        <v>1659</v>
      </c>
      <c r="B2145" t="s">
        <v>2491</v>
      </c>
      <c r="C2145" t="s">
        <v>1936</v>
      </c>
      <c r="D2145" t="s">
        <v>4182</v>
      </c>
      <c r="F2145">
        <v>406</v>
      </c>
      <c r="G2145">
        <v>65</v>
      </c>
      <c r="H2145" t="s">
        <v>662</v>
      </c>
      <c r="I2145" t="s">
        <v>2271</v>
      </c>
      <c r="J2145">
        <v>711750</v>
      </c>
      <c r="K2145">
        <v>2025</v>
      </c>
      <c r="L2145">
        <v>1034995799</v>
      </c>
      <c r="M2145" t="s">
        <v>3758</v>
      </c>
      <c r="N2145" t="s">
        <v>1688</v>
      </c>
      <c r="O2145" t="s">
        <v>1686</v>
      </c>
      <c r="P2145">
        <v>0</v>
      </c>
      <c r="Q2145">
        <v>711750</v>
      </c>
      <c r="R2145">
        <v>0</v>
      </c>
      <c r="S2145">
        <v>0</v>
      </c>
      <c r="T2145" t="str">
        <f t="shared" si="66"/>
        <v>16592.43.4302.85.0-205128.2.3.3.08.06.</v>
      </c>
      <c r="U2145" t="e" cm="1">
        <f t="array" aca="1" ref="U2145" ca="1">+IF(COMPROMISOS_2025[[#This Row],[P]]="20","41080111",_xlfn.XLOOKUP(COMPROMISOS_2025[[#This Row],[concatenado]],PAA[[#All],[RCP-RUBRO]],PAA[[#All],[INDICADOR]],"",0))</f>
        <v>#NAME?</v>
      </c>
      <c r="V2145" s="144" t="str">
        <f t="shared" si="67"/>
        <v>85</v>
      </c>
      <c r="W2145" s="136">
        <f>+COMPROMISOS_2025[[#This Row],[valor_total]]-COMPROMISOS_2025[[#This Row],[total_cancelado]]</f>
        <v>711750</v>
      </c>
      <c r="X2145" s="136">
        <f>COMPROMISOS_2025[[#This Row],[total_ordenes]]</f>
        <v>711750</v>
      </c>
      <c r="Y2145" t="str" cm="1">
        <f t="array" aca="1" ref="Y2145" ca="1">IFERROR(_xlfn.XLOOKUP(COMPROMISOS_2025[[#This Row],[concatenado]],PAA[[#All],[RCP-RUBRO]],PAA[[#All],[Actividad3]],VLOOKUP(COMPROMISOS_2025[[#This Row],[Indicador Principal]],$AC$2:$AD$17,2,0),0),"")</f>
        <v/>
      </c>
    </row>
    <row r="2146" spans="1:25" hidden="1" x14ac:dyDescent="0.25">
      <c r="A2146">
        <v>1660</v>
      </c>
      <c r="B2146" t="s">
        <v>2491</v>
      </c>
      <c r="C2146" t="s">
        <v>1936</v>
      </c>
      <c r="D2146" t="s">
        <v>4182</v>
      </c>
      <c r="F2146">
        <v>406</v>
      </c>
      <c r="G2146">
        <v>65</v>
      </c>
      <c r="H2146" t="s">
        <v>662</v>
      </c>
      <c r="I2146" t="s">
        <v>2271</v>
      </c>
      <c r="J2146">
        <v>711750</v>
      </c>
      <c r="K2146">
        <v>2025</v>
      </c>
      <c r="L2146">
        <v>1034995963</v>
      </c>
      <c r="M2146" t="s">
        <v>3759</v>
      </c>
      <c r="N2146" t="s">
        <v>1688</v>
      </c>
      <c r="O2146" t="s">
        <v>1686</v>
      </c>
      <c r="P2146">
        <v>0</v>
      </c>
      <c r="Q2146">
        <v>711750</v>
      </c>
      <c r="R2146">
        <v>0</v>
      </c>
      <c r="S2146">
        <v>0</v>
      </c>
      <c r="T2146" t="str">
        <f t="shared" si="66"/>
        <v>16602.43.4302.85.0-205128.2.3.3.08.06.</v>
      </c>
      <c r="U2146" t="e" cm="1">
        <f t="array" aca="1" ref="U2146" ca="1">+IF(COMPROMISOS_2025[[#This Row],[P]]="20","41080111",_xlfn.XLOOKUP(COMPROMISOS_2025[[#This Row],[concatenado]],PAA[[#All],[RCP-RUBRO]],PAA[[#All],[INDICADOR]],"",0))</f>
        <v>#NAME?</v>
      </c>
      <c r="V2146" s="144" t="str">
        <f t="shared" si="67"/>
        <v>85</v>
      </c>
      <c r="W2146" s="136">
        <f>+COMPROMISOS_2025[[#This Row],[valor_total]]-COMPROMISOS_2025[[#This Row],[total_cancelado]]</f>
        <v>711750</v>
      </c>
      <c r="X2146" s="136">
        <f>COMPROMISOS_2025[[#This Row],[total_ordenes]]</f>
        <v>711750</v>
      </c>
      <c r="Y2146" t="str" cm="1">
        <f t="array" aca="1" ref="Y2146" ca="1">IFERROR(_xlfn.XLOOKUP(COMPROMISOS_2025[[#This Row],[concatenado]],PAA[[#All],[RCP-RUBRO]],PAA[[#All],[Actividad3]],VLOOKUP(COMPROMISOS_2025[[#This Row],[Indicador Principal]],$AC$2:$AD$17,2,0),0),"")</f>
        <v/>
      </c>
    </row>
    <row r="2147" spans="1:25" hidden="1" x14ac:dyDescent="0.25">
      <c r="A2147">
        <v>1661</v>
      </c>
      <c r="B2147" t="s">
        <v>2491</v>
      </c>
      <c r="C2147" t="s">
        <v>1936</v>
      </c>
      <c r="D2147" t="s">
        <v>4182</v>
      </c>
      <c r="F2147">
        <v>406</v>
      </c>
      <c r="G2147">
        <v>65</v>
      </c>
      <c r="H2147" t="s">
        <v>662</v>
      </c>
      <c r="I2147" t="s">
        <v>2271</v>
      </c>
      <c r="J2147">
        <v>1067625</v>
      </c>
      <c r="K2147">
        <v>2025</v>
      </c>
      <c r="L2147">
        <v>1035066840</v>
      </c>
      <c r="M2147" t="s">
        <v>3760</v>
      </c>
      <c r="N2147" t="s">
        <v>1688</v>
      </c>
      <c r="O2147" t="s">
        <v>1686</v>
      </c>
      <c r="P2147">
        <v>0</v>
      </c>
      <c r="Q2147">
        <v>1067625</v>
      </c>
      <c r="R2147">
        <v>0</v>
      </c>
      <c r="S2147">
        <v>0</v>
      </c>
      <c r="T2147" t="str">
        <f t="shared" si="66"/>
        <v>16612.43.4302.85.0-205128.2.3.3.08.06.</v>
      </c>
      <c r="U2147" t="e" cm="1">
        <f t="array" aca="1" ref="U2147" ca="1">+IF(COMPROMISOS_2025[[#This Row],[P]]="20","41080111",_xlfn.XLOOKUP(COMPROMISOS_2025[[#This Row],[concatenado]],PAA[[#All],[RCP-RUBRO]],PAA[[#All],[INDICADOR]],"",0))</f>
        <v>#NAME?</v>
      </c>
      <c r="V2147" s="144" t="str">
        <f t="shared" si="67"/>
        <v>85</v>
      </c>
      <c r="W2147" s="136">
        <f>+COMPROMISOS_2025[[#This Row],[valor_total]]-COMPROMISOS_2025[[#This Row],[total_cancelado]]</f>
        <v>1067625</v>
      </c>
      <c r="X2147" s="136">
        <f>COMPROMISOS_2025[[#This Row],[total_ordenes]]</f>
        <v>1067625</v>
      </c>
      <c r="Y2147" t="str" cm="1">
        <f t="array" aca="1" ref="Y2147" ca="1">IFERROR(_xlfn.XLOOKUP(COMPROMISOS_2025[[#This Row],[concatenado]],PAA[[#All],[RCP-RUBRO]],PAA[[#All],[Actividad3]],VLOOKUP(COMPROMISOS_2025[[#This Row],[Indicador Principal]],$AC$2:$AD$17,2,0),0),"")</f>
        <v/>
      </c>
    </row>
    <row r="2148" spans="1:25" hidden="1" x14ac:dyDescent="0.25">
      <c r="A2148">
        <v>1662</v>
      </c>
      <c r="B2148" t="s">
        <v>2491</v>
      </c>
      <c r="C2148" t="s">
        <v>1936</v>
      </c>
      <c r="D2148" t="s">
        <v>4182</v>
      </c>
      <c r="F2148">
        <v>406</v>
      </c>
      <c r="G2148">
        <v>65</v>
      </c>
      <c r="H2148" t="s">
        <v>662</v>
      </c>
      <c r="I2148" t="s">
        <v>2271</v>
      </c>
      <c r="J2148">
        <v>1067625</v>
      </c>
      <c r="K2148">
        <v>2025</v>
      </c>
      <c r="L2148">
        <v>1035067300</v>
      </c>
      <c r="M2148" t="s">
        <v>3761</v>
      </c>
      <c r="N2148" t="s">
        <v>1688</v>
      </c>
      <c r="O2148" t="s">
        <v>1686</v>
      </c>
      <c r="P2148">
        <v>0</v>
      </c>
      <c r="Q2148">
        <v>1067625</v>
      </c>
      <c r="R2148">
        <v>0</v>
      </c>
      <c r="S2148">
        <v>0</v>
      </c>
      <c r="T2148" t="str">
        <f t="shared" si="66"/>
        <v>16622.43.4302.85.0-205128.2.3.3.08.06.</v>
      </c>
      <c r="U2148" t="e" cm="1">
        <f t="array" aca="1" ref="U2148" ca="1">+IF(COMPROMISOS_2025[[#This Row],[P]]="20","41080111",_xlfn.XLOOKUP(COMPROMISOS_2025[[#This Row],[concatenado]],PAA[[#All],[RCP-RUBRO]],PAA[[#All],[INDICADOR]],"",0))</f>
        <v>#NAME?</v>
      </c>
      <c r="V2148" s="144" t="str">
        <f t="shared" si="67"/>
        <v>85</v>
      </c>
      <c r="W2148" s="136">
        <f>+COMPROMISOS_2025[[#This Row],[valor_total]]-COMPROMISOS_2025[[#This Row],[total_cancelado]]</f>
        <v>1067625</v>
      </c>
      <c r="X2148" s="136">
        <f>COMPROMISOS_2025[[#This Row],[total_ordenes]]</f>
        <v>1067625</v>
      </c>
      <c r="Y2148" t="str" cm="1">
        <f t="array" aca="1" ref="Y2148" ca="1">IFERROR(_xlfn.XLOOKUP(COMPROMISOS_2025[[#This Row],[concatenado]],PAA[[#All],[RCP-RUBRO]],PAA[[#All],[Actividad3]],VLOOKUP(COMPROMISOS_2025[[#This Row],[Indicador Principal]],$AC$2:$AD$17,2,0),0),"")</f>
        <v/>
      </c>
    </row>
    <row r="2149" spans="1:25" hidden="1" x14ac:dyDescent="0.25">
      <c r="A2149">
        <v>1663</v>
      </c>
      <c r="B2149" t="s">
        <v>2491</v>
      </c>
      <c r="C2149" t="s">
        <v>1936</v>
      </c>
      <c r="D2149" t="s">
        <v>4182</v>
      </c>
      <c r="F2149">
        <v>406</v>
      </c>
      <c r="G2149">
        <v>65</v>
      </c>
      <c r="H2149" t="s">
        <v>662</v>
      </c>
      <c r="I2149" t="s">
        <v>2271</v>
      </c>
      <c r="J2149">
        <v>711750</v>
      </c>
      <c r="K2149">
        <v>2025</v>
      </c>
      <c r="L2149">
        <v>1035231952</v>
      </c>
      <c r="M2149" t="s">
        <v>4346</v>
      </c>
      <c r="N2149" t="s">
        <v>1688</v>
      </c>
      <c r="O2149" t="s">
        <v>1686</v>
      </c>
      <c r="P2149">
        <v>0</v>
      </c>
      <c r="Q2149">
        <v>711750</v>
      </c>
      <c r="R2149">
        <v>0</v>
      </c>
      <c r="S2149">
        <v>0</v>
      </c>
      <c r="T2149" t="str">
        <f t="shared" si="66"/>
        <v>16632.43.4302.85.0-205128.2.3.3.08.06.</v>
      </c>
      <c r="U2149" t="e" cm="1">
        <f t="array" aca="1" ref="U2149" ca="1">+IF(COMPROMISOS_2025[[#This Row],[P]]="20","41080111",_xlfn.XLOOKUP(COMPROMISOS_2025[[#This Row],[concatenado]],PAA[[#All],[RCP-RUBRO]],PAA[[#All],[INDICADOR]],"",0))</f>
        <v>#NAME?</v>
      </c>
      <c r="V2149" s="144" t="str">
        <f t="shared" si="67"/>
        <v>85</v>
      </c>
      <c r="W2149" s="136">
        <f>+COMPROMISOS_2025[[#This Row],[valor_total]]-COMPROMISOS_2025[[#This Row],[total_cancelado]]</f>
        <v>711750</v>
      </c>
      <c r="X2149" s="136">
        <f>COMPROMISOS_2025[[#This Row],[total_ordenes]]</f>
        <v>711750</v>
      </c>
      <c r="Y2149" t="str" cm="1">
        <f t="array" aca="1" ref="Y2149" ca="1">IFERROR(_xlfn.XLOOKUP(COMPROMISOS_2025[[#This Row],[concatenado]],PAA[[#All],[RCP-RUBRO]],PAA[[#All],[Actividad3]],VLOOKUP(COMPROMISOS_2025[[#This Row],[Indicador Principal]],$AC$2:$AD$17,2,0),0),"")</f>
        <v/>
      </c>
    </row>
    <row r="2150" spans="1:25" hidden="1" x14ac:dyDescent="0.25">
      <c r="A2150">
        <v>1664</v>
      </c>
      <c r="B2150" t="s">
        <v>2491</v>
      </c>
      <c r="C2150" t="s">
        <v>1936</v>
      </c>
      <c r="D2150" t="s">
        <v>4182</v>
      </c>
      <c r="F2150">
        <v>406</v>
      </c>
      <c r="G2150">
        <v>65</v>
      </c>
      <c r="H2150" t="s">
        <v>662</v>
      </c>
      <c r="I2150" t="s">
        <v>2271</v>
      </c>
      <c r="J2150">
        <v>1067625</v>
      </c>
      <c r="K2150">
        <v>2025</v>
      </c>
      <c r="L2150">
        <v>1035329060</v>
      </c>
      <c r="M2150" t="s">
        <v>3762</v>
      </c>
      <c r="N2150" t="s">
        <v>1688</v>
      </c>
      <c r="O2150" t="s">
        <v>1686</v>
      </c>
      <c r="P2150">
        <v>0</v>
      </c>
      <c r="Q2150">
        <v>1067625</v>
      </c>
      <c r="R2150">
        <v>0</v>
      </c>
      <c r="S2150">
        <v>0</v>
      </c>
      <c r="T2150" t="str">
        <f t="shared" si="66"/>
        <v>16642.43.4302.85.0-205128.2.3.3.08.06.</v>
      </c>
      <c r="U2150" t="e" cm="1">
        <f t="array" aca="1" ref="U2150" ca="1">+IF(COMPROMISOS_2025[[#This Row],[P]]="20","41080111",_xlfn.XLOOKUP(COMPROMISOS_2025[[#This Row],[concatenado]],PAA[[#All],[RCP-RUBRO]],PAA[[#All],[INDICADOR]],"",0))</f>
        <v>#NAME?</v>
      </c>
      <c r="V2150" s="144" t="str">
        <f t="shared" si="67"/>
        <v>85</v>
      </c>
      <c r="W2150" s="136">
        <f>+COMPROMISOS_2025[[#This Row],[valor_total]]-COMPROMISOS_2025[[#This Row],[total_cancelado]]</f>
        <v>1067625</v>
      </c>
      <c r="X2150" s="136">
        <f>COMPROMISOS_2025[[#This Row],[total_ordenes]]</f>
        <v>1067625</v>
      </c>
      <c r="Y2150" t="str" cm="1">
        <f t="array" aca="1" ref="Y2150" ca="1">IFERROR(_xlfn.XLOOKUP(COMPROMISOS_2025[[#This Row],[concatenado]],PAA[[#All],[RCP-RUBRO]],PAA[[#All],[Actividad3]],VLOOKUP(COMPROMISOS_2025[[#This Row],[Indicador Principal]],$AC$2:$AD$17,2,0),0),"")</f>
        <v/>
      </c>
    </row>
    <row r="2151" spans="1:25" hidden="1" x14ac:dyDescent="0.25">
      <c r="A2151">
        <v>1665</v>
      </c>
      <c r="B2151" t="s">
        <v>2491</v>
      </c>
      <c r="C2151" t="s">
        <v>1936</v>
      </c>
      <c r="D2151" t="s">
        <v>4182</v>
      </c>
      <c r="F2151">
        <v>406</v>
      </c>
      <c r="G2151">
        <v>65</v>
      </c>
      <c r="H2151" t="s">
        <v>662</v>
      </c>
      <c r="I2151" t="s">
        <v>2271</v>
      </c>
      <c r="J2151">
        <v>1423500</v>
      </c>
      <c r="K2151">
        <v>2025</v>
      </c>
      <c r="L2151">
        <v>1035390018</v>
      </c>
      <c r="M2151" t="s">
        <v>4175</v>
      </c>
      <c r="N2151" t="s">
        <v>1688</v>
      </c>
      <c r="O2151" t="s">
        <v>1686</v>
      </c>
      <c r="P2151">
        <v>0</v>
      </c>
      <c r="Q2151">
        <v>1423500</v>
      </c>
      <c r="R2151">
        <v>0</v>
      </c>
      <c r="S2151">
        <v>0</v>
      </c>
      <c r="T2151" t="str">
        <f t="shared" si="66"/>
        <v>16652.43.4302.85.0-205128.2.3.3.08.06.</v>
      </c>
      <c r="U2151" t="e" cm="1">
        <f t="array" aca="1" ref="U2151" ca="1">+IF(COMPROMISOS_2025[[#This Row],[P]]="20","41080111",_xlfn.XLOOKUP(COMPROMISOS_2025[[#This Row],[concatenado]],PAA[[#All],[RCP-RUBRO]],PAA[[#All],[INDICADOR]],"",0))</f>
        <v>#NAME?</v>
      </c>
      <c r="V2151" s="144" t="str">
        <f t="shared" si="67"/>
        <v>85</v>
      </c>
      <c r="W2151" s="136">
        <f>+COMPROMISOS_2025[[#This Row],[valor_total]]-COMPROMISOS_2025[[#This Row],[total_cancelado]]</f>
        <v>1423500</v>
      </c>
      <c r="X2151" s="136">
        <f>COMPROMISOS_2025[[#This Row],[total_ordenes]]</f>
        <v>1423500</v>
      </c>
      <c r="Y2151" t="str" cm="1">
        <f t="array" aca="1" ref="Y2151" ca="1">IFERROR(_xlfn.XLOOKUP(COMPROMISOS_2025[[#This Row],[concatenado]],PAA[[#All],[RCP-RUBRO]],PAA[[#All],[Actividad3]],VLOOKUP(COMPROMISOS_2025[[#This Row],[Indicador Principal]],$AC$2:$AD$17,2,0),0),"")</f>
        <v/>
      </c>
    </row>
    <row r="2152" spans="1:25" hidden="1" x14ac:dyDescent="0.25">
      <c r="A2152">
        <v>1666</v>
      </c>
      <c r="B2152" t="s">
        <v>2491</v>
      </c>
      <c r="C2152" t="s">
        <v>1936</v>
      </c>
      <c r="D2152" t="s">
        <v>4182</v>
      </c>
      <c r="F2152">
        <v>406</v>
      </c>
      <c r="G2152">
        <v>65</v>
      </c>
      <c r="H2152" t="s">
        <v>662</v>
      </c>
      <c r="I2152" t="s">
        <v>2271</v>
      </c>
      <c r="J2152">
        <v>1423500</v>
      </c>
      <c r="K2152">
        <v>2025</v>
      </c>
      <c r="L2152">
        <v>1035416125</v>
      </c>
      <c r="M2152" t="s">
        <v>4347</v>
      </c>
      <c r="N2152" t="s">
        <v>1688</v>
      </c>
      <c r="O2152" t="s">
        <v>1686</v>
      </c>
      <c r="P2152">
        <v>0</v>
      </c>
      <c r="Q2152">
        <v>1423500</v>
      </c>
      <c r="R2152">
        <v>0</v>
      </c>
      <c r="S2152">
        <v>0</v>
      </c>
      <c r="T2152" t="str">
        <f t="shared" si="66"/>
        <v>16662.43.4302.85.0-205128.2.3.3.08.06.</v>
      </c>
      <c r="U2152" t="e" cm="1">
        <f t="array" aca="1" ref="U2152" ca="1">+IF(COMPROMISOS_2025[[#This Row],[P]]="20","41080111",_xlfn.XLOOKUP(COMPROMISOS_2025[[#This Row],[concatenado]],PAA[[#All],[RCP-RUBRO]],PAA[[#All],[INDICADOR]],"",0))</f>
        <v>#NAME?</v>
      </c>
      <c r="V2152" s="144" t="str">
        <f t="shared" si="67"/>
        <v>85</v>
      </c>
      <c r="W2152" s="136">
        <f>+COMPROMISOS_2025[[#This Row],[valor_total]]-COMPROMISOS_2025[[#This Row],[total_cancelado]]</f>
        <v>1423500</v>
      </c>
      <c r="X2152" s="136">
        <f>COMPROMISOS_2025[[#This Row],[total_ordenes]]</f>
        <v>1423500</v>
      </c>
      <c r="Y2152" t="str" cm="1">
        <f t="array" aca="1" ref="Y2152" ca="1">IFERROR(_xlfn.XLOOKUP(COMPROMISOS_2025[[#This Row],[concatenado]],PAA[[#All],[RCP-RUBRO]],PAA[[#All],[Actividad3]],VLOOKUP(COMPROMISOS_2025[[#This Row],[Indicador Principal]],$AC$2:$AD$17,2,0),0),"")</f>
        <v/>
      </c>
    </row>
    <row r="2153" spans="1:25" hidden="1" x14ac:dyDescent="0.25">
      <c r="A2153">
        <v>1667</v>
      </c>
      <c r="B2153" t="s">
        <v>2491</v>
      </c>
      <c r="C2153" t="s">
        <v>1936</v>
      </c>
      <c r="D2153" t="s">
        <v>4182</v>
      </c>
      <c r="F2153">
        <v>406</v>
      </c>
      <c r="G2153">
        <v>65</v>
      </c>
      <c r="H2153" t="s">
        <v>662</v>
      </c>
      <c r="I2153" t="s">
        <v>2271</v>
      </c>
      <c r="J2153">
        <v>1423500</v>
      </c>
      <c r="K2153">
        <v>2025</v>
      </c>
      <c r="L2153">
        <v>1035418528</v>
      </c>
      <c r="M2153" t="s">
        <v>3763</v>
      </c>
      <c r="N2153" t="s">
        <v>1688</v>
      </c>
      <c r="O2153" t="s">
        <v>1686</v>
      </c>
      <c r="P2153">
        <v>0</v>
      </c>
      <c r="Q2153">
        <v>1423500</v>
      </c>
      <c r="R2153">
        <v>0</v>
      </c>
      <c r="S2153">
        <v>0</v>
      </c>
      <c r="T2153" t="str">
        <f t="shared" si="66"/>
        <v>16672.43.4302.85.0-205128.2.3.3.08.06.</v>
      </c>
      <c r="U2153" t="e" cm="1">
        <f t="array" aca="1" ref="U2153" ca="1">+IF(COMPROMISOS_2025[[#This Row],[P]]="20","41080111",_xlfn.XLOOKUP(COMPROMISOS_2025[[#This Row],[concatenado]],PAA[[#All],[RCP-RUBRO]],PAA[[#All],[INDICADOR]],"",0))</f>
        <v>#NAME?</v>
      </c>
      <c r="V2153" s="144" t="str">
        <f t="shared" si="67"/>
        <v>85</v>
      </c>
      <c r="W2153" s="136">
        <f>+COMPROMISOS_2025[[#This Row],[valor_total]]-COMPROMISOS_2025[[#This Row],[total_cancelado]]</f>
        <v>1423500</v>
      </c>
      <c r="X2153" s="136">
        <f>COMPROMISOS_2025[[#This Row],[total_ordenes]]</f>
        <v>1423500</v>
      </c>
      <c r="Y2153" t="str" cm="1">
        <f t="array" aca="1" ref="Y2153" ca="1">IFERROR(_xlfn.XLOOKUP(COMPROMISOS_2025[[#This Row],[concatenado]],PAA[[#All],[RCP-RUBRO]],PAA[[#All],[Actividad3]],VLOOKUP(COMPROMISOS_2025[[#This Row],[Indicador Principal]],$AC$2:$AD$17,2,0),0),"")</f>
        <v/>
      </c>
    </row>
    <row r="2154" spans="1:25" hidden="1" x14ac:dyDescent="0.25">
      <c r="A2154">
        <v>1668</v>
      </c>
      <c r="B2154" t="s">
        <v>2491</v>
      </c>
      <c r="C2154" t="s">
        <v>1936</v>
      </c>
      <c r="D2154" t="s">
        <v>4182</v>
      </c>
      <c r="F2154">
        <v>406</v>
      </c>
      <c r="G2154">
        <v>65</v>
      </c>
      <c r="H2154" t="s">
        <v>662</v>
      </c>
      <c r="I2154" t="s">
        <v>2271</v>
      </c>
      <c r="J2154">
        <v>1067625</v>
      </c>
      <c r="K2154">
        <v>2025</v>
      </c>
      <c r="L2154">
        <v>1035419233</v>
      </c>
      <c r="M2154" t="s">
        <v>3764</v>
      </c>
      <c r="N2154" t="s">
        <v>1688</v>
      </c>
      <c r="O2154" t="s">
        <v>1686</v>
      </c>
      <c r="P2154">
        <v>0</v>
      </c>
      <c r="Q2154">
        <v>1067625</v>
      </c>
      <c r="R2154">
        <v>0</v>
      </c>
      <c r="S2154">
        <v>0</v>
      </c>
      <c r="T2154" t="str">
        <f t="shared" si="66"/>
        <v>16682.43.4302.85.0-205128.2.3.3.08.06.</v>
      </c>
      <c r="U2154" t="e" cm="1">
        <f t="array" aca="1" ref="U2154" ca="1">+IF(COMPROMISOS_2025[[#This Row],[P]]="20","41080111",_xlfn.XLOOKUP(COMPROMISOS_2025[[#This Row],[concatenado]],PAA[[#All],[RCP-RUBRO]],PAA[[#All],[INDICADOR]],"",0))</f>
        <v>#NAME?</v>
      </c>
      <c r="V2154" s="144" t="str">
        <f t="shared" si="67"/>
        <v>85</v>
      </c>
      <c r="W2154" s="136">
        <f>+COMPROMISOS_2025[[#This Row],[valor_total]]-COMPROMISOS_2025[[#This Row],[total_cancelado]]</f>
        <v>1067625</v>
      </c>
      <c r="X2154" s="136">
        <f>COMPROMISOS_2025[[#This Row],[total_ordenes]]</f>
        <v>1067625</v>
      </c>
      <c r="Y2154" t="str" cm="1">
        <f t="array" aca="1" ref="Y2154" ca="1">IFERROR(_xlfn.XLOOKUP(COMPROMISOS_2025[[#This Row],[concatenado]],PAA[[#All],[RCP-RUBRO]],PAA[[#All],[Actividad3]],VLOOKUP(COMPROMISOS_2025[[#This Row],[Indicador Principal]],$AC$2:$AD$17,2,0),0),"")</f>
        <v/>
      </c>
    </row>
    <row r="2155" spans="1:25" hidden="1" x14ac:dyDescent="0.25">
      <c r="A2155">
        <v>1669</v>
      </c>
      <c r="B2155" t="s">
        <v>2491</v>
      </c>
      <c r="C2155" t="s">
        <v>1936</v>
      </c>
      <c r="D2155" t="s">
        <v>4182</v>
      </c>
      <c r="F2155">
        <v>406</v>
      </c>
      <c r="G2155">
        <v>65</v>
      </c>
      <c r="H2155" t="s">
        <v>662</v>
      </c>
      <c r="I2155" t="s">
        <v>2271</v>
      </c>
      <c r="J2155">
        <v>711750</v>
      </c>
      <c r="K2155">
        <v>2025</v>
      </c>
      <c r="L2155">
        <v>1035425085</v>
      </c>
      <c r="M2155" t="s">
        <v>3765</v>
      </c>
      <c r="N2155" t="s">
        <v>1688</v>
      </c>
      <c r="O2155" t="s">
        <v>1686</v>
      </c>
      <c r="P2155">
        <v>0</v>
      </c>
      <c r="Q2155">
        <v>711750</v>
      </c>
      <c r="R2155">
        <v>0</v>
      </c>
      <c r="S2155">
        <v>0</v>
      </c>
      <c r="T2155" t="str">
        <f t="shared" si="66"/>
        <v>16692.43.4302.85.0-205128.2.3.3.08.06.</v>
      </c>
      <c r="U2155" t="e" cm="1">
        <f t="array" aca="1" ref="U2155" ca="1">+IF(COMPROMISOS_2025[[#This Row],[P]]="20","41080111",_xlfn.XLOOKUP(COMPROMISOS_2025[[#This Row],[concatenado]],PAA[[#All],[RCP-RUBRO]],PAA[[#All],[INDICADOR]],"",0))</f>
        <v>#NAME?</v>
      </c>
      <c r="V2155" s="144" t="str">
        <f t="shared" si="67"/>
        <v>85</v>
      </c>
      <c r="W2155" s="136">
        <f>+COMPROMISOS_2025[[#This Row],[valor_total]]-COMPROMISOS_2025[[#This Row],[total_cancelado]]</f>
        <v>711750</v>
      </c>
      <c r="X2155" s="136">
        <f>COMPROMISOS_2025[[#This Row],[total_ordenes]]</f>
        <v>711750</v>
      </c>
      <c r="Y2155" t="str" cm="1">
        <f t="array" aca="1" ref="Y2155" ca="1">IFERROR(_xlfn.XLOOKUP(COMPROMISOS_2025[[#This Row],[concatenado]],PAA[[#All],[RCP-RUBRO]],PAA[[#All],[Actividad3]],VLOOKUP(COMPROMISOS_2025[[#This Row],[Indicador Principal]],$AC$2:$AD$17,2,0),0),"")</f>
        <v/>
      </c>
    </row>
    <row r="2156" spans="1:25" hidden="1" x14ac:dyDescent="0.25">
      <c r="A2156">
        <v>1670</v>
      </c>
      <c r="B2156" t="s">
        <v>2491</v>
      </c>
      <c r="C2156" t="s">
        <v>1936</v>
      </c>
      <c r="D2156" t="s">
        <v>4182</v>
      </c>
      <c r="F2156">
        <v>406</v>
      </c>
      <c r="G2156">
        <v>65</v>
      </c>
      <c r="H2156" t="s">
        <v>662</v>
      </c>
      <c r="I2156" t="s">
        <v>2271</v>
      </c>
      <c r="J2156">
        <v>711750</v>
      </c>
      <c r="K2156">
        <v>2025</v>
      </c>
      <c r="L2156">
        <v>1035434483</v>
      </c>
      <c r="M2156" t="s">
        <v>4348</v>
      </c>
      <c r="N2156" t="s">
        <v>1688</v>
      </c>
      <c r="O2156" t="s">
        <v>1686</v>
      </c>
      <c r="P2156">
        <v>0</v>
      </c>
      <c r="Q2156">
        <v>711750</v>
      </c>
      <c r="R2156">
        <v>0</v>
      </c>
      <c r="S2156">
        <v>0</v>
      </c>
      <c r="T2156" t="str">
        <f t="shared" si="66"/>
        <v>16702.43.4302.85.0-205128.2.3.3.08.06.</v>
      </c>
      <c r="U2156" t="e" cm="1">
        <f t="array" aca="1" ref="U2156" ca="1">+IF(COMPROMISOS_2025[[#This Row],[P]]="20","41080111",_xlfn.XLOOKUP(COMPROMISOS_2025[[#This Row],[concatenado]],PAA[[#All],[RCP-RUBRO]],PAA[[#All],[INDICADOR]],"",0))</f>
        <v>#NAME?</v>
      </c>
      <c r="V2156" s="144" t="str">
        <f t="shared" si="67"/>
        <v>85</v>
      </c>
      <c r="W2156" s="136">
        <f>+COMPROMISOS_2025[[#This Row],[valor_total]]-COMPROMISOS_2025[[#This Row],[total_cancelado]]</f>
        <v>711750</v>
      </c>
      <c r="X2156" s="136">
        <f>COMPROMISOS_2025[[#This Row],[total_ordenes]]</f>
        <v>711750</v>
      </c>
      <c r="Y2156" t="str" cm="1">
        <f t="array" aca="1" ref="Y2156" ca="1">IFERROR(_xlfn.XLOOKUP(COMPROMISOS_2025[[#This Row],[concatenado]],PAA[[#All],[RCP-RUBRO]],PAA[[#All],[Actividad3]],VLOOKUP(COMPROMISOS_2025[[#This Row],[Indicador Principal]],$AC$2:$AD$17,2,0),0),"")</f>
        <v/>
      </c>
    </row>
    <row r="2157" spans="1:25" hidden="1" x14ac:dyDescent="0.25">
      <c r="A2157">
        <v>1671</v>
      </c>
      <c r="B2157" t="s">
        <v>2491</v>
      </c>
      <c r="C2157" t="s">
        <v>1936</v>
      </c>
      <c r="D2157" t="s">
        <v>4182</v>
      </c>
      <c r="F2157">
        <v>406</v>
      </c>
      <c r="G2157">
        <v>65</v>
      </c>
      <c r="H2157" t="s">
        <v>662</v>
      </c>
      <c r="I2157" t="s">
        <v>2271</v>
      </c>
      <c r="J2157">
        <v>711750</v>
      </c>
      <c r="K2157">
        <v>2025</v>
      </c>
      <c r="L2157">
        <v>1035550460</v>
      </c>
      <c r="M2157" t="s">
        <v>3766</v>
      </c>
      <c r="N2157" t="s">
        <v>1688</v>
      </c>
      <c r="O2157" t="s">
        <v>1686</v>
      </c>
      <c r="P2157">
        <v>0</v>
      </c>
      <c r="Q2157">
        <v>711750</v>
      </c>
      <c r="R2157">
        <v>0</v>
      </c>
      <c r="S2157">
        <v>0</v>
      </c>
      <c r="T2157" t="str">
        <f t="shared" si="66"/>
        <v>16712.43.4302.85.0-205128.2.3.3.08.06.</v>
      </c>
      <c r="U2157" t="e" cm="1">
        <f t="array" aca="1" ref="U2157" ca="1">+IF(COMPROMISOS_2025[[#This Row],[P]]="20","41080111",_xlfn.XLOOKUP(COMPROMISOS_2025[[#This Row],[concatenado]],PAA[[#All],[RCP-RUBRO]],PAA[[#All],[INDICADOR]],"",0))</f>
        <v>#NAME?</v>
      </c>
      <c r="V2157" s="144" t="str">
        <f t="shared" si="67"/>
        <v>85</v>
      </c>
      <c r="W2157" s="136">
        <f>+COMPROMISOS_2025[[#This Row],[valor_total]]-COMPROMISOS_2025[[#This Row],[total_cancelado]]</f>
        <v>711750</v>
      </c>
      <c r="X2157" s="136">
        <f>COMPROMISOS_2025[[#This Row],[total_ordenes]]</f>
        <v>711750</v>
      </c>
      <c r="Y2157" t="str" cm="1">
        <f t="array" aca="1" ref="Y2157" ca="1">IFERROR(_xlfn.XLOOKUP(COMPROMISOS_2025[[#This Row],[concatenado]],PAA[[#All],[RCP-RUBRO]],PAA[[#All],[Actividad3]],VLOOKUP(COMPROMISOS_2025[[#This Row],[Indicador Principal]],$AC$2:$AD$17,2,0),0),"")</f>
        <v/>
      </c>
    </row>
    <row r="2158" spans="1:25" hidden="1" x14ac:dyDescent="0.25">
      <c r="A2158">
        <v>1672</v>
      </c>
      <c r="B2158" t="s">
        <v>2491</v>
      </c>
      <c r="C2158" t="s">
        <v>1936</v>
      </c>
      <c r="D2158" t="s">
        <v>4182</v>
      </c>
      <c r="F2158">
        <v>406</v>
      </c>
      <c r="G2158">
        <v>65</v>
      </c>
      <c r="H2158" t="s">
        <v>662</v>
      </c>
      <c r="I2158" t="s">
        <v>2271</v>
      </c>
      <c r="J2158">
        <v>1067625</v>
      </c>
      <c r="K2158">
        <v>2025</v>
      </c>
      <c r="L2158">
        <v>1035550604</v>
      </c>
      <c r="M2158" t="s">
        <v>4349</v>
      </c>
      <c r="N2158" t="s">
        <v>1688</v>
      </c>
      <c r="O2158" t="s">
        <v>1686</v>
      </c>
      <c r="P2158">
        <v>0</v>
      </c>
      <c r="Q2158">
        <v>1067625</v>
      </c>
      <c r="R2158">
        <v>0</v>
      </c>
      <c r="S2158">
        <v>0</v>
      </c>
      <c r="T2158" t="str">
        <f t="shared" si="66"/>
        <v>16722.43.4302.85.0-205128.2.3.3.08.06.</v>
      </c>
      <c r="U2158" t="e" cm="1">
        <f t="array" aca="1" ref="U2158" ca="1">+IF(COMPROMISOS_2025[[#This Row],[P]]="20","41080111",_xlfn.XLOOKUP(COMPROMISOS_2025[[#This Row],[concatenado]],PAA[[#All],[RCP-RUBRO]],PAA[[#All],[INDICADOR]],"",0))</f>
        <v>#NAME?</v>
      </c>
      <c r="V2158" s="144" t="str">
        <f t="shared" si="67"/>
        <v>85</v>
      </c>
      <c r="W2158" s="136">
        <f>+COMPROMISOS_2025[[#This Row],[valor_total]]-COMPROMISOS_2025[[#This Row],[total_cancelado]]</f>
        <v>1067625</v>
      </c>
      <c r="X2158" s="136">
        <f>COMPROMISOS_2025[[#This Row],[total_ordenes]]</f>
        <v>1067625</v>
      </c>
      <c r="Y2158" t="str" cm="1">
        <f t="array" aca="1" ref="Y2158" ca="1">IFERROR(_xlfn.XLOOKUP(COMPROMISOS_2025[[#This Row],[concatenado]],PAA[[#All],[RCP-RUBRO]],PAA[[#All],[Actividad3]],VLOOKUP(COMPROMISOS_2025[[#This Row],[Indicador Principal]],$AC$2:$AD$17,2,0),0),"")</f>
        <v/>
      </c>
    </row>
    <row r="2159" spans="1:25" hidden="1" x14ac:dyDescent="0.25">
      <c r="A2159">
        <v>1673</v>
      </c>
      <c r="B2159" t="s">
        <v>2491</v>
      </c>
      <c r="C2159" t="s">
        <v>1936</v>
      </c>
      <c r="D2159" t="s">
        <v>4182</v>
      </c>
      <c r="F2159">
        <v>406</v>
      </c>
      <c r="G2159">
        <v>65</v>
      </c>
      <c r="H2159" t="s">
        <v>662</v>
      </c>
      <c r="I2159" t="s">
        <v>2271</v>
      </c>
      <c r="J2159">
        <v>1067625</v>
      </c>
      <c r="K2159">
        <v>2025</v>
      </c>
      <c r="L2159">
        <v>1035642460</v>
      </c>
      <c r="M2159" t="s">
        <v>4064</v>
      </c>
      <c r="N2159" t="s">
        <v>1688</v>
      </c>
      <c r="O2159" t="s">
        <v>1686</v>
      </c>
      <c r="P2159">
        <v>0</v>
      </c>
      <c r="Q2159">
        <v>1067625</v>
      </c>
      <c r="R2159">
        <v>0</v>
      </c>
      <c r="S2159">
        <v>0</v>
      </c>
      <c r="T2159" t="str">
        <f t="shared" si="66"/>
        <v>16732.43.4302.85.0-205128.2.3.3.08.06.</v>
      </c>
      <c r="U2159" t="e" cm="1">
        <f t="array" aca="1" ref="U2159" ca="1">+IF(COMPROMISOS_2025[[#This Row],[P]]="20","41080111",_xlfn.XLOOKUP(COMPROMISOS_2025[[#This Row],[concatenado]],PAA[[#All],[RCP-RUBRO]],PAA[[#All],[INDICADOR]],"",0))</f>
        <v>#NAME?</v>
      </c>
      <c r="V2159" s="144" t="str">
        <f t="shared" si="67"/>
        <v>85</v>
      </c>
      <c r="W2159" s="136">
        <f>+COMPROMISOS_2025[[#This Row],[valor_total]]-COMPROMISOS_2025[[#This Row],[total_cancelado]]</f>
        <v>1067625</v>
      </c>
      <c r="X2159" s="136">
        <f>COMPROMISOS_2025[[#This Row],[total_ordenes]]</f>
        <v>1067625</v>
      </c>
      <c r="Y2159" t="str" cm="1">
        <f t="array" aca="1" ref="Y2159" ca="1">IFERROR(_xlfn.XLOOKUP(COMPROMISOS_2025[[#This Row],[concatenado]],PAA[[#All],[RCP-RUBRO]],PAA[[#All],[Actividad3]],VLOOKUP(COMPROMISOS_2025[[#This Row],[Indicador Principal]],$AC$2:$AD$17,2,0),0),"")</f>
        <v/>
      </c>
    </row>
    <row r="2160" spans="1:25" hidden="1" x14ac:dyDescent="0.25">
      <c r="A2160">
        <v>1674</v>
      </c>
      <c r="B2160" t="s">
        <v>2491</v>
      </c>
      <c r="C2160" t="s">
        <v>1936</v>
      </c>
      <c r="D2160" t="s">
        <v>4182</v>
      </c>
      <c r="F2160">
        <v>406</v>
      </c>
      <c r="G2160">
        <v>65</v>
      </c>
      <c r="H2160" t="s">
        <v>662</v>
      </c>
      <c r="I2160" t="s">
        <v>2271</v>
      </c>
      <c r="J2160">
        <v>711750</v>
      </c>
      <c r="K2160">
        <v>2025</v>
      </c>
      <c r="L2160">
        <v>1035800406</v>
      </c>
      <c r="M2160" t="s">
        <v>3767</v>
      </c>
      <c r="N2160" t="s">
        <v>1688</v>
      </c>
      <c r="O2160" t="s">
        <v>1686</v>
      </c>
      <c r="P2160">
        <v>0</v>
      </c>
      <c r="Q2160">
        <v>711750</v>
      </c>
      <c r="R2160">
        <v>0</v>
      </c>
      <c r="S2160">
        <v>0</v>
      </c>
      <c r="T2160" t="str">
        <f t="shared" si="66"/>
        <v>16742.43.4302.85.0-205128.2.3.3.08.06.</v>
      </c>
      <c r="U2160" t="e" cm="1">
        <f t="array" aca="1" ref="U2160" ca="1">+IF(COMPROMISOS_2025[[#This Row],[P]]="20","41080111",_xlfn.XLOOKUP(COMPROMISOS_2025[[#This Row],[concatenado]],PAA[[#All],[RCP-RUBRO]],PAA[[#All],[INDICADOR]],"",0))</f>
        <v>#NAME?</v>
      </c>
      <c r="V2160" s="144" t="str">
        <f t="shared" si="67"/>
        <v>85</v>
      </c>
      <c r="W2160" s="136">
        <f>+COMPROMISOS_2025[[#This Row],[valor_total]]-COMPROMISOS_2025[[#This Row],[total_cancelado]]</f>
        <v>711750</v>
      </c>
      <c r="X2160" s="136">
        <f>COMPROMISOS_2025[[#This Row],[total_ordenes]]</f>
        <v>711750</v>
      </c>
      <c r="Y2160" t="str" cm="1">
        <f t="array" aca="1" ref="Y2160" ca="1">IFERROR(_xlfn.XLOOKUP(COMPROMISOS_2025[[#This Row],[concatenado]],PAA[[#All],[RCP-RUBRO]],PAA[[#All],[Actividad3]],VLOOKUP(COMPROMISOS_2025[[#This Row],[Indicador Principal]],$AC$2:$AD$17,2,0),0),"")</f>
        <v/>
      </c>
    </row>
    <row r="2161" spans="1:25" hidden="1" x14ac:dyDescent="0.25">
      <c r="A2161">
        <v>1675</v>
      </c>
      <c r="B2161" t="s">
        <v>2491</v>
      </c>
      <c r="C2161" t="s">
        <v>1936</v>
      </c>
      <c r="D2161" t="s">
        <v>4182</v>
      </c>
      <c r="F2161">
        <v>406</v>
      </c>
      <c r="G2161">
        <v>65</v>
      </c>
      <c r="H2161" t="s">
        <v>662</v>
      </c>
      <c r="I2161" t="s">
        <v>2271</v>
      </c>
      <c r="J2161">
        <v>2847000</v>
      </c>
      <c r="K2161">
        <v>2025</v>
      </c>
      <c r="L2161">
        <v>1035874571</v>
      </c>
      <c r="M2161" t="s">
        <v>4350</v>
      </c>
      <c r="N2161" t="s">
        <v>1688</v>
      </c>
      <c r="O2161" t="s">
        <v>1686</v>
      </c>
      <c r="P2161">
        <v>0</v>
      </c>
      <c r="Q2161">
        <v>2847000</v>
      </c>
      <c r="R2161">
        <v>0</v>
      </c>
      <c r="S2161">
        <v>0</v>
      </c>
      <c r="T2161" t="str">
        <f t="shared" si="66"/>
        <v>16752.43.4302.85.0-205128.2.3.3.08.06.</v>
      </c>
      <c r="U2161" t="e" cm="1">
        <f t="array" aca="1" ref="U2161" ca="1">+IF(COMPROMISOS_2025[[#This Row],[P]]="20","41080111",_xlfn.XLOOKUP(COMPROMISOS_2025[[#This Row],[concatenado]],PAA[[#All],[RCP-RUBRO]],PAA[[#All],[INDICADOR]],"",0))</f>
        <v>#NAME?</v>
      </c>
      <c r="V2161" s="144" t="str">
        <f t="shared" si="67"/>
        <v>85</v>
      </c>
      <c r="W2161" s="136">
        <f>+COMPROMISOS_2025[[#This Row],[valor_total]]-COMPROMISOS_2025[[#This Row],[total_cancelado]]</f>
        <v>2847000</v>
      </c>
      <c r="X2161" s="136">
        <f>COMPROMISOS_2025[[#This Row],[total_ordenes]]</f>
        <v>2847000</v>
      </c>
      <c r="Y2161" t="str" cm="1">
        <f t="array" aca="1" ref="Y2161" ca="1">IFERROR(_xlfn.XLOOKUP(COMPROMISOS_2025[[#This Row],[concatenado]],PAA[[#All],[RCP-RUBRO]],PAA[[#All],[Actividad3]],VLOOKUP(COMPROMISOS_2025[[#This Row],[Indicador Principal]],$AC$2:$AD$17,2,0),0),"")</f>
        <v/>
      </c>
    </row>
    <row r="2162" spans="1:25" hidden="1" x14ac:dyDescent="0.25">
      <c r="A2162">
        <v>1676</v>
      </c>
      <c r="B2162" t="s">
        <v>2491</v>
      </c>
      <c r="C2162" t="s">
        <v>1936</v>
      </c>
      <c r="D2162" t="s">
        <v>4182</v>
      </c>
      <c r="F2162">
        <v>406</v>
      </c>
      <c r="G2162">
        <v>65</v>
      </c>
      <c r="H2162" t="s">
        <v>662</v>
      </c>
      <c r="I2162" t="s">
        <v>2271</v>
      </c>
      <c r="J2162">
        <v>1423500</v>
      </c>
      <c r="K2162">
        <v>2025</v>
      </c>
      <c r="L2162">
        <v>1035875140</v>
      </c>
      <c r="M2162" t="s">
        <v>4351</v>
      </c>
      <c r="N2162" t="s">
        <v>1688</v>
      </c>
      <c r="O2162" t="s">
        <v>1686</v>
      </c>
      <c r="P2162">
        <v>0</v>
      </c>
      <c r="Q2162">
        <v>1423500</v>
      </c>
      <c r="R2162">
        <v>0</v>
      </c>
      <c r="S2162">
        <v>0</v>
      </c>
      <c r="T2162" t="str">
        <f t="shared" si="66"/>
        <v>16762.43.4302.85.0-205128.2.3.3.08.06.</v>
      </c>
      <c r="U2162" t="e" cm="1">
        <f t="array" aca="1" ref="U2162" ca="1">+IF(COMPROMISOS_2025[[#This Row],[P]]="20","41080111",_xlfn.XLOOKUP(COMPROMISOS_2025[[#This Row],[concatenado]],PAA[[#All],[RCP-RUBRO]],PAA[[#All],[INDICADOR]],"",0))</f>
        <v>#NAME?</v>
      </c>
      <c r="V2162" s="144" t="str">
        <f t="shared" si="67"/>
        <v>85</v>
      </c>
      <c r="W2162" s="136">
        <f>+COMPROMISOS_2025[[#This Row],[valor_total]]-COMPROMISOS_2025[[#This Row],[total_cancelado]]</f>
        <v>1423500</v>
      </c>
      <c r="X2162" s="136">
        <f>COMPROMISOS_2025[[#This Row],[total_ordenes]]</f>
        <v>1423500</v>
      </c>
      <c r="Y2162" t="str" cm="1">
        <f t="array" aca="1" ref="Y2162" ca="1">IFERROR(_xlfn.XLOOKUP(COMPROMISOS_2025[[#This Row],[concatenado]],PAA[[#All],[RCP-RUBRO]],PAA[[#All],[Actividad3]],VLOOKUP(COMPROMISOS_2025[[#This Row],[Indicador Principal]],$AC$2:$AD$17,2,0),0),"")</f>
        <v/>
      </c>
    </row>
    <row r="2163" spans="1:25" hidden="1" x14ac:dyDescent="0.25">
      <c r="A2163">
        <v>1677</v>
      </c>
      <c r="B2163" t="s">
        <v>2491</v>
      </c>
      <c r="C2163" t="s">
        <v>1936</v>
      </c>
      <c r="D2163" t="s">
        <v>4182</v>
      </c>
      <c r="F2163">
        <v>406</v>
      </c>
      <c r="G2163">
        <v>65</v>
      </c>
      <c r="H2163" t="s">
        <v>662</v>
      </c>
      <c r="I2163" t="s">
        <v>2271</v>
      </c>
      <c r="J2163">
        <v>1067625</v>
      </c>
      <c r="K2163">
        <v>2025</v>
      </c>
      <c r="L2163">
        <v>1035878289</v>
      </c>
      <c r="M2163" t="s">
        <v>4065</v>
      </c>
      <c r="N2163" t="s">
        <v>1688</v>
      </c>
      <c r="O2163" t="s">
        <v>1686</v>
      </c>
      <c r="P2163">
        <v>0</v>
      </c>
      <c r="Q2163">
        <v>1067625</v>
      </c>
      <c r="R2163">
        <v>0</v>
      </c>
      <c r="S2163">
        <v>0</v>
      </c>
      <c r="T2163" t="str">
        <f t="shared" si="66"/>
        <v>16772.43.4302.85.0-205128.2.3.3.08.06.</v>
      </c>
      <c r="U2163" t="e" cm="1">
        <f t="array" aca="1" ref="U2163" ca="1">+IF(COMPROMISOS_2025[[#This Row],[P]]="20","41080111",_xlfn.XLOOKUP(COMPROMISOS_2025[[#This Row],[concatenado]],PAA[[#All],[RCP-RUBRO]],PAA[[#All],[INDICADOR]],"",0))</f>
        <v>#NAME?</v>
      </c>
      <c r="V2163" s="144" t="str">
        <f t="shared" si="67"/>
        <v>85</v>
      </c>
      <c r="W2163" s="136">
        <f>+COMPROMISOS_2025[[#This Row],[valor_total]]-COMPROMISOS_2025[[#This Row],[total_cancelado]]</f>
        <v>1067625</v>
      </c>
      <c r="X2163" s="136">
        <f>COMPROMISOS_2025[[#This Row],[total_ordenes]]</f>
        <v>1067625</v>
      </c>
      <c r="Y2163" t="str" cm="1">
        <f t="array" aca="1" ref="Y2163" ca="1">IFERROR(_xlfn.XLOOKUP(COMPROMISOS_2025[[#This Row],[concatenado]],PAA[[#All],[RCP-RUBRO]],PAA[[#All],[Actividad3]],VLOOKUP(COMPROMISOS_2025[[#This Row],[Indicador Principal]],$AC$2:$AD$17,2,0),0),"")</f>
        <v/>
      </c>
    </row>
    <row r="2164" spans="1:25" hidden="1" x14ac:dyDescent="0.25">
      <c r="A2164">
        <v>1678</v>
      </c>
      <c r="B2164" t="s">
        <v>2491</v>
      </c>
      <c r="C2164" t="s">
        <v>1936</v>
      </c>
      <c r="D2164" t="s">
        <v>4182</v>
      </c>
      <c r="F2164">
        <v>406</v>
      </c>
      <c r="G2164">
        <v>65</v>
      </c>
      <c r="H2164" t="s">
        <v>662</v>
      </c>
      <c r="I2164" t="s">
        <v>2271</v>
      </c>
      <c r="J2164">
        <v>1423500</v>
      </c>
      <c r="K2164">
        <v>2025</v>
      </c>
      <c r="L2164">
        <v>1035970226</v>
      </c>
      <c r="M2164" t="s">
        <v>3768</v>
      </c>
      <c r="N2164" t="s">
        <v>1688</v>
      </c>
      <c r="O2164" t="s">
        <v>1686</v>
      </c>
      <c r="P2164">
        <v>0</v>
      </c>
      <c r="Q2164">
        <v>1423500</v>
      </c>
      <c r="R2164">
        <v>0</v>
      </c>
      <c r="S2164">
        <v>0</v>
      </c>
      <c r="T2164" t="str">
        <f t="shared" si="66"/>
        <v>16782.43.4302.85.0-205128.2.3.3.08.06.</v>
      </c>
      <c r="U2164" t="e" cm="1">
        <f t="array" aca="1" ref="U2164" ca="1">+IF(COMPROMISOS_2025[[#This Row],[P]]="20","41080111",_xlfn.XLOOKUP(COMPROMISOS_2025[[#This Row],[concatenado]],PAA[[#All],[RCP-RUBRO]],PAA[[#All],[INDICADOR]],"",0))</f>
        <v>#NAME?</v>
      </c>
      <c r="V2164" s="144" t="str">
        <f t="shared" si="67"/>
        <v>85</v>
      </c>
      <c r="W2164" s="136">
        <f>+COMPROMISOS_2025[[#This Row],[valor_total]]-COMPROMISOS_2025[[#This Row],[total_cancelado]]</f>
        <v>1423500</v>
      </c>
      <c r="X2164" s="136">
        <f>COMPROMISOS_2025[[#This Row],[total_ordenes]]</f>
        <v>1423500</v>
      </c>
      <c r="Y2164" t="str" cm="1">
        <f t="array" aca="1" ref="Y2164" ca="1">IFERROR(_xlfn.XLOOKUP(COMPROMISOS_2025[[#This Row],[concatenado]],PAA[[#All],[RCP-RUBRO]],PAA[[#All],[Actividad3]],VLOOKUP(COMPROMISOS_2025[[#This Row],[Indicador Principal]],$AC$2:$AD$17,2,0),0),"")</f>
        <v/>
      </c>
    </row>
    <row r="2165" spans="1:25" hidden="1" x14ac:dyDescent="0.25">
      <c r="A2165">
        <v>1679</v>
      </c>
      <c r="B2165" t="s">
        <v>2491</v>
      </c>
      <c r="C2165" t="s">
        <v>1936</v>
      </c>
      <c r="D2165" t="s">
        <v>4182</v>
      </c>
      <c r="F2165">
        <v>406</v>
      </c>
      <c r="G2165">
        <v>65</v>
      </c>
      <c r="H2165" t="s">
        <v>662</v>
      </c>
      <c r="I2165" t="s">
        <v>2271</v>
      </c>
      <c r="J2165">
        <v>711750</v>
      </c>
      <c r="K2165">
        <v>2025</v>
      </c>
      <c r="L2165">
        <v>1035973601</v>
      </c>
      <c r="M2165" t="s">
        <v>3769</v>
      </c>
      <c r="N2165" t="s">
        <v>1688</v>
      </c>
      <c r="O2165" t="s">
        <v>1686</v>
      </c>
      <c r="P2165">
        <v>0</v>
      </c>
      <c r="Q2165">
        <v>711750</v>
      </c>
      <c r="R2165">
        <v>0</v>
      </c>
      <c r="S2165">
        <v>0</v>
      </c>
      <c r="T2165" t="str">
        <f t="shared" si="66"/>
        <v>16792.43.4302.85.0-205128.2.3.3.08.06.</v>
      </c>
      <c r="U2165" t="e" cm="1">
        <f t="array" aca="1" ref="U2165" ca="1">+IF(COMPROMISOS_2025[[#This Row],[P]]="20","41080111",_xlfn.XLOOKUP(COMPROMISOS_2025[[#This Row],[concatenado]],PAA[[#All],[RCP-RUBRO]],PAA[[#All],[INDICADOR]],"",0))</f>
        <v>#NAME?</v>
      </c>
      <c r="V2165" s="144" t="str">
        <f t="shared" si="67"/>
        <v>85</v>
      </c>
      <c r="W2165" s="136">
        <f>+COMPROMISOS_2025[[#This Row],[valor_total]]-COMPROMISOS_2025[[#This Row],[total_cancelado]]</f>
        <v>711750</v>
      </c>
      <c r="X2165" s="136">
        <f>COMPROMISOS_2025[[#This Row],[total_ordenes]]</f>
        <v>711750</v>
      </c>
      <c r="Y2165" t="str" cm="1">
        <f t="array" aca="1" ref="Y2165" ca="1">IFERROR(_xlfn.XLOOKUP(COMPROMISOS_2025[[#This Row],[concatenado]],PAA[[#All],[RCP-RUBRO]],PAA[[#All],[Actividad3]],VLOOKUP(COMPROMISOS_2025[[#This Row],[Indicador Principal]],$AC$2:$AD$17,2,0),0),"")</f>
        <v/>
      </c>
    </row>
    <row r="2166" spans="1:25" hidden="1" x14ac:dyDescent="0.25">
      <c r="A2166">
        <v>1680</v>
      </c>
      <c r="B2166" t="s">
        <v>2491</v>
      </c>
      <c r="C2166" t="s">
        <v>1936</v>
      </c>
      <c r="D2166" t="s">
        <v>4182</v>
      </c>
      <c r="F2166">
        <v>406</v>
      </c>
      <c r="G2166">
        <v>65</v>
      </c>
      <c r="H2166" t="s">
        <v>662</v>
      </c>
      <c r="I2166" t="s">
        <v>2271</v>
      </c>
      <c r="J2166">
        <v>711750</v>
      </c>
      <c r="K2166">
        <v>2025</v>
      </c>
      <c r="L2166">
        <v>1035975156</v>
      </c>
      <c r="M2166" t="s">
        <v>3770</v>
      </c>
      <c r="N2166" t="s">
        <v>1688</v>
      </c>
      <c r="O2166" t="s">
        <v>1686</v>
      </c>
      <c r="P2166">
        <v>0</v>
      </c>
      <c r="Q2166">
        <v>711750</v>
      </c>
      <c r="R2166">
        <v>0</v>
      </c>
      <c r="S2166">
        <v>0</v>
      </c>
      <c r="T2166" t="str">
        <f t="shared" si="66"/>
        <v>16802.43.4302.85.0-205128.2.3.3.08.06.</v>
      </c>
      <c r="U2166" t="e" cm="1">
        <f t="array" aca="1" ref="U2166" ca="1">+IF(COMPROMISOS_2025[[#This Row],[P]]="20","41080111",_xlfn.XLOOKUP(COMPROMISOS_2025[[#This Row],[concatenado]],PAA[[#All],[RCP-RUBRO]],PAA[[#All],[INDICADOR]],"",0))</f>
        <v>#NAME?</v>
      </c>
      <c r="V2166" s="144" t="str">
        <f t="shared" si="67"/>
        <v>85</v>
      </c>
      <c r="W2166" s="136">
        <f>+COMPROMISOS_2025[[#This Row],[valor_total]]-COMPROMISOS_2025[[#This Row],[total_cancelado]]</f>
        <v>711750</v>
      </c>
      <c r="X2166" s="136">
        <f>COMPROMISOS_2025[[#This Row],[total_ordenes]]</f>
        <v>711750</v>
      </c>
      <c r="Y2166" t="str" cm="1">
        <f t="array" aca="1" ref="Y2166" ca="1">IFERROR(_xlfn.XLOOKUP(COMPROMISOS_2025[[#This Row],[concatenado]],PAA[[#All],[RCP-RUBRO]],PAA[[#All],[Actividad3]],VLOOKUP(COMPROMISOS_2025[[#This Row],[Indicador Principal]],$AC$2:$AD$17,2,0),0),"")</f>
        <v/>
      </c>
    </row>
    <row r="2167" spans="1:25" hidden="1" x14ac:dyDescent="0.25">
      <c r="A2167">
        <v>1681</v>
      </c>
      <c r="B2167" t="s">
        <v>2491</v>
      </c>
      <c r="C2167" t="s">
        <v>1936</v>
      </c>
      <c r="D2167" t="s">
        <v>4182</v>
      </c>
      <c r="F2167">
        <v>406</v>
      </c>
      <c r="G2167">
        <v>65</v>
      </c>
      <c r="H2167" t="s">
        <v>662</v>
      </c>
      <c r="I2167" t="s">
        <v>2271</v>
      </c>
      <c r="J2167">
        <v>2847000</v>
      </c>
      <c r="K2167">
        <v>2025</v>
      </c>
      <c r="L2167">
        <v>1035975429</v>
      </c>
      <c r="M2167" t="s">
        <v>4067</v>
      </c>
      <c r="N2167" t="s">
        <v>1688</v>
      </c>
      <c r="O2167" t="s">
        <v>1686</v>
      </c>
      <c r="P2167">
        <v>0</v>
      </c>
      <c r="Q2167">
        <v>2847000</v>
      </c>
      <c r="R2167">
        <v>0</v>
      </c>
      <c r="S2167">
        <v>0</v>
      </c>
      <c r="T2167" t="str">
        <f t="shared" si="66"/>
        <v>16812.43.4302.85.0-205128.2.3.3.08.06.</v>
      </c>
      <c r="U2167" t="e" cm="1">
        <f t="array" aca="1" ref="U2167" ca="1">+IF(COMPROMISOS_2025[[#This Row],[P]]="20","41080111",_xlfn.XLOOKUP(COMPROMISOS_2025[[#This Row],[concatenado]],PAA[[#All],[RCP-RUBRO]],PAA[[#All],[INDICADOR]],"",0))</f>
        <v>#NAME?</v>
      </c>
      <c r="V2167" s="144" t="str">
        <f t="shared" si="67"/>
        <v>85</v>
      </c>
      <c r="W2167" s="136">
        <f>+COMPROMISOS_2025[[#This Row],[valor_total]]-COMPROMISOS_2025[[#This Row],[total_cancelado]]</f>
        <v>2847000</v>
      </c>
      <c r="X2167" s="136">
        <f>COMPROMISOS_2025[[#This Row],[total_ordenes]]</f>
        <v>2847000</v>
      </c>
      <c r="Y2167" t="str" cm="1">
        <f t="array" aca="1" ref="Y2167" ca="1">IFERROR(_xlfn.XLOOKUP(COMPROMISOS_2025[[#This Row],[concatenado]],PAA[[#All],[RCP-RUBRO]],PAA[[#All],[Actividad3]],VLOOKUP(COMPROMISOS_2025[[#This Row],[Indicador Principal]],$AC$2:$AD$17,2,0),0),"")</f>
        <v/>
      </c>
    </row>
    <row r="2168" spans="1:25" hidden="1" x14ac:dyDescent="0.25">
      <c r="A2168">
        <v>1682</v>
      </c>
      <c r="B2168" t="s">
        <v>2491</v>
      </c>
      <c r="C2168" t="s">
        <v>1936</v>
      </c>
      <c r="D2168" t="s">
        <v>4182</v>
      </c>
      <c r="F2168">
        <v>406</v>
      </c>
      <c r="G2168">
        <v>65</v>
      </c>
      <c r="H2168" t="s">
        <v>662</v>
      </c>
      <c r="I2168" t="s">
        <v>2271</v>
      </c>
      <c r="J2168">
        <v>711750</v>
      </c>
      <c r="K2168">
        <v>2025</v>
      </c>
      <c r="L2168">
        <v>1035976294</v>
      </c>
      <c r="M2168" t="s">
        <v>3771</v>
      </c>
      <c r="N2168" t="s">
        <v>1688</v>
      </c>
      <c r="O2168" t="s">
        <v>1686</v>
      </c>
      <c r="P2168">
        <v>0</v>
      </c>
      <c r="Q2168">
        <v>711750</v>
      </c>
      <c r="R2168">
        <v>0</v>
      </c>
      <c r="S2168">
        <v>0</v>
      </c>
      <c r="T2168" t="str">
        <f t="shared" si="66"/>
        <v>16822.43.4302.85.0-205128.2.3.3.08.06.</v>
      </c>
      <c r="U2168" t="e" cm="1">
        <f t="array" aca="1" ref="U2168" ca="1">+IF(COMPROMISOS_2025[[#This Row],[P]]="20","41080111",_xlfn.XLOOKUP(COMPROMISOS_2025[[#This Row],[concatenado]],PAA[[#All],[RCP-RUBRO]],PAA[[#All],[INDICADOR]],"",0))</f>
        <v>#NAME?</v>
      </c>
      <c r="V2168" s="144" t="str">
        <f t="shared" si="67"/>
        <v>85</v>
      </c>
      <c r="W2168" s="136">
        <f>+COMPROMISOS_2025[[#This Row],[valor_total]]-COMPROMISOS_2025[[#This Row],[total_cancelado]]</f>
        <v>711750</v>
      </c>
      <c r="X2168" s="136">
        <f>COMPROMISOS_2025[[#This Row],[total_ordenes]]</f>
        <v>711750</v>
      </c>
      <c r="Y2168" t="str" cm="1">
        <f t="array" aca="1" ref="Y2168" ca="1">IFERROR(_xlfn.XLOOKUP(COMPROMISOS_2025[[#This Row],[concatenado]],PAA[[#All],[RCP-RUBRO]],PAA[[#All],[Actividad3]],VLOOKUP(COMPROMISOS_2025[[#This Row],[Indicador Principal]],$AC$2:$AD$17,2,0),0),"")</f>
        <v/>
      </c>
    </row>
    <row r="2169" spans="1:25" hidden="1" x14ac:dyDescent="0.25">
      <c r="A2169">
        <v>1683</v>
      </c>
      <c r="B2169" t="s">
        <v>2491</v>
      </c>
      <c r="C2169" t="s">
        <v>1936</v>
      </c>
      <c r="D2169" t="s">
        <v>4182</v>
      </c>
      <c r="F2169">
        <v>406</v>
      </c>
      <c r="G2169">
        <v>65</v>
      </c>
      <c r="H2169" t="s">
        <v>662</v>
      </c>
      <c r="I2169" t="s">
        <v>2271</v>
      </c>
      <c r="J2169">
        <v>1423500</v>
      </c>
      <c r="K2169">
        <v>2025</v>
      </c>
      <c r="L2169">
        <v>1035976981</v>
      </c>
      <c r="M2169" t="s">
        <v>3772</v>
      </c>
      <c r="N2169" t="s">
        <v>1688</v>
      </c>
      <c r="O2169" t="s">
        <v>1686</v>
      </c>
      <c r="P2169">
        <v>0</v>
      </c>
      <c r="Q2169">
        <v>1423500</v>
      </c>
      <c r="R2169">
        <v>0</v>
      </c>
      <c r="S2169">
        <v>0</v>
      </c>
      <c r="T2169" t="str">
        <f t="shared" si="66"/>
        <v>16832.43.4302.85.0-205128.2.3.3.08.06.</v>
      </c>
      <c r="U2169" t="e" cm="1">
        <f t="array" aca="1" ref="U2169" ca="1">+IF(COMPROMISOS_2025[[#This Row],[P]]="20","41080111",_xlfn.XLOOKUP(COMPROMISOS_2025[[#This Row],[concatenado]],PAA[[#All],[RCP-RUBRO]],PAA[[#All],[INDICADOR]],"",0))</f>
        <v>#NAME?</v>
      </c>
      <c r="V2169" s="144" t="str">
        <f t="shared" si="67"/>
        <v>85</v>
      </c>
      <c r="W2169" s="136">
        <f>+COMPROMISOS_2025[[#This Row],[valor_total]]-COMPROMISOS_2025[[#This Row],[total_cancelado]]</f>
        <v>1423500</v>
      </c>
      <c r="X2169" s="136">
        <f>COMPROMISOS_2025[[#This Row],[total_ordenes]]</f>
        <v>1423500</v>
      </c>
      <c r="Y2169" t="str" cm="1">
        <f t="array" aca="1" ref="Y2169" ca="1">IFERROR(_xlfn.XLOOKUP(COMPROMISOS_2025[[#This Row],[concatenado]],PAA[[#All],[RCP-RUBRO]],PAA[[#All],[Actividad3]],VLOOKUP(COMPROMISOS_2025[[#This Row],[Indicador Principal]],$AC$2:$AD$17,2,0),0),"")</f>
        <v/>
      </c>
    </row>
    <row r="2170" spans="1:25" hidden="1" x14ac:dyDescent="0.25">
      <c r="A2170">
        <v>1684</v>
      </c>
      <c r="B2170" t="s">
        <v>2491</v>
      </c>
      <c r="C2170" t="s">
        <v>1936</v>
      </c>
      <c r="D2170" t="s">
        <v>4182</v>
      </c>
      <c r="F2170">
        <v>406</v>
      </c>
      <c r="G2170">
        <v>65</v>
      </c>
      <c r="H2170" t="s">
        <v>662</v>
      </c>
      <c r="I2170" t="s">
        <v>2271</v>
      </c>
      <c r="J2170">
        <v>711750</v>
      </c>
      <c r="K2170">
        <v>2025</v>
      </c>
      <c r="L2170">
        <v>1035976997</v>
      </c>
      <c r="M2170" t="s">
        <v>4352</v>
      </c>
      <c r="N2170" t="s">
        <v>1688</v>
      </c>
      <c r="O2170" t="s">
        <v>1686</v>
      </c>
      <c r="P2170">
        <v>0</v>
      </c>
      <c r="Q2170">
        <v>711750</v>
      </c>
      <c r="R2170">
        <v>0</v>
      </c>
      <c r="S2170">
        <v>0</v>
      </c>
      <c r="T2170" t="str">
        <f t="shared" si="66"/>
        <v>16842.43.4302.85.0-205128.2.3.3.08.06.</v>
      </c>
      <c r="U2170" t="e" cm="1">
        <f t="array" aca="1" ref="U2170" ca="1">+IF(COMPROMISOS_2025[[#This Row],[P]]="20","41080111",_xlfn.XLOOKUP(COMPROMISOS_2025[[#This Row],[concatenado]],PAA[[#All],[RCP-RUBRO]],PAA[[#All],[INDICADOR]],"",0))</f>
        <v>#NAME?</v>
      </c>
      <c r="V2170" s="144" t="str">
        <f t="shared" si="67"/>
        <v>85</v>
      </c>
      <c r="W2170" s="136">
        <f>+COMPROMISOS_2025[[#This Row],[valor_total]]-COMPROMISOS_2025[[#This Row],[total_cancelado]]</f>
        <v>711750</v>
      </c>
      <c r="X2170" s="136">
        <f>COMPROMISOS_2025[[#This Row],[total_ordenes]]</f>
        <v>711750</v>
      </c>
      <c r="Y2170" t="str" cm="1">
        <f t="array" aca="1" ref="Y2170" ca="1">IFERROR(_xlfn.XLOOKUP(COMPROMISOS_2025[[#This Row],[concatenado]],PAA[[#All],[RCP-RUBRO]],PAA[[#All],[Actividad3]],VLOOKUP(COMPROMISOS_2025[[#This Row],[Indicador Principal]],$AC$2:$AD$17,2,0),0),"")</f>
        <v/>
      </c>
    </row>
    <row r="2171" spans="1:25" hidden="1" x14ac:dyDescent="0.25">
      <c r="A2171">
        <v>1685</v>
      </c>
      <c r="B2171" t="s">
        <v>2491</v>
      </c>
      <c r="C2171" t="s">
        <v>1936</v>
      </c>
      <c r="D2171" t="s">
        <v>4182</v>
      </c>
      <c r="F2171">
        <v>406</v>
      </c>
      <c r="G2171">
        <v>65</v>
      </c>
      <c r="H2171" t="s">
        <v>662</v>
      </c>
      <c r="I2171" t="s">
        <v>2271</v>
      </c>
      <c r="J2171">
        <v>711750</v>
      </c>
      <c r="K2171">
        <v>2025</v>
      </c>
      <c r="L2171">
        <v>1035978125</v>
      </c>
      <c r="M2171" t="s">
        <v>3773</v>
      </c>
      <c r="N2171" t="s">
        <v>1688</v>
      </c>
      <c r="O2171" t="s">
        <v>1686</v>
      </c>
      <c r="P2171">
        <v>0</v>
      </c>
      <c r="Q2171">
        <v>711750</v>
      </c>
      <c r="R2171">
        <v>0</v>
      </c>
      <c r="S2171">
        <v>0</v>
      </c>
      <c r="T2171" t="str">
        <f t="shared" si="66"/>
        <v>16852.43.4302.85.0-205128.2.3.3.08.06.</v>
      </c>
      <c r="U2171" t="e" cm="1">
        <f t="array" aca="1" ref="U2171" ca="1">+IF(COMPROMISOS_2025[[#This Row],[P]]="20","41080111",_xlfn.XLOOKUP(COMPROMISOS_2025[[#This Row],[concatenado]],PAA[[#All],[RCP-RUBRO]],PAA[[#All],[INDICADOR]],"",0))</f>
        <v>#NAME?</v>
      </c>
      <c r="V2171" s="144" t="str">
        <f t="shared" si="67"/>
        <v>85</v>
      </c>
      <c r="W2171" s="136">
        <f>+COMPROMISOS_2025[[#This Row],[valor_total]]-COMPROMISOS_2025[[#This Row],[total_cancelado]]</f>
        <v>711750</v>
      </c>
      <c r="X2171" s="136">
        <f>COMPROMISOS_2025[[#This Row],[total_ordenes]]</f>
        <v>711750</v>
      </c>
      <c r="Y2171" t="str" cm="1">
        <f t="array" aca="1" ref="Y2171" ca="1">IFERROR(_xlfn.XLOOKUP(COMPROMISOS_2025[[#This Row],[concatenado]],PAA[[#All],[RCP-RUBRO]],PAA[[#All],[Actividad3]],VLOOKUP(COMPROMISOS_2025[[#This Row],[Indicador Principal]],$AC$2:$AD$17,2,0),0),"")</f>
        <v/>
      </c>
    </row>
    <row r="2172" spans="1:25" hidden="1" x14ac:dyDescent="0.25">
      <c r="A2172">
        <v>1686</v>
      </c>
      <c r="B2172" t="s">
        <v>2491</v>
      </c>
      <c r="C2172" t="s">
        <v>1936</v>
      </c>
      <c r="D2172" t="s">
        <v>4182</v>
      </c>
      <c r="F2172">
        <v>406</v>
      </c>
      <c r="G2172">
        <v>65</v>
      </c>
      <c r="H2172" t="s">
        <v>662</v>
      </c>
      <c r="I2172" t="s">
        <v>2271</v>
      </c>
      <c r="J2172">
        <v>711750</v>
      </c>
      <c r="K2172">
        <v>2025</v>
      </c>
      <c r="L2172">
        <v>1036252397</v>
      </c>
      <c r="M2172" t="s">
        <v>3774</v>
      </c>
      <c r="N2172" t="s">
        <v>1688</v>
      </c>
      <c r="O2172" t="s">
        <v>1686</v>
      </c>
      <c r="P2172">
        <v>0</v>
      </c>
      <c r="Q2172">
        <v>711750</v>
      </c>
      <c r="R2172">
        <v>0</v>
      </c>
      <c r="S2172">
        <v>0</v>
      </c>
      <c r="T2172" t="str">
        <f t="shared" si="66"/>
        <v>16862.43.4302.85.0-205128.2.3.3.08.06.</v>
      </c>
      <c r="U2172" t="e" cm="1">
        <f t="array" aca="1" ref="U2172" ca="1">+IF(COMPROMISOS_2025[[#This Row],[P]]="20","41080111",_xlfn.XLOOKUP(COMPROMISOS_2025[[#This Row],[concatenado]],PAA[[#All],[RCP-RUBRO]],PAA[[#All],[INDICADOR]],"",0))</f>
        <v>#NAME?</v>
      </c>
      <c r="V2172" s="144" t="str">
        <f t="shared" si="67"/>
        <v>85</v>
      </c>
      <c r="W2172" s="136">
        <f>+COMPROMISOS_2025[[#This Row],[valor_total]]-COMPROMISOS_2025[[#This Row],[total_cancelado]]</f>
        <v>711750</v>
      </c>
      <c r="X2172" s="136">
        <f>COMPROMISOS_2025[[#This Row],[total_ordenes]]</f>
        <v>711750</v>
      </c>
      <c r="Y2172" t="str" cm="1">
        <f t="array" aca="1" ref="Y2172" ca="1">IFERROR(_xlfn.XLOOKUP(COMPROMISOS_2025[[#This Row],[concatenado]],PAA[[#All],[RCP-RUBRO]],PAA[[#All],[Actividad3]],VLOOKUP(COMPROMISOS_2025[[#This Row],[Indicador Principal]],$AC$2:$AD$17,2,0),0),"")</f>
        <v/>
      </c>
    </row>
    <row r="2173" spans="1:25" hidden="1" x14ac:dyDescent="0.25">
      <c r="A2173">
        <v>1687</v>
      </c>
      <c r="B2173" t="s">
        <v>2491</v>
      </c>
      <c r="C2173" t="s">
        <v>1936</v>
      </c>
      <c r="D2173" t="s">
        <v>4182</v>
      </c>
      <c r="F2173">
        <v>406</v>
      </c>
      <c r="G2173">
        <v>65</v>
      </c>
      <c r="H2173" t="s">
        <v>662</v>
      </c>
      <c r="I2173" t="s">
        <v>2271</v>
      </c>
      <c r="J2173">
        <v>2847000</v>
      </c>
      <c r="K2173">
        <v>2025</v>
      </c>
      <c r="L2173">
        <v>1036252405</v>
      </c>
      <c r="M2173" t="s">
        <v>4068</v>
      </c>
      <c r="N2173" t="s">
        <v>1688</v>
      </c>
      <c r="O2173" t="s">
        <v>1686</v>
      </c>
      <c r="P2173">
        <v>0</v>
      </c>
      <c r="Q2173">
        <v>2847000</v>
      </c>
      <c r="R2173">
        <v>0</v>
      </c>
      <c r="S2173">
        <v>0</v>
      </c>
      <c r="T2173" t="str">
        <f t="shared" si="66"/>
        <v>16872.43.4302.85.0-205128.2.3.3.08.06.</v>
      </c>
      <c r="U2173" t="e" cm="1">
        <f t="array" aca="1" ref="U2173" ca="1">+IF(COMPROMISOS_2025[[#This Row],[P]]="20","41080111",_xlfn.XLOOKUP(COMPROMISOS_2025[[#This Row],[concatenado]],PAA[[#All],[RCP-RUBRO]],PAA[[#All],[INDICADOR]],"",0))</f>
        <v>#NAME?</v>
      </c>
      <c r="V2173" s="144" t="str">
        <f t="shared" si="67"/>
        <v>85</v>
      </c>
      <c r="W2173" s="136">
        <f>+COMPROMISOS_2025[[#This Row],[valor_total]]-COMPROMISOS_2025[[#This Row],[total_cancelado]]</f>
        <v>2847000</v>
      </c>
      <c r="X2173" s="136">
        <f>COMPROMISOS_2025[[#This Row],[total_ordenes]]</f>
        <v>2847000</v>
      </c>
      <c r="Y2173" t="str" cm="1">
        <f t="array" aca="1" ref="Y2173" ca="1">IFERROR(_xlfn.XLOOKUP(COMPROMISOS_2025[[#This Row],[concatenado]],PAA[[#All],[RCP-RUBRO]],PAA[[#All],[Actividad3]],VLOOKUP(COMPROMISOS_2025[[#This Row],[Indicador Principal]],$AC$2:$AD$17,2,0),0),"")</f>
        <v/>
      </c>
    </row>
    <row r="2174" spans="1:25" hidden="1" x14ac:dyDescent="0.25">
      <c r="A2174">
        <v>1688</v>
      </c>
      <c r="B2174" t="s">
        <v>2491</v>
      </c>
      <c r="C2174" t="s">
        <v>1936</v>
      </c>
      <c r="D2174" t="s">
        <v>4182</v>
      </c>
      <c r="F2174">
        <v>406</v>
      </c>
      <c r="G2174">
        <v>65</v>
      </c>
      <c r="H2174" t="s">
        <v>662</v>
      </c>
      <c r="I2174" t="s">
        <v>2271</v>
      </c>
      <c r="J2174">
        <v>2847000</v>
      </c>
      <c r="K2174">
        <v>2025</v>
      </c>
      <c r="L2174">
        <v>1036252769</v>
      </c>
      <c r="M2174" t="s">
        <v>4353</v>
      </c>
      <c r="N2174" t="s">
        <v>1688</v>
      </c>
      <c r="O2174" t="s">
        <v>1686</v>
      </c>
      <c r="P2174">
        <v>0</v>
      </c>
      <c r="Q2174">
        <v>2847000</v>
      </c>
      <c r="R2174">
        <v>0</v>
      </c>
      <c r="S2174">
        <v>0</v>
      </c>
      <c r="T2174" t="str">
        <f t="shared" si="66"/>
        <v>16882.43.4302.85.0-205128.2.3.3.08.06.</v>
      </c>
      <c r="U2174" t="e" cm="1">
        <f t="array" aca="1" ref="U2174" ca="1">+IF(COMPROMISOS_2025[[#This Row],[P]]="20","41080111",_xlfn.XLOOKUP(COMPROMISOS_2025[[#This Row],[concatenado]],PAA[[#All],[RCP-RUBRO]],PAA[[#All],[INDICADOR]],"",0))</f>
        <v>#NAME?</v>
      </c>
      <c r="V2174" s="144" t="str">
        <f t="shared" si="67"/>
        <v>85</v>
      </c>
      <c r="W2174" s="136">
        <f>+COMPROMISOS_2025[[#This Row],[valor_total]]-COMPROMISOS_2025[[#This Row],[total_cancelado]]</f>
        <v>2847000</v>
      </c>
      <c r="X2174" s="136">
        <f>COMPROMISOS_2025[[#This Row],[total_ordenes]]</f>
        <v>2847000</v>
      </c>
      <c r="Y2174" t="str" cm="1">
        <f t="array" aca="1" ref="Y2174" ca="1">IFERROR(_xlfn.XLOOKUP(COMPROMISOS_2025[[#This Row],[concatenado]],PAA[[#All],[RCP-RUBRO]],PAA[[#All],[Actividad3]],VLOOKUP(COMPROMISOS_2025[[#This Row],[Indicador Principal]],$AC$2:$AD$17,2,0),0),"")</f>
        <v/>
      </c>
    </row>
    <row r="2175" spans="1:25" hidden="1" x14ac:dyDescent="0.25">
      <c r="A2175">
        <v>1689</v>
      </c>
      <c r="B2175" t="s">
        <v>2491</v>
      </c>
      <c r="C2175" t="s">
        <v>1936</v>
      </c>
      <c r="D2175" t="s">
        <v>4182</v>
      </c>
      <c r="F2175">
        <v>406</v>
      </c>
      <c r="G2175">
        <v>65</v>
      </c>
      <c r="H2175" t="s">
        <v>662</v>
      </c>
      <c r="I2175" t="s">
        <v>2271</v>
      </c>
      <c r="J2175">
        <v>711750</v>
      </c>
      <c r="K2175">
        <v>2025</v>
      </c>
      <c r="L2175">
        <v>1036252945</v>
      </c>
      <c r="M2175" t="s">
        <v>3775</v>
      </c>
      <c r="N2175" t="s">
        <v>1688</v>
      </c>
      <c r="O2175" t="s">
        <v>1686</v>
      </c>
      <c r="P2175">
        <v>0</v>
      </c>
      <c r="Q2175">
        <v>711750</v>
      </c>
      <c r="R2175">
        <v>0</v>
      </c>
      <c r="S2175">
        <v>0</v>
      </c>
      <c r="T2175" t="str">
        <f t="shared" si="66"/>
        <v>16892.43.4302.85.0-205128.2.3.3.08.06.</v>
      </c>
      <c r="U2175" t="e" cm="1">
        <f t="array" aca="1" ref="U2175" ca="1">+IF(COMPROMISOS_2025[[#This Row],[P]]="20","41080111",_xlfn.XLOOKUP(COMPROMISOS_2025[[#This Row],[concatenado]],PAA[[#All],[RCP-RUBRO]],PAA[[#All],[INDICADOR]],"",0))</f>
        <v>#NAME?</v>
      </c>
      <c r="V2175" s="144" t="str">
        <f t="shared" si="67"/>
        <v>85</v>
      </c>
      <c r="W2175" s="136">
        <f>+COMPROMISOS_2025[[#This Row],[valor_total]]-COMPROMISOS_2025[[#This Row],[total_cancelado]]</f>
        <v>711750</v>
      </c>
      <c r="X2175" s="136">
        <f>COMPROMISOS_2025[[#This Row],[total_ordenes]]</f>
        <v>711750</v>
      </c>
      <c r="Y2175" t="str" cm="1">
        <f t="array" aca="1" ref="Y2175" ca="1">IFERROR(_xlfn.XLOOKUP(COMPROMISOS_2025[[#This Row],[concatenado]],PAA[[#All],[RCP-RUBRO]],PAA[[#All],[Actividad3]],VLOOKUP(COMPROMISOS_2025[[#This Row],[Indicador Principal]],$AC$2:$AD$17,2,0),0),"")</f>
        <v/>
      </c>
    </row>
    <row r="2176" spans="1:25" hidden="1" x14ac:dyDescent="0.25">
      <c r="A2176">
        <v>1690</v>
      </c>
      <c r="B2176" t="s">
        <v>2491</v>
      </c>
      <c r="C2176" t="s">
        <v>1936</v>
      </c>
      <c r="D2176" t="s">
        <v>4182</v>
      </c>
      <c r="F2176">
        <v>406</v>
      </c>
      <c r="G2176">
        <v>65</v>
      </c>
      <c r="H2176" t="s">
        <v>662</v>
      </c>
      <c r="I2176" t="s">
        <v>2271</v>
      </c>
      <c r="J2176">
        <v>1067625</v>
      </c>
      <c r="K2176">
        <v>2025</v>
      </c>
      <c r="L2176">
        <v>1036253052</v>
      </c>
      <c r="M2176" t="s">
        <v>3776</v>
      </c>
      <c r="N2176" t="s">
        <v>1688</v>
      </c>
      <c r="O2176" t="s">
        <v>1686</v>
      </c>
      <c r="P2176">
        <v>0</v>
      </c>
      <c r="Q2176">
        <v>1067625</v>
      </c>
      <c r="R2176">
        <v>0</v>
      </c>
      <c r="S2176">
        <v>0</v>
      </c>
      <c r="T2176" t="str">
        <f t="shared" si="66"/>
        <v>16902.43.4302.85.0-205128.2.3.3.08.06.</v>
      </c>
      <c r="U2176" t="e" cm="1">
        <f t="array" aca="1" ref="U2176" ca="1">+IF(COMPROMISOS_2025[[#This Row],[P]]="20","41080111",_xlfn.XLOOKUP(COMPROMISOS_2025[[#This Row],[concatenado]],PAA[[#All],[RCP-RUBRO]],PAA[[#All],[INDICADOR]],"",0))</f>
        <v>#NAME?</v>
      </c>
      <c r="V2176" s="144" t="str">
        <f t="shared" si="67"/>
        <v>85</v>
      </c>
      <c r="W2176" s="136">
        <f>+COMPROMISOS_2025[[#This Row],[valor_total]]-COMPROMISOS_2025[[#This Row],[total_cancelado]]</f>
        <v>1067625</v>
      </c>
      <c r="X2176" s="136">
        <f>COMPROMISOS_2025[[#This Row],[total_ordenes]]</f>
        <v>1067625</v>
      </c>
      <c r="Y2176" t="str" cm="1">
        <f t="array" aca="1" ref="Y2176" ca="1">IFERROR(_xlfn.XLOOKUP(COMPROMISOS_2025[[#This Row],[concatenado]],PAA[[#All],[RCP-RUBRO]],PAA[[#All],[Actividad3]],VLOOKUP(COMPROMISOS_2025[[#This Row],[Indicador Principal]],$AC$2:$AD$17,2,0),0),"")</f>
        <v/>
      </c>
    </row>
    <row r="2177" spans="1:25" hidden="1" x14ac:dyDescent="0.25">
      <c r="A2177">
        <v>1691</v>
      </c>
      <c r="B2177" t="s">
        <v>2491</v>
      </c>
      <c r="C2177" t="s">
        <v>1936</v>
      </c>
      <c r="D2177" t="s">
        <v>4182</v>
      </c>
      <c r="F2177">
        <v>406</v>
      </c>
      <c r="G2177">
        <v>65</v>
      </c>
      <c r="H2177" t="s">
        <v>662</v>
      </c>
      <c r="I2177" t="s">
        <v>2271</v>
      </c>
      <c r="J2177">
        <v>1067625</v>
      </c>
      <c r="K2177">
        <v>2025</v>
      </c>
      <c r="L2177">
        <v>1036255671</v>
      </c>
      <c r="M2177" t="s">
        <v>3777</v>
      </c>
      <c r="N2177" t="s">
        <v>1688</v>
      </c>
      <c r="O2177" t="s">
        <v>1686</v>
      </c>
      <c r="P2177">
        <v>0</v>
      </c>
      <c r="Q2177">
        <v>1067625</v>
      </c>
      <c r="R2177">
        <v>0</v>
      </c>
      <c r="S2177">
        <v>0</v>
      </c>
      <c r="T2177" t="str">
        <f t="shared" si="66"/>
        <v>16912.43.4302.85.0-205128.2.3.3.08.06.</v>
      </c>
      <c r="U2177" t="e" cm="1">
        <f t="array" aca="1" ref="U2177" ca="1">+IF(COMPROMISOS_2025[[#This Row],[P]]="20","41080111",_xlfn.XLOOKUP(COMPROMISOS_2025[[#This Row],[concatenado]],PAA[[#All],[RCP-RUBRO]],PAA[[#All],[INDICADOR]],"",0))</f>
        <v>#NAME?</v>
      </c>
      <c r="V2177" s="144" t="str">
        <f t="shared" si="67"/>
        <v>85</v>
      </c>
      <c r="W2177" s="136">
        <f>+COMPROMISOS_2025[[#This Row],[valor_total]]-COMPROMISOS_2025[[#This Row],[total_cancelado]]</f>
        <v>1067625</v>
      </c>
      <c r="X2177" s="136">
        <f>COMPROMISOS_2025[[#This Row],[total_ordenes]]</f>
        <v>1067625</v>
      </c>
      <c r="Y2177" t="str" cm="1">
        <f t="array" aca="1" ref="Y2177" ca="1">IFERROR(_xlfn.XLOOKUP(COMPROMISOS_2025[[#This Row],[concatenado]],PAA[[#All],[RCP-RUBRO]],PAA[[#All],[Actividad3]],VLOOKUP(COMPROMISOS_2025[[#This Row],[Indicador Principal]],$AC$2:$AD$17,2,0),0),"")</f>
        <v/>
      </c>
    </row>
    <row r="2178" spans="1:25" hidden="1" x14ac:dyDescent="0.25">
      <c r="A2178">
        <v>1692</v>
      </c>
      <c r="B2178" t="s">
        <v>2491</v>
      </c>
      <c r="C2178" t="s">
        <v>1936</v>
      </c>
      <c r="D2178" t="s">
        <v>4182</v>
      </c>
      <c r="F2178">
        <v>406</v>
      </c>
      <c r="G2178">
        <v>65</v>
      </c>
      <c r="H2178" t="s">
        <v>662</v>
      </c>
      <c r="I2178" t="s">
        <v>2271</v>
      </c>
      <c r="J2178">
        <v>711750</v>
      </c>
      <c r="K2178">
        <v>2025</v>
      </c>
      <c r="L2178">
        <v>1036256380</v>
      </c>
      <c r="M2178" t="s">
        <v>3778</v>
      </c>
      <c r="N2178" t="s">
        <v>1688</v>
      </c>
      <c r="O2178" t="s">
        <v>1686</v>
      </c>
      <c r="P2178">
        <v>0</v>
      </c>
      <c r="Q2178">
        <v>711750</v>
      </c>
      <c r="R2178">
        <v>0</v>
      </c>
      <c r="S2178">
        <v>0</v>
      </c>
      <c r="T2178" t="str">
        <f t="shared" ref="T2178:T2241" si="68">IF(A2178&gt;=0,CONCATENATE(A2178,H2178),"")</f>
        <v>16922.43.4302.85.0-205128.2.3.3.08.06.</v>
      </c>
      <c r="U2178" t="e" cm="1">
        <f t="array" aca="1" ref="U2178" ca="1">+IF(COMPROMISOS_2025[[#This Row],[P]]="20","41080111",_xlfn.XLOOKUP(COMPROMISOS_2025[[#This Row],[concatenado]],PAA[[#All],[RCP-RUBRO]],PAA[[#All],[INDICADOR]],"",0))</f>
        <v>#NAME?</v>
      </c>
      <c r="V2178" s="144" t="str">
        <f t="shared" ref="V2178:V2241" si="69">+MID(H2178,11,2)</f>
        <v>85</v>
      </c>
      <c r="W2178" s="136">
        <f>+COMPROMISOS_2025[[#This Row],[valor_total]]-COMPROMISOS_2025[[#This Row],[total_cancelado]]</f>
        <v>711750</v>
      </c>
      <c r="X2178" s="136">
        <f>COMPROMISOS_2025[[#This Row],[total_ordenes]]</f>
        <v>711750</v>
      </c>
      <c r="Y2178" t="str" cm="1">
        <f t="array" aca="1" ref="Y2178" ca="1">IFERROR(_xlfn.XLOOKUP(COMPROMISOS_2025[[#This Row],[concatenado]],PAA[[#All],[RCP-RUBRO]],PAA[[#All],[Actividad3]],VLOOKUP(COMPROMISOS_2025[[#This Row],[Indicador Principal]],$AC$2:$AD$17,2,0),0),"")</f>
        <v/>
      </c>
    </row>
    <row r="2179" spans="1:25" hidden="1" x14ac:dyDescent="0.25">
      <c r="A2179">
        <v>1693</v>
      </c>
      <c r="B2179" t="s">
        <v>2491</v>
      </c>
      <c r="C2179" t="s">
        <v>1936</v>
      </c>
      <c r="D2179" t="s">
        <v>4182</v>
      </c>
      <c r="F2179">
        <v>406</v>
      </c>
      <c r="G2179">
        <v>65</v>
      </c>
      <c r="H2179" t="s">
        <v>662</v>
      </c>
      <c r="I2179" t="s">
        <v>2271</v>
      </c>
      <c r="J2179">
        <v>2847000</v>
      </c>
      <c r="K2179">
        <v>2025</v>
      </c>
      <c r="L2179">
        <v>1036397207</v>
      </c>
      <c r="M2179" t="s">
        <v>3779</v>
      </c>
      <c r="N2179" t="s">
        <v>1688</v>
      </c>
      <c r="O2179" t="s">
        <v>1686</v>
      </c>
      <c r="P2179">
        <v>0</v>
      </c>
      <c r="Q2179">
        <v>2847000</v>
      </c>
      <c r="R2179">
        <v>0</v>
      </c>
      <c r="S2179">
        <v>0</v>
      </c>
      <c r="T2179" t="str">
        <f t="shared" si="68"/>
        <v>16932.43.4302.85.0-205128.2.3.3.08.06.</v>
      </c>
      <c r="U2179" t="e" cm="1">
        <f t="array" aca="1" ref="U2179" ca="1">+IF(COMPROMISOS_2025[[#This Row],[P]]="20","41080111",_xlfn.XLOOKUP(COMPROMISOS_2025[[#This Row],[concatenado]],PAA[[#All],[RCP-RUBRO]],PAA[[#All],[INDICADOR]],"",0))</f>
        <v>#NAME?</v>
      </c>
      <c r="V2179" s="144" t="str">
        <f t="shared" si="69"/>
        <v>85</v>
      </c>
      <c r="W2179" s="136">
        <f>+COMPROMISOS_2025[[#This Row],[valor_total]]-COMPROMISOS_2025[[#This Row],[total_cancelado]]</f>
        <v>2847000</v>
      </c>
      <c r="X2179" s="136">
        <f>COMPROMISOS_2025[[#This Row],[total_ordenes]]</f>
        <v>2847000</v>
      </c>
      <c r="Y2179" t="str" cm="1">
        <f t="array" aca="1" ref="Y2179" ca="1">IFERROR(_xlfn.XLOOKUP(COMPROMISOS_2025[[#This Row],[concatenado]],PAA[[#All],[RCP-RUBRO]],PAA[[#All],[Actividad3]],VLOOKUP(COMPROMISOS_2025[[#This Row],[Indicador Principal]],$AC$2:$AD$17,2,0),0),"")</f>
        <v/>
      </c>
    </row>
    <row r="2180" spans="1:25" hidden="1" x14ac:dyDescent="0.25">
      <c r="A2180">
        <v>1694</v>
      </c>
      <c r="B2180" t="s">
        <v>2491</v>
      </c>
      <c r="C2180" t="s">
        <v>1936</v>
      </c>
      <c r="D2180" t="s">
        <v>4182</v>
      </c>
      <c r="F2180">
        <v>406</v>
      </c>
      <c r="G2180">
        <v>65</v>
      </c>
      <c r="H2180" t="s">
        <v>662</v>
      </c>
      <c r="I2180" t="s">
        <v>2271</v>
      </c>
      <c r="J2180">
        <v>2847000</v>
      </c>
      <c r="K2180">
        <v>2025</v>
      </c>
      <c r="L2180">
        <v>1036402172</v>
      </c>
      <c r="M2180" t="s">
        <v>4070</v>
      </c>
      <c r="N2180" t="s">
        <v>1688</v>
      </c>
      <c r="O2180" t="s">
        <v>1686</v>
      </c>
      <c r="P2180">
        <v>0</v>
      </c>
      <c r="Q2180">
        <v>2847000</v>
      </c>
      <c r="R2180">
        <v>0</v>
      </c>
      <c r="S2180">
        <v>0</v>
      </c>
      <c r="T2180" t="str">
        <f t="shared" si="68"/>
        <v>16942.43.4302.85.0-205128.2.3.3.08.06.</v>
      </c>
      <c r="U2180" t="e" cm="1">
        <f t="array" aca="1" ref="U2180" ca="1">+IF(COMPROMISOS_2025[[#This Row],[P]]="20","41080111",_xlfn.XLOOKUP(COMPROMISOS_2025[[#This Row],[concatenado]],PAA[[#All],[RCP-RUBRO]],PAA[[#All],[INDICADOR]],"",0))</f>
        <v>#NAME?</v>
      </c>
      <c r="V2180" s="144" t="str">
        <f t="shared" si="69"/>
        <v>85</v>
      </c>
      <c r="W2180" s="136">
        <f>+COMPROMISOS_2025[[#This Row],[valor_total]]-COMPROMISOS_2025[[#This Row],[total_cancelado]]</f>
        <v>2847000</v>
      </c>
      <c r="X2180" s="136">
        <f>COMPROMISOS_2025[[#This Row],[total_ordenes]]</f>
        <v>2847000</v>
      </c>
      <c r="Y2180" t="str" cm="1">
        <f t="array" aca="1" ref="Y2180" ca="1">IFERROR(_xlfn.XLOOKUP(COMPROMISOS_2025[[#This Row],[concatenado]],PAA[[#All],[RCP-RUBRO]],PAA[[#All],[Actividad3]],VLOOKUP(COMPROMISOS_2025[[#This Row],[Indicador Principal]],$AC$2:$AD$17,2,0),0),"")</f>
        <v/>
      </c>
    </row>
    <row r="2181" spans="1:25" hidden="1" x14ac:dyDescent="0.25">
      <c r="A2181">
        <v>1695</v>
      </c>
      <c r="B2181" t="s">
        <v>2491</v>
      </c>
      <c r="C2181" t="s">
        <v>1936</v>
      </c>
      <c r="D2181" t="s">
        <v>4182</v>
      </c>
      <c r="F2181">
        <v>406</v>
      </c>
      <c r="G2181">
        <v>65</v>
      </c>
      <c r="H2181" t="s">
        <v>662</v>
      </c>
      <c r="I2181" t="s">
        <v>2271</v>
      </c>
      <c r="J2181">
        <v>2847000</v>
      </c>
      <c r="K2181">
        <v>2025</v>
      </c>
      <c r="L2181">
        <v>1036403491</v>
      </c>
      <c r="M2181" t="s">
        <v>3780</v>
      </c>
      <c r="N2181" t="s">
        <v>1688</v>
      </c>
      <c r="O2181" t="s">
        <v>1686</v>
      </c>
      <c r="P2181">
        <v>0</v>
      </c>
      <c r="Q2181">
        <v>2847000</v>
      </c>
      <c r="R2181">
        <v>0</v>
      </c>
      <c r="S2181">
        <v>0</v>
      </c>
      <c r="T2181" t="str">
        <f t="shared" si="68"/>
        <v>16952.43.4302.85.0-205128.2.3.3.08.06.</v>
      </c>
      <c r="U2181" t="e" cm="1">
        <f t="array" aca="1" ref="U2181" ca="1">+IF(COMPROMISOS_2025[[#This Row],[P]]="20","41080111",_xlfn.XLOOKUP(COMPROMISOS_2025[[#This Row],[concatenado]],PAA[[#All],[RCP-RUBRO]],PAA[[#All],[INDICADOR]],"",0))</f>
        <v>#NAME?</v>
      </c>
      <c r="V2181" s="144" t="str">
        <f t="shared" si="69"/>
        <v>85</v>
      </c>
      <c r="W2181" s="136">
        <f>+COMPROMISOS_2025[[#This Row],[valor_total]]-COMPROMISOS_2025[[#This Row],[total_cancelado]]</f>
        <v>2847000</v>
      </c>
      <c r="X2181" s="136">
        <f>COMPROMISOS_2025[[#This Row],[total_ordenes]]</f>
        <v>2847000</v>
      </c>
      <c r="Y2181" t="str" cm="1">
        <f t="array" aca="1" ref="Y2181" ca="1">IFERROR(_xlfn.XLOOKUP(COMPROMISOS_2025[[#This Row],[concatenado]],PAA[[#All],[RCP-RUBRO]],PAA[[#All],[Actividad3]],VLOOKUP(COMPROMISOS_2025[[#This Row],[Indicador Principal]],$AC$2:$AD$17,2,0),0),"")</f>
        <v/>
      </c>
    </row>
    <row r="2182" spans="1:25" hidden="1" x14ac:dyDescent="0.25">
      <c r="A2182">
        <v>1696</v>
      </c>
      <c r="B2182" t="s">
        <v>2491</v>
      </c>
      <c r="C2182" t="s">
        <v>1936</v>
      </c>
      <c r="D2182" t="s">
        <v>4182</v>
      </c>
      <c r="F2182">
        <v>406</v>
      </c>
      <c r="G2182">
        <v>65</v>
      </c>
      <c r="H2182" t="s">
        <v>662</v>
      </c>
      <c r="I2182" t="s">
        <v>2271</v>
      </c>
      <c r="J2182">
        <v>4270500</v>
      </c>
      <c r="K2182">
        <v>2025</v>
      </c>
      <c r="L2182">
        <v>1036404180</v>
      </c>
      <c r="M2182" t="s">
        <v>4354</v>
      </c>
      <c r="N2182" t="s">
        <v>1688</v>
      </c>
      <c r="O2182" t="s">
        <v>1686</v>
      </c>
      <c r="P2182">
        <v>0</v>
      </c>
      <c r="Q2182">
        <v>4270500</v>
      </c>
      <c r="R2182">
        <v>0</v>
      </c>
      <c r="S2182">
        <v>0</v>
      </c>
      <c r="T2182" t="str">
        <f t="shared" si="68"/>
        <v>16962.43.4302.85.0-205128.2.3.3.08.06.</v>
      </c>
      <c r="U2182" t="e" cm="1">
        <f t="array" aca="1" ref="U2182" ca="1">+IF(COMPROMISOS_2025[[#This Row],[P]]="20","41080111",_xlfn.XLOOKUP(COMPROMISOS_2025[[#This Row],[concatenado]],PAA[[#All],[RCP-RUBRO]],PAA[[#All],[INDICADOR]],"",0))</f>
        <v>#NAME?</v>
      </c>
      <c r="V2182" s="144" t="str">
        <f t="shared" si="69"/>
        <v>85</v>
      </c>
      <c r="W2182" s="136">
        <f>+COMPROMISOS_2025[[#This Row],[valor_total]]-COMPROMISOS_2025[[#This Row],[total_cancelado]]</f>
        <v>4270500</v>
      </c>
      <c r="X2182" s="136">
        <f>COMPROMISOS_2025[[#This Row],[total_ordenes]]</f>
        <v>4270500</v>
      </c>
      <c r="Y2182" t="str" cm="1">
        <f t="array" aca="1" ref="Y2182" ca="1">IFERROR(_xlfn.XLOOKUP(COMPROMISOS_2025[[#This Row],[concatenado]],PAA[[#All],[RCP-RUBRO]],PAA[[#All],[Actividad3]],VLOOKUP(COMPROMISOS_2025[[#This Row],[Indicador Principal]],$AC$2:$AD$17,2,0),0),"")</f>
        <v/>
      </c>
    </row>
    <row r="2183" spans="1:25" hidden="1" x14ac:dyDescent="0.25">
      <c r="A2183">
        <v>1697</v>
      </c>
      <c r="B2183" t="s">
        <v>2491</v>
      </c>
      <c r="C2183" t="s">
        <v>1936</v>
      </c>
      <c r="D2183" t="s">
        <v>4182</v>
      </c>
      <c r="F2183">
        <v>406</v>
      </c>
      <c r="G2183">
        <v>65</v>
      </c>
      <c r="H2183" t="s">
        <v>662</v>
      </c>
      <c r="I2183" t="s">
        <v>2271</v>
      </c>
      <c r="J2183">
        <v>1423500</v>
      </c>
      <c r="K2183">
        <v>2025</v>
      </c>
      <c r="L2183">
        <v>1036449496</v>
      </c>
      <c r="M2183" t="s">
        <v>4071</v>
      </c>
      <c r="N2183" t="s">
        <v>1688</v>
      </c>
      <c r="O2183" t="s">
        <v>1686</v>
      </c>
      <c r="P2183">
        <v>0</v>
      </c>
      <c r="Q2183">
        <v>1423500</v>
      </c>
      <c r="R2183">
        <v>0</v>
      </c>
      <c r="S2183">
        <v>0</v>
      </c>
      <c r="T2183" t="str">
        <f t="shared" si="68"/>
        <v>16972.43.4302.85.0-205128.2.3.3.08.06.</v>
      </c>
      <c r="U2183" t="e" cm="1">
        <f t="array" aca="1" ref="U2183" ca="1">+IF(COMPROMISOS_2025[[#This Row],[P]]="20","41080111",_xlfn.XLOOKUP(COMPROMISOS_2025[[#This Row],[concatenado]],PAA[[#All],[RCP-RUBRO]],PAA[[#All],[INDICADOR]],"",0))</f>
        <v>#NAME?</v>
      </c>
      <c r="V2183" s="144" t="str">
        <f t="shared" si="69"/>
        <v>85</v>
      </c>
      <c r="W2183" s="136">
        <f>+COMPROMISOS_2025[[#This Row],[valor_total]]-COMPROMISOS_2025[[#This Row],[total_cancelado]]</f>
        <v>1423500</v>
      </c>
      <c r="X2183" s="136">
        <f>COMPROMISOS_2025[[#This Row],[total_ordenes]]</f>
        <v>1423500</v>
      </c>
      <c r="Y2183" t="str" cm="1">
        <f t="array" aca="1" ref="Y2183" ca="1">IFERROR(_xlfn.XLOOKUP(COMPROMISOS_2025[[#This Row],[concatenado]],PAA[[#All],[RCP-RUBRO]],PAA[[#All],[Actividad3]],VLOOKUP(COMPROMISOS_2025[[#This Row],[Indicador Principal]],$AC$2:$AD$17,2,0),0),"")</f>
        <v/>
      </c>
    </row>
    <row r="2184" spans="1:25" hidden="1" x14ac:dyDescent="0.25">
      <c r="A2184">
        <v>1698</v>
      </c>
      <c r="B2184" t="s">
        <v>2491</v>
      </c>
      <c r="C2184" t="s">
        <v>1936</v>
      </c>
      <c r="D2184" t="s">
        <v>4182</v>
      </c>
      <c r="F2184">
        <v>406</v>
      </c>
      <c r="G2184">
        <v>65</v>
      </c>
      <c r="H2184" t="s">
        <v>662</v>
      </c>
      <c r="I2184" t="s">
        <v>2271</v>
      </c>
      <c r="J2184">
        <v>1067625</v>
      </c>
      <c r="K2184">
        <v>2025</v>
      </c>
      <c r="L2184">
        <v>1036452388</v>
      </c>
      <c r="M2184" t="s">
        <v>3781</v>
      </c>
      <c r="N2184" t="s">
        <v>1688</v>
      </c>
      <c r="O2184" t="s">
        <v>1686</v>
      </c>
      <c r="P2184">
        <v>0</v>
      </c>
      <c r="Q2184">
        <v>1067625</v>
      </c>
      <c r="R2184">
        <v>0</v>
      </c>
      <c r="S2184">
        <v>0</v>
      </c>
      <c r="T2184" t="str">
        <f t="shared" si="68"/>
        <v>16982.43.4302.85.0-205128.2.3.3.08.06.</v>
      </c>
      <c r="U2184" t="e" cm="1">
        <f t="array" aca="1" ref="U2184" ca="1">+IF(COMPROMISOS_2025[[#This Row],[P]]="20","41080111",_xlfn.XLOOKUP(COMPROMISOS_2025[[#This Row],[concatenado]],PAA[[#All],[RCP-RUBRO]],PAA[[#All],[INDICADOR]],"",0))</f>
        <v>#NAME?</v>
      </c>
      <c r="V2184" s="144" t="str">
        <f t="shared" si="69"/>
        <v>85</v>
      </c>
      <c r="W2184" s="136">
        <f>+COMPROMISOS_2025[[#This Row],[valor_total]]-COMPROMISOS_2025[[#This Row],[total_cancelado]]</f>
        <v>1067625</v>
      </c>
      <c r="X2184" s="136">
        <f>COMPROMISOS_2025[[#This Row],[total_ordenes]]</f>
        <v>1067625</v>
      </c>
      <c r="Y2184" t="str" cm="1">
        <f t="array" aca="1" ref="Y2184" ca="1">IFERROR(_xlfn.XLOOKUP(COMPROMISOS_2025[[#This Row],[concatenado]],PAA[[#All],[RCP-RUBRO]],PAA[[#All],[Actividad3]],VLOOKUP(COMPROMISOS_2025[[#This Row],[Indicador Principal]],$AC$2:$AD$17,2,0),0),"")</f>
        <v/>
      </c>
    </row>
    <row r="2185" spans="1:25" hidden="1" x14ac:dyDescent="0.25">
      <c r="A2185">
        <v>1699</v>
      </c>
      <c r="B2185" t="s">
        <v>2491</v>
      </c>
      <c r="C2185" t="s">
        <v>1936</v>
      </c>
      <c r="D2185" t="s">
        <v>4182</v>
      </c>
      <c r="F2185">
        <v>406</v>
      </c>
      <c r="G2185">
        <v>65</v>
      </c>
      <c r="H2185" t="s">
        <v>662</v>
      </c>
      <c r="I2185" t="s">
        <v>2271</v>
      </c>
      <c r="J2185">
        <v>2847000</v>
      </c>
      <c r="K2185">
        <v>2025</v>
      </c>
      <c r="L2185">
        <v>1036518152</v>
      </c>
      <c r="M2185" t="s">
        <v>4355</v>
      </c>
      <c r="N2185" t="s">
        <v>1688</v>
      </c>
      <c r="O2185" t="s">
        <v>1686</v>
      </c>
      <c r="P2185">
        <v>0</v>
      </c>
      <c r="Q2185">
        <v>2847000</v>
      </c>
      <c r="R2185">
        <v>0</v>
      </c>
      <c r="S2185">
        <v>0</v>
      </c>
      <c r="T2185" t="str">
        <f t="shared" si="68"/>
        <v>16992.43.4302.85.0-205128.2.3.3.08.06.</v>
      </c>
      <c r="U2185" t="e" cm="1">
        <f t="array" aca="1" ref="U2185" ca="1">+IF(COMPROMISOS_2025[[#This Row],[P]]="20","41080111",_xlfn.XLOOKUP(COMPROMISOS_2025[[#This Row],[concatenado]],PAA[[#All],[RCP-RUBRO]],PAA[[#All],[INDICADOR]],"",0))</f>
        <v>#NAME?</v>
      </c>
      <c r="V2185" s="144" t="str">
        <f t="shared" si="69"/>
        <v>85</v>
      </c>
      <c r="W2185" s="136">
        <f>+COMPROMISOS_2025[[#This Row],[valor_total]]-COMPROMISOS_2025[[#This Row],[total_cancelado]]</f>
        <v>2847000</v>
      </c>
      <c r="X2185" s="136">
        <f>COMPROMISOS_2025[[#This Row],[total_ordenes]]</f>
        <v>2847000</v>
      </c>
      <c r="Y2185" t="str" cm="1">
        <f t="array" aca="1" ref="Y2185" ca="1">IFERROR(_xlfn.XLOOKUP(COMPROMISOS_2025[[#This Row],[concatenado]],PAA[[#All],[RCP-RUBRO]],PAA[[#All],[Actividad3]],VLOOKUP(COMPROMISOS_2025[[#This Row],[Indicador Principal]],$AC$2:$AD$17,2,0),0),"")</f>
        <v/>
      </c>
    </row>
    <row r="2186" spans="1:25" hidden="1" x14ac:dyDescent="0.25">
      <c r="A2186">
        <v>1700</v>
      </c>
      <c r="B2186" t="s">
        <v>2491</v>
      </c>
      <c r="C2186" t="s">
        <v>1936</v>
      </c>
      <c r="D2186" t="s">
        <v>4182</v>
      </c>
      <c r="F2186">
        <v>406</v>
      </c>
      <c r="G2186">
        <v>65</v>
      </c>
      <c r="H2186" t="s">
        <v>662</v>
      </c>
      <c r="I2186" t="s">
        <v>2271</v>
      </c>
      <c r="J2186">
        <v>5694000</v>
      </c>
      <c r="K2186">
        <v>2025</v>
      </c>
      <c r="L2186">
        <v>1036598467</v>
      </c>
      <c r="M2186" t="s">
        <v>4356</v>
      </c>
      <c r="N2186" t="s">
        <v>1688</v>
      </c>
      <c r="O2186" t="s">
        <v>1686</v>
      </c>
      <c r="P2186">
        <v>0</v>
      </c>
      <c r="Q2186">
        <v>5694000</v>
      </c>
      <c r="R2186">
        <v>0</v>
      </c>
      <c r="S2186">
        <v>0</v>
      </c>
      <c r="T2186" t="str">
        <f t="shared" si="68"/>
        <v>17002.43.4302.85.0-205128.2.3.3.08.06.</v>
      </c>
      <c r="U2186" t="e" cm="1">
        <f t="array" aca="1" ref="U2186" ca="1">+IF(COMPROMISOS_2025[[#This Row],[P]]="20","41080111",_xlfn.XLOOKUP(COMPROMISOS_2025[[#This Row],[concatenado]],PAA[[#All],[RCP-RUBRO]],PAA[[#All],[INDICADOR]],"",0))</f>
        <v>#NAME?</v>
      </c>
      <c r="V2186" s="144" t="str">
        <f t="shared" si="69"/>
        <v>85</v>
      </c>
      <c r="W2186" s="136">
        <f>+COMPROMISOS_2025[[#This Row],[valor_total]]-COMPROMISOS_2025[[#This Row],[total_cancelado]]</f>
        <v>5694000</v>
      </c>
      <c r="X2186" s="136">
        <f>COMPROMISOS_2025[[#This Row],[total_ordenes]]</f>
        <v>5694000</v>
      </c>
      <c r="Y2186" t="str" cm="1">
        <f t="array" aca="1" ref="Y2186" ca="1">IFERROR(_xlfn.XLOOKUP(COMPROMISOS_2025[[#This Row],[concatenado]],PAA[[#All],[RCP-RUBRO]],PAA[[#All],[Actividad3]],VLOOKUP(COMPROMISOS_2025[[#This Row],[Indicador Principal]],$AC$2:$AD$17,2,0),0),"")</f>
        <v/>
      </c>
    </row>
    <row r="2187" spans="1:25" hidden="1" x14ac:dyDescent="0.25">
      <c r="A2187">
        <v>1701</v>
      </c>
      <c r="B2187" t="s">
        <v>2491</v>
      </c>
      <c r="C2187" t="s">
        <v>1936</v>
      </c>
      <c r="D2187" t="s">
        <v>4182</v>
      </c>
      <c r="F2187">
        <v>406</v>
      </c>
      <c r="G2187">
        <v>65</v>
      </c>
      <c r="H2187" t="s">
        <v>662</v>
      </c>
      <c r="I2187" t="s">
        <v>2271</v>
      </c>
      <c r="J2187">
        <v>711750</v>
      </c>
      <c r="K2187">
        <v>2025</v>
      </c>
      <c r="L2187">
        <v>1036631617</v>
      </c>
      <c r="M2187" t="s">
        <v>3782</v>
      </c>
      <c r="N2187" t="s">
        <v>1688</v>
      </c>
      <c r="O2187" t="s">
        <v>1686</v>
      </c>
      <c r="P2187">
        <v>0</v>
      </c>
      <c r="Q2187">
        <v>711750</v>
      </c>
      <c r="R2187">
        <v>0</v>
      </c>
      <c r="S2187">
        <v>0</v>
      </c>
      <c r="T2187" t="str">
        <f t="shared" si="68"/>
        <v>17012.43.4302.85.0-205128.2.3.3.08.06.</v>
      </c>
      <c r="U2187" t="e" cm="1">
        <f t="array" aca="1" ref="U2187" ca="1">+IF(COMPROMISOS_2025[[#This Row],[P]]="20","41080111",_xlfn.XLOOKUP(COMPROMISOS_2025[[#This Row],[concatenado]],PAA[[#All],[RCP-RUBRO]],PAA[[#All],[INDICADOR]],"",0))</f>
        <v>#NAME?</v>
      </c>
      <c r="V2187" s="144" t="str">
        <f t="shared" si="69"/>
        <v>85</v>
      </c>
      <c r="W2187" s="136">
        <f>+COMPROMISOS_2025[[#This Row],[valor_total]]-COMPROMISOS_2025[[#This Row],[total_cancelado]]</f>
        <v>711750</v>
      </c>
      <c r="X2187" s="136">
        <f>COMPROMISOS_2025[[#This Row],[total_ordenes]]</f>
        <v>711750</v>
      </c>
      <c r="Y2187" t="str" cm="1">
        <f t="array" aca="1" ref="Y2187" ca="1">IFERROR(_xlfn.XLOOKUP(COMPROMISOS_2025[[#This Row],[concatenado]],PAA[[#All],[RCP-RUBRO]],PAA[[#All],[Actividad3]],VLOOKUP(COMPROMISOS_2025[[#This Row],[Indicador Principal]],$AC$2:$AD$17,2,0),0),"")</f>
        <v/>
      </c>
    </row>
    <row r="2188" spans="1:25" hidden="1" x14ac:dyDescent="0.25">
      <c r="A2188">
        <v>1702</v>
      </c>
      <c r="B2188" t="s">
        <v>2491</v>
      </c>
      <c r="C2188" t="s">
        <v>1936</v>
      </c>
      <c r="D2188" t="s">
        <v>4182</v>
      </c>
      <c r="F2188">
        <v>406</v>
      </c>
      <c r="G2188">
        <v>65</v>
      </c>
      <c r="H2188" t="s">
        <v>662</v>
      </c>
      <c r="I2188" t="s">
        <v>2271</v>
      </c>
      <c r="J2188">
        <v>1423500</v>
      </c>
      <c r="K2188">
        <v>2025</v>
      </c>
      <c r="L2188">
        <v>1036641811</v>
      </c>
      <c r="M2188" t="s">
        <v>4357</v>
      </c>
      <c r="N2188" t="s">
        <v>1688</v>
      </c>
      <c r="O2188" t="s">
        <v>1686</v>
      </c>
      <c r="P2188">
        <v>0</v>
      </c>
      <c r="Q2188">
        <v>1423500</v>
      </c>
      <c r="R2188">
        <v>0</v>
      </c>
      <c r="S2188">
        <v>0</v>
      </c>
      <c r="T2188" t="str">
        <f t="shared" si="68"/>
        <v>17022.43.4302.85.0-205128.2.3.3.08.06.</v>
      </c>
      <c r="U2188" t="e" cm="1">
        <f t="array" aca="1" ref="U2188" ca="1">+IF(COMPROMISOS_2025[[#This Row],[P]]="20","41080111",_xlfn.XLOOKUP(COMPROMISOS_2025[[#This Row],[concatenado]],PAA[[#All],[RCP-RUBRO]],PAA[[#All],[INDICADOR]],"",0))</f>
        <v>#NAME?</v>
      </c>
      <c r="V2188" s="144" t="str">
        <f t="shared" si="69"/>
        <v>85</v>
      </c>
      <c r="W2188" s="136">
        <f>+COMPROMISOS_2025[[#This Row],[valor_total]]-COMPROMISOS_2025[[#This Row],[total_cancelado]]</f>
        <v>1423500</v>
      </c>
      <c r="X2188" s="136">
        <f>COMPROMISOS_2025[[#This Row],[total_ordenes]]</f>
        <v>1423500</v>
      </c>
      <c r="Y2188" t="str" cm="1">
        <f t="array" aca="1" ref="Y2188" ca="1">IFERROR(_xlfn.XLOOKUP(COMPROMISOS_2025[[#This Row],[concatenado]],PAA[[#All],[RCP-RUBRO]],PAA[[#All],[Actividad3]],VLOOKUP(COMPROMISOS_2025[[#This Row],[Indicador Principal]],$AC$2:$AD$17,2,0),0),"")</f>
        <v/>
      </c>
    </row>
    <row r="2189" spans="1:25" hidden="1" x14ac:dyDescent="0.25">
      <c r="A2189">
        <v>1703</v>
      </c>
      <c r="B2189" t="s">
        <v>2491</v>
      </c>
      <c r="C2189" t="s">
        <v>1936</v>
      </c>
      <c r="D2189" t="s">
        <v>4182</v>
      </c>
      <c r="F2189">
        <v>406</v>
      </c>
      <c r="G2189">
        <v>65</v>
      </c>
      <c r="H2189" t="s">
        <v>662</v>
      </c>
      <c r="I2189" t="s">
        <v>2271</v>
      </c>
      <c r="J2189">
        <v>1423500</v>
      </c>
      <c r="K2189">
        <v>2025</v>
      </c>
      <c r="L2189">
        <v>1036650619</v>
      </c>
      <c r="M2189" t="s">
        <v>4358</v>
      </c>
      <c r="N2189" t="s">
        <v>1688</v>
      </c>
      <c r="O2189" t="s">
        <v>1686</v>
      </c>
      <c r="P2189">
        <v>0</v>
      </c>
      <c r="Q2189">
        <v>1423500</v>
      </c>
      <c r="R2189">
        <v>0</v>
      </c>
      <c r="S2189">
        <v>0</v>
      </c>
      <c r="T2189" t="str">
        <f t="shared" si="68"/>
        <v>17032.43.4302.85.0-205128.2.3.3.08.06.</v>
      </c>
      <c r="U2189" t="e" cm="1">
        <f t="array" aca="1" ref="U2189" ca="1">+IF(COMPROMISOS_2025[[#This Row],[P]]="20","41080111",_xlfn.XLOOKUP(COMPROMISOS_2025[[#This Row],[concatenado]],PAA[[#All],[RCP-RUBRO]],PAA[[#All],[INDICADOR]],"",0))</f>
        <v>#NAME?</v>
      </c>
      <c r="V2189" s="144" t="str">
        <f t="shared" si="69"/>
        <v>85</v>
      </c>
      <c r="W2189" s="136">
        <f>+COMPROMISOS_2025[[#This Row],[valor_total]]-COMPROMISOS_2025[[#This Row],[total_cancelado]]</f>
        <v>1423500</v>
      </c>
      <c r="X2189" s="136">
        <f>COMPROMISOS_2025[[#This Row],[total_ordenes]]</f>
        <v>1423500</v>
      </c>
      <c r="Y2189" t="str" cm="1">
        <f t="array" aca="1" ref="Y2189" ca="1">IFERROR(_xlfn.XLOOKUP(COMPROMISOS_2025[[#This Row],[concatenado]],PAA[[#All],[RCP-RUBRO]],PAA[[#All],[Actividad3]],VLOOKUP(COMPROMISOS_2025[[#This Row],[Indicador Principal]],$AC$2:$AD$17,2,0),0),"")</f>
        <v/>
      </c>
    </row>
    <row r="2190" spans="1:25" hidden="1" x14ac:dyDescent="0.25">
      <c r="A2190">
        <v>1704</v>
      </c>
      <c r="B2190" t="s">
        <v>2491</v>
      </c>
      <c r="C2190" t="s">
        <v>1936</v>
      </c>
      <c r="D2190" t="s">
        <v>4182</v>
      </c>
      <c r="F2190">
        <v>406</v>
      </c>
      <c r="G2190">
        <v>65</v>
      </c>
      <c r="H2190" t="s">
        <v>662</v>
      </c>
      <c r="I2190" t="s">
        <v>2271</v>
      </c>
      <c r="J2190">
        <v>1423500</v>
      </c>
      <c r="K2190">
        <v>2025</v>
      </c>
      <c r="L2190">
        <v>1036660005</v>
      </c>
      <c r="M2190" t="s">
        <v>3783</v>
      </c>
      <c r="N2190" t="s">
        <v>1688</v>
      </c>
      <c r="O2190" t="s">
        <v>1686</v>
      </c>
      <c r="P2190">
        <v>0</v>
      </c>
      <c r="Q2190">
        <v>1423500</v>
      </c>
      <c r="R2190">
        <v>0</v>
      </c>
      <c r="S2190">
        <v>0</v>
      </c>
      <c r="T2190" t="str">
        <f t="shared" si="68"/>
        <v>17042.43.4302.85.0-205128.2.3.3.08.06.</v>
      </c>
      <c r="U2190" t="e" cm="1">
        <f t="array" aca="1" ref="U2190" ca="1">+IF(COMPROMISOS_2025[[#This Row],[P]]="20","41080111",_xlfn.XLOOKUP(COMPROMISOS_2025[[#This Row],[concatenado]],PAA[[#All],[RCP-RUBRO]],PAA[[#All],[INDICADOR]],"",0))</f>
        <v>#NAME?</v>
      </c>
      <c r="V2190" s="144" t="str">
        <f t="shared" si="69"/>
        <v>85</v>
      </c>
      <c r="W2190" s="136">
        <f>+COMPROMISOS_2025[[#This Row],[valor_total]]-COMPROMISOS_2025[[#This Row],[total_cancelado]]</f>
        <v>1423500</v>
      </c>
      <c r="X2190" s="136">
        <f>COMPROMISOS_2025[[#This Row],[total_ordenes]]</f>
        <v>1423500</v>
      </c>
      <c r="Y2190" t="str" cm="1">
        <f t="array" aca="1" ref="Y2190" ca="1">IFERROR(_xlfn.XLOOKUP(COMPROMISOS_2025[[#This Row],[concatenado]],PAA[[#All],[RCP-RUBRO]],PAA[[#All],[Actividad3]],VLOOKUP(COMPROMISOS_2025[[#This Row],[Indicador Principal]],$AC$2:$AD$17,2,0),0),"")</f>
        <v/>
      </c>
    </row>
    <row r="2191" spans="1:25" hidden="1" x14ac:dyDescent="0.25">
      <c r="A2191">
        <v>1705</v>
      </c>
      <c r="B2191" t="s">
        <v>2491</v>
      </c>
      <c r="C2191" t="s">
        <v>1936</v>
      </c>
      <c r="D2191" t="s">
        <v>4182</v>
      </c>
      <c r="F2191">
        <v>406</v>
      </c>
      <c r="G2191">
        <v>65</v>
      </c>
      <c r="H2191" t="s">
        <v>662</v>
      </c>
      <c r="I2191" t="s">
        <v>2271</v>
      </c>
      <c r="J2191">
        <v>711750</v>
      </c>
      <c r="K2191">
        <v>2025</v>
      </c>
      <c r="L2191">
        <v>1036663651</v>
      </c>
      <c r="M2191" t="s">
        <v>3784</v>
      </c>
      <c r="N2191" t="s">
        <v>1688</v>
      </c>
      <c r="O2191" t="s">
        <v>1686</v>
      </c>
      <c r="P2191">
        <v>0</v>
      </c>
      <c r="Q2191">
        <v>711750</v>
      </c>
      <c r="R2191">
        <v>0</v>
      </c>
      <c r="S2191">
        <v>0</v>
      </c>
      <c r="T2191" t="str">
        <f t="shared" si="68"/>
        <v>17052.43.4302.85.0-205128.2.3.3.08.06.</v>
      </c>
      <c r="U2191" t="e" cm="1">
        <f t="array" aca="1" ref="U2191" ca="1">+IF(COMPROMISOS_2025[[#This Row],[P]]="20","41080111",_xlfn.XLOOKUP(COMPROMISOS_2025[[#This Row],[concatenado]],PAA[[#All],[RCP-RUBRO]],PAA[[#All],[INDICADOR]],"",0))</f>
        <v>#NAME?</v>
      </c>
      <c r="V2191" s="144" t="str">
        <f t="shared" si="69"/>
        <v>85</v>
      </c>
      <c r="W2191" s="136">
        <f>+COMPROMISOS_2025[[#This Row],[valor_total]]-COMPROMISOS_2025[[#This Row],[total_cancelado]]</f>
        <v>711750</v>
      </c>
      <c r="X2191" s="136">
        <f>COMPROMISOS_2025[[#This Row],[total_ordenes]]</f>
        <v>711750</v>
      </c>
      <c r="Y2191" t="str" cm="1">
        <f t="array" aca="1" ref="Y2191" ca="1">IFERROR(_xlfn.XLOOKUP(COMPROMISOS_2025[[#This Row],[concatenado]],PAA[[#All],[RCP-RUBRO]],PAA[[#All],[Actividad3]],VLOOKUP(COMPROMISOS_2025[[#This Row],[Indicador Principal]],$AC$2:$AD$17,2,0),0),"")</f>
        <v/>
      </c>
    </row>
    <row r="2192" spans="1:25" hidden="1" x14ac:dyDescent="0.25">
      <c r="A2192">
        <v>1706</v>
      </c>
      <c r="B2192" t="s">
        <v>2491</v>
      </c>
      <c r="C2192" t="s">
        <v>1936</v>
      </c>
      <c r="D2192" t="s">
        <v>4182</v>
      </c>
      <c r="F2192">
        <v>406</v>
      </c>
      <c r="G2192">
        <v>65</v>
      </c>
      <c r="H2192" t="s">
        <v>662</v>
      </c>
      <c r="I2192" t="s">
        <v>2271</v>
      </c>
      <c r="J2192">
        <v>1423500</v>
      </c>
      <c r="K2192">
        <v>2025</v>
      </c>
      <c r="L2192">
        <v>1036664029</v>
      </c>
      <c r="M2192" t="s">
        <v>4359</v>
      </c>
      <c r="N2192" t="s">
        <v>1688</v>
      </c>
      <c r="O2192" t="s">
        <v>1686</v>
      </c>
      <c r="P2192">
        <v>0</v>
      </c>
      <c r="Q2192">
        <v>1423500</v>
      </c>
      <c r="R2192">
        <v>0</v>
      </c>
      <c r="S2192">
        <v>0</v>
      </c>
      <c r="T2192" t="str">
        <f t="shared" si="68"/>
        <v>17062.43.4302.85.0-205128.2.3.3.08.06.</v>
      </c>
      <c r="U2192" t="e" cm="1">
        <f t="array" aca="1" ref="U2192" ca="1">+IF(COMPROMISOS_2025[[#This Row],[P]]="20","41080111",_xlfn.XLOOKUP(COMPROMISOS_2025[[#This Row],[concatenado]],PAA[[#All],[RCP-RUBRO]],PAA[[#All],[INDICADOR]],"",0))</f>
        <v>#NAME?</v>
      </c>
      <c r="V2192" s="144" t="str">
        <f t="shared" si="69"/>
        <v>85</v>
      </c>
      <c r="W2192" s="136">
        <f>+COMPROMISOS_2025[[#This Row],[valor_total]]-COMPROMISOS_2025[[#This Row],[total_cancelado]]</f>
        <v>1423500</v>
      </c>
      <c r="X2192" s="136">
        <f>COMPROMISOS_2025[[#This Row],[total_ordenes]]</f>
        <v>1423500</v>
      </c>
      <c r="Y2192" t="str" cm="1">
        <f t="array" aca="1" ref="Y2192" ca="1">IFERROR(_xlfn.XLOOKUP(COMPROMISOS_2025[[#This Row],[concatenado]],PAA[[#All],[RCP-RUBRO]],PAA[[#All],[Actividad3]],VLOOKUP(COMPROMISOS_2025[[#This Row],[Indicador Principal]],$AC$2:$AD$17,2,0),0),"")</f>
        <v/>
      </c>
    </row>
    <row r="2193" spans="1:25" hidden="1" x14ac:dyDescent="0.25">
      <c r="A2193">
        <v>1707</v>
      </c>
      <c r="B2193" t="s">
        <v>2491</v>
      </c>
      <c r="C2193" t="s">
        <v>1936</v>
      </c>
      <c r="D2193" t="s">
        <v>4182</v>
      </c>
      <c r="F2193">
        <v>406</v>
      </c>
      <c r="G2193">
        <v>65</v>
      </c>
      <c r="H2193" t="s">
        <v>662</v>
      </c>
      <c r="I2193" t="s">
        <v>2271</v>
      </c>
      <c r="J2193">
        <v>711750</v>
      </c>
      <c r="K2193">
        <v>2025</v>
      </c>
      <c r="L2193">
        <v>1036668035</v>
      </c>
      <c r="M2193" t="s">
        <v>4360</v>
      </c>
      <c r="N2193" t="s">
        <v>1688</v>
      </c>
      <c r="O2193" t="s">
        <v>1686</v>
      </c>
      <c r="P2193">
        <v>0</v>
      </c>
      <c r="Q2193">
        <v>711750</v>
      </c>
      <c r="R2193">
        <v>0</v>
      </c>
      <c r="S2193">
        <v>0</v>
      </c>
      <c r="T2193" t="str">
        <f t="shared" si="68"/>
        <v>17072.43.4302.85.0-205128.2.3.3.08.06.</v>
      </c>
      <c r="U2193" t="e" cm="1">
        <f t="array" aca="1" ref="U2193" ca="1">+IF(COMPROMISOS_2025[[#This Row],[P]]="20","41080111",_xlfn.XLOOKUP(COMPROMISOS_2025[[#This Row],[concatenado]],PAA[[#All],[RCP-RUBRO]],PAA[[#All],[INDICADOR]],"",0))</f>
        <v>#NAME?</v>
      </c>
      <c r="V2193" s="144" t="str">
        <f t="shared" si="69"/>
        <v>85</v>
      </c>
      <c r="W2193" s="136">
        <f>+COMPROMISOS_2025[[#This Row],[valor_total]]-COMPROMISOS_2025[[#This Row],[total_cancelado]]</f>
        <v>711750</v>
      </c>
      <c r="X2193" s="136">
        <f>COMPROMISOS_2025[[#This Row],[total_ordenes]]</f>
        <v>711750</v>
      </c>
      <c r="Y2193" t="str" cm="1">
        <f t="array" aca="1" ref="Y2193" ca="1">IFERROR(_xlfn.XLOOKUP(COMPROMISOS_2025[[#This Row],[concatenado]],PAA[[#All],[RCP-RUBRO]],PAA[[#All],[Actividad3]],VLOOKUP(COMPROMISOS_2025[[#This Row],[Indicador Principal]],$AC$2:$AD$17,2,0),0),"")</f>
        <v/>
      </c>
    </row>
    <row r="2194" spans="1:25" hidden="1" x14ac:dyDescent="0.25">
      <c r="A2194">
        <v>1708</v>
      </c>
      <c r="B2194" t="s">
        <v>2491</v>
      </c>
      <c r="C2194" t="s">
        <v>1936</v>
      </c>
      <c r="D2194" t="s">
        <v>4182</v>
      </c>
      <c r="F2194">
        <v>406</v>
      </c>
      <c r="G2194">
        <v>65</v>
      </c>
      <c r="H2194" t="s">
        <v>662</v>
      </c>
      <c r="I2194" t="s">
        <v>2271</v>
      </c>
      <c r="J2194">
        <v>5694000</v>
      </c>
      <c r="K2194">
        <v>2025</v>
      </c>
      <c r="L2194">
        <v>1036671246</v>
      </c>
      <c r="M2194" t="s">
        <v>4361</v>
      </c>
      <c r="N2194" t="s">
        <v>1688</v>
      </c>
      <c r="O2194" t="s">
        <v>1686</v>
      </c>
      <c r="P2194">
        <v>0</v>
      </c>
      <c r="Q2194">
        <v>5694000</v>
      </c>
      <c r="R2194">
        <v>0</v>
      </c>
      <c r="S2194">
        <v>0</v>
      </c>
      <c r="T2194" t="str">
        <f t="shared" si="68"/>
        <v>17082.43.4302.85.0-205128.2.3.3.08.06.</v>
      </c>
      <c r="U2194" t="e" cm="1">
        <f t="array" aca="1" ref="U2194" ca="1">+IF(COMPROMISOS_2025[[#This Row],[P]]="20","41080111",_xlfn.XLOOKUP(COMPROMISOS_2025[[#This Row],[concatenado]],PAA[[#All],[RCP-RUBRO]],PAA[[#All],[INDICADOR]],"",0))</f>
        <v>#NAME?</v>
      </c>
      <c r="V2194" s="144" t="str">
        <f t="shared" si="69"/>
        <v>85</v>
      </c>
      <c r="W2194" s="136">
        <f>+COMPROMISOS_2025[[#This Row],[valor_total]]-COMPROMISOS_2025[[#This Row],[total_cancelado]]</f>
        <v>5694000</v>
      </c>
      <c r="X2194" s="136">
        <f>COMPROMISOS_2025[[#This Row],[total_ordenes]]</f>
        <v>5694000</v>
      </c>
      <c r="Y2194" t="str" cm="1">
        <f t="array" aca="1" ref="Y2194" ca="1">IFERROR(_xlfn.XLOOKUP(COMPROMISOS_2025[[#This Row],[concatenado]],PAA[[#All],[RCP-RUBRO]],PAA[[#All],[Actividad3]],VLOOKUP(COMPROMISOS_2025[[#This Row],[Indicador Principal]],$AC$2:$AD$17,2,0),0),"")</f>
        <v/>
      </c>
    </row>
    <row r="2195" spans="1:25" hidden="1" x14ac:dyDescent="0.25">
      <c r="A2195">
        <v>1709</v>
      </c>
      <c r="B2195" t="s">
        <v>2491</v>
      </c>
      <c r="C2195" t="s">
        <v>1936</v>
      </c>
      <c r="D2195" t="s">
        <v>4182</v>
      </c>
      <c r="F2195">
        <v>406</v>
      </c>
      <c r="G2195">
        <v>65</v>
      </c>
      <c r="H2195" t="s">
        <v>662</v>
      </c>
      <c r="I2195" t="s">
        <v>2271</v>
      </c>
      <c r="J2195">
        <v>711750</v>
      </c>
      <c r="K2195">
        <v>2025</v>
      </c>
      <c r="L2195">
        <v>1036671884</v>
      </c>
      <c r="M2195" t="s">
        <v>4074</v>
      </c>
      <c r="N2195" t="s">
        <v>1688</v>
      </c>
      <c r="O2195" t="s">
        <v>1686</v>
      </c>
      <c r="P2195">
        <v>0</v>
      </c>
      <c r="Q2195">
        <v>711750</v>
      </c>
      <c r="R2195">
        <v>0</v>
      </c>
      <c r="S2195">
        <v>0</v>
      </c>
      <c r="T2195" t="str">
        <f t="shared" si="68"/>
        <v>17092.43.4302.85.0-205128.2.3.3.08.06.</v>
      </c>
      <c r="U2195" t="e" cm="1">
        <f t="array" aca="1" ref="U2195" ca="1">+IF(COMPROMISOS_2025[[#This Row],[P]]="20","41080111",_xlfn.XLOOKUP(COMPROMISOS_2025[[#This Row],[concatenado]],PAA[[#All],[RCP-RUBRO]],PAA[[#All],[INDICADOR]],"",0))</f>
        <v>#NAME?</v>
      </c>
      <c r="V2195" s="144" t="str">
        <f t="shared" si="69"/>
        <v>85</v>
      </c>
      <c r="W2195" s="136">
        <f>+COMPROMISOS_2025[[#This Row],[valor_total]]-COMPROMISOS_2025[[#This Row],[total_cancelado]]</f>
        <v>711750</v>
      </c>
      <c r="X2195" s="136">
        <f>COMPROMISOS_2025[[#This Row],[total_ordenes]]</f>
        <v>711750</v>
      </c>
      <c r="Y2195" t="str" cm="1">
        <f t="array" aca="1" ref="Y2195" ca="1">IFERROR(_xlfn.XLOOKUP(COMPROMISOS_2025[[#This Row],[concatenado]],PAA[[#All],[RCP-RUBRO]],PAA[[#All],[Actividad3]],VLOOKUP(COMPROMISOS_2025[[#This Row],[Indicador Principal]],$AC$2:$AD$17,2,0),0),"")</f>
        <v/>
      </c>
    </row>
    <row r="2196" spans="1:25" hidden="1" x14ac:dyDescent="0.25">
      <c r="A2196">
        <v>1710</v>
      </c>
      <c r="B2196" t="s">
        <v>2491</v>
      </c>
      <c r="C2196" t="s">
        <v>1936</v>
      </c>
      <c r="D2196" t="s">
        <v>4182</v>
      </c>
      <c r="F2196">
        <v>406</v>
      </c>
      <c r="G2196">
        <v>65</v>
      </c>
      <c r="H2196" t="s">
        <v>662</v>
      </c>
      <c r="I2196" t="s">
        <v>2271</v>
      </c>
      <c r="J2196">
        <v>5694000</v>
      </c>
      <c r="K2196">
        <v>2025</v>
      </c>
      <c r="L2196">
        <v>1036673006</v>
      </c>
      <c r="M2196" t="s">
        <v>4362</v>
      </c>
      <c r="N2196" t="s">
        <v>1688</v>
      </c>
      <c r="O2196" t="s">
        <v>1686</v>
      </c>
      <c r="P2196">
        <v>0</v>
      </c>
      <c r="Q2196">
        <v>5694000</v>
      </c>
      <c r="R2196">
        <v>0</v>
      </c>
      <c r="S2196">
        <v>0</v>
      </c>
      <c r="T2196" t="str">
        <f t="shared" si="68"/>
        <v>17102.43.4302.85.0-205128.2.3.3.08.06.</v>
      </c>
      <c r="U2196" t="e" cm="1">
        <f t="array" aca="1" ref="U2196" ca="1">+IF(COMPROMISOS_2025[[#This Row],[P]]="20","41080111",_xlfn.XLOOKUP(COMPROMISOS_2025[[#This Row],[concatenado]],PAA[[#All],[RCP-RUBRO]],PAA[[#All],[INDICADOR]],"",0))</f>
        <v>#NAME?</v>
      </c>
      <c r="V2196" s="144" t="str">
        <f t="shared" si="69"/>
        <v>85</v>
      </c>
      <c r="W2196" s="136">
        <f>+COMPROMISOS_2025[[#This Row],[valor_total]]-COMPROMISOS_2025[[#This Row],[total_cancelado]]</f>
        <v>5694000</v>
      </c>
      <c r="X2196" s="136">
        <f>COMPROMISOS_2025[[#This Row],[total_ordenes]]</f>
        <v>5694000</v>
      </c>
      <c r="Y2196" t="str" cm="1">
        <f t="array" aca="1" ref="Y2196" ca="1">IFERROR(_xlfn.XLOOKUP(COMPROMISOS_2025[[#This Row],[concatenado]],PAA[[#All],[RCP-RUBRO]],PAA[[#All],[Actividad3]],VLOOKUP(COMPROMISOS_2025[[#This Row],[Indicador Principal]],$AC$2:$AD$17,2,0),0),"")</f>
        <v/>
      </c>
    </row>
    <row r="2197" spans="1:25" hidden="1" x14ac:dyDescent="0.25">
      <c r="A2197">
        <v>1711</v>
      </c>
      <c r="B2197" t="s">
        <v>2491</v>
      </c>
      <c r="C2197" t="s">
        <v>1936</v>
      </c>
      <c r="D2197" t="s">
        <v>4182</v>
      </c>
      <c r="F2197">
        <v>406</v>
      </c>
      <c r="G2197">
        <v>65</v>
      </c>
      <c r="H2197" t="s">
        <v>662</v>
      </c>
      <c r="I2197" t="s">
        <v>2271</v>
      </c>
      <c r="J2197">
        <v>711750</v>
      </c>
      <c r="K2197">
        <v>2025</v>
      </c>
      <c r="L2197">
        <v>1036675816</v>
      </c>
      <c r="M2197" t="s">
        <v>4363</v>
      </c>
      <c r="N2197" t="s">
        <v>1688</v>
      </c>
      <c r="O2197" t="s">
        <v>1686</v>
      </c>
      <c r="P2197">
        <v>0</v>
      </c>
      <c r="Q2197">
        <v>711750</v>
      </c>
      <c r="R2197">
        <v>0</v>
      </c>
      <c r="S2197">
        <v>0</v>
      </c>
      <c r="T2197" t="str">
        <f t="shared" si="68"/>
        <v>17112.43.4302.85.0-205128.2.3.3.08.06.</v>
      </c>
      <c r="U2197" t="e" cm="1">
        <f t="array" aca="1" ref="U2197" ca="1">+IF(COMPROMISOS_2025[[#This Row],[P]]="20","41080111",_xlfn.XLOOKUP(COMPROMISOS_2025[[#This Row],[concatenado]],PAA[[#All],[RCP-RUBRO]],PAA[[#All],[INDICADOR]],"",0))</f>
        <v>#NAME?</v>
      </c>
      <c r="V2197" s="144" t="str">
        <f t="shared" si="69"/>
        <v>85</v>
      </c>
      <c r="W2197" s="136">
        <f>+COMPROMISOS_2025[[#This Row],[valor_total]]-COMPROMISOS_2025[[#This Row],[total_cancelado]]</f>
        <v>711750</v>
      </c>
      <c r="X2197" s="136">
        <f>COMPROMISOS_2025[[#This Row],[total_ordenes]]</f>
        <v>711750</v>
      </c>
      <c r="Y2197" t="str" cm="1">
        <f t="array" aca="1" ref="Y2197" ca="1">IFERROR(_xlfn.XLOOKUP(COMPROMISOS_2025[[#This Row],[concatenado]],PAA[[#All],[RCP-RUBRO]],PAA[[#All],[Actividad3]],VLOOKUP(COMPROMISOS_2025[[#This Row],[Indicador Principal]],$AC$2:$AD$17,2,0),0),"")</f>
        <v/>
      </c>
    </row>
    <row r="2198" spans="1:25" hidden="1" x14ac:dyDescent="0.25">
      <c r="A2198">
        <v>1712</v>
      </c>
      <c r="B2198" t="s">
        <v>2491</v>
      </c>
      <c r="C2198" t="s">
        <v>1936</v>
      </c>
      <c r="D2198" t="s">
        <v>4182</v>
      </c>
      <c r="F2198">
        <v>406</v>
      </c>
      <c r="G2198">
        <v>65</v>
      </c>
      <c r="H2198" t="s">
        <v>662</v>
      </c>
      <c r="I2198" t="s">
        <v>2271</v>
      </c>
      <c r="J2198">
        <v>711750</v>
      </c>
      <c r="K2198">
        <v>2025</v>
      </c>
      <c r="L2198">
        <v>1036677849</v>
      </c>
      <c r="M2198" t="s">
        <v>4364</v>
      </c>
      <c r="N2198" t="s">
        <v>1688</v>
      </c>
      <c r="O2198" t="s">
        <v>1686</v>
      </c>
      <c r="P2198">
        <v>0</v>
      </c>
      <c r="Q2198">
        <v>711750</v>
      </c>
      <c r="R2198">
        <v>0</v>
      </c>
      <c r="S2198">
        <v>0</v>
      </c>
      <c r="T2198" t="str">
        <f t="shared" si="68"/>
        <v>17122.43.4302.85.0-205128.2.3.3.08.06.</v>
      </c>
      <c r="U2198" t="e" cm="1">
        <f t="array" aca="1" ref="U2198" ca="1">+IF(COMPROMISOS_2025[[#This Row],[P]]="20","41080111",_xlfn.XLOOKUP(COMPROMISOS_2025[[#This Row],[concatenado]],PAA[[#All],[RCP-RUBRO]],PAA[[#All],[INDICADOR]],"",0))</f>
        <v>#NAME?</v>
      </c>
      <c r="V2198" s="144" t="str">
        <f t="shared" si="69"/>
        <v>85</v>
      </c>
      <c r="W2198" s="136">
        <f>+COMPROMISOS_2025[[#This Row],[valor_total]]-COMPROMISOS_2025[[#This Row],[total_cancelado]]</f>
        <v>711750</v>
      </c>
      <c r="X2198" s="136">
        <f>COMPROMISOS_2025[[#This Row],[total_ordenes]]</f>
        <v>711750</v>
      </c>
      <c r="Y2198" t="str" cm="1">
        <f t="array" aca="1" ref="Y2198" ca="1">IFERROR(_xlfn.XLOOKUP(COMPROMISOS_2025[[#This Row],[concatenado]],PAA[[#All],[RCP-RUBRO]],PAA[[#All],[Actividad3]],VLOOKUP(COMPROMISOS_2025[[#This Row],[Indicador Principal]],$AC$2:$AD$17,2,0),0),"")</f>
        <v/>
      </c>
    </row>
    <row r="2199" spans="1:25" hidden="1" x14ac:dyDescent="0.25">
      <c r="A2199">
        <v>1713</v>
      </c>
      <c r="B2199" t="s">
        <v>2491</v>
      </c>
      <c r="C2199" t="s">
        <v>1936</v>
      </c>
      <c r="D2199" t="s">
        <v>4182</v>
      </c>
      <c r="F2199">
        <v>406</v>
      </c>
      <c r="G2199">
        <v>65</v>
      </c>
      <c r="H2199" t="s">
        <v>662</v>
      </c>
      <c r="I2199" t="s">
        <v>2271</v>
      </c>
      <c r="J2199">
        <v>711750</v>
      </c>
      <c r="K2199">
        <v>2025</v>
      </c>
      <c r="L2199">
        <v>10366860575</v>
      </c>
      <c r="M2199" t="s">
        <v>3213</v>
      </c>
      <c r="N2199" t="s">
        <v>1688</v>
      </c>
      <c r="O2199" t="s">
        <v>1686</v>
      </c>
      <c r="P2199">
        <v>0</v>
      </c>
      <c r="Q2199">
        <v>711750</v>
      </c>
      <c r="R2199">
        <v>0</v>
      </c>
      <c r="S2199">
        <v>0</v>
      </c>
      <c r="T2199" t="str">
        <f t="shared" si="68"/>
        <v>17132.43.4302.85.0-205128.2.3.3.08.06.</v>
      </c>
      <c r="U2199" t="e" cm="1">
        <f t="array" aca="1" ref="U2199" ca="1">+IF(COMPROMISOS_2025[[#This Row],[P]]="20","41080111",_xlfn.XLOOKUP(COMPROMISOS_2025[[#This Row],[concatenado]],PAA[[#All],[RCP-RUBRO]],PAA[[#All],[INDICADOR]],"",0))</f>
        <v>#NAME?</v>
      </c>
      <c r="V2199" s="144" t="str">
        <f t="shared" si="69"/>
        <v>85</v>
      </c>
      <c r="W2199" s="136">
        <f>+COMPROMISOS_2025[[#This Row],[valor_total]]-COMPROMISOS_2025[[#This Row],[total_cancelado]]</f>
        <v>711750</v>
      </c>
      <c r="X2199" s="136">
        <f>COMPROMISOS_2025[[#This Row],[total_ordenes]]</f>
        <v>711750</v>
      </c>
      <c r="Y2199" t="str" cm="1">
        <f t="array" aca="1" ref="Y2199" ca="1">IFERROR(_xlfn.XLOOKUP(COMPROMISOS_2025[[#This Row],[concatenado]],PAA[[#All],[RCP-RUBRO]],PAA[[#All],[Actividad3]],VLOOKUP(COMPROMISOS_2025[[#This Row],[Indicador Principal]],$AC$2:$AD$17,2,0),0),"")</f>
        <v/>
      </c>
    </row>
    <row r="2200" spans="1:25" hidden="1" x14ac:dyDescent="0.25">
      <c r="A2200">
        <v>1714</v>
      </c>
      <c r="B2200" t="s">
        <v>2491</v>
      </c>
      <c r="C2200" t="s">
        <v>1936</v>
      </c>
      <c r="D2200" t="s">
        <v>4182</v>
      </c>
      <c r="F2200">
        <v>406</v>
      </c>
      <c r="G2200">
        <v>65</v>
      </c>
      <c r="H2200" t="s">
        <v>662</v>
      </c>
      <c r="I2200" t="s">
        <v>2271</v>
      </c>
      <c r="J2200">
        <v>1067625</v>
      </c>
      <c r="K2200">
        <v>2025</v>
      </c>
      <c r="L2200">
        <v>1036686632</v>
      </c>
      <c r="M2200" t="s">
        <v>4365</v>
      </c>
      <c r="N2200" t="s">
        <v>1688</v>
      </c>
      <c r="O2200" t="s">
        <v>1686</v>
      </c>
      <c r="P2200">
        <v>0</v>
      </c>
      <c r="Q2200">
        <v>1067625</v>
      </c>
      <c r="R2200">
        <v>0</v>
      </c>
      <c r="S2200">
        <v>0</v>
      </c>
      <c r="T2200" t="str">
        <f t="shared" si="68"/>
        <v>17142.43.4302.85.0-205128.2.3.3.08.06.</v>
      </c>
      <c r="U2200" t="e" cm="1">
        <f t="array" aca="1" ref="U2200" ca="1">+IF(COMPROMISOS_2025[[#This Row],[P]]="20","41080111",_xlfn.XLOOKUP(COMPROMISOS_2025[[#This Row],[concatenado]],PAA[[#All],[RCP-RUBRO]],PAA[[#All],[INDICADOR]],"",0))</f>
        <v>#NAME?</v>
      </c>
      <c r="V2200" s="144" t="str">
        <f t="shared" si="69"/>
        <v>85</v>
      </c>
      <c r="W2200" s="136">
        <f>+COMPROMISOS_2025[[#This Row],[valor_total]]-COMPROMISOS_2025[[#This Row],[total_cancelado]]</f>
        <v>1067625</v>
      </c>
      <c r="X2200" s="136">
        <f>COMPROMISOS_2025[[#This Row],[total_ordenes]]</f>
        <v>1067625</v>
      </c>
      <c r="Y2200" t="str" cm="1">
        <f t="array" aca="1" ref="Y2200" ca="1">IFERROR(_xlfn.XLOOKUP(COMPROMISOS_2025[[#This Row],[concatenado]],PAA[[#All],[RCP-RUBRO]],PAA[[#All],[Actividad3]],VLOOKUP(COMPROMISOS_2025[[#This Row],[Indicador Principal]],$AC$2:$AD$17,2,0),0),"")</f>
        <v/>
      </c>
    </row>
    <row r="2201" spans="1:25" hidden="1" x14ac:dyDescent="0.25">
      <c r="A2201">
        <v>1715</v>
      </c>
      <c r="B2201" t="s">
        <v>2491</v>
      </c>
      <c r="C2201" t="s">
        <v>1936</v>
      </c>
      <c r="D2201" t="s">
        <v>4182</v>
      </c>
      <c r="F2201">
        <v>406</v>
      </c>
      <c r="G2201">
        <v>65</v>
      </c>
      <c r="H2201" t="s">
        <v>662</v>
      </c>
      <c r="I2201" t="s">
        <v>2271</v>
      </c>
      <c r="J2201">
        <v>711750</v>
      </c>
      <c r="K2201">
        <v>2025</v>
      </c>
      <c r="L2201">
        <v>1036688567</v>
      </c>
      <c r="M2201" t="s">
        <v>4366</v>
      </c>
      <c r="N2201" t="s">
        <v>1688</v>
      </c>
      <c r="O2201" t="s">
        <v>1686</v>
      </c>
      <c r="P2201">
        <v>0</v>
      </c>
      <c r="Q2201">
        <v>711750</v>
      </c>
      <c r="R2201">
        <v>0</v>
      </c>
      <c r="S2201">
        <v>0</v>
      </c>
      <c r="T2201" t="str">
        <f t="shared" si="68"/>
        <v>17152.43.4302.85.0-205128.2.3.3.08.06.</v>
      </c>
      <c r="U2201" t="e" cm="1">
        <f t="array" aca="1" ref="U2201" ca="1">+IF(COMPROMISOS_2025[[#This Row],[P]]="20","41080111",_xlfn.XLOOKUP(COMPROMISOS_2025[[#This Row],[concatenado]],PAA[[#All],[RCP-RUBRO]],PAA[[#All],[INDICADOR]],"",0))</f>
        <v>#NAME?</v>
      </c>
      <c r="V2201" s="144" t="str">
        <f t="shared" si="69"/>
        <v>85</v>
      </c>
      <c r="W2201" s="136">
        <f>+COMPROMISOS_2025[[#This Row],[valor_total]]-COMPROMISOS_2025[[#This Row],[total_cancelado]]</f>
        <v>711750</v>
      </c>
      <c r="X2201" s="136">
        <f>COMPROMISOS_2025[[#This Row],[total_ordenes]]</f>
        <v>711750</v>
      </c>
      <c r="Y2201" t="str" cm="1">
        <f t="array" aca="1" ref="Y2201" ca="1">IFERROR(_xlfn.XLOOKUP(COMPROMISOS_2025[[#This Row],[concatenado]],PAA[[#All],[RCP-RUBRO]],PAA[[#All],[Actividad3]],VLOOKUP(COMPROMISOS_2025[[#This Row],[Indicador Principal]],$AC$2:$AD$17,2,0),0),"")</f>
        <v/>
      </c>
    </row>
    <row r="2202" spans="1:25" hidden="1" x14ac:dyDescent="0.25">
      <c r="A2202">
        <v>1716</v>
      </c>
      <c r="B2202" t="s">
        <v>2491</v>
      </c>
      <c r="C2202" t="s">
        <v>1936</v>
      </c>
      <c r="D2202" t="s">
        <v>4182</v>
      </c>
      <c r="F2202">
        <v>406</v>
      </c>
      <c r="G2202">
        <v>65</v>
      </c>
      <c r="H2202" t="s">
        <v>662</v>
      </c>
      <c r="I2202" t="s">
        <v>2271</v>
      </c>
      <c r="J2202">
        <v>1067625</v>
      </c>
      <c r="K2202">
        <v>2025</v>
      </c>
      <c r="L2202">
        <v>1036778236</v>
      </c>
      <c r="M2202" t="s">
        <v>4367</v>
      </c>
      <c r="N2202" t="s">
        <v>1688</v>
      </c>
      <c r="O2202" t="s">
        <v>1686</v>
      </c>
      <c r="P2202">
        <v>0</v>
      </c>
      <c r="Q2202">
        <v>1067625</v>
      </c>
      <c r="R2202">
        <v>0</v>
      </c>
      <c r="S2202">
        <v>0</v>
      </c>
      <c r="T2202" t="str">
        <f t="shared" si="68"/>
        <v>17162.43.4302.85.0-205128.2.3.3.08.06.</v>
      </c>
      <c r="U2202" t="e" cm="1">
        <f t="array" aca="1" ref="U2202" ca="1">+IF(COMPROMISOS_2025[[#This Row],[P]]="20","41080111",_xlfn.XLOOKUP(COMPROMISOS_2025[[#This Row],[concatenado]],PAA[[#All],[RCP-RUBRO]],PAA[[#All],[INDICADOR]],"",0))</f>
        <v>#NAME?</v>
      </c>
      <c r="V2202" s="144" t="str">
        <f t="shared" si="69"/>
        <v>85</v>
      </c>
      <c r="W2202" s="136">
        <f>+COMPROMISOS_2025[[#This Row],[valor_total]]-COMPROMISOS_2025[[#This Row],[total_cancelado]]</f>
        <v>1067625</v>
      </c>
      <c r="X2202" s="136">
        <f>COMPROMISOS_2025[[#This Row],[total_ordenes]]</f>
        <v>1067625</v>
      </c>
      <c r="Y2202" t="str" cm="1">
        <f t="array" aca="1" ref="Y2202" ca="1">IFERROR(_xlfn.XLOOKUP(COMPROMISOS_2025[[#This Row],[concatenado]],PAA[[#All],[RCP-RUBRO]],PAA[[#All],[Actividad3]],VLOOKUP(COMPROMISOS_2025[[#This Row],[Indicador Principal]],$AC$2:$AD$17,2,0),0),"")</f>
        <v/>
      </c>
    </row>
    <row r="2203" spans="1:25" hidden="1" x14ac:dyDescent="0.25">
      <c r="A2203">
        <v>1717</v>
      </c>
      <c r="B2203" t="s">
        <v>2491</v>
      </c>
      <c r="C2203" t="s">
        <v>1936</v>
      </c>
      <c r="D2203" t="s">
        <v>4182</v>
      </c>
      <c r="F2203">
        <v>406</v>
      </c>
      <c r="G2203">
        <v>65</v>
      </c>
      <c r="H2203" t="s">
        <v>662</v>
      </c>
      <c r="I2203" t="s">
        <v>2271</v>
      </c>
      <c r="J2203">
        <v>711750</v>
      </c>
      <c r="K2203">
        <v>2025</v>
      </c>
      <c r="L2203">
        <v>1036864982</v>
      </c>
      <c r="M2203" t="s">
        <v>4368</v>
      </c>
      <c r="N2203" t="s">
        <v>1688</v>
      </c>
      <c r="O2203" t="s">
        <v>1686</v>
      </c>
      <c r="P2203">
        <v>0</v>
      </c>
      <c r="Q2203">
        <v>711750</v>
      </c>
      <c r="R2203">
        <v>0</v>
      </c>
      <c r="S2203">
        <v>0</v>
      </c>
      <c r="T2203" t="str">
        <f t="shared" si="68"/>
        <v>17172.43.4302.85.0-205128.2.3.3.08.06.</v>
      </c>
      <c r="U2203" t="e" cm="1">
        <f t="array" aca="1" ref="U2203" ca="1">+IF(COMPROMISOS_2025[[#This Row],[P]]="20","41080111",_xlfn.XLOOKUP(COMPROMISOS_2025[[#This Row],[concatenado]],PAA[[#All],[RCP-RUBRO]],PAA[[#All],[INDICADOR]],"",0))</f>
        <v>#NAME?</v>
      </c>
      <c r="V2203" s="144" t="str">
        <f t="shared" si="69"/>
        <v>85</v>
      </c>
      <c r="W2203" s="136">
        <f>+COMPROMISOS_2025[[#This Row],[valor_total]]-COMPROMISOS_2025[[#This Row],[total_cancelado]]</f>
        <v>711750</v>
      </c>
      <c r="X2203" s="136">
        <f>COMPROMISOS_2025[[#This Row],[total_ordenes]]</f>
        <v>711750</v>
      </c>
      <c r="Y2203" t="str" cm="1">
        <f t="array" aca="1" ref="Y2203" ca="1">IFERROR(_xlfn.XLOOKUP(COMPROMISOS_2025[[#This Row],[concatenado]],PAA[[#All],[RCP-RUBRO]],PAA[[#All],[Actividad3]],VLOOKUP(COMPROMISOS_2025[[#This Row],[Indicador Principal]],$AC$2:$AD$17,2,0),0),"")</f>
        <v/>
      </c>
    </row>
    <row r="2204" spans="1:25" hidden="1" x14ac:dyDescent="0.25">
      <c r="A2204">
        <v>1718</v>
      </c>
      <c r="B2204" t="s">
        <v>2491</v>
      </c>
      <c r="C2204" t="s">
        <v>1936</v>
      </c>
      <c r="D2204" t="s">
        <v>4182</v>
      </c>
      <c r="F2204">
        <v>406</v>
      </c>
      <c r="G2204">
        <v>65</v>
      </c>
      <c r="H2204" t="s">
        <v>662</v>
      </c>
      <c r="I2204" t="s">
        <v>2271</v>
      </c>
      <c r="J2204">
        <v>711750</v>
      </c>
      <c r="K2204">
        <v>2025</v>
      </c>
      <c r="L2204">
        <v>1036931924</v>
      </c>
      <c r="M2204" t="s">
        <v>3785</v>
      </c>
      <c r="N2204" t="s">
        <v>1688</v>
      </c>
      <c r="O2204" t="s">
        <v>1686</v>
      </c>
      <c r="P2204">
        <v>0</v>
      </c>
      <c r="Q2204">
        <v>711750</v>
      </c>
      <c r="R2204">
        <v>0</v>
      </c>
      <c r="S2204">
        <v>0</v>
      </c>
      <c r="T2204" t="str">
        <f t="shared" si="68"/>
        <v>17182.43.4302.85.0-205128.2.3.3.08.06.</v>
      </c>
      <c r="U2204" t="e" cm="1">
        <f t="array" aca="1" ref="U2204" ca="1">+IF(COMPROMISOS_2025[[#This Row],[P]]="20","41080111",_xlfn.XLOOKUP(COMPROMISOS_2025[[#This Row],[concatenado]],PAA[[#All],[RCP-RUBRO]],PAA[[#All],[INDICADOR]],"",0))</f>
        <v>#NAME?</v>
      </c>
      <c r="V2204" s="144" t="str">
        <f t="shared" si="69"/>
        <v>85</v>
      </c>
      <c r="W2204" s="136">
        <f>+COMPROMISOS_2025[[#This Row],[valor_total]]-COMPROMISOS_2025[[#This Row],[total_cancelado]]</f>
        <v>711750</v>
      </c>
      <c r="X2204" s="136">
        <f>COMPROMISOS_2025[[#This Row],[total_ordenes]]</f>
        <v>711750</v>
      </c>
      <c r="Y2204" t="str" cm="1">
        <f t="array" aca="1" ref="Y2204" ca="1">IFERROR(_xlfn.XLOOKUP(COMPROMISOS_2025[[#This Row],[concatenado]],PAA[[#All],[RCP-RUBRO]],PAA[[#All],[Actividad3]],VLOOKUP(COMPROMISOS_2025[[#This Row],[Indicador Principal]],$AC$2:$AD$17,2,0),0),"")</f>
        <v/>
      </c>
    </row>
    <row r="2205" spans="1:25" hidden="1" x14ac:dyDescent="0.25">
      <c r="A2205">
        <v>1719</v>
      </c>
      <c r="B2205" t="s">
        <v>2491</v>
      </c>
      <c r="C2205" t="s">
        <v>1936</v>
      </c>
      <c r="D2205" t="s">
        <v>4182</v>
      </c>
      <c r="F2205">
        <v>406</v>
      </c>
      <c r="G2205">
        <v>65</v>
      </c>
      <c r="H2205" t="s">
        <v>662</v>
      </c>
      <c r="I2205" t="s">
        <v>2271</v>
      </c>
      <c r="J2205">
        <v>711750</v>
      </c>
      <c r="K2205">
        <v>2025</v>
      </c>
      <c r="L2205">
        <v>1036934809</v>
      </c>
      <c r="M2205" t="s">
        <v>3786</v>
      </c>
      <c r="N2205" t="s">
        <v>1688</v>
      </c>
      <c r="O2205" t="s">
        <v>1686</v>
      </c>
      <c r="P2205">
        <v>0</v>
      </c>
      <c r="Q2205">
        <v>711750</v>
      </c>
      <c r="R2205">
        <v>0</v>
      </c>
      <c r="S2205">
        <v>0</v>
      </c>
      <c r="T2205" t="str">
        <f t="shared" si="68"/>
        <v>17192.43.4302.85.0-205128.2.3.3.08.06.</v>
      </c>
      <c r="U2205" t="e" cm="1">
        <f t="array" aca="1" ref="U2205" ca="1">+IF(COMPROMISOS_2025[[#This Row],[P]]="20","41080111",_xlfn.XLOOKUP(COMPROMISOS_2025[[#This Row],[concatenado]],PAA[[#All],[RCP-RUBRO]],PAA[[#All],[INDICADOR]],"",0))</f>
        <v>#NAME?</v>
      </c>
      <c r="V2205" s="144" t="str">
        <f t="shared" si="69"/>
        <v>85</v>
      </c>
      <c r="W2205" s="136">
        <f>+COMPROMISOS_2025[[#This Row],[valor_total]]-COMPROMISOS_2025[[#This Row],[total_cancelado]]</f>
        <v>711750</v>
      </c>
      <c r="X2205" s="136">
        <f>COMPROMISOS_2025[[#This Row],[total_ordenes]]</f>
        <v>711750</v>
      </c>
      <c r="Y2205" t="str" cm="1">
        <f t="array" aca="1" ref="Y2205" ca="1">IFERROR(_xlfn.XLOOKUP(COMPROMISOS_2025[[#This Row],[concatenado]],PAA[[#All],[RCP-RUBRO]],PAA[[#All],[Actividad3]],VLOOKUP(COMPROMISOS_2025[[#This Row],[Indicador Principal]],$AC$2:$AD$17,2,0),0),"")</f>
        <v/>
      </c>
    </row>
    <row r="2206" spans="1:25" hidden="1" x14ac:dyDescent="0.25">
      <c r="A2206">
        <v>1720</v>
      </c>
      <c r="B2206" t="s">
        <v>2491</v>
      </c>
      <c r="C2206" t="s">
        <v>1936</v>
      </c>
      <c r="D2206" t="s">
        <v>4182</v>
      </c>
      <c r="F2206">
        <v>406</v>
      </c>
      <c r="G2206">
        <v>65</v>
      </c>
      <c r="H2206" t="s">
        <v>662</v>
      </c>
      <c r="I2206" t="s">
        <v>2271</v>
      </c>
      <c r="J2206">
        <v>3558750</v>
      </c>
      <c r="K2206">
        <v>2025</v>
      </c>
      <c r="L2206">
        <v>1036939815</v>
      </c>
      <c r="M2206" t="s">
        <v>3787</v>
      </c>
      <c r="N2206" t="s">
        <v>1688</v>
      </c>
      <c r="O2206" t="s">
        <v>1686</v>
      </c>
      <c r="P2206">
        <v>0</v>
      </c>
      <c r="Q2206">
        <v>3558750</v>
      </c>
      <c r="R2206">
        <v>0</v>
      </c>
      <c r="S2206">
        <v>0</v>
      </c>
      <c r="T2206" t="str">
        <f t="shared" si="68"/>
        <v>17202.43.4302.85.0-205128.2.3.3.08.06.</v>
      </c>
      <c r="U2206" t="e" cm="1">
        <f t="array" aca="1" ref="U2206" ca="1">+IF(COMPROMISOS_2025[[#This Row],[P]]="20","41080111",_xlfn.XLOOKUP(COMPROMISOS_2025[[#This Row],[concatenado]],PAA[[#All],[RCP-RUBRO]],PAA[[#All],[INDICADOR]],"",0))</f>
        <v>#NAME?</v>
      </c>
      <c r="V2206" s="144" t="str">
        <f t="shared" si="69"/>
        <v>85</v>
      </c>
      <c r="W2206" s="136">
        <f>+COMPROMISOS_2025[[#This Row],[valor_total]]-COMPROMISOS_2025[[#This Row],[total_cancelado]]</f>
        <v>3558750</v>
      </c>
      <c r="X2206" s="136">
        <f>COMPROMISOS_2025[[#This Row],[total_ordenes]]</f>
        <v>3558750</v>
      </c>
      <c r="Y2206" t="str" cm="1">
        <f t="array" aca="1" ref="Y2206" ca="1">IFERROR(_xlfn.XLOOKUP(COMPROMISOS_2025[[#This Row],[concatenado]],PAA[[#All],[RCP-RUBRO]],PAA[[#All],[Actividad3]],VLOOKUP(COMPROMISOS_2025[[#This Row],[Indicador Principal]],$AC$2:$AD$17,2,0),0),"")</f>
        <v/>
      </c>
    </row>
    <row r="2207" spans="1:25" hidden="1" x14ac:dyDescent="0.25">
      <c r="A2207">
        <v>1721</v>
      </c>
      <c r="B2207" t="s">
        <v>2491</v>
      </c>
      <c r="C2207" t="s">
        <v>1936</v>
      </c>
      <c r="D2207" t="s">
        <v>4182</v>
      </c>
      <c r="F2207">
        <v>406</v>
      </c>
      <c r="G2207">
        <v>65</v>
      </c>
      <c r="H2207" t="s">
        <v>662</v>
      </c>
      <c r="I2207" t="s">
        <v>2271</v>
      </c>
      <c r="J2207">
        <v>711750</v>
      </c>
      <c r="K2207">
        <v>2025</v>
      </c>
      <c r="L2207">
        <v>1036944154</v>
      </c>
      <c r="M2207" t="s">
        <v>3788</v>
      </c>
      <c r="N2207" t="s">
        <v>1688</v>
      </c>
      <c r="O2207" t="s">
        <v>1686</v>
      </c>
      <c r="P2207">
        <v>0</v>
      </c>
      <c r="Q2207">
        <v>711750</v>
      </c>
      <c r="R2207">
        <v>0</v>
      </c>
      <c r="S2207">
        <v>0</v>
      </c>
      <c r="T2207" t="str">
        <f t="shared" si="68"/>
        <v>17212.43.4302.85.0-205128.2.3.3.08.06.</v>
      </c>
      <c r="U2207" t="e" cm="1">
        <f t="array" aca="1" ref="U2207" ca="1">+IF(COMPROMISOS_2025[[#This Row],[P]]="20","41080111",_xlfn.XLOOKUP(COMPROMISOS_2025[[#This Row],[concatenado]],PAA[[#All],[RCP-RUBRO]],PAA[[#All],[INDICADOR]],"",0))</f>
        <v>#NAME?</v>
      </c>
      <c r="V2207" s="144" t="str">
        <f t="shared" si="69"/>
        <v>85</v>
      </c>
      <c r="W2207" s="136">
        <f>+COMPROMISOS_2025[[#This Row],[valor_total]]-COMPROMISOS_2025[[#This Row],[total_cancelado]]</f>
        <v>711750</v>
      </c>
      <c r="X2207" s="136">
        <f>COMPROMISOS_2025[[#This Row],[total_ordenes]]</f>
        <v>711750</v>
      </c>
      <c r="Y2207" t="str" cm="1">
        <f t="array" aca="1" ref="Y2207" ca="1">IFERROR(_xlfn.XLOOKUP(COMPROMISOS_2025[[#This Row],[concatenado]],PAA[[#All],[RCP-RUBRO]],PAA[[#All],[Actividad3]],VLOOKUP(COMPROMISOS_2025[[#This Row],[Indicador Principal]],$AC$2:$AD$17,2,0),0),"")</f>
        <v/>
      </c>
    </row>
    <row r="2208" spans="1:25" hidden="1" x14ac:dyDescent="0.25">
      <c r="A2208">
        <v>1722</v>
      </c>
      <c r="B2208" t="s">
        <v>2491</v>
      </c>
      <c r="C2208" t="s">
        <v>1936</v>
      </c>
      <c r="D2208" t="s">
        <v>4182</v>
      </c>
      <c r="F2208">
        <v>406</v>
      </c>
      <c r="G2208">
        <v>65</v>
      </c>
      <c r="H2208" t="s">
        <v>662</v>
      </c>
      <c r="I2208" t="s">
        <v>2271</v>
      </c>
      <c r="J2208">
        <v>711750</v>
      </c>
      <c r="K2208">
        <v>2025</v>
      </c>
      <c r="L2208">
        <v>1036955838</v>
      </c>
      <c r="M2208" t="s">
        <v>4076</v>
      </c>
      <c r="N2208" t="s">
        <v>1688</v>
      </c>
      <c r="O2208" t="s">
        <v>1686</v>
      </c>
      <c r="P2208">
        <v>0</v>
      </c>
      <c r="Q2208">
        <v>711750</v>
      </c>
      <c r="R2208">
        <v>0</v>
      </c>
      <c r="S2208">
        <v>0</v>
      </c>
      <c r="T2208" t="str">
        <f t="shared" si="68"/>
        <v>17222.43.4302.85.0-205128.2.3.3.08.06.</v>
      </c>
      <c r="U2208" t="e" cm="1">
        <f t="array" aca="1" ref="U2208" ca="1">+IF(COMPROMISOS_2025[[#This Row],[P]]="20","41080111",_xlfn.XLOOKUP(COMPROMISOS_2025[[#This Row],[concatenado]],PAA[[#All],[RCP-RUBRO]],PAA[[#All],[INDICADOR]],"",0))</f>
        <v>#NAME?</v>
      </c>
      <c r="V2208" s="144" t="str">
        <f t="shared" si="69"/>
        <v>85</v>
      </c>
      <c r="W2208" s="136">
        <f>+COMPROMISOS_2025[[#This Row],[valor_total]]-COMPROMISOS_2025[[#This Row],[total_cancelado]]</f>
        <v>711750</v>
      </c>
      <c r="X2208" s="136">
        <f>COMPROMISOS_2025[[#This Row],[total_ordenes]]</f>
        <v>711750</v>
      </c>
      <c r="Y2208" t="str" cm="1">
        <f t="array" aca="1" ref="Y2208" ca="1">IFERROR(_xlfn.XLOOKUP(COMPROMISOS_2025[[#This Row],[concatenado]],PAA[[#All],[RCP-RUBRO]],PAA[[#All],[Actividad3]],VLOOKUP(COMPROMISOS_2025[[#This Row],[Indicador Principal]],$AC$2:$AD$17,2,0),0),"")</f>
        <v/>
      </c>
    </row>
    <row r="2209" spans="1:25" hidden="1" x14ac:dyDescent="0.25">
      <c r="A2209">
        <v>1723</v>
      </c>
      <c r="B2209" t="s">
        <v>2491</v>
      </c>
      <c r="C2209" t="s">
        <v>1936</v>
      </c>
      <c r="D2209" t="s">
        <v>4182</v>
      </c>
      <c r="F2209">
        <v>406</v>
      </c>
      <c r="G2209">
        <v>65</v>
      </c>
      <c r="H2209" t="s">
        <v>662</v>
      </c>
      <c r="I2209" t="s">
        <v>2271</v>
      </c>
      <c r="J2209">
        <v>1423500</v>
      </c>
      <c r="K2209">
        <v>2025</v>
      </c>
      <c r="L2209">
        <v>1036960412</v>
      </c>
      <c r="M2209" t="s">
        <v>4077</v>
      </c>
      <c r="N2209" t="s">
        <v>1688</v>
      </c>
      <c r="O2209" t="s">
        <v>1686</v>
      </c>
      <c r="P2209">
        <v>0</v>
      </c>
      <c r="Q2209">
        <v>1423500</v>
      </c>
      <c r="R2209">
        <v>0</v>
      </c>
      <c r="S2209">
        <v>0</v>
      </c>
      <c r="T2209" t="str">
        <f t="shared" si="68"/>
        <v>17232.43.4302.85.0-205128.2.3.3.08.06.</v>
      </c>
      <c r="U2209" t="e" cm="1">
        <f t="array" aca="1" ref="U2209" ca="1">+IF(COMPROMISOS_2025[[#This Row],[P]]="20","41080111",_xlfn.XLOOKUP(COMPROMISOS_2025[[#This Row],[concatenado]],PAA[[#All],[RCP-RUBRO]],PAA[[#All],[INDICADOR]],"",0))</f>
        <v>#NAME?</v>
      </c>
      <c r="V2209" s="144" t="str">
        <f t="shared" si="69"/>
        <v>85</v>
      </c>
      <c r="W2209" s="136">
        <f>+COMPROMISOS_2025[[#This Row],[valor_total]]-COMPROMISOS_2025[[#This Row],[total_cancelado]]</f>
        <v>1423500</v>
      </c>
      <c r="X2209" s="136">
        <f>COMPROMISOS_2025[[#This Row],[total_ordenes]]</f>
        <v>1423500</v>
      </c>
      <c r="Y2209" t="str" cm="1">
        <f t="array" aca="1" ref="Y2209" ca="1">IFERROR(_xlfn.XLOOKUP(COMPROMISOS_2025[[#This Row],[concatenado]],PAA[[#All],[RCP-RUBRO]],PAA[[#All],[Actividad3]],VLOOKUP(COMPROMISOS_2025[[#This Row],[Indicador Principal]],$AC$2:$AD$17,2,0),0),"")</f>
        <v/>
      </c>
    </row>
    <row r="2210" spans="1:25" hidden="1" x14ac:dyDescent="0.25">
      <c r="A2210">
        <v>1724</v>
      </c>
      <c r="B2210" t="s">
        <v>2491</v>
      </c>
      <c r="C2210" t="s">
        <v>1936</v>
      </c>
      <c r="D2210" t="s">
        <v>4182</v>
      </c>
      <c r="F2210">
        <v>406</v>
      </c>
      <c r="G2210">
        <v>65</v>
      </c>
      <c r="H2210" t="s">
        <v>662</v>
      </c>
      <c r="I2210" t="s">
        <v>2271</v>
      </c>
      <c r="J2210">
        <v>2847000</v>
      </c>
      <c r="K2210">
        <v>2025</v>
      </c>
      <c r="L2210">
        <v>1036960447</v>
      </c>
      <c r="M2210" t="s">
        <v>3789</v>
      </c>
      <c r="N2210" t="s">
        <v>1688</v>
      </c>
      <c r="O2210" t="s">
        <v>1686</v>
      </c>
      <c r="P2210">
        <v>0</v>
      </c>
      <c r="Q2210">
        <v>2847000</v>
      </c>
      <c r="R2210">
        <v>0</v>
      </c>
      <c r="S2210">
        <v>0</v>
      </c>
      <c r="T2210" t="str">
        <f t="shared" si="68"/>
        <v>17242.43.4302.85.0-205128.2.3.3.08.06.</v>
      </c>
      <c r="U2210" t="e" cm="1">
        <f t="array" aca="1" ref="U2210" ca="1">+IF(COMPROMISOS_2025[[#This Row],[P]]="20","41080111",_xlfn.XLOOKUP(COMPROMISOS_2025[[#This Row],[concatenado]],PAA[[#All],[RCP-RUBRO]],PAA[[#All],[INDICADOR]],"",0))</f>
        <v>#NAME?</v>
      </c>
      <c r="V2210" s="144" t="str">
        <f t="shared" si="69"/>
        <v>85</v>
      </c>
      <c r="W2210" s="136">
        <f>+COMPROMISOS_2025[[#This Row],[valor_total]]-COMPROMISOS_2025[[#This Row],[total_cancelado]]</f>
        <v>2847000</v>
      </c>
      <c r="X2210" s="136">
        <f>COMPROMISOS_2025[[#This Row],[total_ordenes]]</f>
        <v>2847000</v>
      </c>
      <c r="Y2210" t="str" cm="1">
        <f t="array" aca="1" ref="Y2210" ca="1">IFERROR(_xlfn.XLOOKUP(COMPROMISOS_2025[[#This Row],[concatenado]],PAA[[#All],[RCP-RUBRO]],PAA[[#All],[Actividad3]],VLOOKUP(COMPROMISOS_2025[[#This Row],[Indicador Principal]],$AC$2:$AD$17,2,0),0),"")</f>
        <v/>
      </c>
    </row>
    <row r="2211" spans="1:25" hidden="1" x14ac:dyDescent="0.25">
      <c r="A2211">
        <v>1725</v>
      </c>
      <c r="B2211" t="s">
        <v>2491</v>
      </c>
      <c r="C2211" t="s">
        <v>1936</v>
      </c>
      <c r="D2211" t="s">
        <v>4182</v>
      </c>
      <c r="F2211">
        <v>406</v>
      </c>
      <c r="G2211">
        <v>65</v>
      </c>
      <c r="H2211" t="s">
        <v>662</v>
      </c>
      <c r="I2211" t="s">
        <v>2271</v>
      </c>
      <c r="J2211">
        <v>2847000</v>
      </c>
      <c r="K2211">
        <v>2025</v>
      </c>
      <c r="L2211">
        <v>1036961818</v>
      </c>
      <c r="M2211" t="s">
        <v>4369</v>
      </c>
      <c r="N2211" t="s">
        <v>1688</v>
      </c>
      <c r="O2211" t="s">
        <v>1686</v>
      </c>
      <c r="P2211">
        <v>0</v>
      </c>
      <c r="Q2211">
        <v>2847000</v>
      </c>
      <c r="R2211">
        <v>0</v>
      </c>
      <c r="S2211">
        <v>0</v>
      </c>
      <c r="T2211" t="str">
        <f t="shared" si="68"/>
        <v>17252.43.4302.85.0-205128.2.3.3.08.06.</v>
      </c>
      <c r="U2211" t="e" cm="1">
        <f t="array" aca="1" ref="U2211" ca="1">+IF(COMPROMISOS_2025[[#This Row],[P]]="20","41080111",_xlfn.XLOOKUP(COMPROMISOS_2025[[#This Row],[concatenado]],PAA[[#All],[RCP-RUBRO]],PAA[[#All],[INDICADOR]],"",0))</f>
        <v>#NAME?</v>
      </c>
      <c r="V2211" s="144" t="str">
        <f t="shared" si="69"/>
        <v>85</v>
      </c>
      <c r="W2211" s="136">
        <f>+COMPROMISOS_2025[[#This Row],[valor_total]]-COMPROMISOS_2025[[#This Row],[total_cancelado]]</f>
        <v>2847000</v>
      </c>
      <c r="X2211" s="136">
        <f>COMPROMISOS_2025[[#This Row],[total_ordenes]]</f>
        <v>2847000</v>
      </c>
      <c r="Y2211" t="str" cm="1">
        <f t="array" aca="1" ref="Y2211" ca="1">IFERROR(_xlfn.XLOOKUP(COMPROMISOS_2025[[#This Row],[concatenado]],PAA[[#All],[RCP-RUBRO]],PAA[[#All],[Actividad3]],VLOOKUP(COMPROMISOS_2025[[#This Row],[Indicador Principal]],$AC$2:$AD$17,2,0),0),"")</f>
        <v/>
      </c>
    </row>
    <row r="2212" spans="1:25" hidden="1" x14ac:dyDescent="0.25">
      <c r="A2212">
        <v>1726</v>
      </c>
      <c r="B2212" t="s">
        <v>2491</v>
      </c>
      <c r="C2212" t="s">
        <v>1936</v>
      </c>
      <c r="D2212" t="s">
        <v>4182</v>
      </c>
      <c r="F2212">
        <v>406</v>
      </c>
      <c r="G2212">
        <v>65</v>
      </c>
      <c r="H2212" t="s">
        <v>662</v>
      </c>
      <c r="I2212" t="s">
        <v>2271</v>
      </c>
      <c r="J2212">
        <v>1423500</v>
      </c>
      <c r="K2212">
        <v>2025</v>
      </c>
      <c r="L2212">
        <v>1037119329</v>
      </c>
      <c r="M2212" t="s">
        <v>4370</v>
      </c>
      <c r="N2212" t="s">
        <v>1688</v>
      </c>
      <c r="O2212" t="s">
        <v>1686</v>
      </c>
      <c r="P2212">
        <v>0</v>
      </c>
      <c r="Q2212">
        <v>1423500</v>
      </c>
      <c r="R2212">
        <v>0</v>
      </c>
      <c r="S2212">
        <v>0</v>
      </c>
      <c r="T2212" t="str">
        <f t="shared" si="68"/>
        <v>17262.43.4302.85.0-205128.2.3.3.08.06.</v>
      </c>
      <c r="U2212" t="e" cm="1">
        <f t="array" aca="1" ref="U2212" ca="1">+IF(COMPROMISOS_2025[[#This Row],[P]]="20","41080111",_xlfn.XLOOKUP(COMPROMISOS_2025[[#This Row],[concatenado]],PAA[[#All],[RCP-RUBRO]],PAA[[#All],[INDICADOR]],"",0))</f>
        <v>#NAME?</v>
      </c>
      <c r="V2212" s="144" t="str">
        <f t="shared" si="69"/>
        <v>85</v>
      </c>
      <c r="W2212" s="136">
        <f>+COMPROMISOS_2025[[#This Row],[valor_total]]-COMPROMISOS_2025[[#This Row],[total_cancelado]]</f>
        <v>1423500</v>
      </c>
      <c r="X2212" s="136">
        <f>COMPROMISOS_2025[[#This Row],[total_ordenes]]</f>
        <v>1423500</v>
      </c>
      <c r="Y2212" t="str" cm="1">
        <f t="array" aca="1" ref="Y2212" ca="1">IFERROR(_xlfn.XLOOKUP(COMPROMISOS_2025[[#This Row],[concatenado]],PAA[[#All],[RCP-RUBRO]],PAA[[#All],[Actividad3]],VLOOKUP(COMPROMISOS_2025[[#This Row],[Indicador Principal]],$AC$2:$AD$17,2,0),0),"")</f>
        <v/>
      </c>
    </row>
    <row r="2213" spans="1:25" hidden="1" x14ac:dyDescent="0.25">
      <c r="A2213">
        <v>1727</v>
      </c>
      <c r="B2213" t="s">
        <v>2491</v>
      </c>
      <c r="C2213" t="s">
        <v>1936</v>
      </c>
      <c r="D2213" t="s">
        <v>4182</v>
      </c>
      <c r="F2213">
        <v>406</v>
      </c>
      <c r="G2213">
        <v>65</v>
      </c>
      <c r="H2213" t="s">
        <v>662</v>
      </c>
      <c r="I2213" t="s">
        <v>2271</v>
      </c>
      <c r="J2213">
        <v>1067625</v>
      </c>
      <c r="K2213">
        <v>2025</v>
      </c>
      <c r="L2213">
        <v>1037121565</v>
      </c>
      <c r="M2213" t="s">
        <v>4079</v>
      </c>
      <c r="N2213" t="s">
        <v>1688</v>
      </c>
      <c r="O2213" t="s">
        <v>1686</v>
      </c>
      <c r="P2213">
        <v>0</v>
      </c>
      <c r="Q2213">
        <v>1067625</v>
      </c>
      <c r="R2213">
        <v>0</v>
      </c>
      <c r="S2213">
        <v>0</v>
      </c>
      <c r="T2213" t="str">
        <f t="shared" si="68"/>
        <v>17272.43.4302.85.0-205128.2.3.3.08.06.</v>
      </c>
      <c r="U2213" t="e" cm="1">
        <f t="array" aca="1" ref="U2213" ca="1">+IF(COMPROMISOS_2025[[#This Row],[P]]="20","41080111",_xlfn.XLOOKUP(COMPROMISOS_2025[[#This Row],[concatenado]],PAA[[#All],[RCP-RUBRO]],PAA[[#All],[INDICADOR]],"",0))</f>
        <v>#NAME?</v>
      </c>
      <c r="V2213" s="144" t="str">
        <f t="shared" si="69"/>
        <v>85</v>
      </c>
      <c r="W2213" s="136">
        <f>+COMPROMISOS_2025[[#This Row],[valor_total]]-COMPROMISOS_2025[[#This Row],[total_cancelado]]</f>
        <v>1067625</v>
      </c>
      <c r="X2213" s="136">
        <f>COMPROMISOS_2025[[#This Row],[total_ordenes]]</f>
        <v>1067625</v>
      </c>
      <c r="Y2213" t="str" cm="1">
        <f t="array" aca="1" ref="Y2213" ca="1">IFERROR(_xlfn.XLOOKUP(COMPROMISOS_2025[[#This Row],[concatenado]],PAA[[#All],[RCP-RUBRO]],PAA[[#All],[Actividad3]],VLOOKUP(COMPROMISOS_2025[[#This Row],[Indicador Principal]],$AC$2:$AD$17,2,0),0),"")</f>
        <v/>
      </c>
    </row>
    <row r="2214" spans="1:25" hidden="1" x14ac:dyDescent="0.25">
      <c r="A2214">
        <v>1728</v>
      </c>
      <c r="B2214" t="s">
        <v>2491</v>
      </c>
      <c r="C2214" t="s">
        <v>1936</v>
      </c>
      <c r="D2214" t="s">
        <v>4182</v>
      </c>
      <c r="F2214">
        <v>406</v>
      </c>
      <c r="G2214">
        <v>65</v>
      </c>
      <c r="H2214" t="s">
        <v>662</v>
      </c>
      <c r="I2214" t="s">
        <v>2271</v>
      </c>
      <c r="J2214">
        <v>1067625</v>
      </c>
      <c r="K2214">
        <v>2025</v>
      </c>
      <c r="L2214">
        <v>1037123958</v>
      </c>
      <c r="M2214" t="s">
        <v>3790</v>
      </c>
      <c r="N2214" t="s">
        <v>1688</v>
      </c>
      <c r="O2214" t="s">
        <v>1686</v>
      </c>
      <c r="P2214">
        <v>0</v>
      </c>
      <c r="Q2214">
        <v>1067625</v>
      </c>
      <c r="R2214">
        <v>0</v>
      </c>
      <c r="S2214">
        <v>0</v>
      </c>
      <c r="T2214" t="str">
        <f t="shared" si="68"/>
        <v>17282.43.4302.85.0-205128.2.3.3.08.06.</v>
      </c>
      <c r="U2214" t="e" cm="1">
        <f t="array" aca="1" ref="U2214" ca="1">+IF(COMPROMISOS_2025[[#This Row],[P]]="20","41080111",_xlfn.XLOOKUP(COMPROMISOS_2025[[#This Row],[concatenado]],PAA[[#All],[RCP-RUBRO]],PAA[[#All],[INDICADOR]],"",0))</f>
        <v>#NAME?</v>
      </c>
      <c r="V2214" s="144" t="str">
        <f t="shared" si="69"/>
        <v>85</v>
      </c>
      <c r="W2214" s="136">
        <f>+COMPROMISOS_2025[[#This Row],[valor_total]]-COMPROMISOS_2025[[#This Row],[total_cancelado]]</f>
        <v>1067625</v>
      </c>
      <c r="X2214" s="136">
        <f>COMPROMISOS_2025[[#This Row],[total_ordenes]]</f>
        <v>1067625</v>
      </c>
      <c r="Y2214" t="str" cm="1">
        <f t="array" aca="1" ref="Y2214" ca="1">IFERROR(_xlfn.XLOOKUP(COMPROMISOS_2025[[#This Row],[concatenado]],PAA[[#All],[RCP-RUBRO]],PAA[[#All],[Actividad3]],VLOOKUP(COMPROMISOS_2025[[#This Row],[Indicador Principal]],$AC$2:$AD$17,2,0),0),"")</f>
        <v/>
      </c>
    </row>
    <row r="2215" spans="1:25" hidden="1" x14ac:dyDescent="0.25">
      <c r="A2215">
        <v>1729</v>
      </c>
      <c r="B2215" t="s">
        <v>2491</v>
      </c>
      <c r="C2215" t="s">
        <v>1936</v>
      </c>
      <c r="D2215" t="s">
        <v>4182</v>
      </c>
      <c r="F2215">
        <v>406</v>
      </c>
      <c r="G2215">
        <v>65</v>
      </c>
      <c r="H2215" t="s">
        <v>662</v>
      </c>
      <c r="I2215" t="s">
        <v>2271</v>
      </c>
      <c r="J2215">
        <v>1067625</v>
      </c>
      <c r="K2215">
        <v>2025</v>
      </c>
      <c r="L2215">
        <v>1037236023</v>
      </c>
      <c r="M2215" t="s">
        <v>4080</v>
      </c>
      <c r="N2215" t="s">
        <v>1688</v>
      </c>
      <c r="O2215" t="s">
        <v>1686</v>
      </c>
      <c r="P2215">
        <v>0</v>
      </c>
      <c r="Q2215">
        <v>1067625</v>
      </c>
      <c r="R2215">
        <v>0</v>
      </c>
      <c r="S2215">
        <v>0</v>
      </c>
      <c r="T2215" t="str">
        <f t="shared" si="68"/>
        <v>17292.43.4302.85.0-205128.2.3.3.08.06.</v>
      </c>
      <c r="U2215" t="e" cm="1">
        <f t="array" aca="1" ref="U2215" ca="1">+IF(COMPROMISOS_2025[[#This Row],[P]]="20","41080111",_xlfn.XLOOKUP(COMPROMISOS_2025[[#This Row],[concatenado]],PAA[[#All],[RCP-RUBRO]],PAA[[#All],[INDICADOR]],"",0))</f>
        <v>#NAME?</v>
      </c>
      <c r="V2215" s="144" t="str">
        <f t="shared" si="69"/>
        <v>85</v>
      </c>
      <c r="W2215" s="136">
        <f>+COMPROMISOS_2025[[#This Row],[valor_total]]-COMPROMISOS_2025[[#This Row],[total_cancelado]]</f>
        <v>1067625</v>
      </c>
      <c r="X2215" s="136">
        <f>COMPROMISOS_2025[[#This Row],[total_ordenes]]</f>
        <v>1067625</v>
      </c>
      <c r="Y2215" t="str" cm="1">
        <f t="array" aca="1" ref="Y2215" ca="1">IFERROR(_xlfn.XLOOKUP(COMPROMISOS_2025[[#This Row],[concatenado]],PAA[[#All],[RCP-RUBRO]],PAA[[#All],[Actividad3]],VLOOKUP(COMPROMISOS_2025[[#This Row],[Indicador Principal]],$AC$2:$AD$17,2,0),0),"")</f>
        <v/>
      </c>
    </row>
    <row r="2216" spans="1:25" hidden="1" x14ac:dyDescent="0.25">
      <c r="A2216">
        <v>1730</v>
      </c>
      <c r="B2216" t="s">
        <v>2491</v>
      </c>
      <c r="C2216" t="s">
        <v>1936</v>
      </c>
      <c r="D2216" t="s">
        <v>4182</v>
      </c>
      <c r="F2216">
        <v>406</v>
      </c>
      <c r="G2216">
        <v>65</v>
      </c>
      <c r="H2216" t="s">
        <v>662</v>
      </c>
      <c r="I2216" t="s">
        <v>2271</v>
      </c>
      <c r="J2216">
        <v>4270500</v>
      </c>
      <c r="K2216">
        <v>2025</v>
      </c>
      <c r="L2216">
        <v>1037237413</v>
      </c>
      <c r="M2216" t="s">
        <v>3791</v>
      </c>
      <c r="N2216" t="s">
        <v>1688</v>
      </c>
      <c r="O2216" t="s">
        <v>1686</v>
      </c>
      <c r="P2216">
        <v>0</v>
      </c>
      <c r="Q2216">
        <v>4270500</v>
      </c>
      <c r="R2216">
        <v>0</v>
      </c>
      <c r="S2216">
        <v>0</v>
      </c>
      <c r="T2216" t="str">
        <f t="shared" si="68"/>
        <v>17302.43.4302.85.0-205128.2.3.3.08.06.</v>
      </c>
      <c r="U2216" t="e" cm="1">
        <f t="array" aca="1" ref="U2216" ca="1">+IF(COMPROMISOS_2025[[#This Row],[P]]="20","41080111",_xlfn.XLOOKUP(COMPROMISOS_2025[[#This Row],[concatenado]],PAA[[#All],[RCP-RUBRO]],PAA[[#All],[INDICADOR]],"",0))</f>
        <v>#NAME?</v>
      </c>
      <c r="V2216" s="144" t="str">
        <f t="shared" si="69"/>
        <v>85</v>
      </c>
      <c r="W2216" s="136">
        <f>+COMPROMISOS_2025[[#This Row],[valor_total]]-COMPROMISOS_2025[[#This Row],[total_cancelado]]</f>
        <v>4270500</v>
      </c>
      <c r="X2216" s="136">
        <f>COMPROMISOS_2025[[#This Row],[total_ordenes]]</f>
        <v>4270500</v>
      </c>
      <c r="Y2216" t="str" cm="1">
        <f t="array" aca="1" ref="Y2216" ca="1">IFERROR(_xlfn.XLOOKUP(COMPROMISOS_2025[[#This Row],[concatenado]],PAA[[#All],[RCP-RUBRO]],PAA[[#All],[Actividad3]],VLOOKUP(COMPROMISOS_2025[[#This Row],[Indicador Principal]],$AC$2:$AD$17,2,0),0),"")</f>
        <v/>
      </c>
    </row>
    <row r="2217" spans="1:25" hidden="1" x14ac:dyDescent="0.25">
      <c r="A2217">
        <v>1731</v>
      </c>
      <c r="B2217" t="s">
        <v>2491</v>
      </c>
      <c r="C2217" t="s">
        <v>1936</v>
      </c>
      <c r="D2217" t="s">
        <v>4182</v>
      </c>
      <c r="F2217">
        <v>406</v>
      </c>
      <c r="G2217">
        <v>65</v>
      </c>
      <c r="H2217" t="s">
        <v>662</v>
      </c>
      <c r="I2217" t="s">
        <v>2271</v>
      </c>
      <c r="J2217">
        <v>1067625</v>
      </c>
      <c r="K2217">
        <v>2025</v>
      </c>
      <c r="L2217">
        <v>1037237460</v>
      </c>
      <c r="M2217" t="s">
        <v>3792</v>
      </c>
      <c r="N2217" t="s">
        <v>1688</v>
      </c>
      <c r="O2217" t="s">
        <v>1686</v>
      </c>
      <c r="P2217">
        <v>0</v>
      </c>
      <c r="Q2217">
        <v>1067625</v>
      </c>
      <c r="R2217">
        <v>0</v>
      </c>
      <c r="S2217">
        <v>0</v>
      </c>
      <c r="T2217" t="str">
        <f t="shared" si="68"/>
        <v>17312.43.4302.85.0-205128.2.3.3.08.06.</v>
      </c>
      <c r="U2217" t="e" cm="1">
        <f t="array" aca="1" ref="U2217" ca="1">+IF(COMPROMISOS_2025[[#This Row],[P]]="20","41080111",_xlfn.XLOOKUP(COMPROMISOS_2025[[#This Row],[concatenado]],PAA[[#All],[RCP-RUBRO]],PAA[[#All],[INDICADOR]],"",0))</f>
        <v>#NAME?</v>
      </c>
      <c r="V2217" s="144" t="str">
        <f t="shared" si="69"/>
        <v>85</v>
      </c>
      <c r="W2217" s="136">
        <f>+COMPROMISOS_2025[[#This Row],[valor_total]]-COMPROMISOS_2025[[#This Row],[total_cancelado]]</f>
        <v>1067625</v>
      </c>
      <c r="X2217" s="136">
        <f>COMPROMISOS_2025[[#This Row],[total_ordenes]]</f>
        <v>1067625</v>
      </c>
      <c r="Y2217" t="str" cm="1">
        <f t="array" aca="1" ref="Y2217" ca="1">IFERROR(_xlfn.XLOOKUP(COMPROMISOS_2025[[#This Row],[concatenado]],PAA[[#All],[RCP-RUBRO]],PAA[[#All],[Actividad3]],VLOOKUP(COMPROMISOS_2025[[#This Row],[Indicador Principal]],$AC$2:$AD$17,2,0),0),"")</f>
        <v/>
      </c>
    </row>
    <row r="2218" spans="1:25" hidden="1" x14ac:dyDescent="0.25">
      <c r="A2218">
        <v>1732</v>
      </c>
      <c r="B2218" t="s">
        <v>2491</v>
      </c>
      <c r="C2218" t="s">
        <v>1936</v>
      </c>
      <c r="D2218" t="s">
        <v>4182</v>
      </c>
      <c r="F2218">
        <v>406</v>
      </c>
      <c r="G2218">
        <v>65</v>
      </c>
      <c r="H2218" t="s">
        <v>662</v>
      </c>
      <c r="I2218" t="s">
        <v>2271</v>
      </c>
      <c r="J2218">
        <v>1423500</v>
      </c>
      <c r="K2218">
        <v>2025</v>
      </c>
      <c r="L2218">
        <v>1037238390</v>
      </c>
      <c r="M2218" t="s">
        <v>3793</v>
      </c>
      <c r="N2218" t="s">
        <v>1688</v>
      </c>
      <c r="O2218" t="s">
        <v>1686</v>
      </c>
      <c r="P2218">
        <v>0</v>
      </c>
      <c r="Q2218">
        <v>1423500</v>
      </c>
      <c r="R2218">
        <v>0</v>
      </c>
      <c r="S2218">
        <v>0</v>
      </c>
      <c r="T2218" t="str">
        <f t="shared" si="68"/>
        <v>17322.43.4302.85.0-205128.2.3.3.08.06.</v>
      </c>
      <c r="U2218" t="e" cm="1">
        <f t="array" aca="1" ref="U2218" ca="1">+IF(COMPROMISOS_2025[[#This Row],[P]]="20","41080111",_xlfn.XLOOKUP(COMPROMISOS_2025[[#This Row],[concatenado]],PAA[[#All],[RCP-RUBRO]],PAA[[#All],[INDICADOR]],"",0))</f>
        <v>#NAME?</v>
      </c>
      <c r="V2218" s="144" t="str">
        <f t="shared" si="69"/>
        <v>85</v>
      </c>
      <c r="W2218" s="136">
        <f>+COMPROMISOS_2025[[#This Row],[valor_total]]-COMPROMISOS_2025[[#This Row],[total_cancelado]]</f>
        <v>1423500</v>
      </c>
      <c r="X2218" s="136">
        <f>COMPROMISOS_2025[[#This Row],[total_ordenes]]</f>
        <v>1423500</v>
      </c>
      <c r="Y2218" t="str" cm="1">
        <f t="array" aca="1" ref="Y2218" ca="1">IFERROR(_xlfn.XLOOKUP(COMPROMISOS_2025[[#This Row],[concatenado]],PAA[[#All],[RCP-RUBRO]],PAA[[#All],[Actividad3]],VLOOKUP(COMPROMISOS_2025[[#This Row],[Indicador Principal]],$AC$2:$AD$17,2,0),0),"")</f>
        <v/>
      </c>
    </row>
    <row r="2219" spans="1:25" hidden="1" x14ac:dyDescent="0.25">
      <c r="A2219">
        <v>1733</v>
      </c>
      <c r="B2219" t="s">
        <v>2491</v>
      </c>
      <c r="C2219" t="s">
        <v>1936</v>
      </c>
      <c r="D2219" t="s">
        <v>4182</v>
      </c>
      <c r="F2219">
        <v>406</v>
      </c>
      <c r="G2219">
        <v>65</v>
      </c>
      <c r="H2219" t="s">
        <v>662</v>
      </c>
      <c r="I2219" t="s">
        <v>2271</v>
      </c>
      <c r="J2219">
        <v>2135250</v>
      </c>
      <c r="K2219">
        <v>2025</v>
      </c>
      <c r="L2219">
        <v>1037469368</v>
      </c>
      <c r="M2219" t="s">
        <v>3794</v>
      </c>
      <c r="N2219" t="s">
        <v>1688</v>
      </c>
      <c r="O2219" t="s">
        <v>1686</v>
      </c>
      <c r="P2219">
        <v>0</v>
      </c>
      <c r="Q2219">
        <v>2135250</v>
      </c>
      <c r="R2219">
        <v>0</v>
      </c>
      <c r="S2219">
        <v>0</v>
      </c>
      <c r="T2219" t="str">
        <f t="shared" si="68"/>
        <v>17332.43.4302.85.0-205128.2.3.3.08.06.</v>
      </c>
      <c r="U2219" t="e" cm="1">
        <f t="array" aca="1" ref="U2219" ca="1">+IF(COMPROMISOS_2025[[#This Row],[P]]="20","41080111",_xlfn.XLOOKUP(COMPROMISOS_2025[[#This Row],[concatenado]],PAA[[#All],[RCP-RUBRO]],PAA[[#All],[INDICADOR]],"",0))</f>
        <v>#NAME?</v>
      </c>
      <c r="V2219" s="144" t="str">
        <f t="shared" si="69"/>
        <v>85</v>
      </c>
      <c r="W2219" s="136">
        <f>+COMPROMISOS_2025[[#This Row],[valor_total]]-COMPROMISOS_2025[[#This Row],[total_cancelado]]</f>
        <v>2135250</v>
      </c>
      <c r="X2219" s="136">
        <f>COMPROMISOS_2025[[#This Row],[total_ordenes]]</f>
        <v>2135250</v>
      </c>
      <c r="Y2219" t="str" cm="1">
        <f t="array" aca="1" ref="Y2219" ca="1">IFERROR(_xlfn.XLOOKUP(COMPROMISOS_2025[[#This Row],[concatenado]],PAA[[#All],[RCP-RUBRO]],PAA[[#All],[Actividad3]],VLOOKUP(COMPROMISOS_2025[[#This Row],[Indicador Principal]],$AC$2:$AD$17,2,0),0),"")</f>
        <v/>
      </c>
    </row>
    <row r="2220" spans="1:25" hidden="1" x14ac:dyDescent="0.25">
      <c r="A2220">
        <v>1734</v>
      </c>
      <c r="B2220" t="s">
        <v>2491</v>
      </c>
      <c r="C2220" t="s">
        <v>1936</v>
      </c>
      <c r="D2220" t="s">
        <v>4182</v>
      </c>
      <c r="F2220">
        <v>406</v>
      </c>
      <c r="G2220">
        <v>65</v>
      </c>
      <c r="H2220" t="s">
        <v>662</v>
      </c>
      <c r="I2220" t="s">
        <v>2271</v>
      </c>
      <c r="J2220">
        <v>711750</v>
      </c>
      <c r="K2220">
        <v>2025</v>
      </c>
      <c r="L2220">
        <v>1037469938</v>
      </c>
      <c r="M2220" t="s">
        <v>3795</v>
      </c>
      <c r="N2220" t="s">
        <v>1688</v>
      </c>
      <c r="O2220" t="s">
        <v>1686</v>
      </c>
      <c r="P2220">
        <v>0</v>
      </c>
      <c r="Q2220">
        <v>711750</v>
      </c>
      <c r="R2220">
        <v>0</v>
      </c>
      <c r="S2220">
        <v>0</v>
      </c>
      <c r="T2220" t="str">
        <f t="shared" si="68"/>
        <v>17342.43.4302.85.0-205128.2.3.3.08.06.</v>
      </c>
      <c r="U2220" t="e" cm="1">
        <f t="array" aca="1" ref="U2220" ca="1">+IF(COMPROMISOS_2025[[#This Row],[P]]="20","41080111",_xlfn.XLOOKUP(COMPROMISOS_2025[[#This Row],[concatenado]],PAA[[#All],[RCP-RUBRO]],PAA[[#All],[INDICADOR]],"",0))</f>
        <v>#NAME?</v>
      </c>
      <c r="V2220" s="144" t="str">
        <f t="shared" si="69"/>
        <v>85</v>
      </c>
      <c r="W2220" s="136">
        <f>+COMPROMISOS_2025[[#This Row],[valor_total]]-COMPROMISOS_2025[[#This Row],[total_cancelado]]</f>
        <v>711750</v>
      </c>
      <c r="X2220" s="136">
        <f>COMPROMISOS_2025[[#This Row],[total_ordenes]]</f>
        <v>711750</v>
      </c>
      <c r="Y2220" t="str" cm="1">
        <f t="array" aca="1" ref="Y2220" ca="1">IFERROR(_xlfn.XLOOKUP(COMPROMISOS_2025[[#This Row],[concatenado]],PAA[[#All],[RCP-RUBRO]],PAA[[#All],[Actividad3]],VLOOKUP(COMPROMISOS_2025[[#This Row],[Indicador Principal]],$AC$2:$AD$17,2,0),0),"")</f>
        <v/>
      </c>
    </row>
    <row r="2221" spans="1:25" hidden="1" x14ac:dyDescent="0.25">
      <c r="A2221">
        <v>1735</v>
      </c>
      <c r="B2221" t="s">
        <v>2491</v>
      </c>
      <c r="C2221" t="s">
        <v>1936</v>
      </c>
      <c r="D2221" t="s">
        <v>4182</v>
      </c>
      <c r="F2221">
        <v>406</v>
      </c>
      <c r="G2221">
        <v>65</v>
      </c>
      <c r="H2221" t="s">
        <v>662</v>
      </c>
      <c r="I2221" t="s">
        <v>2271</v>
      </c>
      <c r="J2221">
        <v>711750</v>
      </c>
      <c r="K2221">
        <v>2025</v>
      </c>
      <c r="L2221">
        <v>1037470069</v>
      </c>
      <c r="M2221" t="s">
        <v>3796</v>
      </c>
      <c r="N2221" t="s">
        <v>1688</v>
      </c>
      <c r="O2221" t="s">
        <v>1686</v>
      </c>
      <c r="P2221">
        <v>0</v>
      </c>
      <c r="Q2221">
        <v>711750</v>
      </c>
      <c r="R2221">
        <v>0</v>
      </c>
      <c r="S2221">
        <v>0</v>
      </c>
      <c r="T2221" t="str">
        <f t="shared" si="68"/>
        <v>17352.43.4302.85.0-205128.2.3.3.08.06.</v>
      </c>
      <c r="U2221" t="e" cm="1">
        <f t="array" aca="1" ref="U2221" ca="1">+IF(COMPROMISOS_2025[[#This Row],[P]]="20","41080111",_xlfn.XLOOKUP(COMPROMISOS_2025[[#This Row],[concatenado]],PAA[[#All],[RCP-RUBRO]],PAA[[#All],[INDICADOR]],"",0))</f>
        <v>#NAME?</v>
      </c>
      <c r="V2221" s="144" t="str">
        <f t="shared" si="69"/>
        <v>85</v>
      </c>
      <c r="W2221" s="136">
        <f>+COMPROMISOS_2025[[#This Row],[valor_total]]-COMPROMISOS_2025[[#This Row],[total_cancelado]]</f>
        <v>711750</v>
      </c>
      <c r="X2221" s="136">
        <f>COMPROMISOS_2025[[#This Row],[total_ordenes]]</f>
        <v>711750</v>
      </c>
      <c r="Y2221" t="str" cm="1">
        <f t="array" aca="1" ref="Y2221" ca="1">IFERROR(_xlfn.XLOOKUP(COMPROMISOS_2025[[#This Row],[concatenado]],PAA[[#All],[RCP-RUBRO]],PAA[[#All],[Actividad3]],VLOOKUP(COMPROMISOS_2025[[#This Row],[Indicador Principal]],$AC$2:$AD$17,2,0),0),"")</f>
        <v/>
      </c>
    </row>
    <row r="2222" spans="1:25" hidden="1" x14ac:dyDescent="0.25">
      <c r="A2222">
        <v>1736</v>
      </c>
      <c r="B2222" t="s">
        <v>2491</v>
      </c>
      <c r="C2222" t="s">
        <v>1936</v>
      </c>
      <c r="D2222" t="s">
        <v>4182</v>
      </c>
      <c r="F2222">
        <v>406</v>
      </c>
      <c r="G2222">
        <v>65</v>
      </c>
      <c r="H2222" t="s">
        <v>662</v>
      </c>
      <c r="I2222" t="s">
        <v>2271</v>
      </c>
      <c r="J2222">
        <v>2847000</v>
      </c>
      <c r="K2222">
        <v>2025</v>
      </c>
      <c r="L2222">
        <v>1037603014</v>
      </c>
      <c r="M2222" t="s">
        <v>4371</v>
      </c>
      <c r="N2222" t="s">
        <v>1688</v>
      </c>
      <c r="O2222" t="s">
        <v>1686</v>
      </c>
      <c r="P2222">
        <v>0</v>
      </c>
      <c r="Q2222">
        <v>2847000</v>
      </c>
      <c r="R2222">
        <v>0</v>
      </c>
      <c r="S2222">
        <v>0</v>
      </c>
      <c r="T2222" t="str">
        <f t="shared" si="68"/>
        <v>17362.43.4302.85.0-205128.2.3.3.08.06.</v>
      </c>
      <c r="U2222" t="e" cm="1">
        <f t="array" aca="1" ref="U2222" ca="1">+IF(COMPROMISOS_2025[[#This Row],[P]]="20","41080111",_xlfn.XLOOKUP(COMPROMISOS_2025[[#This Row],[concatenado]],PAA[[#All],[RCP-RUBRO]],PAA[[#All],[INDICADOR]],"",0))</f>
        <v>#NAME?</v>
      </c>
      <c r="V2222" s="144" t="str">
        <f t="shared" si="69"/>
        <v>85</v>
      </c>
      <c r="W2222" s="136">
        <f>+COMPROMISOS_2025[[#This Row],[valor_total]]-COMPROMISOS_2025[[#This Row],[total_cancelado]]</f>
        <v>2847000</v>
      </c>
      <c r="X2222" s="136">
        <f>COMPROMISOS_2025[[#This Row],[total_ordenes]]</f>
        <v>2847000</v>
      </c>
      <c r="Y2222" t="str" cm="1">
        <f t="array" aca="1" ref="Y2222" ca="1">IFERROR(_xlfn.XLOOKUP(COMPROMISOS_2025[[#This Row],[concatenado]],PAA[[#All],[RCP-RUBRO]],PAA[[#All],[Actividad3]],VLOOKUP(COMPROMISOS_2025[[#This Row],[Indicador Principal]],$AC$2:$AD$17,2,0),0),"")</f>
        <v/>
      </c>
    </row>
    <row r="2223" spans="1:25" hidden="1" x14ac:dyDescent="0.25">
      <c r="A2223">
        <v>1737</v>
      </c>
      <c r="B2223" t="s">
        <v>2491</v>
      </c>
      <c r="C2223" t="s">
        <v>1936</v>
      </c>
      <c r="D2223" t="s">
        <v>4182</v>
      </c>
      <c r="F2223">
        <v>406</v>
      </c>
      <c r="G2223">
        <v>65</v>
      </c>
      <c r="H2223" t="s">
        <v>662</v>
      </c>
      <c r="I2223" t="s">
        <v>2271</v>
      </c>
      <c r="J2223">
        <v>2847000</v>
      </c>
      <c r="K2223">
        <v>2025</v>
      </c>
      <c r="L2223">
        <v>1037606904</v>
      </c>
      <c r="M2223" t="s">
        <v>4372</v>
      </c>
      <c r="N2223" t="s">
        <v>1688</v>
      </c>
      <c r="O2223" t="s">
        <v>1686</v>
      </c>
      <c r="P2223">
        <v>0</v>
      </c>
      <c r="Q2223">
        <v>2847000</v>
      </c>
      <c r="R2223">
        <v>0</v>
      </c>
      <c r="S2223">
        <v>0</v>
      </c>
      <c r="T2223" t="str">
        <f t="shared" si="68"/>
        <v>17372.43.4302.85.0-205128.2.3.3.08.06.</v>
      </c>
      <c r="U2223" t="e" cm="1">
        <f t="array" aca="1" ref="U2223" ca="1">+IF(COMPROMISOS_2025[[#This Row],[P]]="20","41080111",_xlfn.XLOOKUP(COMPROMISOS_2025[[#This Row],[concatenado]],PAA[[#All],[RCP-RUBRO]],PAA[[#All],[INDICADOR]],"",0))</f>
        <v>#NAME?</v>
      </c>
      <c r="V2223" s="144" t="str">
        <f t="shared" si="69"/>
        <v>85</v>
      </c>
      <c r="W2223" s="136">
        <f>+COMPROMISOS_2025[[#This Row],[valor_total]]-COMPROMISOS_2025[[#This Row],[total_cancelado]]</f>
        <v>2847000</v>
      </c>
      <c r="X2223" s="136">
        <f>COMPROMISOS_2025[[#This Row],[total_ordenes]]</f>
        <v>2847000</v>
      </c>
      <c r="Y2223" t="str" cm="1">
        <f t="array" aca="1" ref="Y2223" ca="1">IFERROR(_xlfn.XLOOKUP(COMPROMISOS_2025[[#This Row],[concatenado]],PAA[[#All],[RCP-RUBRO]],PAA[[#All],[Actividad3]],VLOOKUP(COMPROMISOS_2025[[#This Row],[Indicador Principal]],$AC$2:$AD$17,2,0),0),"")</f>
        <v/>
      </c>
    </row>
    <row r="2224" spans="1:25" hidden="1" x14ac:dyDescent="0.25">
      <c r="A2224">
        <v>1738</v>
      </c>
      <c r="B2224" t="s">
        <v>2491</v>
      </c>
      <c r="C2224" t="s">
        <v>1936</v>
      </c>
      <c r="D2224" t="s">
        <v>4182</v>
      </c>
      <c r="F2224">
        <v>406</v>
      </c>
      <c r="G2224">
        <v>65</v>
      </c>
      <c r="H2224" t="s">
        <v>662</v>
      </c>
      <c r="I2224" t="s">
        <v>2271</v>
      </c>
      <c r="J2224">
        <v>4270500</v>
      </c>
      <c r="K2224">
        <v>2025</v>
      </c>
      <c r="L2224">
        <v>1037616117</v>
      </c>
      <c r="M2224" t="s">
        <v>3797</v>
      </c>
      <c r="N2224" t="s">
        <v>1688</v>
      </c>
      <c r="O2224" t="s">
        <v>1686</v>
      </c>
      <c r="P2224">
        <v>0</v>
      </c>
      <c r="Q2224">
        <v>4270500</v>
      </c>
      <c r="R2224">
        <v>0</v>
      </c>
      <c r="S2224">
        <v>0</v>
      </c>
      <c r="T2224" t="str">
        <f t="shared" si="68"/>
        <v>17382.43.4302.85.0-205128.2.3.3.08.06.</v>
      </c>
      <c r="U2224" t="e" cm="1">
        <f t="array" aca="1" ref="U2224" ca="1">+IF(COMPROMISOS_2025[[#This Row],[P]]="20","41080111",_xlfn.XLOOKUP(COMPROMISOS_2025[[#This Row],[concatenado]],PAA[[#All],[RCP-RUBRO]],PAA[[#All],[INDICADOR]],"",0))</f>
        <v>#NAME?</v>
      </c>
      <c r="V2224" s="144" t="str">
        <f t="shared" si="69"/>
        <v>85</v>
      </c>
      <c r="W2224" s="136">
        <f>+COMPROMISOS_2025[[#This Row],[valor_total]]-COMPROMISOS_2025[[#This Row],[total_cancelado]]</f>
        <v>4270500</v>
      </c>
      <c r="X2224" s="136">
        <f>COMPROMISOS_2025[[#This Row],[total_ordenes]]</f>
        <v>4270500</v>
      </c>
      <c r="Y2224" t="str" cm="1">
        <f t="array" aca="1" ref="Y2224" ca="1">IFERROR(_xlfn.XLOOKUP(COMPROMISOS_2025[[#This Row],[concatenado]],PAA[[#All],[RCP-RUBRO]],PAA[[#All],[Actividad3]],VLOOKUP(COMPROMISOS_2025[[#This Row],[Indicador Principal]],$AC$2:$AD$17,2,0),0),"")</f>
        <v/>
      </c>
    </row>
    <row r="2225" spans="1:25" hidden="1" x14ac:dyDescent="0.25">
      <c r="A2225">
        <v>1739</v>
      </c>
      <c r="B2225" t="s">
        <v>2491</v>
      </c>
      <c r="C2225" t="s">
        <v>1936</v>
      </c>
      <c r="D2225" t="s">
        <v>4182</v>
      </c>
      <c r="F2225">
        <v>406</v>
      </c>
      <c r="G2225">
        <v>65</v>
      </c>
      <c r="H2225" t="s">
        <v>662</v>
      </c>
      <c r="I2225" t="s">
        <v>2271</v>
      </c>
      <c r="J2225">
        <v>1423500</v>
      </c>
      <c r="K2225">
        <v>2025</v>
      </c>
      <c r="L2225">
        <v>10376172137</v>
      </c>
      <c r="M2225" t="s">
        <v>3410</v>
      </c>
      <c r="N2225" t="s">
        <v>1688</v>
      </c>
      <c r="O2225" t="s">
        <v>1686</v>
      </c>
      <c r="P2225">
        <v>0</v>
      </c>
      <c r="Q2225">
        <v>1423500</v>
      </c>
      <c r="R2225">
        <v>0</v>
      </c>
      <c r="S2225">
        <v>0</v>
      </c>
      <c r="T2225" t="str">
        <f t="shared" si="68"/>
        <v>17392.43.4302.85.0-205128.2.3.3.08.06.</v>
      </c>
      <c r="U2225" t="e" cm="1">
        <f t="array" aca="1" ref="U2225" ca="1">+IF(COMPROMISOS_2025[[#This Row],[P]]="20","41080111",_xlfn.XLOOKUP(COMPROMISOS_2025[[#This Row],[concatenado]],PAA[[#All],[RCP-RUBRO]],PAA[[#All],[INDICADOR]],"",0))</f>
        <v>#NAME?</v>
      </c>
      <c r="V2225" s="144" t="str">
        <f t="shared" si="69"/>
        <v>85</v>
      </c>
      <c r="W2225" s="136">
        <f>+COMPROMISOS_2025[[#This Row],[valor_total]]-COMPROMISOS_2025[[#This Row],[total_cancelado]]</f>
        <v>1423500</v>
      </c>
      <c r="X2225" s="136">
        <f>COMPROMISOS_2025[[#This Row],[total_ordenes]]</f>
        <v>1423500</v>
      </c>
      <c r="Y2225" t="str" cm="1">
        <f t="array" aca="1" ref="Y2225" ca="1">IFERROR(_xlfn.XLOOKUP(COMPROMISOS_2025[[#This Row],[concatenado]],PAA[[#All],[RCP-RUBRO]],PAA[[#All],[Actividad3]],VLOOKUP(COMPROMISOS_2025[[#This Row],[Indicador Principal]],$AC$2:$AD$17,2,0),0),"")</f>
        <v/>
      </c>
    </row>
    <row r="2226" spans="1:25" hidden="1" x14ac:dyDescent="0.25">
      <c r="A2226">
        <v>1740</v>
      </c>
      <c r="B2226" t="s">
        <v>2491</v>
      </c>
      <c r="C2226" t="s">
        <v>1936</v>
      </c>
      <c r="D2226" t="s">
        <v>4182</v>
      </c>
      <c r="F2226">
        <v>406</v>
      </c>
      <c r="G2226">
        <v>65</v>
      </c>
      <c r="H2226" t="s">
        <v>662</v>
      </c>
      <c r="I2226" t="s">
        <v>2271</v>
      </c>
      <c r="J2226">
        <v>2847000</v>
      </c>
      <c r="K2226">
        <v>2025</v>
      </c>
      <c r="L2226">
        <v>1037618345</v>
      </c>
      <c r="M2226" t="s">
        <v>3798</v>
      </c>
      <c r="N2226" t="s">
        <v>1688</v>
      </c>
      <c r="O2226" t="s">
        <v>1686</v>
      </c>
      <c r="P2226">
        <v>0</v>
      </c>
      <c r="Q2226">
        <v>2847000</v>
      </c>
      <c r="R2226">
        <v>0</v>
      </c>
      <c r="S2226">
        <v>0</v>
      </c>
      <c r="T2226" t="str">
        <f t="shared" si="68"/>
        <v>17402.43.4302.85.0-205128.2.3.3.08.06.</v>
      </c>
      <c r="U2226" t="e" cm="1">
        <f t="array" aca="1" ref="U2226" ca="1">+IF(COMPROMISOS_2025[[#This Row],[P]]="20","41080111",_xlfn.XLOOKUP(COMPROMISOS_2025[[#This Row],[concatenado]],PAA[[#All],[RCP-RUBRO]],PAA[[#All],[INDICADOR]],"",0))</f>
        <v>#NAME?</v>
      </c>
      <c r="V2226" s="144" t="str">
        <f t="shared" si="69"/>
        <v>85</v>
      </c>
      <c r="W2226" s="136">
        <f>+COMPROMISOS_2025[[#This Row],[valor_total]]-COMPROMISOS_2025[[#This Row],[total_cancelado]]</f>
        <v>2847000</v>
      </c>
      <c r="X2226" s="136">
        <f>COMPROMISOS_2025[[#This Row],[total_ordenes]]</f>
        <v>2847000</v>
      </c>
      <c r="Y2226" t="str" cm="1">
        <f t="array" aca="1" ref="Y2226" ca="1">IFERROR(_xlfn.XLOOKUP(COMPROMISOS_2025[[#This Row],[concatenado]],PAA[[#All],[RCP-RUBRO]],PAA[[#All],[Actividad3]],VLOOKUP(COMPROMISOS_2025[[#This Row],[Indicador Principal]],$AC$2:$AD$17,2,0),0),"")</f>
        <v/>
      </c>
    </row>
    <row r="2227" spans="1:25" hidden="1" x14ac:dyDescent="0.25">
      <c r="A2227">
        <v>1741</v>
      </c>
      <c r="B2227" t="s">
        <v>2491</v>
      </c>
      <c r="C2227" t="s">
        <v>1936</v>
      </c>
      <c r="D2227" t="s">
        <v>4182</v>
      </c>
      <c r="F2227">
        <v>406</v>
      </c>
      <c r="G2227">
        <v>65</v>
      </c>
      <c r="H2227" t="s">
        <v>662</v>
      </c>
      <c r="I2227" t="s">
        <v>2271</v>
      </c>
      <c r="J2227">
        <v>1423500</v>
      </c>
      <c r="K2227">
        <v>2025</v>
      </c>
      <c r="L2227">
        <v>1037626311</v>
      </c>
      <c r="M2227" t="s">
        <v>4373</v>
      </c>
      <c r="N2227" t="s">
        <v>1688</v>
      </c>
      <c r="O2227" t="s">
        <v>1686</v>
      </c>
      <c r="P2227">
        <v>0</v>
      </c>
      <c r="Q2227">
        <v>1423500</v>
      </c>
      <c r="R2227">
        <v>0</v>
      </c>
      <c r="S2227">
        <v>0</v>
      </c>
      <c r="T2227" t="str">
        <f t="shared" si="68"/>
        <v>17412.43.4302.85.0-205128.2.3.3.08.06.</v>
      </c>
      <c r="U2227" t="e" cm="1">
        <f t="array" aca="1" ref="U2227" ca="1">+IF(COMPROMISOS_2025[[#This Row],[P]]="20","41080111",_xlfn.XLOOKUP(COMPROMISOS_2025[[#This Row],[concatenado]],PAA[[#All],[RCP-RUBRO]],PAA[[#All],[INDICADOR]],"",0))</f>
        <v>#NAME?</v>
      </c>
      <c r="V2227" s="144" t="str">
        <f t="shared" si="69"/>
        <v>85</v>
      </c>
      <c r="W2227" s="136">
        <f>+COMPROMISOS_2025[[#This Row],[valor_total]]-COMPROMISOS_2025[[#This Row],[total_cancelado]]</f>
        <v>1423500</v>
      </c>
      <c r="X2227" s="136">
        <f>COMPROMISOS_2025[[#This Row],[total_ordenes]]</f>
        <v>1423500</v>
      </c>
      <c r="Y2227" t="str" cm="1">
        <f t="array" aca="1" ref="Y2227" ca="1">IFERROR(_xlfn.XLOOKUP(COMPROMISOS_2025[[#This Row],[concatenado]],PAA[[#All],[RCP-RUBRO]],PAA[[#All],[Actividad3]],VLOOKUP(COMPROMISOS_2025[[#This Row],[Indicador Principal]],$AC$2:$AD$17,2,0),0),"")</f>
        <v/>
      </c>
    </row>
    <row r="2228" spans="1:25" hidden="1" x14ac:dyDescent="0.25">
      <c r="A2228">
        <v>1742</v>
      </c>
      <c r="B2228" t="s">
        <v>2491</v>
      </c>
      <c r="C2228" t="s">
        <v>1936</v>
      </c>
      <c r="D2228" t="s">
        <v>4182</v>
      </c>
      <c r="F2228">
        <v>406</v>
      </c>
      <c r="G2228">
        <v>65</v>
      </c>
      <c r="H2228" t="s">
        <v>662</v>
      </c>
      <c r="I2228" t="s">
        <v>2271</v>
      </c>
      <c r="J2228">
        <v>4270500</v>
      </c>
      <c r="K2228">
        <v>2025</v>
      </c>
      <c r="L2228">
        <v>1037630984</v>
      </c>
      <c r="M2228" t="s">
        <v>4082</v>
      </c>
      <c r="N2228" t="s">
        <v>1688</v>
      </c>
      <c r="O2228" t="s">
        <v>1686</v>
      </c>
      <c r="P2228">
        <v>0</v>
      </c>
      <c r="Q2228">
        <v>4270500</v>
      </c>
      <c r="R2228">
        <v>0</v>
      </c>
      <c r="S2228">
        <v>0</v>
      </c>
      <c r="T2228" t="str">
        <f t="shared" si="68"/>
        <v>17422.43.4302.85.0-205128.2.3.3.08.06.</v>
      </c>
      <c r="U2228" t="e" cm="1">
        <f t="array" aca="1" ref="U2228" ca="1">+IF(COMPROMISOS_2025[[#This Row],[P]]="20","41080111",_xlfn.XLOOKUP(COMPROMISOS_2025[[#This Row],[concatenado]],PAA[[#All],[RCP-RUBRO]],PAA[[#All],[INDICADOR]],"",0))</f>
        <v>#NAME?</v>
      </c>
      <c r="V2228" s="144" t="str">
        <f t="shared" si="69"/>
        <v>85</v>
      </c>
      <c r="W2228" s="136">
        <f>+COMPROMISOS_2025[[#This Row],[valor_total]]-COMPROMISOS_2025[[#This Row],[total_cancelado]]</f>
        <v>4270500</v>
      </c>
      <c r="X2228" s="136">
        <f>COMPROMISOS_2025[[#This Row],[total_ordenes]]</f>
        <v>4270500</v>
      </c>
      <c r="Y2228" t="str" cm="1">
        <f t="array" aca="1" ref="Y2228" ca="1">IFERROR(_xlfn.XLOOKUP(COMPROMISOS_2025[[#This Row],[concatenado]],PAA[[#All],[RCP-RUBRO]],PAA[[#All],[Actividad3]],VLOOKUP(COMPROMISOS_2025[[#This Row],[Indicador Principal]],$AC$2:$AD$17,2,0),0),"")</f>
        <v/>
      </c>
    </row>
    <row r="2229" spans="1:25" hidden="1" x14ac:dyDescent="0.25">
      <c r="A2229">
        <v>1743</v>
      </c>
      <c r="B2229" t="s">
        <v>2491</v>
      </c>
      <c r="C2229" t="s">
        <v>1936</v>
      </c>
      <c r="D2229" t="s">
        <v>4182</v>
      </c>
      <c r="F2229">
        <v>406</v>
      </c>
      <c r="G2229">
        <v>65</v>
      </c>
      <c r="H2229" t="s">
        <v>662</v>
      </c>
      <c r="I2229" t="s">
        <v>2271</v>
      </c>
      <c r="J2229">
        <v>1423500</v>
      </c>
      <c r="K2229">
        <v>2025</v>
      </c>
      <c r="L2229">
        <v>1037632903</v>
      </c>
      <c r="M2229" t="s">
        <v>4374</v>
      </c>
      <c r="N2229" t="s">
        <v>1688</v>
      </c>
      <c r="O2229" t="s">
        <v>1686</v>
      </c>
      <c r="P2229">
        <v>0</v>
      </c>
      <c r="Q2229">
        <v>1423500</v>
      </c>
      <c r="R2229">
        <v>0</v>
      </c>
      <c r="S2229">
        <v>0</v>
      </c>
      <c r="T2229" t="str">
        <f t="shared" si="68"/>
        <v>17432.43.4302.85.0-205128.2.3.3.08.06.</v>
      </c>
      <c r="U2229" t="e" cm="1">
        <f t="array" aca="1" ref="U2229" ca="1">+IF(COMPROMISOS_2025[[#This Row],[P]]="20","41080111",_xlfn.XLOOKUP(COMPROMISOS_2025[[#This Row],[concatenado]],PAA[[#All],[RCP-RUBRO]],PAA[[#All],[INDICADOR]],"",0))</f>
        <v>#NAME?</v>
      </c>
      <c r="V2229" s="144" t="str">
        <f t="shared" si="69"/>
        <v>85</v>
      </c>
      <c r="W2229" s="136">
        <f>+COMPROMISOS_2025[[#This Row],[valor_total]]-COMPROMISOS_2025[[#This Row],[total_cancelado]]</f>
        <v>1423500</v>
      </c>
      <c r="X2229" s="136">
        <f>COMPROMISOS_2025[[#This Row],[total_ordenes]]</f>
        <v>1423500</v>
      </c>
      <c r="Y2229" t="str" cm="1">
        <f t="array" aca="1" ref="Y2229" ca="1">IFERROR(_xlfn.XLOOKUP(COMPROMISOS_2025[[#This Row],[concatenado]],PAA[[#All],[RCP-RUBRO]],PAA[[#All],[Actividad3]],VLOOKUP(COMPROMISOS_2025[[#This Row],[Indicador Principal]],$AC$2:$AD$17,2,0),0),"")</f>
        <v/>
      </c>
    </row>
    <row r="2230" spans="1:25" hidden="1" x14ac:dyDescent="0.25">
      <c r="A2230">
        <v>1744</v>
      </c>
      <c r="B2230" t="s">
        <v>2491</v>
      </c>
      <c r="C2230" t="s">
        <v>1936</v>
      </c>
      <c r="D2230" t="s">
        <v>4182</v>
      </c>
      <c r="F2230">
        <v>406</v>
      </c>
      <c r="G2230">
        <v>65</v>
      </c>
      <c r="H2230" t="s">
        <v>662</v>
      </c>
      <c r="I2230" t="s">
        <v>2271</v>
      </c>
      <c r="J2230">
        <v>1423500</v>
      </c>
      <c r="K2230">
        <v>2025</v>
      </c>
      <c r="L2230">
        <v>1037635055</v>
      </c>
      <c r="M2230" t="s">
        <v>4375</v>
      </c>
      <c r="N2230" t="s">
        <v>1688</v>
      </c>
      <c r="O2230" t="s">
        <v>1686</v>
      </c>
      <c r="P2230">
        <v>0</v>
      </c>
      <c r="Q2230">
        <v>1423500</v>
      </c>
      <c r="R2230">
        <v>0</v>
      </c>
      <c r="S2230">
        <v>0</v>
      </c>
      <c r="T2230" t="str">
        <f t="shared" si="68"/>
        <v>17442.43.4302.85.0-205128.2.3.3.08.06.</v>
      </c>
      <c r="U2230" t="e" cm="1">
        <f t="array" aca="1" ref="U2230" ca="1">+IF(COMPROMISOS_2025[[#This Row],[P]]="20","41080111",_xlfn.XLOOKUP(COMPROMISOS_2025[[#This Row],[concatenado]],PAA[[#All],[RCP-RUBRO]],PAA[[#All],[INDICADOR]],"",0))</f>
        <v>#NAME?</v>
      </c>
      <c r="V2230" s="144" t="str">
        <f t="shared" si="69"/>
        <v>85</v>
      </c>
      <c r="W2230" s="136">
        <f>+COMPROMISOS_2025[[#This Row],[valor_total]]-COMPROMISOS_2025[[#This Row],[total_cancelado]]</f>
        <v>1423500</v>
      </c>
      <c r="X2230" s="136">
        <f>COMPROMISOS_2025[[#This Row],[total_ordenes]]</f>
        <v>1423500</v>
      </c>
      <c r="Y2230" t="str" cm="1">
        <f t="array" aca="1" ref="Y2230" ca="1">IFERROR(_xlfn.XLOOKUP(COMPROMISOS_2025[[#This Row],[concatenado]],PAA[[#All],[RCP-RUBRO]],PAA[[#All],[Actividad3]],VLOOKUP(COMPROMISOS_2025[[#This Row],[Indicador Principal]],$AC$2:$AD$17,2,0),0),"")</f>
        <v/>
      </c>
    </row>
    <row r="2231" spans="1:25" hidden="1" x14ac:dyDescent="0.25">
      <c r="A2231">
        <v>1745</v>
      </c>
      <c r="B2231" t="s">
        <v>2491</v>
      </c>
      <c r="C2231" t="s">
        <v>1936</v>
      </c>
      <c r="D2231" t="s">
        <v>4182</v>
      </c>
      <c r="F2231">
        <v>406</v>
      </c>
      <c r="G2231">
        <v>65</v>
      </c>
      <c r="H2231" t="s">
        <v>662</v>
      </c>
      <c r="I2231" t="s">
        <v>2271</v>
      </c>
      <c r="J2231">
        <v>1423500</v>
      </c>
      <c r="K2231">
        <v>2025</v>
      </c>
      <c r="L2231">
        <v>1037636014</v>
      </c>
      <c r="M2231" t="s">
        <v>4376</v>
      </c>
      <c r="N2231" t="s">
        <v>1688</v>
      </c>
      <c r="O2231" t="s">
        <v>1686</v>
      </c>
      <c r="P2231">
        <v>0</v>
      </c>
      <c r="Q2231">
        <v>1423500</v>
      </c>
      <c r="R2231">
        <v>0</v>
      </c>
      <c r="S2231">
        <v>0</v>
      </c>
      <c r="T2231" t="str">
        <f t="shared" si="68"/>
        <v>17452.43.4302.85.0-205128.2.3.3.08.06.</v>
      </c>
      <c r="U2231" t="e" cm="1">
        <f t="array" aca="1" ref="U2231" ca="1">+IF(COMPROMISOS_2025[[#This Row],[P]]="20","41080111",_xlfn.XLOOKUP(COMPROMISOS_2025[[#This Row],[concatenado]],PAA[[#All],[RCP-RUBRO]],PAA[[#All],[INDICADOR]],"",0))</f>
        <v>#NAME?</v>
      </c>
      <c r="V2231" s="144" t="str">
        <f t="shared" si="69"/>
        <v>85</v>
      </c>
      <c r="W2231" s="136">
        <f>+COMPROMISOS_2025[[#This Row],[valor_total]]-COMPROMISOS_2025[[#This Row],[total_cancelado]]</f>
        <v>1423500</v>
      </c>
      <c r="X2231" s="136">
        <f>COMPROMISOS_2025[[#This Row],[total_ordenes]]</f>
        <v>1423500</v>
      </c>
      <c r="Y2231" t="str" cm="1">
        <f t="array" aca="1" ref="Y2231" ca="1">IFERROR(_xlfn.XLOOKUP(COMPROMISOS_2025[[#This Row],[concatenado]],PAA[[#All],[RCP-RUBRO]],PAA[[#All],[Actividad3]],VLOOKUP(COMPROMISOS_2025[[#This Row],[Indicador Principal]],$AC$2:$AD$17,2,0),0),"")</f>
        <v/>
      </c>
    </row>
    <row r="2232" spans="1:25" hidden="1" x14ac:dyDescent="0.25">
      <c r="A2232">
        <v>1746</v>
      </c>
      <c r="B2232" t="s">
        <v>2491</v>
      </c>
      <c r="C2232" t="s">
        <v>1936</v>
      </c>
      <c r="D2232" t="s">
        <v>4182</v>
      </c>
      <c r="F2232">
        <v>406</v>
      </c>
      <c r="G2232">
        <v>65</v>
      </c>
      <c r="H2232" t="s">
        <v>662</v>
      </c>
      <c r="I2232" t="s">
        <v>2271</v>
      </c>
      <c r="J2232">
        <v>1423500</v>
      </c>
      <c r="K2232">
        <v>2025</v>
      </c>
      <c r="L2232">
        <v>10376395405</v>
      </c>
      <c r="M2232" t="s">
        <v>4377</v>
      </c>
      <c r="N2232" t="s">
        <v>1688</v>
      </c>
      <c r="O2232" t="s">
        <v>1686</v>
      </c>
      <c r="P2232">
        <v>0</v>
      </c>
      <c r="Q2232">
        <v>1423500</v>
      </c>
      <c r="R2232">
        <v>0</v>
      </c>
      <c r="S2232">
        <v>0</v>
      </c>
      <c r="T2232" t="str">
        <f t="shared" si="68"/>
        <v>17462.43.4302.85.0-205128.2.3.3.08.06.</v>
      </c>
      <c r="U2232" t="e" cm="1">
        <f t="array" aca="1" ref="U2232" ca="1">+IF(COMPROMISOS_2025[[#This Row],[P]]="20","41080111",_xlfn.XLOOKUP(COMPROMISOS_2025[[#This Row],[concatenado]],PAA[[#All],[RCP-RUBRO]],PAA[[#All],[INDICADOR]],"",0))</f>
        <v>#NAME?</v>
      </c>
      <c r="V2232" s="144" t="str">
        <f t="shared" si="69"/>
        <v>85</v>
      </c>
      <c r="W2232" s="136">
        <f>+COMPROMISOS_2025[[#This Row],[valor_total]]-COMPROMISOS_2025[[#This Row],[total_cancelado]]</f>
        <v>1423500</v>
      </c>
      <c r="X2232" s="136">
        <f>COMPROMISOS_2025[[#This Row],[total_ordenes]]</f>
        <v>1423500</v>
      </c>
      <c r="Y2232" t="str" cm="1">
        <f t="array" aca="1" ref="Y2232" ca="1">IFERROR(_xlfn.XLOOKUP(COMPROMISOS_2025[[#This Row],[concatenado]],PAA[[#All],[RCP-RUBRO]],PAA[[#All],[Actividad3]],VLOOKUP(COMPROMISOS_2025[[#This Row],[Indicador Principal]],$AC$2:$AD$17,2,0),0),"")</f>
        <v/>
      </c>
    </row>
    <row r="2233" spans="1:25" hidden="1" x14ac:dyDescent="0.25">
      <c r="A2233">
        <v>1747</v>
      </c>
      <c r="B2233" t="s">
        <v>2491</v>
      </c>
      <c r="C2233" t="s">
        <v>1936</v>
      </c>
      <c r="D2233" t="s">
        <v>4182</v>
      </c>
      <c r="F2233">
        <v>406</v>
      </c>
      <c r="G2233">
        <v>65</v>
      </c>
      <c r="H2233" t="s">
        <v>662</v>
      </c>
      <c r="I2233" t="s">
        <v>2271</v>
      </c>
      <c r="J2233">
        <v>1423500</v>
      </c>
      <c r="K2233">
        <v>2025</v>
      </c>
      <c r="L2233">
        <v>1037642400</v>
      </c>
      <c r="M2233" t="s">
        <v>4378</v>
      </c>
      <c r="N2233" t="s">
        <v>1688</v>
      </c>
      <c r="O2233" t="s">
        <v>1686</v>
      </c>
      <c r="P2233">
        <v>0</v>
      </c>
      <c r="Q2233">
        <v>1423500</v>
      </c>
      <c r="R2233">
        <v>0</v>
      </c>
      <c r="S2233">
        <v>0</v>
      </c>
      <c r="T2233" t="str">
        <f t="shared" si="68"/>
        <v>17472.43.4302.85.0-205128.2.3.3.08.06.</v>
      </c>
      <c r="U2233" t="e" cm="1">
        <f t="array" aca="1" ref="U2233" ca="1">+IF(COMPROMISOS_2025[[#This Row],[P]]="20","41080111",_xlfn.XLOOKUP(COMPROMISOS_2025[[#This Row],[concatenado]],PAA[[#All],[RCP-RUBRO]],PAA[[#All],[INDICADOR]],"",0))</f>
        <v>#NAME?</v>
      </c>
      <c r="V2233" s="144" t="str">
        <f t="shared" si="69"/>
        <v>85</v>
      </c>
      <c r="W2233" s="136">
        <f>+COMPROMISOS_2025[[#This Row],[valor_total]]-COMPROMISOS_2025[[#This Row],[total_cancelado]]</f>
        <v>1423500</v>
      </c>
      <c r="X2233" s="136">
        <f>COMPROMISOS_2025[[#This Row],[total_ordenes]]</f>
        <v>1423500</v>
      </c>
      <c r="Y2233" t="str" cm="1">
        <f t="array" aca="1" ref="Y2233" ca="1">IFERROR(_xlfn.XLOOKUP(COMPROMISOS_2025[[#This Row],[concatenado]],PAA[[#All],[RCP-RUBRO]],PAA[[#All],[Actividad3]],VLOOKUP(COMPROMISOS_2025[[#This Row],[Indicador Principal]],$AC$2:$AD$17,2,0),0),"")</f>
        <v/>
      </c>
    </row>
    <row r="2234" spans="1:25" hidden="1" x14ac:dyDescent="0.25">
      <c r="A2234">
        <v>1748</v>
      </c>
      <c r="B2234" t="s">
        <v>2491</v>
      </c>
      <c r="C2234" t="s">
        <v>1936</v>
      </c>
      <c r="D2234" t="s">
        <v>4182</v>
      </c>
      <c r="F2234">
        <v>406</v>
      </c>
      <c r="G2234">
        <v>65</v>
      </c>
      <c r="H2234" t="s">
        <v>662</v>
      </c>
      <c r="I2234" t="s">
        <v>2271</v>
      </c>
      <c r="J2234">
        <v>711750</v>
      </c>
      <c r="K2234">
        <v>2025</v>
      </c>
      <c r="L2234">
        <v>1037643238</v>
      </c>
      <c r="M2234" t="s">
        <v>4083</v>
      </c>
      <c r="N2234" t="s">
        <v>1688</v>
      </c>
      <c r="O2234" t="s">
        <v>1686</v>
      </c>
      <c r="P2234">
        <v>0</v>
      </c>
      <c r="Q2234">
        <v>711750</v>
      </c>
      <c r="R2234">
        <v>0</v>
      </c>
      <c r="S2234">
        <v>0</v>
      </c>
      <c r="T2234" t="str">
        <f t="shared" si="68"/>
        <v>17482.43.4302.85.0-205128.2.3.3.08.06.</v>
      </c>
      <c r="U2234" t="e" cm="1">
        <f t="array" aca="1" ref="U2234" ca="1">+IF(COMPROMISOS_2025[[#This Row],[P]]="20","41080111",_xlfn.XLOOKUP(COMPROMISOS_2025[[#This Row],[concatenado]],PAA[[#All],[RCP-RUBRO]],PAA[[#All],[INDICADOR]],"",0))</f>
        <v>#NAME?</v>
      </c>
      <c r="V2234" s="144" t="str">
        <f t="shared" si="69"/>
        <v>85</v>
      </c>
      <c r="W2234" s="136">
        <f>+COMPROMISOS_2025[[#This Row],[valor_total]]-COMPROMISOS_2025[[#This Row],[total_cancelado]]</f>
        <v>711750</v>
      </c>
      <c r="X2234" s="136">
        <f>COMPROMISOS_2025[[#This Row],[total_ordenes]]</f>
        <v>711750</v>
      </c>
      <c r="Y2234" t="str" cm="1">
        <f t="array" aca="1" ref="Y2234" ca="1">IFERROR(_xlfn.XLOOKUP(COMPROMISOS_2025[[#This Row],[concatenado]],PAA[[#All],[RCP-RUBRO]],PAA[[#All],[Actividad3]],VLOOKUP(COMPROMISOS_2025[[#This Row],[Indicador Principal]],$AC$2:$AD$17,2,0),0),"")</f>
        <v/>
      </c>
    </row>
    <row r="2235" spans="1:25" hidden="1" x14ac:dyDescent="0.25">
      <c r="A2235">
        <v>1749</v>
      </c>
      <c r="B2235" t="s">
        <v>2491</v>
      </c>
      <c r="C2235" t="s">
        <v>1936</v>
      </c>
      <c r="D2235" t="s">
        <v>4182</v>
      </c>
      <c r="F2235">
        <v>406</v>
      </c>
      <c r="G2235">
        <v>65</v>
      </c>
      <c r="H2235" t="s">
        <v>662</v>
      </c>
      <c r="I2235" t="s">
        <v>2271</v>
      </c>
      <c r="J2235">
        <v>1423500</v>
      </c>
      <c r="K2235">
        <v>2025</v>
      </c>
      <c r="L2235">
        <v>1037643922</v>
      </c>
      <c r="M2235" t="s">
        <v>4084</v>
      </c>
      <c r="N2235" t="s">
        <v>1688</v>
      </c>
      <c r="O2235" t="s">
        <v>1686</v>
      </c>
      <c r="P2235">
        <v>0</v>
      </c>
      <c r="Q2235">
        <v>1423500</v>
      </c>
      <c r="R2235">
        <v>0</v>
      </c>
      <c r="S2235">
        <v>0</v>
      </c>
      <c r="T2235" t="str">
        <f t="shared" si="68"/>
        <v>17492.43.4302.85.0-205128.2.3.3.08.06.</v>
      </c>
      <c r="U2235" t="e" cm="1">
        <f t="array" aca="1" ref="U2235" ca="1">+IF(COMPROMISOS_2025[[#This Row],[P]]="20","41080111",_xlfn.XLOOKUP(COMPROMISOS_2025[[#This Row],[concatenado]],PAA[[#All],[RCP-RUBRO]],PAA[[#All],[INDICADOR]],"",0))</f>
        <v>#NAME?</v>
      </c>
      <c r="V2235" s="144" t="str">
        <f t="shared" si="69"/>
        <v>85</v>
      </c>
      <c r="W2235" s="136">
        <f>+COMPROMISOS_2025[[#This Row],[valor_total]]-COMPROMISOS_2025[[#This Row],[total_cancelado]]</f>
        <v>1423500</v>
      </c>
      <c r="X2235" s="136">
        <f>COMPROMISOS_2025[[#This Row],[total_ordenes]]</f>
        <v>1423500</v>
      </c>
      <c r="Y2235" t="str" cm="1">
        <f t="array" aca="1" ref="Y2235" ca="1">IFERROR(_xlfn.XLOOKUP(COMPROMISOS_2025[[#This Row],[concatenado]],PAA[[#All],[RCP-RUBRO]],PAA[[#All],[Actividad3]],VLOOKUP(COMPROMISOS_2025[[#This Row],[Indicador Principal]],$AC$2:$AD$17,2,0),0),"")</f>
        <v/>
      </c>
    </row>
    <row r="2236" spans="1:25" hidden="1" x14ac:dyDescent="0.25">
      <c r="A2236">
        <v>1750</v>
      </c>
      <c r="B2236" t="s">
        <v>2491</v>
      </c>
      <c r="C2236" t="s">
        <v>1936</v>
      </c>
      <c r="D2236" t="s">
        <v>4182</v>
      </c>
      <c r="F2236">
        <v>406</v>
      </c>
      <c r="G2236">
        <v>65</v>
      </c>
      <c r="H2236" t="s">
        <v>662</v>
      </c>
      <c r="I2236" t="s">
        <v>2271</v>
      </c>
      <c r="J2236">
        <v>5694000</v>
      </c>
      <c r="K2236">
        <v>2025</v>
      </c>
      <c r="L2236">
        <v>1037658644</v>
      </c>
      <c r="M2236" t="s">
        <v>4379</v>
      </c>
      <c r="N2236" t="s">
        <v>1688</v>
      </c>
      <c r="O2236" t="s">
        <v>1686</v>
      </c>
      <c r="P2236">
        <v>0</v>
      </c>
      <c r="Q2236">
        <v>5694000</v>
      </c>
      <c r="R2236">
        <v>0</v>
      </c>
      <c r="S2236">
        <v>0</v>
      </c>
      <c r="T2236" t="str">
        <f t="shared" si="68"/>
        <v>17502.43.4302.85.0-205128.2.3.3.08.06.</v>
      </c>
      <c r="U2236" t="e" cm="1">
        <f t="array" aca="1" ref="U2236" ca="1">+IF(COMPROMISOS_2025[[#This Row],[P]]="20","41080111",_xlfn.XLOOKUP(COMPROMISOS_2025[[#This Row],[concatenado]],PAA[[#All],[RCP-RUBRO]],PAA[[#All],[INDICADOR]],"",0))</f>
        <v>#NAME?</v>
      </c>
      <c r="V2236" s="144" t="str">
        <f t="shared" si="69"/>
        <v>85</v>
      </c>
      <c r="W2236" s="136">
        <f>+COMPROMISOS_2025[[#This Row],[valor_total]]-COMPROMISOS_2025[[#This Row],[total_cancelado]]</f>
        <v>5694000</v>
      </c>
      <c r="X2236" s="136">
        <f>COMPROMISOS_2025[[#This Row],[total_ordenes]]</f>
        <v>5694000</v>
      </c>
      <c r="Y2236" t="str" cm="1">
        <f t="array" aca="1" ref="Y2236" ca="1">IFERROR(_xlfn.XLOOKUP(COMPROMISOS_2025[[#This Row],[concatenado]],PAA[[#All],[RCP-RUBRO]],PAA[[#All],[Actividad3]],VLOOKUP(COMPROMISOS_2025[[#This Row],[Indicador Principal]],$AC$2:$AD$17,2,0),0),"")</f>
        <v/>
      </c>
    </row>
    <row r="2237" spans="1:25" hidden="1" x14ac:dyDescent="0.25">
      <c r="A2237">
        <v>1751</v>
      </c>
      <c r="B2237" t="s">
        <v>2491</v>
      </c>
      <c r="C2237" t="s">
        <v>1936</v>
      </c>
      <c r="D2237" t="s">
        <v>4182</v>
      </c>
      <c r="F2237">
        <v>406</v>
      </c>
      <c r="G2237">
        <v>65</v>
      </c>
      <c r="H2237" t="s">
        <v>662</v>
      </c>
      <c r="I2237" t="s">
        <v>2271</v>
      </c>
      <c r="J2237">
        <v>1067625</v>
      </c>
      <c r="K2237">
        <v>2025</v>
      </c>
      <c r="L2237">
        <v>1037661366</v>
      </c>
      <c r="M2237" t="s">
        <v>4380</v>
      </c>
      <c r="N2237" t="s">
        <v>1688</v>
      </c>
      <c r="O2237" t="s">
        <v>1686</v>
      </c>
      <c r="P2237">
        <v>0</v>
      </c>
      <c r="Q2237">
        <v>1067625</v>
      </c>
      <c r="R2237">
        <v>0</v>
      </c>
      <c r="S2237">
        <v>0</v>
      </c>
      <c r="T2237" t="str">
        <f t="shared" si="68"/>
        <v>17512.43.4302.85.0-205128.2.3.3.08.06.</v>
      </c>
      <c r="U2237" t="e" cm="1">
        <f t="array" aca="1" ref="U2237" ca="1">+IF(COMPROMISOS_2025[[#This Row],[P]]="20","41080111",_xlfn.XLOOKUP(COMPROMISOS_2025[[#This Row],[concatenado]],PAA[[#All],[RCP-RUBRO]],PAA[[#All],[INDICADOR]],"",0))</f>
        <v>#NAME?</v>
      </c>
      <c r="V2237" s="144" t="str">
        <f t="shared" si="69"/>
        <v>85</v>
      </c>
      <c r="W2237" s="136">
        <f>+COMPROMISOS_2025[[#This Row],[valor_total]]-COMPROMISOS_2025[[#This Row],[total_cancelado]]</f>
        <v>1067625</v>
      </c>
      <c r="X2237" s="136">
        <f>COMPROMISOS_2025[[#This Row],[total_ordenes]]</f>
        <v>1067625</v>
      </c>
      <c r="Y2237" t="str" cm="1">
        <f t="array" aca="1" ref="Y2237" ca="1">IFERROR(_xlfn.XLOOKUP(COMPROMISOS_2025[[#This Row],[concatenado]],PAA[[#All],[RCP-RUBRO]],PAA[[#All],[Actividad3]],VLOOKUP(COMPROMISOS_2025[[#This Row],[Indicador Principal]],$AC$2:$AD$17,2,0),0),"")</f>
        <v/>
      </c>
    </row>
    <row r="2238" spans="1:25" hidden="1" x14ac:dyDescent="0.25">
      <c r="A2238">
        <v>1752</v>
      </c>
      <c r="B2238" t="s">
        <v>2491</v>
      </c>
      <c r="C2238" t="s">
        <v>1936</v>
      </c>
      <c r="D2238" t="s">
        <v>4182</v>
      </c>
      <c r="F2238">
        <v>406</v>
      </c>
      <c r="G2238">
        <v>65</v>
      </c>
      <c r="H2238" t="s">
        <v>662</v>
      </c>
      <c r="I2238" t="s">
        <v>2271</v>
      </c>
      <c r="J2238">
        <v>711750</v>
      </c>
      <c r="K2238">
        <v>2025</v>
      </c>
      <c r="L2238">
        <v>1037665946</v>
      </c>
      <c r="M2238" t="s">
        <v>4381</v>
      </c>
      <c r="N2238" t="s">
        <v>1688</v>
      </c>
      <c r="O2238" t="s">
        <v>1686</v>
      </c>
      <c r="P2238">
        <v>0</v>
      </c>
      <c r="Q2238">
        <v>711750</v>
      </c>
      <c r="R2238">
        <v>0</v>
      </c>
      <c r="S2238">
        <v>0</v>
      </c>
      <c r="T2238" t="str">
        <f t="shared" si="68"/>
        <v>17522.43.4302.85.0-205128.2.3.3.08.06.</v>
      </c>
      <c r="U2238" t="e" cm="1">
        <f t="array" aca="1" ref="U2238" ca="1">+IF(COMPROMISOS_2025[[#This Row],[P]]="20","41080111",_xlfn.XLOOKUP(COMPROMISOS_2025[[#This Row],[concatenado]],PAA[[#All],[RCP-RUBRO]],PAA[[#All],[INDICADOR]],"",0))</f>
        <v>#NAME?</v>
      </c>
      <c r="V2238" s="144" t="str">
        <f t="shared" si="69"/>
        <v>85</v>
      </c>
      <c r="W2238" s="136">
        <f>+COMPROMISOS_2025[[#This Row],[valor_total]]-COMPROMISOS_2025[[#This Row],[total_cancelado]]</f>
        <v>711750</v>
      </c>
      <c r="X2238" s="136">
        <f>COMPROMISOS_2025[[#This Row],[total_ordenes]]</f>
        <v>711750</v>
      </c>
      <c r="Y2238" t="str" cm="1">
        <f t="array" aca="1" ref="Y2238" ca="1">IFERROR(_xlfn.XLOOKUP(COMPROMISOS_2025[[#This Row],[concatenado]],PAA[[#All],[RCP-RUBRO]],PAA[[#All],[Actividad3]],VLOOKUP(COMPROMISOS_2025[[#This Row],[Indicador Principal]],$AC$2:$AD$17,2,0),0),"")</f>
        <v/>
      </c>
    </row>
    <row r="2239" spans="1:25" hidden="1" x14ac:dyDescent="0.25">
      <c r="A2239">
        <v>1753</v>
      </c>
      <c r="B2239" t="s">
        <v>2491</v>
      </c>
      <c r="C2239" t="s">
        <v>1936</v>
      </c>
      <c r="D2239" t="s">
        <v>4182</v>
      </c>
      <c r="F2239">
        <v>406</v>
      </c>
      <c r="G2239">
        <v>65</v>
      </c>
      <c r="H2239" t="s">
        <v>662</v>
      </c>
      <c r="I2239" t="s">
        <v>2271</v>
      </c>
      <c r="J2239">
        <v>1423500</v>
      </c>
      <c r="K2239">
        <v>2025</v>
      </c>
      <c r="L2239">
        <v>1037666430</v>
      </c>
      <c r="M2239" t="s">
        <v>4085</v>
      </c>
      <c r="N2239" t="s">
        <v>1688</v>
      </c>
      <c r="O2239" t="s">
        <v>1686</v>
      </c>
      <c r="P2239">
        <v>0</v>
      </c>
      <c r="Q2239">
        <v>1423500</v>
      </c>
      <c r="R2239">
        <v>0</v>
      </c>
      <c r="S2239">
        <v>0</v>
      </c>
      <c r="T2239" t="str">
        <f t="shared" si="68"/>
        <v>17532.43.4302.85.0-205128.2.3.3.08.06.</v>
      </c>
      <c r="U2239" t="e" cm="1">
        <f t="array" aca="1" ref="U2239" ca="1">+IF(COMPROMISOS_2025[[#This Row],[P]]="20","41080111",_xlfn.XLOOKUP(COMPROMISOS_2025[[#This Row],[concatenado]],PAA[[#All],[RCP-RUBRO]],PAA[[#All],[INDICADOR]],"",0))</f>
        <v>#NAME?</v>
      </c>
      <c r="V2239" s="144" t="str">
        <f t="shared" si="69"/>
        <v>85</v>
      </c>
      <c r="W2239" s="136">
        <f>+COMPROMISOS_2025[[#This Row],[valor_total]]-COMPROMISOS_2025[[#This Row],[total_cancelado]]</f>
        <v>1423500</v>
      </c>
      <c r="X2239" s="136">
        <f>COMPROMISOS_2025[[#This Row],[total_ordenes]]</f>
        <v>1423500</v>
      </c>
      <c r="Y2239" t="str" cm="1">
        <f t="array" aca="1" ref="Y2239" ca="1">IFERROR(_xlfn.XLOOKUP(COMPROMISOS_2025[[#This Row],[concatenado]],PAA[[#All],[RCP-RUBRO]],PAA[[#All],[Actividad3]],VLOOKUP(COMPROMISOS_2025[[#This Row],[Indicador Principal]],$AC$2:$AD$17,2,0),0),"")</f>
        <v/>
      </c>
    </row>
    <row r="2240" spans="1:25" hidden="1" x14ac:dyDescent="0.25">
      <c r="A2240">
        <v>1754</v>
      </c>
      <c r="B2240" t="s">
        <v>2491</v>
      </c>
      <c r="C2240" t="s">
        <v>1936</v>
      </c>
      <c r="D2240" t="s">
        <v>4182</v>
      </c>
      <c r="F2240">
        <v>406</v>
      </c>
      <c r="G2240">
        <v>65</v>
      </c>
      <c r="H2240" t="s">
        <v>662</v>
      </c>
      <c r="I2240" t="s">
        <v>2271</v>
      </c>
      <c r="J2240">
        <v>2847000</v>
      </c>
      <c r="K2240">
        <v>2025</v>
      </c>
      <c r="L2240">
        <v>1037667511</v>
      </c>
      <c r="M2240" t="s">
        <v>3799</v>
      </c>
      <c r="N2240" t="s">
        <v>1688</v>
      </c>
      <c r="O2240" t="s">
        <v>1686</v>
      </c>
      <c r="P2240">
        <v>0</v>
      </c>
      <c r="Q2240">
        <v>2847000</v>
      </c>
      <c r="R2240">
        <v>0</v>
      </c>
      <c r="S2240">
        <v>0</v>
      </c>
      <c r="T2240" t="str">
        <f t="shared" si="68"/>
        <v>17542.43.4302.85.0-205128.2.3.3.08.06.</v>
      </c>
      <c r="U2240" t="e" cm="1">
        <f t="array" aca="1" ref="U2240" ca="1">+IF(COMPROMISOS_2025[[#This Row],[P]]="20","41080111",_xlfn.XLOOKUP(COMPROMISOS_2025[[#This Row],[concatenado]],PAA[[#All],[RCP-RUBRO]],PAA[[#All],[INDICADOR]],"",0))</f>
        <v>#NAME?</v>
      </c>
      <c r="V2240" s="144" t="str">
        <f t="shared" si="69"/>
        <v>85</v>
      </c>
      <c r="W2240" s="136">
        <f>+COMPROMISOS_2025[[#This Row],[valor_total]]-COMPROMISOS_2025[[#This Row],[total_cancelado]]</f>
        <v>2847000</v>
      </c>
      <c r="X2240" s="136">
        <f>COMPROMISOS_2025[[#This Row],[total_ordenes]]</f>
        <v>2847000</v>
      </c>
      <c r="Y2240" t="str" cm="1">
        <f t="array" aca="1" ref="Y2240" ca="1">IFERROR(_xlfn.XLOOKUP(COMPROMISOS_2025[[#This Row],[concatenado]],PAA[[#All],[RCP-RUBRO]],PAA[[#All],[Actividad3]],VLOOKUP(COMPROMISOS_2025[[#This Row],[Indicador Principal]],$AC$2:$AD$17,2,0),0),"")</f>
        <v/>
      </c>
    </row>
    <row r="2241" spans="1:25" hidden="1" x14ac:dyDescent="0.25">
      <c r="A2241">
        <v>1755</v>
      </c>
      <c r="B2241" t="s">
        <v>2491</v>
      </c>
      <c r="C2241" t="s">
        <v>1936</v>
      </c>
      <c r="D2241" t="s">
        <v>4182</v>
      </c>
      <c r="F2241">
        <v>406</v>
      </c>
      <c r="G2241">
        <v>65</v>
      </c>
      <c r="H2241" t="s">
        <v>662</v>
      </c>
      <c r="I2241" t="s">
        <v>2271</v>
      </c>
      <c r="J2241">
        <v>711750</v>
      </c>
      <c r="K2241">
        <v>2025</v>
      </c>
      <c r="L2241">
        <v>1037667906</v>
      </c>
      <c r="M2241" t="s">
        <v>4086</v>
      </c>
      <c r="N2241" t="s">
        <v>1688</v>
      </c>
      <c r="O2241" t="s">
        <v>1686</v>
      </c>
      <c r="P2241">
        <v>0</v>
      </c>
      <c r="Q2241">
        <v>711750</v>
      </c>
      <c r="R2241">
        <v>0</v>
      </c>
      <c r="S2241">
        <v>0</v>
      </c>
      <c r="T2241" t="str">
        <f t="shared" si="68"/>
        <v>17552.43.4302.85.0-205128.2.3.3.08.06.</v>
      </c>
      <c r="U2241" t="e" cm="1">
        <f t="array" aca="1" ref="U2241" ca="1">+IF(COMPROMISOS_2025[[#This Row],[P]]="20","41080111",_xlfn.XLOOKUP(COMPROMISOS_2025[[#This Row],[concatenado]],PAA[[#All],[RCP-RUBRO]],PAA[[#All],[INDICADOR]],"",0))</f>
        <v>#NAME?</v>
      </c>
      <c r="V2241" s="144" t="str">
        <f t="shared" si="69"/>
        <v>85</v>
      </c>
      <c r="W2241" s="136">
        <f>+COMPROMISOS_2025[[#This Row],[valor_total]]-COMPROMISOS_2025[[#This Row],[total_cancelado]]</f>
        <v>711750</v>
      </c>
      <c r="X2241" s="136">
        <f>COMPROMISOS_2025[[#This Row],[total_ordenes]]</f>
        <v>711750</v>
      </c>
      <c r="Y2241" t="str" cm="1">
        <f t="array" aca="1" ref="Y2241" ca="1">IFERROR(_xlfn.XLOOKUP(COMPROMISOS_2025[[#This Row],[concatenado]],PAA[[#All],[RCP-RUBRO]],PAA[[#All],[Actividad3]],VLOOKUP(COMPROMISOS_2025[[#This Row],[Indicador Principal]],$AC$2:$AD$17,2,0),0),"")</f>
        <v/>
      </c>
    </row>
    <row r="2242" spans="1:25" hidden="1" x14ac:dyDescent="0.25">
      <c r="A2242">
        <v>1756</v>
      </c>
      <c r="B2242" t="s">
        <v>2491</v>
      </c>
      <c r="C2242" t="s">
        <v>1936</v>
      </c>
      <c r="D2242" t="s">
        <v>4182</v>
      </c>
      <c r="F2242">
        <v>406</v>
      </c>
      <c r="G2242">
        <v>65</v>
      </c>
      <c r="H2242" t="s">
        <v>662</v>
      </c>
      <c r="I2242" t="s">
        <v>2271</v>
      </c>
      <c r="J2242">
        <v>1423500</v>
      </c>
      <c r="K2242">
        <v>2025</v>
      </c>
      <c r="L2242">
        <v>1037668563</v>
      </c>
      <c r="M2242" t="s">
        <v>4087</v>
      </c>
      <c r="N2242" t="s">
        <v>1688</v>
      </c>
      <c r="O2242" t="s">
        <v>1686</v>
      </c>
      <c r="P2242">
        <v>0</v>
      </c>
      <c r="Q2242">
        <v>1423500</v>
      </c>
      <c r="R2242">
        <v>0</v>
      </c>
      <c r="S2242">
        <v>0</v>
      </c>
      <c r="T2242" t="str">
        <f t="shared" ref="T2242:T2305" si="70">IF(A2242&gt;=0,CONCATENATE(A2242,H2242),"")</f>
        <v>17562.43.4302.85.0-205128.2.3.3.08.06.</v>
      </c>
      <c r="U2242" t="e" cm="1">
        <f t="array" aca="1" ref="U2242" ca="1">+IF(COMPROMISOS_2025[[#This Row],[P]]="20","41080111",_xlfn.XLOOKUP(COMPROMISOS_2025[[#This Row],[concatenado]],PAA[[#All],[RCP-RUBRO]],PAA[[#All],[INDICADOR]],"",0))</f>
        <v>#NAME?</v>
      </c>
      <c r="V2242" s="144" t="str">
        <f t="shared" ref="V2242:V2305" si="71">+MID(H2242,11,2)</f>
        <v>85</v>
      </c>
      <c r="W2242" s="136">
        <f>+COMPROMISOS_2025[[#This Row],[valor_total]]-COMPROMISOS_2025[[#This Row],[total_cancelado]]</f>
        <v>1423500</v>
      </c>
      <c r="X2242" s="136">
        <f>COMPROMISOS_2025[[#This Row],[total_ordenes]]</f>
        <v>1423500</v>
      </c>
      <c r="Y2242" t="str" cm="1">
        <f t="array" aca="1" ref="Y2242" ca="1">IFERROR(_xlfn.XLOOKUP(COMPROMISOS_2025[[#This Row],[concatenado]],PAA[[#All],[RCP-RUBRO]],PAA[[#All],[Actividad3]],VLOOKUP(COMPROMISOS_2025[[#This Row],[Indicador Principal]],$AC$2:$AD$17,2,0),0),"")</f>
        <v/>
      </c>
    </row>
    <row r="2243" spans="1:25" hidden="1" x14ac:dyDescent="0.25">
      <c r="A2243">
        <v>1757</v>
      </c>
      <c r="B2243" t="s">
        <v>2491</v>
      </c>
      <c r="C2243" t="s">
        <v>1936</v>
      </c>
      <c r="D2243" t="s">
        <v>4182</v>
      </c>
      <c r="F2243">
        <v>406</v>
      </c>
      <c r="G2243">
        <v>65</v>
      </c>
      <c r="H2243" t="s">
        <v>662</v>
      </c>
      <c r="I2243" t="s">
        <v>2271</v>
      </c>
      <c r="J2243">
        <v>711750</v>
      </c>
      <c r="K2243">
        <v>2025</v>
      </c>
      <c r="L2243">
        <v>1037672105</v>
      </c>
      <c r="M2243" t="s">
        <v>4382</v>
      </c>
      <c r="N2243" t="s">
        <v>1688</v>
      </c>
      <c r="O2243" t="s">
        <v>1686</v>
      </c>
      <c r="P2243">
        <v>0</v>
      </c>
      <c r="Q2243">
        <v>711750</v>
      </c>
      <c r="R2243">
        <v>0</v>
      </c>
      <c r="S2243">
        <v>0</v>
      </c>
      <c r="T2243" t="str">
        <f t="shared" si="70"/>
        <v>17572.43.4302.85.0-205128.2.3.3.08.06.</v>
      </c>
      <c r="U2243" t="e" cm="1">
        <f t="array" aca="1" ref="U2243" ca="1">+IF(COMPROMISOS_2025[[#This Row],[P]]="20","41080111",_xlfn.XLOOKUP(COMPROMISOS_2025[[#This Row],[concatenado]],PAA[[#All],[RCP-RUBRO]],PAA[[#All],[INDICADOR]],"",0))</f>
        <v>#NAME?</v>
      </c>
      <c r="V2243" s="144" t="str">
        <f t="shared" si="71"/>
        <v>85</v>
      </c>
      <c r="W2243" s="136">
        <f>+COMPROMISOS_2025[[#This Row],[valor_total]]-COMPROMISOS_2025[[#This Row],[total_cancelado]]</f>
        <v>711750</v>
      </c>
      <c r="X2243" s="136">
        <f>COMPROMISOS_2025[[#This Row],[total_ordenes]]</f>
        <v>711750</v>
      </c>
      <c r="Y2243" t="str" cm="1">
        <f t="array" aca="1" ref="Y2243" ca="1">IFERROR(_xlfn.XLOOKUP(COMPROMISOS_2025[[#This Row],[concatenado]],PAA[[#All],[RCP-RUBRO]],PAA[[#All],[Actividad3]],VLOOKUP(COMPROMISOS_2025[[#This Row],[Indicador Principal]],$AC$2:$AD$17,2,0),0),"")</f>
        <v/>
      </c>
    </row>
    <row r="2244" spans="1:25" hidden="1" x14ac:dyDescent="0.25">
      <c r="A2244">
        <v>1758</v>
      </c>
      <c r="B2244" t="s">
        <v>2491</v>
      </c>
      <c r="C2244" t="s">
        <v>1936</v>
      </c>
      <c r="D2244" t="s">
        <v>4182</v>
      </c>
      <c r="F2244">
        <v>406</v>
      </c>
      <c r="G2244">
        <v>65</v>
      </c>
      <c r="H2244" t="s">
        <v>662</v>
      </c>
      <c r="I2244" t="s">
        <v>2271</v>
      </c>
      <c r="J2244">
        <v>711750</v>
      </c>
      <c r="K2244">
        <v>2025</v>
      </c>
      <c r="L2244">
        <v>1037886705</v>
      </c>
      <c r="M2244" t="s">
        <v>3800</v>
      </c>
      <c r="N2244" t="s">
        <v>1688</v>
      </c>
      <c r="O2244" t="s">
        <v>1686</v>
      </c>
      <c r="P2244">
        <v>0</v>
      </c>
      <c r="Q2244">
        <v>711750</v>
      </c>
      <c r="R2244">
        <v>0</v>
      </c>
      <c r="S2244">
        <v>0</v>
      </c>
      <c r="T2244" t="str">
        <f t="shared" si="70"/>
        <v>17582.43.4302.85.0-205128.2.3.3.08.06.</v>
      </c>
      <c r="U2244" t="e" cm="1">
        <f t="array" aca="1" ref="U2244" ca="1">+IF(COMPROMISOS_2025[[#This Row],[P]]="20","41080111",_xlfn.XLOOKUP(COMPROMISOS_2025[[#This Row],[concatenado]],PAA[[#All],[RCP-RUBRO]],PAA[[#All],[INDICADOR]],"",0))</f>
        <v>#NAME?</v>
      </c>
      <c r="V2244" s="144" t="str">
        <f t="shared" si="71"/>
        <v>85</v>
      </c>
      <c r="W2244" s="136">
        <f>+COMPROMISOS_2025[[#This Row],[valor_total]]-COMPROMISOS_2025[[#This Row],[total_cancelado]]</f>
        <v>711750</v>
      </c>
      <c r="X2244" s="136">
        <f>COMPROMISOS_2025[[#This Row],[total_ordenes]]</f>
        <v>711750</v>
      </c>
      <c r="Y2244" t="str" cm="1">
        <f t="array" aca="1" ref="Y2244" ca="1">IFERROR(_xlfn.XLOOKUP(COMPROMISOS_2025[[#This Row],[concatenado]],PAA[[#All],[RCP-RUBRO]],PAA[[#All],[Actividad3]],VLOOKUP(COMPROMISOS_2025[[#This Row],[Indicador Principal]],$AC$2:$AD$17,2,0),0),"")</f>
        <v/>
      </c>
    </row>
    <row r="2245" spans="1:25" hidden="1" x14ac:dyDescent="0.25">
      <c r="A2245">
        <v>1759</v>
      </c>
      <c r="B2245" t="s">
        <v>2491</v>
      </c>
      <c r="C2245" t="s">
        <v>1936</v>
      </c>
      <c r="D2245" t="s">
        <v>4182</v>
      </c>
      <c r="F2245">
        <v>406</v>
      </c>
      <c r="G2245">
        <v>65</v>
      </c>
      <c r="H2245" t="s">
        <v>662</v>
      </c>
      <c r="I2245" t="s">
        <v>2271</v>
      </c>
      <c r="J2245">
        <v>711750</v>
      </c>
      <c r="K2245">
        <v>2025</v>
      </c>
      <c r="L2245">
        <v>1038095452</v>
      </c>
      <c r="M2245" t="s">
        <v>4383</v>
      </c>
      <c r="N2245" t="s">
        <v>1688</v>
      </c>
      <c r="O2245" t="s">
        <v>1686</v>
      </c>
      <c r="P2245">
        <v>0</v>
      </c>
      <c r="Q2245">
        <v>711750</v>
      </c>
      <c r="R2245">
        <v>0</v>
      </c>
      <c r="S2245">
        <v>0</v>
      </c>
      <c r="T2245" t="str">
        <f t="shared" si="70"/>
        <v>17592.43.4302.85.0-205128.2.3.3.08.06.</v>
      </c>
      <c r="U2245" t="e" cm="1">
        <f t="array" aca="1" ref="U2245" ca="1">+IF(COMPROMISOS_2025[[#This Row],[P]]="20","41080111",_xlfn.XLOOKUP(COMPROMISOS_2025[[#This Row],[concatenado]],PAA[[#All],[RCP-RUBRO]],PAA[[#All],[INDICADOR]],"",0))</f>
        <v>#NAME?</v>
      </c>
      <c r="V2245" s="144" t="str">
        <f t="shared" si="71"/>
        <v>85</v>
      </c>
      <c r="W2245" s="136">
        <f>+COMPROMISOS_2025[[#This Row],[valor_total]]-COMPROMISOS_2025[[#This Row],[total_cancelado]]</f>
        <v>711750</v>
      </c>
      <c r="X2245" s="136">
        <f>COMPROMISOS_2025[[#This Row],[total_ordenes]]</f>
        <v>711750</v>
      </c>
      <c r="Y2245" t="str" cm="1">
        <f t="array" aca="1" ref="Y2245" ca="1">IFERROR(_xlfn.XLOOKUP(COMPROMISOS_2025[[#This Row],[concatenado]],PAA[[#All],[RCP-RUBRO]],PAA[[#All],[Actividad3]],VLOOKUP(COMPROMISOS_2025[[#This Row],[Indicador Principal]],$AC$2:$AD$17,2,0),0),"")</f>
        <v/>
      </c>
    </row>
    <row r="2246" spans="1:25" hidden="1" x14ac:dyDescent="0.25">
      <c r="A2246">
        <v>1760</v>
      </c>
      <c r="B2246" t="s">
        <v>2491</v>
      </c>
      <c r="C2246" t="s">
        <v>1936</v>
      </c>
      <c r="D2246" t="s">
        <v>4182</v>
      </c>
      <c r="F2246">
        <v>406</v>
      </c>
      <c r="G2246">
        <v>65</v>
      </c>
      <c r="H2246" t="s">
        <v>662</v>
      </c>
      <c r="I2246" t="s">
        <v>2271</v>
      </c>
      <c r="J2246">
        <v>711750</v>
      </c>
      <c r="K2246">
        <v>2025</v>
      </c>
      <c r="L2246">
        <v>1038122320</v>
      </c>
      <c r="M2246" t="s">
        <v>4384</v>
      </c>
      <c r="N2246" t="s">
        <v>1688</v>
      </c>
      <c r="O2246" t="s">
        <v>1686</v>
      </c>
      <c r="P2246">
        <v>0</v>
      </c>
      <c r="Q2246">
        <v>711750</v>
      </c>
      <c r="R2246">
        <v>0</v>
      </c>
      <c r="S2246">
        <v>0</v>
      </c>
      <c r="T2246" t="str">
        <f t="shared" si="70"/>
        <v>17602.43.4302.85.0-205128.2.3.3.08.06.</v>
      </c>
      <c r="U2246" t="e" cm="1">
        <f t="array" aca="1" ref="U2246" ca="1">+IF(COMPROMISOS_2025[[#This Row],[P]]="20","41080111",_xlfn.XLOOKUP(COMPROMISOS_2025[[#This Row],[concatenado]],PAA[[#All],[RCP-RUBRO]],PAA[[#All],[INDICADOR]],"",0))</f>
        <v>#NAME?</v>
      </c>
      <c r="V2246" s="144" t="str">
        <f t="shared" si="71"/>
        <v>85</v>
      </c>
      <c r="W2246" s="136">
        <f>+COMPROMISOS_2025[[#This Row],[valor_total]]-COMPROMISOS_2025[[#This Row],[total_cancelado]]</f>
        <v>711750</v>
      </c>
      <c r="X2246" s="136">
        <f>COMPROMISOS_2025[[#This Row],[total_ordenes]]</f>
        <v>711750</v>
      </c>
      <c r="Y2246" t="str" cm="1">
        <f t="array" aca="1" ref="Y2246" ca="1">IFERROR(_xlfn.XLOOKUP(COMPROMISOS_2025[[#This Row],[concatenado]],PAA[[#All],[RCP-RUBRO]],PAA[[#All],[Actividad3]],VLOOKUP(COMPROMISOS_2025[[#This Row],[Indicador Principal]],$AC$2:$AD$17,2,0),0),"")</f>
        <v/>
      </c>
    </row>
    <row r="2247" spans="1:25" hidden="1" x14ac:dyDescent="0.25">
      <c r="A2247">
        <v>1761</v>
      </c>
      <c r="B2247" t="s">
        <v>2491</v>
      </c>
      <c r="C2247" t="s">
        <v>1936</v>
      </c>
      <c r="D2247" t="s">
        <v>4182</v>
      </c>
      <c r="F2247">
        <v>406</v>
      </c>
      <c r="G2247">
        <v>65</v>
      </c>
      <c r="H2247" t="s">
        <v>662</v>
      </c>
      <c r="I2247" t="s">
        <v>2271</v>
      </c>
      <c r="J2247">
        <v>711750</v>
      </c>
      <c r="K2247">
        <v>2025</v>
      </c>
      <c r="L2247">
        <v>1038262764</v>
      </c>
      <c r="M2247" t="s">
        <v>4385</v>
      </c>
      <c r="N2247" t="s">
        <v>1688</v>
      </c>
      <c r="O2247" t="s">
        <v>1686</v>
      </c>
      <c r="P2247">
        <v>0</v>
      </c>
      <c r="Q2247">
        <v>711750</v>
      </c>
      <c r="R2247">
        <v>0</v>
      </c>
      <c r="S2247">
        <v>0</v>
      </c>
      <c r="T2247" t="str">
        <f t="shared" si="70"/>
        <v>17612.43.4302.85.0-205128.2.3.3.08.06.</v>
      </c>
      <c r="U2247" t="e" cm="1">
        <f t="array" aca="1" ref="U2247" ca="1">+IF(COMPROMISOS_2025[[#This Row],[P]]="20","41080111",_xlfn.XLOOKUP(COMPROMISOS_2025[[#This Row],[concatenado]],PAA[[#All],[RCP-RUBRO]],PAA[[#All],[INDICADOR]],"",0))</f>
        <v>#NAME?</v>
      </c>
      <c r="V2247" s="144" t="str">
        <f t="shared" si="71"/>
        <v>85</v>
      </c>
      <c r="W2247" s="136">
        <f>+COMPROMISOS_2025[[#This Row],[valor_total]]-COMPROMISOS_2025[[#This Row],[total_cancelado]]</f>
        <v>711750</v>
      </c>
      <c r="X2247" s="136">
        <f>COMPROMISOS_2025[[#This Row],[total_ordenes]]</f>
        <v>711750</v>
      </c>
      <c r="Y2247" t="str" cm="1">
        <f t="array" aca="1" ref="Y2247" ca="1">IFERROR(_xlfn.XLOOKUP(COMPROMISOS_2025[[#This Row],[concatenado]],PAA[[#All],[RCP-RUBRO]],PAA[[#All],[Actividad3]],VLOOKUP(COMPROMISOS_2025[[#This Row],[Indicador Principal]],$AC$2:$AD$17,2,0),0),"")</f>
        <v/>
      </c>
    </row>
    <row r="2248" spans="1:25" hidden="1" x14ac:dyDescent="0.25">
      <c r="A2248">
        <v>1762</v>
      </c>
      <c r="B2248" t="s">
        <v>2491</v>
      </c>
      <c r="C2248" t="s">
        <v>1936</v>
      </c>
      <c r="D2248" t="s">
        <v>4182</v>
      </c>
      <c r="F2248">
        <v>406</v>
      </c>
      <c r="G2248">
        <v>65</v>
      </c>
      <c r="H2248" t="s">
        <v>662</v>
      </c>
      <c r="I2248" t="s">
        <v>2271</v>
      </c>
      <c r="J2248">
        <v>711750</v>
      </c>
      <c r="K2248">
        <v>2025</v>
      </c>
      <c r="L2248">
        <v>1038263153</v>
      </c>
      <c r="M2248" t="s">
        <v>3801</v>
      </c>
      <c r="N2248" t="s">
        <v>1688</v>
      </c>
      <c r="O2248" t="s">
        <v>1686</v>
      </c>
      <c r="P2248">
        <v>0</v>
      </c>
      <c r="Q2248">
        <v>711750</v>
      </c>
      <c r="R2248">
        <v>0</v>
      </c>
      <c r="S2248">
        <v>0</v>
      </c>
      <c r="T2248" t="str">
        <f t="shared" si="70"/>
        <v>17622.43.4302.85.0-205128.2.3.3.08.06.</v>
      </c>
      <c r="U2248" t="e" cm="1">
        <f t="array" aca="1" ref="U2248" ca="1">+IF(COMPROMISOS_2025[[#This Row],[P]]="20","41080111",_xlfn.XLOOKUP(COMPROMISOS_2025[[#This Row],[concatenado]],PAA[[#All],[RCP-RUBRO]],PAA[[#All],[INDICADOR]],"",0))</f>
        <v>#NAME?</v>
      </c>
      <c r="V2248" s="144" t="str">
        <f t="shared" si="71"/>
        <v>85</v>
      </c>
      <c r="W2248" s="136">
        <f>+COMPROMISOS_2025[[#This Row],[valor_total]]-COMPROMISOS_2025[[#This Row],[total_cancelado]]</f>
        <v>711750</v>
      </c>
      <c r="X2248" s="136">
        <f>COMPROMISOS_2025[[#This Row],[total_ordenes]]</f>
        <v>711750</v>
      </c>
      <c r="Y2248" t="str" cm="1">
        <f t="array" aca="1" ref="Y2248" ca="1">IFERROR(_xlfn.XLOOKUP(COMPROMISOS_2025[[#This Row],[concatenado]],PAA[[#All],[RCP-RUBRO]],PAA[[#All],[Actividad3]],VLOOKUP(COMPROMISOS_2025[[#This Row],[Indicador Principal]],$AC$2:$AD$17,2,0),0),"")</f>
        <v/>
      </c>
    </row>
    <row r="2249" spans="1:25" hidden="1" x14ac:dyDescent="0.25">
      <c r="A2249">
        <v>1763</v>
      </c>
      <c r="B2249" t="s">
        <v>2491</v>
      </c>
      <c r="C2249" t="s">
        <v>1936</v>
      </c>
      <c r="D2249" t="s">
        <v>4182</v>
      </c>
      <c r="F2249">
        <v>406</v>
      </c>
      <c r="G2249">
        <v>65</v>
      </c>
      <c r="H2249" t="s">
        <v>662</v>
      </c>
      <c r="I2249" t="s">
        <v>2271</v>
      </c>
      <c r="J2249">
        <v>711750</v>
      </c>
      <c r="K2249">
        <v>2025</v>
      </c>
      <c r="L2249">
        <v>1038358859</v>
      </c>
      <c r="M2249" t="s">
        <v>3802</v>
      </c>
      <c r="N2249" t="s">
        <v>1688</v>
      </c>
      <c r="O2249" t="s">
        <v>1686</v>
      </c>
      <c r="P2249">
        <v>0</v>
      </c>
      <c r="Q2249">
        <v>711750</v>
      </c>
      <c r="R2249">
        <v>0</v>
      </c>
      <c r="S2249">
        <v>0</v>
      </c>
      <c r="T2249" t="str">
        <f t="shared" si="70"/>
        <v>17632.43.4302.85.0-205128.2.3.3.08.06.</v>
      </c>
      <c r="U2249" t="e" cm="1">
        <f t="array" aca="1" ref="U2249" ca="1">+IF(COMPROMISOS_2025[[#This Row],[P]]="20","41080111",_xlfn.XLOOKUP(COMPROMISOS_2025[[#This Row],[concatenado]],PAA[[#All],[RCP-RUBRO]],PAA[[#All],[INDICADOR]],"",0))</f>
        <v>#NAME?</v>
      </c>
      <c r="V2249" s="144" t="str">
        <f t="shared" si="71"/>
        <v>85</v>
      </c>
      <c r="W2249" s="136">
        <f>+COMPROMISOS_2025[[#This Row],[valor_total]]-COMPROMISOS_2025[[#This Row],[total_cancelado]]</f>
        <v>711750</v>
      </c>
      <c r="X2249" s="136">
        <f>COMPROMISOS_2025[[#This Row],[total_ordenes]]</f>
        <v>711750</v>
      </c>
      <c r="Y2249" t="str" cm="1">
        <f t="array" aca="1" ref="Y2249" ca="1">IFERROR(_xlfn.XLOOKUP(COMPROMISOS_2025[[#This Row],[concatenado]],PAA[[#All],[RCP-RUBRO]],PAA[[#All],[Actividad3]],VLOOKUP(COMPROMISOS_2025[[#This Row],[Indicador Principal]],$AC$2:$AD$17,2,0),0),"")</f>
        <v/>
      </c>
    </row>
    <row r="2250" spans="1:25" hidden="1" x14ac:dyDescent="0.25">
      <c r="A2250">
        <v>1764</v>
      </c>
      <c r="B2250" t="s">
        <v>2491</v>
      </c>
      <c r="C2250" t="s">
        <v>1936</v>
      </c>
      <c r="D2250" t="s">
        <v>4182</v>
      </c>
      <c r="F2250">
        <v>406</v>
      </c>
      <c r="G2250">
        <v>65</v>
      </c>
      <c r="H2250" t="s">
        <v>662</v>
      </c>
      <c r="I2250" t="s">
        <v>2271</v>
      </c>
      <c r="J2250">
        <v>1423500</v>
      </c>
      <c r="K2250">
        <v>2025</v>
      </c>
      <c r="L2250">
        <v>1038407424</v>
      </c>
      <c r="M2250" t="s">
        <v>4088</v>
      </c>
      <c r="N2250" t="s">
        <v>1688</v>
      </c>
      <c r="O2250" t="s">
        <v>1686</v>
      </c>
      <c r="P2250">
        <v>0</v>
      </c>
      <c r="Q2250">
        <v>1423500</v>
      </c>
      <c r="R2250">
        <v>0</v>
      </c>
      <c r="S2250">
        <v>0</v>
      </c>
      <c r="T2250" t="str">
        <f t="shared" si="70"/>
        <v>17642.43.4302.85.0-205128.2.3.3.08.06.</v>
      </c>
      <c r="U2250" t="e" cm="1">
        <f t="array" aca="1" ref="U2250" ca="1">+IF(COMPROMISOS_2025[[#This Row],[P]]="20","41080111",_xlfn.XLOOKUP(COMPROMISOS_2025[[#This Row],[concatenado]],PAA[[#All],[RCP-RUBRO]],PAA[[#All],[INDICADOR]],"",0))</f>
        <v>#NAME?</v>
      </c>
      <c r="V2250" s="144" t="str">
        <f t="shared" si="71"/>
        <v>85</v>
      </c>
      <c r="W2250" s="136">
        <f>+COMPROMISOS_2025[[#This Row],[valor_total]]-COMPROMISOS_2025[[#This Row],[total_cancelado]]</f>
        <v>1423500</v>
      </c>
      <c r="X2250" s="136">
        <f>COMPROMISOS_2025[[#This Row],[total_ordenes]]</f>
        <v>1423500</v>
      </c>
      <c r="Y2250" t="str" cm="1">
        <f t="array" aca="1" ref="Y2250" ca="1">IFERROR(_xlfn.XLOOKUP(COMPROMISOS_2025[[#This Row],[concatenado]],PAA[[#All],[RCP-RUBRO]],PAA[[#All],[Actividad3]],VLOOKUP(COMPROMISOS_2025[[#This Row],[Indicador Principal]],$AC$2:$AD$17,2,0),0),"")</f>
        <v/>
      </c>
    </row>
    <row r="2251" spans="1:25" hidden="1" x14ac:dyDescent="0.25">
      <c r="A2251">
        <v>1765</v>
      </c>
      <c r="B2251" t="s">
        <v>2491</v>
      </c>
      <c r="C2251" t="s">
        <v>1936</v>
      </c>
      <c r="D2251" t="s">
        <v>4182</v>
      </c>
      <c r="F2251">
        <v>406</v>
      </c>
      <c r="G2251">
        <v>65</v>
      </c>
      <c r="H2251" t="s">
        <v>662</v>
      </c>
      <c r="I2251" t="s">
        <v>2271</v>
      </c>
      <c r="J2251">
        <v>1423500</v>
      </c>
      <c r="K2251">
        <v>2025</v>
      </c>
      <c r="L2251">
        <v>1038417113</v>
      </c>
      <c r="M2251" t="s">
        <v>3803</v>
      </c>
      <c r="N2251" t="s">
        <v>1688</v>
      </c>
      <c r="O2251" t="s">
        <v>1686</v>
      </c>
      <c r="P2251">
        <v>0</v>
      </c>
      <c r="Q2251">
        <v>1423500</v>
      </c>
      <c r="R2251">
        <v>0</v>
      </c>
      <c r="S2251">
        <v>0</v>
      </c>
      <c r="T2251" t="str">
        <f t="shared" si="70"/>
        <v>17652.43.4302.85.0-205128.2.3.3.08.06.</v>
      </c>
      <c r="U2251" t="e" cm="1">
        <f t="array" aca="1" ref="U2251" ca="1">+IF(COMPROMISOS_2025[[#This Row],[P]]="20","41080111",_xlfn.XLOOKUP(COMPROMISOS_2025[[#This Row],[concatenado]],PAA[[#All],[RCP-RUBRO]],PAA[[#All],[INDICADOR]],"",0))</f>
        <v>#NAME?</v>
      </c>
      <c r="V2251" s="144" t="str">
        <f t="shared" si="71"/>
        <v>85</v>
      </c>
      <c r="W2251" s="136">
        <f>+COMPROMISOS_2025[[#This Row],[valor_total]]-COMPROMISOS_2025[[#This Row],[total_cancelado]]</f>
        <v>1423500</v>
      </c>
      <c r="X2251" s="136">
        <f>COMPROMISOS_2025[[#This Row],[total_ordenes]]</f>
        <v>1423500</v>
      </c>
      <c r="Y2251" t="str" cm="1">
        <f t="array" aca="1" ref="Y2251" ca="1">IFERROR(_xlfn.XLOOKUP(COMPROMISOS_2025[[#This Row],[concatenado]],PAA[[#All],[RCP-RUBRO]],PAA[[#All],[Actividad3]],VLOOKUP(COMPROMISOS_2025[[#This Row],[Indicador Principal]],$AC$2:$AD$17,2,0),0),"")</f>
        <v/>
      </c>
    </row>
    <row r="2252" spans="1:25" hidden="1" x14ac:dyDescent="0.25">
      <c r="A2252">
        <v>1766</v>
      </c>
      <c r="B2252" t="s">
        <v>2491</v>
      </c>
      <c r="C2252" t="s">
        <v>1936</v>
      </c>
      <c r="D2252" t="s">
        <v>4182</v>
      </c>
      <c r="F2252">
        <v>406</v>
      </c>
      <c r="G2252">
        <v>65</v>
      </c>
      <c r="H2252" t="s">
        <v>662</v>
      </c>
      <c r="I2252" t="s">
        <v>2271</v>
      </c>
      <c r="J2252">
        <v>1423500</v>
      </c>
      <c r="K2252">
        <v>2025</v>
      </c>
      <c r="L2252">
        <v>1038417807</v>
      </c>
      <c r="M2252" t="s">
        <v>4089</v>
      </c>
      <c r="N2252" t="s">
        <v>1688</v>
      </c>
      <c r="O2252" t="s">
        <v>1686</v>
      </c>
      <c r="P2252">
        <v>0</v>
      </c>
      <c r="Q2252">
        <v>1423500</v>
      </c>
      <c r="R2252">
        <v>0</v>
      </c>
      <c r="S2252">
        <v>0</v>
      </c>
      <c r="T2252" t="str">
        <f t="shared" si="70"/>
        <v>17662.43.4302.85.0-205128.2.3.3.08.06.</v>
      </c>
      <c r="U2252" t="e" cm="1">
        <f t="array" aca="1" ref="U2252" ca="1">+IF(COMPROMISOS_2025[[#This Row],[P]]="20","41080111",_xlfn.XLOOKUP(COMPROMISOS_2025[[#This Row],[concatenado]],PAA[[#All],[RCP-RUBRO]],PAA[[#All],[INDICADOR]],"",0))</f>
        <v>#NAME?</v>
      </c>
      <c r="V2252" s="144" t="str">
        <f t="shared" si="71"/>
        <v>85</v>
      </c>
      <c r="W2252" s="136">
        <f>+COMPROMISOS_2025[[#This Row],[valor_total]]-COMPROMISOS_2025[[#This Row],[total_cancelado]]</f>
        <v>1423500</v>
      </c>
      <c r="X2252" s="136">
        <f>COMPROMISOS_2025[[#This Row],[total_ordenes]]</f>
        <v>1423500</v>
      </c>
      <c r="Y2252" t="str" cm="1">
        <f t="array" aca="1" ref="Y2252" ca="1">IFERROR(_xlfn.XLOOKUP(COMPROMISOS_2025[[#This Row],[concatenado]],PAA[[#All],[RCP-RUBRO]],PAA[[#All],[Actividad3]],VLOOKUP(COMPROMISOS_2025[[#This Row],[Indicador Principal]],$AC$2:$AD$17,2,0),0),"")</f>
        <v/>
      </c>
    </row>
    <row r="2253" spans="1:25" hidden="1" x14ac:dyDescent="0.25">
      <c r="A2253">
        <v>1767</v>
      </c>
      <c r="B2253" t="s">
        <v>2491</v>
      </c>
      <c r="C2253" t="s">
        <v>1936</v>
      </c>
      <c r="D2253" t="s">
        <v>4182</v>
      </c>
      <c r="F2253">
        <v>406</v>
      </c>
      <c r="G2253">
        <v>65</v>
      </c>
      <c r="H2253" t="s">
        <v>662</v>
      </c>
      <c r="I2253" t="s">
        <v>2271</v>
      </c>
      <c r="J2253">
        <v>1423500</v>
      </c>
      <c r="K2253">
        <v>2025</v>
      </c>
      <c r="L2253">
        <v>1038646867</v>
      </c>
      <c r="M2253" t="s">
        <v>4386</v>
      </c>
      <c r="N2253" t="s">
        <v>1688</v>
      </c>
      <c r="O2253" t="s">
        <v>1686</v>
      </c>
      <c r="P2253">
        <v>0</v>
      </c>
      <c r="Q2253">
        <v>1423500</v>
      </c>
      <c r="R2253">
        <v>0</v>
      </c>
      <c r="S2253">
        <v>0</v>
      </c>
      <c r="T2253" t="str">
        <f t="shared" si="70"/>
        <v>17672.43.4302.85.0-205128.2.3.3.08.06.</v>
      </c>
      <c r="U2253" t="e" cm="1">
        <f t="array" aca="1" ref="U2253" ca="1">+IF(COMPROMISOS_2025[[#This Row],[P]]="20","41080111",_xlfn.XLOOKUP(COMPROMISOS_2025[[#This Row],[concatenado]],PAA[[#All],[RCP-RUBRO]],PAA[[#All],[INDICADOR]],"",0))</f>
        <v>#NAME?</v>
      </c>
      <c r="V2253" s="144" t="str">
        <f t="shared" si="71"/>
        <v>85</v>
      </c>
      <c r="W2253" s="136">
        <f>+COMPROMISOS_2025[[#This Row],[valor_total]]-COMPROMISOS_2025[[#This Row],[total_cancelado]]</f>
        <v>1423500</v>
      </c>
      <c r="X2253" s="136">
        <f>COMPROMISOS_2025[[#This Row],[total_ordenes]]</f>
        <v>1423500</v>
      </c>
      <c r="Y2253" t="str" cm="1">
        <f t="array" aca="1" ref="Y2253" ca="1">IFERROR(_xlfn.XLOOKUP(COMPROMISOS_2025[[#This Row],[concatenado]],PAA[[#All],[RCP-RUBRO]],PAA[[#All],[Actividad3]],VLOOKUP(COMPROMISOS_2025[[#This Row],[Indicador Principal]],$AC$2:$AD$17,2,0),0),"")</f>
        <v/>
      </c>
    </row>
    <row r="2254" spans="1:25" hidden="1" x14ac:dyDescent="0.25">
      <c r="A2254">
        <v>1768</v>
      </c>
      <c r="B2254" t="s">
        <v>2491</v>
      </c>
      <c r="C2254" t="s">
        <v>1936</v>
      </c>
      <c r="D2254" t="s">
        <v>4182</v>
      </c>
      <c r="F2254">
        <v>406</v>
      </c>
      <c r="G2254">
        <v>65</v>
      </c>
      <c r="H2254" t="s">
        <v>662</v>
      </c>
      <c r="I2254" t="s">
        <v>2271</v>
      </c>
      <c r="J2254">
        <v>711750</v>
      </c>
      <c r="K2254">
        <v>2025</v>
      </c>
      <c r="L2254">
        <v>1038647619</v>
      </c>
      <c r="M2254" t="s">
        <v>3804</v>
      </c>
      <c r="N2254" t="s">
        <v>1688</v>
      </c>
      <c r="O2254" t="s">
        <v>1686</v>
      </c>
      <c r="P2254">
        <v>0</v>
      </c>
      <c r="Q2254">
        <v>711750</v>
      </c>
      <c r="R2254">
        <v>0</v>
      </c>
      <c r="S2254">
        <v>0</v>
      </c>
      <c r="T2254" t="str">
        <f t="shared" si="70"/>
        <v>17682.43.4302.85.0-205128.2.3.3.08.06.</v>
      </c>
      <c r="U2254" t="e" cm="1">
        <f t="array" aca="1" ref="U2254" ca="1">+IF(COMPROMISOS_2025[[#This Row],[P]]="20","41080111",_xlfn.XLOOKUP(COMPROMISOS_2025[[#This Row],[concatenado]],PAA[[#All],[RCP-RUBRO]],PAA[[#All],[INDICADOR]],"",0))</f>
        <v>#NAME?</v>
      </c>
      <c r="V2254" s="144" t="str">
        <f t="shared" si="71"/>
        <v>85</v>
      </c>
      <c r="W2254" s="136">
        <f>+COMPROMISOS_2025[[#This Row],[valor_total]]-COMPROMISOS_2025[[#This Row],[total_cancelado]]</f>
        <v>711750</v>
      </c>
      <c r="X2254" s="136">
        <f>COMPROMISOS_2025[[#This Row],[total_ordenes]]</f>
        <v>711750</v>
      </c>
      <c r="Y2254" t="str" cm="1">
        <f t="array" aca="1" ref="Y2254" ca="1">IFERROR(_xlfn.XLOOKUP(COMPROMISOS_2025[[#This Row],[concatenado]],PAA[[#All],[RCP-RUBRO]],PAA[[#All],[Actividad3]],VLOOKUP(COMPROMISOS_2025[[#This Row],[Indicador Principal]],$AC$2:$AD$17,2,0),0),"")</f>
        <v/>
      </c>
    </row>
    <row r="2255" spans="1:25" hidden="1" x14ac:dyDescent="0.25">
      <c r="A2255">
        <v>1769</v>
      </c>
      <c r="B2255" t="s">
        <v>2491</v>
      </c>
      <c r="C2255" t="s">
        <v>1936</v>
      </c>
      <c r="D2255" t="s">
        <v>4182</v>
      </c>
      <c r="F2255">
        <v>406</v>
      </c>
      <c r="G2255">
        <v>65</v>
      </c>
      <c r="H2255" t="s">
        <v>662</v>
      </c>
      <c r="I2255" t="s">
        <v>2271</v>
      </c>
      <c r="J2255">
        <v>1423500</v>
      </c>
      <c r="K2255">
        <v>2025</v>
      </c>
      <c r="L2255">
        <v>1038796699</v>
      </c>
      <c r="M2255" t="s">
        <v>4387</v>
      </c>
      <c r="N2255" t="s">
        <v>1688</v>
      </c>
      <c r="O2255" t="s">
        <v>1686</v>
      </c>
      <c r="P2255">
        <v>0</v>
      </c>
      <c r="Q2255">
        <v>1423500</v>
      </c>
      <c r="R2255">
        <v>0</v>
      </c>
      <c r="S2255">
        <v>0</v>
      </c>
      <c r="T2255" t="str">
        <f t="shared" si="70"/>
        <v>17692.43.4302.85.0-205128.2.3.3.08.06.</v>
      </c>
      <c r="U2255" t="e" cm="1">
        <f t="array" aca="1" ref="U2255" ca="1">+IF(COMPROMISOS_2025[[#This Row],[P]]="20","41080111",_xlfn.XLOOKUP(COMPROMISOS_2025[[#This Row],[concatenado]],PAA[[#All],[RCP-RUBRO]],PAA[[#All],[INDICADOR]],"",0))</f>
        <v>#NAME?</v>
      </c>
      <c r="V2255" s="144" t="str">
        <f t="shared" si="71"/>
        <v>85</v>
      </c>
      <c r="W2255" s="136">
        <f>+COMPROMISOS_2025[[#This Row],[valor_total]]-COMPROMISOS_2025[[#This Row],[total_cancelado]]</f>
        <v>1423500</v>
      </c>
      <c r="X2255" s="136">
        <f>COMPROMISOS_2025[[#This Row],[total_ordenes]]</f>
        <v>1423500</v>
      </c>
      <c r="Y2255" t="str" cm="1">
        <f t="array" aca="1" ref="Y2255" ca="1">IFERROR(_xlfn.XLOOKUP(COMPROMISOS_2025[[#This Row],[concatenado]],PAA[[#All],[RCP-RUBRO]],PAA[[#All],[Actividad3]],VLOOKUP(COMPROMISOS_2025[[#This Row],[Indicador Principal]],$AC$2:$AD$17,2,0),0),"")</f>
        <v/>
      </c>
    </row>
    <row r="2256" spans="1:25" hidden="1" x14ac:dyDescent="0.25">
      <c r="A2256">
        <v>1770</v>
      </c>
      <c r="B2256" t="s">
        <v>2491</v>
      </c>
      <c r="C2256" t="s">
        <v>1936</v>
      </c>
      <c r="D2256" t="s">
        <v>4182</v>
      </c>
      <c r="F2256">
        <v>406</v>
      </c>
      <c r="G2256">
        <v>65</v>
      </c>
      <c r="H2256" t="s">
        <v>662</v>
      </c>
      <c r="I2256" t="s">
        <v>2271</v>
      </c>
      <c r="J2256">
        <v>3558750</v>
      </c>
      <c r="K2256">
        <v>2025</v>
      </c>
      <c r="L2256">
        <v>1038800625</v>
      </c>
      <c r="M2256" t="s">
        <v>3805</v>
      </c>
      <c r="N2256" t="s">
        <v>1688</v>
      </c>
      <c r="O2256" t="s">
        <v>1686</v>
      </c>
      <c r="P2256">
        <v>0</v>
      </c>
      <c r="Q2256">
        <v>3558750</v>
      </c>
      <c r="R2256">
        <v>0</v>
      </c>
      <c r="S2256">
        <v>0</v>
      </c>
      <c r="T2256" t="str">
        <f t="shared" si="70"/>
        <v>17702.43.4302.85.0-205128.2.3.3.08.06.</v>
      </c>
      <c r="U2256" t="e" cm="1">
        <f t="array" aca="1" ref="U2256" ca="1">+IF(COMPROMISOS_2025[[#This Row],[P]]="20","41080111",_xlfn.XLOOKUP(COMPROMISOS_2025[[#This Row],[concatenado]],PAA[[#All],[RCP-RUBRO]],PAA[[#All],[INDICADOR]],"",0))</f>
        <v>#NAME?</v>
      </c>
      <c r="V2256" s="144" t="str">
        <f t="shared" si="71"/>
        <v>85</v>
      </c>
      <c r="W2256" s="136">
        <f>+COMPROMISOS_2025[[#This Row],[valor_total]]-COMPROMISOS_2025[[#This Row],[total_cancelado]]</f>
        <v>3558750</v>
      </c>
      <c r="X2256" s="136">
        <f>COMPROMISOS_2025[[#This Row],[total_ordenes]]</f>
        <v>3558750</v>
      </c>
      <c r="Y2256" t="str" cm="1">
        <f t="array" aca="1" ref="Y2256" ca="1">IFERROR(_xlfn.XLOOKUP(COMPROMISOS_2025[[#This Row],[concatenado]],PAA[[#All],[RCP-RUBRO]],PAA[[#All],[Actividad3]],VLOOKUP(COMPROMISOS_2025[[#This Row],[Indicador Principal]],$AC$2:$AD$17,2,0),0),"")</f>
        <v/>
      </c>
    </row>
    <row r="2257" spans="1:25" hidden="1" x14ac:dyDescent="0.25">
      <c r="A2257">
        <v>1771</v>
      </c>
      <c r="B2257" t="s">
        <v>2491</v>
      </c>
      <c r="C2257" t="s">
        <v>1936</v>
      </c>
      <c r="D2257" t="s">
        <v>4182</v>
      </c>
      <c r="F2257">
        <v>406</v>
      </c>
      <c r="G2257">
        <v>65</v>
      </c>
      <c r="H2257" t="s">
        <v>662</v>
      </c>
      <c r="I2257" t="s">
        <v>2271</v>
      </c>
      <c r="J2257">
        <v>1423500</v>
      </c>
      <c r="K2257">
        <v>2025</v>
      </c>
      <c r="L2257">
        <v>1038802466</v>
      </c>
      <c r="M2257" t="s">
        <v>4090</v>
      </c>
      <c r="N2257" t="s">
        <v>1688</v>
      </c>
      <c r="O2257" t="s">
        <v>1686</v>
      </c>
      <c r="P2257">
        <v>0</v>
      </c>
      <c r="Q2257">
        <v>1423500</v>
      </c>
      <c r="R2257">
        <v>0</v>
      </c>
      <c r="S2257">
        <v>0</v>
      </c>
      <c r="T2257" t="str">
        <f t="shared" si="70"/>
        <v>17712.43.4302.85.0-205128.2.3.3.08.06.</v>
      </c>
      <c r="U2257" t="e" cm="1">
        <f t="array" aca="1" ref="U2257" ca="1">+IF(COMPROMISOS_2025[[#This Row],[P]]="20","41080111",_xlfn.XLOOKUP(COMPROMISOS_2025[[#This Row],[concatenado]],PAA[[#All],[RCP-RUBRO]],PAA[[#All],[INDICADOR]],"",0))</f>
        <v>#NAME?</v>
      </c>
      <c r="V2257" s="144" t="str">
        <f t="shared" si="71"/>
        <v>85</v>
      </c>
      <c r="W2257" s="136">
        <f>+COMPROMISOS_2025[[#This Row],[valor_total]]-COMPROMISOS_2025[[#This Row],[total_cancelado]]</f>
        <v>1423500</v>
      </c>
      <c r="X2257" s="136">
        <f>COMPROMISOS_2025[[#This Row],[total_ordenes]]</f>
        <v>1423500</v>
      </c>
      <c r="Y2257" t="str" cm="1">
        <f t="array" aca="1" ref="Y2257" ca="1">IFERROR(_xlfn.XLOOKUP(COMPROMISOS_2025[[#This Row],[concatenado]],PAA[[#All],[RCP-RUBRO]],PAA[[#All],[Actividad3]],VLOOKUP(COMPROMISOS_2025[[#This Row],[Indicador Principal]],$AC$2:$AD$17,2,0),0),"")</f>
        <v/>
      </c>
    </row>
    <row r="2258" spans="1:25" hidden="1" x14ac:dyDescent="0.25">
      <c r="A2258">
        <v>1772</v>
      </c>
      <c r="B2258" t="s">
        <v>2491</v>
      </c>
      <c r="C2258" t="s">
        <v>1936</v>
      </c>
      <c r="D2258" t="s">
        <v>4182</v>
      </c>
      <c r="F2258">
        <v>406</v>
      </c>
      <c r="G2258">
        <v>65</v>
      </c>
      <c r="H2258" t="s">
        <v>662</v>
      </c>
      <c r="I2258" t="s">
        <v>2271</v>
      </c>
      <c r="J2258">
        <v>2847000</v>
      </c>
      <c r="K2258">
        <v>2025</v>
      </c>
      <c r="L2258">
        <v>1038803612</v>
      </c>
      <c r="M2258" t="s">
        <v>4176</v>
      </c>
      <c r="N2258" t="s">
        <v>1688</v>
      </c>
      <c r="O2258" t="s">
        <v>1686</v>
      </c>
      <c r="P2258">
        <v>0</v>
      </c>
      <c r="Q2258">
        <v>2847000</v>
      </c>
      <c r="R2258">
        <v>0</v>
      </c>
      <c r="S2258">
        <v>0</v>
      </c>
      <c r="T2258" t="str">
        <f t="shared" si="70"/>
        <v>17722.43.4302.85.0-205128.2.3.3.08.06.</v>
      </c>
      <c r="U2258" t="e" cm="1">
        <f t="array" aca="1" ref="U2258" ca="1">+IF(COMPROMISOS_2025[[#This Row],[P]]="20","41080111",_xlfn.XLOOKUP(COMPROMISOS_2025[[#This Row],[concatenado]],PAA[[#All],[RCP-RUBRO]],PAA[[#All],[INDICADOR]],"",0))</f>
        <v>#NAME?</v>
      </c>
      <c r="V2258" s="144" t="str">
        <f t="shared" si="71"/>
        <v>85</v>
      </c>
      <c r="W2258" s="136">
        <f>+COMPROMISOS_2025[[#This Row],[valor_total]]-COMPROMISOS_2025[[#This Row],[total_cancelado]]</f>
        <v>2847000</v>
      </c>
      <c r="X2258" s="136">
        <f>COMPROMISOS_2025[[#This Row],[total_ordenes]]</f>
        <v>2847000</v>
      </c>
      <c r="Y2258" t="str" cm="1">
        <f t="array" aca="1" ref="Y2258" ca="1">IFERROR(_xlfn.XLOOKUP(COMPROMISOS_2025[[#This Row],[concatenado]],PAA[[#All],[RCP-RUBRO]],PAA[[#All],[Actividad3]],VLOOKUP(COMPROMISOS_2025[[#This Row],[Indicador Principal]],$AC$2:$AD$17,2,0),0),"")</f>
        <v/>
      </c>
    </row>
    <row r="2259" spans="1:25" hidden="1" x14ac:dyDescent="0.25">
      <c r="A2259">
        <v>1773</v>
      </c>
      <c r="B2259" t="s">
        <v>2491</v>
      </c>
      <c r="C2259" t="s">
        <v>1936</v>
      </c>
      <c r="D2259" t="s">
        <v>4182</v>
      </c>
      <c r="F2259">
        <v>406</v>
      </c>
      <c r="G2259">
        <v>65</v>
      </c>
      <c r="H2259" t="s">
        <v>662</v>
      </c>
      <c r="I2259" t="s">
        <v>2271</v>
      </c>
      <c r="J2259">
        <v>1779375</v>
      </c>
      <c r="K2259">
        <v>2025</v>
      </c>
      <c r="L2259">
        <v>1038808520</v>
      </c>
      <c r="M2259" t="s">
        <v>3806</v>
      </c>
      <c r="N2259" t="s">
        <v>1688</v>
      </c>
      <c r="O2259" t="s">
        <v>1686</v>
      </c>
      <c r="P2259">
        <v>0</v>
      </c>
      <c r="Q2259">
        <v>1779375</v>
      </c>
      <c r="R2259">
        <v>0</v>
      </c>
      <c r="S2259">
        <v>0</v>
      </c>
      <c r="T2259" t="str">
        <f t="shared" si="70"/>
        <v>17732.43.4302.85.0-205128.2.3.3.08.06.</v>
      </c>
      <c r="U2259" t="e" cm="1">
        <f t="array" aca="1" ref="U2259" ca="1">+IF(COMPROMISOS_2025[[#This Row],[P]]="20","41080111",_xlfn.XLOOKUP(COMPROMISOS_2025[[#This Row],[concatenado]],PAA[[#All],[RCP-RUBRO]],PAA[[#All],[INDICADOR]],"",0))</f>
        <v>#NAME?</v>
      </c>
      <c r="V2259" s="144" t="str">
        <f t="shared" si="71"/>
        <v>85</v>
      </c>
      <c r="W2259" s="136">
        <f>+COMPROMISOS_2025[[#This Row],[valor_total]]-COMPROMISOS_2025[[#This Row],[total_cancelado]]</f>
        <v>1779375</v>
      </c>
      <c r="X2259" s="136">
        <f>COMPROMISOS_2025[[#This Row],[total_ordenes]]</f>
        <v>1779375</v>
      </c>
      <c r="Y2259" t="str" cm="1">
        <f t="array" aca="1" ref="Y2259" ca="1">IFERROR(_xlfn.XLOOKUP(COMPROMISOS_2025[[#This Row],[concatenado]],PAA[[#All],[RCP-RUBRO]],PAA[[#All],[Actividad3]],VLOOKUP(COMPROMISOS_2025[[#This Row],[Indicador Principal]],$AC$2:$AD$17,2,0),0),"")</f>
        <v/>
      </c>
    </row>
    <row r="2260" spans="1:25" hidden="1" x14ac:dyDescent="0.25">
      <c r="A2260">
        <v>1774</v>
      </c>
      <c r="B2260" t="s">
        <v>2491</v>
      </c>
      <c r="C2260" t="s">
        <v>1936</v>
      </c>
      <c r="D2260" t="s">
        <v>4182</v>
      </c>
      <c r="F2260">
        <v>406</v>
      </c>
      <c r="G2260">
        <v>65</v>
      </c>
      <c r="H2260" t="s">
        <v>662</v>
      </c>
      <c r="I2260" t="s">
        <v>2271</v>
      </c>
      <c r="J2260">
        <v>1067625</v>
      </c>
      <c r="K2260">
        <v>2025</v>
      </c>
      <c r="L2260">
        <v>1038808823</v>
      </c>
      <c r="M2260" t="s">
        <v>3807</v>
      </c>
      <c r="N2260" t="s">
        <v>1688</v>
      </c>
      <c r="O2260" t="s">
        <v>1686</v>
      </c>
      <c r="P2260">
        <v>0</v>
      </c>
      <c r="Q2260">
        <v>1067625</v>
      </c>
      <c r="R2260">
        <v>0</v>
      </c>
      <c r="S2260">
        <v>0</v>
      </c>
      <c r="T2260" t="str">
        <f t="shared" si="70"/>
        <v>17742.43.4302.85.0-205128.2.3.3.08.06.</v>
      </c>
      <c r="U2260" t="e" cm="1">
        <f t="array" aca="1" ref="U2260" ca="1">+IF(COMPROMISOS_2025[[#This Row],[P]]="20","41080111",_xlfn.XLOOKUP(COMPROMISOS_2025[[#This Row],[concatenado]],PAA[[#All],[RCP-RUBRO]],PAA[[#All],[INDICADOR]],"",0))</f>
        <v>#NAME?</v>
      </c>
      <c r="V2260" s="144" t="str">
        <f t="shared" si="71"/>
        <v>85</v>
      </c>
      <c r="W2260" s="136">
        <f>+COMPROMISOS_2025[[#This Row],[valor_total]]-COMPROMISOS_2025[[#This Row],[total_cancelado]]</f>
        <v>1067625</v>
      </c>
      <c r="X2260" s="136">
        <f>COMPROMISOS_2025[[#This Row],[total_ordenes]]</f>
        <v>1067625</v>
      </c>
      <c r="Y2260" t="str" cm="1">
        <f t="array" aca="1" ref="Y2260" ca="1">IFERROR(_xlfn.XLOOKUP(COMPROMISOS_2025[[#This Row],[concatenado]],PAA[[#All],[RCP-RUBRO]],PAA[[#All],[Actividad3]],VLOOKUP(COMPROMISOS_2025[[#This Row],[Indicador Principal]],$AC$2:$AD$17,2,0),0),"")</f>
        <v/>
      </c>
    </row>
    <row r="2261" spans="1:25" hidden="1" x14ac:dyDescent="0.25">
      <c r="A2261">
        <v>1775</v>
      </c>
      <c r="B2261" t="s">
        <v>2491</v>
      </c>
      <c r="C2261" t="s">
        <v>1936</v>
      </c>
      <c r="D2261" t="s">
        <v>4182</v>
      </c>
      <c r="F2261">
        <v>406</v>
      </c>
      <c r="G2261">
        <v>65</v>
      </c>
      <c r="H2261" t="s">
        <v>662</v>
      </c>
      <c r="I2261" t="s">
        <v>2271</v>
      </c>
      <c r="J2261">
        <v>1423500</v>
      </c>
      <c r="K2261">
        <v>2025</v>
      </c>
      <c r="L2261">
        <v>1038821086</v>
      </c>
      <c r="M2261" t="s">
        <v>4093</v>
      </c>
      <c r="N2261" t="s">
        <v>1688</v>
      </c>
      <c r="O2261" t="s">
        <v>1686</v>
      </c>
      <c r="P2261">
        <v>0</v>
      </c>
      <c r="Q2261">
        <v>1423500</v>
      </c>
      <c r="R2261">
        <v>0</v>
      </c>
      <c r="S2261">
        <v>0</v>
      </c>
      <c r="T2261" t="str">
        <f t="shared" si="70"/>
        <v>17752.43.4302.85.0-205128.2.3.3.08.06.</v>
      </c>
      <c r="U2261" t="e" cm="1">
        <f t="array" aca="1" ref="U2261" ca="1">+IF(COMPROMISOS_2025[[#This Row],[P]]="20","41080111",_xlfn.XLOOKUP(COMPROMISOS_2025[[#This Row],[concatenado]],PAA[[#All],[RCP-RUBRO]],PAA[[#All],[INDICADOR]],"",0))</f>
        <v>#NAME?</v>
      </c>
      <c r="V2261" s="144" t="str">
        <f t="shared" si="71"/>
        <v>85</v>
      </c>
      <c r="W2261" s="136">
        <f>+COMPROMISOS_2025[[#This Row],[valor_total]]-COMPROMISOS_2025[[#This Row],[total_cancelado]]</f>
        <v>1423500</v>
      </c>
      <c r="X2261" s="136">
        <f>COMPROMISOS_2025[[#This Row],[total_ordenes]]</f>
        <v>1423500</v>
      </c>
      <c r="Y2261" t="str" cm="1">
        <f t="array" aca="1" ref="Y2261" ca="1">IFERROR(_xlfn.XLOOKUP(COMPROMISOS_2025[[#This Row],[concatenado]],PAA[[#All],[RCP-RUBRO]],PAA[[#All],[Actividad3]],VLOOKUP(COMPROMISOS_2025[[#This Row],[Indicador Principal]],$AC$2:$AD$17,2,0),0),"")</f>
        <v/>
      </c>
    </row>
    <row r="2262" spans="1:25" hidden="1" x14ac:dyDescent="0.25">
      <c r="A2262">
        <v>1776</v>
      </c>
      <c r="B2262" t="s">
        <v>2491</v>
      </c>
      <c r="C2262" t="s">
        <v>1936</v>
      </c>
      <c r="D2262" t="s">
        <v>4182</v>
      </c>
      <c r="F2262">
        <v>406</v>
      </c>
      <c r="G2262">
        <v>65</v>
      </c>
      <c r="H2262" t="s">
        <v>662</v>
      </c>
      <c r="I2262" t="s">
        <v>2271</v>
      </c>
      <c r="J2262">
        <v>1067625</v>
      </c>
      <c r="K2262">
        <v>2025</v>
      </c>
      <c r="L2262">
        <v>1038821295</v>
      </c>
      <c r="M2262" t="s">
        <v>4388</v>
      </c>
      <c r="N2262" t="s">
        <v>1688</v>
      </c>
      <c r="O2262" t="s">
        <v>1686</v>
      </c>
      <c r="P2262">
        <v>0</v>
      </c>
      <c r="Q2262">
        <v>1067625</v>
      </c>
      <c r="R2262">
        <v>0</v>
      </c>
      <c r="S2262">
        <v>0</v>
      </c>
      <c r="T2262" t="str">
        <f t="shared" si="70"/>
        <v>17762.43.4302.85.0-205128.2.3.3.08.06.</v>
      </c>
      <c r="U2262" t="e" cm="1">
        <f t="array" aca="1" ref="U2262" ca="1">+IF(COMPROMISOS_2025[[#This Row],[P]]="20","41080111",_xlfn.XLOOKUP(COMPROMISOS_2025[[#This Row],[concatenado]],PAA[[#All],[RCP-RUBRO]],PAA[[#All],[INDICADOR]],"",0))</f>
        <v>#NAME?</v>
      </c>
      <c r="V2262" s="144" t="str">
        <f t="shared" si="71"/>
        <v>85</v>
      </c>
      <c r="W2262" s="136">
        <f>+COMPROMISOS_2025[[#This Row],[valor_total]]-COMPROMISOS_2025[[#This Row],[total_cancelado]]</f>
        <v>1067625</v>
      </c>
      <c r="X2262" s="136">
        <f>COMPROMISOS_2025[[#This Row],[total_ordenes]]</f>
        <v>1067625</v>
      </c>
      <c r="Y2262" t="str" cm="1">
        <f t="array" aca="1" ref="Y2262" ca="1">IFERROR(_xlfn.XLOOKUP(COMPROMISOS_2025[[#This Row],[concatenado]],PAA[[#All],[RCP-RUBRO]],PAA[[#All],[Actividad3]],VLOOKUP(COMPROMISOS_2025[[#This Row],[Indicador Principal]],$AC$2:$AD$17,2,0),0),"")</f>
        <v/>
      </c>
    </row>
    <row r="2263" spans="1:25" hidden="1" x14ac:dyDescent="0.25">
      <c r="A2263">
        <v>1777</v>
      </c>
      <c r="B2263" t="s">
        <v>2491</v>
      </c>
      <c r="C2263" t="s">
        <v>1936</v>
      </c>
      <c r="D2263" t="s">
        <v>4182</v>
      </c>
      <c r="F2263">
        <v>406</v>
      </c>
      <c r="G2263">
        <v>65</v>
      </c>
      <c r="H2263" t="s">
        <v>662</v>
      </c>
      <c r="I2263" t="s">
        <v>2271</v>
      </c>
      <c r="J2263">
        <v>2847000</v>
      </c>
      <c r="K2263">
        <v>2025</v>
      </c>
      <c r="L2263">
        <v>1038822618</v>
      </c>
      <c r="M2263" t="s">
        <v>4094</v>
      </c>
      <c r="N2263" t="s">
        <v>1688</v>
      </c>
      <c r="O2263" t="s">
        <v>1686</v>
      </c>
      <c r="P2263">
        <v>0</v>
      </c>
      <c r="Q2263">
        <v>2847000</v>
      </c>
      <c r="R2263">
        <v>0</v>
      </c>
      <c r="S2263">
        <v>0</v>
      </c>
      <c r="T2263" t="str">
        <f t="shared" si="70"/>
        <v>17772.43.4302.85.0-205128.2.3.3.08.06.</v>
      </c>
      <c r="U2263" t="e" cm="1">
        <f t="array" aca="1" ref="U2263" ca="1">+IF(COMPROMISOS_2025[[#This Row],[P]]="20","41080111",_xlfn.XLOOKUP(COMPROMISOS_2025[[#This Row],[concatenado]],PAA[[#All],[RCP-RUBRO]],PAA[[#All],[INDICADOR]],"",0))</f>
        <v>#NAME?</v>
      </c>
      <c r="V2263" s="144" t="str">
        <f t="shared" si="71"/>
        <v>85</v>
      </c>
      <c r="W2263" s="136">
        <f>+COMPROMISOS_2025[[#This Row],[valor_total]]-COMPROMISOS_2025[[#This Row],[total_cancelado]]</f>
        <v>2847000</v>
      </c>
      <c r="X2263" s="136">
        <f>COMPROMISOS_2025[[#This Row],[total_ordenes]]</f>
        <v>2847000</v>
      </c>
      <c r="Y2263" t="str" cm="1">
        <f t="array" aca="1" ref="Y2263" ca="1">IFERROR(_xlfn.XLOOKUP(COMPROMISOS_2025[[#This Row],[concatenado]],PAA[[#All],[RCP-RUBRO]],PAA[[#All],[Actividad3]],VLOOKUP(COMPROMISOS_2025[[#This Row],[Indicador Principal]],$AC$2:$AD$17,2,0),0),"")</f>
        <v/>
      </c>
    </row>
    <row r="2264" spans="1:25" hidden="1" x14ac:dyDescent="0.25">
      <c r="A2264">
        <v>1778</v>
      </c>
      <c r="B2264" t="s">
        <v>2491</v>
      </c>
      <c r="C2264" t="s">
        <v>1936</v>
      </c>
      <c r="D2264" t="s">
        <v>4182</v>
      </c>
      <c r="F2264">
        <v>406</v>
      </c>
      <c r="G2264">
        <v>65</v>
      </c>
      <c r="H2264" t="s">
        <v>662</v>
      </c>
      <c r="I2264" t="s">
        <v>2271</v>
      </c>
      <c r="J2264">
        <v>1423500</v>
      </c>
      <c r="K2264">
        <v>2025</v>
      </c>
      <c r="L2264">
        <v>1038866478</v>
      </c>
      <c r="M2264" t="s">
        <v>4389</v>
      </c>
      <c r="N2264" t="s">
        <v>1688</v>
      </c>
      <c r="O2264" t="s">
        <v>1686</v>
      </c>
      <c r="P2264">
        <v>0</v>
      </c>
      <c r="Q2264">
        <v>1423500</v>
      </c>
      <c r="R2264">
        <v>0</v>
      </c>
      <c r="S2264">
        <v>0</v>
      </c>
      <c r="T2264" t="str">
        <f t="shared" si="70"/>
        <v>17782.43.4302.85.0-205128.2.3.3.08.06.</v>
      </c>
      <c r="U2264" t="e" cm="1">
        <f t="array" aca="1" ref="U2264" ca="1">+IF(COMPROMISOS_2025[[#This Row],[P]]="20","41080111",_xlfn.XLOOKUP(COMPROMISOS_2025[[#This Row],[concatenado]],PAA[[#All],[RCP-RUBRO]],PAA[[#All],[INDICADOR]],"",0))</f>
        <v>#NAME?</v>
      </c>
      <c r="V2264" s="144" t="str">
        <f t="shared" si="71"/>
        <v>85</v>
      </c>
      <c r="W2264" s="136">
        <f>+COMPROMISOS_2025[[#This Row],[valor_total]]-COMPROMISOS_2025[[#This Row],[total_cancelado]]</f>
        <v>1423500</v>
      </c>
      <c r="X2264" s="136">
        <f>COMPROMISOS_2025[[#This Row],[total_ordenes]]</f>
        <v>1423500</v>
      </c>
      <c r="Y2264" t="str" cm="1">
        <f t="array" aca="1" ref="Y2264" ca="1">IFERROR(_xlfn.XLOOKUP(COMPROMISOS_2025[[#This Row],[concatenado]],PAA[[#All],[RCP-RUBRO]],PAA[[#All],[Actividad3]],VLOOKUP(COMPROMISOS_2025[[#This Row],[Indicador Principal]],$AC$2:$AD$17,2,0),0),"")</f>
        <v/>
      </c>
    </row>
    <row r="2265" spans="1:25" hidden="1" x14ac:dyDescent="0.25">
      <c r="A2265">
        <v>1779</v>
      </c>
      <c r="B2265" t="s">
        <v>2491</v>
      </c>
      <c r="C2265" t="s">
        <v>1936</v>
      </c>
      <c r="D2265" t="s">
        <v>4182</v>
      </c>
      <c r="F2265">
        <v>406</v>
      </c>
      <c r="G2265">
        <v>65</v>
      </c>
      <c r="H2265" t="s">
        <v>662</v>
      </c>
      <c r="I2265" t="s">
        <v>2271</v>
      </c>
      <c r="J2265">
        <v>711750</v>
      </c>
      <c r="K2265">
        <v>2025</v>
      </c>
      <c r="L2265">
        <v>1038866895</v>
      </c>
      <c r="M2265" t="s">
        <v>3808</v>
      </c>
      <c r="N2265" t="s">
        <v>1688</v>
      </c>
      <c r="O2265" t="s">
        <v>1686</v>
      </c>
      <c r="P2265">
        <v>0</v>
      </c>
      <c r="Q2265">
        <v>711750</v>
      </c>
      <c r="R2265">
        <v>0</v>
      </c>
      <c r="S2265">
        <v>0</v>
      </c>
      <c r="T2265" t="str">
        <f t="shared" si="70"/>
        <v>17792.43.4302.85.0-205128.2.3.3.08.06.</v>
      </c>
      <c r="U2265" t="e" cm="1">
        <f t="array" aca="1" ref="U2265" ca="1">+IF(COMPROMISOS_2025[[#This Row],[P]]="20","41080111",_xlfn.XLOOKUP(COMPROMISOS_2025[[#This Row],[concatenado]],PAA[[#All],[RCP-RUBRO]],PAA[[#All],[INDICADOR]],"",0))</f>
        <v>#NAME?</v>
      </c>
      <c r="V2265" s="144" t="str">
        <f t="shared" si="71"/>
        <v>85</v>
      </c>
      <c r="W2265" s="136">
        <f>+COMPROMISOS_2025[[#This Row],[valor_total]]-COMPROMISOS_2025[[#This Row],[total_cancelado]]</f>
        <v>711750</v>
      </c>
      <c r="X2265" s="136">
        <f>COMPROMISOS_2025[[#This Row],[total_ordenes]]</f>
        <v>711750</v>
      </c>
      <c r="Y2265" t="str" cm="1">
        <f t="array" aca="1" ref="Y2265" ca="1">IFERROR(_xlfn.XLOOKUP(COMPROMISOS_2025[[#This Row],[concatenado]],PAA[[#All],[RCP-RUBRO]],PAA[[#All],[Actividad3]],VLOOKUP(COMPROMISOS_2025[[#This Row],[Indicador Principal]],$AC$2:$AD$17,2,0),0),"")</f>
        <v/>
      </c>
    </row>
    <row r="2266" spans="1:25" hidden="1" x14ac:dyDescent="0.25">
      <c r="A2266">
        <v>1780</v>
      </c>
      <c r="B2266" t="s">
        <v>2491</v>
      </c>
      <c r="C2266" t="s">
        <v>1936</v>
      </c>
      <c r="D2266" t="s">
        <v>4182</v>
      </c>
      <c r="F2266">
        <v>406</v>
      </c>
      <c r="G2266">
        <v>65</v>
      </c>
      <c r="H2266" t="s">
        <v>662</v>
      </c>
      <c r="I2266" t="s">
        <v>2271</v>
      </c>
      <c r="J2266">
        <v>2847000</v>
      </c>
      <c r="K2266">
        <v>2025</v>
      </c>
      <c r="L2266">
        <v>1038868015</v>
      </c>
      <c r="M2266" t="s">
        <v>4390</v>
      </c>
      <c r="N2266" t="s">
        <v>1688</v>
      </c>
      <c r="O2266" t="s">
        <v>1686</v>
      </c>
      <c r="P2266">
        <v>0</v>
      </c>
      <c r="Q2266">
        <v>2847000</v>
      </c>
      <c r="R2266">
        <v>0</v>
      </c>
      <c r="S2266">
        <v>0</v>
      </c>
      <c r="T2266" t="str">
        <f t="shared" si="70"/>
        <v>17802.43.4302.85.0-205128.2.3.3.08.06.</v>
      </c>
      <c r="U2266" t="e" cm="1">
        <f t="array" aca="1" ref="U2266" ca="1">+IF(COMPROMISOS_2025[[#This Row],[P]]="20","41080111",_xlfn.XLOOKUP(COMPROMISOS_2025[[#This Row],[concatenado]],PAA[[#All],[RCP-RUBRO]],PAA[[#All],[INDICADOR]],"",0))</f>
        <v>#NAME?</v>
      </c>
      <c r="V2266" s="144" t="str">
        <f t="shared" si="71"/>
        <v>85</v>
      </c>
      <c r="W2266" s="136">
        <f>+COMPROMISOS_2025[[#This Row],[valor_total]]-COMPROMISOS_2025[[#This Row],[total_cancelado]]</f>
        <v>2847000</v>
      </c>
      <c r="X2266" s="136">
        <f>COMPROMISOS_2025[[#This Row],[total_ordenes]]</f>
        <v>2847000</v>
      </c>
      <c r="Y2266" t="str" cm="1">
        <f t="array" aca="1" ref="Y2266" ca="1">IFERROR(_xlfn.XLOOKUP(COMPROMISOS_2025[[#This Row],[concatenado]],PAA[[#All],[RCP-RUBRO]],PAA[[#All],[Actividad3]],VLOOKUP(COMPROMISOS_2025[[#This Row],[Indicador Principal]],$AC$2:$AD$17,2,0),0),"")</f>
        <v/>
      </c>
    </row>
    <row r="2267" spans="1:25" hidden="1" x14ac:dyDescent="0.25">
      <c r="A2267">
        <v>1781</v>
      </c>
      <c r="B2267" t="s">
        <v>2491</v>
      </c>
      <c r="C2267" t="s">
        <v>1936</v>
      </c>
      <c r="D2267" t="s">
        <v>4182</v>
      </c>
      <c r="F2267">
        <v>406</v>
      </c>
      <c r="G2267">
        <v>65</v>
      </c>
      <c r="H2267" t="s">
        <v>662</v>
      </c>
      <c r="I2267" t="s">
        <v>2271</v>
      </c>
      <c r="J2267">
        <v>711750</v>
      </c>
      <c r="K2267">
        <v>2025</v>
      </c>
      <c r="L2267">
        <v>1038870685</v>
      </c>
      <c r="M2267" t="s">
        <v>3809</v>
      </c>
      <c r="N2267" t="s">
        <v>1688</v>
      </c>
      <c r="O2267" t="s">
        <v>1686</v>
      </c>
      <c r="P2267">
        <v>0</v>
      </c>
      <c r="Q2267">
        <v>711750</v>
      </c>
      <c r="R2267">
        <v>0</v>
      </c>
      <c r="S2267">
        <v>0</v>
      </c>
      <c r="T2267" t="str">
        <f t="shared" si="70"/>
        <v>17812.43.4302.85.0-205128.2.3.3.08.06.</v>
      </c>
      <c r="U2267" t="e" cm="1">
        <f t="array" aca="1" ref="U2267" ca="1">+IF(COMPROMISOS_2025[[#This Row],[P]]="20","41080111",_xlfn.XLOOKUP(COMPROMISOS_2025[[#This Row],[concatenado]],PAA[[#All],[RCP-RUBRO]],PAA[[#All],[INDICADOR]],"",0))</f>
        <v>#NAME?</v>
      </c>
      <c r="V2267" s="144" t="str">
        <f t="shared" si="71"/>
        <v>85</v>
      </c>
      <c r="W2267" s="136">
        <f>+COMPROMISOS_2025[[#This Row],[valor_total]]-COMPROMISOS_2025[[#This Row],[total_cancelado]]</f>
        <v>711750</v>
      </c>
      <c r="X2267" s="136">
        <f>COMPROMISOS_2025[[#This Row],[total_ordenes]]</f>
        <v>711750</v>
      </c>
      <c r="Y2267" t="str" cm="1">
        <f t="array" aca="1" ref="Y2267" ca="1">IFERROR(_xlfn.XLOOKUP(COMPROMISOS_2025[[#This Row],[concatenado]],PAA[[#All],[RCP-RUBRO]],PAA[[#All],[Actividad3]],VLOOKUP(COMPROMISOS_2025[[#This Row],[Indicador Principal]],$AC$2:$AD$17,2,0),0),"")</f>
        <v/>
      </c>
    </row>
    <row r="2268" spans="1:25" hidden="1" x14ac:dyDescent="0.25">
      <c r="A2268">
        <v>1782</v>
      </c>
      <c r="B2268" t="s">
        <v>2491</v>
      </c>
      <c r="C2268" t="s">
        <v>1936</v>
      </c>
      <c r="D2268" t="s">
        <v>4182</v>
      </c>
      <c r="F2268">
        <v>406</v>
      </c>
      <c r="G2268">
        <v>65</v>
      </c>
      <c r="H2268" t="s">
        <v>662</v>
      </c>
      <c r="I2268" t="s">
        <v>2271</v>
      </c>
      <c r="J2268">
        <v>1423500</v>
      </c>
      <c r="K2268">
        <v>2025</v>
      </c>
      <c r="L2268">
        <v>1038926502</v>
      </c>
      <c r="M2268" t="s">
        <v>3810</v>
      </c>
      <c r="N2268" t="s">
        <v>1688</v>
      </c>
      <c r="O2268" t="s">
        <v>1686</v>
      </c>
      <c r="P2268">
        <v>0</v>
      </c>
      <c r="Q2268">
        <v>1423500</v>
      </c>
      <c r="R2268">
        <v>0</v>
      </c>
      <c r="S2268">
        <v>0</v>
      </c>
      <c r="T2268" t="str">
        <f t="shared" si="70"/>
        <v>17822.43.4302.85.0-205128.2.3.3.08.06.</v>
      </c>
      <c r="U2268" t="e" cm="1">
        <f t="array" aca="1" ref="U2268" ca="1">+IF(COMPROMISOS_2025[[#This Row],[P]]="20","41080111",_xlfn.XLOOKUP(COMPROMISOS_2025[[#This Row],[concatenado]],PAA[[#All],[RCP-RUBRO]],PAA[[#All],[INDICADOR]],"",0))</f>
        <v>#NAME?</v>
      </c>
      <c r="V2268" s="144" t="str">
        <f t="shared" si="71"/>
        <v>85</v>
      </c>
      <c r="W2268" s="136">
        <f>+COMPROMISOS_2025[[#This Row],[valor_total]]-COMPROMISOS_2025[[#This Row],[total_cancelado]]</f>
        <v>1423500</v>
      </c>
      <c r="X2268" s="136">
        <f>COMPROMISOS_2025[[#This Row],[total_ordenes]]</f>
        <v>1423500</v>
      </c>
      <c r="Y2268" t="str" cm="1">
        <f t="array" aca="1" ref="Y2268" ca="1">IFERROR(_xlfn.XLOOKUP(COMPROMISOS_2025[[#This Row],[concatenado]],PAA[[#All],[RCP-RUBRO]],PAA[[#All],[Actividad3]],VLOOKUP(COMPROMISOS_2025[[#This Row],[Indicador Principal]],$AC$2:$AD$17,2,0),0),"")</f>
        <v/>
      </c>
    </row>
    <row r="2269" spans="1:25" hidden="1" x14ac:dyDescent="0.25">
      <c r="A2269">
        <v>1783</v>
      </c>
      <c r="B2269" t="s">
        <v>2491</v>
      </c>
      <c r="C2269" t="s">
        <v>1936</v>
      </c>
      <c r="D2269" t="s">
        <v>4182</v>
      </c>
      <c r="F2269">
        <v>406</v>
      </c>
      <c r="G2269">
        <v>65</v>
      </c>
      <c r="H2269" t="s">
        <v>662</v>
      </c>
      <c r="I2269" t="s">
        <v>2271</v>
      </c>
      <c r="J2269">
        <v>1423500</v>
      </c>
      <c r="K2269">
        <v>2025</v>
      </c>
      <c r="L2269">
        <v>1039451497</v>
      </c>
      <c r="M2269" t="s">
        <v>4391</v>
      </c>
      <c r="N2269" t="s">
        <v>1688</v>
      </c>
      <c r="O2269" t="s">
        <v>1686</v>
      </c>
      <c r="P2269">
        <v>0</v>
      </c>
      <c r="Q2269">
        <v>1423500</v>
      </c>
      <c r="R2269">
        <v>0</v>
      </c>
      <c r="S2269">
        <v>0</v>
      </c>
      <c r="T2269" t="str">
        <f t="shared" si="70"/>
        <v>17832.43.4302.85.0-205128.2.3.3.08.06.</v>
      </c>
      <c r="U2269" t="e" cm="1">
        <f t="array" aca="1" ref="U2269" ca="1">+IF(COMPROMISOS_2025[[#This Row],[P]]="20","41080111",_xlfn.XLOOKUP(COMPROMISOS_2025[[#This Row],[concatenado]],PAA[[#All],[RCP-RUBRO]],PAA[[#All],[INDICADOR]],"",0))</f>
        <v>#NAME?</v>
      </c>
      <c r="V2269" s="144" t="str">
        <f t="shared" si="71"/>
        <v>85</v>
      </c>
      <c r="W2269" s="136">
        <f>+COMPROMISOS_2025[[#This Row],[valor_total]]-COMPROMISOS_2025[[#This Row],[total_cancelado]]</f>
        <v>1423500</v>
      </c>
      <c r="X2269" s="136">
        <f>COMPROMISOS_2025[[#This Row],[total_ordenes]]</f>
        <v>1423500</v>
      </c>
      <c r="Y2269" t="str" cm="1">
        <f t="array" aca="1" ref="Y2269" ca="1">IFERROR(_xlfn.XLOOKUP(COMPROMISOS_2025[[#This Row],[concatenado]],PAA[[#All],[RCP-RUBRO]],PAA[[#All],[Actividad3]],VLOOKUP(COMPROMISOS_2025[[#This Row],[Indicador Principal]],$AC$2:$AD$17,2,0),0),"")</f>
        <v/>
      </c>
    </row>
    <row r="2270" spans="1:25" hidden="1" x14ac:dyDescent="0.25">
      <c r="A2270">
        <v>1784</v>
      </c>
      <c r="B2270" t="s">
        <v>2491</v>
      </c>
      <c r="C2270" t="s">
        <v>1936</v>
      </c>
      <c r="D2270" t="s">
        <v>4182</v>
      </c>
      <c r="F2270">
        <v>406</v>
      </c>
      <c r="G2270">
        <v>65</v>
      </c>
      <c r="H2270" t="s">
        <v>662</v>
      </c>
      <c r="I2270" t="s">
        <v>2271</v>
      </c>
      <c r="J2270">
        <v>711750</v>
      </c>
      <c r="K2270">
        <v>2025</v>
      </c>
      <c r="L2270">
        <v>1039463012</v>
      </c>
      <c r="M2270" t="s">
        <v>4095</v>
      </c>
      <c r="N2270" t="s">
        <v>1688</v>
      </c>
      <c r="O2270" t="s">
        <v>1686</v>
      </c>
      <c r="P2270">
        <v>0</v>
      </c>
      <c r="Q2270">
        <v>711750</v>
      </c>
      <c r="R2270">
        <v>0</v>
      </c>
      <c r="S2270">
        <v>0</v>
      </c>
      <c r="T2270" t="str">
        <f t="shared" si="70"/>
        <v>17842.43.4302.85.0-205128.2.3.3.08.06.</v>
      </c>
      <c r="U2270" t="e" cm="1">
        <f t="array" aca="1" ref="U2270" ca="1">+IF(COMPROMISOS_2025[[#This Row],[P]]="20","41080111",_xlfn.XLOOKUP(COMPROMISOS_2025[[#This Row],[concatenado]],PAA[[#All],[RCP-RUBRO]],PAA[[#All],[INDICADOR]],"",0))</f>
        <v>#NAME?</v>
      </c>
      <c r="V2270" s="144" t="str">
        <f t="shared" si="71"/>
        <v>85</v>
      </c>
      <c r="W2270" s="136">
        <f>+COMPROMISOS_2025[[#This Row],[valor_total]]-COMPROMISOS_2025[[#This Row],[total_cancelado]]</f>
        <v>711750</v>
      </c>
      <c r="X2270" s="136">
        <f>COMPROMISOS_2025[[#This Row],[total_ordenes]]</f>
        <v>711750</v>
      </c>
      <c r="Y2270" t="str" cm="1">
        <f t="array" aca="1" ref="Y2270" ca="1">IFERROR(_xlfn.XLOOKUP(COMPROMISOS_2025[[#This Row],[concatenado]],PAA[[#All],[RCP-RUBRO]],PAA[[#All],[Actividad3]],VLOOKUP(COMPROMISOS_2025[[#This Row],[Indicador Principal]],$AC$2:$AD$17,2,0),0),"")</f>
        <v/>
      </c>
    </row>
    <row r="2271" spans="1:25" hidden="1" x14ac:dyDescent="0.25">
      <c r="A2271">
        <v>1785</v>
      </c>
      <c r="B2271" t="s">
        <v>2491</v>
      </c>
      <c r="C2271" t="s">
        <v>1936</v>
      </c>
      <c r="D2271" t="s">
        <v>4182</v>
      </c>
      <c r="F2271">
        <v>406</v>
      </c>
      <c r="G2271">
        <v>65</v>
      </c>
      <c r="H2271" t="s">
        <v>662</v>
      </c>
      <c r="I2271" t="s">
        <v>2271</v>
      </c>
      <c r="J2271">
        <v>711750</v>
      </c>
      <c r="K2271">
        <v>2025</v>
      </c>
      <c r="L2271">
        <v>1039464250</v>
      </c>
      <c r="M2271" t="s">
        <v>4096</v>
      </c>
      <c r="N2271" t="s">
        <v>1688</v>
      </c>
      <c r="O2271" t="s">
        <v>1686</v>
      </c>
      <c r="P2271">
        <v>0</v>
      </c>
      <c r="Q2271">
        <v>711750</v>
      </c>
      <c r="R2271">
        <v>0</v>
      </c>
      <c r="S2271">
        <v>0</v>
      </c>
      <c r="T2271" t="str">
        <f t="shared" si="70"/>
        <v>17852.43.4302.85.0-205128.2.3.3.08.06.</v>
      </c>
      <c r="U2271" t="e" cm="1">
        <f t="array" aca="1" ref="U2271" ca="1">+IF(COMPROMISOS_2025[[#This Row],[P]]="20","41080111",_xlfn.XLOOKUP(COMPROMISOS_2025[[#This Row],[concatenado]],PAA[[#All],[RCP-RUBRO]],PAA[[#All],[INDICADOR]],"",0))</f>
        <v>#NAME?</v>
      </c>
      <c r="V2271" s="144" t="str">
        <f t="shared" si="71"/>
        <v>85</v>
      </c>
      <c r="W2271" s="136">
        <f>+COMPROMISOS_2025[[#This Row],[valor_total]]-COMPROMISOS_2025[[#This Row],[total_cancelado]]</f>
        <v>711750</v>
      </c>
      <c r="X2271" s="136">
        <f>COMPROMISOS_2025[[#This Row],[total_ordenes]]</f>
        <v>711750</v>
      </c>
      <c r="Y2271" t="str" cm="1">
        <f t="array" aca="1" ref="Y2271" ca="1">IFERROR(_xlfn.XLOOKUP(COMPROMISOS_2025[[#This Row],[concatenado]],PAA[[#All],[RCP-RUBRO]],PAA[[#All],[Actividad3]],VLOOKUP(COMPROMISOS_2025[[#This Row],[Indicador Principal]],$AC$2:$AD$17,2,0),0),"")</f>
        <v/>
      </c>
    </row>
    <row r="2272" spans="1:25" hidden="1" x14ac:dyDescent="0.25">
      <c r="A2272">
        <v>1786</v>
      </c>
      <c r="B2272" t="s">
        <v>2491</v>
      </c>
      <c r="C2272" t="s">
        <v>1936</v>
      </c>
      <c r="D2272" t="s">
        <v>4182</v>
      </c>
      <c r="F2272">
        <v>406</v>
      </c>
      <c r="G2272">
        <v>65</v>
      </c>
      <c r="H2272" t="s">
        <v>662</v>
      </c>
      <c r="I2272" t="s">
        <v>2271</v>
      </c>
      <c r="J2272">
        <v>1067625</v>
      </c>
      <c r="K2272">
        <v>2025</v>
      </c>
      <c r="L2272">
        <v>1039465819</v>
      </c>
      <c r="M2272" t="s">
        <v>3812</v>
      </c>
      <c r="N2272" t="s">
        <v>1688</v>
      </c>
      <c r="O2272" t="s">
        <v>1686</v>
      </c>
      <c r="P2272">
        <v>0</v>
      </c>
      <c r="Q2272">
        <v>1067625</v>
      </c>
      <c r="R2272">
        <v>0</v>
      </c>
      <c r="S2272">
        <v>0</v>
      </c>
      <c r="T2272" t="str">
        <f t="shared" si="70"/>
        <v>17862.43.4302.85.0-205128.2.3.3.08.06.</v>
      </c>
      <c r="U2272" t="e" cm="1">
        <f t="array" aca="1" ref="U2272" ca="1">+IF(COMPROMISOS_2025[[#This Row],[P]]="20","41080111",_xlfn.XLOOKUP(COMPROMISOS_2025[[#This Row],[concatenado]],PAA[[#All],[RCP-RUBRO]],PAA[[#All],[INDICADOR]],"",0))</f>
        <v>#NAME?</v>
      </c>
      <c r="V2272" s="144" t="str">
        <f t="shared" si="71"/>
        <v>85</v>
      </c>
      <c r="W2272" s="136">
        <f>+COMPROMISOS_2025[[#This Row],[valor_total]]-COMPROMISOS_2025[[#This Row],[total_cancelado]]</f>
        <v>1067625</v>
      </c>
      <c r="X2272" s="136">
        <f>COMPROMISOS_2025[[#This Row],[total_ordenes]]</f>
        <v>1067625</v>
      </c>
      <c r="Y2272" t="str" cm="1">
        <f t="array" aca="1" ref="Y2272" ca="1">IFERROR(_xlfn.XLOOKUP(COMPROMISOS_2025[[#This Row],[concatenado]],PAA[[#All],[RCP-RUBRO]],PAA[[#All],[Actividad3]],VLOOKUP(COMPROMISOS_2025[[#This Row],[Indicador Principal]],$AC$2:$AD$17,2,0),0),"")</f>
        <v/>
      </c>
    </row>
    <row r="2273" spans="1:25" hidden="1" x14ac:dyDescent="0.25">
      <c r="A2273">
        <v>1787</v>
      </c>
      <c r="B2273" t="s">
        <v>2491</v>
      </c>
      <c r="C2273" t="s">
        <v>1936</v>
      </c>
      <c r="D2273" t="s">
        <v>4182</v>
      </c>
      <c r="F2273">
        <v>406</v>
      </c>
      <c r="G2273">
        <v>65</v>
      </c>
      <c r="H2273" t="s">
        <v>662</v>
      </c>
      <c r="I2273" t="s">
        <v>2271</v>
      </c>
      <c r="J2273">
        <v>2847000</v>
      </c>
      <c r="K2273">
        <v>2025</v>
      </c>
      <c r="L2273">
        <v>1039472052</v>
      </c>
      <c r="M2273" t="s">
        <v>3087</v>
      </c>
      <c r="N2273" t="s">
        <v>1688</v>
      </c>
      <c r="O2273" t="s">
        <v>1686</v>
      </c>
      <c r="P2273">
        <v>0</v>
      </c>
      <c r="Q2273">
        <v>2847000</v>
      </c>
      <c r="R2273">
        <v>0</v>
      </c>
      <c r="S2273">
        <v>0</v>
      </c>
      <c r="T2273" t="str">
        <f t="shared" si="70"/>
        <v>17872.43.4302.85.0-205128.2.3.3.08.06.</v>
      </c>
      <c r="U2273" t="e" cm="1">
        <f t="array" aca="1" ref="U2273" ca="1">+IF(COMPROMISOS_2025[[#This Row],[P]]="20","41080111",_xlfn.XLOOKUP(COMPROMISOS_2025[[#This Row],[concatenado]],PAA[[#All],[RCP-RUBRO]],PAA[[#All],[INDICADOR]],"",0))</f>
        <v>#NAME?</v>
      </c>
      <c r="V2273" s="144" t="str">
        <f t="shared" si="71"/>
        <v>85</v>
      </c>
      <c r="W2273" s="136">
        <f>+COMPROMISOS_2025[[#This Row],[valor_total]]-COMPROMISOS_2025[[#This Row],[total_cancelado]]</f>
        <v>2847000</v>
      </c>
      <c r="X2273" s="136">
        <f>COMPROMISOS_2025[[#This Row],[total_ordenes]]</f>
        <v>2847000</v>
      </c>
      <c r="Y2273" t="str" cm="1">
        <f t="array" aca="1" ref="Y2273" ca="1">IFERROR(_xlfn.XLOOKUP(COMPROMISOS_2025[[#This Row],[concatenado]],PAA[[#All],[RCP-RUBRO]],PAA[[#All],[Actividad3]],VLOOKUP(COMPROMISOS_2025[[#This Row],[Indicador Principal]],$AC$2:$AD$17,2,0),0),"")</f>
        <v/>
      </c>
    </row>
    <row r="2274" spans="1:25" hidden="1" x14ac:dyDescent="0.25">
      <c r="A2274">
        <v>1788</v>
      </c>
      <c r="B2274" t="s">
        <v>2491</v>
      </c>
      <c r="C2274" t="s">
        <v>1936</v>
      </c>
      <c r="D2274" t="s">
        <v>4182</v>
      </c>
      <c r="F2274">
        <v>406</v>
      </c>
      <c r="G2274">
        <v>65</v>
      </c>
      <c r="H2274" t="s">
        <v>662</v>
      </c>
      <c r="I2274" t="s">
        <v>2271</v>
      </c>
      <c r="J2274">
        <v>1423500</v>
      </c>
      <c r="K2274">
        <v>2025</v>
      </c>
      <c r="L2274">
        <v>1039472465</v>
      </c>
      <c r="M2274" t="s">
        <v>4392</v>
      </c>
      <c r="N2274" t="s">
        <v>1688</v>
      </c>
      <c r="O2274" t="s">
        <v>1686</v>
      </c>
      <c r="P2274">
        <v>0</v>
      </c>
      <c r="Q2274">
        <v>1423500</v>
      </c>
      <c r="R2274">
        <v>0</v>
      </c>
      <c r="S2274">
        <v>0</v>
      </c>
      <c r="T2274" t="str">
        <f t="shared" si="70"/>
        <v>17882.43.4302.85.0-205128.2.3.3.08.06.</v>
      </c>
      <c r="U2274" t="e" cm="1">
        <f t="array" aca="1" ref="U2274" ca="1">+IF(COMPROMISOS_2025[[#This Row],[P]]="20","41080111",_xlfn.XLOOKUP(COMPROMISOS_2025[[#This Row],[concatenado]],PAA[[#All],[RCP-RUBRO]],PAA[[#All],[INDICADOR]],"",0))</f>
        <v>#NAME?</v>
      </c>
      <c r="V2274" s="144" t="str">
        <f t="shared" si="71"/>
        <v>85</v>
      </c>
      <c r="W2274" s="136">
        <f>+COMPROMISOS_2025[[#This Row],[valor_total]]-COMPROMISOS_2025[[#This Row],[total_cancelado]]</f>
        <v>1423500</v>
      </c>
      <c r="X2274" s="136">
        <f>COMPROMISOS_2025[[#This Row],[total_ordenes]]</f>
        <v>1423500</v>
      </c>
      <c r="Y2274" t="str" cm="1">
        <f t="array" aca="1" ref="Y2274" ca="1">IFERROR(_xlfn.XLOOKUP(COMPROMISOS_2025[[#This Row],[concatenado]],PAA[[#All],[RCP-RUBRO]],PAA[[#All],[Actividad3]],VLOOKUP(COMPROMISOS_2025[[#This Row],[Indicador Principal]],$AC$2:$AD$17,2,0),0),"")</f>
        <v/>
      </c>
    </row>
    <row r="2275" spans="1:25" hidden="1" x14ac:dyDescent="0.25">
      <c r="A2275">
        <v>1789</v>
      </c>
      <c r="B2275" t="s">
        <v>2491</v>
      </c>
      <c r="C2275" t="s">
        <v>1936</v>
      </c>
      <c r="D2275" t="s">
        <v>4182</v>
      </c>
      <c r="F2275">
        <v>406</v>
      </c>
      <c r="G2275">
        <v>65</v>
      </c>
      <c r="H2275" t="s">
        <v>662</v>
      </c>
      <c r="I2275" t="s">
        <v>2271</v>
      </c>
      <c r="J2275">
        <v>711750</v>
      </c>
      <c r="K2275">
        <v>2025</v>
      </c>
      <c r="L2275">
        <v>1039477182</v>
      </c>
      <c r="M2275" t="s">
        <v>4393</v>
      </c>
      <c r="N2275" t="s">
        <v>1688</v>
      </c>
      <c r="O2275" t="s">
        <v>1686</v>
      </c>
      <c r="P2275">
        <v>0</v>
      </c>
      <c r="Q2275">
        <v>711750</v>
      </c>
      <c r="R2275">
        <v>0</v>
      </c>
      <c r="S2275">
        <v>0</v>
      </c>
      <c r="T2275" t="str">
        <f t="shared" si="70"/>
        <v>17892.43.4302.85.0-205128.2.3.3.08.06.</v>
      </c>
      <c r="U2275" t="e" cm="1">
        <f t="array" aca="1" ref="U2275" ca="1">+IF(COMPROMISOS_2025[[#This Row],[P]]="20","41080111",_xlfn.XLOOKUP(COMPROMISOS_2025[[#This Row],[concatenado]],PAA[[#All],[RCP-RUBRO]],PAA[[#All],[INDICADOR]],"",0))</f>
        <v>#NAME?</v>
      </c>
      <c r="V2275" s="144" t="str">
        <f t="shared" si="71"/>
        <v>85</v>
      </c>
      <c r="W2275" s="136">
        <f>+COMPROMISOS_2025[[#This Row],[valor_total]]-COMPROMISOS_2025[[#This Row],[total_cancelado]]</f>
        <v>711750</v>
      </c>
      <c r="X2275" s="136">
        <f>COMPROMISOS_2025[[#This Row],[total_ordenes]]</f>
        <v>711750</v>
      </c>
      <c r="Y2275" t="str" cm="1">
        <f t="array" aca="1" ref="Y2275" ca="1">IFERROR(_xlfn.XLOOKUP(COMPROMISOS_2025[[#This Row],[concatenado]],PAA[[#All],[RCP-RUBRO]],PAA[[#All],[Actividad3]],VLOOKUP(COMPROMISOS_2025[[#This Row],[Indicador Principal]],$AC$2:$AD$17,2,0),0),"")</f>
        <v/>
      </c>
    </row>
    <row r="2276" spans="1:25" hidden="1" x14ac:dyDescent="0.25">
      <c r="A2276">
        <v>1790</v>
      </c>
      <c r="B2276" t="s">
        <v>2491</v>
      </c>
      <c r="C2276" t="s">
        <v>1936</v>
      </c>
      <c r="D2276" t="s">
        <v>4182</v>
      </c>
      <c r="F2276">
        <v>406</v>
      </c>
      <c r="G2276">
        <v>65</v>
      </c>
      <c r="H2276" t="s">
        <v>662</v>
      </c>
      <c r="I2276" t="s">
        <v>2271</v>
      </c>
      <c r="J2276">
        <v>1423500</v>
      </c>
      <c r="K2276">
        <v>2025</v>
      </c>
      <c r="L2276">
        <v>1039624862</v>
      </c>
      <c r="M2276" t="s">
        <v>4394</v>
      </c>
      <c r="N2276" t="s">
        <v>1688</v>
      </c>
      <c r="O2276" t="s">
        <v>1686</v>
      </c>
      <c r="P2276">
        <v>0</v>
      </c>
      <c r="Q2276">
        <v>1423500</v>
      </c>
      <c r="R2276">
        <v>0</v>
      </c>
      <c r="S2276">
        <v>0</v>
      </c>
      <c r="T2276" t="str">
        <f t="shared" si="70"/>
        <v>17902.43.4302.85.0-205128.2.3.3.08.06.</v>
      </c>
      <c r="U2276" t="e" cm="1">
        <f t="array" aca="1" ref="U2276" ca="1">+IF(COMPROMISOS_2025[[#This Row],[P]]="20","41080111",_xlfn.XLOOKUP(COMPROMISOS_2025[[#This Row],[concatenado]],PAA[[#All],[RCP-RUBRO]],PAA[[#All],[INDICADOR]],"",0))</f>
        <v>#NAME?</v>
      </c>
      <c r="V2276" s="144" t="str">
        <f t="shared" si="71"/>
        <v>85</v>
      </c>
      <c r="W2276" s="136">
        <f>+COMPROMISOS_2025[[#This Row],[valor_total]]-COMPROMISOS_2025[[#This Row],[total_cancelado]]</f>
        <v>1423500</v>
      </c>
      <c r="X2276" s="136">
        <f>COMPROMISOS_2025[[#This Row],[total_ordenes]]</f>
        <v>1423500</v>
      </c>
      <c r="Y2276" t="str" cm="1">
        <f t="array" aca="1" ref="Y2276" ca="1">IFERROR(_xlfn.XLOOKUP(COMPROMISOS_2025[[#This Row],[concatenado]],PAA[[#All],[RCP-RUBRO]],PAA[[#All],[Actividad3]],VLOOKUP(COMPROMISOS_2025[[#This Row],[Indicador Principal]],$AC$2:$AD$17,2,0),0),"")</f>
        <v/>
      </c>
    </row>
    <row r="2277" spans="1:25" hidden="1" x14ac:dyDescent="0.25">
      <c r="A2277">
        <v>1791</v>
      </c>
      <c r="B2277" t="s">
        <v>2491</v>
      </c>
      <c r="C2277" t="s">
        <v>1936</v>
      </c>
      <c r="D2277" t="s">
        <v>4182</v>
      </c>
      <c r="F2277">
        <v>406</v>
      </c>
      <c r="G2277">
        <v>65</v>
      </c>
      <c r="H2277" t="s">
        <v>662</v>
      </c>
      <c r="I2277" t="s">
        <v>2271</v>
      </c>
      <c r="J2277">
        <v>1067625</v>
      </c>
      <c r="K2277">
        <v>2025</v>
      </c>
      <c r="L2277">
        <v>1039625135</v>
      </c>
      <c r="M2277" t="s">
        <v>4395</v>
      </c>
      <c r="N2277" t="s">
        <v>1688</v>
      </c>
      <c r="O2277" t="s">
        <v>1686</v>
      </c>
      <c r="P2277">
        <v>0</v>
      </c>
      <c r="Q2277">
        <v>1067625</v>
      </c>
      <c r="R2277">
        <v>0</v>
      </c>
      <c r="S2277">
        <v>0</v>
      </c>
      <c r="T2277" t="str">
        <f t="shared" si="70"/>
        <v>17912.43.4302.85.0-205128.2.3.3.08.06.</v>
      </c>
      <c r="U2277" t="e" cm="1">
        <f t="array" aca="1" ref="U2277" ca="1">+IF(COMPROMISOS_2025[[#This Row],[P]]="20","41080111",_xlfn.XLOOKUP(COMPROMISOS_2025[[#This Row],[concatenado]],PAA[[#All],[RCP-RUBRO]],PAA[[#All],[INDICADOR]],"",0))</f>
        <v>#NAME?</v>
      </c>
      <c r="V2277" s="144" t="str">
        <f t="shared" si="71"/>
        <v>85</v>
      </c>
      <c r="W2277" s="136">
        <f>+COMPROMISOS_2025[[#This Row],[valor_total]]-COMPROMISOS_2025[[#This Row],[total_cancelado]]</f>
        <v>1067625</v>
      </c>
      <c r="X2277" s="136">
        <f>COMPROMISOS_2025[[#This Row],[total_ordenes]]</f>
        <v>1067625</v>
      </c>
      <c r="Y2277" t="str" cm="1">
        <f t="array" aca="1" ref="Y2277" ca="1">IFERROR(_xlfn.XLOOKUP(COMPROMISOS_2025[[#This Row],[concatenado]],PAA[[#All],[RCP-RUBRO]],PAA[[#All],[Actividad3]],VLOOKUP(COMPROMISOS_2025[[#This Row],[Indicador Principal]],$AC$2:$AD$17,2,0),0),"")</f>
        <v/>
      </c>
    </row>
    <row r="2278" spans="1:25" hidden="1" x14ac:dyDescent="0.25">
      <c r="A2278">
        <v>1792</v>
      </c>
      <c r="B2278" t="s">
        <v>2491</v>
      </c>
      <c r="C2278" t="s">
        <v>1936</v>
      </c>
      <c r="D2278" t="s">
        <v>4182</v>
      </c>
      <c r="F2278">
        <v>406</v>
      </c>
      <c r="G2278">
        <v>65</v>
      </c>
      <c r="H2278" t="s">
        <v>662</v>
      </c>
      <c r="I2278" t="s">
        <v>2271</v>
      </c>
      <c r="J2278">
        <v>1423500</v>
      </c>
      <c r="K2278">
        <v>2025</v>
      </c>
      <c r="L2278">
        <v>1040030720</v>
      </c>
      <c r="M2278" t="s">
        <v>4396</v>
      </c>
      <c r="N2278" t="s">
        <v>1688</v>
      </c>
      <c r="O2278" t="s">
        <v>1686</v>
      </c>
      <c r="P2278">
        <v>0</v>
      </c>
      <c r="Q2278">
        <v>1423500</v>
      </c>
      <c r="R2278">
        <v>0</v>
      </c>
      <c r="S2278">
        <v>0</v>
      </c>
      <c r="T2278" t="str">
        <f t="shared" si="70"/>
        <v>17922.43.4302.85.0-205128.2.3.3.08.06.</v>
      </c>
      <c r="U2278" t="e" cm="1">
        <f t="array" aca="1" ref="U2278" ca="1">+IF(COMPROMISOS_2025[[#This Row],[P]]="20","41080111",_xlfn.XLOOKUP(COMPROMISOS_2025[[#This Row],[concatenado]],PAA[[#All],[RCP-RUBRO]],PAA[[#All],[INDICADOR]],"",0))</f>
        <v>#NAME?</v>
      </c>
      <c r="V2278" s="144" t="str">
        <f t="shared" si="71"/>
        <v>85</v>
      </c>
      <c r="W2278" s="136">
        <f>+COMPROMISOS_2025[[#This Row],[valor_total]]-COMPROMISOS_2025[[#This Row],[total_cancelado]]</f>
        <v>1423500</v>
      </c>
      <c r="X2278" s="136">
        <f>COMPROMISOS_2025[[#This Row],[total_ordenes]]</f>
        <v>1423500</v>
      </c>
      <c r="Y2278" t="str" cm="1">
        <f t="array" aca="1" ref="Y2278" ca="1">IFERROR(_xlfn.XLOOKUP(COMPROMISOS_2025[[#This Row],[concatenado]],PAA[[#All],[RCP-RUBRO]],PAA[[#All],[Actividad3]],VLOOKUP(COMPROMISOS_2025[[#This Row],[Indicador Principal]],$AC$2:$AD$17,2,0),0),"")</f>
        <v/>
      </c>
    </row>
    <row r="2279" spans="1:25" hidden="1" x14ac:dyDescent="0.25">
      <c r="A2279">
        <v>1793</v>
      </c>
      <c r="B2279" t="s">
        <v>2491</v>
      </c>
      <c r="C2279" t="s">
        <v>1936</v>
      </c>
      <c r="D2279" t="s">
        <v>4182</v>
      </c>
      <c r="F2279">
        <v>406</v>
      </c>
      <c r="G2279">
        <v>65</v>
      </c>
      <c r="H2279" t="s">
        <v>662</v>
      </c>
      <c r="I2279" t="s">
        <v>2271</v>
      </c>
      <c r="J2279">
        <v>711750</v>
      </c>
      <c r="K2279">
        <v>2025</v>
      </c>
      <c r="L2279">
        <v>1040034818</v>
      </c>
      <c r="M2279" t="s">
        <v>3813</v>
      </c>
      <c r="N2279" t="s">
        <v>1688</v>
      </c>
      <c r="O2279" t="s">
        <v>1686</v>
      </c>
      <c r="P2279">
        <v>0</v>
      </c>
      <c r="Q2279">
        <v>711750</v>
      </c>
      <c r="R2279">
        <v>0</v>
      </c>
      <c r="S2279">
        <v>0</v>
      </c>
      <c r="T2279" t="str">
        <f t="shared" si="70"/>
        <v>17932.43.4302.85.0-205128.2.3.3.08.06.</v>
      </c>
      <c r="U2279" t="e" cm="1">
        <f t="array" aca="1" ref="U2279" ca="1">+IF(COMPROMISOS_2025[[#This Row],[P]]="20","41080111",_xlfn.XLOOKUP(COMPROMISOS_2025[[#This Row],[concatenado]],PAA[[#All],[RCP-RUBRO]],PAA[[#All],[INDICADOR]],"",0))</f>
        <v>#NAME?</v>
      </c>
      <c r="V2279" s="144" t="str">
        <f t="shared" si="71"/>
        <v>85</v>
      </c>
      <c r="W2279" s="136">
        <f>+COMPROMISOS_2025[[#This Row],[valor_total]]-COMPROMISOS_2025[[#This Row],[total_cancelado]]</f>
        <v>711750</v>
      </c>
      <c r="X2279" s="136">
        <f>COMPROMISOS_2025[[#This Row],[total_ordenes]]</f>
        <v>711750</v>
      </c>
      <c r="Y2279" t="str" cm="1">
        <f t="array" aca="1" ref="Y2279" ca="1">IFERROR(_xlfn.XLOOKUP(COMPROMISOS_2025[[#This Row],[concatenado]],PAA[[#All],[RCP-RUBRO]],PAA[[#All],[Actividad3]],VLOOKUP(COMPROMISOS_2025[[#This Row],[Indicador Principal]],$AC$2:$AD$17,2,0),0),"")</f>
        <v/>
      </c>
    </row>
    <row r="2280" spans="1:25" hidden="1" x14ac:dyDescent="0.25">
      <c r="A2280">
        <v>1794</v>
      </c>
      <c r="B2280" t="s">
        <v>2491</v>
      </c>
      <c r="C2280" t="s">
        <v>1936</v>
      </c>
      <c r="D2280" t="s">
        <v>4182</v>
      </c>
      <c r="F2280">
        <v>406</v>
      </c>
      <c r="G2280">
        <v>65</v>
      </c>
      <c r="H2280" t="s">
        <v>662</v>
      </c>
      <c r="I2280" t="s">
        <v>2271</v>
      </c>
      <c r="J2280">
        <v>711750</v>
      </c>
      <c r="K2280">
        <v>2025</v>
      </c>
      <c r="L2280">
        <v>1040036156</v>
      </c>
      <c r="M2280" t="s">
        <v>3814</v>
      </c>
      <c r="N2280" t="s">
        <v>1688</v>
      </c>
      <c r="O2280" t="s">
        <v>1686</v>
      </c>
      <c r="P2280">
        <v>0</v>
      </c>
      <c r="Q2280">
        <v>711750</v>
      </c>
      <c r="R2280">
        <v>0</v>
      </c>
      <c r="S2280">
        <v>0</v>
      </c>
      <c r="T2280" t="str">
        <f t="shared" si="70"/>
        <v>17942.43.4302.85.0-205128.2.3.3.08.06.</v>
      </c>
      <c r="U2280" t="e" cm="1">
        <f t="array" aca="1" ref="U2280" ca="1">+IF(COMPROMISOS_2025[[#This Row],[P]]="20","41080111",_xlfn.XLOOKUP(COMPROMISOS_2025[[#This Row],[concatenado]],PAA[[#All],[RCP-RUBRO]],PAA[[#All],[INDICADOR]],"",0))</f>
        <v>#NAME?</v>
      </c>
      <c r="V2280" s="144" t="str">
        <f t="shared" si="71"/>
        <v>85</v>
      </c>
      <c r="W2280" s="136">
        <f>+COMPROMISOS_2025[[#This Row],[valor_total]]-COMPROMISOS_2025[[#This Row],[total_cancelado]]</f>
        <v>711750</v>
      </c>
      <c r="X2280" s="136">
        <f>COMPROMISOS_2025[[#This Row],[total_ordenes]]</f>
        <v>711750</v>
      </c>
      <c r="Y2280" t="str" cm="1">
        <f t="array" aca="1" ref="Y2280" ca="1">IFERROR(_xlfn.XLOOKUP(COMPROMISOS_2025[[#This Row],[concatenado]],PAA[[#All],[RCP-RUBRO]],PAA[[#All],[Actividad3]],VLOOKUP(COMPROMISOS_2025[[#This Row],[Indicador Principal]],$AC$2:$AD$17,2,0),0),"")</f>
        <v/>
      </c>
    </row>
    <row r="2281" spans="1:25" hidden="1" x14ac:dyDescent="0.25">
      <c r="A2281">
        <v>1795</v>
      </c>
      <c r="B2281" t="s">
        <v>2491</v>
      </c>
      <c r="C2281" t="s">
        <v>1936</v>
      </c>
      <c r="D2281" t="s">
        <v>4182</v>
      </c>
      <c r="F2281">
        <v>406</v>
      </c>
      <c r="G2281">
        <v>65</v>
      </c>
      <c r="H2281" t="s">
        <v>662</v>
      </c>
      <c r="I2281" t="s">
        <v>2271</v>
      </c>
      <c r="J2281">
        <v>2847000</v>
      </c>
      <c r="K2281">
        <v>2025</v>
      </c>
      <c r="L2281">
        <v>1040041570</v>
      </c>
      <c r="M2281" t="s">
        <v>4397</v>
      </c>
      <c r="N2281" t="s">
        <v>1688</v>
      </c>
      <c r="O2281" t="s">
        <v>1686</v>
      </c>
      <c r="P2281">
        <v>0</v>
      </c>
      <c r="Q2281">
        <v>2847000</v>
      </c>
      <c r="R2281">
        <v>0</v>
      </c>
      <c r="S2281">
        <v>0</v>
      </c>
      <c r="T2281" t="str">
        <f t="shared" si="70"/>
        <v>17952.43.4302.85.0-205128.2.3.3.08.06.</v>
      </c>
      <c r="U2281" t="e" cm="1">
        <f t="array" aca="1" ref="U2281" ca="1">+IF(COMPROMISOS_2025[[#This Row],[P]]="20","41080111",_xlfn.XLOOKUP(COMPROMISOS_2025[[#This Row],[concatenado]],PAA[[#All],[RCP-RUBRO]],PAA[[#All],[INDICADOR]],"",0))</f>
        <v>#NAME?</v>
      </c>
      <c r="V2281" s="144" t="str">
        <f t="shared" si="71"/>
        <v>85</v>
      </c>
      <c r="W2281" s="136">
        <f>+COMPROMISOS_2025[[#This Row],[valor_total]]-COMPROMISOS_2025[[#This Row],[total_cancelado]]</f>
        <v>2847000</v>
      </c>
      <c r="X2281" s="136">
        <f>COMPROMISOS_2025[[#This Row],[total_ordenes]]</f>
        <v>2847000</v>
      </c>
      <c r="Y2281" t="str" cm="1">
        <f t="array" aca="1" ref="Y2281" ca="1">IFERROR(_xlfn.XLOOKUP(COMPROMISOS_2025[[#This Row],[concatenado]],PAA[[#All],[RCP-RUBRO]],PAA[[#All],[Actividad3]],VLOOKUP(COMPROMISOS_2025[[#This Row],[Indicador Principal]],$AC$2:$AD$17,2,0),0),"")</f>
        <v/>
      </c>
    </row>
    <row r="2282" spans="1:25" hidden="1" x14ac:dyDescent="0.25">
      <c r="A2282">
        <v>1796</v>
      </c>
      <c r="B2282" t="s">
        <v>2491</v>
      </c>
      <c r="C2282" t="s">
        <v>1936</v>
      </c>
      <c r="D2282" t="s">
        <v>4182</v>
      </c>
      <c r="F2282">
        <v>406</v>
      </c>
      <c r="G2282">
        <v>65</v>
      </c>
      <c r="H2282" t="s">
        <v>662</v>
      </c>
      <c r="I2282" t="s">
        <v>2271</v>
      </c>
      <c r="J2282">
        <v>1423500</v>
      </c>
      <c r="K2282">
        <v>2025</v>
      </c>
      <c r="L2282">
        <v>1040043051</v>
      </c>
      <c r="M2282" t="s">
        <v>4398</v>
      </c>
      <c r="N2282" t="s">
        <v>1688</v>
      </c>
      <c r="O2282" t="s">
        <v>1686</v>
      </c>
      <c r="P2282">
        <v>0</v>
      </c>
      <c r="Q2282">
        <v>1423500</v>
      </c>
      <c r="R2282">
        <v>0</v>
      </c>
      <c r="S2282">
        <v>0</v>
      </c>
      <c r="T2282" t="str">
        <f t="shared" si="70"/>
        <v>17962.43.4302.85.0-205128.2.3.3.08.06.</v>
      </c>
      <c r="U2282" t="e" cm="1">
        <f t="array" aca="1" ref="U2282" ca="1">+IF(COMPROMISOS_2025[[#This Row],[P]]="20","41080111",_xlfn.XLOOKUP(COMPROMISOS_2025[[#This Row],[concatenado]],PAA[[#All],[RCP-RUBRO]],PAA[[#All],[INDICADOR]],"",0))</f>
        <v>#NAME?</v>
      </c>
      <c r="V2282" s="144" t="str">
        <f t="shared" si="71"/>
        <v>85</v>
      </c>
      <c r="W2282" s="136">
        <f>+COMPROMISOS_2025[[#This Row],[valor_total]]-COMPROMISOS_2025[[#This Row],[total_cancelado]]</f>
        <v>1423500</v>
      </c>
      <c r="X2282" s="136">
        <f>COMPROMISOS_2025[[#This Row],[total_ordenes]]</f>
        <v>1423500</v>
      </c>
      <c r="Y2282" t="str" cm="1">
        <f t="array" aca="1" ref="Y2282" ca="1">IFERROR(_xlfn.XLOOKUP(COMPROMISOS_2025[[#This Row],[concatenado]],PAA[[#All],[RCP-RUBRO]],PAA[[#All],[Actividad3]],VLOOKUP(COMPROMISOS_2025[[#This Row],[Indicador Principal]],$AC$2:$AD$17,2,0),0),"")</f>
        <v/>
      </c>
    </row>
    <row r="2283" spans="1:25" hidden="1" x14ac:dyDescent="0.25">
      <c r="A2283">
        <v>1797</v>
      </c>
      <c r="B2283" t="s">
        <v>2491</v>
      </c>
      <c r="C2283" t="s">
        <v>1936</v>
      </c>
      <c r="D2283" t="s">
        <v>4182</v>
      </c>
      <c r="F2283">
        <v>406</v>
      </c>
      <c r="G2283">
        <v>65</v>
      </c>
      <c r="H2283" t="s">
        <v>662</v>
      </c>
      <c r="I2283" t="s">
        <v>2271</v>
      </c>
      <c r="J2283">
        <v>1423500</v>
      </c>
      <c r="K2283">
        <v>2025</v>
      </c>
      <c r="L2283">
        <v>1040045226</v>
      </c>
      <c r="M2283" t="s">
        <v>4399</v>
      </c>
      <c r="N2283" t="s">
        <v>1688</v>
      </c>
      <c r="O2283" t="s">
        <v>1686</v>
      </c>
      <c r="P2283">
        <v>0</v>
      </c>
      <c r="Q2283">
        <v>1423500</v>
      </c>
      <c r="R2283">
        <v>0</v>
      </c>
      <c r="S2283">
        <v>0</v>
      </c>
      <c r="T2283" t="str">
        <f t="shared" si="70"/>
        <v>17972.43.4302.85.0-205128.2.3.3.08.06.</v>
      </c>
      <c r="U2283" t="e" cm="1">
        <f t="array" aca="1" ref="U2283" ca="1">+IF(COMPROMISOS_2025[[#This Row],[P]]="20","41080111",_xlfn.XLOOKUP(COMPROMISOS_2025[[#This Row],[concatenado]],PAA[[#All],[RCP-RUBRO]],PAA[[#All],[INDICADOR]],"",0))</f>
        <v>#NAME?</v>
      </c>
      <c r="V2283" s="144" t="str">
        <f t="shared" si="71"/>
        <v>85</v>
      </c>
      <c r="W2283" s="136">
        <f>+COMPROMISOS_2025[[#This Row],[valor_total]]-COMPROMISOS_2025[[#This Row],[total_cancelado]]</f>
        <v>1423500</v>
      </c>
      <c r="X2283" s="136">
        <f>COMPROMISOS_2025[[#This Row],[total_ordenes]]</f>
        <v>1423500</v>
      </c>
      <c r="Y2283" t="str" cm="1">
        <f t="array" aca="1" ref="Y2283" ca="1">IFERROR(_xlfn.XLOOKUP(COMPROMISOS_2025[[#This Row],[concatenado]],PAA[[#All],[RCP-RUBRO]],PAA[[#All],[Actividad3]],VLOOKUP(COMPROMISOS_2025[[#This Row],[Indicador Principal]],$AC$2:$AD$17,2,0),0),"")</f>
        <v/>
      </c>
    </row>
    <row r="2284" spans="1:25" hidden="1" x14ac:dyDescent="0.25">
      <c r="A2284">
        <v>1798</v>
      </c>
      <c r="B2284" t="s">
        <v>2491</v>
      </c>
      <c r="C2284" t="s">
        <v>1936</v>
      </c>
      <c r="D2284" t="s">
        <v>4182</v>
      </c>
      <c r="F2284">
        <v>406</v>
      </c>
      <c r="G2284">
        <v>65</v>
      </c>
      <c r="H2284" t="s">
        <v>662</v>
      </c>
      <c r="I2284" t="s">
        <v>2271</v>
      </c>
      <c r="J2284">
        <v>1423500</v>
      </c>
      <c r="K2284">
        <v>2025</v>
      </c>
      <c r="L2284">
        <v>1040048268</v>
      </c>
      <c r="M2284" t="s">
        <v>4400</v>
      </c>
      <c r="N2284" t="s">
        <v>1688</v>
      </c>
      <c r="O2284" t="s">
        <v>1686</v>
      </c>
      <c r="P2284">
        <v>0</v>
      </c>
      <c r="Q2284">
        <v>1423500</v>
      </c>
      <c r="R2284">
        <v>0</v>
      </c>
      <c r="S2284">
        <v>0</v>
      </c>
      <c r="T2284" t="str">
        <f t="shared" si="70"/>
        <v>17982.43.4302.85.0-205128.2.3.3.08.06.</v>
      </c>
      <c r="U2284" t="e" cm="1">
        <f t="array" aca="1" ref="U2284" ca="1">+IF(COMPROMISOS_2025[[#This Row],[P]]="20","41080111",_xlfn.XLOOKUP(COMPROMISOS_2025[[#This Row],[concatenado]],PAA[[#All],[RCP-RUBRO]],PAA[[#All],[INDICADOR]],"",0))</f>
        <v>#NAME?</v>
      </c>
      <c r="V2284" s="144" t="str">
        <f t="shared" si="71"/>
        <v>85</v>
      </c>
      <c r="W2284" s="136">
        <f>+COMPROMISOS_2025[[#This Row],[valor_total]]-COMPROMISOS_2025[[#This Row],[total_cancelado]]</f>
        <v>1423500</v>
      </c>
      <c r="X2284" s="136">
        <f>COMPROMISOS_2025[[#This Row],[total_ordenes]]</f>
        <v>1423500</v>
      </c>
      <c r="Y2284" t="str" cm="1">
        <f t="array" aca="1" ref="Y2284" ca="1">IFERROR(_xlfn.XLOOKUP(COMPROMISOS_2025[[#This Row],[concatenado]],PAA[[#All],[RCP-RUBRO]],PAA[[#All],[Actividad3]],VLOOKUP(COMPROMISOS_2025[[#This Row],[Indicador Principal]],$AC$2:$AD$17,2,0),0),"")</f>
        <v/>
      </c>
    </row>
    <row r="2285" spans="1:25" hidden="1" x14ac:dyDescent="0.25">
      <c r="A2285">
        <v>1799</v>
      </c>
      <c r="B2285" t="s">
        <v>2491</v>
      </c>
      <c r="C2285" t="s">
        <v>1936</v>
      </c>
      <c r="D2285" t="s">
        <v>4182</v>
      </c>
      <c r="F2285">
        <v>406</v>
      </c>
      <c r="G2285">
        <v>65</v>
      </c>
      <c r="H2285" t="s">
        <v>662</v>
      </c>
      <c r="I2285" t="s">
        <v>2271</v>
      </c>
      <c r="J2285">
        <v>711750</v>
      </c>
      <c r="K2285">
        <v>2025</v>
      </c>
      <c r="L2285">
        <v>1040181256</v>
      </c>
      <c r="M2285" t="s">
        <v>3815</v>
      </c>
      <c r="N2285" t="s">
        <v>1688</v>
      </c>
      <c r="O2285" t="s">
        <v>1686</v>
      </c>
      <c r="P2285">
        <v>0</v>
      </c>
      <c r="Q2285">
        <v>711750</v>
      </c>
      <c r="R2285">
        <v>0</v>
      </c>
      <c r="S2285">
        <v>0</v>
      </c>
      <c r="T2285" t="str">
        <f t="shared" si="70"/>
        <v>17992.43.4302.85.0-205128.2.3.3.08.06.</v>
      </c>
      <c r="U2285" t="e" cm="1">
        <f t="array" aca="1" ref="U2285" ca="1">+IF(COMPROMISOS_2025[[#This Row],[P]]="20","41080111",_xlfn.XLOOKUP(COMPROMISOS_2025[[#This Row],[concatenado]],PAA[[#All],[RCP-RUBRO]],PAA[[#All],[INDICADOR]],"",0))</f>
        <v>#NAME?</v>
      </c>
      <c r="V2285" s="144" t="str">
        <f t="shared" si="71"/>
        <v>85</v>
      </c>
      <c r="W2285" s="136">
        <f>+COMPROMISOS_2025[[#This Row],[valor_total]]-COMPROMISOS_2025[[#This Row],[total_cancelado]]</f>
        <v>711750</v>
      </c>
      <c r="X2285" s="136">
        <f>COMPROMISOS_2025[[#This Row],[total_ordenes]]</f>
        <v>711750</v>
      </c>
      <c r="Y2285" t="str" cm="1">
        <f t="array" aca="1" ref="Y2285" ca="1">IFERROR(_xlfn.XLOOKUP(COMPROMISOS_2025[[#This Row],[concatenado]],PAA[[#All],[RCP-RUBRO]],PAA[[#All],[Actividad3]],VLOOKUP(COMPROMISOS_2025[[#This Row],[Indicador Principal]],$AC$2:$AD$17,2,0),0),"")</f>
        <v/>
      </c>
    </row>
    <row r="2286" spans="1:25" hidden="1" x14ac:dyDescent="0.25">
      <c r="A2286">
        <v>1800</v>
      </c>
      <c r="B2286" t="s">
        <v>2491</v>
      </c>
      <c r="C2286" t="s">
        <v>1936</v>
      </c>
      <c r="D2286" t="s">
        <v>4182</v>
      </c>
      <c r="F2286">
        <v>406</v>
      </c>
      <c r="G2286">
        <v>65</v>
      </c>
      <c r="H2286" t="s">
        <v>662</v>
      </c>
      <c r="I2286" t="s">
        <v>2271</v>
      </c>
      <c r="J2286">
        <v>1423500</v>
      </c>
      <c r="K2286">
        <v>2025</v>
      </c>
      <c r="L2286">
        <v>1040182080</v>
      </c>
      <c r="M2286" t="s">
        <v>4097</v>
      </c>
      <c r="N2286" t="s">
        <v>1688</v>
      </c>
      <c r="O2286" t="s">
        <v>1686</v>
      </c>
      <c r="P2286">
        <v>0</v>
      </c>
      <c r="Q2286">
        <v>1423500</v>
      </c>
      <c r="R2286">
        <v>0</v>
      </c>
      <c r="S2286">
        <v>0</v>
      </c>
      <c r="T2286" t="str">
        <f t="shared" si="70"/>
        <v>18002.43.4302.85.0-205128.2.3.3.08.06.</v>
      </c>
      <c r="U2286" t="e" cm="1">
        <f t="array" aca="1" ref="U2286" ca="1">+IF(COMPROMISOS_2025[[#This Row],[P]]="20","41080111",_xlfn.XLOOKUP(COMPROMISOS_2025[[#This Row],[concatenado]],PAA[[#All],[RCP-RUBRO]],PAA[[#All],[INDICADOR]],"",0))</f>
        <v>#NAME?</v>
      </c>
      <c r="V2286" s="144" t="str">
        <f t="shared" si="71"/>
        <v>85</v>
      </c>
      <c r="W2286" s="136">
        <f>+COMPROMISOS_2025[[#This Row],[valor_total]]-COMPROMISOS_2025[[#This Row],[total_cancelado]]</f>
        <v>1423500</v>
      </c>
      <c r="X2286" s="136">
        <f>COMPROMISOS_2025[[#This Row],[total_ordenes]]</f>
        <v>1423500</v>
      </c>
      <c r="Y2286" t="str" cm="1">
        <f t="array" aca="1" ref="Y2286" ca="1">IFERROR(_xlfn.XLOOKUP(COMPROMISOS_2025[[#This Row],[concatenado]],PAA[[#All],[RCP-RUBRO]],PAA[[#All],[Actividad3]],VLOOKUP(COMPROMISOS_2025[[#This Row],[Indicador Principal]],$AC$2:$AD$17,2,0),0),"")</f>
        <v/>
      </c>
    </row>
    <row r="2287" spans="1:25" hidden="1" x14ac:dyDescent="0.25">
      <c r="A2287">
        <v>1801</v>
      </c>
      <c r="B2287" t="s">
        <v>2491</v>
      </c>
      <c r="C2287" t="s">
        <v>1936</v>
      </c>
      <c r="D2287" t="s">
        <v>4182</v>
      </c>
      <c r="F2287">
        <v>406</v>
      </c>
      <c r="G2287">
        <v>65</v>
      </c>
      <c r="H2287" t="s">
        <v>662</v>
      </c>
      <c r="I2287" t="s">
        <v>2271</v>
      </c>
      <c r="J2287">
        <v>2847000</v>
      </c>
      <c r="K2287">
        <v>2025</v>
      </c>
      <c r="L2287">
        <v>1040183108</v>
      </c>
      <c r="M2287" t="s">
        <v>4401</v>
      </c>
      <c r="N2287" t="s">
        <v>1688</v>
      </c>
      <c r="O2287" t="s">
        <v>1686</v>
      </c>
      <c r="P2287">
        <v>0</v>
      </c>
      <c r="Q2287">
        <v>2847000</v>
      </c>
      <c r="R2287">
        <v>0</v>
      </c>
      <c r="S2287">
        <v>0</v>
      </c>
      <c r="T2287" t="str">
        <f t="shared" si="70"/>
        <v>18012.43.4302.85.0-205128.2.3.3.08.06.</v>
      </c>
      <c r="U2287" t="e" cm="1">
        <f t="array" aca="1" ref="U2287" ca="1">+IF(COMPROMISOS_2025[[#This Row],[P]]="20","41080111",_xlfn.XLOOKUP(COMPROMISOS_2025[[#This Row],[concatenado]],PAA[[#All],[RCP-RUBRO]],PAA[[#All],[INDICADOR]],"",0))</f>
        <v>#NAME?</v>
      </c>
      <c r="V2287" s="144" t="str">
        <f t="shared" si="71"/>
        <v>85</v>
      </c>
      <c r="W2287" s="136">
        <f>+COMPROMISOS_2025[[#This Row],[valor_total]]-COMPROMISOS_2025[[#This Row],[total_cancelado]]</f>
        <v>2847000</v>
      </c>
      <c r="X2287" s="136">
        <f>COMPROMISOS_2025[[#This Row],[total_ordenes]]</f>
        <v>2847000</v>
      </c>
      <c r="Y2287" t="str" cm="1">
        <f t="array" aca="1" ref="Y2287" ca="1">IFERROR(_xlfn.XLOOKUP(COMPROMISOS_2025[[#This Row],[concatenado]],PAA[[#All],[RCP-RUBRO]],PAA[[#All],[Actividad3]],VLOOKUP(COMPROMISOS_2025[[#This Row],[Indicador Principal]],$AC$2:$AD$17,2,0),0),"")</f>
        <v/>
      </c>
    </row>
    <row r="2288" spans="1:25" hidden="1" x14ac:dyDescent="0.25">
      <c r="A2288">
        <v>1802</v>
      </c>
      <c r="B2288" t="s">
        <v>2491</v>
      </c>
      <c r="C2288" t="s">
        <v>1936</v>
      </c>
      <c r="D2288" t="s">
        <v>4182</v>
      </c>
      <c r="F2288">
        <v>406</v>
      </c>
      <c r="G2288">
        <v>65</v>
      </c>
      <c r="H2288" t="s">
        <v>662</v>
      </c>
      <c r="I2288" t="s">
        <v>2271</v>
      </c>
      <c r="J2288">
        <v>1423500</v>
      </c>
      <c r="K2288">
        <v>2025</v>
      </c>
      <c r="L2288">
        <v>1040358221</v>
      </c>
      <c r="M2288" t="s">
        <v>4099</v>
      </c>
      <c r="N2288" t="s">
        <v>1688</v>
      </c>
      <c r="O2288" t="s">
        <v>1686</v>
      </c>
      <c r="P2288">
        <v>0</v>
      </c>
      <c r="Q2288">
        <v>1423500</v>
      </c>
      <c r="R2288">
        <v>0</v>
      </c>
      <c r="S2288">
        <v>0</v>
      </c>
      <c r="T2288" t="str">
        <f t="shared" si="70"/>
        <v>18022.43.4302.85.0-205128.2.3.3.08.06.</v>
      </c>
      <c r="U2288" t="e" cm="1">
        <f t="array" aca="1" ref="U2288" ca="1">+IF(COMPROMISOS_2025[[#This Row],[P]]="20","41080111",_xlfn.XLOOKUP(COMPROMISOS_2025[[#This Row],[concatenado]],PAA[[#All],[RCP-RUBRO]],PAA[[#All],[INDICADOR]],"",0))</f>
        <v>#NAME?</v>
      </c>
      <c r="V2288" s="144" t="str">
        <f t="shared" si="71"/>
        <v>85</v>
      </c>
      <c r="W2288" s="136">
        <f>+COMPROMISOS_2025[[#This Row],[valor_total]]-COMPROMISOS_2025[[#This Row],[total_cancelado]]</f>
        <v>1423500</v>
      </c>
      <c r="X2288" s="136">
        <f>COMPROMISOS_2025[[#This Row],[total_ordenes]]</f>
        <v>1423500</v>
      </c>
      <c r="Y2288" t="str" cm="1">
        <f t="array" aca="1" ref="Y2288" ca="1">IFERROR(_xlfn.XLOOKUP(COMPROMISOS_2025[[#This Row],[concatenado]],PAA[[#All],[RCP-RUBRO]],PAA[[#All],[Actividad3]],VLOOKUP(COMPROMISOS_2025[[#This Row],[Indicador Principal]],$AC$2:$AD$17,2,0),0),"")</f>
        <v/>
      </c>
    </row>
    <row r="2289" spans="1:25" hidden="1" x14ac:dyDescent="0.25">
      <c r="A2289">
        <v>1803</v>
      </c>
      <c r="B2289" t="s">
        <v>2491</v>
      </c>
      <c r="C2289" t="s">
        <v>1936</v>
      </c>
      <c r="D2289" t="s">
        <v>4182</v>
      </c>
      <c r="F2289">
        <v>406</v>
      </c>
      <c r="G2289">
        <v>65</v>
      </c>
      <c r="H2289" t="s">
        <v>662</v>
      </c>
      <c r="I2289" t="s">
        <v>2271</v>
      </c>
      <c r="J2289">
        <v>1067625</v>
      </c>
      <c r="K2289">
        <v>2025</v>
      </c>
      <c r="L2289">
        <v>1040358334</v>
      </c>
      <c r="M2289" t="s">
        <v>3816</v>
      </c>
      <c r="N2289" t="s">
        <v>1688</v>
      </c>
      <c r="O2289" t="s">
        <v>1686</v>
      </c>
      <c r="P2289">
        <v>0</v>
      </c>
      <c r="Q2289">
        <v>1067625</v>
      </c>
      <c r="R2289">
        <v>0</v>
      </c>
      <c r="S2289">
        <v>0</v>
      </c>
      <c r="T2289" t="str">
        <f t="shared" si="70"/>
        <v>18032.43.4302.85.0-205128.2.3.3.08.06.</v>
      </c>
      <c r="U2289" t="e" cm="1">
        <f t="array" aca="1" ref="U2289" ca="1">+IF(COMPROMISOS_2025[[#This Row],[P]]="20","41080111",_xlfn.XLOOKUP(COMPROMISOS_2025[[#This Row],[concatenado]],PAA[[#All],[RCP-RUBRO]],PAA[[#All],[INDICADOR]],"",0))</f>
        <v>#NAME?</v>
      </c>
      <c r="V2289" s="144" t="str">
        <f t="shared" si="71"/>
        <v>85</v>
      </c>
      <c r="W2289" s="136">
        <f>+COMPROMISOS_2025[[#This Row],[valor_total]]-COMPROMISOS_2025[[#This Row],[total_cancelado]]</f>
        <v>1067625</v>
      </c>
      <c r="X2289" s="136">
        <f>COMPROMISOS_2025[[#This Row],[total_ordenes]]</f>
        <v>1067625</v>
      </c>
      <c r="Y2289" t="str" cm="1">
        <f t="array" aca="1" ref="Y2289" ca="1">IFERROR(_xlfn.XLOOKUP(COMPROMISOS_2025[[#This Row],[concatenado]],PAA[[#All],[RCP-RUBRO]],PAA[[#All],[Actividad3]],VLOOKUP(COMPROMISOS_2025[[#This Row],[Indicador Principal]],$AC$2:$AD$17,2,0),0),"")</f>
        <v/>
      </c>
    </row>
    <row r="2290" spans="1:25" hidden="1" x14ac:dyDescent="0.25">
      <c r="A2290">
        <v>1804</v>
      </c>
      <c r="B2290" t="s">
        <v>2491</v>
      </c>
      <c r="C2290" t="s">
        <v>1936</v>
      </c>
      <c r="D2290" t="s">
        <v>4182</v>
      </c>
      <c r="F2290">
        <v>406</v>
      </c>
      <c r="G2290">
        <v>65</v>
      </c>
      <c r="H2290" t="s">
        <v>662</v>
      </c>
      <c r="I2290" t="s">
        <v>2271</v>
      </c>
      <c r="J2290">
        <v>711750</v>
      </c>
      <c r="K2290">
        <v>2025</v>
      </c>
      <c r="L2290">
        <v>1040359328</v>
      </c>
      <c r="M2290" t="s">
        <v>3817</v>
      </c>
      <c r="N2290" t="s">
        <v>1688</v>
      </c>
      <c r="O2290" t="s">
        <v>1686</v>
      </c>
      <c r="P2290">
        <v>0</v>
      </c>
      <c r="Q2290">
        <v>711750</v>
      </c>
      <c r="R2290">
        <v>0</v>
      </c>
      <c r="S2290">
        <v>0</v>
      </c>
      <c r="T2290" t="str">
        <f t="shared" si="70"/>
        <v>18042.43.4302.85.0-205128.2.3.3.08.06.</v>
      </c>
      <c r="U2290" t="e" cm="1">
        <f t="array" aca="1" ref="U2290" ca="1">+IF(COMPROMISOS_2025[[#This Row],[P]]="20","41080111",_xlfn.XLOOKUP(COMPROMISOS_2025[[#This Row],[concatenado]],PAA[[#All],[RCP-RUBRO]],PAA[[#All],[INDICADOR]],"",0))</f>
        <v>#NAME?</v>
      </c>
      <c r="V2290" s="144" t="str">
        <f t="shared" si="71"/>
        <v>85</v>
      </c>
      <c r="W2290" s="136">
        <f>+COMPROMISOS_2025[[#This Row],[valor_total]]-COMPROMISOS_2025[[#This Row],[total_cancelado]]</f>
        <v>711750</v>
      </c>
      <c r="X2290" s="136">
        <f>COMPROMISOS_2025[[#This Row],[total_ordenes]]</f>
        <v>711750</v>
      </c>
      <c r="Y2290" t="str" cm="1">
        <f t="array" aca="1" ref="Y2290" ca="1">IFERROR(_xlfn.XLOOKUP(COMPROMISOS_2025[[#This Row],[concatenado]],PAA[[#All],[RCP-RUBRO]],PAA[[#All],[Actividad3]],VLOOKUP(COMPROMISOS_2025[[#This Row],[Indicador Principal]],$AC$2:$AD$17,2,0),0),"")</f>
        <v/>
      </c>
    </row>
    <row r="2291" spans="1:25" hidden="1" x14ac:dyDescent="0.25">
      <c r="A2291">
        <v>1805</v>
      </c>
      <c r="B2291" t="s">
        <v>2491</v>
      </c>
      <c r="C2291" t="s">
        <v>1936</v>
      </c>
      <c r="D2291" t="s">
        <v>4182</v>
      </c>
      <c r="F2291">
        <v>406</v>
      </c>
      <c r="G2291">
        <v>65</v>
      </c>
      <c r="H2291" t="s">
        <v>662</v>
      </c>
      <c r="I2291" t="s">
        <v>2271</v>
      </c>
      <c r="J2291">
        <v>711750</v>
      </c>
      <c r="K2291">
        <v>2025</v>
      </c>
      <c r="L2291">
        <v>1040362732</v>
      </c>
      <c r="M2291" t="s">
        <v>3818</v>
      </c>
      <c r="N2291" t="s">
        <v>1688</v>
      </c>
      <c r="O2291" t="s">
        <v>1686</v>
      </c>
      <c r="P2291">
        <v>0</v>
      </c>
      <c r="Q2291">
        <v>711750</v>
      </c>
      <c r="R2291">
        <v>0</v>
      </c>
      <c r="S2291">
        <v>0</v>
      </c>
      <c r="T2291" t="str">
        <f t="shared" si="70"/>
        <v>18052.43.4302.85.0-205128.2.3.3.08.06.</v>
      </c>
      <c r="U2291" t="e" cm="1">
        <f t="array" aca="1" ref="U2291" ca="1">+IF(COMPROMISOS_2025[[#This Row],[P]]="20","41080111",_xlfn.XLOOKUP(COMPROMISOS_2025[[#This Row],[concatenado]],PAA[[#All],[RCP-RUBRO]],PAA[[#All],[INDICADOR]],"",0))</f>
        <v>#NAME?</v>
      </c>
      <c r="V2291" s="144" t="str">
        <f t="shared" si="71"/>
        <v>85</v>
      </c>
      <c r="W2291" s="136">
        <f>+COMPROMISOS_2025[[#This Row],[valor_total]]-COMPROMISOS_2025[[#This Row],[total_cancelado]]</f>
        <v>711750</v>
      </c>
      <c r="X2291" s="136">
        <f>COMPROMISOS_2025[[#This Row],[total_ordenes]]</f>
        <v>711750</v>
      </c>
      <c r="Y2291" t="str" cm="1">
        <f t="array" aca="1" ref="Y2291" ca="1">IFERROR(_xlfn.XLOOKUP(COMPROMISOS_2025[[#This Row],[concatenado]],PAA[[#All],[RCP-RUBRO]],PAA[[#All],[Actividad3]],VLOOKUP(COMPROMISOS_2025[[#This Row],[Indicador Principal]],$AC$2:$AD$17,2,0),0),"")</f>
        <v/>
      </c>
    </row>
    <row r="2292" spans="1:25" hidden="1" x14ac:dyDescent="0.25">
      <c r="A2292">
        <v>1806</v>
      </c>
      <c r="B2292" t="s">
        <v>2491</v>
      </c>
      <c r="C2292" t="s">
        <v>1936</v>
      </c>
      <c r="D2292" t="s">
        <v>4182</v>
      </c>
      <c r="F2292">
        <v>406</v>
      </c>
      <c r="G2292">
        <v>65</v>
      </c>
      <c r="H2292" t="s">
        <v>662</v>
      </c>
      <c r="I2292" t="s">
        <v>2271</v>
      </c>
      <c r="J2292">
        <v>1423500</v>
      </c>
      <c r="K2292">
        <v>2025</v>
      </c>
      <c r="L2292">
        <v>1040368045</v>
      </c>
      <c r="M2292" t="s">
        <v>4402</v>
      </c>
      <c r="N2292" t="s">
        <v>1688</v>
      </c>
      <c r="O2292" t="s">
        <v>1686</v>
      </c>
      <c r="P2292">
        <v>0</v>
      </c>
      <c r="Q2292">
        <v>1423500</v>
      </c>
      <c r="R2292">
        <v>0</v>
      </c>
      <c r="S2292">
        <v>0</v>
      </c>
      <c r="T2292" t="str">
        <f t="shared" si="70"/>
        <v>18062.43.4302.85.0-205128.2.3.3.08.06.</v>
      </c>
      <c r="U2292" t="e" cm="1">
        <f t="array" aca="1" ref="U2292" ca="1">+IF(COMPROMISOS_2025[[#This Row],[P]]="20","41080111",_xlfn.XLOOKUP(COMPROMISOS_2025[[#This Row],[concatenado]],PAA[[#All],[RCP-RUBRO]],PAA[[#All],[INDICADOR]],"",0))</f>
        <v>#NAME?</v>
      </c>
      <c r="V2292" s="144" t="str">
        <f t="shared" si="71"/>
        <v>85</v>
      </c>
      <c r="W2292" s="136">
        <f>+COMPROMISOS_2025[[#This Row],[valor_total]]-COMPROMISOS_2025[[#This Row],[total_cancelado]]</f>
        <v>1423500</v>
      </c>
      <c r="X2292" s="136">
        <f>COMPROMISOS_2025[[#This Row],[total_ordenes]]</f>
        <v>1423500</v>
      </c>
      <c r="Y2292" t="str" cm="1">
        <f t="array" aca="1" ref="Y2292" ca="1">IFERROR(_xlfn.XLOOKUP(COMPROMISOS_2025[[#This Row],[concatenado]],PAA[[#All],[RCP-RUBRO]],PAA[[#All],[Actividad3]],VLOOKUP(COMPROMISOS_2025[[#This Row],[Indicador Principal]],$AC$2:$AD$17,2,0),0),"")</f>
        <v/>
      </c>
    </row>
    <row r="2293" spans="1:25" hidden="1" x14ac:dyDescent="0.25">
      <c r="A2293">
        <v>1807</v>
      </c>
      <c r="B2293" t="s">
        <v>2491</v>
      </c>
      <c r="C2293" t="s">
        <v>1936</v>
      </c>
      <c r="D2293" t="s">
        <v>4182</v>
      </c>
      <c r="F2293">
        <v>406</v>
      </c>
      <c r="G2293">
        <v>65</v>
      </c>
      <c r="H2293" t="s">
        <v>662</v>
      </c>
      <c r="I2293" t="s">
        <v>2271</v>
      </c>
      <c r="J2293">
        <v>1423500</v>
      </c>
      <c r="K2293">
        <v>2025</v>
      </c>
      <c r="L2293">
        <v>1040368312</v>
      </c>
      <c r="M2293" t="s">
        <v>3819</v>
      </c>
      <c r="N2293" t="s">
        <v>1688</v>
      </c>
      <c r="O2293" t="s">
        <v>1686</v>
      </c>
      <c r="P2293">
        <v>0</v>
      </c>
      <c r="Q2293">
        <v>1423500</v>
      </c>
      <c r="R2293">
        <v>0</v>
      </c>
      <c r="S2293">
        <v>0</v>
      </c>
      <c r="T2293" t="str">
        <f t="shared" si="70"/>
        <v>18072.43.4302.85.0-205128.2.3.3.08.06.</v>
      </c>
      <c r="U2293" t="e" cm="1">
        <f t="array" aca="1" ref="U2293" ca="1">+IF(COMPROMISOS_2025[[#This Row],[P]]="20","41080111",_xlfn.XLOOKUP(COMPROMISOS_2025[[#This Row],[concatenado]],PAA[[#All],[RCP-RUBRO]],PAA[[#All],[INDICADOR]],"",0))</f>
        <v>#NAME?</v>
      </c>
      <c r="V2293" s="144" t="str">
        <f t="shared" si="71"/>
        <v>85</v>
      </c>
      <c r="W2293" s="136">
        <f>+COMPROMISOS_2025[[#This Row],[valor_total]]-COMPROMISOS_2025[[#This Row],[total_cancelado]]</f>
        <v>1423500</v>
      </c>
      <c r="X2293" s="136">
        <f>COMPROMISOS_2025[[#This Row],[total_ordenes]]</f>
        <v>1423500</v>
      </c>
      <c r="Y2293" t="str" cm="1">
        <f t="array" aca="1" ref="Y2293" ca="1">IFERROR(_xlfn.XLOOKUP(COMPROMISOS_2025[[#This Row],[concatenado]],PAA[[#All],[RCP-RUBRO]],PAA[[#All],[Actividad3]],VLOOKUP(COMPROMISOS_2025[[#This Row],[Indicador Principal]],$AC$2:$AD$17,2,0),0),"")</f>
        <v/>
      </c>
    </row>
    <row r="2294" spans="1:25" hidden="1" x14ac:dyDescent="0.25">
      <c r="A2294">
        <v>1808</v>
      </c>
      <c r="B2294" t="s">
        <v>2491</v>
      </c>
      <c r="C2294" t="s">
        <v>1936</v>
      </c>
      <c r="D2294" t="s">
        <v>4182</v>
      </c>
      <c r="F2294">
        <v>406</v>
      </c>
      <c r="G2294">
        <v>65</v>
      </c>
      <c r="H2294" t="s">
        <v>662</v>
      </c>
      <c r="I2294" t="s">
        <v>2271</v>
      </c>
      <c r="J2294">
        <v>711750</v>
      </c>
      <c r="K2294">
        <v>2025</v>
      </c>
      <c r="L2294">
        <v>1040370251</v>
      </c>
      <c r="M2294" t="s">
        <v>4100</v>
      </c>
      <c r="N2294" t="s">
        <v>1688</v>
      </c>
      <c r="O2294" t="s">
        <v>1686</v>
      </c>
      <c r="P2294">
        <v>0</v>
      </c>
      <c r="Q2294">
        <v>711750</v>
      </c>
      <c r="R2294">
        <v>0</v>
      </c>
      <c r="S2294">
        <v>0</v>
      </c>
      <c r="T2294" t="str">
        <f t="shared" si="70"/>
        <v>18082.43.4302.85.0-205128.2.3.3.08.06.</v>
      </c>
      <c r="U2294" t="e" cm="1">
        <f t="array" aca="1" ref="U2294" ca="1">+IF(COMPROMISOS_2025[[#This Row],[P]]="20","41080111",_xlfn.XLOOKUP(COMPROMISOS_2025[[#This Row],[concatenado]],PAA[[#All],[RCP-RUBRO]],PAA[[#All],[INDICADOR]],"",0))</f>
        <v>#NAME?</v>
      </c>
      <c r="V2294" s="144" t="str">
        <f t="shared" si="71"/>
        <v>85</v>
      </c>
      <c r="W2294" s="136">
        <f>+COMPROMISOS_2025[[#This Row],[valor_total]]-COMPROMISOS_2025[[#This Row],[total_cancelado]]</f>
        <v>711750</v>
      </c>
      <c r="X2294" s="136">
        <f>COMPROMISOS_2025[[#This Row],[total_ordenes]]</f>
        <v>711750</v>
      </c>
      <c r="Y2294" t="str" cm="1">
        <f t="array" aca="1" ref="Y2294" ca="1">IFERROR(_xlfn.XLOOKUP(COMPROMISOS_2025[[#This Row],[concatenado]],PAA[[#All],[RCP-RUBRO]],PAA[[#All],[Actividad3]],VLOOKUP(COMPROMISOS_2025[[#This Row],[Indicador Principal]],$AC$2:$AD$17,2,0),0),"")</f>
        <v/>
      </c>
    </row>
    <row r="2295" spans="1:25" hidden="1" x14ac:dyDescent="0.25">
      <c r="A2295">
        <v>1809</v>
      </c>
      <c r="B2295" t="s">
        <v>2491</v>
      </c>
      <c r="C2295" t="s">
        <v>1936</v>
      </c>
      <c r="D2295" t="s">
        <v>4182</v>
      </c>
      <c r="F2295">
        <v>406</v>
      </c>
      <c r="G2295">
        <v>65</v>
      </c>
      <c r="H2295" t="s">
        <v>662</v>
      </c>
      <c r="I2295" t="s">
        <v>2271</v>
      </c>
      <c r="J2295">
        <v>711750</v>
      </c>
      <c r="K2295">
        <v>2025</v>
      </c>
      <c r="L2295">
        <v>1040494163</v>
      </c>
      <c r="M2295" t="s">
        <v>3820</v>
      </c>
      <c r="N2295" t="s">
        <v>1688</v>
      </c>
      <c r="O2295" t="s">
        <v>1686</v>
      </c>
      <c r="P2295">
        <v>0</v>
      </c>
      <c r="Q2295">
        <v>711750</v>
      </c>
      <c r="R2295">
        <v>0</v>
      </c>
      <c r="S2295">
        <v>0</v>
      </c>
      <c r="T2295" t="str">
        <f t="shared" si="70"/>
        <v>18092.43.4302.85.0-205128.2.3.3.08.06.</v>
      </c>
      <c r="U2295" t="e" cm="1">
        <f t="array" aca="1" ref="U2295" ca="1">+IF(COMPROMISOS_2025[[#This Row],[P]]="20","41080111",_xlfn.XLOOKUP(COMPROMISOS_2025[[#This Row],[concatenado]],PAA[[#All],[RCP-RUBRO]],PAA[[#All],[INDICADOR]],"",0))</f>
        <v>#NAME?</v>
      </c>
      <c r="V2295" s="144" t="str">
        <f t="shared" si="71"/>
        <v>85</v>
      </c>
      <c r="W2295" s="136">
        <f>+COMPROMISOS_2025[[#This Row],[valor_total]]-COMPROMISOS_2025[[#This Row],[total_cancelado]]</f>
        <v>711750</v>
      </c>
      <c r="X2295" s="136">
        <f>COMPROMISOS_2025[[#This Row],[total_ordenes]]</f>
        <v>711750</v>
      </c>
      <c r="Y2295" t="str" cm="1">
        <f t="array" aca="1" ref="Y2295" ca="1">IFERROR(_xlfn.XLOOKUP(COMPROMISOS_2025[[#This Row],[concatenado]],PAA[[#All],[RCP-RUBRO]],PAA[[#All],[Actividad3]],VLOOKUP(COMPROMISOS_2025[[#This Row],[Indicador Principal]],$AC$2:$AD$17,2,0),0),"")</f>
        <v/>
      </c>
    </row>
    <row r="2296" spans="1:25" hidden="1" x14ac:dyDescent="0.25">
      <c r="A2296">
        <v>1810</v>
      </c>
      <c r="B2296" t="s">
        <v>2491</v>
      </c>
      <c r="C2296" t="s">
        <v>1936</v>
      </c>
      <c r="D2296" t="s">
        <v>4182</v>
      </c>
      <c r="F2296">
        <v>406</v>
      </c>
      <c r="G2296">
        <v>65</v>
      </c>
      <c r="H2296" t="s">
        <v>662</v>
      </c>
      <c r="I2296" t="s">
        <v>2271</v>
      </c>
      <c r="J2296">
        <v>711750</v>
      </c>
      <c r="K2296">
        <v>2025</v>
      </c>
      <c r="L2296">
        <v>1040506785</v>
      </c>
      <c r="M2296" t="s">
        <v>4101</v>
      </c>
      <c r="N2296" t="s">
        <v>1688</v>
      </c>
      <c r="O2296" t="s">
        <v>1686</v>
      </c>
      <c r="P2296">
        <v>0</v>
      </c>
      <c r="Q2296">
        <v>711750</v>
      </c>
      <c r="R2296">
        <v>0</v>
      </c>
      <c r="S2296">
        <v>0</v>
      </c>
      <c r="T2296" t="str">
        <f t="shared" si="70"/>
        <v>18102.43.4302.85.0-205128.2.3.3.08.06.</v>
      </c>
      <c r="U2296" t="e" cm="1">
        <f t="array" aca="1" ref="U2296" ca="1">+IF(COMPROMISOS_2025[[#This Row],[P]]="20","41080111",_xlfn.XLOOKUP(COMPROMISOS_2025[[#This Row],[concatenado]],PAA[[#All],[RCP-RUBRO]],PAA[[#All],[INDICADOR]],"",0))</f>
        <v>#NAME?</v>
      </c>
      <c r="V2296" s="144" t="str">
        <f t="shared" si="71"/>
        <v>85</v>
      </c>
      <c r="W2296" s="136">
        <f>+COMPROMISOS_2025[[#This Row],[valor_total]]-COMPROMISOS_2025[[#This Row],[total_cancelado]]</f>
        <v>711750</v>
      </c>
      <c r="X2296" s="136">
        <f>COMPROMISOS_2025[[#This Row],[total_ordenes]]</f>
        <v>711750</v>
      </c>
      <c r="Y2296" t="str" cm="1">
        <f t="array" aca="1" ref="Y2296" ca="1">IFERROR(_xlfn.XLOOKUP(COMPROMISOS_2025[[#This Row],[concatenado]],PAA[[#All],[RCP-RUBRO]],PAA[[#All],[Actividad3]],VLOOKUP(COMPROMISOS_2025[[#This Row],[Indicador Principal]],$AC$2:$AD$17,2,0),0),"")</f>
        <v/>
      </c>
    </row>
    <row r="2297" spans="1:25" hidden="1" x14ac:dyDescent="0.25">
      <c r="A2297">
        <v>1811</v>
      </c>
      <c r="B2297" t="s">
        <v>2491</v>
      </c>
      <c r="C2297" t="s">
        <v>1936</v>
      </c>
      <c r="D2297" t="s">
        <v>4182</v>
      </c>
      <c r="F2297">
        <v>406</v>
      </c>
      <c r="G2297">
        <v>65</v>
      </c>
      <c r="H2297" t="s">
        <v>662</v>
      </c>
      <c r="I2297" t="s">
        <v>2271</v>
      </c>
      <c r="J2297">
        <v>1067625</v>
      </c>
      <c r="K2297">
        <v>2025</v>
      </c>
      <c r="L2297">
        <v>1040571699</v>
      </c>
      <c r="M2297" t="s">
        <v>4403</v>
      </c>
      <c r="N2297" t="s">
        <v>1688</v>
      </c>
      <c r="O2297" t="s">
        <v>1686</v>
      </c>
      <c r="P2297">
        <v>0</v>
      </c>
      <c r="Q2297">
        <v>1067625</v>
      </c>
      <c r="R2297">
        <v>0</v>
      </c>
      <c r="S2297">
        <v>0</v>
      </c>
      <c r="T2297" t="str">
        <f t="shared" si="70"/>
        <v>18112.43.4302.85.0-205128.2.3.3.08.06.</v>
      </c>
      <c r="U2297" t="e" cm="1">
        <f t="array" aca="1" ref="U2297" ca="1">+IF(COMPROMISOS_2025[[#This Row],[P]]="20","41080111",_xlfn.XLOOKUP(COMPROMISOS_2025[[#This Row],[concatenado]],PAA[[#All],[RCP-RUBRO]],PAA[[#All],[INDICADOR]],"",0))</f>
        <v>#NAME?</v>
      </c>
      <c r="V2297" s="144" t="str">
        <f t="shared" si="71"/>
        <v>85</v>
      </c>
      <c r="W2297" s="136">
        <f>+COMPROMISOS_2025[[#This Row],[valor_total]]-COMPROMISOS_2025[[#This Row],[total_cancelado]]</f>
        <v>1067625</v>
      </c>
      <c r="X2297" s="136">
        <f>COMPROMISOS_2025[[#This Row],[total_ordenes]]</f>
        <v>1067625</v>
      </c>
      <c r="Y2297" t="str" cm="1">
        <f t="array" aca="1" ref="Y2297" ca="1">IFERROR(_xlfn.XLOOKUP(COMPROMISOS_2025[[#This Row],[concatenado]],PAA[[#All],[RCP-RUBRO]],PAA[[#All],[Actividad3]],VLOOKUP(COMPROMISOS_2025[[#This Row],[Indicador Principal]],$AC$2:$AD$17,2,0),0),"")</f>
        <v/>
      </c>
    </row>
    <row r="2298" spans="1:25" hidden="1" x14ac:dyDescent="0.25">
      <c r="A2298">
        <v>1812</v>
      </c>
      <c r="B2298" t="s">
        <v>2491</v>
      </c>
      <c r="C2298" t="s">
        <v>1936</v>
      </c>
      <c r="D2298" t="s">
        <v>4182</v>
      </c>
      <c r="F2298">
        <v>406</v>
      </c>
      <c r="G2298">
        <v>65</v>
      </c>
      <c r="H2298" t="s">
        <v>662</v>
      </c>
      <c r="I2298" t="s">
        <v>2271</v>
      </c>
      <c r="J2298">
        <v>711750</v>
      </c>
      <c r="K2298">
        <v>2025</v>
      </c>
      <c r="L2298">
        <v>1040572488</v>
      </c>
      <c r="M2298" t="s">
        <v>3821</v>
      </c>
      <c r="N2298" t="s">
        <v>1688</v>
      </c>
      <c r="O2298" t="s">
        <v>1686</v>
      </c>
      <c r="P2298">
        <v>0</v>
      </c>
      <c r="Q2298">
        <v>711750</v>
      </c>
      <c r="R2298">
        <v>0</v>
      </c>
      <c r="S2298">
        <v>0</v>
      </c>
      <c r="T2298" t="str">
        <f t="shared" si="70"/>
        <v>18122.43.4302.85.0-205128.2.3.3.08.06.</v>
      </c>
      <c r="U2298" t="e" cm="1">
        <f t="array" aca="1" ref="U2298" ca="1">+IF(COMPROMISOS_2025[[#This Row],[P]]="20","41080111",_xlfn.XLOOKUP(COMPROMISOS_2025[[#This Row],[concatenado]],PAA[[#All],[RCP-RUBRO]],PAA[[#All],[INDICADOR]],"",0))</f>
        <v>#NAME?</v>
      </c>
      <c r="V2298" s="144" t="str">
        <f t="shared" si="71"/>
        <v>85</v>
      </c>
      <c r="W2298" s="136">
        <f>+COMPROMISOS_2025[[#This Row],[valor_total]]-COMPROMISOS_2025[[#This Row],[total_cancelado]]</f>
        <v>711750</v>
      </c>
      <c r="X2298" s="136">
        <f>COMPROMISOS_2025[[#This Row],[total_ordenes]]</f>
        <v>711750</v>
      </c>
      <c r="Y2298" t="str" cm="1">
        <f t="array" aca="1" ref="Y2298" ca="1">IFERROR(_xlfn.XLOOKUP(COMPROMISOS_2025[[#This Row],[concatenado]],PAA[[#All],[RCP-RUBRO]],PAA[[#All],[Actividad3]],VLOOKUP(COMPROMISOS_2025[[#This Row],[Indicador Principal]],$AC$2:$AD$17,2,0),0),"")</f>
        <v/>
      </c>
    </row>
    <row r="2299" spans="1:25" hidden="1" x14ac:dyDescent="0.25">
      <c r="A2299">
        <v>1813</v>
      </c>
      <c r="B2299" t="s">
        <v>2491</v>
      </c>
      <c r="C2299" t="s">
        <v>1936</v>
      </c>
      <c r="D2299" t="s">
        <v>4182</v>
      </c>
      <c r="F2299">
        <v>406</v>
      </c>
      <c r="G2299">
        <v>65</v>
      </c>
      <c r="H2299" t="s">
        <v>662</v>
      </c>
      <c r="I2299" t="s">
        <v>2271</v>
      </c>
      <c r="J2299">
        <v>2847000</v>
      </c>
      <c r="K2299">
        <v>2025</v>
      </c>
      <c r="L2299">
        <v>1040750941</v>
      </c>
      <c r="M2299" t="s">
        <v>3822</v>
      </c>
      <c r="N2299" t="s">
        <v>1688</v>
      </c>
      <c r="O2299" t="s">
        <v>1686</v>
      </c>
      <c r="P2299">
        <v>0</v>
      </c>
      <c r="Q2299">
        <v>2847000</v>
      </c>
      <c r="R2299">
        <v>0</v>
      </c>
      <c r="S2299">
        <v>0</v>
      </c>
      <c r="T2299" t="str">
        <f t="shared" si="70"/>
        <v>18132.43.4302.85.0-205128.2.3.3.08.06.</v>
      </c>
      <c r="U2299" t="e" cm="1">
        <f t="array" aca="1" ref="U2299" ca="1">+IF(COMPROMISOS_2025[[#This Row],[P]]="20","41080111",_xlfn.XLOOKUP(COMPROMISOS_2025[[#This Row],[concatenado]],PAA[[#All],[RCP-RUBRO]],PAA[[#All],[INDICADOR]],"",0))</f>
        <v>#NAME?</v>
      </c>
      <c r="V2299" s="144" t="str">
        <f t="shared" si="71"/>
        <v>85</v>
      </c>
      <c r="W2299" s="136">
        <f>+COMPROMISOS_2025[[#This Row],[valor_total]]-COMPROMISOS_2025[[#This Row],[total_cancelado]]</f>
        <v>2847000</v>
      </c>
      <c r="X2299" s="136">
        <f>COMPROMISOS_2025[[#This Row],[total_ordenes]]</f>
        <v>2847000</v>
      </c>
      <c r="Y2299" t="str" cm="1">
        <f t="array" aca="1" ref="Y2299" ca="1">IFERROR(_xlfn.XLOOKUP(COMPROMISOS_2025[[#This Row],[concatenado]],PAA[[#All],[RCP-RUBRO]],PAA[[#All],[Actividad3]],VLOOKUP(COMPROMISOS_2025[[#This Row],[Indicador Principal]],$AC$2:$AD$17,2,0),0),"")</f>
        <v/>
      </c>
    </row>
    <row r="2300" spans="1:25" hidden="1" x14ac:dyDescent="0.25">
      <c r="A2300">
        <v>1814</v>
      </c>
      <c r="B2300" t="s">
        <v>2491</v>
      </c>
      <c r="C2300" t="s">
        <v>1936</v>
      </c>
      <c r="D2300" t="s">
        <v>4182</v>
      </c>
      <c r="F2300">
        <v>406</v>
      </c>
      <c r="G2300">
        <v>65</v>
      </c>
      <c r="H2300" t="s">
        <v>662</v>
      </c>
      <c r="I2300" t="s">
        <v>2271</v>
      </c>
      <c r="J2300">
        <v>711750</v>
      </c>
      <c r="K2300">
        <v>2025</v>
      </c>
      <c r="L2300">
        <v>1040752849</v>
      </c>
      <c r="M2300" t="s">
        <v>4404</v>
      </c>
      <c r="N2300" t="s">
        <v>1688</v>
      </c>
      <c r="O2300" t="s">
        <v>1686</v>
      </c>
      <c r="P2300">
        <v>0</v>
      </c>
      <c r="Q2300">
        <v>711750</v>
      </c>
      <c r="R2300">
        <v>0</v>
      </c>
      <c r="S2300">
        <v>0</v>
      </c>
      <c r="T2300" t="str">
        <f t="shared" si="70"/>
        <v>18142.43.4302.85.0-205128.2.3.3.08.06.</v>
      </c>
      <c r="U2300" t="e" cm="1">
        <f t="array" aca="1" ref="U2300" ca="1">+IF(COMPROMISOS_2025[[#This Row],[P]]="20","41080111",_xlfn.XLOOKUP(COMPROMISOS_2025[[#This Row],[concatenado]],PAA[[#All],[RCP-RUBRO]],PAA[[#All],[INDICADOR]],"",0))</f>
        <v>#NAME?</v>
      </c>
      <c r="V2300" s="144" t="str">
        <f t="shared" si="71"/>
        <v>85</v>
      </c>
      <c r="W2300" s="136">
        <f>+COMPROMISOS_2025[[#This Row],[valor_total]]-COMPROMISOS_2025[[#This Row],[total_cancelado]]</f>
        <v>711750</v>
      </c>
      <c r="X2300" s="136">
        <f>COMPROMISOS_2025[[#This Row],[total_ordenes]]</f>
        <v>711750</v>
      </c>
      <c r="Y2300" t="str" cm="1">
        <f t="array" aca="1" ref="Y2300" ca="1">IFERROR(_xlfn.XLOOKUP(COMPROMISOS_2025[[#This Row],[concatenado]],PAA[[#All],[RCP-RUBRO]],PAA[[#All],[Actividad3]],VLOOKUP(COMPROMISOS_2025[[#This Row],[Indicador Principal]],$AC$2:$AD$17,2,0),0),"")</f>
        <v/>
      </c>
    </row>
    <row r="2301" spans="1:25" hidden="1" x14ac:dyDescent="0.25">
      <c r="A2301">
        <v>1815</v>
      </c>
      <c r="B2301" t="s">
        <v>2491</v>
      </c>
      <c r="C2301" t="s">
        <v>1936</v>
      </c>
      <c r="D2301" t="s">
        <v>4182</v>
      </c>
      <c r="F2301">
        <v>406</v>
      </c>
      <c r="G2301">
        <v>65</v>
      </c>
      <c r="H2301" t="s">
        <v>662</v>
      </c>
      <c r="I2301" t="s">
        <v>2271</v>
      </c>
      <c r="J2301">
        <v>2847000</v>
      </c>
      <c r="K2301">
        <v>2025</v>
      </c>
      <c r="L2301">
        <v>1040871903</v>
      </c>
      <c r="M2301" t="s">
        <v>4405</v>
      </c>
      <c r="N2301" t="s">
        <v>1688</v>
      </c>
      <c r="O2301" t="s">
        <v>1686</v>
      </c>
      <c r="P2301">
        <v>0</v>
      </c>
      <c r="Q2301">
        <v>2847000</v>
      </c>
      <c r="R2301">
        <v>0</v>
      </c>
      <c r="S2301">
        <v>0</v>
      </c>
      <c r="T2301" t="str">
        <f t="shared" si="70"/>
        <v>18152.43.4302.85.0-205128.2.3.3.08.06.</v>
      </c>
      <c r="U2301" t="e" cm="1">
        <f t="array" aca="1" ref="U2301" ca="1">+IF(COMPROMISOS_2025[[#This Row],[P]]="20","41080111",_xlfn.XLOOKUP(COMPROMISOS_2025[[#This Row],[concatenado]],PAA[[#All],[RCP-RUBRO]],PAA[[#All],[INDICADOR]],"",0))</f>
        <v>#NAME?</v>
      </c>
      <c r="V2301" s="144" t="str">
        <f t="shared" si="71"/>
        <v>85</v>
      </c>
      <c r="W2301" s="136">
        <f>+COMPROMISOS_2025[[#This Row],[valor_total]]-COMPROMISOS_2025[[#This Row],[total_cancelado]]</f>
        <v>2847000</v>
      </c>
      <c r="X2301" s="136">
        <f>COMPROMISOS_2025[[#This Row],[total_ordenes]]</f>
        <v>2847000</v>
      </c>
      <c r="Y2301" t="str" cm="1">
        <f t="array" aca="1" ref="Y2301" ca="1">IFERROR(_xlfn.XLOOKUP(COMPROMISOS_2025[[#This Row],[concatenado]],PAA[[#All],[RCP-RUBRO]],PAA[[#All],[Actividad3]],VLOOKUP(COMPROMISOS_2025[[#This Row],[Indicador Principal]],$AC$2:$AD$17,2,0),0),"")</f>
        <v/>
      </c>
    </row>
    <row r="2302" spans="1:25" hidden="1" x14ac:dyDescent="0.25">
      <c r="A2302">
        <v>1816</v>
      </c>
      <c r="B2302" t="s">
        <v>2491</v>
      </c>
      <c r="C2302" t="s">
        <v>1936</v>
      </c>
      <c r="D2302" t="s">
        <v>4182</v>
      </c>
      <c r="F2302">
        <v>406</v>
      </c>
      <c r="G2302">
        <v>65</v>
      </c>
      <c r="H2302" t="s">
        <v>662</v>
      </c>
      <c r="I2302" t="s">
        <v>2271</v>
      </c>
      <c r="J2302">
        <v>1067625</v>
      </c>
      <c r="K2302">
        <v>2025</v>
      </c>
      <c r="L2302">
        <v>1040872930</v>
      </c>
      <c r="M2302" t="s">
        <v>4102</v>
      </c>
      <c r="N2302" t="s">
        <v>1688</v>
      </c>
      <c r="O2302" t="s">
        <v>1686</v>
      </c>
      <c r="P2302">
        <v>0</v>
      </c>
      <c r="Q2302">
        <v>1067625</v>
      </c>
      <c r="R2302">
        <v>0</v>
      </c>
      <c r="S2302">
        <v>0</v>
      </c>
      <c r="T2302" t="str">
        <f t="shared" si="70"/>
        <v>18162.43.4302.85.0-205128.2.3.3.08.06.</v>
      </c>
      <c r="U2302" t="e" cm="1">
        <f t="array" aca="1" ref="U2302" ca="1">+IF(COMPROMISOS_2025[[#This Row],[P]]="20","41080111",_xlfn.XLOOKUP(COMPROMISOS_2025[[#This Row],[concatenado]],PAA[[#All],[RCP-RUBRO]],PAA[[#All],[INDICADOR]],"",0))</f>
        <v>#NAME?</v>
      </c>
      <c r="V2302" s="144" t="str">
        <f t="shared" si="71"/>
        <v>85</v>
      </c>
      <c r="W2302" s="136">
        <f>+COMPROMISOS_2025[[#This Row],[valor_total]]-COMPROMISOS_2025[[#This Row],[total_cancelado]]</f>
        <v>1067625</v>
      </c>
      <c r="X2302" s="136">
        <f>COMPROMISOS_2025[[#This Row],[total_ordenes]]</f>
        <v>1067625</v>
      </c>
      <c r="Y2302" t="str" cm="1">
        <f t="array" aca="1" ref="Y2302" ca="1">IFERROR(_xlfn.XLOOKUP(COMPROMISOS_2025[[#This Row],[concatenado]],PAA[[#All],[RCP-RUBRO]],PAA[[#All],[Actividad3]],VLOOKUP(COMPROMISOS_2025[[#This Row],[Indicador Principal]],$AC$2:$AD$17,2,0),0),"")</f>
        <v/>
      </c>
    </row>
    <row r="2303" spans="1:25" hidden="1" x14ac:dyDescent="0.25">
      <c r="A2303">
        <v>1817</v>
      </c>
      <c r="B2303" t="s">
        <v>2491</v>
      </c>
      <c r="C2303" t="s">
        <v>1936</v>
      </c>
      <c r="D2303" t="s">
        <v>4182</v>
      </c>
      <c r="F2303">
        <v>406</v>
      </c>
      <c r="G2303">
        <v>65</v>
      </c>
      <c r="H2303" t="s">
        <v>662</v>
      </c>
      <c r="I2303" t="s">
        <v>2271</v>
      </c>
      <c r="J2303">
        <v>711750</v>
      </c>
      <c r="K2303">
        <v>2025</v>
      </c>
      <c r="L2303">
        <v>1040873177</v>
      </c>
      <c r="M2303" t="s">
        <v>3823</v>
      </c>
      <c r="N2303" t="s">
        <v>1688</v>
      </c>
      <c r="O2303" t="s">
        <v>1686</v>
      </c>
      <c r="P2303">
        <v>0</v>
      </c>
      <c r="Q2303">
        <v>711750</v>
      </c>
      <c r="R2303">
        <v>0</v>
      </c>
      <c r="S2303">
        <v>0</v>
      </c>
      <c r="T2303" t="str">
        <f t="shared" si="70"/>
        <v>18172.43.4302.85.0-205128.2.3.3.08.06.</v>
      </c>
      <c r="U2303" t="e" cm="1">
        <f t="array" aca="1" ref="U2303" ca="1">+IF(COMPROMISOS_2025[[#This Row],[P]]="20","41080111",_xlfn.XLOOKUP(COMPROMISOS_2025[[#This Row],[concatenado]],PAA[[#All],[RCP-RUBRO]],PAA[[#All],[INDICADOR]],"",0))</f>
        <v>#NAME?</v>
      </c>
      <c r="V2303" s="144" t="str">
        <f t="shared" si="71"/>
        <v>85</v>
      </c>
      <c r="W2303" s="136">
        <f>+COMPROMISOS_2025[[#This Row],[valor_total]]-COMPROMISOS_2025[[#This Row],[total_cancelado]]</f>
        <v>711750</v>
      </c>
      <c r="X2303" s="136">
        <f>COMPROMISOS_2025[[#This Row],[total_ordenes]]</f>
        <v>711750</v>
      </c>
      <c r="Y2303" t="str" cm="1">
        <f t="array" aca="1" ref="Y2303" ca="1">IFERROR(_xlfn.XLOOKUP(COMPROMISOS_2025[[#This Row],[concatenado]],PAA[[#All],[RCP-RUBRO]],PAA[[#All],[Actividad3]],VLOOKUP(COMPROMISOS_2025[[#This Row],[Indicador Principal]],$AC$2:$AD$17,2,0),0),"")</f>
        <v/>
      </c>
    </row>
    <row r="2304" spans="1:25" hidden="1" x14ac:dyDescent="0.25">
      <c r="A2304">
        <v>1818</v>
      </c>
      <c r="B2304" t="s">
        <v>2491</v>
      </c>
      <c r="C2304" t="s">
        <v>1936</v>
      </c>
      <c r="D2304" t="s">
        <v>4182</v>
      </c>
      <c r="F2304">
        <v>406</v>
      </c>
      <c r="G2304">
        <v>65</v>
      </c>
      <c r="H2304" t="s">
        <v>662</v>
      </c>
      <c r="I2304" t="s">
        <v>2271</v>
      </c>
      <c r="J2304">
        <v>2847000</v>
      </c>
      <c r="K2304">
        <v>2025</v>
      </c>
      <c r="L2304">
        <v>1040874350</v>
      </c>
      <c r="M2304" t="s">
        <v>4406</v>
      </c>
      <c r="N2304" t="s">
        <v>1688</v>
      </c>
      <c r="O2304" t="s">
        <v>1686</v>
      </c>
      <c r="P2304">
        <v>0</v>
      </c>
      <c r="Q2304">
        <v>2847000</v>
      </c>
      <c r="R2304">
        <v>0</v>
      </c>
      <c r="S2304">
        <v>0</v>
      </c>
      <c r="T2304" t="str">
        <f t="shared" si="70"/>
        <v>18182.43.4302.85.0-205128.2.3.3.08.06.</v>
      </c>
      <c r="U2304" t="e" cm="1">
        <f t="array" aca="1" ref="U2304" ca="1">+IF(COMPROMISOS_2025[[#This Row],[P]]="20","41080111",_xlfn.XLOOKUP(COMPROMISOS_2025[[#This Row],[concatenado]],PAA[[#All],[RCP-RUBRO]],PAA[[#All],[INDICADOR]],"",0))</f>
        <v>#NAME?</v>
      </c>
      <c r="V2304" s="144" t="str">
        <f t="shared" si="71"/>
        <v>85</v>
      </c>
      <c r="W2304" s="136">
        <f>+COMPROMISOS_2025[[#This Row],[valor_total]]-COMPROMISOS_2025[[#This Row],[total_cancelado]]</f>
        <v>2847000</v>
      </c>
      <c r="X2304" s="136">
        <f>COMPROMISOS_2025[[#This Row],[total_ordenes]]</f>
        <v>2847000</v>
      </c>
      <c r="Y2304" t="str" cm="1">
        <f t="array" aca="1" ref="Y2304" ca="1">IFERROR(_xlfn.XLOOKUP(COMPROMISOS_2025[[#This Row],[concatenado]],PAA[[#All],[RCP-RUBRO]],PAA[[#All],[Actividad3]],VLOOKUP(COMPROMISOS_2025[[#This Row],[Indicador Principal]],$AC$2:$AD$17,2,0),0),"")</f>
        <v/>
      </c>
    </row>
    <row r="2305" spans="1:25" hidden="1" x14ac:dyDescent="0.25">
      <c r="A2305">
        <v>1819</v>
      </c>
      <c r="B2305" t="s">
        <v>2491</v>
      </c>
      <c r="C2305" t="s">
        <v>1936</v>
      </c>
      <c r="D2305" t="s">
        <v>4182</v>
      </c>
      <c r="F2305">
        <v>406</v>
      </c>
      <c r="G2305">
        <v>65</v>
      </c>
      <c r="H2305" t="s">
        <v>662</v>
      </c>
      <c r="I2305" t="s">
        <v>2271</v>
      </c>
      <c r="J2305">
        <v>4270500</v>
      </c>
      <c r="K2305">
        <v>2025</v>
      </c>
      <c r="L2305">
        <v>1040878283</v>
      </c>
      <c r="M2305" t="s">
        <v>4104</v>
      </c>
      <c r="N2305" t="s">
        <v>1688</v>
      </c>
      <c r="O2305" t="s">
        <v>1686</v>
      </c>
      <c r="P2305">
        <v>0</v>
      </c>
      <c r="Q2305">
        <v>4270500</v>
      </c>
      <c r="R2305">
        <v>0</v>
      </c>
      <c r="S2305">
        <v>0</v>
      </c>
      <c r="T2305" t="str">
        <f t="shared" si="70"/>
        <v>18192.43.4302.85.0-205128.2.3.3.08.06.</v>
      </c>
      <c r="U2305" t="e" cm="1">
        <f t="array" aca="1" ref="U2305" ca="1">+IF(COMPROMISOS_2025[[#This Row],[P]]="20","41080111",_xlfn.XLOOKUP(COMPROMISOS_2025[[#This Row],[concatenado]],PAA[[#All],[RCP-RUBRO]],PAA[[#All],[INDICADOR]],"",0))</f>
        <v>#NAME?</v>
      </c>
      <c r="V2305" s="144" t="str">
        <f t="shared" si="71"/>
        <v>85</v>
      </c>
      <c r="W2305" s="136">
        <f>+COMPROMISOS_2025[[#This Row],[valor_total]]-COMPROMISOS_2025[[#This Row],[total_cancelado]]</f>
        <v>4270500</v>
      </c>
      <c r="X2305" s="136">
        <f>COMPROMISOS_2025[[#This Row],[total_ordenes]]</f>
        <v>4270500</v>
      </c>
      <c r="Y2305" t="str" cm="1">
        <f t="array" aca="1" ref="Y2305" ca="1">IFERROR(_xlfn.XLOOKUP(COMPROMISOS_2025[[#This Row],[concatenado]],PAA[[#All],[RCP-RUBRO]],PAA[[#All],[Actividad3]],VLOOKUP(COMPROMISOS_2025[[#This Row],[Indicador Principal]],$AC$2:$AD$17,2,0),0),"")</f>
        <v/>
      </c>
    </row>
    <row r="2306" spans="1:25" hidden="1" x14ac:dyDescent="0.25">
      <c r="A2306">
        <v>1820</v>
      </c>
      <c r="B2306" t="s">
        <v>2491</v>
      </c>
      <c r="C2306" t="s">
        <v>1936</v>
      </c>
      <c r="D2306" t="s">
        <v>4182</v>
      </c>
      <c r="F2306">
        <v>406</v>
      </c>
      <c r="G2306">
        <v>65</v>
      </c>
      <c r="H2306" t="s">
        <v>662</v>
      </c>
      <c r="I2306" t="s">
        <v>2271</v>
      </c>
      <c r="J2306">
        <v>711750</v>
      </c>
      <c r="K2306">
        <v>2025</v>
      </c>
      <c r="L2306">
        <v>1040976282</v>
      </c>
      <c r="M2306" t="s">
        <v>3824</v>
      </c>
      <c r="N2306" t="s">
        <v>1688</v>
      </c>
      <c r="O2306" t="s">
        <v>1686</v>
      </c>
      <c r="P2306">
        <v>0</v>
      </c>
      <c r="Q2306">
        <v>711750</v>
      </c>
      <c r="R2306">
        <v>0</v>
      </c>
      <c r="S2306">
        <v>0</v>
      </c>
      <c r="T2306" t="str">
        <f t="shared" ref="T2306:T2369" si="72">IF(A2306&gt;=0,CONCATENATE(A2306,H2306),"")</f>
        <v>18202.43.4302.85.0-205128.2.3.3.08.06.</v>
      </c>
      <c r="U2306" t="e" cm="1">
        <f t="array" aca="1" ref="U2306" ca="1">+IF(COMPROMISOS_2025[[#This Row],[P]]="20","41080111",_xlfn.XLOOKUP(COMPROMISOS_2025[[#This Row],[concatenado]],PAA[[#All],[RCP-RUBRO]],PAA[[#All],[INDICADOR]],"",0))</f>
        <v>#NAME?</v>
      </c>
      <c r="V2306" s="144" t="str">
        <f t="shared" ref="V2306:V2369" si="73">+MID(H2306,11,2)</f>
        <v>85</v>
      </c>
      <c r="W2306" s="136">
        <f>+COMPROMISOS_2025[[#This Row],[valor_total]]-COMPROMISOS_2025[[#This Row],[total_cancelado]]</f>
        <v>711750</v>
      </c>
      <c r="X2306" s="136">
        <f>COMPROMISOS_2025[[#This Row],[total_ordenes]]</f>
        <v>711750</v>
      </c>
      <c r="Y2306" t="str" cm="1">
        <f t="array" aca="1" ref="Y2306" ca="1">IFERROR(_xlfn.XLOOKUP(COMPROMISOS_2025[[#This Row],[concatenado]],PAA[[#All],[RCP-RUBRO]],PAA[[#All],[Actividad3]],VLOOKUP(COMPROMISOS_2025[[#This Row],[Indicador Principal]],$AC$2:$AD$17,2,0),0),"")</f>
        <v/>
      </c>
    </row>
    <row r="2307" spans="1:25" hidden="1" x14ac:dyDescent="0.25">
      <c r="A2307">
        <v>1821</v>
      </c>
      <c r="B2307" t="s">
        <v>2491</v>
      </c>
      <c r="C2307" t="s">
        <v>1936</v>
      </c>
      <c r="D2307" t="s">
        <v>4182</v>
      </c>
      <c r="F2307">
        <v>406</v>
      </c>
      <c r="G2307">
        <v>65</v>
      </c>
      <c r="H2307" t="s">
        <v>662</v>
      </c>
      <c r="I2307" t="s">
        <v>2271</v>
      </c>
      <c r="J2307">
        <v>1423500</v>
      </c>
      <c r="K2307">
        <v>2025</v>
      </c>
      <c r="L2307">
        <v>1041229877</v>
      </c>
      <c r="M2307" t="s">
        <v>3825</v>
      </c>
      <c r="N2307" t="s">
        <v>1688</v>
      </c>
      <c r="O2307" t="s">
        <v>1686</v>
      </c>
      <c r="P2307">
        <v>0</v>
      </c>
      <c r="Q2307">
        <v>1423500</v>
      </c>
      <c r="R2307">
        <v>0</v>
      </c>
      <c r="S2307">
        <v>0</v>
      </c>
      <c r="T2307" t="str">
        <f t="shared" si="72"/>
        <v>18212.43.4302.85.0-205128.2.3.3.08.06.</v>
      </c>
      <c r="U2307" t="e" cm="1">
        <f t="array" aca="1" ref="U2307" ca="1">+IF(COMPROMISOS_2025[[#This Row],[P]]="20","41080111",_xlfn.XLOOKUP(COMPROMISOS_2025[[#This Row],[concatenado]],PAA[[#All],[RCP-RUBRO]],PAA[[#All],[INDICADOR]],"",0))</f>
        <v>#NAME?</v>
      </c>
      <c r="V2307" s="144" t="str">
        <f t="shared" si="73"/>
        <v>85</v>
      </c>
      <c r="W2307" s="136">
        <f>+COMPROMISOS_2025[[#This Row],[valor_total]]-COMPROMISOS_2025[[#This Row],[total_cancelado]]</f>
        <v>1423500</v>
      </c>
      <c r="X2307" s="136">
        <f>COMPROMISOS_2025[[#This Row],[total_ordenes]]</f>
        <v>1423500</v>
      </c>
      <c r="Y2307" t="str" cm="1">
        <f t="array" aca="1" ref="Y2307" ca="1">IFERROR(_xlfn.XLOOKUP(COMPROMISOS_2025[[#This Row],[concatenado]],PAA[[#All],[RCP-RUBRO]],PAA[[#All],[Actividad3]],VLOOKUP(COMPROMISOS_2025[[#This Row],[Indicador Principal]],$AC$2:$AD$17,2,0),0),"")</f>
        <v/>
      </c>
    </row>
    <row r="2308" spans="1:25" hidden="1" x14ac:dyDescent="0.25">
      <c r="A2308">
        <v>1822</v>
      </c>
      <c r="B2308" t="s">
        <v>2491</v>
      </c>
      <c r="C2308" t="s">
        <v>1936</v>
      </c>
      <c r="D2308" t="s">
        <v>4182</v>
      </c>
      <c r="F2308">
        <v>406</v>
      </c>
      <c r="G2308">
        <v>65</v>
      </c>
      <c r="H2308" t="s">
        <v>662</v>
      </c>
      <c r="I2308" t="s">
        <v>2271</v>
      </c>
      <c r="J2308">
        <v>711750</v>
      </c>
      <c r="K2308">
        <v>2025</v>
      </c>
      <c r="L2308">
        <v>1041267837</v>
      </c>
      <c r="M2308" t="s">
        <v>4407</v>
      </c>
      <c r="N2308" t="s">
        <v>1688</v>
      </c>
      <c r="O2308" t="s">
        <v>1686</v>
      </c>
      <c r="P2308">
        <v>0</v>
      </c>
      <c r="Q2308">
        <v>711750</v>
      </c>
      <c r="R2308">
        <v>0</v>
      </c>
      <c r="S2308">
        <v>0</v>
      </c>
      <c r="T2308" t="str">
        <f t="shared" si="72"/>
        <v>18222.43.4302.85.0-205128.2.3.3.08.06.</v>
      </c>
      <c r="U2308" t="e" cm="1">
        <f t="array" aca="1" ref="U2308" ca="1">+IF(COMPROMISOS_2025[[#This Row],[P]]="20","41080111",_xlfn.XLOOKUP(COMPROMISOS_2025[[#This Row],[concatenado]],PAA[[#All],[RCP-RUBRO]],PAA[[#All],[INDICADOR]],"",0))</f>
        <v>#NAME?</v>
      </c>
      <c r="V2308" s="144" t="str">
        <f t="shared" si="73"/>
        <v>85</v>
      </c>
      <c r="W2308" s="136">
        <f>+COMPROMISOS_2025[[#This Row],[valor_total]]-COMPROMISOS_2025[[#This Row],[total_cancelado]]</f>
        <v>711750</v>
      </c>
      <c r="X2308" s="136">
        <f>COMPROMISOS_2025[[#This Row],[total_ordenes]]</f>
        <v>711750</v>
      </c>
      <c r="Y2308" t="str" cm="1">
        <f t="array" aca="1" ref="Y2308" ca="1">IFERROR(_xlfn.XLOOKUP(COMPROMISOS_2025[[#This Row],[concatenado]],PAA[[#All],[RCP-RUBRO]],PAA[[#All],[Actividad3]],VLOOKUP(COMPROMISOS_2025[[#This Row],[Indicador Principal]],$AC$2:$AD$17,2,0),0),"")</f>
        <v/>
      </c>
    </row>
    <row r="2309" spans="1:25" hidden="1" x14ac:dyDescent="0.25">
      <c r="A2309">
        <v>1823</v>
      </c>
      <c r="B2309" t="s">
        <v>2491</v>
      </c>
      <c r="C2309" t="s">
        <v>1936</v>
      </c>
      <c r="D2309" t="s">
        <v>4182</v>
      </c>
      <c r="F2309">
        <v>406</v>
      </c>
      <c r="G2309">
        <v>65</v>
      </c>
      <c r="H2309" t="s">
        <v>662</v>
      </c>
      <c r="I2309" t="s">
        <v>2271</v>
      </c>
      <c r="J2309">
        <v>711750</v>
      </c>
      <c r="K2309">
        <v>2025</v>
      </c>
      <c r="L2309">
        <v>1041530843</v>
      </c>
      <c r="M2309" t="s">
        <v>3826</v>
      </c>
      <c r="N2309" t="s">
        <v>1688</v>
      </c>
      <c r="O2309" t="s">
        <v>1686</v>
      </c>
      <c r="P2309">
        <v>0</v>
      </c>
      <c r="Q2309">
        <v>711750</v>
      </c>
      <c r="R2309">
        <v>0</v>
      </c>
      <c r="S2309">
        <v>0</v>
      </c>
      <c r="T2309" t="str">
        <f t="shared" si="72"/>
        <v>18232.43.4302.85.0-205128.2.3.3.08.06.</v>
      </c>
      <c r="U2309" t="e" cm="1">
        <f t="array" aca="1" ref="U2309" ca="1">+IF(COMPROMISOS_2025[[#This Row],[P]]="20","41080111",_xlfn.XLOOKUP(COMPROMISOS_2025[[#This Row],[concatenado]],PAA[[#All],[RCP-RUBRO]],PAA[[#All],[INDICADOR]],"",0))</f>
        <v>#NAME?</v>
      </c>
      <c r="V2309" s="144" t="str">
        <f t="shared" si="73"/>
        <v>85</v>
      </c>
      <c r="W2309" s="136">
        <f>+COMPROMISOS_2025[[#This Row],[valor_total]]-COMPROMISOS_2025[[#This Row],[total_cancelado]]</f>
        <v>711750</v>
      </c>
      <c r="X2309" s="136">
        <f>COMPROMISOS_2025[[#This Row],[total_ordenes]]</f>
        <v>711750</v>
      </c>
      <c r="Y2309" t="str" cm="1">
        <f t="array" aca="1" ref="Y2309" ca="1">IFERROR(_xlfn.XLOOKUP(COMPROMISOS_2025[[#This Row],[concatenado]],PAA[[#All],[RCP-RUBRO]],PAA[[#All],[Actividad3]],VLOOKUP(COMPROMISOS_2025[[#This Row],[Indicador Principal]],$AC$2:$AD$17,2,0),0),"")</f>
        <v/>
      </c>
    </row>
    <row r="2310" spans="1:25" hidden="1" x14ac:dyDescent="0.25">
      <c r="A2310">
        <v>1824</v>
      </c>
      <c r="B2310" t="s">
        <v>2491</v>
      </c>
      <c r="C2310" t="s">
        <v>1936</v>
      </c>
      <c r="D2310" t="s">
        <v>4182</v>
      </c>
      <c r="F2310">
        <v>406</v>
      </c>
      <c r="G2310">
        <v>65</v>
      </c>
      <c r="H2310" t="s">
        <v>662</v>
      </c>
      <c r="I2310" t="s">
        <v>2271</v>
      </c>
      <c r="J2310">
        <v>1067625</v>
      </c>
      <c r="K2310">
        <v>2025</v>
      </c>
      <c r="L2310">
        <v>1041533751</v>
      </c>
      <c r="M2310" t="s">
        <v>4408</v>
      </c>
      <c r="N2310" t="s">
        <v>1688</v>
      </c>
      <c r="O2310" t="s">
        <v>1686</v>
      </c>
      <c r="P2310">
        <v>0</v>
      </c>
      <c r="Q2310">
        <v>1067625</v>
      </c>
      <c r="R2310">
        <v>0</v>
      </c>
      <c r="S2310">
        <v>0</v>
      </c>
      <c r="T2310" t="str">
        <f t="shared" si="72"/>
        <v>18242.43.4302.85.0-205128.2.3.3.08.06.</v>
      </c>
      <c r="U2310" t="e" cm="1">
        <f t="array" aca="1" ref="U2310" ca="1">+IF(COMPROMISOS_2025[[#This Row],[P]]="20","41080111",_xlfn.XLOOKUP(COMPROMISOS_2025[[#This Row],[concatenado]],PAA[[#All],[RCP-RUBRO]],PAA[[#All],[INDICADOR]],"",0))</f>
        <v>#NAME?</v>
      </c>
      <c r="V2310" s="144" t="str">
        <f t="shared" si="73"/>
        <v>85</v>
      </c>
      <c r="W2310" s="136">
        <f>+COMPROMISOS_2025[[#This Row],[valor_total]]-COMPROMISOS_2025[[#This Row],[total_cancelado]]</f>
        <v>1067625</v>
      </c>
      <c r="X2310" s="136">
        <f>COMPROMISOS_2025[[#This Row],[total_ordenes]]</f>
        <v>1067625</v>
      </c>
      <c r="Y2310" t="str" cm="1">
        <f t="array" aca="1" ref="Y2310" ca="1">IFERROR(_xlfn.XLOOKUP(COMPROMISOS_2025[[#This Row],[concatenado]],PAA[[#All],[RCP-RUBRO]],PAA[[#All],[Actividad3]],VLOOKUP(COMPROMISOS_2025[[#This Row],[Indicador Principal]],$AC$2:$AD$17,2,0),0),"")</f>
        <v/>
      </c>
    </row>
    <row r="2311" spans="1:25" hidden="1" x14ac:dyDescent="0.25">
      <c r="A2311">
        <v>1825</v>
      </c>
      <c r="B2311" t="s">
        <v>2491</v>
      </c>
      <c r="C2311" t="s">
        <v>1936</v>
      </c>
      <c r="D2311" t="s">
        <v>4182</v>
      </c>
      <c r="F2311">
        <v>406</v>
      </c>
      <c r="G2311">
        <v>65</v>
      </c>
      <c r="H2311" t="s">
        <v>662</v>
      </c>
      <c r="I2311" t="s">
        <v>2271</v>
      </c>
      <c r="J2311">
        <v>1067625</v>
      </c>
      <c r="K2311">
        <v>2025</v>
      </c>
      <c r="L2311">
        <v>1042151492</v>
      </c>
      <c r="M2311" t="s">
        <v>3827</v>
      </c>
      <c r="N2311" t="s">
        <v>1688</v>
      </c>
      <c r="O2311" t="s">
        <v>1686</v>
      </c>
      <c r="P2311">
        <v>0</v>
      </c>
      <c r="Q2311">
        <v>1067625</v>
      </c>
      <c r="R2311">
        <v>0</v>
      </c>
      <c r="S2311">
        <v>0</v>
      </c>
      <c r="T2311" t="str">
        <f t="shared" si="72"/>
        <v>18252.43.4302.85.0-205128.2.3.3.08.06.</v>
      </c>
      <c r="U2311" t="e" cm="1">
        <f t="array" aca="1" ref="U2311" ca="1">+IF(COMPROMISOS_2025[[#This Row],[P]]="20","41080111",_xlfn.XLOOKUP(COMPROMISOS_2025[[#This Row],[concatenado]],PAA[[#All],[RCP-RUBRO]],PAA[[#All],[INDICADOR]],"",0))</f>
        <v>#NAME?</v>
      </c>
      <c r="V2311" s="144" t="str">
        <f t="shared" si="73"/>
        <v>85</v>
      </c>
      <c r="W2311" s="136">
        <f>+COMPROMISOS_2025[[#This Row],[valor_total]]-COMPROMISOS_2025[[#This Row],[total_cancelado]]</f>
        <v>1067625</v>
      </c>
      <c r="X2311" s="136">
        <f>COMPROMISOS_2025[[#This Row],[total_ordenes]]</f>
        <v>1067625</v>
      </c>
      <c r="Y2311" t="str" cm="1">
        <f t="array" aca="1" ref="Y2311" ca="1">IFERROR(_xlfn.XLOOKUP(COMPROMISOS_2025[[#This Row],[concatenado]],PAA[[#All],[RCP-RUBRO]],PAA[[#All],[Actividad3]],VLOOKUP(COMPROMISOS_2025[[#This Row],[Indicador Principal]],$AC$2:$AD$17,2,0),0),"")</f>
        <v/>
      </c>
    </row>
    <row r="2312" spans="1:25" hidden="1" x14ac:dyDescent="0.25">
      <c r="A2312">
        <v>1826</v>
      </c>
      <c r="B2312" t="s">
        <v>2491</v>
      </c>
      <c r="C2312" t="s">
        <v>1936</v>
      </c>
      <c r="D2312" t="s">
        <v>4182</v>
      </c>
      <c r="F2312">
        <v>406</v>
      </c>
      <c r="G2312">
        <v>65</v>
      </c>
      <c r="H2312" t="s">
        <v>662</v>
      </c>
      <c r="I2312" t="s">
        <v>2271</v>
      </c>
      <c r="J2312">
        <v>711750</v>
      </c>
      <c r="K2312">
        <v>2025</v>
      </c>
      <c r="L2312">
        <v>1042580428</v>
      </c>
      <c r="M2312" t="s">
        <v>4409</v>
      </c>
      <c r="N2312" t="s">
        <v>1688</v>
      </c>
      <c r="O2312" t="s">
        <v>1686</v>
      </c>
      <c r="P2312">
        <v>0</v>
      </c>
      <c r="Q2312">
        <v>711750</v>
      </c>
      <c r="R2312">
        <v>0</v>
      </c>
      <c r="S2312">
        <v>0</v>
      </c>
      <c r="T2312" t="str">
        <f t="shared" si="72"/>
        <v>18262.43.4302.85.0-205128.2.3.3.08.06.</v>
      </c>
      <c r="U2312" t="e" cm="1">
        <f t="array" aca="1" ref="U2312" ca="1">+IF(COMPROMISOS_2025[[#This Row],[P]]="20","41080111",_xlfn.XLOOKUP(COMPROMISOS_2025[[#This Row],[concatenado]],PAA[[#All],[RCP-RUBRO]],PAA[[#All],[INDICADOR]],"",0))</f>
        <v>#NAME?</v>
      </c>
      <c r="V2312" s="144" t="str">
        <f t="shared" si="73"/>
        <v>85</v>
      </c>
      <c r="W2312" s="136">
        <f>+COMPROMISOS_2025[[#This Row],[valor_total]]-COMPROMISOS_2025[[#This Row],[total_cancelado]]</f>
        <v>711750</v>
      </c>
      <c r="X2312" s="136">
        <f>COMPROMISOS_2025[[#This Row],[total_ordenes]]</f>
        <v>711750</v>
      </c>
      <c r="Y2312" t="str" cm="1">
        <f t="array" aca="1" ref="Y2312" ca="1">IFERROR(_xlfn.XLOOKUP(COMPROMISOS_2025[[#This Row],[concatenado]],PAA[[#All],[RCP-RUBRO]],PAA[[#All],[Actividad3]],VLOOKUP(COMPROMISOS_2025[[#This Row],[Indicador Principal]],$AC$2:$AD$17,2,0),0),"")</f>
        <v/>
      </c>
    </row>
    <row r="2313" spans="1:25" hidden="1" x14ac:dyDescent="0.25">
      <c r="A2313">
        <v>1827</v>
      </c>
      <c r="B2313" t="s">
        <v>2491</v>
      </c>
      <c r="C2313" t="s">
        <v>1936</v>
      </c>
      <c r="D2313" t="s">
        <v>4182</v>
      </c>
      <c r="F2313">
        <v>406</v>
      </c>
      <c r="G2313">
        <v>65</v>
      </c>
      <c r="H2313" t="s">
        <v>662</v>
      </c>
      <c r="I2313" t="s">
        <v>2271</v>
      </c>
      <c r="J2313">
        <v>711750</v>
      </c>
      <c r="K2313">
        <v>2025</v>
      </c>
      <c r="L2313">
        <v>1042775483</v>
      </c>
      <c r="M2313" t="s">
        <v>3828</v>
      </c>
      <c r="N2313" t="s">
        <v>1688</v>
      </c>
      <c r="O2313" t="s">
        <v>1686</v>
      </c>
      <c r="P2313">
        <v>0</v>
      </c>
      <c r="Q2313">
        <v>711750</v>
      </c>
      <c r="R2313">
        <v>0</v>
      </c>
      <c r="S2313">
        <v>0</v>
      </c>
      <c r="T2313" t="str">
        <f t="shared" si="72"/>
        <v>18272.43.4302.85.0-205128.2.3.3.08.06.</v>
      </c>
      <c r="U2313" t="e" cm="1">
        <f t="array" aca="1" ref="U2313" ca="1">+IF(COMPROMISOS_2025[[#This Row],[P]]="20","41080111",_xlfn.XLOOKUP(COMPROMISOS_2025[[#This Row],[concatenado]],PAA[[#All],[RCP-RUBRO]],PAA[[#All],[INDICADOR]],"",0))</f>
        <v>#NAME?</v>
      </c>
      <c r="V2313" s="144" t="str">
        <f t="shared" si="73"/>
        <v>85</v>
      </c>
      <c r="W2313" s="136">
        <f>+COMPROMISOS_2025[[#This Row],[valor_total]]-COMPROMISOS_2025[[#This Row],[total_cancelado]]</f>
        <v>711750</v>
      </c>
      <c r="X2313" s="136">
        <f>COMPROMISOS_2025[[#This Row],[total_ordenes]]</f>
        <v>711750</v>
      </c>
      <c r="Y2313" t="str" cm="1">
        <f t="array" aca="1" ref="Y2313" ca="1">IFERROR(_xlfn.XLOOKUP(COMPROMISOS_2025[[#This Row],[concatenado]],PAA[[#All],[RCP-RUBRO]],PAA[[#All],[Actividad3]],VLOOKUP(COMPROMISOS_2025[[#This Row],[Indicador Principal]],$AC$2:$AD$17,2,0),0),"")</f>
        <v/>
      </c>
    </row>
    <row r="2314" spans="1:25" hidden="1" x14ac:dyDescent="0.25">
      <c r="A2314">
        <v>1828</v>
      </c>
      <c r="B2314" t="s">
        <v>2491</v>
      </c>
      <c r="C2314" t="s">
        <v>1936</v>
      </c>
      <c r="D2314" t="s">
        <v>4182</v>
      </c>
      <c r="F2314">
        <v>406</v>
      </c>
      <c r="G2314">
        <v>65</v>
      </c>
      <c r="H2314" t="s">
        <v>662</v>
      </c>
      <c r="I2314" t="s">
        <v>2271</v>
      </c>
      <c r="J2314">
        <v>2847000</v>
      </c>
      <c r="K2314">
        <v>2025</v>
      </c>
      <c r="L2314">
        <v>1042854683</v>
      </c>
      <c r="M2314" t="s">
        <v>4410</v>
      </c>
      <c r="N2314" t="s">
        <v>1688</v>
      </c>
      <c r="O2314" t="s">
        <v>1686</v>
      </c>
      <c r="P2314">
        <v>0</v>
      </c>
      <c r="Q2314">
        <v>2847000</v>
      </c>
      <c r="R2314">
        <v>0</v>
      </c>
      <c r="S2314">
        <v>0</v>
      </c>
      <c r="T2314" t="str">
        <f t="shared" si="72"/>
        <v>18282.43.4302.85.0-205128.2.3.3.08.06.</v>
      </c>
      <c r="U2314" t="e" cm="1">
        <f t="array" aca="1" ref="U2314" ca="1">+IF(COMPROMISOS_2025[[#This Row],[P]]="20","41080111",_xlfn.XLOOKUP(COMPROMISOS_2025[[#This Row],[concatenado]],PAA[[#All],[RCP-RUBRO]],PAA[[#All],[INDICADOR]],"",0))</f>
        <v>#NAME?</v>
      </c>
      <c r="V2314" s="144" t="str">
        <f t="shared" si="73"/>
        <v>85</v>
      </c>
      <c r="W2314" s="136">
        <f>+COMPROMISOS_2025[[#This Row],[valor_total]]-COMPROMISOS_2025[[#This Row],[total_cancelado]]</f>
        <v>2847000</v>
      </c>
      <c r="X2314" s="136">
        <f>COMPROMISOS_2025[[#This Row],[total_ordenes]]</f>
        <v>2847000</v>
      </c>
      <c r="Y2314" t="str" cm="1">
        <f t="array" aca="1" ref="Y2314" ca="1">IFERROR(_xlfn.XLOOKUP(COMPROMISOS_2025[[#This Row],[concatenado]],PAA[[#All],[RCP-RUBRO]],PAA[[#All],[Actividad3]],VLOOKUP(COMPROMISOS_2025[[#This Row],[Indicador Principal]],$AC$2:$AD$17,2,0),0),"")</f>
        <v/>
      </c>
    </row>
    <row r="2315" spans="1:25" hidden="1" x14ac:dyDescent="0.25">
      <c r="A2315">
        <v>1829</v>
      </c>
      <c r="B2315" t="s">
        <v>2491</v>
      </c>
      <c r="C2315" t="s">
        <v>1936</v>
      </c>
      <c r="D2315" t="s">
        <v>4182</v>
      </c>
      <c r="F2315">
        <v>406</v>
      </c>
      <c r="G2315">
        <v>65</v>
      </c>
      <c r="H2315" t="s">
        <v>662</v>
      </c>
      <c r="I2315" t="s">
        <v>2271</v>
      </c>
      <c r="J2315">
        <v>711750</v>
      </c>
      <c r="K2315">
        <v>2025</v>
      </c>
      <c r="L2315">
        <v>1043464209</v>
      </c>
      <c r="M2315" t="s">
        <v>4411</v>
      </c>
      <c r="N2315" t="s">
        <v>1688</v>
      </c>
      <c r="O2315" t="s">
        <v>1686</v>
      </c>
      <c r="P2315">
        <v>0</v>
      </c>
      <c r="Q2315">
        <v>711750</v>
      </c>
      <c r="R2315">
        <v>0</v>
      </c>
      <c r="S2315">
        <v>0</v>
      </c>
      <c r="T2315" t="str">
        <f t="shared" si="72"/>
        <v>18292.43.4302.85.0-205128.2.3.3.08.06.</v>
      </c>
      <c r="U2315" t="e" cm="1">
        <f t="array" aca="1" ref="U2315" ca="1">+IF(COMPROMISOS_2025[[#This Row],[P]]="20","41080111",_xlfn.XLOOKUP(COMPROMISOS_2025[[#This Row],[concatenado]],PAA[[#All],[RCP-RUBRO]],PAA[[#All],[INDICADOR]],"",0))</f>
        <v>#NAME?</v>
      </c>
      <c r="V2315" s="144" t="str">
        <f t="shared" si="73"/>
        <v>85</v>
      </c>
      <c r="W2315" s="136">
        <f>+COMPROMISOS_2025[[#This Row],[valor_total]]-COMPROMISOS_2025[[#This Row],[total_cancelado]]</f>
        <v>711750</v>
      </c>
      <c r="X2315" s="136">
        <f>COMPROMISOS_2025[[#This Row],[total_ordenes]]</f>
        <v>711750</v>
      </c>
      <c r="Y2315" t="str" cm="1">
        <f t="array" aca="1" ref="Y2315" ca="1">IFERROR(_xlfn.XLOOKUP(COMPROMISOS_2025[[#This Row],[concatenado]],PAA[[#All],[RCP-RUBRO]],PAA[[#All],[Actividad3]],VLOOKUP(COMPROMISOS_2025[[#This Row],[Indicador Principal]],$AC$2:$AD$17,2,0),0),"")</f>
        <v/>
      </c>
    </row>
    <row r="2316" spans="1:25" hidden="1" x14ac:dyDescent="0.25">
      <c r="A2316">
        <v>1830</v>
      </c>
      <c r="B2316" t="s">
        <v>2491</v>
      </c>
      <c r="C2316" t="s">
        <v>1936</v>
      </c>
      <c r="D2316" t="s">
        <v>4182</v>
      </c>
      <c r="F2316">
        <v>406</v>
      </c>
      <c r="G2316">
        <v>65</v>
      </c>
      <c r="H2316" t="s">
        <v>662</v>
      </c>
      <c r="I2316" t="s">
        <v>2271</v>
      </c>
      <c r="J2316">
        <v>711750</v>
      </c>
      <c r="K2316">
        <v>2025</v>
      </c>
      <c r="L2316">
        <v>1043660921</v>
      </c>
      <c r="M2316" t="s">
        <v>3829</v>
      </c>
      <c r="N2316" t="s">
        <v>1688</v>
      </c>
      <c r="O2316" t="s">
        <v>1686</v>
      </c>
      <c r="P2316">
        <v>0</v>
      </c>
      <c r="Q2316">
        <v>711750</v>
      </c>
      <c r="R2316">
        <v>0</v>
      </c>
      <c r="S2316">
        <v>0</v>
      </c>
      <c r="T2316" t="str">
        <f t="shared" si="72"/>
        <v>18302.43.4302.85.0-205128.2.3.3.08.06.</v>
      </c>
      <c r="U2316" t="e" cm="1">
        <f t="array" aca="1" ref="U2316" ca="1">+IF(COMPROMISOS_2025[[#This Row],[P]]="20","41080111",_xlfn.XLOOKUP(COMPROMISOS_2025[[#This Row],[concatenado]],PAA[[#All],[RCP-RUBRO]],PAA[[#All],[INDICADOR]],"",0))</f>
        <v>#NAME?</v>
      </c>
      <c r="V2316" s="144" t="str">
        <f t="shared" si="73"/>
        <v>85</v>
      </c>
      <c r="W2316" s="136">
        <f>+COMPROMISOS_2025[[#This Row],[valor_total]]-COMPROMISOS_2025[[#This Row],[total_cancelado]]</f>
        <v>711750</v>
      </c>
      <c r="X2316" s="136">
        <f>COMPROMISOS_2025[[#This Row],[total_ordenes]]</f>
        <v>711750</v>
      </c>
      <c r="Y2316" t="str" cm="1">
        <f t="array" aca="1" ref="Y2316" ca="1">IFERROR(_xlfn.XLOOKUP(COMPROMISOS_2025[[#This Row],[concatenado]],PAA[[#All],[RCP-RUBRO]],PAA[[#All],[Actividad3]],VLOOKUP(COMPROMISOS_2025[[#This Row],[Indicador Principal]],$AC$2:$AD$17,2,0),0),"")</f>
        <v/>
      </c>
    </row>
    <row r="2317" spans="1:25" hidden="1" x14ac:dyDescent="0.25">
      <c r="A2317">
        <v>1831</v>
      </c>
      <c r="B2317" t="s">
        <v>2491</v>
      </c>
      <c r="C2317" t="s">
        <v>1936</v>
      </c>
      <c r="D2317" t="s">
        <v>4182</v>
      </c>
      <c r="F2317">
        <v>406</v>
      </c>
      <c r="G2317">
        <v>65</v>
      </c>
      <c r="H2317" t="s">
        <v>662</v>
      </c>
      <c r="I2317" t="s">
        <v>2271</v>
      </c>
      <c r="J2317">
        <v>1067625</v>
      </c>
      <c r="K2317">
        <v>2025</v>
      </c>
      <c r="L2317">
        <v>1043669865</v>
      </c>
      <c r="M2317" t="s">
        <v>4412</v>
      </c>
      <c r="N2317" t="s">
        <v>1688</v>
      </c>
      <c r="O2317" t="s">
        <v>1686</v>
      </c>
      <c r="P2317">
        <v>0</v>
      </c>
      <c r="Q2317">
        <v>1067625</v>
      </c>
      <c r="R2317">
        <v>0</v>
      </c>
      <c r="S2317">
        <v>0</v>
      </c>
      <c r="T2317" t="str">
        <f t="shared" si="72"/>
        <v>18312.43.4302.85.0-205128.2.3.3.08.06.</v>
      </c>
      <c r="U2317" t="e" cm="1">
        <f t="array" aca="1" ref="U2317" ca="1">+IF(COMPROMISOS_2025[[#This Row],[P]]="20","41080111",_xlfn.XLOOKUP(COMPROMISOS_2025[[#This Row],[concatenado]],PAA[[#All],[RCP-RUBRO]],PAA[[#All],[INDICADOR]],"",0))</f>
        <v>#NAME?</v>
      </c>
      <c r="V2317" s="144" t="str">
        <f t="shared" si="73"/>
        <v>85</v>
      </c>
      <c r="W2317" s="136">
        <f>+COMPROMISOS_2025[[#This Row],[valor_total]]-COMPROMISOS_2025[[#This Row],[total_cancelado]]</f>
        <v>1067625</v>
      </c>
      <c r="X2317" s="136">
        <f>COMPROMISOS_2025[[#This Row],[total_ordenes]]</f>
        <v>1067625</v>
      </c>
      <c r="Y2317" t="str" cm="1">
        <f t="array" aca="1" ref="Y2317" ca="1">IFERROR(_xlfn.XLOOKUP(COMPROMISOS_2025[[#This Row],[concatenado]],PAA[[#All],[RCP-RUBRO]],PAA[[#All],[Actividad3]],VLOOKUP(COMPROMISOS_2025[[#This Row],[Indicador Principal]],$AC$2:$AD$17,2,0),0),"")</f>
        <v/>
      </c>
    </row>
    <row r="2318" spans="1:25" hidden="1" x14ac:dyDescent="0.25">
      <c r="A2318">
        <v>1832</v>
      </c>
      <c r="B2318" t="s">
        <v>2491</v>
      </c>
      <c r="C2318" t="s">
        <v>1936</v>
      </c>
      <c r="D2318" t="s">
        <v>4182</v>
      </c>
      <c r="F2318">
        <v>406</v>
      </c>
      <c r="G2318">
        <v>65</v>
      </c>
      <c r="H2318" t="s">
        <v>662</v>
      </c>
      <c r="I2318" t="s">
        <v>2271</v>
      </c>
      <c r="J2318">
        <v>11388000</v>
      </c>
      <c r="K2318">
        <v>2025</v>
      </c>
      <c r="L2318">
        <v>1044210266</v>
      </c>
      <c r="M2318" t="s">
        <v>4107</v>
      </c>
      <c r="N2318" t="s">
        <v>1688</v>
      </c>
      <c r="O2318" t="s">
        <v>1686</v>
      </c>
      <c r="P2318">
        <v>0</v>
      </c>
      <c r="Q2318">
        <v>11388000</v>
      </c>
      <c r="R2318">
        <v>0</v>
      </c>
      <c r="S2318">
        <v>0</v>
      </c>
      <c r="T2318" t="str">
        <f t="shared" si="72"/>
        <v>18322.43.4302.85.0-205128.2.3.3.08.06.</v>
      </c>
      <c r="U2318" t="e" cm="1">
        <f t="array" aca="1" ref="U2318" ca="1">+IF(COMPROMISOS_2025[[#This Row],[P]]="20","41080111",_xlfn.XLOOKUP(COMPROMISOS_2025[[#This Row],[concatenado]],PAA[[#All],[RCP-RUBRO]],PAA[[#All],[INDICADOR]],"",0))</f>
        <v>#NAME?</v>
      </c>
      <c r="V2318" s="144" t="str">
        <f t="shared" si="73"/>
        <v>85</v>
      </c>
      <c r="W2318" s="136">
        <f>+COMPROMISOS_2025[[#This Row],[valor_total]]-COMPROMISOS_2025[[#This Row],[total_cancelado]]</f>
        <v>11388000</v>
      </c>
      <c r="X2318" s="136">
        <f>COMPROMISOS_2025[[#This Row],[total_ordenes]]</f>
        <v>11388000</v>
      </c>
      <c r="Y2318" t="str" cm="1">
        <f t="array" aca="1" ref="Y2318" ca="1">IFERROR(_xlfn.XLOOKUP(COMPROMISOS_2025[[#This Row],[concatenado]],PAA[[#All],[RCP-RUBRO]],PAA[[#All],[Actividad3]],VLOOKUP(COMPROMISOS_2025[[#This Row],[Indicador Principal]],$AC$2:$AD$17,2,0),0),"")</f>
        <v/>
      </c>
    </row>
    <row r="2319" spans="1:25" hidden="1" x14ac:dyDescent="0.25">
      <c r="A2319">
        <v>1833</v>
      </c>
      <c r="B2319" t="s">
        <v>2491</v>
      </c>
      <c r="C2319" t="s">
        <v>1936</v>
      </c>
      <c r="D2319" t="s">
        <v>4182</v>
      </c>
      <c r="F2319">
        <v>406</v>
      </c>
      <c r="G2319">
        <v>65</v>
      </c>
      <c r="H2319" t="s">
        <v>662</v>
      </c>
      <c r="I2319" t="s">
        <v>2271</v>
      </c>
      <c r="J2319">
        <v>711750</v>
      </c>
      <c r="K2319">
        <v>2025</v>
      </c>
      <c r="L2319">
        <v>1044502908</v>
      </c>
      <c r="M2319" t="s">
        <v>3830</v>
      </c>
      <c r="N2319" t="s">
        <v>1688</v>
      </c>
      <c r="O2319" t="s">
        <v>1686</v>
      </c>
      <c r="P2319">
        <v>0</v>
      </c>
      <c r="Q2319">
        <v>711750</v>
      </c>
      <c r="R2319">
        <v>0</v>
      </c>
      <c r="S2319">
        <v>0</v>
      </c>
      <c r="T2319" t="str">
        <f t="shared" si="72"/>
        <v>18332.43.4302.85.0-205128.2.3.3.08.06.</v>
      </c>
      <c r="U2319" t="e" cm="1">
        <f t="array" aca="1" ref="U2319" ca="1">+IF(COMPROMISOS_2025[[#This Row],[P]]="20","41080111",_xlfn.XLOOKUP(COMPROMISOS_2025[[#This Row],[concatenado]],PAA[[#All],[RCP-RUBRO]],PAA[[#All],[INDICADOR]],"",0))</f>
        <v>#NAME?</v>
      </c>
      <c r="V2319" s="144" t="str">
        <f t="shared" si="73"/>
        <v>85</v>
      </c>
      <c r="W2319" s="136">
        <f>+COMPROMISOS_2025[[#This Row],[valor_total]]-COMPROMISOS_2025[[#This Row],[total_cancelado]]</f>
        <v>711750</v>
      </c>
      <c r="X2319" s="136">
        <f>COMPROMISOS_2025[[#This Row],[total_ordenes]]</f>
        <v>711750</v>
      </c>
      <c r="Y2319" t="str" cm="1">
        <f t="array" aca="1" ref="Y2319" ca="1">IFERROR(_xlfn.XLOOKUP(COMPROMISOS_2025[[#This Row],[concatenado]],PAA[[#All],[RCP-RUBRO]],PAA[[#All],[Actividad3]],VLOOKUP(COMPROMISOS_2025[[#This Row],[Indicador Principal]],$AC$2:$AD$17,2,0),0),"")</f>
        <v/>
      </c>
    </row>
    <row r="2320" spans="1:25" hidden="1" x14ac:dyDescent="0.25">
      <c r="A2320">
        <v>1834</v>
      </c>
      <c r="B2320" t="s">
        <v>2491</v>
      </c>
      <c r="C2320" t="s">
        <v>1936</v>
      </c>
      <c r="D2320" t="s">
        <v>4182</v>
      </c>
      <c r="F2320">
        <v>406</v>
      </c>
      <c r="G2320">
        <v>65</v>
      </c>
      <c r="H2320" t="s">
        <v>662</v>
      </c>
      <c r="I2320" t="s">
        <v>2271</v>
      </c>
      <c r="J2320">
        <v>1067625</v>
      </c>
      <c r="K2320">
        <v>2025</v>
      </c>
      <c r="L2320">
        <v>1044986878</v>
      </c>
      <c r="M2320" t="s">
        <v>3831</v>
      </c>
      <c r="N2320" t="s">
        <v>1688</v>
      </c>
      <c r="O2320" t="s">
        <v>1686</v>
      </c>
      <c r="P2320">
        <v>0</v>
      </c>
      <c r="Q2320">
        <v>1067625</v>
      </c>
      <c r="R2320">
        <v>0</v>
      </c>
      <c r="S2320">
        <v>0</v>
      </c>
      <c r="T2320" t="str">
        <f t="shared" si="72"/>
        <v>18342.43.4302.85.0-205128.2.3.3.08.06.</v>
      </c>
      <c r="U2320" t="e" cm="1">
        <f t="array" aca="1" ref="U2320" ca="1">+IF(COMPROMISOS_2025[[#This Row],[P]]="20","41080111",_xlfn.XLOOKUP(COMPROMISOS_2025[[#This Row],[concatenado]],PAA[[#All],[RCP-RUBRO]],PAA[[#All],[INDICADOR]],"",0))</f>
        <v>#NAME?</v>
      </c>
      <c r="V2320" s="144" t="str">
        <f t="shared" si="73"/>
        <v>85</v>
      </c>
      <c r="W2320" s="136">
        <f>+COMPROMISOS_2025[[#This Row],[valor_total]]-COMPROMISOS_2025[[#This Row],[total_cancelado]]</f>
        <v>1067625</v>
      </c>
      <c r="X2320" s="136">
        <f>COMPROMISOS_2025[[#This Row],[total_ordenes]]</f>
        <v>1067625</v>
      </c>
      <c r="Y2320" t="str" cm="1">
        <f t="array" aca="1" ref="Y2320" ca="1">IFERROR(_xlfn.XLOOKUP(COMPROMISOS_2025[[#This Row],[concatenado]],PAA[[#All],[RCP-RUBRO]],PAA[[#All],[Actividad3]],VLOOKUP(COMPROMISOS_2025[[#This Row],[Indicador Principal]],$AC$2:$AD$17,2,0),0),"")</f>
        <v/>
      </c>
    </row>
    <row r="2321" spans="1:25" hidden="1" x14ac:dyDescent="0.25">
      <c r="A2321">
        <v>1835</v>
      </c>
      <c r="B2321" t="s">
        <v>2491</v>
      </c>
      <c r="C2321" t="s">
        <v>1936</v>
      </c>
      <c r="D2321" t="s">
        <v>4182</v>
      </c>
      <c r="F2321">
        <v>406</v>
      </c>
      <c r="G2321">
        <v>65</v>
      </c>
      <c r="H2321" t="s">
        <v>662</v>
      </c>
      <c r="I2321" t="s">
        <v>2271</v>
      </c>
      <c r="J2321">
        <v>1779375</v>
      </c>
      <c r="K2321">
        <v>2025</v>
      </c>
      <c r="L2321">
        <v>1044986905</v>
      </c>
      <c r="M2321" t="s">
        <v>3832</v>
      </c>
      <c r="N2321" t="s">
        <v>1688</v>
      </c>
      <c r="O2321" t="s">
        <v>1686</v>
      </c>
      <c r="P2321">
        <v>0</v>
      </c>
      <c r="Q2321">
        <v>1779375</v>
      </c>
      <c r="R2321">
        <v>0</v>
      </c>
      <c r="S2321">
        <v>0</v>
      </c>
      <c r="T2321" t="str">
        <f t="shared" si="72"/>
        <v>18352.43.4302.85.0-205128.2.3.3.08.06.</v>
      </c>
      <c r="U2321" t="e" cm="1">
        <f t="array" aca="1" ref="U2321" ca="1">+IF(COMPROMISOS_2025[[#This Row],[P]]="20","41080111",_xlfn.XLOOKUP(COMPROMISOS_2025[[#This Row],[concatenado]],PAA[[#All],[RCP-RUBRO]],PAA[[#All],[INDICADOR]],"",0))</f>
        <v>#NAME?</v>
      </c>
      <c r="V2321" s="144" t="str">
        <f t="shared" si="73"/>
        <v>85</v>
      </c>
      <c r="W2321" s="136">
        <f>+COMPROMISOS_2025[[#This Row],[valor_total]]-COMPROMISOS_2025[[#This Row],[total_cancelado]]</f>
        <v>1779375</v>
      </c>
      <c r="X2321" s="136">
        <f>COMPROMISOS_2025[[#This Row],[total_ordenes]]</f>
        <v>1779375</v>
      </c>
      <c r="Y2321" t="str" cm="1">
        <f t="array" aca="1" ref="Y2321" ca="1">IFERROR(_xlfn.XLOOKUP(COMPROMISOS_2025[[#This Row],[concatenado]],PAA[[#All],[RCP-RUBRO]],PAA[[#All],[Actividad3]],VLOOKUP(COMPROMISOS_2025[[#This Row],[Indicador Principal]],$AC$2:$AD$17,2,0),0),"")</f>
        <v/>
      </c>
    </row>
    <row r="2322" spans="1:25" hidden="1" x14ac:dyDescent="0.25">
      <c r="A2322">
        <v>1836</v>
      </c>
      <c r="B2322" t="s">
        <v>2491</v>
      </c>
      <c r="C2322" t="s">
        <v>1936</v>
      </c>
      <c r="D2322" t="s">
        <v>4182</v>
      </c>
      <c r="F2322">
        <v>406</v>
      </c>
      <c r="G2322">
        <v>65</v>
      </c>
      <c r="H2322" t="s">
        <v>662</v>
      </c>
      <c r="I2322" t="s">
        <v>2271</v>
      </c>
      <c r="J2322">
        <v>711750</v>
      </c>
      <c r="K2322">
        <v>2025</v>
      </c>
      <c r="L2322">
        <v>1044987794</v>
      </c>
      <c r="M2322" t="s">
        <v>4413</v>
      </c>
      <c r="N2322" t="s">
        <v>1688</v>
      </c>
      <c r="O2322" t="s">
        <v>1686</v>
      </c>
      <c r="P2322">
        <v>0</v>
      </c>
      <c r="Q2322">
        <v>711750</v>
      </c>
      <c r="R2322">
        <v>0</v>
      </c>
      <c r="S2322">
        <v>0</v>
      </c>
      <c r="T2322" t="str">
        <f t="shared" si="72"/>
        <v>18362.43.4302.85.0-205128.2.3.3.08.06.</v>
      </c>
      <c r="U2322" t="e" cm="1">
        <f t="array" aca="1" ref="U2322" ca="1">+IF(COMPROMISOS_2025[[#This Row],[P]]="20","41080111",_xlfn.XLOOKUP(COMPROMISOS_2025[[#This Row],[concatenado]],PAA[[#All],[RCP-RUBRO]],PAA[[#All],[INDICADOR]],"",0))</f>
        <v>#NAME?</v>
      </c>
      <c r="V2322" s="144" t="str">
        <f t="shared" si="73"/>
        <v>85</v>
      </c>
      <c r="W2322" s="136">
        <f>+COMPROMISOS_2025[[#This Row],[valor_total]]-COMPROMISOS_2025[[#This Row],[total_cancelado]]</f>
        <v>711750</v>
      </c>
      <c r="X2322" s="136">
        <f>COMPROMISOS_2025[[#This Row],[total_ordenes]]</f>
        <v>711750</v>
      </c>
      <c r="Y2322" t="str" cm="1">
        <f t="array" aca="1" ref="Y2322" ca="1">IFERROR(_xlfn.XLOOKUP(COMPROMISOS_2025[[#This Row],[concatenado]],PAA[[#All],[RCP-RUBRO]],PAA[[#All],[Actividad3]],VLOOKUP(COMPROMISOS_2025[[#This Row],[Indicador Principal]],$AC$2:$AD$17,2,0),0),"")</f>
        <v/>
      </c>
    </row>
    <row r="2323" spans="1:25" hidden="1" x14ac:dyDescent="0.25">
      <c r="A2323">
        <v>1837</v>
      </c>
      <c r="B2323" t="s">
        <v>2491</v>
      </c>
      <c r="C2323" t="s">
        <v>1936</v>
      </c>
      <c r="D2323" t="s">
        <v>4182</v>
      </c>
      <c r="F2323">
        <v>406</v>
      </c>
      <c r="G2323">
        <v>65</v>
      </c>
      <c r="H2323" t="s">
        <v>662</v>
      </c>
      <c r="I2323" t="s">
        <v>2271</v>
      </c>
      <c r="J2323">
        <v>711750</v>
      </c>
      <c r="K2323">
        <v>2025</v>
      </c>
      <c r="L2323">
        <v>1044987994</v>
      </c>
      <c r="M2323" t="s">
        <v>3833</v>
      </c>
      <c r="N2323" t="s">
        <v>1688</v>
      </c>
      <c r="O2323" t="s">
        <v>1686</v>
      </c>
      <c r="P2323">
        <v>0</v>
      </c>
      <c r="Q2323">
        <v>711750</v>
      </c>
      <c r="R2323">
        <v>0</v>
      </c>
      <c r="S2323">
        <v>0</v>
      </c>
      <c r="T2323" t="str">
        <f t="shared" si="72"/>
        <v>18372.43.4302.85.0-205128.2.3.3.08.06.</v>
      </c>
      <c r="U2323" t="e" cm="1">
        <f t="array" aca="1" ref="U2323" ca="1">+IF(COMPROMISOS_2025[[#This Row],[P]]="20","41080111",_xlfn.XLOOKUP(COMPROMISOS_2025[[#This Row],[concatenado]],PAA[[#All],[RCP-RUBRO]],PAA[[#All],[INDICADOR]],"",0))</f>
        <v>#NAME?</v>
      </c>
      <c r="V2323" s="144" t="str">
        <f t="shared" si="73"/>
        <v>85</v>
      </c>
      <c r="W2323" s="136">
        <f>+COMPROMISOS_2025[[#This Row],[valor_total]]-COMPROMISOS_2025[[#This Row],[total_cancelado]]</f>
        <v>711750</v>
      </c>
      <c r="X2323" s="136">
        <f>COMPROMISOS_2025[[#This Row],[total_ordenes]]</f>
        <v>711750</v>
      </c>
      <c r="Y2323" t="str" cm="1">
        <f t="array" aca="1" ref="Y2323" ca="1">IFERROR(_xlfn.XLOOKUP(COMPROMISOS_2025[[#This Row],[concatenado]],PAA[[#All],[RCP-RUBRO]],PAA[[#All],[Actividad3]],VLOOKUP(COMPROMISOS_2025[[#This Row],[Indicador Principal]],$AC$2:$AD$17,2,0),0),"")</f>
        <v/>
      </c>
    </row>
    <row r="2324" spans="1:25" hidden="1" x14ac:dyDescent="0.25">
      <c r="A2324">
        <v>1838</v>
      </c>
      <c r="B2324" t="s">
        <v>2491</v>
      </c>
      <c r="C2324" t="s">
        <v>1936</v>
      </c>
      <c r="D2324" t="s">
        <v>4182</v>
      </c>
      <c r="F2324">
        <v>406</v>
      </c>
      <c r="G2324">
        <v>65</v>
      </c>
      <c r="H2324" t="s">
        <v>662</v>
      </c>
      <c r="I2324" t="s">
        <v>2271</v>
      </c>
      <c r="J2324">
        <v>711750</v>
      </c>
      <c r="K2324">
        <v>2025</v>
      </c>
      <c r="L2324">
        <v>1045422684</v>
      </c>
      <c r="M2324" t="s">
        <v>3834</v>
      </c>
      <c r="N2324" t="s">
        <v>1688</v>
      </c>
      <c r="O2324" t="s">
        <v>1686</v>
      </c>
      <c r="P2324">
        <v>0</v>
      </c>
      <c r="Q2324">
        <v>711750</v>
      </c>
      <c r="R2324">
        <v>0</v>
      </c>
      <c r="S2324">
        <v>0</v>
      </c>
      <c r="T2324" t="str">
        <f t="shared" si="72"/>
        <v>18382.43.4302.85.0-205128.2.3.3.08.06.</v>
      </c>
      <c r="U2324" t="e" cm="1">
        <f t="array" aca="1" ref="U2324" ca="1">+IF(COMPROMISOS_2025[[#This Row],[P]]="20","41080111",_xlfn.XLOOKUP(COMPROMISOS_2025[[#This Row],[concatenado]],PAA[[#All],[RCP-RUBRO]],PAA[[#All],[INDICADOR]],"",0))</f>
        <v>#NAME?</v>
      </c>
      <c r="V2324" s="144" t="str">
        <f t="shared" si="73"/>
        <v>85</v>
      </c>
      <c r="W2324" s="136">
        <f>+COMPROMISOS_2025[[#This Row],[valor_total]]-COMPROMISOS_2025[[#This Row],[total_cancelado]]</f>
        <v>711750</v>
      </c>
      <c r="X2324" s="136">
        <f>COMPROMISOS_2025[[#This Row],[total_ordenes]]</f>
        <v>711750</v>
      </c>
      <c r="Y2324" t="str" cm="1">
        <f t="array" aca="1" ref="Y2324" ca="1">IFERROR(_xlfn.XLOOKUP(COMPROMISOS_2025[[#This Row],[concatenado]],PAA[[#All],[RCP-RUBRO]],PAA[[#All],[Actividad3]],VLOOKUP(COMPROMISOS_2025[[#This Row],[Indicador Principal]],$AC$2:$AD$17,2,0),0),"")</f>
        <v/>
      </c>
    </row>
    <row r="2325" spans="1:25" hidden="1" x14ac:dyDescent="0.25">
      <c r="A2325">
        <v>1839</v>
      </c>
      <c r="B2325" t="s">
        <v>2491</v>
      </c>
      <c r="C2325" t="s">
        <v>1936</v>
      </c>
      <c r="D2325" t="s">
        <v>4182</v>
      </c>
      <c r="F2325">
        <v>406</v>
      </c>
      <c r="G2325">
        <v>65</v>
      </c>
      <c r="H2325" t="s">
        <v>662</v>
      </c>
      <c r="I2325" t="s">
        <v>2271</v>
      </c>
      <c r="J2325">
        <v>1067625</v>
      </c>
      <c r="K2325">
        <v>2025</v>
      </c>
      <c r="L2325">
        <v>1045489879</v>
      </c>
      <c r="M2325" t="s">
        <v>4109</v>
      </c>
      <c r="N2325" t="s">
        <v>1688</v>
      </c>
      <c r="O2325" t="s">
        <v>1686</v>
      </c>
      <c r="P2325">
        <v>0</v>
      </c>
      <c r="Q2325">
        <v>1067625</v>
      </c>
      <c r="R2325">
        <v>0</v>
      </c>
      <c r="S2325">
        <v>0</v>
      </c>
      <c r="T2325" t="str">
        <f t="shared" si="72"/>
        <v>18392.43.4302.85.0-205128.2.3.3.08.06.</v>
      </c>
      <c r="U2325" t="e" cm="1">
        <f t="array" aca="1" ref="U2325" ca="1">+IF(COMPROMISOS_2025[[#This Row],[P]]="20","41080111",_xlfn.XLOOKUP(COMPROMISOS_2025[[#This Row],[concatenado]],PAA[[#All],[RCP-RUBRO]],PAA[[#All],[INDICADOR]],"",0))</f>
        <v>#NAME?</v>
      </c>
      <c r="V2325" s="144" t="str">
        <f t="shared" si="73"/>
        <v>85</v>
      </c>
      <c r="W2325" s="136">
        <f>+COMPROMISOS_2025[[#This Row],[valor_total]]-COMPROMISOS_2025[[#This Row],[total_cancelado]]</f>
        <v>1067625</v>
      </c>
      <c r="X2325" s="136">
        <f>COMPROMISOS_2025[[#This Row],[total_ordenes]]</f>
        <v>1067625</v>
      </c>
      <c r="Y2325" t="str" cm="1">
        <f t="array" aca="1" ref="Y2325" ca="1">IFERROR(_xlfn.XLOOKUP(COMPROMISOS_2025[[#This Row],[concatenado]],PAA[[#All],[RCP-RUBRO]],PAA[[#All],[Actividad3]],VLOOKUP(COMPROMISOS_2025[[#This Row],[Indicador Principal]],$AC$2:$AD$17,2,0),0),"")</f>
        <v/>
      </c>
    </row>
    <row r="2326" spans="1:25" hidden="1" x14ac:dyDescent="0.25">
      <c r="A2326">
        <v>1840</v>
      </c>
      <c r="B2326" t="s">
        <v>2491</v>
      </c>
      <c r="C2326" t="s">
        <v>1936</v>
      </c>
      <c r="D2326" t="s">
        <v>4182</v>
      </c>
      <c r="F2326">
        <v>406</v>
      </c>
      <c r="G2326">
        <v>65</v>
      </c>
      <c r="H2326" t="s">
        <v>662</v>
      </c>
      <c r="I2326" t="s">
        <v>2271</v>
      </c>
      <c r="J2326">
        <v>711750</v>
      </c>
      <c r="K2326">
        <v>2025</v>
      </c>
      <c r="L2326">
        <v>1045493703</v>
      </c>
      <c r="M2326" t="s">
        <v>3835</v>
      </c>
      <c r="N2326" t="s">
        <v>1688</v>
      </c>
      <c r="O2326" t="s">
        <v>1686</v>
      </c>
      <c r="P2326">
        <v>0</v>
      </c>
      <c r="Q2326">
        <v>711750</v>
      </c>
      <c r="R2326">
        <v>0</v>
      </c>
      <c r="S2326">
        <v>0</v>
      </c>
      <c r="T2326" t="str">
        <f t="shared" si="72"/>
        <v>18402.43.4302.85.0-205128.2.3.3.08.06.</v>
      </c>
      <c r="U2326" t="e" cm="1">
        <f t="array" aca="1" ref="U2326" ca="1">+IF(COMPROMISOS_2025[[#This Row],[P]]="20","41080111",_xlfn.XLOOKUP(COMPROMISOS_2025[[#This Row],[concatenado]],PAA[[#All],[RCP-RUBRO]],PAA[[#All],[INDICADOR]],"",0))</f>
        <v>#NAME?</v>
      </c>
      <c r="V2326" s="144" t="str">
        <f t="shared" si="73"/>
        <v>85</v>
      </c>
      <c r="W2326" s="136">
        <f>+COMPROMISOS_2025[[#This Row],[valor_total]]-COMPROMISOS_2025[[#This Row],[total_cancelado]]</f>
        <v>711750</v>
      </c>
      <c r="X2326" s="136">
        <f>COMPROMISOS_2025[[#This Row],[total_ordenes]]</f>
        <v>711750</v>
      </c>
      <c r="Y2326" t="str" cm="1">
        <f t="array" aca="1" ref="Y2326" ca="1">IFERROR(_xlfn.XLOOKUP(COMPROMISOS_2025[[#This Row],[concatenado]],PAA[[#All],[RCP-RUBRO]],PAA[[#All],[Actividad3]],VLOOKUP(COMPROMISOS_2025[[#This Row],[Indicador Principal]],$AC$2:$AD$17,2,0),0),"")</f>
        <v/>
      </c>
    </row>
    <row r="2327" spans="1:25" hidden="1" x14ac:dyDescent="0.25">
      <c r="A2327">
        <v>1841</v>
      </c>
      <c r="B2327" t="s">
        <v>2491</v>
      </c>
      <c r="C2327" t="s">
        <v>1936</v>
      </c>
      <c r="D2327" t="s">
        <v>4182</v>
      </c>
      <c r="F2327">
        <v>406</v>
      </c>
      <c r="G2327">
        <v>65</v>
      </c>
      <c r="H2327" t="s">
        <v>662</v>
      </c>
      <c r="I2327" t="s">
        <v>2271</v>
      </c>
      <c r="J2327">
        <v>1067625</v>
      </c>
      <c r="K2327">
        <v>2025</v>
      </c>
      <c r="L2327">
        <v>1045501086</v>
      </c>
      <c r="M2327" t="s">
        <v>3836</v>
      </c>
      <c r="N2327" t="s">
        <v>1688</v>
      </c>
      <c r="O2327" t="s">
        <v>1686</v>
      </c>
      <c r="P2327">
        <v>0</v>
      </c>
      <c r="Q2327">
        <v>1067625</v>
      </c>
      <c r="R2327">
        <v>0</v>
      </c>
      <c r="S2327">
        <v>0</v>
      </c>
      <c r="T2327" t="str">
        <f t="shared" si="72"/>
        <v>18412.43.4302.85.0-205128.2.3.3.08.06.</v>
      </c>
      <c r="U2327" t="e" cm="1">
        <f t="array" aca="1" ref="U2327" ca="1">+IF(COMPROMISOS_2025[[#This Row],[P]]="20","41080111",_xlfn.XLOOKUP(COMPROMISOS_2025[[#This Row],[concatenado]],PAA[[#All],[RCP-RUBRO]],PAA[[#All],[INDICADOR]],"",0))</f>
        <v>#NAME?</v>
      </c>
      <c r="V2327" s="144" t="str">
        <f t="shared" si="73"/>
        <v>85</v>
      </c>
      <c r="W2327" s="136">
        <f>+COMPROMISOS_2025[[#This Row],[valor_total]]-COMPROMISOS_2025[[#This Row],[total_cancelado]]</f>
        <v>1067625</v>
      </c>
      <c r="X2327" s="136">
        <f>COMPROMISOS_2025[[#This Row],[total_ordenes]]</f>
        <v>1067625</v>
      </c>
      <c r="Y2327" t="str" cm="1">
        <f t="array" aca="1" ref="Y2327" ca="1">IFERROR(_xlfn.XLOOKUP(COMPROMISOS_2025[[#This Row],[concatenado]],PAA[[#All],[RCP-RUBRO]],PAA[[#All],[Actividad3]],VLOOKUP(COMPROMISOS_2025[[#This Row],[Indicador Principal]],$AC$2:$AD$17,2,0),0),"")</f>
        <v/>
      </c>
    </row>
    <row r="2328" spans="1:25" hidden="1" x14ac:dyDescent="0.25">
      <c r="A2328">
        <v>1842</v>
      </c>
      <c r="B2328" t="s">
        <v>2491</v>
      </c>
      <c r="C2328" t="s">
        <v>1936</v>
      </c>
      <c r="D2328" t="s">
        <v>4182</v>
      </c>
      <c r="F2328">
        <v>406</v>
      </c>
      <c r="G2328">
        <v>65</v>
      </c>
      <c r="H2328" t="s">
        <v>662</v>
      </c>
      <c r="I2328" t="s">
        <v>2271</v>
      </c>
      <c r="J2328">
        <v>711750</v>
      </c>
      <c r="K2328">
        <v>2025</v>
      </c>
      <c r="L2328">
        <v>1045504570</v>
      </c>
      <c r="M2328" t="s">
        <v>3837</v>
      </c>
      <c r="N2328" t="s">
        <v>1688</v>
      </c>
      <c r="O2328" t="s">
        <v>1686</v>
      </c>
      <c r="P2328">
        <v>0</v>
      </c>
      <c r="Q2328">
        <v>711750</v>
      </c>
      <c r="R2328">
        <v>0</v>
      </c>
      <c r="S2328">
        <v>0</v>
      </c>
      <c r="T2328" t="str">
        <f t="shared" si="72"/>
        <v>18422.43.4302.85.0-205128.2.3.3.08.06.</v>
      </c>
      <c r="U2328" t="e" cm="1">
        <f t="array" aca="1" ref="U2328" ca="1">+IF(COMPROMISOS_2025[[#This Row],[P]]="20","41080111",_xlfn.XLOOKUP(COMPROMISOS_2025[[#This Row],[concatenado]],PAA[[#All],[RCP-RUBRO]],PAA[[#All],[INDICADOR]],"",0))</f>
        <v>#NAME?</v>
      </c>
      <c r="V2328" s="144" t="str">
        <f t="shared" si="73"/>
        <v>85</v>
      </c>
      <c r="W2328" s="136">
        <f>+COMPROMISOS_2025[[#This Row],[valor_total]]-COMPROMISOS_2025[[#This Row],[total_cancelado]]</f>
        <v>711750</v>
      </c>
      <c r="X2328" s="136">
        <f>COMPROMISOS_2025[[#This Row],[total_ordenes]]</f>
        <v>711750</v>
      </c>
      <c r="Y2328" t="str" cm="1">
        <f t="array" aca="1" ref="Y2328" ca="1">IFERROR(_xlfn.XLOOKUP(COMPROMISOS_2025[[#This Row],[concatenado]],PAA[[#All],[RCP-RUBRO]],PAA[[#All],[Actividad3]],VLOOKUP(COMPROMISOS_2025[[#This Row],[Indicador Principal]],$AC$2:$AD$17,2,0),0),"")</f>
        <v/>
      </c>
    </row>
    <row r="2329" spans="1:25" hidden="1" x14ac:dyDescent="0.25">
      <c r="A2329">
        <v>1843</v>
      </c>
      <c r="B2329" t="s">
        <v>2491</v>
      </c>
      <c r="C2329" t="s">
        <v>1936</v>
      </c>
      <c r="D2329" t="s">
        <v>4182</v>
      </c>
      <c r="F2329">
        <v>406</v>
      </c>
      <c r="G2329">
        <v>65</v>
      </c>
      <c r="H2329" t="s">
        <v>662</v>
      </c>
      <c r="I2329" t="s">
        <v>2271</v>
      </c>
      <c r="J2329">
        <v>711750</v>
      </c>
      <c r="K2329">
        <v>2025</v>
      </c>
      <c r="L2329">
        <v>1045506612</v>
      </c>
      <c r="M2329" t="s">
        <v>4177</v>
      </c>
      <c r="N2329" t="s">
        <v>1688</v>
      </c>
      <c r="O2329" t="s">
        <v>1686</v>
      </c>
      <c r="P2329">
        <v>0</v>
      </c>
      <c r="Q2329">
        <v>711750</v>
      </c>
      <c r="R2329">
        <v>0</v>
      </c>
      <c r="S2329">
        <v>0</v>
      </c>
      <c r="T2329" t="str">
        <f t="shared" si="72"/>
        <v>18432.43.4302.85.0-205128.2.3.3.08.06.</v>
      </c>
      <c r="U2329" t="e" cm="1">
        <f t="array" aca="1" ref="U2329" ca="1">+IF(COMPROMISOS_2025[[#This Row],[P]]="20","41080111",_xlfn.XLOOKUP(COMPROMISOS_2025[[#This Row],[concatenado]],PAA[[#All],[RCP-RUBRO]],PAA[[#All],[INDICADOR]],"",0))</f>
        <v>#NAME?</v>
      </c>
      <c r="V2329" s="144" t="str">
        <f t="shared" si="73"/>
        <v>85</v>
      </c>
      <c r="W2329" s="136">
        <f>+COMPROMISOS_2025[[#This Row],[valor_total]]-COMPROMISOS_2025[[#This Row],[total_cancelado]]</f>
        <v>711750</v>
      </c>
      <c r="X2329" s="136">
        <f>COMPROMISOS_2025[[#This Row],[total_ordenes]]</f>
        <v>711750</v>
      </c>
      <c r="Y2329" t="str" cm="1">
        <f t="array" aca="1" ref="Y2329" ca="1">IFERROR(_xlfn.XLOOKUP(COMPROMISOS_2025[[#This Row],[concatenado]],PAA[[#All],[RCP-RUBRO]],PAA[[#All],[Actividad3]],VLOOKUP(COMPROMISOS_2025[[#This Row],[Indicador Principal]],$AC$2:$AD$17,2,0),0),"")</f>
        <v/>
      </c>
    </row>
    <row r="2330" spans="1:25" hidden="1" x14ac:dyDescent="0.25">
      <c r="A2330">
        <v>1844</v>
      </c>
      <c r="B2330" t="s">
        <v>2491</v>
      </c>
      <c r="C2330" t="s">
        <v>1936</v>
      </c>
      <c r="D2330" t="s">
        <v>4182</v>
      </c>
      <c r="F2330">
        <v>406</v>
      </c>
      <c r="G2330">
        <v>65</v>
      </c>
      <c r="H2330" t="s">
        <v>662</v>
      </c>
      <c r="I2330" t="s">
        <v>2271</v>
      </c>
      <c r="J2330">
        <v>1423500</v>
      </c>
      <c r="K2330">
        <v>2025</v>
      </c>
      <c r="L2330">
        <v>1045522082</v>
      </c>
      <c r="M2330" t="s">
        <v>4110</v>
      </c>
      <c r="N2330" t="s">
        <v>1688</v>
      </c>
      <c r="O2330" t="s">
        <v>1686</v>
      </c>
      <c r="P2330">
        <v>0</v>
      </c>
      <c r="Q2330">
        <v>1423500</v>
      </c>
      <c r="R2330">
        <v>0</v>
      </c>
      <c r="S2330">
        <v>0</v>
      </c>
      <c r="T2330" t="str">
        <f t="shared" si="72"/>
        <v>18442.43.4302.85.0-205128.2.3.3.08.06.</v>
      </c>
      <c r="U2330" t="e" cm="1">
        <f t="array" aca="1" ref="U2330" ca="1">+IF(COMPROMISOS_2025[[#This Row],[P]]="20","41080111",_xlfn.XLOOKUP(COMPROMISOS_2025[[#This Row],[concatenado]],PAA[[#All],[RCP-RUBRO]],PAA[[#All],[INDICADOR]],"",0))</f>
        <v>#NAME?</v>
      </c>
      <c r="V2330" s="144" t="str">
        <f t="shared" si="73"/>
        <v>85</v>
      </c>
      <c r="W2330" s="136">
        <f>+COMPROMISOS_2025[[#This Row],[valor_total]]-COMPROMISOS_2025[[#This Row],[total_cancelado]]</f>
        <v>1423500</v>
      </c>
      <c r="X2330" s="136">
        <f>COMPROMISOS_2025[[#This Row],[total_ordenes]]</f>
        <v>1423500</v>
      </c>
      <c r="Y2330" t="str" cm="1">
        <f t="array" aca="1" ref="Y2330" ca="1">IFERROR(_xlfn.XLOOKUP(COMPROMISOS_2025[[#This Row],[concatenado]],PAA[[#All],[RCP-RUBRO]],PAA[[#All],[Actividad3]],VLOOKUP(COMPROMISOS_2025[[#This Row],[Indicador Principal]],$AC$2:$AD$17,2,0),0),"")</f>
        <v/>
      </c>
    </row>
    <row r="2331" spans="1:25" hidden="1" x14ac:dyDescent="0.25">
      <c r="A2331">
        <v>1845</v>
      </c>
      <c r="B2331" t="s">
        <v>2491</v>
      </c>
      <c r="C2331" t="s">
        <v>1936</v>
      </c>
      <c r="D2331" t="s">
        <v>4182</v>
      </c>
      <c r="F2331">
        <v>406</v>
      </c>
      <c r="G2331">
        <v>65</v>
      </c>
      <c r="H2331" t="s">
        <v>662</v>
      </c>
      <c r="I2331" t="s">
        <v>2271</v>
      </c>
      <c r="J2331">
        <v>711750</v>
      </c>
      <c r="K2331">
        <v>2025</v>
      </c>
      <c r="L2331">
        <v>1045523893</v>
      </c>
      <c r="M2331" t="s">
        <v>3838</v>
      </c>
      <c r="N2331" t="s">
        <v>1688</v>
      </c>
      <c r="O2331" t="s">
        <v>1686</v>
      </c>
      <c r="P2331">
        <v>0</v>
      </c>
      <c r="Q2331">
        <v>711750</v>
      </c>
      <c r="R2331">
        <v>0</v>
      </c>
      <c r="S2331">
        <v>0</v>
      </c>
      <c r="T2331" t="str">
        <f t="shared" si="72"/>
        <v>18452.43.4302.85.0-205128.2.3.3.08.06.</v>
      </c>
      <c r="U2331" t="e" cm="1">
        <f t="array" aca="1" ref="U2331" ca="1">+IF(COMPROMISOS_2025[[#This Row],[P]]="20","41080111",_xlfn.XLOOKUP(COMPROMISOS_2025[[#This Row],[concatenado]],PAA[[#All],[RCP-RUBRO]],PAA[[#All],[INDICADOR]],"",0))</f>
        <v>#NAME?</v>
      </c>
      <c r="V2331" s="144" t="str">
        <f t="shared" si="73"/>
        <v>85</v>
      </c>
      <c r="W2331" s="136">
        <f>+COMPROMISOS_2025[[#This Row],[valor_total]]-COMPROMISOS_2025[[#This Row],[total_cancelado]]</f>
        <v>711750</v>
      </c>
      <c r="X2331" s="136">
        <f>COMPROMISOS_2025[[#This Row],[total_ordenes]]</f>
        <v>711750</v>
      </c>
      <c r="Y2331" t="str" cm="1">
        <f t="array" aca="1" ref="Y2331" ca="1">IFERROR(_xlfn.XLOOKUP(COMPROMISOS_2025[[#This Row],[concatenado]],PAA[[#All],[RCP-RUBRO]],PAA[[#All],[Actividad3]],VLOOKUP(COMPROMISOS_2025[[#This Row],[Indicador Principal]],$AC$2:$AD$17,2,0),0),"")</f>
        <v/>
      </c>
    </row>
    <row r="2332" spans="1:25" hidden="1" x14ac:dyDescent="0.25">
      <c r="A2332">
        <v>1846</v>
      </c>
      <c r="B2332" t="s">
        <v>2491</v>
      </c>
      <c r="C2332" t="s">
        <v>1936</v>
      </c>
      <c r="D2332" t="s">
        <v>4182</v>
      </c>
      <c r="F2332">
        <v>406</v>
      </c>
      <c r="G2332">
        <v>65</v>
      </c>
      <c r="H2332" t="s">
        <v>662</v>
      </c>
      <c r="I2332" t="s">
        <v>2271</v>
      </c>
      <c r="J2332">
        <v>4270500</v>
      </c>
      <c r="K2332">
        <v>2025</v>
      </c>
      <c r="L2332">
        <v>1045524538</v>
      </c>
      <c r="M2332" t="s">
        <v>3839</v>
      </c>
      <c r="N2332" t="s">
        <v>1688</v>
      </c>
      <c r="O2332" t="s">
        <v>1686</v>
      </c>
      <c r="P2332">
        <v>0</v>
      </c>
      <c r="Q2332">
        <v>4270500</v>
      </c>
      <c r="R2332">
        <v>0</v>
      </c>
      <c r="S2332">
        <v>0</v>
      </c>
      <c r="T2332" t="str">
        <f t="shared" si="72"/>
        <v>18462.43.4302.85.0-205128.2.3.3.08.06.</v>
      </c>
      <c r="U2332" t="e" cm="1">
        <f t="array" aca="1" ref="U2332" ca="1">+IF(COMPROMISOS_2025[[#This Row],[P]]="20","41080111",_xlfn.XLOOKUP(COMPROMISOS_2025[[#This Row],[concatenado]],PAA[[#All],[RCP-RUBRO]],PAA[[#All],[INDICADOR]],"",0))</f>
        <v>#NAME?</v>
      </c>
      <c r="V2332" s="144" t="str">
        <f t="shared" si="73"/>
        <v>85</v>
      </c>
      <c r="W2332" s="136">
        <f>+COMPROMISOS_2025[[#This Row],[valor_total]]-COMPROMISOS_2025[[#This Row],[total_cancelado]]</f>
        <v>4270500</v>
      </c>
      <c r="X2332" s="136">
        <f>COMPROMISOS_2025[[#This Row],[total_ordenes]]</f>
        <v>4270500</v>
      </c>
      <c r="Y2332" t="str" cm="1">
        <f t="array" aca="1" ref="Y2332" ca="1">IFERROR(_xlfn.XLOOKUP(COMPROMISOS_2025[[#This Row],[concatenado]],PAA[[#All],[RCP-RUBRO]],PAA[[#All],[Actividad3]],VLOOKUP(COMPROMISOS_2025[[#This Row],[Indicador Principal]],$AC$2:$AD$17,2,0),0),"")</f>
        <v/>
      </c>
    </row>
    <row r="2333" spans="1:25" hidden="1" x14ac:dyDescent="0.25">
      <c r="A2333">
        <v>1847</v>
      </c>
      <c r="B2333" t="s">
        <v>2491</v>
      </c>
      <c r="C2333" t="s">
        <v>1936</v>
      </c>
      <c r="D2333" t="s">
        <v>4182</v>
      </c>
      <c r="F2333">
        <v>406</v>
      </c>
      <c r="G2333">
        <v>65</v>
      </c>
      <c r="H2333" t="s">
        <v>662</v>
      </c>
      <c r="I2333" t="s">
        <v>2271</v>
      </c>
      <c r="J2333">
        <v>1423500</v>
      </c>
      <c r="K2333">
        <v>2025</v>
      </c>
      <c r="L2333">
        <v>1045524540</v>
      </c>
      <c r="M2333" t="s">
        <v>4111</v>
      </c>
      <c r="N2333" t="s">
        <v>1688</v>
      </c>
      <c r="O2333" t="s">
        <v>1686</v>
      </c>
      <c r="P2333">
        <v>0</v>
      </c>
      <c r="Q2333">
        <v>1423500</v>
      </c>
      <c r="R2333">
        <v>0</v>
      </c>
      <c r="S2333">
        <v>0</v>
      </c>
      <c r="T2333" t="str">
        <f t="shared" si="72"/>
        <v>18472.43.4302.85.0-205128.2.3.3.08.06.</v>
      </c>
      <c r="U2333" t="e" cm="1">
        <f t="array" aca="1" ref="U2333" ca="1">+IF(COMPROMISOS_2025[[#This Row],[P]]="20","41080111",_xlfn.XLOOKUP(COMPROMISOS_2025[[#This Row],[concatenado]],PAA[[#All],[RCP-RUBRO]],PAA[[#All],[INDICADOR]],"",0))</f>
        <v>#NAME?</v>
      </c>
      <c r="V2333" s="144" t="str">
        <f t="shared" si="73"/>
        <v>85</v>
      </c>
      <c r="W2333" s="136">
        <f>+COMPROMISOS_2025[[#This Row],[valor_total]]-COMPROMISOS_2025[[#This Row],[total_cancelado]]</f>
        <v>1423500</v>
      </c>
      <c r="X2333" s="136">
        <f>COMPROMISOS_2025[[#This Row],[total_ordenes]]</f>
        <v>1423500</v>
      </c>
      <c r="Y2333" t="str" cm="1">
        <f t="array" aca="1" ref="Y2333" ca="1">IFERROR(_xlfn.XLOOKUP(COMPROMISOS_2025[[#This Row],[concatenado]],PAA[[#All],[RCP-RUBRO]],PAA[[#All],[Actividad3]],VLOOKUP(COMPROMISOS_2025[[#This Row],[Indicador Principal]],$AC$2:$AD$17,2,0),0),"")</f>
        <v/>
      </c>
    </row>
    <row r="2334" spans="1:25" hidden="1" x14ac:dyDescent="0.25">
      <c r="A2334">
        <v>1848</v>
      </c>
      <c r="B2334" t="s">
        <v>2491</v>
      </c>
      <c r="C2334" t="s">
        <v>1936</v>
      </c>
      <c r="D2334" t="s">
        <v>4182</v>
      </c>
      <c r="F2334">
        <v>406</v>
      </c>
      <c r="G2334">
        <v>65</v>
      </c>
      <c r="H2334" t="s">
        <v>662</v>
      </c>
      <c r="I2334" t="s">
        <v>2271</v>
      </c>
      <c r="J2334">
        <v>2847000</v>
      </c>
      <c r="K2334">
        <v>2025</v>
      </c>
      <c r="L2334">
        <v>1045524599</v>
      </c>
      <c r="M2334" t="s">
        <v>4112</v>
      </c>
      <c r="N2334" t="s">
        <v>1688</v>
      </c>
      <c r="O2334" t="s">
        <v>1686</v>
      </c>
      <c r="P2334">
        <v>0</v>
      </c>
      <c r="Q2334">
        <v>2847000</v>
      </c>
      <c r="R2334">
        <v>0</v>
      </c>
      <c r="S2334">
        <v>0</v>
      </c>
      <c r="T2334" t="str">
        <f t="shared" si="72"/>
        <v>18482.43.4302.85.0-205128.2.3.3.08.06.</v>
      </c>
      <c r="U2334" t="e" cm="1">
        <f t="array" aca="1" ref="U2334" ca="1">+IF(COMPROMISOS_2025[[#This Row],[P]]="20","41080111",_xlfn.XLOOKUP(COMPROMISOS_2025[[#This Row],[concatenado]],PAA[[#All],[RCP-RUBRO]],PAA[[#All],[INDICADOR]],"",0))</f>
        <v>#NAME?</v>
      </c>
      <c r="V2334" s="144" t="str">
        <f t="shared" si="73"/>
        <v>85</v>
      </c>
      <c r="W2334" s="136">
        <f>+COMPROMISOS_2025[[#This Row],[valor_total]]-COMPROMISOS_2025[[#This Row],[total_cancelado]]</f>
        <v>2847000</v>
      </c>
      <c r="X2334" s="136">
        <f>COMPROMISOS_2025[[#This Row],[total_ordenes]]</f>
        <v>2847000</v>
      </c>
      <c r="Y2334" t="str" cm="1">
        <f t="array" aca="1" ref="Y2334" ca="1">IFERROR(_xlfn.XLOOKUP(COMPROMISOS_2025[[#This Row],[concatenado]],PAA[[#All],[RCP-RUBRO]],PAA[[#All],[Actividad3]],VLOOKUP(COMPROMISOS_2025[[#This Row],[Indicador Principal]],$AC$2:$AD$17,2,0),0),"")</f>
        <v/>
      </c>
    </row>
    <row r="2335" spans="1:25" hidden="1" x14ac:dyDescent="0.25">
      <c r="A2335">
        <v>1849</v>
      </c>
      <c r="B2335" t="s">
        <v>2491</v>
      </c>
      <c r="C2335" t="s">
        <v>1936</v>
      </c>
      <c r="D2335" t="s">
        <v>4182</v>
      </c>
      <c r="F2335">
        <v>406</v>
      </c>
      <c r="G2335">
        <v>65</v>
      </c>
      <c r="H2335" t="s">
        <v>662</v>
      </c>
      <c r="I2335" t="s">
        <v>2271</v>
      </c>
      <c r="J2335">
        <v>711750</v>
      </c>
      <c r="K2335">
        <v>2025</v>
      </c>
      <c r="L2335">
        <v>1045527955</v>
      </c>
      <c r="M2335" t="s">
        <v>3840</v>
      </c>
      <c r="N2335" t="s">
        <v>1688</v>
      </c>
      <c r="O2335" t="s">
        <v>1686</v>
      </c>
      <c r="P2335">
        <v>0</v>
      </c>
      <c r="Q2335">
        <v>711750</v>
      </c>
      <c r="R2335">
        <v>0</v>
      </c>
      <c r="S2335">
        <v>0</v>
      </c>
      <c r="T2335" t="str">
        <f t="shared" si="72"/>
        <v>18492.43.4302.85.0-205128.2.3.3.08.06.</v>
      </c>
      <c r="U2335" t="e" cm="1">
        <f t="array" aca="1" ref="U2335" ca="1">+IF(COMPROMISOS_2025[[#This Row],[P]]="20","41080111",_xlfn.XLOOKUP(COMPROMISOS_2025[[#This Row],[concatenado]],PAA[[#All],[RCP-RUBRO]],PAA[[#All],[INDICADOR]],"",0))</f>
        <v>#NAME?</v>
      </c>
      <c r="V2335" s="144" t="str">
        <f t="shared" si="73"/>
        <v>85</v>
      </c>
      <c r="W2335" s="136">
        <f>+COMPROMISOS_2025[[#This Row],[valor_total]]-COMPROMISOS_2025[[#This Row],[total_cancelado]]</f>
        <v>711750</v>
      </c>
      <c r="X2335" s="136">
        <f>COMPROMISOS_2025[[#This Row],[total_ordenes]]</f>
        <v>711750</v>
      </c>
      <c r="Y2335" t="str" cm="1">
        <f t="array" aca="1" ref="Y2335" ca="1">IFERROR(_xlfn.XLOOKUP(COMPROMISOS_2025[[#This Row],[concatenado]],PAA[[#All],[RCP-RUBRO]],PAA[[#All],[Actividad3]],VLOOKUP(COMPROMISOS_2025[[#This Row],[Indicador Principal]],$AC$2:$AD$17,2,0),0),"")</f>
        <v/>
      </c>
    </row>
    <row r="2336" spans="1:25" hidden="1" x14ac:dyDescent="0.25">
      <c r="A2336">
        <v>1850</v>
      </c>
      <c r="B2336" t="s">
        <v>2491</v>
      </c>
      <c r="C2336" t="s">
        <v>1936</v>
      </c>
      <c r="D2336" t="s">
        <v>4182</v>
      </c>
      <c r="F2336">
        <v>406</v>
      </c>
      <c r="G2336">
        <v>65</v>
      </c>
      <c r="H2336" t="s">
        <v>662</v>
      </c>
      <c r="I2336" t="s">
        <v>2271</v>
      </c>
      <c r="J2336">
        <v>1067625</v>
      </c>
      <c r="K2336">
        <v>2025</v>
      </c>
      <c r="L2336">
        <v>1045606438</v>
      </c>
      <c r="M2336" t="s">
        <v>4114</v>
      </c>
      <c r="N2336" t="s">
        <v>1688</v>
      </c>
      <c r="O2336" t="s">
        <v>1686</v>
      </c>
      <c r="P2336">
        <v>0</v>
      </c>
      <c r="Q2336">
        <v>1067625</v>
      </c>
      <c r="R2336">
        <v>0</v>
      </c>
      <c r="S2336">
        <v>0</v>
      </c>
      <c r="T2336" t="str">
        <f t="shared" si="72"/>
        <v>18502.43.4302.85.0-205128.2.3.3.08.06.</v>
      </c>
      <c r="U2336" t="e" cm="1">
        <f t="array" aca="1" ref="U2336" ca="1">+IF(COMPROMISOS_2025[[#This Row],[P]]="20","41080111",_xlfn.XLOOKUP(COMPROMISOS_2025[[#This Row],[concatenado]],PAA[[#All],[RCP-RUBRO]],PAA[[#All],[INDICADOR]],"",0))</f>
        <v>#NAME?</v>
      </c>
      <c r="V2336" s="144" t="str">
        <f t="shared" si="73"/>
        <v>85</v>
      </c>
      <c r="W2336" s="136">
        <f>+COMPROMISOS_2025[[#This Row],[valor_total]]-COMPROMISOS_2025[[#This Row],[total_cancelado]]</f>
        <v>1067625</v>
      </c>
      <c r="X2336" s="136">
        <f>COMPROMISOS_2025[[#This Row],[total_ordenes]]</f>
        <v>1067625</v>
      </c>
      <c r="Y2336" t="str" cm="1">
        <f t="array" aca="1" ref="Y2336" ca="1">IFERROR(_xlfn.XLOOKUP(COMPROMISOS_2025[[#This Row],[concatenado]],PAA[[#All],[RCP-RUBRO]],PAA[[#All],[Actividad3]],VLOOKUP(COMPROMISOS_2025[[#This Row],[Indicador Principal]],$AC$2:$AD$17,2,0),0),"")</f>
        <v/>
      </c>
    </row>
    <row r="2337" spans="1:25" hidden="1" x14ac:dyDescent="0.25">
      <c r="A2337">
        <v>1851</v>
      </c>
      <c r="B2337" t="s">
        <v>2491</v>
      </c>
      <c r="C2337" t="s">
        <v>1936</v>
      </c>
      <c r="D2337" t="s">
        <v>4182</v>
      </c>
      <c r="F2337">
        <v>406</v>
      </c>
      <c r="G2337">
        <v>65</v>
      </c>
      <c r="H2337" t="s">
        <v>662</v>
      </c>
      <c r="I2337" t="s">
        <v>2271</v>
      </c>
      <c r="J2337">
        <v>1067625</v>
      </c>
      <c r="K2337">
        <v>2025</v>
      </c>
      <c r="L2337">
        <v>1045745758</v>
      </c>
      <c r="M2337" t="s">
        <v>4115</v>
      </c>
      <c r="N2337" t="s">
        <v>1688</v>
      </c>
      <c r="O2337" t="s">
        <v>1686</v>
      </c>
      <c r="P2337">
        <v>0</v>
      </c>
      <c r="Q2337">
        <v>1067625</v>
      </c>
      <c r="R2337">
        <v>0</v>
      </c>
      <c r="S2337">
        <v>0</v>
      </c>
      <c r="T2337" t="str">
        <f t="shared" si="72"/>
        <v>18512.43.4302.85.0-205128.2.3.3.08.06.</v>
      </c>
      <c r="U2337" t="e" cm="1">
        <f t="array" aca="1" ref="U2337" ca="1">+IF(COMPROMISOS_2025[[#This Row],[P]]="20","41080111",_xlfn.XLOOKUP(COMPROMISOS_2025[[#This Row],[concatenado]],PAA[[#All],[RCP-RUBRO]],PAA[[#All],[INDICADOR]],"",0))</f>
        <v>#NAME?</v>
      </c>
      <c r="V2337" s="144" t="str">
        <f t="shared" si="73"/>
        <v>85</v>
      </c>
      <c r="W2337" s="136">
        <f>+COMPROMISOS_2025[[#This Row],[valor_total]]-COMPROMISOS_2025[[#This Row],[total_cancelado]]</f>
        <v>1067625</v>
      </c>
      <c r="X2337" s="136">
        <f>COMPROMISOS_2025[[#This Row],[total_ordenes]]</f>
        <v>1067625</v>
      </c>
      <c r="Y2337" t="str" cm="1">
        <f t="array" aca="1" ref="Y2337" ca="1">IFERROR(_xlfn.XLOOKUP(COMPROMISOS_2025[[#This Row],[concatenado]],PAA[[#All],[RCP-RUBRO]],PAA[[#All],[Actividad3]],VLOOKUP(COMPROMISOS_2025[[#This Row],[Indicador Principal]],$AC$2:$AD$17,2,0),0),"")</f>
        <v/>
      </c>
    </row>
    <row r="2338" spans="1:25" hidden="1" x14ac:dyDescent="0.25">
      <c r="A2338">
        <v>1852</v>
      </c>
      <c r="B2338" t="s">
        <v>2491</v>
      </c>
      <c r="C2338" t="s">
        <v>1936</v>
      </c>
      <c r="D2338" t="s">
        <v>4182</v>
      </c>
      <c r="F2338">
        <v>406</v>
      </c>
      <c r="G2338">
        <v>65</v>
      </c>
      <c r="H2338" t="s">
        <v>662</v>
      </c>
      <c r="I2338" t="s">
        <v>2271</v>
      </c>
      <c r="J2338">
        <v>2135250</v>
      </c>
      <c r="K2338">
        <v>2025</v>
      </c>
      <c r="L2338">
        <v>1046527204</v>
      </c>
      <c r="M2338" t="s">
        <v>3841</v>
      </c>
      <c r="N2338" t="s">
        <v>1688</v>
      </c>
      <c r="O2338" t="s">
        <v>1686</v>
      </c>
      <c r="P2338">
        <v>0</v>
      </c>
      <c r="Q2338">
        <v>2135250</v>
      </c>
      <c r="R2338">
        <v>0</v>
      </c>
      <c r="S2338">
        <v>0</v>
      </c>
      <c r="T2338" t="str">
        <f t="shared" si="72"/>
        <v>18522.43.4302.85.0-205128.2.3.3.08.06.</v>
      </c>
      <c r="U2338" t="e" cm="1">
        <f t="array" aca="1" ref="U2338" ca="1">+IF(COMPROMISOS_2025[[#This Row],[P]]="20","41080111",_xlfn.XLOOKUP(COMPROMISOS_2025[[#This Row],[concatenado]],PAA[[#All],[RCP-RUBRO]],PAA[[#All],[INDICADOR]],"",0))</f>
        <v>#NAME?</v>
      </c>
      <c r="V2338" s="144" t="str">
        <f t="shared" si="73"/>
        <v>85</v>
      </c>
      <c r="W2338" s="136">
        <f>+COMPROMISOS_2025[[#This Row],[valor_total]]-COMPROMISOS_2025[[#This Row],[total_cancelado]]</f>
        <v>2135250</v>
      </c>
      <c r="X2338" s="136">
        <f>COMPROMISOS_2025[[#This Row],[total_ordenes]]</f>
        <v>2135250</v>
      </c>
      <c r="Y2338" t="str" cm="1">
        <f t="array" aca="1" ref="Y2338" ca="1">IFERROR(_xlfn.XLOOKUP(COMPROMISOS_2025[[#This Row],[concatenado]],PAA[[#All],[RCP-RUBRO]],PAA[[#All],[Actividad3]],VLOOKUP(COMPROMISOS_2025[[#This Row],[Indicador Principal]],$AC$2:$AD$17,2,0),0),"")</f>
        <v/>
      </c>
    </row>
    <row r="2339" spans="1:25" hidden="1" x14ac:dyDescent="0.25">
      <c r="A2339">
        <v>1853</v>
      </c>
      <c r="B2339" t="s">
        <v>2491</v>
      </c>
      <c r="C2339" t="s">
        <v>1936</v>
      </c>
      <c r="D2339" t="s">
        <v>4182</v>
      </c>
      <c r="F2339">
        <v>406</v>
      </c>
      <c r="G2339">
        <v>65</v>
      </c>
      <c r="H2339" t="s">
        <v>662</v>
      </c>
      <c r="I2339" t="s">
        <v>2271</v>
      </c>
      <c r="J2339">
        <v>4270500</v>
      </c>
      <c r="K2339">
        <v>2025</v>
      </c>
      <c r="L2339">
        <v>1046527532</v>
      </c>
      <c r="M2339" t="s">
        <v>3842</v>
      </c>
      <c r="N2339" t="s">
        <v>1688</v>
      </c>
      <c r="O2339" t="s">
        <v>1686</v>
      </c>
      <c r="P2339">
        <v>0</v>
      </c>
      <c r="Q2339">
        <v>4270500</v>
      </c>
      <c r="R2339">
        <v>0</v>
      </c>
      <c r="S2339">
        <v>0</v>
      </c>
      <c r="T2339" t="str">
        <f t="shared" si="72"/>
        <v>18532.43.4302.85.0-205128.2.3.3.08.06.</v>
      </c>
      <c r="U2339" t="e" cm="1">
        <f t="array" aca="1" ref="U2339" ca="1">+IF(COMPROMISOS_2025[[#This Row],[P]]="20","41080111",_xlfn.XLOOKUP(COMPROMISOS_2025[[#This Row],[concatenado]],PAA[[#All],[RCP-RUBRO]],PAA[[#All],[INDICADOR]],"",0))</f>
        <v>#NAME?</v>
      </c>
      <c r="V2339" s="144" t="str">
        <f t="shared" si="73"/>
        <v>85</v>
      </c>
      <c r="W2339" s="136">
        <f>+COMPROMISOS_2025[[#This Row],[valor_total]]-COMPROMISOS_2025[[#This Row],[total_cancelado]]</f>
        <v>4270500</v>
      </c>
      <c r="X2339" s="136">
        <f>COMPROMISOS_2025[[#This Row],[total_ordenes]]</f>
        <v>4270500</v>
      </c>
      <c r="Y2339" t="str" cm="1">
        <f t="array" aca="1" ref="Y2339" ca="1">IFERROR(_xlfn.XLOOKUP(COMPROMISOS_2025[[#This Row],[concatenado]],PAA[[#All],[RCP-RUBRO]],PAA[[#All],[Actividad3]],VLOOKUP(COMPROMISOS_2025[[#This Row],[Indicador Principal]],$AC$2:$AD$17,2,0),0),"")</f>
        <v/>
      </c>
    </row>
    <row r="2340" spans="1:25" hidden="1" x14ac:dyDescent="0.25">
      <c r="A2340">
        <v>1854</v>
      </c>
      <c r="B2340" t="s">
        <v>2491</v>
      </c>
      <c r="C2340" t="s">
        <v>1936</v>
      </c>
      <c r="D2340" t="s">
        <v>4182</v>
      </c>
      <c r="F2340">
        <v>406</v>
      </c>
      <c r="G2340">
        <v>65</v>
      </c>
      <c r="H2340" t="s">
        <v>662</v>
      </c>
      <c r="I2340" t="s">
        <v>2271</v>
      </c>
      <c r="J2340">
        <v>1067625</v>
      </c>
      <c r="K2340">
        <v>2025</v>
      </c>
      <c r="L2340">
        <v>1046528276</v>
      </c>
      <c r="M2340" t="s">
        <v>3843</v>
      </c>
      <c r="N2340" t="s">
        <v>1688</v>
      </c>
      <c r="O2340" t="s">
        <v>1686</v>
      </c>
      <c r="P2340">
        <v>0</v>
      </c>
      <c r="Q2340">
        <v>1067625</v>
      </c>
      <c r="R2340">
        <v>0</v>
      </c>
      <c r="S2340">
        <v>0</v>
      </c>
      <c r="T2340" t="str">
        <f t="shared" si="72"/>
        <v>18542.43.4302.85.0-205128.2.3.3.08.06.</v>
      </c>
      <c r="U2340" t="e" cm="1">
        <f t="array" aca="1" ref="U2340" ca="1">+IF(COMPROMISOS_2025[[#This Row],[P]]="20","41080111",_xlfn.XLOOKUP(COMPROMISOS_2025[[#This Row],[concatenado]],PAA[[#All],[RCP-RUBRO]],PAA[[#All],[INDICADOR]],"",0))</f>
        <v>#NAME?</v>
      </c>
      <c r="V2340" s="144" t="str">
        <f t="shared" si="73"/>
        <v>85</v>
      </c>
      <c r="W2340" s="136">
        <f>+COMPROMISOS_2025[[#This Row],[valor_total]]-COMPROMISOS_2025[[#This Row],[total_cancelado]]</f>
        <v>1067625</v>
      </c>
      <c r="X2340" s="136">
        <f>COMPROMISOS_2025[[#This Row],[total_ordenes]]</f>
        <v>1067625</v>
      </c>
      <c r="Y2340" t="str" cm="1">
        <f t="array" aca="1" ref="Y2340" ca="1">IFERROR(_xlfn.XLOOKUP(COMPROMISOS_2025[[#This Row],[concatenado]],PAA[[#All],[RCP-RUBRO]],PAA[[#All],[Actividad3]],VLOOKUP(COMPROMISOS_2025[[#This Row],[Indicador Principal]],$AC$2:$AD$17,2,0),0),"")</f>
        <v/>
      </c>
    </row>
    <row r="2341" spans="1:25" hidden="1" x14ac:dyDescent="0.25">
      <c r="A2341">
        <v>1855</v>
      </c>
      <c r="B2341" t="s">
        <v>2491</v>
      </c>
      <c r="C2341" t="s">
        <v>1936</v>
      </c>
      <c r="D2341" t="s">
        <v>4182</v>
      </c>
      <c r="F2341">
        <v>406</v>
      </c>
      <c r="G2341">
        <v>65</v>
      </c>
      <c r="H2341" t="s">
        <v>662</v>
      </c>
      <c r="I2341" t="s">
        <v>2271</v>
      </c>
      <c r="J2341">
        <v>711750</v>
      </c>
      <c r="K2341">
        <v>2025</v>
      </c>
      <c r="L2341">
        <v>1046528436</v>
      </c>
      <c r="M2341" t="s">
        <v>3844</v>
      </c>
      <c r="N2341" t="s">
        <v>1688</v>
      </c>
      <c r="O2341" t="s">
        <v>1686</v>
      </c>
      <c r="P2341">
        <v>0</v>
      </c>
      <c r="Q2341">
        <v>711750</v>
      </c>
      <c r="R2341">
        <v>0</v>
      </c>
      <c r="S2341">
        <v>0</v>
      </c>
      <c r="T2341" t="str">
        <f t="shared" si="72"/>
        <v>18552.43.4302.85.0-205128.2.3.3.08.06.</v>
      </c>
      <c r="U2341" t="e" cm="1">
        <f t="array" aca="1" ref="U2341" ca="1">+IF(COMPROMISOS_2025[[#This Row],[P]]="20","41080111",_xlfn.XLOOKUP(COMPROMISOS_2025[[#This Row],[concatenado]],PAA[[#All],[RCP-RUBRO]],PAA[[#All],[INDICADOR]],"",0))</f>
        <v>#NAME?</v>
      </c>
      <c r="V2341" s="144" t="str">
        <f t="shared" si="73"/>
        <v>85</v>
      </c>
      <c r="W2341" s="136">
        <f>+COMPROMISOS_2025[[#This Row],[valor_total]]-COMPROMISOS_2025[[#This Row],[total_cancelado]]</f>
        <v>711750</v>
      </c>
      <c r="X2341" s="136">
        <f>COMPROMISOS_2025[[#This Row],[total_ordenes]]</f>
        <v>711750</v>
      </c>
      <c r="Y2341" t="str" cm="1">
        <f t="array" aca="1" ref="Y2341" ca="1">IFERROR(_xlfn.XLOOKUP(COMPROMISOS_2025[[#This Row],[concatenado]],PAA[[#All],[RCP-RUBRO]],PAA[[#All],[Actividad3]],VLOOKUP(COMPROMISOS_2025[[#This Row],[Indicador Principal]],$AC$2:$AD$17,2,0),0),"")</f>
        <v/>
      </c>
    </row>
    <row r="2342" spans="1:25" hidden="1" x14ac:dyDescent="0.25">
      <c r="A2342">
        <v>1856</v>
      </c>
      <c r="B2342" t="s">
        <v>2491</v>
      </c>
      <c r="C2342" t="s">
        <v>1936</v>
      </c>
      <c r="D2342" t="s">
        <v>4182</v>
      </c>
      <c r="F2342">
        <v>406</v>
      </c>
      <c r="G2342">
        <v>65</v>
      </c>
      <c r="H2342" t="s">
        <v>662</v>
      </c>
      <c r="I2342" t="s">
        <v>2271</v>
      </c>
      <c r="J2342">
        <v>711750</v>
      </c>
      <c r="K2342">
        <v>2025</v>
      </c>
      <c r="L2342">
        <v>1046529330</v>
      </c>
      <c r="M2342" t="s">
        <v>3845</v>
      </c>
      <c r="N2342" t="s">
        <v>1688</v>
      </c>
      <c r="O2342" t="s">
        <v>1686</v>
      </c>
      <c r="P2342">
        <v>0</v>
      </c>
      <c r="Q2342">
        <v>711750</v>
      </c>
      <c r="R2342">
        <v>0</v>
      </c>
      <c r="S2342">
        <v>0</v>
      </c>
      <c r="T2342" t="str">
        <f t="shared" si="72"/>
        <v>18562.43.4302.85.0-205128.2.3.3.08.06.</v>
      </c>
      <c r="U2342" t="e" cm="1">
        <f t="array" aca="1" ref="U2342" ca="1">+IF(COMPROMISOS_2025[[#This Row],[P]]="20","41080111",_xlfn.XLOOKUP(COMPROMISOS_2025[[#This Row],[concatenado]],PAA[[#All],[RCP-RUBRO]],PAA[[#All],[INDICADOR]],"",0))</f>
        <v>#NAME?</v>
      </c>
      <c r="V2342" s="144" t="str">
        <f t="shared" si="73"/>
        <v>85</v>
      </c>
      <c r="W2342" s="136">
        <f>+COMPROMISOS_2025[[#This Row],[valor_total]]-COMPROMISOS_2025[[#This Row],[total_cancelado]]</f>
        <v>711750</v>
      </c>
      <c r="X2342" s="136">
        <f>COMPROMISOS_2025[[#This Row],[total_ordenes]]</f>
        <v>711750</v>
      </c>
      <c r="Y2342" t="str" cm="1">
        <f t="array" aca="1" ref="Y2342" ca="1">IFERROR(_xlfn.XLOOKUP(COMPROMISOS_2025[[#This Row],[concatenado]],PAA[[#All],[RCP-RUBRO]],PAA[[#All],[Actividad3]],VLOOKUP(COMPROMISOS_2025[[#This Row],[Indicador Principal]],$AC$2:$AD$17,2,0),0),"")</f>
        <v/>
      </c>
    </row>
    <row r="2343" spans="1:25" hidden="1" x14ac:dyDescent="0.25">
      <c r="A2343">
        <v>1857</v>
      </c>
      <c r="B2343" t="s">
        <v>2491</v>
      </c>
      <c r="C2343" t="s">
        <v>1936</v>
      </c>
      <c r="D2343" t="s">
        <v>4182</v>
      </c>
      <c r="F2343">
        <v>406</v>
      </c>
      <c r="G2343">
        <v>65</v>
      </c>
      <c r="H2343" t="s">
        <v>662</v>
      </c>
      <c r="I2343" t="s">
        <v>2271</v>
      </c>
      <c r="J2343">
        <v>711750</v>
      </c>
      <c r="K2343">
        <v>2025</v>
      </c>
      <c r="L2343">
        <v>1046529577</v>
      </c>
      <c r="M2343" t="s">
        <v>3846</v>
      </c>
      <c r="N2343" t="s">
        <v>1688</v>
      </c>
      <c r="O2343" t="s">
        <v>1686</v>
      </c>
      <c r="P2343">
        <v>0</v>
      </c>
      <c r="Q2343">
        <v>711750</v>
      </c>
      <c r="R2343">
        <v>0</v>
      </c>
      <c r="S2343">
        <v>0</v>
      </c>
      <c r="T2343" t="str">
        <f t="shared" si="72"/>
        <v>18572.43.4302.85.0-205128.2.3.3.08.06.</v>
      </c>
      <c r="U2343" t="e" cm="1">
        <f t="array" aca="1" ref="U2343" ca="1">+IF(COMPROMISOS_2025[[#This Row],[P]]="20","41080111",_xlfn.XLOOKUP(COMPROMISOS_2025[[#This Row],[concatenado]],PAA[[#All],[RCP-RUBRO]],PAA[[#All],[INDICADOR]],"",0))</f>
        <v>#NAME?</v>
      </c>
      <c r="V2343" s="144" t="str">
        <f t="shared" si="73"/>
        <v>85</v>
      </c>
      <c r="W2343" s="136">
        <f>+COMPROMISOS_2025[[#This Row],[valor_total]]-COMPROMISOS_2025[[#This Row],[total_cancelado]]</f>
        <v>711750</v>
      </c>
      <c r="X2343" s="136">
        <f>COMPROMISOS_2025[[#This Row],[total_ordenes]]</f>
        <v>711750</v>
      </c>
      <c r="Y2343" t="str" cm="1">
        <f t="array" aca="1" ref="Y2343" ca="1">IFERROR(_xlfn.XLOOKUP(COMPROMISOS_2025[[#This Row],[concatenado]],PAA[[#All],[RCP-RUBRO]],PAA[[#All],[Actividad3]],VLOOKUP(COMPROMISOS_2025[[#This Row],[Indicador Principal]],$AC$2:$AD$17,2,0),0),"")</f>
        <v/>
      </c>
    </row>
    <row r="2344" spans="1:25" hidden="1" x14ac:dyDescent="0.25">
      <c r="A2344">
        <v>1858</v>
      </c>
      <c r="B2344" t="s">
        <v>2491</v>
      </c>
      <c r="C2344" t="s">
        <v>1936</v>
      </c>
      <c r="D2344" t="s">
        <v>4182</v>
      </c>
      <c r="F2344">
        <v>406</v>
      </c>
      <c r="G2344">
        <v>65</v>
      </c>
      <c r="H2344" t="s">
        <v>662</v>
      </c>
      <c r="I2344" t="s">
        <v>2271</v>
      </c>
      <c r="J2344">
        <v>711750</v>
      </c>
      <c r="K2344">
        <v>2025</v>
      </c>
      <c r="L2344">
        <v>1046667569</v>
      </c>
      <c r="M2344" t="s">
        <v>4414</v>
      </c>
      <c r="N2344" t="s">
        <v>1688</v>
      </c>
      <c r="O2344" t="s">
        <v>1686</v>
      </c>
      <c r="P2344">
        <v>0</v>
      </c>
      <c r="Q2344">
        <v>711750</v>
      </c>
      <c r="R2344">
        <v>0</v>
      </c>
      <c r="S2344">
        <v>0</v>
      </c>
      <c r="T2344" t="str">
        <f t="shared" si="72"/>
        <v>18582.43.4302.85.0-205128.2.3.3.08.06.</v>
      </c>
      <c r="U2344" t="e" cm="1">
        <f t="array" aca="1" ref="U2344" ca="1">+IF(COMPROMISOS_2025[[#This Row],[P]]="20","41080111",_xlfn.XLOOKUP(COMPROMISOS_2025[[#This Row],[concatenado]],PAA[[#All],[RCP-RUBRO]],PAA[[#All],[INDICADOR]],"",0))</f>
        <v>#NAME?</v>
      </c>
      <c r="V2344" s="144" t="str">
        <f t="shared" si="73"/>
        <v>85</v>
      </c>
      <c r="W2344" s="136">
        <f>+COMPROMISOS_2025[[#This Row],[valor_total]]-COMPROMISOS_2025[[#This Row],[total_cancelado]]</f>
        <v>711750</v>
      </c>
      <c r="X2344" s="136">
        <f>COMPROMISOS_2025[[#This Row],[total_ordenes]]</f>
        <v>711750</v>
      </c>
      <c r="Y2344" t="str" cm="1">
        <f t="array" aca="1" ref="Y2344" ca="1">IFERROR(_xlfn.XLOOKUP(COMPROMISOS_2025[[#This Row],[concatenado]],PAA[[#All],[RCP-RUBRO]],PAA[[#All],[Actividad3]],VLOOKUP(COMPROMISOS_2025[[#This Row],[Indicador Principal]],$AC$2:$AD$17,2,0),0),"")</f>
        <v/>
      </c>
    </row>
    <row r="2345" spans="1:25" hidden="1" x14ac:dyDescent="0.25">
      <c r="A2345">
        <v>1859</v>
      </c>
      <c r="B2345" t="s">
        <v>2491</v>
      </c>
      <c r="C2345" t="s">
        <v>1936</v>
      </c>
      <c r="D2345" t="s">
        <v>4182</v>
      </c>
      <c r="F2345">
        <v>406</v>
      </c>
      <c r="G2345">
        <v>65</v>
      </c>
      <c r="H2345" t="s">
        <v>662</v>
      </c>
      <c r="I2345" t="s">
        <v>2271</v>
      </c>
      <c r="J2345">
        <v>711750</v>
      </c>
      <c r="K2345">
        <v>2025</v>
      </c>
      <c r="L2345">
        <v>1046696814</v>
      </c>
      <c r="M2345" t="s">
        <v>3847</v>
      </c>
      <c r="N2345" t="s">
        <v>1688</v>
      </c>
      <c r="O2345" t="s">
        <v>1686</v>
      </c>
      <c r="P2345">
        <v>0</v>
      </c>
      <c r="Q2345">
        <v>711750</v>
      </c>
      <c r="R2345">
        <v>0</v>
      </c>
      <c r="S2345">
        <v>0</v>
      </c>
      <c r="T2345" t="str">
        <f t="shared" si="72"/>
        <v>18592.43.4302.85.0-205128.2.3.3.08.06.</v>
      </c>
      <c r="U2345" t="e" cm="1">
        <f t="array" aca="1" ref="U2345" ca="1">+IF(COMPROMISOS_2025[[#This Row],[P]]="20","41080111",_xlfn.XLOOKUP(COMPROMISOS_2025[[#This Row],[concatenado]],PAA[[#All],[RCP-RUBRO]],PAA[[#All],[INDICADOR]],"",0))</f>
        <v>#NAME?</v>
      </c>
      <c r="V2345" s="144" t="str">
        <f t="shared" si="73"/>
        <v>85</v>
      </c>
      <c r="W2345" s="136">
        <f>+COMPROMISOS_2025[[#This Row],[valor_total]]-COMPROMISOS_2025[[#This Row],[total_cancelado]]</f>
        <v>711750</v>
      </c>
      <c r="X2345" s="136">
        <f>COMPROMISOS_2025[[#This Row],[total_ordenes]]</f>
        <v>711750</v>
      </c>
      <c r="Y2345" t="str" cm="1">
        <f t="array" aca="1" ref="Y2345" ca="1">IFERROR(_xlfn.XLOOKUP(COMPROMISOS_2025[[#This Row],[concatenado]],PAA[[#All],[RCP-RUBRO]],PAA[[#All],[Actividad3]],VLOOKUP(COMPROMISOS_2025[[#This Row],[Indicador Principal]],$AC$2:$AD$17,2,0),0),"")</f>
        <v/>
      </c>
    </row>
    <row r="2346" spans="1:25" hidden="1" x14ac:dyDescent="0.25">
      <c r="A2346">
        <v>1860</v>
      </c>
      <c r="B2346" t="s">
        <v>2491</v>
      </c>
      <c r="C2346" t="s">
        <v>1936</v>
      </c>
      <c r="D2346" t="s">
        <v>4182</v>
      </c>
      <c r="F2346">
        <v>406</v>
      </c>
      <c r="G2346">
        <v>65</v>
      </c>
      <c r="H2346" t="s">
        <v>662</v>
      </c>
      <c r="I2346" t="s">
        <v>2271</v>
      </c>
      <c r="J2346">
        <v>711750</v>
      </c>
      <c r="K2346">
        <v>2025</v>
      </c>
      <c r="L2346">
        <v>1048065995</v>
      </c>
      <c r="M2346" t="s">
        <v>4415</v>
      </c>
      <c r="N2346" t="s">
        <v>1688</v>
      </c>
      <c r="O2346" t="s">
        <v>1686</v>
      </c>
      <c r="P2346">
        <v>0</v>
      </c>
      <c r="Q2346">
        <v>711750</v>
      </c>
      <c r="R2346">
        <v>0</v>
      </c>
      <c r="S2346">
        <v>0</v>
      </c>
      <c r="T2346" t="str">
        <f t="shared" si="72"/>
        <v>18602.43.4302.85.0-205128.2.3.3.08.06.</v>
      </c>
      <c r="U2346" t="e" cm="1">
        <f t="array" aca="1" ref="U2346" ca="1">+IF(COMPROMISOS_2025[[#This Row],[P]]="20","41080111",_xlfn.XLOOKUP(COMPROMISOS_2025[[#This Row],[concatenado]],PAA[[#All],[RCP-RUBRO]],PAA[[#All],[INDICADOR]],"",0))</f>
        <v>#NAME?</v>
      </c>
      <c r="V2346" s="144" t="str">
        <f t="shared" si="73"/>
        <v>85</v>
      </c>
      <c r="W2346" s="136">
        <f>+COMPROMISOS_2025[[#This Row],[valor_total]]-COMPROMISOS_2025[[#This Row],[total_cancelado]]</f>
        <v>711750</v>
      </c>
      <c r="X2346" s="136">
        <f>COMPROMISOS_2025[[#This Row],[total_ordenes]]</f>
        <v>711750</v>
      </c>
      <c r="Y2346" t="str" cm="1">
        <f t="array" aca="1" ref="Y2346" ca="1">IFERROR(_xlfn.XLOOKUP(COMPROMISOS_2025[[#This Row],[concatenado]],PAA[[#All],[RCP-RUBRO]],PAA[[#All],[Actividad3]],VLOOKUP(COMPROMISOS_2025[[#This Row],[Indicador Principal]],$AC$2:$AD$17,2,0),0),"")</f>
        <v/>
      </c>
    </row>
    <row r="2347" spans="1:25" hidden="1" x14ac:dyDescent="0.25">
      <c r="A2347">
        <v>1861</v>
      </c>
      <c r="B2347" t="s">
        <v>2491</v>
      </c>
      <c r="C2347" t="s">
        <v>1936</v>
      </c>
      <c r="D2347" t="s">
        <v>4182</v>
      </c>
      <c r="F2347">
        <v>406</v>
      </c>
      <c r="G2347">
        <v>65</v>
      </c>
      <c r="H2347" t="s">
        <v>662</v>
      </c>
      <c r="I2347" t="s">
        <v>2271</v>
      </c>
      <c r="J2347">
        <v>1423500</v>
      </c>
      <c r="K2347">
        <v>2025</v>
      </c>
      <c r="L2347">
        <v>1052021033</v>
      </c>
      <c r="M2347" t="s">
        <v>4416</v>
      </c>
      <c r="N2347" t="s">
        <v>1688</v>
      </c>
      <c r="O2347" t="s">
        <v>1686</v>
      </c>
      <c r="P2347">
        <v>0</v>
      </c>
      <c r="Q2347">
        <v>1423500</v>
      </c>
      <c r="R2347">
        <v>0</v>
      </c>
      <c r="S2347">
        <v>0</v>
      </c>
      <c r="T2347" t="str">
        <f t="shared" si="72"/>
        <v>18612.43.4302.85.0-205128.2.3.3.08.06.</v>
      </c>
      <c r="U2347" t="e" cm="1">
        <f t="array" aca="1" ref="U2347" ca="1">+IF(COMPROMISOS_2025[[#This Row],[P]]="20","41080111",_xlfn.XLOOKUP(COMPROMISOS_2025[[#This Row],[concatenado]],PAA[[#All],[RCP-RUBRO]],PAA[[#All],[INDICADOR]],"",0))</f>
        <v>#NAME?</v>
      </c>
      <c r="V2347" s="144" t="str">
        <f t="shared" si="73"/>
        <v>85</v>
      </c>
      <c r="W2347" s="136">
        <f>+COMPROMISOS_2025[[#This Row],[valor_total]]-COMPROMISOS_2025[[#This Row],[total_cancelado]]</f>
        <v>1423500</v>
      </c>
      <c r="X2347" s="136">
        <f>COMPROMISOS_2025[[#This Row],[total_ordenes]]</f>
        <v>1423500</v>
      </c>
      <c r="Y2347" t="str" cm="1">
        <f t="array" aca="1" ref="Y2347" ca="1">IFERROR(_xlfn.XLOOKUP(COMPROMISOS_2025[[#This Row],[concatenado]],PAA[[#All],[RCP-RUBRO]],PAA[[#All],[Actividad3]],VLOOKUP(COMPROMISOS_2025[[#This Row],[Indicador Principal]],$AC$2:$AD$17,2,0),0),"")</f>
        <v/>
      </c>
    </row>
    <row r="2348" spans="1:25" hidden="1" x14ac:dyDescent="0.25">
      <c r="A2348">
        <v>1862</v>
      </c>
      <c r="B2348" t="s">
        <v>2491</v>
      </c>
      <c r="C2348" t="s">
        <v>1936</v>
      </c>
      <c r="D2348" t="s">
        <v>4182</v>
      </c>
      <c r="F2348">
        <v>406</v>
      </c>
      <c r="G2348">
        <v>65</v>
      </c>
      <c r="H2348" t="s">
        <v>662</v>
      </c>
      <c r="I2348" t="s">
        <v>2271</v>
      </c>
      <c r="J2348">
        <v>1067625</v>
      </c>
      <c r="K2348">
        <v>2025</v>
      </c>
      <c r="L2348">
        <v>1054856974</v>
      </c>
      <c r="M2348" t="s">
        <v>4117</v>
      </c>
      <c r="N2348" t="s">
        <v>1688</v>
      </c>
      <c r="O2348" t="s">
        <v>1686</v>
      </c>
      <c r="P2348">
        <v>0</v>
      </c>
      <c r="Q2348">
        <v>1067625</v>
      </c>
      <c r="R2348">
        <v>0</v>
      </c>
      <c r="S2348">
        <v>0</v>
      </c>
      <c r="T2348" t="str">
        <f t="shared" si="72"/>
        <v>18622.43.4302.85.0-205128.2.3.3.08.06.</v>
      </c>
      <c r="U2348" t="e" cm="1">
        <f t="array" aca="1" ref="U2348" ca="1">+IF(COMPROMISOS_2025[[#This Row],[P]]="20","41080111",_xlfn.XLOOKUP(COMPROMISOS_2025[[#This Row],[concatenado]],PAA[[#All],[RCP-RUBRO]],PAA[[#All],[INDICADOR]],"",0))</f>
        <v>#NAME?</v>
      </c>
      <c r="V2348" s="144" t="str">
        <f t="shared" si="73"/>
        <v>85</v>
      </c>
      <c r="W2348" s="136">
        <f>+COMPROMISOS_2025[[#This Row],[valor_total]]-COMPROMISOS_2025[[#This Row],[total_cancelado]]</f>
        <v>1067625</v>
      </c>
      <c r="X2348" s="136">
        <f>COMPROMISOS_2025[[#This Row],[total_ordenes]]</f>
        <v>1067625</v>
      </c>
      <c r="Y2348" t="str" cm="1">
        <f t="array" aca="1" ref="Y2348" ca="1">IFERROR(_xlfn.XLOOKUP(COMPROMISOS_2025[[#This Row],[concatenado]],PAA[[#All],[RCP-RUBRO]],PAA[[#All],[Actividad3]],VLOOKUP(COMPROMISOS_2025[[#This Row],[Indicador Principal]],$AC$2:$AD$17,2,0),0),"")</f>
        <v/>
      </c>
    </row>
    <row r="2349" spans="1:25" hidden="1" x14ac:dyDescent="0.25">
      <c r="A2349">
        <v>1863</v>
      </c>
      <c r="B2349" t="s">
        <v>2491</v>
      </c>
      <c r="C2349" t="s">
        <v>1936</v>
      </c>
      <c r="D2349" t="s">
        <v>4182</v>
      </c>
      <c r="F2349">
        <v>406</v>
      </c>
      <c r="G2349">
        <v>65</v>
      </c>
      <c r="H2349" t="s">
        <v>662</v>
      </c>
      <c r="I2349" t="s">
        <v>2271</v>
      </c>
      <c r="J2349">
        <v>6405750</v>
      </c>
      <c r="K2349">
        <v>2025</v>
      </c>
      <c r="L2349">
        <v>1055358288</v>
      </c>
      <c r="M2349" t="s">
        <v>4417</v>
      </c>
      <c r="N2349" t="s">
        <v>1688</v>
      </c>
      <c r="O2349" t="s">
        <v>1686</v>
      </c>
      <c r="P2349">
        <v>0</v>
      </c>
      <c r="Q2349">
        <v>6405750</v>
      </c>
      <c r="R2349">
        <v>0</v>
      </c>
      <c r="S2349">
        <v>0</v>
      </c>
      <c r="T2349" t="str">
        <f t="shared" si="72"/>
        <v>18632.43.4302.85.0-205128.2.3.3.08.06.</v>
      </c>
      <c r="U2349" t="e" cm="1">
        <f t="array" aca="1" ref="U2349" ca="1">+IF(COMPROMISOS_2025[[#This Row],[P]]="20","41080111",_xlfn.XLOOKUP(COMPROMISOS_2025[[#This Row],[concatenado]],PAA[[#All],[RCP-RUBRO]],PAA[[#All],[INDICADOR]],"",0))</f>
        <v>#NAME?</v>
      </c>
      <c r="V2349" s="144" t="str">
        <f t="shared" si="73"/>
        <v>85</v>
      </c>
      <c r="W2349" s="136">
        <f>+COMPROMISOS_2025[[#This Row],[valor_total]]-COMPROMISOS_2025[[#This Row],[total_cancelado]]</f>
        <v>6405750</v>
      </c>
      <c r="X2349" s="136">
        <f>COMPROMISOS_2025[[#This Row],[total_ordenes]]</f>
        <v>6405750</v>
      </c>
      <c r="Y2349" t="str" cm="1">
        <f t="array" aca="1" ref="Y2349" ca="1">IFERROR(_xlfn.XLOOKUP(COMPROMISOS_2025[[#This Row],[concatenado]],PAA[[#All],[RCP-RUBRO]],PAA[[#All],[Actividad3]],VLOOKUP(COMPROMISOS_2025[[#This Row],[Indicador Principal]],$AC$2:$AD$17,2,0),0),"")</f>
        <v/>
      </c>
    </row>
    <row r="2350" spans="1:25" hidden="1" x14ac:dyDescent="0.25">
      <c r="A2350">
        <v>1864</v>
      </c>
      <c r="B2350" t="s">
        <v>2491</v>
      </c>
      <c r="C2350" t="s">
        <v>1936</v>
      </c>
      <c r="D2350" t="s">
        <v>4182</v>
      </c>
      <c r="F2350">
        <v>406</v>
      </c>
      <c r="G2350">
        <v>65</v>
      </c>
      <c r="H2350" t="s">
        <v>662</v>
      </c>
      <c r="I2350" t="s">
        <v>2271</v>
      </c>
      <c r="J2350">
        <v>711750</v>
      </c>
      <c r="K2350">
        <v>2025</v>
      </c>
      <c r="L2350">
        <v>1057980258</v>
      </c>
      <c r="M2350" t="s">
        <v>3848</v>
      </c>
      <c r="N2350" t="s">
        <v>1688</v>
      </c>
      <c r="O2350" t="s">
        <v>1686</v>
      </c>
      <c r="P2350">
        <v>0</v>
      </c>
      <c r="Q2350">
        <v>711750</v>
      </c>
      <c r="R2350">
        <v>0</v>
      </c>
      <c r="S2350">
        <v>0</v>
      </c>
      <c r="T2350" t="str">
        <f t="shared" si="72"/>
        <v>18642.43.4302.85.0-205128.2.3.3.08.06.</v>
      </c>
      <c r="U2350" t="e" cm="1">
        <f t="array" aca="1" ref="U2350" ca="1">+IF(COMPROMISOS_2025[[#This Row],[P]]="20","41080111",_xlfn.XLOOKUP(COMPROMISOS_2025[[#This Row],[concatenado]],PAA[[#All],[RCP-RUBRO]],PAA[[#All],[INDICADOR]],"",0))</f>
        <v>#NAME?</v>
      </c>
      <c r="V2350" s="144" t="str">
        <f t="shared" si="73"/>
        <v>85</v>
      </c>
      <c r="W2350" s="136">
        <f>+COMPROMISOS_2025[[#This Row],[valor_total]]-COMPROMISOS_2025[[#This Row],[total_cancelado]]</f>
        <v>711750</v>
      </c>
      <c r="X2350" s="136">
        <f>COMPROMISOS_2025[[#This Row],[total_ordenes]]</f>
        <v>711750</v>
      </c>
      <c r="Y2350" t="str" cm="1">
        <f t="array" aca="1" ref="Y2350" ca="1">IFERROR(_xlfn.XLOOKUP(COMPROMISOS_2025[[#This Row],[concatenado]],PAA[[#All],[RCP-RUBRO]],PAA[[#All],[Actividad3]],VLOOKUP(COMPROMISOS_2025[[#This Row],[Indicador Principal]],$AC$2:$AD$17,2,0),0),"")</f>
        <v/>
      </c>
    </row>
    <row r="2351" spans="1:25" hidden="1" x14ac:dyDescent="0.25">
      <c r="A2351">
        <v>1865</v>
      </c>
      <c r="B2351" t="s">
        <v>2491</v>
      </c>
      <c r="C2351" t="s">
        <v>1936</v>
      </c>
      <c r="D2351" t="s">
        <v>4182</v>
      </c>
      <c r="F2351">
        <v>406</v>
      </c>
      <c r="G2351">
        <v>65</v>
      </c>
      <c r="H2351" t="s">
        <v>662</v>
      </c>
      <c r="I2351" t="s">
        <v>2271</v>
      </c>
      <c r="J2351">
        <v>711750</v>
      </c>
      <c r="K2351">
        <v>2025</v>
      </c>
      <c r="L2351">
        <v>1061210984</v>
      </c>
      <c r="M2351" t="s">
        <v>4418</v>
      </c>
      <c r="N2351" t="s">
        <v>1688</v>
      </c>
      <c r="O2351" t="s">
        <v>1686</v>
      </c>
      <c r="P2351">
        <v>0</v>
      </c>
      <c r="Q2351">
        <v>711750</v>
      </c>
      <c r="R2351">
        <v>0</v>
      </c>
      <c r="S2351">
        <v>0</v>
      </c>
      <c r="T2351" t="str">
        <f t="shared" si="72"/>
        <v>18652.43.4302.85.0-205128.2.3.3.08.06.</v>
      </c>
      <c r="U2351" t="e" cm="1">
        <f t="array" aca="1" ref="U2351" ca="1">+IF(COMPROMISOS_2025[[#This Row],[P]]="20","41080111",_xlfn.XLOOKUP(COMPROMISOS_2025[[#This Row],[concatenado]],PAA[[#All],[RCP-RUBRO]],PAA[[#All],[INDICADOR]],"",0))</f>
        <v>#NAME?</v>
      </c>
      <c r="V2351" s="144" t="str">
        <f t="shared" si="73"/>
        <v>85</v>
      </c>
      <c r="W2351" s="136">
        <f>+COMPROMISOS_2025[[#This Row],[valor_total]]-COMPROMISOS_2025[[#This Row],[total_cancelado]]</f>
        <v>711750</v>
      </c>
      <c r="X2351" s="136">
        <f>COMPROMISOS_2025[[#This Row],[total_ordenes]]</f>
        <v>711750</v>
      </c>
      <c r="Y2351" t="str" cm="1">
        <f t="array" aca="1" ref="Y2351" ca="1">IFERROR(_xlfn.XLOOKUP(COMPROMISOS_2025[[#This Row],[concatenado]],PAA[[#All],[RCP-RUBRO]],PAA[[#All],[Actividad3]],VLOOKUP(COMPROMISOS_2025[[#This Row],[Indicador Principal]],$AC$2:$AD$17,2,0),0),"")</f>
        <v/>
      </c>
    </row>
    <row r="2352" spans="1:25" hidden="1" x14ac:dyDescent="0.25">
      <c r="A2352">
        <v>1866</v>
      </c>
      <c r="B2352" t="s">
        <v>2491</v>
      </c>
      <c r="C2352" t="s">
        <v>1936</v>
      </c>
      <c r="D2352" t="s">
        <v>4182</v>
      </c>
      <c r="F2352">
        <v>406</v>
      </c>
      <c r="G2352">
        <v>65</v>
      </c>
      <c r="H2352" t="s">
        <v>662</v>
      </c>
      <c r="I2352" t="s">
        <v>2271</v>
      </c>
      <c r="J2352">
        <v>711750</v>
      </c>
      <c r="K2352">
        <v>2025</v>
      </c>
      <c r="L2352">
        <v>1062297714</v>
      </c>
      <c r="M2352" t="s">
        <v>4419</v>
      </c>
      <c r="N2352" t="s">
        <v>1688</v>
      </c>
      <c r="O2352" t="s">
        <v>1686</v>
      </c>
      <c r="P2352">
        <v>0</v>
      </c>
      <c r="Q2352">
        <v>711750</v>
      </c>
      <c r="R2352">
        <v>0</v>
      </c>
      <c r="S2352">
        <v>0</v>
      </c>
      <c r="T2352" t="str">
        <f t="shared" si="72"/>
        <v>18662.43.4302.85.0-205128.2.3.3.08.06.</v>
      </c>
      <c r="U2352" t="e" cm="1">
        <f t="array" aca="1" ref="U2352" ca="1">+IF(COMPROMISOS_2025[[#This Row],[P]]="20","41080111",_xlfn.XLOOKUP(COMPROMISOS_2025[[#This Row],[concatenado]],PAA[[#All],[RCP-RUBRO]],PAA[[#All],[INDICADOR]],"",0))</f>
        <v>#NAME?</v>
      </c>
      <c r="V2352" s="144" t="str">
        <f t="shared" si="73"/>
        <v>85</v>
      </c>
      <c r="W2352" s="136">
        <f>+COMPROMISOS_2025[[#This Row],[valor_total]]-COMPROMISOS_2025[[#This Row],[total_cancelado]]</f>
        <v>711750</v>
      </c>
      <c r="X2352" s="136">
        <f>COMPROMISOS_2025[[#This Row],[total_ordenes]]</f>
        <v>711750</v>
      </c>
      <c r="Y2352" t="str" cm="1">
        <f t="array" aca="1" ref="Y2352" ca="1">IFERROR(_xlfn.XLOOKUP(COMPROMISOS_2025[[#This Row],[concatenado]],PAA[[#All],[RCP-RUBRO]],PAA[[#All],[Actividad3]],VLOOKUP(COMPROMISOS_2025[[#This Row],[Indicador Principal]],$AC$2:$AD$17,2,0),0),"")</f>
        <v/>
      </c>
    </row>
    <row r="2353" spans="1:25" hidden="1" x14ac:dyDescent="0.25">
      <c r="A2353">
        <v>1867</v>
      </c>
      <c r="B2353" t="s">
        <v>2491</v>
      </c>
      <c r="C2353" t="s">
        <v>1936</v>
      </c>
      <c r="D2353" t="s">
        <v>4182</v>
      </c>
      <c r="F2353">
        <v>406</v>
      </c>
      <c r="G2353">
        <v>65</v>
      </c>
      <c r="H2353" t="s">
        <v>662</v>
      </c>
      <c r="I2353" t="s">
        <v>2271</v>
      </c>
      <c r="J2353">
        <v>711750</v>
      </c>
      <c r="K2353">
        <v>2025</v>
      </c>
      <c r="L2353">
        <v>1062428868</v>
      </c>
      <c r="M2353" t="s">
        <v>3849</v>
      </c>
      <c r="N2353" t="s">
        <v>1688</v>
      </c>
      <c r="O2353" t="s">
        <v>1686</v>
      </c>
      <c r="P2353">
        <v>0</v>
      </c>
      <c r="Q2353">
        <v>711750</v>
      </c>
      <c r="R2353">
        <v>0</v>
      </c>
      <c r="S2353">
        <v>0</v>
      </c>
      <c r="T2353" t="str">
        <f t="shared" si="72"/>
        <v>18672.43.4302.85.0-205128.2.3.3.08.06.</v>
      </c>
      <c r="U2353" t="e" cm="1">
        <f t="array" aca="1" ref="U2353" ca="1">+IF(COMPROMISOS_2025[[#This Row],[P]]="20","41080111",_xlfn.XLOOKUP(COMPROMISOS_2025[[#This Row],[concatenado]],PAA[[#All],[RCP-RUBRO]],PAA[[#All],[INDICADOR]],"",0))</f>
        <v>#NAME?</v>
      </c>
      <c r="V2353" s="144" t="str">
        <f t="shared" si="73"/>
        <v>85</v>
      </c>
      <c r="W2353" s="136">
        <f>+COMPROMISOS_2025[[#This Row],[valor_total]]-COMPROMISOS_2025[[#This Row],[total_cancelado]]</f>
        <v>711750</v>
      </c>
      <c r="X2353" s="136">
        <f>COMPROMISOS_2025[[#This Row],[total_ordenes]]</f>
        <v>711750</v>
      </c>
      <c r="Y2353" t="str" cm="1">
        <f t="array" aca="1" ref="Y2353" ca="1">IFERROR(_xlfn.XLOOKUP(COMPROMISOS_2025[[#This Row],[concatenado]],PAA[[#All],[RCP-RUBRO]],PAA[[#All],[Actividad3]],VLOOKUP(COMPROMISOS_2025[[#This Row],[Indicador Principal]],$AC$2:$AD$17,2,0),0),"")</f>
        <v/>
      </c>
    </row>
    <row r="2354" spans="1:25" hidden="1" x14ac:dyDescent="0.25">
      <c r="A2354">
        <v>1868</v>
      </c>
      <c r="B2354" t="s">
        <v>2491</v>
      </c>
      <c r="C2354" t="s">
        <v>1936</v>
      </c>
      <c r="D2354" t="s">
        <v>4182</v>
      </c>
      <c r="F2354">
        <v>406</v>
      </c>
      <c r="G2354">
        <v>65</v>
      </c>
      <c r="H2354" t="s">
        <v>662</v>
      </c>
      <c r="I2354" t="s">
        <v>2271</v>
      </c>
      <c r="J2354">
        <v>1067625</v>
      </c>
      <c r="K2354">
        <v>2025</v>
      </c>
      <c r="L2354">
        <v>1062428930</v>
      </c>
      <c r="M2354" t="s">
        <v>3850</v>
      </c>
      <c r="N2354" t="s">
        <v>1688</v>
      </c>
      <c r="O2354" t="s">
        <v>1686</v>
      </c>
      <c r="P2354">
        <v>0</v>
      </c>
      <c r="Q2354">
        <v>1067625</v>
      </c>
      <c r="R2354">
        <v>0</v>
      </c>
      <c r="S2354">
        <v>0</v>
      </c>
      <c r="T2354" t="str">
        <f t="shared" si="72"/>
        <v>18682.43.4302.85.0-205128.2.3.3.08.06.</v>
      </c>
      <c r="U2354" t="e" cm="1">
        <f t="array" aca="1" ref="U2354" ca="1">+IF(COMPROMISOS_2025[[#This Row],[P]]="20","41080111",_xlfn.XLOOKUP(COMPROMISOS_2025[[#This Row],[concatenado]],PAA[[#All],[RCP-RUBRO]],PAA[[#All],[INDICADOR]],"",0))</f>
        <v>#NAME?</v>
      </c>
      <c r="V2354" s="144" t="str">
        <f t="shared" si="73"/>
        <v>85</v>
      </c>
      <c r="W2354" s="136">
        <f>+COMPROMISOS_2025[[#This Row],[valor_total]]-COMPROMISOS_2025[[#This Row],[total_cancelado]]</f>
        <v>1067625</v>
      </c>
      <c r="X2354" s="136">
        <f>COMPROMISOS_2025[[#This Row],[total_ordenes]]</f>
        <v>1067625</v>
      </c>
      <c r="Y2354" t="str" cm="1">
        <f t="array" aca="1" ref="Y2354" ca="1">IFERROR(_xlfn.XLOOKUP(COMPROMISOS_2025[[#This Row],[concatenado]],PAA[[#All],[RCP-RUBRO]],PAA[[#All],[Actividad3]],VLOOKUP(COMPROMISOS_2025[[#This Row],[Indicador Principal]],$AC$2:$AD$17,2,0),0),"")</f>
        <v/>
      </c>
    </row>
    <row r="2355" spans="1:25" hidden="1" x14ac:dyDescent="0.25">
      <c r="A2355">
        <v>1869</v>
      </c>
      <c r="B2355" t="s">
        <v>2491</v>
      </c>
      <c r="C2355" t="s">
        <v>1936</v>
      </c>
      <c r="D2355" t="s">
        <v>4182</v>
      </c>
      <c r="F2355">
        <v>406</v>
      </c>
      <c r="G2355">
        <v>65</v>
      </c>
      <c r="H2355" t="s">
        <v>662</v>
      </c>
      <c r="I2355" t="s">
        <v>2271</v>
      </c>
      <c r="J2355">
        <v>711750</v>
      </c>
      <c r="K2355">
        <v>2025</v>
      </c>
      <c r="L2355">
        <v>1062606601</v>
      </c>
      <c r="M2355" t="s">
        <v>3851</v>
      </c>
      <c r="N2355" t="s">
        <v>1688</v>
      </c>
      <c r="O2355" t="s">
        <v>1686</v>
      </c>
      <c r="P2355">
        <v>0</v>
      </c>
      <c r="Q2355">
        <v>711750</v>
      </c>
      <c r="R2355">
        <v>0</v>
      </c>
      <c r="S2355">
        <v>0</v>
      </c>
      <c r="T2355" t="str">
        <f t="shared" si="72"/>
        <v>18692.43.4302.85.0-205128.2.3.3.08.06.</v>
      </c>
      <c r="U2355" t="e" cm="1">
        <f t="array" aca="1" ref="U2355" ca="1">+IF(COMPROMISOS_2025[[#This Row],[P]]="20","41080111",_xlfn.XLOOKUP(COMPROMISOS_2025[[#This Row],[concatenado]],PAA[[#All],[RCP-RUBRO]],PAA[[#All],[INDICADOR]],"",0))</f>
        <v>#NAME?</v>
      </c>
      <c r="V2355" s="144" t="str">
        <f t="shared" si="73"/>
        <v>85</v>
      </c>
      <c r="W2355" s="136">
        <f>+COMPROMISOS_2025[[#This Row],[valor_total]]-COMPROMISOS_2025[[#This Row],[total_cancelado]]</f>
        <v>711750</v>
      </c>
      <c r="X2355" s="136">
        <f>COMPROMISOS_2025[[#This Row],[total_ordenes]]</f>
        <v>711750</v>
      </c>
      <c r="Y2355" t="str" cm="1">
        <f t="array" aca="1" ref="Y2355" ca="1">IFERROR(_xlfn.XLOOKUP(COMPROMISOS_2025[[#This Row],[concatenado]],PAA[[#All],[RCP-RUBRO]],PAA[[#All],[Actividad3]],VLOOKUP(COMPROMISOS_2025[[#This Row],[Indicador Principal]],$AC$2:$AD$17,2,0),0),"")</f>
        <v/>
      </c>
    </row>
    <row r="2356" spans="1:25" hidden="1" x14ac:dyDescent="0.25">
      <c r="A2356">
        <v>1870</v>
      </c>
      <c r="B2356" t="s">
        <v>2491</v>
      </c>
      <c r="C2356" t="s">
        <v>1936</v>
      </c>
      <c r="D2356" t="s">
        <v>4182</v>
      </c>
      <c r="F2356">
        <v>406</v>
      </c>
      <c r="G2356">
        <v>65</v>
      </c>
      <c r="H2356" t="s">
        <v>662</v>
      </c>
      <c r="I2356" t="s">
        <v>2271</v>
      </c>
      <c r="J2356">
        <v>711750</v>
      </c>
      <c r="K2356">
        <v>2025</v>
      </c>
      <c r="L2356">
        <v>1064187599</v>
      </c>
      <c r="M2356" t="s">
        <v>3852</v>
      </c>
      <c r="N2356" t="s">
        <v>1688</v>
      </c>
      <c r="O2356" t="s">
        <v>1686</v>
      </c>
      <c r="P2356">
        <v>0</v>
      </c>
      <c r="Q2356">
        <v>711750</v>
      </c>
      <c r="R2356">
        <v>0</v>
      </c>
      <c r="S2356">
        <v>0</v>
      </c>
      <c r="T2356" t="str">
        <f t="shared" si="72"/>
        <v>18702.43.4302.85.0-205128.2.3.3.08.06.</v>
      </c>
      <c r="U2356" t="e" cm="1">
        <f t="array" aca="1" ref="U2356" ca="1">+IF(COMPROMISOS_2025[[#This Row],[P]]="20","41080111",_xlfn.XLOOKUP(COMPROMISOS_2025[[#This Row],[concatenado]],PAA[[#All],[RCP-RUBRO]],PAA[[#All],[INDICADOR]],"",0))</f>
        <v>#NAME?</v>
      </c>
      <c r="V2356" s="144" t="str">
        <f t="shared" si="73"/>
        <v>85</v>
      </c>
      <c r="W2356" s="136">
        <f>+COMPROMISOS_2025[[#This Row],[valor_total]]-COMPROMISOS_2025[[#This Row],[total_cancelado]]</f>
        <v>711750</v>
      </c>
      <c r="X2356" s="136">
        <f>COMPROMISOS_2025[[#This Row],[total_ordenes]]</f>
        <v>711750</v>
      </c>
      <c r="Y2356" t="str" cm="1">
        <f t="array" aca="1" ref="Y2356" ca="1">IFERROR(_xlfn.XLOOKUP(COMPROMISOS_2025[[#This Row],[concatenado]],PAA[[#All],[RCP-RUBRO]],PAA[[#All],[Actividad3]],VLOOKUP(COMPROMISOS_2025[[#This Row],[Indicador Principal]],$AC$2:$AD$17,2,0),0),"")</f>
        <v/>
      </c>
    </row>
    <row r="2357" spans="1:25" hidden="1" x14ac:dyDescent="0.25">
      <c r="A2357">
        <v>1871</v>
      </c>
      <c r="B2357" t="s">
        <v>2491</v>
      </c>
      <c r="C2357" t="s">
        <v>1936</v>
      </c>
      <c r="D2357" t="s">
        <v>4182</v>
      </c>
      <c r="F2357">
        <v>406</v>
      </c>
      <c r="G2357">
        <v>65</v>
      </c>
      <c r="H2357" t="s">
        <v>662</v>
      </c>
      <c r="I2357" t="s">
        <v>2271</v>
      </c>
      <c r="J2357">
        <v>711750</v>
      </c>
      <c r="K2357">
        <v>2025</v>
      </c>
      <c r="L2357">
        <v>1065587890</v>
      </c>
      <c r="M2357" t="s">
        <v>4420</v>
      </c>
      <c r="N2357" t="s">
        <v>1688</v>
      </c>
      <c r="O2357" t="s">
        <v>1686</v>
      </c>
      <c r="P2357">
        <v>0</v>
      </c>
      <c r="Q2357">
        <v>711750</v>
      </c>
      <c r="R2357">
        <v>0</v>
      </c>
      <c r="S2357">
        <v>0</v>
      </c>
      <c r="T2357" t="str">
        <f t="shared" si="72"/>
        <v>18712.43.4302.85.0-205128.2.3.3.08.06.</v>
      </c>
      <c r="U2357" t="e" cm="1">
        <f t="array" aca="1" ref="U2357" ca="1">+IF(COMPROMISOS_2025[[#This Row],[P]]="20","41080111",_xlfn.XLOOKUP(COMPROMISOS_2025[[#This Row],[concatenado]],PAA[[#All],[RCP-RUBRO]],PAA[[#All],[INDICADOR]],"",0))</f>
        <v>#NAME?</v>
      </c>
      <c r="V2357" s="144" t="str">
        <f t="shared" si="73"/>
        <v>85</v>
      </c>
      <c r="W2357" s="136">
        <f>+COMPROMISOS_2025[[#This Row],[valor_total]]-COMPROMISOS_2025[[#This Row],[total_cancelado]]</f>
        <v>711750</v>
      </c>
      <c r="X2357" s="136">
        <f>COMPROMISOS_2025[[#This Row],[total_ordenes]]</f>
        <v>711750</v>
      </c>
      <c r="Y2357" t="str" cm="1">
        <f t="array" aca="1" ref="Y2357" ca="1">IFERROR(_xlfn.XLOOKUP(COMPROMISOS_2025[[#This Row],[concatenado]],PAA[[#All],[RCP-RUBRO]],PAA[[#All],[Actividad3]],VLOOKUP(COMPROMISOS_2025[[#This Row],[Indicador Principal]],$AC$2:$AD$17,2,0),0),"")</f>
        <v/>
      </c>
    </row>
    <row r="2358" spans="1:25" hidden="1" x14ac:dyDescent="0.25">
      <c r="A2358">
        <v>1872</v>
      </c>
      <c r="B2358" t="s">
        <v>2491</v>
      </c>
      <c r="C2358" t="s">
        <v>1936</v>
      </c>
      <c r="D2358" t="s">
        <v>4182</v>
      </c>
      <c r="F2358">
        <v>406</v>
      </c>
      <c r="G2358">
        <v>65</v>
      </c>
      <c r="H2358" t="s">
        <v>662</v>
      </c>
      <c r="I2358" t="s">
        <v>2271</v>
      </c>
      <c r="J2358">
        <v>1423500</v>
      </c>
      <c r="K2358">
        <v>2025</v>
      </c>
      <c r="L2358">
        <v>1065602964</v>
      </c>
      <c r="M2358" t="s">
        <v>4421</v>
      </c>
      <c r="N2358" t="s">
        <v>1688</v>
      </c>
      <c r="O2358" t="s">
        <v>1686</v>
      </c>
      <c r="P2358">
        <v>0</v>
      </c>
      <c r="Q2358">
        <v>1423500</v>
      </c>
      <c r="R2358">
        <v>0</v>
      </c>
      <c r="S2358">
        <v>0</v>
      </c>
      <c r="T2358" t="str">
        <f t="shared" si="72"/>
        <v>18722.43.4302.85.0-205128.2.3.3.08.06.</v>
      </c>
      <c r="U2358" t="e" cm="1">
        <f t="array" aca="1" ref="U2358" ca="1">+IF(COMPROMISOS_2025[[#This Row],[P]]="20","41080111",_xlfn.XLOOKUP(COMPROMISOS_2025[[#This Row],[concatenado]],PAA[[#All],[RCP-RUBRO]],PAA[[#All],[INDICADOR]],"",0))</f>
        <v>#NAME?</v>
      </c>
      <c r="V2358" s="144" t="str">
        <f t="shared" si="73"/>
        <v>85</v>
      </c>
      <c r="W2358" s="136">
        <f>+COMPROMISOS_2025[[#This Row],[valor_total]]-COMPROMISOS_2025[[#This Row],[total_cancelado]]</f>
        <v>1423500</v>
      </c>
      <c r="X2358" s="136">
        <f>COMPROMISOS_2025[[#This Row],[total_ordenes]]</f>
        <v>1423500</v>
      </c>
      <c r="Y2358" t="str" cm="1">
        <f t="array" aca="1" ref="Y2358" ca="1">IFERROR(_xlfn.XLOOKUP(COMPROMISOS_2025[[#This Row],[concatenado]],PAA[[#All],[RCP-RUBRO]],PAA[[#All],[Actividad3]],VLOOKUP(COMPROMISOS_2025[[#This Row],[Indicador Principal]],$AC$2:$AD$17,2,0),0),"")</f>
        <v/>
      </c>
    </row>
    <row r="2359" spans="1:25" hidden="1" x14ac:dyDescent="0.25">
      <c r="A2359">
        <v>1873</v>
      </c>
      <c r="B2359" t="s">
        <v>2491</v>
      </c>
      <c r="C2359" t="s">
        <v>1936</v>
      </c>
      <c r="D2359" t="s">
        <v>4182</v>
      </c>
      <c r="F2359">
        <v>406</v>
      </c>
      <c r="G2359">
        <v>65</v>
      </c>
      <c r="H2359" t="s">
        <v>662</v>
      </c>
      <c r="I2359" t="s">
        <v>2271</v>
      </c>
      <c r="J2359">
        <v>711750</v>
      </c>
      <c r="K2359">
        <v>2025</v>
      </c>
      <c r="L2359">
        <v>1067879191</v>
      </c>
      <c r="M2359" t="s">
        <v>3853</v>
      </c>
      <c r="N2359" t="s">
        <v>1688</v>
      </c>
      <c r="O2359" t="s">
        <v>1686</v>
      </c>
      <c r="P2359">
        <v>0</v>
      </c>
      <c r="Q2359">
        <v>711750</v>
      </c>
      <c r="R2359">
        <v>0</v>
      </c>
      <c r="S2359">
        <v>0</v>
      </c>
      <c r="T2359" t="str">
        <f t="shared" si="72"/>
        <v>18732.43.4302.85.0-205128.2.3.3.08.06.</v>
      </c>
      <c r="U2359" t="e" cm="1">
        <f t="array" aca="1" ref="U2359" ca="1">+IF(COMPROMISOS_2025[[#This Row],[P]]="20","41080111",_xlfn.XLOOKUP(COMPROMISOS_2025[[#This Row],[concatenado]],PAA[[#All],[RCP-RUBRO]],PAA[[#All],[INDICADOR]],"",0))</f>
        <v>#NAME?</v>
      </c>
      <c r="V2359" s="144" t="str">
        <f t="shared" si="73"/>
        <v>85</v>
      </c>
      <c r="W2359" s="136">
        <f>+COMPROMISOS_2025[[#This Row],[valor_total]]-COMPROMISOS_2025[[#This Row],[total_cancelado]]</f>
        <v>711750</v>
      </c>
      <c r="X2359" s="136">
        <f>COMPROMISOS_2025[[#This Row],[total_ordenes]]</f>
        <v>711750</v>
      </c>
      <c r="Y2359" t="str" cm="1">
        <f t="array" aca="1" ref="Y2359" ca="1">IFERROR(_xlfn.XLOOKUP(COMPROMISOS_2025[[#This Row],[concatenado]],PAA[[#All],[RCP-RUBRO]],PAA[[#All],[Actividad3]],VLOOKUP(COMPROMISOS_2025[[#This Row],[Indicador Principal]],$AC$2:$AD$17,2,0),0),"")</f>
        <v/>
      </c>
    </row>
    <row r="2360" spans="1:25" hidden="1" x14ac:dyDescent="0.25">
      <c r="A2360">
        <v>1874</v>
      </c>
      <c r="B2360" t="s">
        <v>2491</v>
      </c>
      <c r="C2360" t="s">
        <v>1936</v>
      </c>
      <c r="D2360" t="s">
        <v>4182</v>
      </c>
      <c r="F2360">
        <v>406</v>
      </c>
      <c r="G2360">
        <v>65</v>
      </c>
      <c r="H2360" t="s">
        <v>662</v>
      </c>
      <c r="I2360" t="s">
        <v>2271</v>
      </c>
      <c r="J2360">
        <v>711750</v>
      </c>
      <c r="K2360">
        <v>2025</v>
      </c>
      <c r="L2360">
        <v>1072642358</v>
      </c>
      <c r="M2360" t="s">
        <v>3854</v>
      </c>
      <c r="N2360" t="s">
        <v>1688</v>
      </c>
      <c r="O2360" t="s">
        <v>1686</v>
      </c>
      <c r="P2360">
        <v>0</v>
      </c>
      <c r="Q2360">
        <v>711750</v>
      </c>
      <c r="R2360">
        <v>0</v>
      </c>
      <c r="S2360">
        <v>0</v>
      </c>
      <c r="T2360" t="str">
        <f t="shared" si="72"/>
        <v>18742.43.4302.85.0-205128.2.3.3.08.06.</v>
      </c>
      <c r="U2360" t="e" cm="1">
        <f t="array" aca="1" ref="U2360" ca="1">+IF(COMPROMISOS_2025[[#This Row],[P]]="20","41080111",_xlfn.XLOOKUP(COMPROMISOS_2025[[#This Row],[concatenado]],PAA[[#All],[RCP-RUBRO]],PAA[[#All],[INDICADOR]],"",0))</f>
        <v>#NAME?</v>
      </c>
      <c r="V2360" s="144" t="str">
        <f t="shared" si="73"/>
        <v>85</v>
      </c>
      <c r="W2360" s="136">
        <f>+COMPROMISOS_2025[[#This Row],[valor_total]]-COMPROMISOS_2025[[#This Row],[total_cancelado]]</f>
        <v>711750</v>
      </c>
      <c r="X2360" s="136">
        <f>COMPROMISOS_2025[[#This Row],[total_ordenes]]</f>
        <v>711750</v>
      </c>
      <c r="Y2360" t="str" cm="1">
        <f t="array" aca="1" ref="Y2360" ca="1">IFERROR(_xlfn.XLOOKUP(COMPROMISOS_2025[[#This Row],[concatenado]],PAA[[#All],[RCP-RUBRO]],PAA[[#All],[Actividad3]],VLOOKUP(COMPROMISOS_2025[[#This Row],[Indicador Principal]],$AC$2:$AD$17,2,0),0),"")</f>
        <v/>
      </c>
    </row>
    <row r="2361" spans="1:25" hidden="1" x14ac:dyDescent="0.25">
      <c r="A2361">
        <v>1875</v>
      </c>
      <c r="B2361" t="s">
        <v>2491</v>
      </c>
      <c r="C2361" t="s">
        <v>1936</v>
      </c>
      <c r="D2361" t="s">
        <v>4182</v>
      </c>
      <c r="F2361">
        <v>406</v>
      </c>
      <c r="G2361">
        <v>65</v>
      </c>
      <c r="H2361" t="s">
        <v>662</v>
      </c>
      <c r="I2361" t="s">
        <v>2271</v>
      </c>
      <c r="J2361">
        <v>1779375</v>
      </c>
      <c r="K2361">
        <v>2025</v>
      </c>
      <c r="L2361">
        <v>1073970917</v>
      </c>
      <c r="M2361" t="s">
        <v>3855</v>
      </c>
      <c r="N2361" t="s">
        <v>1688</v>
      </c>
      <c r="O2361" t="s">
        <v>1686</v>
      </c>
      <c r="P2361">
        <v>0</v>
      </c>
      <c r="Q2361">
        <v>1779375</v>
      </c>
      <c r="R2361">
        <v>0</v>
      </c>
      <c r="S2361">
        <v>0</v>
      </c>
      <c r="T2361" t="str">
        <f t="shared" si="72"/>
        <v>18752.43.4302.85.0-205128.2.3.3.08.06.</v>
      </c>
      <c r="U2361" t="e" cm="1">
        <f t="array" aca="1" ref="U2361" ca="1">+IF(COMPROMISOS_2025[[#This Row],[P]]="20","41080111",_xlfn.XLOOKUP(COMPROMISOS_2025[[#This Row],[concatenado]],PAA[[#All],[RCP-RUBRO]],PAA[[#All],[INDICADOR]],"",0))</f>
        <v>#NAME?</v>
      </c>
      <c r="V2361" s="144" t="str">
        <f t="shared" si="73"/>
        <v>85</v>
      </c>
      <c r="W2361" s="136">
        <f>+COMPROMISOS_2025[[#This Row],[valor_total]]-COMPROMISOS_2025[[#This Row],[total_cancelado]]</f>
        <v>1779375</v>
      </c>
      <c r="X2361" s="136">
        <f>COMPROMISOS_2025[[#This Row],[total_ordenes]]</f>
        <v>1779375</v>
      </c>
      <c r="Y2361" t="str" cm="1">
        <f t="array" aca="1" ref="Y2361" ca="1">IFERROR(_xlfn.XLOOKUP(COMPROMISOS_2025[[#This Row],[concatenado]],PAA[[#All],[RCP-RUBRO]],PAA[[#All],[Actividad3]],VLOOKUP(COMPROMISOS_2025[[#This Row],[Indicador Principal]],$AC$2:$AD$17,2,0),0),"")</f>
        <v/>
      </c>
    </row>
    <row r="2362" spans="1:25" hidden="1" x14ac:dyDescent="0.25">
      <c r="A2362">
        <v>1876</v>
      </c>
      <c r="B2362" t="s">
        <v>2491</v>
      </c>
      <c r="C2362" t="s">
        <v>1936</v>
      </c>
      <c r="D2362" t="s">
        <v>4182</v>
      </c>
      <c r="F2362">
        <v>406</v>
      </c>
      <c r="G2362">
        <v>65</v>
      </c>
      <c r="H2362" t="s">
        <v>662</v>
      </c>
      <c r="I2362" t="s">
        <v>2271</v>
      </c>
      <c r="J2362">
        <v>711750</v>
      </c>
      <c r="K2362">
        <v>2025</v>
      </c>
      <c r="L2362">
        <v>1076328149</v>
      </c>
      <c r="M2362" t="s">
        <v>4422</v>
      </c>
      <c r="N2362" t="s">
        <v>1688</v>
      </c>
      <c r="O2362" t="s">
        <v>1686</v>
      </c>
      <c r="P2362">
        <v>0</v>
      </c>
      <c r="Q2362">
        <v>711750</v>
      </c>
      <c r="R2362">
        <v>0</v>
      </c>
      <c r="S2362">
        <v>0</v>
      </c>
      <c r="T2362" t="str">
        <f t="shared" si="72"/>
        <v>18762.43.4302.85.0-205128.2.3.3.08.06.</v>
      </c>
      <c r="U2362" t="e" cm="1">
        <f t="array" aca="1" ref="U2362" ca="1">+IF(COMPROMISOS_2025[[#This Row],[P]]="20","41080111",_xlfn.XLOOKUP(COMPROMISOS_2025[[#This Row],[concatenado]],PAA[[#All],[RCP-RUBRO]],PAA[[#All],[INDICADOR]],"",0))</f>
        <v>#NAME?</v>
      </c>
      <c r="V2362" s="144" t="str">
        <f t="shared" si="73"/>
        <v>85</v>
      </c>
      <c r="W2362" s="136">
        <f>+COMPROMISOS_2025[[#This Row],[valor_total]]-COMPROMISOS_2025[[#This Row],[total_cancelado]]</f>
        <v>711750</v>
      </c>
      <c r="X2362" s="136">
        <f>COMPROMISOS_2025[[#This Row],[total_ordenes]]</f>
        <v>711750</v>
      </c>
      <c r="Y2362" t="str" cm="1">
        <f t="array" aca="1" ref="Y2362" ca="1">IFERROR(_xlfn.XLOOKUP(COMPROMISOS_2025[[#This Row],[concatenado]],PAA[[#All],[RCP-RUBRO]],PAA[[#All],[Actividad3]],VLOOKUP(COMPROMISOS_2025[[#This Row],[Indicador Principal]],$AC$2:$AD$17,2,0),0),"")</f>
        <v/>
      </c>
    </row>
    <row r="2363" spans="1:25" hidden="1" x14ac:dyDescent="0.25">
      <c r="A2363">
        <v>1877</v>
      </c>
      <c r="B2363" t="s">
        <v>2491</v>
      </c>
      <c r="C2363" t="s">
        <v>1936</v>
      </c>
      <c r="D2363" t="s">
        <v>4182</v>
      </c>
      <c r="F2363">
        <v>406</v>
      </c>
      <c r="G2363">
        <v>65</v>
      </c>
      <c r="H2363" t="s">
        <v>662</v>
      </c>
      <c r="I2363" t="s">
        <v>2271</v>
      </c>
      <c r="J2363">
        <v>2847000</v>
      </c>
      <c r="K2363">
        <v>2025</v>
      </c>
      <c r="L2363">
        <v>1076502084</v>
      </c>
      <c r="M2363" t="s">
        <v>4120</v>
      </c>
      <c r="N2363" t="s">
        <v>1688</v>
      </c>
      <c r="O2363" t="s">
        <v>1686</v>
      </c>
      <c r="P2363">
        <v>0</v>
      </c>
      <c r="Q2363">
        <v>2847000</v>
      </c>
      <c r="R2363">
        <v>0</v>
      </c>
      <c r="S2363">
        <v>0</v>
      </c>
      <c r="T2363" t="str">
        <f t="shared" si="72"/>
        <v>18772.43.4302.85.0-205128.2.3.3.08.06.</v>
      </c>
      <c r="U2363" t="e" cm="1">
        <f t="array" aca="1" ref="U2363" ca="1">+IF(COMPROMISOS_2025[[#This Row],[P]]="20","41080111",_xlfn.XLOOKUP(COMPROMISOS_2025[[#This Row],[concatenado]],PAA[[#All],[RCP-RUBRO]],PAA[[#All],[INDICADOR]],"",0))</f>
        <v>#NAME?</v>
      </c>
      <c r="V2363" s="144" t="str">
        <f t="shared" si="73"/>
        <v>85</v>
      </c>
      <c r="W2363" s="136">
        <f>+COMPROMISOS_2025[[#This Row],[valor_total]]-COMPROMISOS_2025[[#This Row],[total_cancelado]]</f>
        <v>2847000</v>
      </c>
      <c r="X2363" s="136">
        <f>COMPROMISOS_2025[[#This Row],[total_ordenes]]</f>
        <v>2847000</v>
      </c>
      <c r="Y2363" t="str" cm="1">
        <f t="array" aca="1" ref="Y2363" ca="1">IFERROR(_xlfn.XLOOKUP(COMPROMISOS_2025[[#This Row],[concatenado]],PAA[[#All],[RCP-RUBRO]],PAA[[#All],[Actividad3]],VLOOKUP(COMPROMISOS_2025[[#This Row],[Indicador Principal]],$AC$2:$AD$17,2,0),0),"")</f>
        <v/>
      </c>
    </row>
    <row r="2364" spans="1:25" hidden="1" x14ac:dyDescent="0.25">
      <c r="A2364">
        <v>1878</v>
      </c>
      <c r="B2364" t="s">
        <v>2491</v>
      </c>
      <c r="C2364" t="s">
        <v>1936</v>
      </c>
      <c r="D2364" t="s">
        <v>4182</v>
      </c>
      <c r="F2364">
        <v>406</v>
      </c>
      <c r="G2364">
        <v>65</v>
      </c>
      <c r="H2364" t="s">
        <v>662</v>
      </c>
      <c r="I2364" t="s">
        <v>2271</v>
      </c>
      <c r="J2364">
        <v>711750</v>
      </c>
      <c r="K2364">
        <v>2025</v>
      </c>
      <c r="L2364">
        <v>1077086041</v>
      </c>
      <c r="M2364" t="s">
        <v>4423</v>
      </c>
      <c r="N2364" t="s">
        <v>1688</v>
      </c>
      <c r="O2364" t="s">
        <v>1686</v>
      </c>
      <c r="P2364">
        <v>0</v>
      </c>
      <c r="Q2364">
        <v>711750</v>
      </c>
      <c r="R2364">
        <v>0</v>
      </c>
      <c r="S2364">
        <v>0</v>
      </c>
      <c r="T2364" t="str">
        <f t="shared" si="72"/>
        <v>18782.43.4302.85.0-205128.2.3.3.08.06.</v>
      </c>
      <c r="U2364" t="e" cm="1">
        <f t="array" aca="1" ref="U2364" ca="1">+IF(COMPROMISOS_2025[[#This Row],[P]]="20","41080111",_xlfn.XLOOKUP(COMPROMISOS_2025[[#This Row],[concatenado]],PAA[[#All],[RCP-RUBRO]],PAA[[#All],[INDICADOR]],"",0))</f>
        <v>#NAME?</v>
      </c>
      <c r="V2364" s="144" t="str">
        <f t="shared" si="73"/>
        <v>85</v>
      </c>
      <c r="W2364" s="136">
        <f>+COMPROMISOS_2025[[#This Row],[valor_total]]-COMPROMISOS_2025[[#This Row],[total_cancelado]]</f>
        <v>711750</v>
      </c>
      <c r="X2364" s="136">
        <f>COMPROMISOS_2025[[#This Row],[total_ordenes]]</f>
        <v>711750</v>
      </c>
      <c r="Y2364" t="str" cm="1">
        <f t="array" aca="1" ref="Y2364" ca="1">IFERROR(_xlfn.XLOOKUP(COMPROMISOS_2025[[#This Row],[concatenado]],PAA[[#All],[RCP-RUBRO]],PAA[[#All],[Actividad3]],VLOOKUP(COMPROMISOS_2025[[#This Row],[Indicador Principal]],$AC$2:$AD$17,2,0),0),"")</f>
        <v/>
      </c>
    </row>
    <row r="2365" spans="1:25" hidden="1" x14ac:dyDescent="0.25">
      <c r="A2365">
        <v>1879</v>
      </c>
      <c r="B2365" t="s">
        <v>2491</v>
      </c>
      <c r="C2365" t="s">
        <v>1936</v>
      </c>
      <c r="D2365" t="s">
        <v>4182</v>
      </c>
      <c r="F2365">
        <v>406</v>
      </c>
      <c r="G2365">
        <v>65</v>
      </c>
      <c r="H2365" t="s">
        <v>662</v>
      </c>
      <c r="I2365" t="s">
        <v>2271</v>
      </c>
      <c r="J2365">
        <v>1423500</v>
      </c>
      <c r="K2365">
        <v>2025</v>
      </c>
      <c r="L2365">
        <v>1077175447</v>
      </c>
      <c r="M2365" t="s">
        <v>3856</v>
      </c>
      <c r="N2365" t="s">
        <v>1688</v>
      </c>
      <c r="O2365" t="s">
        <v>1686</v>
      </c>
      <c r="P2365">
        <v>0</v>
      </c>
      <c r="Q2365">
        <v>1423500</v>
      </c>
      <c r="R2365">
        <v>0</v>
      </c>
      <c r="S2365">
        <v>0</v>
      </c>
      <c r="T2365" t="str">
        <f t="shared" si="72"/>
        <v>18792.43.4302.85.0-205128.2.3.3.08.06.</v>
      </c>
      <c r="U2365" t="e" cm="1">
        <f t="array" aca="1" ref="U2365" ca="1">+IF(COMPROMISOS_2025[[#This Row],[P]]="20","41080111",_xlfn.XLOOKUP(COMPROMISOS_2025[[#This Row],[concatenado]],PAA[[#All],[RCP-RUBRO]],PAA[[#All],[INDICADOR]],"",0))</f>
        <v>#NAME?</v>
      </c>
      <c r="V2365" s="144" t="str">
        <f t="shared" si="73"/>
        <v>85</v>
      </c>
      <c r="W2365" s="136">
        <f>+COMPROMISOS_2025[[#This Row],[valor_total]]-COMPROMISOS_2025[[#This Row],[total_cancelado]]</f>
        <v>1423500</v>
      </c>
      <c r="X2365" s="136">
        <f>COMPROMISOS_2025[[#This Row],[total_ordenes]]</f>
        <v>1423500</v>
      </c>
      <c r="Y2365" t="str" cm="1">
        <f t="array" aca="1" ref="Y2365" ca="1">IFERROR(_xlfn.XLOOKUP(COMPROMISOS_2025[[#This Row],[concatenado]],PAA[[#All],[RCP-RUBRO]],PAA[[#All],[Actividad3]],VLOOKUP(COMPROMISOS_2025[[#This Row],[Indicador Principal]],$AC$2:$AD$17,2,0),0),"")</f>
        <v/>
      </c>
    </row>
    <row r="2366" spans="1:25" hidden="1" x14ac:dyDescent="0.25">
      <c r="A2366">
        <v>1880</v>
      </c>
      <c r="B2366" t="s">
        <v>2491</v>
      </c>
      <c r="C2366" t="s">
        <v>1936</v>
      </c>
      <c r="D2366" t="s">
        <v>4182</v>
      </c>
      <c r="F2366">
        <v>406</v>
      </c>
      <c r="G2366">
        <v>65</v>
      </c>
      <c r="H2366" t="s">
        <v>662</v>
      </c>
      <c r="I2366" t="s">
        <v>2271</v>
      </c>
      <c r="J2366">
        <v>2847000</v>
      </c>
      <c r="K2366">
        <v>2025</v>
      </c>
      <c r="L2366">
        <v>1077427445</v>
      </c>
      <c r="M2366" t="s">
        <v>4179</v>
      </c>
      <c r="N2366" t="s">
        <v>1688</v>
      </c>
      <c r="O2366" t="s">
        <v>1686</v>
      </c>
      <c r="P2366">
        <v>0</v>
      </c>
      <c r="Q2366">
        <v>2847000</v>
      </c>
      <c r="R2366">
        <v>0</v>
      </c>
      <c r="S2366">
        <v>0</v>
      </c>
      <c r="T2366" t="str">
        <f t="shared" si="72"/>
        <v>18802.43.4302.85.0-205128.2.3.3.08.06.</v>
      </c>
      <c r="U2366" t="e" cm="1">
        <f t="array" aca="1" ref="U2366" ca="1">+IF(COMPROMISOS_2025[[#This Row],[P]]="20","41080111",_xlfn.XLOOKUP(COMPROMISOS_2025[[#This Row],[concatenado]],PAA[[#All],[RCP-RUBRO]],PAA[[#All],[INDICADOR]],"",0))</f>
        <v>#NAME?</v>
      </c>
      <c r="V2366" s="144" t="str">
        <f t="shared" si="73"/>
        <v>85</v>
      </c>
      <c r="W2366" s="136">
        <f>+COMPROMISOS_2025[[#This Row],[valor_total]]-COMPROMISOS_2025[[#This Row],[total_cancelado]]</f>
        <v>2847000</v>
      </c>
      <c r="X2366" s="136">
        <f>COMPROMISOS_2025[[#This Row],[total_ordenes]]</f>
        <v>2847000</v>
      </c>
      <c r="Y2366" t="str" cm="1">
        <f t="array" aca="1" ref="Y2366" ca="1">IFERROR(_xlfn.XLOOKUP(COMPROMISOS_2025[[#This Row],[concatenado]],PAA[[#All],[RCP-RUBRO]],PAA[[#All],[Actividad3]],VLOOKUP(COMPROMISOS_2025[[#This Row],[Indicador Principal]],$AC$2:$AD$17,2,0),0),"")</f>
        <v/>
      </c>
    </row>
    <row r="2367" spans="1:25" hidden="1" x14ac:dyDescent="0.25">
      <c r="A2367">
        <v>1881</v>
      </c>
      <c r="B2367" t="s">
        <v>2491</v>
      </c>
      <c r="C2367" t="s">
        <v>1936</v>
      </c>
      <c r="D2367" t="s">
        <v>4182</v>
      </c>
      <c r="F2367">
        <v>406</v>
      </c>
      <c r="G2367">
        <v>65</v>
      </c>
      <c r="H2367" t="s">
        <v>662</v>
      </c>
      <c r="I2367" t="s">
        <v>2271</v>
      </c>
      <c r="J2367">
        <v>1423500</v>
      </c>
      <c r="K2367">
        <v>2025</v>
      </c>
      <c r="L2367">
        <v>1077437321</v>
      </c>
      <c r="M2367" t="s">
        <v>4121</v>
      </c>
      <c r="N2367" t="s">
        <v>1688</v>
      </c>
      <c r="O2367" t="s">
        <v>1686</v>
      </c>
      <c r="P2367">
        <v>0</v>
      </c>
      <c r="Q2367">
        <v>1423500</v>
      </c>
      <c r="R2367">
        <v>0</v>
      </c>
      <c r="S2367">
        <v>0</v>
      </c>
      <c r="T2367" t="str">
        <f t="shared" si="72"/>
        <v>18812.43.4302.85.0-205128.2.3.3.08.06.</v>
      </c>
      <c r="U2367" t="e" cm="1">
        <f t="array" aca="1" ref="U2367" ca="1">+IF(COMPROMISOS_2025[[#This Row],[P]]="20","41080111",_xlfn.XLOOKUP(COMPROMISOS_2025[[#This Row],[concatenado]],PAA[[#All],[RCP-RUBRO]],PAA[[#All],[INDICADOR]],"",0))</f>
        <v>#NAME?</v>
      </c>
      <c r="V2367" s="144" t="str">
        <f t="shared" si="73"/>
        <v>85</v>
      </c>
      <c r="W2367" s="136">
        <f>+COMPROMISOS_2025[[#This Row],[valor_total]]-COMPROMISOS_2025[[#This Row],[total_cancelado]]</f>
        <v>1423500</v>
      </c>
      <c r="X2367" s="136">
        <f>COMPROMISOS_2025[[#This Row],[total_ordenes]]</f>
        <v>1423500</v>
      </c>
      <c r="Y2367" t="str" cm="1">
        <f t="array" aca="1" ref="Y2367" ca="1">IFERROR(_xlfn.XLOOKUP(COMPROMISOS_2025[[#This Row],[concatenado]],PAA[[#All],[RCP-RUBRO]],PAA[[#All],[Actividad3]],VLOOKUP(COMPROMISOS_2025[[#This Row],[Indicador Principal]],$AC$2:$AD$17,2,0),0),"")</f>
        <v/>
      </c>
    </row>
    <row r="2368" spans="1:25" hidden="1" x14ac:dyDescent="0.25">
      <c r="A2368">
        <v>1882</v>
      </c>
      <c r="B2368" t="s">
        <v>2491</v>
      </c>
      <c r="C2368" t="s">
        <v>1936</v>
      </c>
      <c r="D2368" t="s">
        <v>4182</v>
      </c>
      <c r="F2368">
        <v>406</v>
      </c>
      <c r="G2368">
        <v>65</v>
      </c>
      <c r="H2368" t="s">
        <v>662</v>
      </c>
      <c r="I2368" t="s">
        <v>2271</v>
      </c>
      <c r="J2368">
        <v>711750</v>
      </c>
      <c r="K2368">
        <v>2025</v>
      </c>
      <c r="L2368">
        <v>1077438357</v>
      </c>
      <c r="M2368" t="s">
        <v>3857</v>
      </c>
      <c r="N2368" t="s">
        <v>1688</v>
      </c>
      <c r="O2368" t="s">
        <v>1686</v>
      </c>
      <c r="P2368">
        <v>0</v>
      </c>
      <c r="Q2368">
        <v>711750</v>
      </c>
      <c r="R2368">
        <v>0</v>
      </c>
      <c r="S2368">
        <v>0</v>
      </c>
      <c r="T2368" t="str">
        <f t="shared" si="72"/>
        <v>18822.43.4302.85.0-205128.2.3.3.08.06.</v>
      </c>
      <c r="U2368" t="e" cm="1">
        <f t="array" aca="1" ref="U2368" ca="1">+IF(COMPROMISOS_2025[[#This Row],[P]]="20","41080111",_xlfn.XLOOKUP(COMPROMISOS_2025[[#This Row],[concatenado]],PAA[[#All],[RCP-RUBRO]],PAA[[#All],[INDICADOR]],"",0))</f>
        <v>#NAME?</v>
      </c>
      <c r="V2368" s="144" t="str">
        <f t="shared" si="73"/>
        <v>85</v>
      </c>
      <c r="W2368" s="136">
        <f>+COMPROMISOS_2025[[#This Row],[valor_total]]-COMPROMISOS_2025[[#This Row],[total_cancelado]]</f>
        <v>711750</v>
      </c>
      <c r="X2368" s="136">
        <f>COMPROMISOS_2025[[#This Row],[total_ordenes]]</f>
        <v>711750</v>
      </c>
      <c r="Y2368" t="str" cm="1">
        <f t="array" aca="1" ref="Y2368" ca="1">IFERROR(_xlfn.XLOOKUP(COMPROMISOS_2025[[#This Row],[concatenado]],PAA[[#All],[RCP-RUBRO]],PAA[[#All],[Actividad3]],VLOOKUP(COMPROMISOS_2025[[#This Row],[Indicador Principal]],$AC$2:$AD$17,2,0),0),"")</f>
        <v/>
      </c>
    </row>
    <row r="2369" spans="1:25" hidden="1" x14ac:dyDescent="0.25">
      <c r="A2369">
        <v>1883</v>
      </c>
      <c r="B2369" t="s">
        <v>2491</v>
      </c>
      <c r="C2369" t="s">
        <v>1936</v>
      </c>
      <c r="D2369" t="s">
        <v>4182</v>
      </c>
      <c r="F2369">
        <v>406</v>
      </c>
      <c r="G2369">
        <v>65</v>
      </c>
      <c r="H2369" t="s">
        <v>662</v>
      </c>
      <c r="I2369" t="s">
        <v>2271</v>
      </c>
      <c r="J2369">
        <v>1423500</v>
      </c>
      <c r="K2369">
        <v>2025</v>
      </c>
      <c r="L2369">
        <v>1077459205</v>
      </c>
      <c r="M2369" t="s">
        <v>4424</v>
      </c>
      <c r="N2369" t="s">
        <v>1688</v>
      </c>
      <c r="O2369" t="s">
        <v>1686</v>
      </c>
      <c r="P2369">
        <v>0</v>
      </c>
      <c r="Q2369">
        <v>1423500</v>
      </c>
      <c r="R2369">
        <v>0</v>
      </c>
      <c r="S2369">
        <v>0</v>
      </c>
      <c r="T2369" t="str">
        <f t="shared" si="72"/>
        <v>18832.43.4302.85.0-205128.2.3.3.08.06.</v>
      </c>
      <c r="U2369" t="e" cm="1">
        <f t="array" aca="1" ref="U2369" ca="1">+IF(COMPROMISOS_2025[[#This Row],[P]]="20","41080111",_xlfn.XLOOKUP(COMPROMISOS_2025[[#This Row],[concatenado]],PAA[[#All],[RCP-RUBRO]],PAA[[#All],[INDICADOR]],"",0))</f>
        <v>#NAME?</v>
      </c>
      <c r="V2369" s="144" t="str">
        <f t="shared" si="73"/>
        <v>85</v>
      </c>
      <c r="W2369" s="136">
        <f>+COMPROMISOS_2025[[#This Row],[valor_total]]-COMPROMISOS_2025[[#This Row],[total_cancelado]]</f>
        <v>1423500</v>
      </c>
      <c r="X2369" s="136">
        <f>COMPROMISOS_2025[[#This Row],[total_ordenes]]</f>
        <v>1423500</v>
      </c>
      <c r="Y2369" t="str" cm="1">
        <f t="array" aca="1" ref="Y2369" ca="1">IFERROR(_xlfn.XLOOKUP(COMPROMISOS_2025[[#This Row],[concatenado]],PAA[[#All],[RCP-RUBRO]],PAA[[#All],[Actividad3]],VLOOKUP(COMPROMISOS_2025[[#This Row],[Indicador Principal]],$AC$2:$AD$17,2,0),0),"")</f>
        <v/>
      </c>
    </row>
    <row r="2370" spans="1:25" hidden="1" x14ac:dyDescent="0.25">
      <c r="A2370">
        <v>1884</v>
      </c>
      <c r="B2370" t="s">
        <v>2491</v>
      </c>
      <c r="C2370" t="s">
        <v>1936</v>
      </c>
      <c r="D2370" t="s">
        <v>4182</v>
      </c>
      <c r="F2370">
        <v>406</v>
      </c>
      <c r="G2370">
        <v>65</v>
      </c>
      <c r="H2370" t="s">
        <v>662</v>
      </c>
      <c r="I2370" t="s">
        <v>2271</v>
      </c>
      <c r="J2370">
        <v>1423500</v>
      </c>
      <c r="K2370">
        <v>2025</v>
      </c>
      <c r="L2370">
        <v>1077721749</v>
      </c>
      <c r="M2370" t="s">
        <v>4122</v>
      </c>
      <c r="N2370" t="s">
        <v>1688</v>
      </c>
      <c r="O2370" t="s">
        <v>1686</v>
      </c>
      <c r="P2370">
        <v>0</v>
      </c>
      <c r="Q2370">
        <v>1423500</v>
      </c>
      <c r="R2370">
        <v>0</v>
      </c>
      <c r="S2370">
        <v>0</v>
      </c>
      <c r="T2370" t="str">
        <f t="shared" ref="T2370:T2433" si="74">IF(A2370&gt;=0,CONCATENATE(A2370,H2370),"")</f>
        <v>18842.43.4302.85.0-205128.2.3.3.08.06.</v>
      </c>
      <c r="U2370" t="e" cm="1">
        <f t="array" aca="1" ref="U2370" ca="1">+IF(COMPROMISOS_2025[[#This Row],[P]]="20","41080111",_xlfn.XLOOKUP(COMPROMISOS_2025[[#This Row],[concatenado]],PAA[[#All],[RCP-RUBRO]],PAA[[#All],[INDICADOR]],"",0))</f>
        <v>#NAME?</v>
      </c>
      <c r="V2370" s="144" t="str">
        <f t="shared" ref="V2370:V2433" si="75">+MID(H2370,11,2)</f>
        <v>85</v>
      </c>
      <c r="W2370" s="136">
        <f>+COMPROMISOS_2025[[#This Row],[valor_total]]-COMPROMISOS_2025[[#This Row],[total_cancelado]]</f>
        <v>1423500</v>
      </c>
      <c r="X2370" s="136">
        <f>COMPROMISOS_2025[[#This Row],[total_ordenes]]</f>
        <v>1423500</v>
      </c>
      <c r="Y2370" t="str" cm="1">
        <f t="array" aca="1" ref="Y2370" ca="1">IFERROR(_xlfn.XLOOKUP(COMPROMISOS_2025[[#This Row],[concatenado]],PAA[[#All],[RCP-RUBRO]],PAA[[#All],[Actividad3]],VLOOKUP(COMPROMISOS_2025[[#This Row],[Indicador Principal]],$AC$2:$AD$17,2,0),0),"")</f>
        <v/>
      </c>
    </row>
    <row r="2371" spans="1:25" hidden="1" x14ac:dyDescent="0.25">
      <c r="A2371">
        <v>1885</v>
      </c>
      <c r="B2371" t="s">
        <v>2491</v>
      </c>
      <c r="C2371" t="s">
        <v>1936</v>
      </c>
      <c r="D2371" t="s">
        <v>4182</v>
      </c>
      <c r="F2371">
        <v>406</v>
      </c>
      <c r="G2371">
        <v>65</v>
      </c>
      <c r="H2371" t="s">
        <v>662</v>
      </c>
      <c r="I2371" t="s">
        <v>2271</v>
      </c>
      <c r="J2371">
        <v>711750</v>
      </c>
      <c r="K2371">
        <v>2025</v>
      </c>
      <c r="L2371">
        <v>1077998660</v>
      </c>
      <c r="M2371" t="s">
        <v>4425</v>
      </c>
      <c r="N2371" t="s">
        <v>1688</v>
      </c>
      <c r="O2371" t="s">
        <v>1686</v>
      </c>
      <c r="P2371">
        <v>0</v>
      </c>
      <c r="Q2371">
        <v>711750</v>
      </c>
      <c r="R2371">
        <v>0</v>
      </c>
      <c r="S2371">
        <v>0</v>
      </c>
      <c r="T2371" t="str">
        <f t="shared" si="74"/>
        <v>18852.43.4302.85.0-205128.2.3.3.08.06.</v>
      </c>
      <c r="U2371" t="e" cm="1">
        <f t="array" aca="1" ref="U2371" ca="1">+IF(COMPROMISOS_2025[[#This Row],[P]]="20","41080111",_xlfn.XLOOKUP(COMPROMISOS_2025[[#This Row],[concatenado]],PAA[[#All],[RCP-RUBRO]],PAA[[#All],[INDICADOR]],"",0))</f>
        <v>#NAME?</v>
      </c>
      <c r="V2371" s="144" t="str">
        <f t="shared" si="75"/>
        <v>85</v>
      </c>
      <c r="W2371" s="136">
        <f>+COMPROMISOS_2025[[#This Row],[valor_total]]-COMPROMISOS_2025[[#This Row],[total_cancelado]]</f>
        <v>711750</v>
      </c>
      <c r="X2371" s="136">
        <f>COMPROMISOS_2025[[#This Row],[total_ordenes]]</f>
        <v>711750</v>
      </c>
      <c r="Y2371" t="str" cm="1">
        <f t="array" aca="1" ref="Y2371" ca="1">IFERROR(_xlfn.XLOOKUP(COMPROMISOS_2025[[#This Row],[concatenado]],PAA[[#All],[RCP-RUBRO]],PAA[[#All],[Actividad3]],VLOOKUP(COMPROMISOS_2025[[#This Row],[Indicador Principal]],$AC$2:$AD$17,2,0),0),"")</f>
        <v/>
      </c>
    </row>
    <row r="2372" spans="1:25" hidden="1" x14ac:dyDescent="0.25">
      <c r="A2372">
        <v>1886</v>
      </c>
      <c r="B2372" t="s">
        <v>2491</v>
      </c>
      <c r="C2372" t="s">
        <v>1936</v>
      </c>
      <c r="D2372" t="s">
        <v>4182</v>
      </c>
      <c r="F2372">
        <v>406</v>
      </c>
      <c r="G2372">
        <v>65</v>
      </c>
      <c r="H2372" t="s">
        <v>662</v>
      </c>
      <c r="I2372" t="s">
        <v>2271</v>
      </c>
      <c r="J2372">
        <v>711750</v>
      </c>
      <c r="K2372">
        <v>2025</v>
      </c>
      <c r="L2372">
        <v>1077999141</v>
      </c>
      <c r="M2372" t="s">
        <v>3858</v>
      </c>
      <c r="N2372" t="s">
        <v>1688</v>
      </c>
      <c r="O2372" t="s">
        <v>1686</v>
      </c>
      <c r="P2372">
        <v>0</v>
      </c>
      <c r="Q2372">
        <v>711750</v>
      </c>
      <c r="R2372">
        <v>0</v>
      </c>
      <c r="S2372">
        <v>0</v>
      </c>
      <c r="T2372" t="str">
        <f t="shared" si="74"/>
        <v>18862.43.4302.85.0-205128.2.3.3.08.06.</v>
      </c>
      <c r="U2372" t="e" cm="1">
        <f t="array" aca="1" ref="U2372" ca="1">+IF(COMPROMISOS_2025[[#This Row],[P]]="20","41080111",_xlfn.XLOOKUP(COMPROMISOS_2025[[#This Row],[concatenado]],PAA[[#All],[RCP-RUBRO]],PAA[[#All],[INDICADOR]],"",0))</f>
        <v>#NAME?</v>
      </c>
      <c r="V2372" s="144" t="str">
        <f t="shared" si="75"/>
        <v>85</v>
      </c>
      <c r="W2372" s="136">
        <f>+COMPROMISOS_2025[[#This Row],[valor_total]]-COMPROMISOS_2025[[#This Row],[total_cancelado]]</f>
        <v>711750</v>
      </c>
      <c r="X2372" s="136">
        <f>COMPROMISOS_2025[[#This Row],[total_ordenes]]</f>
        <v>711750</v>
      </c>
      <c r="Y2372" t="str" cm="1">
        <f t="array" aca="1" ref="Y2372" ca="1">IFERROR(_xlfn.XLOOKUP(COMPROMISOS_2025[[#This Row],[concatenado]],PAA[[#All],[RCP-RUBRO]],PAA[[#All],[Actividad3]],VLOOKUP(COMPROMISOS_2025[[#This Row],[Indicador Principal]],$AC$2:$AD$17,2,0),0),"")</f>
        <v/>
      </c>
    </row>
    <row r="2373" spans="1:25" hidden="1" x14ac:dyDescent="0.25">
      <c r="A2373">
        <v>1887</v>
      </c>
      <c r="B2373" t="s">
        <v>2491</v>
      </c>
      <c r="C2373" t="s">
        <v>1936</v>
      </c>
      <c r="D2373" t="s">
        <v>4182</v>
      </c>
      <c r="F2373">
        <v>406</v>
      </c>
      <c r="G2373">
        <v>65</v>
      </c>
      <c r="H2373" t="s">
        <v>662</v>
      </c>
      <c r="I2373" t="s">
        <v>2271</v>
      </c>
      <c r="J2373">
        <v>711750</v>
      </c>
      <c r="K2373">
        <v>2025</v>
      </c>
      <c r="L2373">
        <v>1078014623</v>
      </c>
      <c r="M2373" t="s">
        <v>3859</v>
      </c>
      <c r="N2373" t="s">
        <v>1688</v>
      </c>
      <c r="O2373" t="s">
        <v>1686</v>
      </c>
      <c r="P2373">
        <v>0</v>
      </c>
      <c r="Q2373">
        <v>711750</v>
      </c>
      <c r="R2373">
        <v>0</v>
      </c>
      <c r="S2373">
        <v>0</v>
      </c>
      <c r="T2373" t="str">
        <f t="shared" si="74"/>
        <v>18872.43.4302.85.0-205128.2.3.3.08.06.</v>
      </c>
      <c r="U2373" t="e" cm="1">
        <f t="array" aca="1" ref="U2373" ca="1">+IF(COMPROMISOS_2025[[#This Row],[P]]="20","41080111",_xlfn.XLOOKUP(COMPROMISOS_2025[[#This Row],[concatenado]],PAA[[#All],[RCP-RUBRO]],PAA[[#All],[INDICADOR]],"",0))</f>
        <v>#NAME?</v>
      </c>
      <c r="V2373" s="144" t="str">
        <f t="shared" si="75"/>
        <v>85</v>
      </c>
      <c r="W2373" s="136">
        <f>+COMPROMISOS_2025[[#This Row],[valor_total]]-COMPROMISOS_2025[[#This Row],[total_cancelado]]</f>
        <v>711750</v>
      </c>
      <c r="X2373" s="136">
        <f>COMPROMISOS_2025[[#This Row],[total_ordenes]]</f>
        <v>711750</v>
      </c>
      <c r="Y2373" t="str" cm="1">
        <f t="array" aca="1" ref="Y2373" ca="1">IFERROR(_xlfn.XLOOKUP(COMPROMISOS_2025[[#This Row],[concatenado]],PAA[[#All],[RCP-RUBRO]],PAA[[#All],[Actividad3]],VLOOKUP(COMPROMISOS_2025[[#This Row],[Indicador Principal]],$AC$2:$AD$17,2,0),0),"")</f>
        <v/>
      </c>
    </row>
    <row r="2374" spans="1:25" hidden="1" x14ac:dyDescent="0.25">
      <c r="A2374">
        <v>1888</v>
      </c>
      <c r="B2374" t="s">
        <v>2491</v>
      </c>
      <c r="C2374" t="s">
        <v>1936</v>
      </c>
      <c r="D2374" t="s">
        <v>4182</v>
      </c>
      <c r="F2374">
        <v>406</v>
      </c>
      <c r="G2374">
        <v>65</v>
      </c>
      <c r="H2374" t="s">
        <v>662</v>
      </c>
      <c r="I2374" t="s">
        <v>2271</v>
      </c>
      <c r="J2374">
        <v>1067625</v>
      </c>
      <c r="K2374">
        <v>2025</v>
      </c>
      <c r="L2374">
        <v>1078576614</v>
      </c>
      <c r="M2374" t="s">
        <v>4123</v>
      </c>
      <c r="N2374" t="s">
        <v>1688</v>
      </c>
      <c r="O2374" t="s">
        <v>1686</v>
      </c>
      <c r="P2374">
        <v>0</v>
      </c>
      <c r="Q2374">
        <v>1067625</v>
      </c>
      <c r="R2374">
        <v>0</v>
      </c>
      <c r="S2374">
        <v>0</v>
      </c>
      <c r="T2374" t="str">
        <f t="shared" si="74"/>
        <v>18882.43.4302.85.0-205128.2.3.3.08.06.</v>
      </c>
      <c r="U2374" t="e" cm="1">
        <f t="array" aca="1" ref="U2374" ca="1">+IF(COMPROMISOS_2025[[#This Row],[P]]="20","41080111",_xlfn.XLOOKUP(COMPROMISOS_2025[[#This Row],[concatenado]],PAA[[#All],[RCP-RUBRO]],PAA[[#All],[INDICADOR]],"",0))</f>
        <v>#NAME?</v>
      </c>
      <c r="V2374" s="144" t="str">
        <f t="shared" si="75"/>
        <v>85</v>
      </c>
      <c r="W2374" s="136">
        <f>+COMPROMISOS_2025[[#This Row],[valor_total]]-COMPROMISOS_2025[[#This Row],[total_cancelado]]</f>
        <v>1067625</v>
      </c>
      <c r="X2374" s="136">
        <f>COMPROMISOS_2025[[#This Row],[total_ordenes]]</f>
        <v>1067625</v>
      </c>
      <c r="Y2374" t="str" cm="1">
        <f t="array" aca="1" ref="Y2374" ca="1">IFERROR(_xlfn.XLOOKUP(COMPROMISOS_2025[[#This Row],[concatenado]],PAA[[#All],[RCP-RUBRO]],PAA[[#All],[Actividad3]],VLOOKUP(COMPROMISOS_2025[[#This Row],[Indicador Principal]],$AC$2:$AD$17,2,0),0),"")</f>
        <v/>
      </c>
    </row>
    <row r="2375" spans="1:25" hidden="1" x14ac:dyDescent="0.25">
      <c r="A2375">
        <v>1889</v>
      </c>
      <c r="B2375" t="s">
        <v>2491</v>
      </c>
      <c r="C2375" t="s">
        <v>1936</v>
      </c>
      <c r="D2375" t="s">
        <v>4182</v>
      </c>
      <c r="F2375">
        <v>406</v>
      </c>
      <c r="G2375">
        <v>65</v>
      </c>
      <c r="H2375" t="s">
        <v>662</v>
      </c>
      <c r="I2375" t="s">
        <v>2271</v>
      </c>
      <c r="J2375">
        <v>1067625</v>
      </c>
      <c r="K2375">
        <v>2025</v>
      </c>
      <c r="L2375">
        <v>1078581228</v>
      </c>
      <c r="M2375" t="s">
        <v>4426</v>
      </c>
      <c r="N2375" t="s">
        <v>1688</v>
      </c>
      <c r="O2375" t="s">
        <v>1686</v>
      </c>
      <c r="P2375">
        <v>0</v>
      </c>
      <c r="Q2375">
        <v>1067625</v>
      </c>
      <c r="R2375">
        <v>0</v>
      </c>
      <c r="S2375">
        <v>0</v>
      </c>
      <c r="T2375" t="str">
        <f t="shared" si="74"/>
        <v>18892.43.4302.85.0-205128.2.3.3.08.06.</v>
      </c>
      <c r="U2375" t="e" cm="1">
        <f t="array" aca="1" ref="U2375" ca="1">+IF(COMPROMISOS_2025[[#This Row],[P]]="20","41080111",_xlfn.XLOOKUP(COMPROMISOS_2025[[#This Row],[concatenado]],PAA[[#All],[RCP-RUBRO]],PAA[[#All],[INDICADOR]],"",0))</f>
        <v>#NAME?</v>
      </c>
      <c r="V2375" s="144" t="str">
        <f t="shared" si="75"/>
        <v>85</v>
      </c>
      <c r="W2375" s="136">
        <f>+COMPROMISOS_2025[[#This Row],[valor_total]]-COMPROMISOS_2025[[#This Row],[total_cancelado]]</f>
        <v>1067625</v>
      </c>
      <c r="X2375" s="136">
        <f>COMPROMISOS_2025[[#This Row],[total_ordenes]]</f>
        <v>1067625</v>
      </c>
      <c r="Y2375" t="str" cm="1">
        <f t="array" aca="1" ref="Y2375" ca="1">IFERROR(_xlfn.XLOOKUP(COMPROMISOS_2025[[#This Row],[concatenado]],PAA[[#All],[RCP-RUBRO]],PAA[[#All],[Actividad3]],VLOOKUP(COMPROMISOS_2025[[#This Row],[Indicador Principal]],$AC$2:$AD$17,2,0),0),"")</f>
        <v/>
      </c>
    </row>
    <row r="2376" spans="1:25" hidden="1" x14ac:dyDescent="0.25">
      <c r="A2376">
        <v>1890</v>
      </c>
      <c r="B2376" t="s">
        <v>2491</v>
      </c>
      <c r="C2376" t="s">
        <v>1936</v>
      </c>
      <c r="D2376" t="s">
        <v>4182</v>
      </c>
      <c r="F2376">
        <v>406</v>
      </c>
      <c r="G2376">
        <v>65</v>
      </c>
      <c r="H2376" t="s">
        <v>662</v>
      </c>
      <c r="I2376" t="s">
        <v>2271</v>
      </c>
      <c r="J2376">
        <v>1423500</v>
      </c>
      <c r="K2376">
        <v>2025</v>
      </c>
      <c r="L2376">
        <v>1079290073</v>
      </c>
      <c r="M2376" t="s">
        <v>3860</v>
      </c>
      <c r="N2376" t="s">
        <v>1688</v>
      </c>
      <c r="O2376" t="s">
        <v>1686</v>
      </c>
      <c r="P2376">
        <v>0</v>
      </c>
      <c r="Q2376">
        <v>1423500</v>
      </c>
      <c r="R2376">
        <v>0</v>
      </c>
      <c r="S2376">
        <v>0</v>
      </c>
      <c r="T2376" t="str">
        <f t="shared" si="74"/>
        <v>18902.43.4302.85.0-205128.2.3.3.08.06.</v>
      </c>
      <c r="U2376" t="e" cm="1">
        <f t="array" aca="1" ref="U2376" ca="1">+IF(COMPROMISOS_2025[[#This Row],[P]]="20","41080111",_xlfn.XLOOKUP(COMPROMISOS_2025[[#This Row],[concatenado]],PAA[[#All],[RCP-RUBRO]],PAA[[#All],[INDICADOR]],"",0))</f>
        <v>#NAME?</v>
      </c>
      <c r="V2376" s="144" t="str">
        <f t="shared" si="75"/>
        <v>85</v>
      </c>
      <c r="W2376" s="136">
        <f>+COMPROMISOS_2025[[#This Row],[valor_total]]-COMPROMISOS_2025[[#This Row],[total_cancelado]]</f>
        <v>1423500</v>
      </c>
      <c r="X2376" s="136">
        <f>COMPROMISOS_2025[[#This Row],[total_ordenes]]</f>
        <v>1423500</v>
      </c>
      <c r="Y2376" t="str" cm="1">
        <f t="array" aca="1" ref="Y2376" ca="1">IFERROR(_xlfn.XLOOKUP(COMPROMISOS_2025[[#This Row],[concatenado]],PAA[[#All],[RCP-RUBRO]],PAA[[#All],[Actividad3]],VLOOKUP(COMPROMISOS_2025[[#This Row],[Indicador Principal]],$AC$2:$AD$17,2,0),0),"")</f>
        <v/>
      </c>
    </row>
    <row r="2377" spans="1:25" hidden="1" x14ac:dyDescent="0.25">
      <c r="A2377">
        <v>1891</v>
      </c>
      <c r="B2377" t="s">
        <v>2491</v>
      </c>
      <c r="C2377" t="s">
        <v>1936</v>
      </c>
      <c r="D2377" t="s">
        <v>4182</v>
      </c>
      <c r="F2377">
        <v>406</v>
      </c>
      <c r="G2377">
        <v>65</v>
      </c>
      <c r="H2377" t="s">
        <v>662</v>
      </c>
      <c r="I2377" t="s">
        <v>2271</v>
      </c>
      <c r="J2377">
        <v>711750</v>
      </c>
      <c r="K2377">
        <v>2025</v>
      </c>
      <c r="L2377">
        <v>1081056597</v>
      </c>
      <c r="M2377" t="s">
        <v>3861</v>
      </c>
      <c r="N2377" t="s">
        <v>1688</v>
      </c>
      <c r="O2377" t="s">
        <v>1686</v>
      </c>
      <c r="P2377">
        <v>0</v>
      </c>
      <c r="Q2377">
        <v>711750</v>
      </c>
      <c r="R2377">
        <v>0</v>
      </c>
      <c r="S2377">
        <v>0</v>
      </c>
      <c r="T2377" t="str">
        <f t="shared" si="74"/>
        <v>18912.43.4302.85.0-205128.2.3.3.08.06.</v>
      </c>
      <c r="U2377" t="e" cm="1">
        <f t="array" aca="1" ref="U2377" ca="1">+IF(COMPROMISOS_2025[[#This Row],[P]]="20","41080111",_xlfn.XLOOKUP(COMPROMISOS_2025[[#This Row],[concatenado]],PAA[[#All],[RCP-RUBRO]],PAA[[#All],[INDICADOR]],"",0))</f>
        <v>#NAME?</v>
      </c>
      <c r="V2377" s="144" t="str">
        <f t="shared" si="75"/>
        <v>85</v>
      </c>
      <c r="W2377" s="136">
        <f>+COMPROMISOS_2025[[#This Row],[valor_total]]-COMPROMISOS_2025[[#This Row],[total_cancelado]]</f>
        <v>711750</v>
      </c>
      <c r="X2377" s="136">
        <f>COMPROMISOS_2025[[#This Row],[total_ordenes]]</f>
        <v>711750</v>
      </c>
      <c r="Y2377" t="str" cm="1">
        <f t="array" aca="1" ref="Y2377" ca="1">IFERROR(_xlfn.XLOOKUP(COMPROMISOS_2025[[#This Row],[concatenado]],PAA[[#All],[RCP-RUBRO]],PAA[[#All],[Actividad3]],VLOOKUP(COMPROMISOS_2025[[#This Row],[Indicador Principal]],$AC$2:$AD$17,2,0),0),"")</f>
        <v/>
      </c>
    </row>
    <row r="2378" spans="1:25" hidden="1" x14ac:dyDescent="0.25">
      <c r="A2378">
        <v>1892</v>
      </c>
      <c r="B2378" t="s">
        <v>2491</v>
      </c>
      <c r="C2378" t="s">
        <v>1936</v>
      </c>
      <c r="D2378" t="s">
        <v>4182</v>
      </c>
      <c r="F2378">
        <v>406</v>
      </c>
      <c r="G2378">
        <v>65</v>
      </c>
      <c r="H2378" t="s">
        <v>662</v>
      </c>
      <c r="I2378" t="s">
        <v>2271</v>
      </c>
      <c r="J2378">
        <v>1423500</v>
      </c>
      <c r="K2378">
        <v>2025</v>
      </c>
      <c r="L2378">
        <v>1085042986</v>
      </c>
      <c r="M2378" t="s">
        <v>4427</v>
      </c>
      <c r="N2378" t="s">
        <v>1688</v>
      </c>
      <c r="O2378" t="s">
        <v>1686</v>
      </c>
      <c r="P2378">
        <v>0</v>
      </c>
      <c r="Q2378">
        <v>1423500</v>
      </c>
      <c r="R2378">
        <v>0</v>
      </c>
      <c r="S2378">
        <v>0</v>
      </c>
      <c r="T2378" t="str">
        <f t="shared" si="74"/>
        <v>18922.43.4302.85.0-205128.2.3.3.08.06.</v>
      </c>
      <c r="U2378" t="e" cm="1">
        <f t="array" aca="1" ref="U2378" ca="1">+IF(COMPROMISOS_2025[[#This Row],[P]]="20","41080111",_xlfn.XLOOKUP(COMPROMISOS_2025[[#This Row],[concatenado]],PAA[[#All],[RCP-RUBRO]],PAA[[#All],[INDICADOR]],"",0))</f>
        <v>#NAME?</v>
      </c>
      <c r="V2378" s="144" t="str">
        <f t="shared" si="75"/>
        <v>85</v>
      </c>
      <c r="W2378" s="136">
        <f>+COMPROMISOS_2025[[#This Row],[valor_total]]-COMPROMISOS_2025[[#This Row],[total_cancelado]]</f>
        <v>1423500</v>
      </c>
      <c r="X2378" s="136">
        <f>COMPROMISOS_2025[[#This Row],[total_ordenes]]</f>
        <v>1423500</v>
      </c>
      <c r="Y2378" t="str" cm="1">
        <f t="array" aca="1" ref="Y2378" ca="1">IFERROR(_xlfn.XLOOKUP(COMPROMISOS_2025[[#This Row],[concatenado]],PAA[[#All],[RCP-RUBRO]],PAA[[#All],[Actividad3]],VLOOKUP(COMPROMISOS_2025[[#This Row],[Indicador Principal]],$AC$2:$AD$17,2,0),0),"")</f>
        <v/>
      </c>
    </row>
    <row r="2379" spans="1:25" hidden="1" x14ac:dyDescent="0.25">
      <c r="A2379">
        <v>1893</v>
      </c>
      <c r="B2379" t="s">
        <v>2491</v>
      </c>
      <c r="C2379" t="s">
        <v>1936</v>
      </c>
      <c r="D2379" t="s">
        <v>4182</v>
      </c>
      <c r="F2379">
        <v>406</v>
      </c>
      <c r="G2379">
        <v>65</v>
      </c>
      <c r="H2379" t="s">
        <v>662</v>
      </c>
      <c r="I2379" t="s">
        <v>2271</v>
      </c>
      <c r="J2379">
        <v>711750</v>
      </c>
      <c r="K2379">
        <v>2025</v>
      </c>
      <c r="L2379">
        <v>1088297953</v>
      </c>
      <c r="M2379" t="s">
        <v>4428</v>
      </c>
      <c r="N2379" t="s">
        <v>1688</v>
      </c>
      <c r="O2379" t="s">
        <v>1686</v>
      </c>
      <c r="P2379">
        <v>0</v>
      </c>
      <c r="Q2379">
        <v>711750</v>
      </c>
      <c r="R2379">
        <v>0</v>
      </c>
      <c r="S2379">
        <v>0</v>
      </c>
      <c r="T2379" t="str">
        <f t="shared" si="74"/>
        <v>18932.43.4302.85.0-205128.2.3.3.08.06.</v>
      </c>
      <c r="U2379" t="e" cm="1">
        <f t="array" aca="1" ref="U2379" ca="1">+IF(COMPROMISOS_2025[[#This Row],[P]]="20","41080111",_xlfn.XLOOKUP(COMPROMISOS_2025[[#This Row],[concatenado]],PAA[[#All],[RCP-RUBRO]],PAA[[#All],[INDICADOR]],"",0))</f>
        <v>#NAME?</v>
      </c>
      <c r="V2379" s="144" t="str">
        <f t="shared" si="75"/>
        <v>85</v>
      </c>
      <c r="W2379" s="136">
        <f>+COMPROMISOS_2025[[#This Row],[valor_total]]-COMPROMISOS_2025[[#This Row],[total_cancelado]]</f>
        <v>711750</v>
      </c>
      <c r="X2379" s="136">
        <f>COMPROMISOS_2025[[#This Row],[total_ordenes]]</f>
        <v>711750</v>
      </c>
      <c r="Y2379" t="str" cm="1">
        <f t="array" aca="1" ref="Y2379" ca="1">IFERROR(_xlfn.XLOOKUP(COMPROMISOS_2025[[#This Row],[concatenado]],PAA[[#All],[RCP-RUBRO]],PAA[[#All],[Actividad3]],VLOOKUP(COMPROMISOS_2025[[#This Row],[Indicador Principal]],$AC$2:$AD$17,2,0),0),"")</f>
        <v/>
      </c>
    </row>
    <row r="2380" spans="1:25" hidden="1" x14ac:dyDescent="0.25">
      <c r="A2380">
        <v>1894</v>
      </c>
      <c r="B2380" t="s">
        <v>2491</v>
      </c>
      <c r="C2380" t="s">
        <v>1936</v>
      </c>
      <c r="D2380" t="s">
        <v>4182</v>
      </c>
      <c r="F2380">
        <v>406</v>
      </c>
      <c r="G2380">
        <v>65</v>
      </c>
      <c r="H2380" t="s">
        <v>662</v>
      </c>
      <c r="I2380" t="s">
        <v>2271</v>
      </c>
      <c r="J2380">
        <v>2847000</v>
      </c>
      <c r="K2380">
        <v>2025</v>
      </c>
      <c r="L2380">
        <v>1088318816</v>
      </c>
      <c r="M2380" t="s">
        <v>4429</v>
      </c>
      <c r="N2380" t="s">
        <v>1688</v>
      </c>
      <c r="O2380" t="s">
        <v>1686</v>
      </c>
      <c r="P2380">
        <v>0</v>
      </c>
      <c r="Q2380">
        <v>2847000</v>
      </c>
      <c r="R2380">
        <v>0</v>
      </c>
      <c r="S2380">
        <v>0</v>
      </c>
      <c r="T2380" t="str">
        <f t="shared" si="74"/>
        <v>18942.43.4302.85.0-205128.2.3.3.08.06.</v>
      </c>
      <c r="U2380" t="e" cm="1">
        <f t="array" aca="1" ref="U2380" ca="1">+IF(COMPROMISOS_2025[[#This Row],[P]]="20","41080111",_xlfn.XLOOKUP(COMPROMISOS_2025[[#This Row],[concatenado]],PAA[[#All],[RCP-RUBRO]],PAA[[#All],[INDICADOR]],"",0))</f>
        <v>#NAME?</v>
      </c>
      <c r="V2380" s="144" t="str">
        <f t="shared" si="75"/>
        <v>85</v>
      </c>
      <c r="W2380" s="136">
        <f>+COMPROMISOS_2025[[#This Row],[valor_total]]-COMPROMISOS_2025[[#This Row],[total_cancelado]]</f>
        <v>2847000</v>
      </c>
      <c r="X2380" s="136">
        <f>COMPROMISOS_2025[[#This Row],[total_ordenes]]</f>
        <v>2847000</v>
      </c>
      <c r="Y2380" t="str" cm="1">
        <f t="array" aca="1" ref="Y2380" ca="1">IFERROR(_xlfn.XLOOKUP(COMPROMISOS_2025[[#This Row],[concatenado]],PAA[[#All],[RCP-RUBRO]],PAA[[#All],[Actividad3]],VLOOKUP(COMPROMISOS_2025[[#This Row],[Indicador Principal]],$AC$2:$AD$17,2,0),0),"")</f>
        <v/>
      </c>
    </row>
    <row r="2381" spans="1:25" hidden="1" x14ac:dyDescent="0.25">
      <c r="A2381">
        <v>1895</v>
      </c>
      <c r="B2381" t="s">
        <v>2491</v>
      </c>
      <c r="C2381" t="s">
        <v>1936</v>
      </c>
      <c r="D2381" t="s">
        <v>4182</v>
      </c>
      <c r="F2381">
        <v>406</v>
      </c>
      <c r="G2381">
        <v>65</v>
      </c>
      <c r="H2381" t="s">
        <v>662</v>
      </c>
      <c r="I2381" t="s">
        <v>2271</v>
      </c>
      <c r="J2381">
        <v>711750</v>
      </c>
      <c r="K2381">
        <v>2025</v>
      </c>
      <c r="L2381">
        <v>1088346322</v>
      </c>
      <c r="M2381" t="s">
        <v>4430</v>
      </c>
      <c r="N2381" t="s">
        <v>1688</v>
      </c>
      <c r="O2381" t="s">
        <v>1686</v>
      </c>
      <c r="P2381">
        <v>0</v>
      </c>
      <c r="Q2381">
        <v>711750</v>
      </c>
      <c r="R2381">
        <v>0</v>
      </c>
      <c r="S2381">
        <v>0</v>
      </c>
      <c r="T2381" t="str">
        <f t="shared" si="74"/>
        <v>18952.43.4302.85.0-205128.2.3.3.08.06.</v>
      </c>
      <c r="U2381" t="e" cm="1">
        <f t="array" aca="1" ref="U2381" ca="1">+IF(COMPROMISOS_2025[[#This Row],[P]]="20","41080111",_xlfn.XLOOKUP(COMPROMISOS_2025[[#This Row],[concatenado]],PAA[[#All],[RCP-RUBRO]],PAA[[#All],[INDICADOR]],"",0))</f>
        <v>#NAME?</v>
      </c>
      <c r="V2381" s="144" t="str">
        <f t="shared" si="75"/>
        <v>85</v>
      </c>
      <c r="W2381" s="136">
        <f>+COMPROMISOS_2025[[#This Row],[valor_total]]-COMPROMISOS_2025[[#This Row],[total_cancelado]]</f>
        <v>711750</v>
      </c>
      <c r="X2381" s="136">
        <f>COMPROMISOS_2025[[#This Row],[total_ordenes]]</f>
        <v>711750</v>
      </c>
      <c r="Y2381" t="str" cm="1">
        <f t="array" aca="1" ref="Y2381" ca="1">IFERROR(_xlfn.XLOOKUP(COMPROMISOS_2025[[#This Row],[concatenado]],PAA[[#All],[RCP-RUBRO]],PAA[[#All],[Actividad3]],VLOOKUP(COMPROMISOS_2025[[#This Row],[Indicador Principal]],$AC$2:$AD$17,2,0),0),"")</f>
        <v/>
      </c>
    </row>
    <row r="2382" spans="1:25" hidden="1" x14ac:dyDescent="0.25">
      <c r="A2382">
        <v>1896</v>
      </c>
      <c r="B2382" t="s">
        <v>2491</v>
      </c>
      <c r="C2382" t="s">
        <v>1936</v>
      </c>
      <c r="D2382" t="s">
        <v>4182</v>
      </c>
      <c r="F2382">
        <v>406</v>
      </c>
      <c r="G2382">
        <v>65</v>
      </c>
      <c r="H2382" t="s">
        <v>662</v>
      </c>
      <c r="I2382" t="s">
        <v>2271</v>
      </c>
      <c r="J2382">
        <v>2847000</v>
      </c>
      <c r="K2382">
        <v>2025</v>
      </c>
      <c r="L2382">
        <v>1091272127</v>
      </c>
      <c r="M2382" t="s">
        <v>4124</v>
      </c>
      <c r="N2382" t="s">
        <v>1688</v>
      </c>
      <c r="O2382" t="s">
        <v>1686</v>
      </c>
      <c r="P2382">
        <v>0</v>
      </c>
      <c r="Q2382">
        <v>2847000</v>
      </c>
      <c r="R2382">
        <v>0</v>
      </c>
      <c r="S2382">
        <v>0</v>
      </c>
      <c r="T2382" t="str">
        <f t="shared" si="74"/>
        <v>18962.43.4302.85.0-205128.2.3.3.08.06.</v>
      </c>
      <c r="U2382" t="e" cm="1">
        <f t="array" aca="1" ref="U2382" ca="1">+IF(COMPROMISOS_2025[[#This Row],[P]]="20","41080111",_xlfn.XLOOKUP(COMPROMISOS_2025[[#This Row],[concatenado]],PAA[[#All],[RCP-RUBRO]],PAA[[#All],[INDICADOR]],"",0))</f>
        <v>#NAME?</v>
      </c>
      <c r="V2382" s="144" t="str">
        <f t="shared" si="75"/>
        <v>85</v>
      </c>
      <c r="W2382" s="136">
        <f>+COMPROMISOS_2025[[#This Row],[valor_total]]-COMPROMISOS_2025[[#This Row],[total_cancelado]]</f>
        <v>2847000</v>
      </c>
      <c r="X2382" s="136">
        <f>COMPROMISOS_2025[[#This Row],[total_ordenes]]</f>
        <v>2847000</v>
      </c>
      <c r="Y2382" t="str" cm="1">
        <f t="array" aca="1" ref="Y2382" ca="1">IFERROR(_xlfn.XLOOKUP(COMPROMISOS_2025[[#This Row],[concatenado]],PAA[[#All],[RCP-RUBRO]],PAA[[#All],[Actividad3]],VLOOKUP(COMPROMISOS_2025[[#This Row],[Indicador Principal]],$AC$2:$AD$17,2,0),0),"")</f>
        <v/>
      </c>
    </row>
    <row r="2383" spans="1:25" hidden="1" x14ac:dyDescent="0.25">
      <c r="A2383">
        <v>1897</v>
      </c>
      <c r="B2383" t="s">
        <v>2491</v>
      </c>
      <c r="C2383" t="s">
        <v>1936</v>
      </c>
      <c r="D2383" t="s">
        <v>4182</v>
      </c>
      <c r="F2383">
        <v>406</v>
      </c>
      <c r="G2383">
        <v>65</v>
      </c>
      <c r="H2383" t="s">
        <v>662</v>
      </c>
      <c r="I2383" t="s">
        <v>2271</v>
      </c>
      <c r="J2383">
        <v>1423500</v>
      </c>
      <c r="K2383">
        <v>2025</v>
      </c>
      <c r="L2383">
        <v>1091977928</v>
      </c>
      <c r="M2383" t="s">
        <v>4125</v>
      </c>
      <c r="N2383" t="s">
        <v>1688</v>
      </c>
      <c r="O2383" t="s">
        <v>1686</v>
      </c>
      <c r="P2383">
        <v>0</v>
      </c>
      <c r="Q2383">
        <v>1423500</v>
      </c>
      <c r="R2383">
        <v>0</v>
      </c>
      <c r="S2383">
        <v>0</v>
      </c>
      <c r="T2383" t="str">
        <f t="shared" si="74"/>
        <v>18972.43.4302.85.0-205128.2.3.3.08.06.</v>
      </c>
      <c r="U2383" t="e" cm="1">
        <f t="array" aca="1" ref="U2383" ca="1">+IF(COMPROMISOS_2025[[#This Row],[P]]="20","41080111",_xlfn.XLOOKUP(COMPROMISOS_2025[[#This Row],[concatenado]],PAA[[#All],[RCP-RUBRO]],PAA[[#All],[INDICADOR]],"",0))</f>
        <v>#NAME?</v>
      </c>
      <c r="V2383" s="144" t="str">
        <f t="shared" si="75"/>
        <v>85</v>
      </c>
      <c r="W2383" s="136">
        <f>+COMPROMISOS_2025[[#This Row],[valor_total]]-COMPROMISOS_2025[[#This Row],[total_cancelado]]</f>
        <v>1423500</v>
      </c>
      <c r="X2383" s="136">
        <f>COMPROMISOS_2025[[#This Row],[total_ordenes]]</f>
        <v>1423500</v>
      </c>
      <c r="Y2383" t="str" cm="1">
        <f t="array" aca="1" ref="Y2383" ca="1">IFERROR(_xlfn.XLOOKUP(COMPROMISOS_2025[[#This Row],[concatenado]],PAA[[#All],[RCP-RUBRO]],PAA[[#All],[Actividad3]],VLOOKUP(COMPROMISOS_2025[[#This Row],[Indicador Principal]],$AC$2:$AD$17,2,0),0),"")</f>
        <v/>
      </c>
    </row>
    <row r="2384" spans="1:25" hidden="1" x14ac:dyDescent="0.25">
      <c r="A2384">
        <v>1898</v>
      </c>
      <c r="B2384" t="s">
        <v>2491</v>
      </c>
      <c r="C2384" t="s">
        <v>1936</v>
      </c>
      <c r="D2384" t="s">
        <v>4182</v>
      </c>
      <c r="F2384">
        <v>406</v>
      </c>
      <c r="G2384">
        <v>65</v>
      </c>
      <c r="H2384" t="s">
        <v>662</v>
      </c>
      <c r="I2384" t="s">
        <v>2271</v>
      </c>
      <c r="J2384">
        <v>1067625</v>
      </c>
      <c r="K2384">
        <v>2025</v>
      </c>
      <c r="L2384">
        <v>1093293366</v>
      </c>
      <c r="M2384" t="s">
        <v>4431</v>
      </c>
      <c r="N2384" t="s">
        <v>1688</v>
      </c>
      <c r="O2384" t="s">
        <v>1686</v>
      </c>
      <c r="P2384">
        <v>0</v>
      </c>
      <c r="Q2384">
        <v>1067625</v>
      </c>
      <c r="R2384">
        <v>0</v>
      </c>
      <c r="S2384">
        <v>0</v>
      </c>
      <c r="T2384" t="str">
        <f t="shared" si="74"/>
        <v>18982.43.4302.85.0-205128.2.3.3.08.06.</v>
      </c>
      <c r="U2384" t="e" cm="1">
        <f t="array" aca="1" ref="U2384" ca="1">+IF(COMPROMISOS_2025[[#This Row],[P]]="20","41080111",_xlfn.XLOOKUP(COMPROMISOS_2025[[#This Row],[concatenado]],PAA[[#All],[RCP-RUBRO]],PAA[[#All],[INDICADOR]],"",0))</f>
        <v>#NAME?</v>
      </c>
      <c r="V2384" s="144" t="str">
        <f t="shared" si="75"/>
        <v>85</v>
      </c>
      <c r="W2384" s="136">
        <f>+COMPROMISOS_2025[[#This Row],[valor_total]]-COMPROMISOS_2025[[#This Row],[total_cancelado]]</f>
        <v>1067625</v>
      </c>
      <c r="X2384" s="136">
        <f>COMPROMISOS_2025[[#This Row],[total_ordenes]]</f>
        <v>1067625</v>
      </c>
      <c r="Y2384" t="str" cm="1">
        <f t="array" aca="1" ref="Y2384" ca="1">IFERROR(_xlfn.XLOOKUP(COMPROMISOS_2025[[#This Row],[concatenado]],PAA[[#All],[RCP-RUBRO]],PAA[[#All],[Actividad3]],VLOOKUP(COMPROMISOS_2025[[#This Row],[Indicador Principal]],$AC$2:$AD$17,2,0),0),"")</f>
        <v/>
      </c>
    </row>
    <row r="2385" spans="1:25" hidden="1" x14ac:dyDescent="0.25">
      <c r="A2385">
        <v>1899</v>
      </c>
      <c r="B2385" t="s">
        <v>2491</v>
      </c>
      <c r="C2385" t="s">
        <v>1936</v>
      </c>
      <c r="D2385" t="s">
        <v>4182</v>
      </c>
      <c r="F2385">
        <v>406</v>
      </c>
      <c r="G2385">
        <v>65</v>
      </c>
      <c r="H2385" t="s">
        <v>662</v>
      </c>
      <c r="I2385" t="s">
        <v>2271</v>
      </c>
      <c r="J2385">
        <v>711750</v>
      </c>
      <c r="K2385">
        <v>2025</v>
      </c>
      <c r="L2385">
        <v>1093597983</v>
      </c>
      <c r="M2385" t="s">
        <v>3862</v>
      </c>
      <c r="N2385" t="s">
        <v>1688</v>
      </c>
      <c r="O2385" t="s">
        <v>1686</v>
      </c>
      <c r="P2385">
        <v>0</v>
      </c>
      <c r="Q2385">
        <v>711750</v>
      </c>
      <c r="R2385">
        <v>0</v>
      </c>
      <c r="S2385">
        <v>0</v>
      </c>
      <c r="T2385" t="str">
        <f t="shared" si="74"/>
        <v>18992.43.4302.85.0-205128.2.3.3.08.06.</v>
      </c>
      <c r="U2385" t="e" cm="1">
        <f t="array" aca="1" ref="U2385" ca="1">+IF(COMPROMISOS_2025[[#This Row],[P]]="20","41080111",_xlfn.XLOOKUP(COMPROMISOS_2025[[#This Row],[concatenado]],PAA[[#All],[RCP-RUBRO]],PAA[[#All],[INDICADOR]],"",0))</f>
        <v>#NAME?</v>
      </c>
      <c r="V2385" s="144" t="str">
        <f t="shared" si="75"/>
        <v>85</v>
      </c>
      <c r="W2385" s="136">
        <f>+COMPROMISOS_2025[[#This Row],[valor_total]]-COMPROMISOS_2025[[#This Row],[total_cancelado]]</f>
        <v>711750</v>
      </c>
      <c r="X2385" s="136">
        <f>COMPROMISOS_2025[[#This Row],[total_ordenes]]</f>
        <v>711750</v>
      </c>
      <c r="Y2385" t="str" cm="1">
        <f t="array" aca="1" ref="Y2385" ca="1">IFERROR(_xlfn.XLOOKUP(COMPROMISOS_2025[[#This Row],[concatenado]],PAA[[#All],[RCP-RUBRO]],PAA[[#All],[Actividad3]],VLOOKUP(COMPROMISOS_2025[[#This Row],[Indicador Principal]],$AC$2:$AD$17,2,0),0),"")</f>
        <v/>
      </c>
    </row>
    <row r="2386" spans="1:25" hidden="1" x14ac:dyDescent="0.25">
      <c r="A2386">
        <v>1900</v>
      </c>
      <c r="B2386" t="s">
        <v>2491</v>
      </c>
      <c r="C2386" t="s">
        <v>1936</v>
      </c>
      <c r="D2386" t="s">
        <v>4182</v>
      </c>
      <c r="F2386">
        <v>406</v>
      </c>
      <c r="G2386">
        <v>65</v>
      </c>
      <c r="H2386" t="s">
        <v>662</v>
      </c>
      <c r="I2386" t="s">
        <v>2271</v>
      </c>
      <c r="J2386">
        <v>711750</v>
      </c>
      <c r="K2386">
        <v>2025</v>
      </c>
      <c r="L2386">
        <v>1095305793</v>
      </c>
      <c r="M2386" t="s">
        <v>3863</v>
      </c>
      <c r="N2386" t="s">
        <v>1688</v>
      </c>
      <c r="O2386" t="s">
        <v>1686</v>
      </c>
      <c r="P2386">
        <v>0</v>
      </c>
      <c r="Q2386">
        <v>711750</v>
      </c>
      <c r="R2386">
        <v>0</v>
      </c>
      <c r="S2386">
        <v>0</v>
      </c>
      <c r="T2386" t="str">
        <f t="shared" si="74"/>
        <v>19002.43.4302.85.0-205128.2.3.3.08.06.</v>
      </c>
      <c r="U2386" t="e" cm="1">
        <f t="array" aca="1" ref="U2386" ca="1">+IF(COMPROMISOS_2025[[#This Row],[P]]="20","41080111",_xlfn.XLOOKUP(COMPROMISOS_2025[[#This Row],[concatenado]],PAA[[#All],[RCP-RUBRO]],PAA[[#All],[INDICADOR]],"",0))</f>
        <v>#NAME?</v>
      </c>
      <c r="V2386" s="144" t="str">
        <f t="shared" si="75"/>
        <v>85</v>
      </c>
      <c r="W2386" s="136">
        <f>+COMPROMISOS_2025[[#This Row],[valor_total]]-COMPROMISOS_2025[[#This Row],[total_cancelado]]</f>
        <v>711750</v>
      </c>
      <c r="X2386" s="136">
        <f>COMPROMISOS_2025[[#This Row],[total_ordenes]]</f>
        <v>711750</v>
      </c>
      <c r="Y2386" t="str" cm="1">
        <f t="array" aca="1" ref="Y2386" ca="1">IFERROR(_xlfn.XLOOKUP(COMPROMISOS_2025[[#This Row],[concatenado]],PAA[[#All],[RCP-RUBRO]],PAA[[#All],[Actividad3]],VLOOKUP(COMPROMISOS_2025[[#This Row],[Indicador Principal]],$AC$2:$AD$17,2,0),0),"")</f>
        <v/>
      </c>
    </row>
    <row r="2387" spans="1:25" hidden="1" x14ac:dyDescent="0.25">
      <c r="A2387">
        <v>1901</v>
      </c>
      <c r="B2387" t="s">
        <v>2491</v>
      </c>
      <c r="C2387" t="s">
        <v>1936</v>
      </c>
      <c r="D2387" t="s">
        <v>4182</v>
      </c>
      <c r="F2387">
        <v>406</v>
      </c>
      <c r="G2387">
        <v>65</v>
      </c>
      <c r="H2387" t="s">
        <v>662</v>
      </c>
      <c r="I2387" t="s">
        <v>2271</v>
      </c>
      <c r="J2387">
        <v>711750</v>
      </c>
      <c r="K2387">
        <v>2025</v>
      </c>
      <c r="L2387">
        <v>1098409608</v>
      </c>
      <c r="M2387" t="s">
        <v>4126</v>
      </c>
      <c r="N2387" t="s">
        <v>1688</v>
      </c>
      <c r="O2387" t="s">
        <v>1686</v>
      </c>
      <c r="P2387">
        <v>0</v>
      </c>
      <c r="Q2387">
        <v>711750</v>
      </c>
      <c r="R2387">
        <v>0</v>
      </c>
      <c r="S2387">
        <v>0</v>
      </c>
      <c r="T2387" t="str">
        <f t="shared" si="74"/>
        <v>19012.43.4302.85.0-205128.2.3.3.08.06.</v>
      </c>
      <c r="U2387" t="e" cm="1">
        <f t="array" aca="1" ref="U2387" ca="1">+IF(COMPROMISOS_2025[[#This Row],[P]]="20","41080111",_xlfn.XLOOKUP(COMPROMISOS_2025[[#This Row],[concatenado]],PAA[[#All],[RCP-RUBRO]],PAA[[#All],[INDICADOR]],"",0))</f>
        <v>#NAME?</v>
      </c>
      <c r="V2387" s="144" t="str">
        <f t="shared" si="75"/>
        <v>85</v>
      </c>
      <c r="W2387" s="136">
        <f>+COMPROMISOS_2025[[#This Row],[valor_total]]-COMPROMISOS_2025[[#This Row],[total_cancelado]]</f>
        <v>711750</v>
      </c>
      <c r="X2387" s="136">
        <f>COMPROMISOS_2025[[#This Row],[total_ordenes]]</f>
        <v>711750</v>
      </c>
      <c r="Y2387" t="str" cm="1">
        <f t="array" aca="1" ref="Y2387" ca="1">IFERROR(_xlfn.XLOOKUP(COMPROMISOS_2025[[#This Row],[concatenado]],PAA[[#All],[RCP-RUBRO]],PAA[[#All],[Actividad3]],VLOOKUP(COMPROMISOS_2025[[#This Row],[Indicador Principal]],$AC$2:$AD$17,2,0),0),"")</f>
        <v/>
      </c>
    </row>
    <row r="2388" spans="1:25" hidden="1" x14ac:dyDescent="0.25">
      <c r="A2388">
        <v>1902</v>
      </c>
      <c r="B2388" t="s">
        <v>2491</v>
      </c>
      <c r="C2388" t="s">
        <v>1936</v>
      </c>
      <c r="D2388" t="s">
        <v>4182</v>
      </c>
      <c r="F2388">
        <v>406</v>
      </c>
      <c r="G2388">
        <v>65</v>
      </c>
      <c r="H2388" t="s">
        <v>662</v>
      </c>
      <c r="I2388" t="s">
        <v>2271</v>
      </c>
      <c r="J2388">
        <v>1423500</v>
      </c>
      <c r="K2388">
        <v>2025</v>
      </c>
      <c r="L2388">
        <v>1098631750</v>
      </c>
      <c r="M2388" t="s">
        <v>4127</v>
      </c>
      <c r="N2388" t="s">
        <v>1688</v>
      </c>
      <c r="O2388" t="s">
        <v>1686</v>
      </c>
      <c r="P2388">
        <v>0</v>
      </c>
      <c r="Q2388">
        <v>1423500</v>
      </c>
      <c r="R2388">
        <v>0</v>
      </c>
      <c r="S2388">
        <v>0</v>
      </c>
      <c r="T2388" t="str">
        <f t="shared" si="74"/>
        <v>19022.43.4302.85.0-205128.2.3.3.08.06.</v>
      </c>
      <c r="U2388" t="e" cm="1">
        <f t="array" aca="1" ref="U2388" ca="1">+IF(COMPROMISOS_2025[[#This Row],[P]]="20","41080111",_xlfn.XLOOKUP(COMPROMISOS_2025[[#This Row],[concatenado]],PAA[[#All],[RCP-RUBRO]],PAA[[#All],[INDICADOR]],"",0))</f>
        <v>#NAME?</v>
      </c>
      <c r="V2388" s="144" t="str">
        <f t="shared" si="75"/>
        <v>85</v>
      </c>
      <c r="W2388" s="136">
        <f>+COMPROMISOS_2025[[#This Row],[valor_total]]-COMPROMISOS_2025[[#This Row],[total_cancelado]]</f>
        <v>1423500</v>
      </c>
      <c r="X2388" s="136">
        <f>COMPROMISOS_2025[[#This Row],[total_ordenes]]</f>
        <v>1423500</v>
      </c>
      <c r="Y2388" t="str" cm="1">
        <f t="array" aca="1" ref="Y2388" ca="1">IFERROR(_xlfn.XLOOKUP(COMPROMISOS_2025[[#This Row],[concatenado]],PAA[[#All],[RCP-RUBRO]],PAA[[#All],[Actividad3]],VLOOKUP(COMPROMISOS_2025[[#This Row],[Indicador Principal]],$AC$2:$AD$17,2,0),0),"")</f>
        <v/>
      </c>
    </row>
    <row r="2389" spans="1:25" hidden="1" x14ac:dyDescent="0.25">
      <c r="A2389">
        <v>1903</v>
      </c>
      <c r="B2389" t="s">
        <v>2491</v>
      </c>
      <c r="C2389" t="s">
        <v>1936</v>
      </c>
      <c r="D2389" t="s">
        <v>4182</v>
      </c>
      <c r="F2389">
        <v>406</v>
      </c>
      <c r="G2389">
        <v>65</v>
      </c>
      <c r="H2389" t="s">
        <v>662</v>
      </c>
      <c r="I2389" t="s">
        <v>2271</v>
      </c>
      <c r="J2389">
        <v>2847000</v>
      </c>
      <c r="K2389">
        <v>2025</v>
      </c>
      <c r="L2389">
        <v>1098746792</v>
      </c>
      <c r="M2389" t="s">
        <v>3864</v>
      </c>
      <c r="N2389" t="s">
        <v>1688</v>
      </c>
      <c r="O2389" t="s">
        <v>1686</v>
      </c>
      <c r="P2389">
        <v>0</v>
      </c>
      <c r="Q2389">
        <v>2847000</v>
      </c>
      <c r="R2389">
        <v>0</v>
      </c>
      <c r="S2389">
        <v>0</v>
      </c>
      <c r="T2389" t="str">
        <f t="shared" si="74"/>
        <v>19032.43.4302.85.0-205128.2.3.3.08.06.</v>
      </c>
      <c r="U2389" t="e" cm="1">
        <f t="array" aca="1" ref="U2389" ca="1">+IF(COMPROMISOS_2025[[#This Row],[P]]="20","41080111",_xlfn.XLOOKUP(COMPROMISOS_2025[[#This Row],[concatenado]],PAA[[#All],[RCP-RUBRO]],PAA[[#All],[INDICADOR]],"",0))</f>
        <v>#NAME?</v>
      </c>
      <c r="V2389" s="144" t="str">
        <f t="shared" si="75"/>
        <v>85</v>
      </c>
      <c r="W2389" s="136">
        <f>+COMPROMISOS_2025[[#This Row],[valor_total]]-COMPROMISOS_2025[[#This Row],[total_cancelado]]</f>
        <v>2847000</v>
      </c>
      <c r="X2389" s="136">
        <f>COMPROMISOS_2025[[#This Row],[total_ordenes]]</f>
        <v>2847000</v>
      </c>
      <c r="Y2389" t="str" cm="1">
        <f t="array" aca="1" ref="Y2389" ca="1">IFERROR(_xlfn.XLOOKUP(COMPROMISOS_2025[[#This Row],[concatenado]],PAA[[#All],[RCP-RUBRO]],PAA[[#All],[Actividad3]],VLOOKUP(COMPROMISOS_2025[[#This Row],[Indicador Principal]],$AC$2:$AD$17,2,0),0),"")</f>
        <v/>
      </c>
    </row>
    <row r="2390" spans="1:25" hidden="1" x14ac:dyDescent="0.25">
      <c r="A2390">
        <v>1904</v>
      </c>
      <c r="B2390" t="s">
        <v>2491</v>
      </c>
      <c r="C2390" t="s">
        <v>1936</v>
      </c>
      <c r="D2390" t="s">
        <v>4182</v>
      </c>
      <c r="F2390">
        <v>406</v>
      </c>
      <c r="G2390">
        <v>65</v>
      </c>
      <c r="H2390" t="s">
        <v>662</v>
      </c>
      <c r="I2390" t="s">
        <v>2271</v>
      </c>
      <c r="J2390">
        <v>1067625</v>
      </c>
      <c r="K2390">
        <v>2025</v>
      </c>
      <c r="L2390">
        <v>1098748461</v>
      </c>
      <c r="M2390" t="s">
        <v>4432</v>
      </c>
      <c r="N2390" t="s">
        <v>1688</v>
      </c>
      <c r="O2390" t="s">
        <v>1686</v>
      </c>
      <c r="P2390">
        <v>0</v>
      </c>
      <c r="Q2390">
        <v>1067625</v>
      </c>
      <c r="R2390">
        <v>0</v>
      </c>
      <c r="S2390">
        <v>0</v>
      </c>
      <c r="T2390" t="str">
        <f t="shared" si="74"/>
        <v>19042.43.4302.85.0-205128.2.3.3.08.06.</v>
      </c>
      <c r="U2390" t="e" cm="1">
        <f t="array" aca="1" ref="U2390" ca="1">+IF(COMPROMISOS_2025[[#This Row],[P]]="20","41080111",_xlfn.XLOOKUP(COMPROMISOS_2025[[#This Row],[concatenado]],PAA[[#All],[RCP-RUBRO]],PAA[[#All],[INDICADOR]],"",0))</f>
        <v>#NAME?</v>
      </c>
      <c r="V2390" s="144" t="str">
        <f t="shared" si="75"/>
        <v>85</v>
      </c>
      <c r="W2390" s="136">
        <f>+COMPROMISOS_2025[[#This Row],[valor_total]]-COMPROMISOS_2025[[#This Row],[total_cancelado]]</f>
        <v>1067625</v>
      </c>
      <c r="X2390" s="136">
        <f>COMPROMISOS_2025[[#This Row],[total_ordenes]]</f>
        <v>1067625</v>
      </c>
      <c r="Y2390" t="str" cm="1">
        <f t="array" aca="1" ref="Y2390" ca="1">IFERROR(_xlfn.XLOOKUP(COMPROMISOS_2025[[#This Row],[concatenado]],PAA[[#All],[RCP-RUBRO]],PAA[[#All],[Actividad3]],VLOOKUP(COMPROMISOS_2025[[#This Row],[Indicador Principal]],$AC$2:$AD$17,2,0),0),"")</f>
        <v/>
      </c>
    </row>
    <row r="2391" spans="1:25" hidden="1" x14ac:dyDescent="0.25">
      <c r="A2391">
        <v>1905</v>
      </c>
      <c r="B2391" t="s">
        <v>2491</v>
      </c>
      <c r="C2391" t="s">
        <v>1936</v>
      </c>
      <c r="D2391" t="s">
        <v>4182</v>
      </c>
      <c r="F2391">
        <v>406</v>
      </c>
      <c r="G2391">
        <v>65</v>
      </c>
      <c r="H2391" t="s">
        <v>662</v>
      </c>
      <c r="I2391" t="s">
        <v>2271</v>
      </c>
      <c r="J2391">
        <v>5694000</v>
      </c>
      <c r="K2391">
        <v>2025</v>
      </c>
      <c r="L2391">
        <v>1098773469</v>
      </c>
      <c r="M2391" t="s">
        <v>4433</v>
      </c>
      <c r="N2391" t="s">
        <v>1688</v>
      </c>
      <c r="O2391" t="s">
        <v>1686</v>
      </c>
      <c r="P2391">
        <v>0</v>
      </c>
      <c r="Q2391">
        <v>5694000</v>
      </c>
      <c r="R2391">
        <v>0</v>
      </c>
      <c r="S2391">
        <v>0</v>
      </c>
      <c r="T2391" t="str">
        <f t="shared" si="74"/>
        <v>19052.43.4302.85.0-205128.2.3.3.08.06.</v>
      </c>
      <c r="U2391" t="e" cm="1">
        <f t="array" aca="1" ref="U2391" ca="1">+IF(COMPROMISOS_2025[[#This Row],[P]]="20","41080111",_xlfn.XLOOKUP(COMPROMISOS_2025[[#This Row],[concatenado]],PAA[[#All],[RCP-RUBRO]],PAA[[#All],[INDICADOR]],"",0))</f>
        <v>#NAME?</v>
      </c>
      <c r="V2391" s="144" t="str">
        <f t="shared" si="75"/>
        <v>85</v>
      </c>
      <c r="W2391" s="136">
        <f>+COMPROMISOS_2025[[#This Row],[valor_total]]-COMPROMISOS_2025[[#This Row],[total_cancelado]]</f>
        <v>5694000</v>
      </c>
      <c r="X2391" s="136">
        <f>COMPROMISOS_2025[[#This Row],[total_ordenes]]</f>
        <v>5694000</v>
      </c>
      <c r="Y2391" t="str" cm="1">
        <f t="array" aca="1" ref="Y2391" ca="1">IFERROR(_xlfn.XLOOKUP(COMPROMISOS_2025[[#This Row],[concatenado]],PAA[[#All],[RCP-RUBRO]],PAA[[#All],[Actividad3]],VLOOKUP(COMPROMISOS_2025[[#This Row],[Indicador Principal]],$AC$2:$AD$17,2,0),0),"")</f>
        <v/>
      </c>
    </row>
    <row r="2392" spans="1:25" hidden="1" x14ac:dyDescent="0.25">
      <c r="A2392">
        <v>1906</v>
      </c>
      <c r="B2392" t="s">
        <v>2491</v>
      </c>
      <c r="C2392" t="s">
        <v>1936</v>
      </c>
      <c r="D2392" t="s">
        <v>4182</v>
      </c>
      <c r="F2392">
        <v>406</v>
      </c>
      <c r="G2392">
        <v>65</v>
      </c>
      <c r="H2392" t="s">
        <v>662</v>
      </c>
      <c r="I2392" t="s">
        <v>2271</v>
      </c>
      <c r="J2392">
        <v>711750</v>
      </c>
      <c r="K2392">
        <v>2025</v>
      </c>
      <c r="L2392">
        <v>1100812963</v>
      </c>
      <c r="M2392" t="s">
        <v>3865</v>
      </c>
      <c r="N2392" t="s">
        <v>1688</v>
      </c>
      <c r="O2392" t="s">
        <v>1686</v>
      </c>
      <c r="P2392">
        <v>0</v>
      </c>
      <c r="Q2392">
        <v>711750</v>
      </c>
      <c r="R2392">
        <v>0</v>
      </c>
      <c r="S2392">
        <v>0</v>
      </c>
      <c r="T2392" t="str">
        <f t="shared" si="74"/>
        <v>19062.43.4302.85.0-205128.2.3.3.08.06.</v>
      </c>
      <c r="U2392" t="e" cm="1">
        <f t="array" aca="1" ref="U2392" ca="1">+IF(COMPROMISOS_2025[[#This Row],[P]]="20","41080111",_xlfn.XLOOKUP(COMPROMISOS_2025[[#This Row],[concatenado]],PAA[[#All],[RCP-RUBRO]],PAA[[#All],[INDICADOR]],"",0))</f>
        <v>#NAME?</v>
      </c>
      <c r="V2392" s="144" t="str">
        <f t="shared" si="75"/>
        <v>85</v>
      </c>
      <c r="W2392" s="136">
        <f>+COMPROMISOS_2025[[#This Row],[valor_total]]-COMPROMISOS_2025[[#This Row],[total_cancelado]]</f>
        <v>711750</v>
      </c>
      <c r="X2392" s="136">
        <f>COMPROMISOS_2025[[#This Row],[total_ordenes]]</f>
        <v>711750</v>
      </c>
      <c r="Y2392" t="str" cm="1">
        <f t="array" aca="1" ref="Y2392" ca="1">IFERROR(_xlfn.XLOOKUP(COMPROMISOS_2025[[#This Row],[concatenado]],PAA[[#All],[RCP-RUBRO]],PAA[[#All],[Actividad3]],VLOOKUP(COMPROMISOS_2025[[#This Row],[Indicador Principal]],$AC$2:$AD$17,2,0),0),"")</f>
        <v/>
      </c>
    </row>
    <row r="2393" spans="1:25" hidden="1" x14ac:dyDescent="0.25">
      <c r="A2393">
        <v>1907</v>
      </c>
      <c r="B2393" t="s">
        <v>2491</v>
      </c>
      <c r="C2393" t="s">
        <v>1936</v>
      </c>
      <c r="D2393" t="s">
        <v>4182</v>
      </c>
      <c r="F2393">
        <v>406</v>
      </c>
      <c r="G2393">
        <v>65</v>
      </c>
      <c r="H2393" t="s">
        <v>662</v>
      </c>
      <c r="I2393" t="s">
        <v>2271</v>
      </c>
      <c r="J2393">
        <v>1423500</v>
      </c>
      <c r="K2393">
        <v>2025</v>
      </c>
      <c r="L2393">
        <v>1102868933</v>
      </c>
      <c r="M2393" t="s">
        <v>4434</v>
      </c>
      <c r="N2393" t="s">
        <v>1688</v>
      </c>
      <c r="O2393" t="s">
        <v>1686</v>
      </c>
      <c r="P2393">
        <v>0</v>
      </c>
      <c r="Q2393">
        <v>1423500</v>
      </c>
      <c r="R2393">
        <v>0</v>
      </c>
      <c r="S2393">
        <v>0</v>
      </c>
      <c r="T2393" t="str">
        <f t="shared" si="74"/>
        <v>19072.43.4302.85.0-205128.2.3.3.08.06.</v>
      </c>
      <c r="U2393" t="e" cm="1">
        <f t="array" aca="1" ref="U2393" ca="1">+IF(COMPROMISOS_2025[[#This Row],[P]]="20","41080111",_xlfn.XLOOKUP(COMPROMISOS_2025[[#This Row],[concatenado]],PAA[[#All],[RCP-RUBRO]],PAA[[#All],[INDICADOR]],"",0))</f>
        <v>#NAME?</v>
      </c>
      <c r="V2393" s="144" t="str">
        <f t="shared" si="75"/>
        <v>85</v>
      </c>
      <c r="W2393" s="136">
        <f>+COMPROMISOS_2025[[#This Row],[valor_total]]-COMPROMISOS_2025[[#This Row],[total_cancelado]]</f>
        <v>1423500</v>
      </c>
      <c r="X2393" s="136">
        <f>COMPROMISOS_2025[[#This Row],[total_ordenes]]</f>
        <v>1423500</v>
      </c>
      <c r="Y2393" t="str" cm="1">
        <f t="array" aca="1" ref="Y2393" ca="1">IFERROR(_xlfn.XLOOKUP(COMPROMISOS_2025[[#This Row],[concatenado]],PAA[[#All],[RCP-RUBRO]],PAA[[#All],[Actividad3]],VLOOKUP(COMPROMISOS_2025[[#This Row],[Indicador Principal]],$AC$2:$AD$17,2,0),0),"")</f>
        <v/>
      </c>
    </row>
    <row r="2394" spans="1:25" hidden="1" x14ac:dyDescent="0.25">
      <c r="A2394">
        <v>1908</v>
      </c>
      <c r="B2394" t="s">
        <v>2491</v>
      </c>
      <c r="C2394" t="s">
        <v>1936</v>
      </c>
      <c r="D2394" t="s">
        <v>4182</v>
      </c>
      <c r="F2394">
        <v>406</v>
      </c>
      <c r="G2394">
        <v>65</v>
      </c>
      <c r="H2394" t="s">
        <v>662</v>
      </c>
      <c r="I2394" t="s">
        <v>2271</v>
      </c>
      <c r="J2394">
        <v>711750</v>
      </c>
      <c r="K2394">
        <v>2025</v>
      </c>
      <c r="L2394">
        <v>1103507561</v>
      </c>
      <c r="M2394" t="s">
        <v>3866</v>
      </c>
      <c r="N2394" t="s">
        <v>1688</v>
      </c>
      <c r="O2394" t="s">
        <v>1686</v>
      </c>
      <c r="P2394">
        <v>0</v>
      </c>
      <c r="Q2394">
        <v>711750</v>
      </c>
      <c r="R2394">
        <v>0</v>
      </c>
      <c r="S2394">
        <v>0</v>
      </c>
      <c r="T2394" t="str">
        <f t="shared" si="74"/>
        <v>19082.43.4302.85.0-205128.2.3.3.08.06.</v>
      </c>
      <c r="U2394" t="e" cm="1">
        <f t="array" aca="1" ref="U2394" ca="1">+IF(COMPROMISOS_2025[[#This Row],[P]]="20","41080111",_xlfn.XLOOKUP(COMPROMISOS_2025[[#This Row],[concatenado]],PAA[[#All],[RCP-RUBRO]],PAA[[#All],[INDICADOR]],"",0))</f>
        <v>#NAME?</v>
      </c>
      <c r="V2394" s="144" t="str">
        <f t="shared" si="75"/>
        <v>85</v>
      </c>
      <c r="W2394" s="136">
        <f>+COMPROMISOS_2025[[#This Row],[valor_total]]-COMPROMISOS_2025[[#This Row],[total_cancelado]]</f>
        <v>711750</v>
      </c>
      <c r="X2394" s="136">
        <f>COMPROMISOS_2025[[#This Row],[total_ordenes]]</f>
        <v>711750</v>
      </c>
      <c r="Y2394" t="str" cm="1">
        <f t="array" aca="1" ref="Y2394" ca="1">IFERROR(_xlfn.XLOOKUP(COMPROMISOS_2025[[#This Row],[concatenado]],PAA[[#All],[RCP-RUBRO]],PAA[[#All],[Actividad3]],VLOOKUP(COMPROMISOS_2025[[#This Row],[Indicador Principal]],$AC$2:$AD$17,2,0),0),"")</f>
        <v/>
      </c>
    </row>
    <row r="2395" spans="1:25" hidden="1" x14ac:dyDescent="0.25">
      <c r="A2395">
        <v>1909</v>
      </c>
      <c r="B2395" t="s">
        <v>2491</v>
      </c>
      <c r="C2395" t="s">
        <v>1936</v>
      </c>
      <c r="D2395" t="s">
        <v>4182</v>
      </c>
      <c r="F2395">
        <v>406</v>
      </c>
      <c r="G2395">
        <v>65</v>
      </c>
      <c r="H2395" t="s">
        <v>662</v>
      </c>
      <c r="I2395" t="s">
        <v>2271</v>
      </c>
      <c r="J2395">
        <v>711750</v>
      </c>
      <c r="K2395">
        <v>2025</v>
      </c>
      <c r="L2395">
        <v>1103741433</v>
      </c>
      <c r="M2395" t="s">
        <v>3867</v>
      </c>
      <c r="N2395" t="s">
        <v>1688</v>
      </c>
      <c r="O2395" t="s">
        <v>1686</v>
      </c>
      <c r="P2395">
        <v>0</v>
      </c>
      <c r="Q2395">
        <v>711750</v>
      </c>
      <c r="R2395">
        <v>0</v>
      </c>
      <c r="S2395">
        <v>0</v>
      </c>
      <c r="T2395" t="str">
        <f t="shared" si="74"/>
        <v>19092.43.4302.85.0-205128.2.3.3.08.06.</v>
      </c>
      <c r="U2395" t="e" cm="1">
        <f t="array" aca="1" ref="U2395" ca="1">+IF(COMPROMISOS_2025[[#This Row],[P]]="20","41080111",_xlfn.XLOOKUP(COMPROMISOS_2025[[#This Row],[concatenado]],PAA[[#All],[RCP-RUBRO]],PAA[[#All],[INDICADOR]],"",0))</f>
        <v>#NAME?</v>
      </c>
      <c r="V2395" s="144" t="str">
        <f t="shared" si="75"/>
        <v>85</v>
      </c>
      <c r="W2395" s="136">
        <f>+COMPROMISOS_2025[[#This Row],[valor_total]]-COMPROMISOS_2025[[#This Row],[total_cancelado]]</f>
        <v>711750</v>
      </c>
      <c r="X2395" s="136">
        <f>COMPROMISOS_2025[[#This Row],[total_ordenes]]</f>
        <v>711750</v>
      </c>
      <c r="Y2395" t="str" cm="1">
        <f t="array" aca="1" ref="Y2395" ca="1">IFERROR(_xlfn.XLOOKUP(COMPROMISOS_2025[[#This Row],[concatenado]],PAA[[#All],[RCP-RUBRO]],PAA[[#All],[Actividad3]],VLOOKUP(COMPROMISOS_2025[[#This Row],[Indicador Principal]],$AC$2:$AD$17,2,0),0),"")</f>
        <v/>
      </c>
    </row>
    <row r="2396" spans="1:25" hidden="1" x14ac:dyDescent="0.25">
      <c r="A2396">
        <v>1910</v>
      </c>
      <c r="B2396" t="s">
        <v>2491</v>
      </c>
      <c r="C2396" t="s">
        <v>1936</v>
      </c>
      <c r="D2396" t="s">
        <v>4182</v>
      </c>
      <c r="F2396">
        <v>406</v>
      </c>
      <c r="G2396">
        <v>65</v>
      </c>
      <c r="H2396" t="s">
        <v>662</v>
      </c>
      <c r="I2396" t="s">
        <v>2271</v>
      </c>
      <c r="J2396">
        <v>711750</v>
      </c>
      <c r="K2396">
        <v>2025</v>
      </c>
      <c r="L2396">
        <v>1103746082</v>
      </c>
      <c r="M2396" t="s">
        <v>4435</v>
      </c>
      <c r="N2396" t="s">
        <v>1688</v>
      </c>
      <c r="O2396" t="s">
        <v>1686</v>
      </c>
      <c r="P2396">
        <v>0</v>
      </c>
      <c r="Q2396">
        <v>711750</v>
      </c>
      <c r="R2396">
        <v>0</v>
      </c>
      <c r="S2396">
        <v>0</v>
      </c>
      <c r="T2396" t="str">
        <f t="shared" si="74"/>
        <v>19102.43.4302.85.0-205128.2.3.3.08.06.</v>
      </c>
      <c r="U2396" t="e" cm="1">
        <f t="array" aca="1" ref="U2396" ca="1">+IF(COMPROMISOS_2025[[#This Row],[P]]="20","41080111",_xlfn.XLOOKUP(COMPROMISOS_2025[[#This Row],[concatenado]],PAA[[#All],[RCP-RUBRO]],PAA[[#All],[INDICADOR]],"",0))</f>
        <v>#NAME?</v>
      </c>
      <c r="V2396" s="144" t="str">
        <f t="shared" si="75"/>
        <v>85</v>
      </c>
      <c r="W2396" s="136">
        <f>+COMPROMISOS_2025[[#This Row],[valor_total]]-COMPROMISOS_2025[[#This Row],[total_cancelado]]</f>
        <v>711750</v>
      </c>
      <c r="X2396" s="136">
        <f>COMPROMISOS_2025[[#This Row],[total_ordenes]]</f>
        <v>711750</v>
      </c>
      <c r="Y2396" t="str" cm="1">
        <f t="array" aca="1" ref="Y2396" ca="1">IFERROR(_xlfn.XLOOKUP(COMPROMISOS_2025[[#This Row],[concatenado]],PAA[[#All],[RCP-RUBRO]],PAA[[#All],[Actividad3]],VLOOKUP(COMPROMISOS_2025[[#This Row],[Indicador Principal]],$AC$2:$AD$17,2,0),0),"")</f>
        <v/>
      </c>
    </row>
    <row r="2397" spans="1:25" hidden="1" x14ac:dyDescent="0.25">
      <c r="A2397">
        <v>1911</v>
      </c>
      <c r="B2397" t="s">
        <v>2491</v>
      </c>
      <c r="C2397" t="s">
        <v>1936</v>
      </c>
      <c r="D2397" t="s">
        <v>4182</v>
      </c>
      <c r="F2397">
        <v>406</v>
      </c>
      <c r="G2397">
        <v>65</v>
      </c>
      <c r="H2397" t="s">
        <v>662</v>
      </c>
      <c r="I2397" t="s">
        <v>2271</v>
      </c>
      <c r="J2397">
        <v>1067625</v>
      </c>
      <c r="K2397">
        <v>2025</v>
      </c>
      <c r="L2397">
        <v>1104546333</v>
      </c>
      <c r="M2397" t="s">
        <v>3868</v>
      </c>
      <c r="N2397" t="s">
        <v>1688</v>
      </c>
      <c r="O2397" t="s">
        <v>1686</v>
      </c>
      <c r="P2397">
        <v>0</v>
      </c>
      <c r="Q2397">
        <v>1067625</v>
      </c>
      <c r="R2397">
        <v>0</v>
      </c>
      <c r="S2397">
        <v>0</v>
      </c>
      <c r="T2397" t="str">
        <f t="shared" si="74"/>
        <v>19112.43.4302.85.0-205128.2.3.3.08.06.</v>
      </c>
      <c r="U2397" t="e" cm="1">
        <f t="array" aca="1" ref="U2397" ca="1">+IF(COMPROMISOS_2025[[#This Row],[P]]="20","41080111",_xlfn.XLOOKUP(COMPROMISOS_2025[[#This Row],[concatenado]],PAA[[#All],[RCP-RUBRO]],PAA[[#All],[INDICADOR]],"",0))</f>
        <v>#NAME?</v>
      </c>
      <c r="V2397" s="144" t="str">
        <f t="shared" si="75"/>
        <v>85</v>
      </c>
      <c r="W2397" s="136">
        <f>+COMPROMISOS_2025[[#This Row],[valor_total]]-COMPROMISOS_2025[[#This Row],[total_cancelado]]</f>
        <v>1067625</v>
      </c>
      <c r="X2397" s="136">
        <f>COMPROMISOS_2025[[#This Row],[total_ordenes]]</f>
        <v>1067625</v>
      </c>
      <c r="Y2397" t="str" cm="1">
        <f t="array" aca="1" ref="Y2397" ca="1">IFERROR(_xlfn.XLOOKUP(COMPROMISOS_2025[[#This Row],[concatenado]],PAA[[#All],[RCP-RUBRO]],PAA[[#All],[Actividad3]],VLOOKUP(COMPROMISOS_2025[[#This Row],[Indicador Principal]],$AC$2:$AD$17,2,0),0),"")</f>
        <v/>
      </c>
    </row>
    <row r="2398" spans="1:25" hidden="1" x14ac:dyDescent="0.25">
      <c r="A2398">
        <v>1912</v>
      </c>
      <c r="B2398" t="s">
        <v>2491</v>
      </c>
      <c r="C2398" t="s">
        <v>1936</v>
      </c>
      <c r="D2398" t="s">
        <v>4182</v>
      </c>
      <c r="F2398">
        <v>406</v>
      </c>
      <c r="G2398">
        <v>65</v>
      </c>
      <c r="H2398" t="s">
        <v>662</v>
      </c>
      <c r="I2398" t="s">
        <v>2271</v>
      </c>
      <c r="J2398">
        <v>711750</v>
      </c>
      <c r="K2398">
        <v>2025</v>
      </c>
      <c r="L2398">
        <v>1105376449</v>
      </c>
      <c r="M2398" t="s">
        <v>3869</v>
      </c>
      <c r="N2398" t="s">
        <v>1688</v>
      </c>
      <c r="O2398" t="s">
        <v>1686</v>
      </c>
      <c r="P2398">
        <v>0</v>
      </c>
      <c r="Q2398">
        <v>711750</v>
      </c>
      <c r="R2398">
        <v>0</v>
      </c>
      <c r="S2398">
        <v>0</v>
      </c>
      <c r="T2398" t="str">
        <f t="shared" si="74"/>
        <v>19122.43.4302.85.0-205128.2.3.3.08.06.</v>
      </c>
      <c r="U2398" t="e" cm="1">
        <f t="array" aca="1" ref="U2398" ca="1">+IF(COMPROMISOS_2025[[#This Row],[P]]="20","41080111",_xlfn.XLOOKUP(COMPROMISOS_2025[[#This Row],[concatenado]],PAA[[#All],[RCP-RUBRO]],PAA[[#All],[INDICADOR]],"",0))</f>
        <v>#NAME?</v>
      </c>
      <c r="V2398" s="144" t="str">
        <f t="shared" si="75"/>
        <v>85</v>
      </c>
      <c r="W2398" s="136">
        <f>+COMPROMISOS_2025[[#This Row],[valor_total]]-COMPROMISOS_2025[[#This Row],[total_cancelado]]</f>
        <v>711750</v>
      </c>
      <c r="X2398" s="136">
        <f>COMPROMISOS_2025[[#This Row],[total_ordenes]]</f>
        <v>711750</v>
      </c>
      <c r="Y2398" t="str" cm="1">
        <f t="array" aca="1" ref="Y2398" ca="1">IFERROR(_xlfn.XLOOKUP(COMPROMISOS_2025[[#This Row],[concatenado]],PAA[[#All],[RCP-RUBRO]],PAA[[#All],[Actividad3]],VLOOKUP(COMPROMISOS_2025[[#This Row],[Indicador Principal]],$AC$2:$AD$17,2,0),0),"")</f>
        <v/>
      </c>
    </row>
    <row r="2399" spans="1:25" hidden="1" x14ac:dyDescent="0.25">
      <c r="A2399">
        <v>1913</v>
      </c>
      <c r="B2399" t="s">
        <v>2491</v>
      </c>
      <c r="C2399" t="s">
        <v>1936</v>
      </c>
      <c r="D2399" t="s">
        <v>4182</v>
      </c>
      <c r="F2399">
        <v>406</v>
      </c>
      <c r="G2399">
        <v>65</v>
      </c>
      <c r="H2399" t="s">
        <v>662</v>
      </c>
      <c r="I2399" t="s">
        <v>2271</v>
      </c>
      <c r="J2399">
        <v>711750</v>
      </c>
      <c r="K2399">
        <v>2025</v>
      </c>
      <c r="L2399">
        <v>1105786378</v>
      </c>
      <c r="M2399" t="s">
        <v>4436</v>
      </c>
      <c r="N2399" t="s">
        <v>1688</v>
      </c>
      <c r="O2399" t="s">
        <v>1686</v>
      </c>
      <c r="P2399">
        <v>0</v>
      </c>
      <c r="Q2399">
        <v>711750</v>
      </c>
      <c r="R2399">
        <v>0</v>
      </c>
      <c r="S2399">
        <v>0</v>
      </c>
      <c r="T2399" t="str">
        <f t="shared" si="74"/>
        <v>19132.43.4302.85.0-205128.2.3.3.08.06.</v>
      </c>
      <c r="U2399" t="e" cm="1">
        <f t="array" aca="1" ref="U2399" ca="1">+IF(COMPROMISOS_2025[[#This Row],[P]]="20","41080111",_xlfn.XLOOKUP(COMPROMISOS_2025[[#This Row],[concatenado]],PAA[[#All],[RCP-RUBRO]],PAA[[#All],[INDICADOR]],"",0))</f>
        <v>#NAME?</v>
      </c>
      <c r="V2399" s="144" t="str">
        <f t="shared" si="75"/>
        <v>85</v>
      </c>
      <c r="W2399" s="136">
        <f>+COMPROMISOS_2025[[#This Row],[valor_total]]-COMPROMISOS_2025[[#This Row],[total_cancelado]]</f>
        <v>711750</v>
      </c>
      <c r="X2399" s="136">
        <f>COMPROMISOS_2025[[#This Row],[total_ordenes]]</f>
        <v>711750</v>
      </c>
      <c r="Y2399" t="str" cm="1">
        <f t="array" aca="1" ref="Y2399" ca="1">IFERROR(_xlfn.XLOOKUP(COMPROMISOS_2025[[#This Row],[concatenado]],PAA[[#All],[RCP-RUBRO]],PAA[[#All],[Actividad3]],VLOOKUP(COMPROMISOS_2025[[#This Row],[Indicador Principal]],$AC$2:$AD$17,2,0),0),"")</f>
        <v/>
      </c>
    </row>
    <row r="2400" spans="1:25" hidden="1" x14ac:dyDescent="0.25">
      <c r="A2400">
        <v>1914</v>
      </c>
      <c r="B2400" t="s">
        <v>2491</v>
      </c>
      <c r="C2400" t="s">
        <v>1936</v>
      </c>
      <c r="D2400" t="s">
        <v>4182</v>
      </c>
      <c r="F2400">
        <v>406</v>
      </c>
      <c r="G2400">
        <v>65</v>
      </c>
      <c r="H2400" t="s">
        <v>662</v>
      </c>
      <c r="I2400" t="s">
        <v>2271</v>
      </c>
      <c r="J2400">
        <v>711750</v>
      </c>
      <c r="K2400">
        <v>2025</v>
      </c>
      <c r="L2400">
        <v>1107846399</v>
      </c>
      <c r="M2400" t="s">
        <v>3870</v>
      </c>
      <c r="N2400" t="s">
        <v>1688</v>
      </c>
      <c r="O2400" t="s">
        <v>1686</v>
      </c>
      <c r="P2400">
        <v>0</v>
      </c>
      <c r="Q2400">
        <v>711750</v>
      </c>
      <c r="R2400">
        <v>0</v>
      </c>
      <c r="S2400">
        <v>0</v>
      </c>
      <c r="T2400" t="str">
        <f t="shared" si="74"/>
        <v>19142.43.4302.85.0-205128.2.3.3.08.06.</v>
      </c>
      <c r="U2400" t="e" cm="1">
        <f t="array" aca="1" ref="U2400" ca="1">+IF(COMPROMISOS_2025[[#This Row],[P]]="20","41080111",_xlfn.XLOOKUP(COMPROMISOS_2025[[#This Row],[concatenado]],PAA[[#All],[RCP-RUBRO]],PAA[[#All],[INDICADOR]],"",0))</f>
        <v>#NAME?</v>
      </c>
      <c r="V2400" s="144" t="str">
        <f t="shared" si="75"/>
        <v>85</v>
      </c>
      <c r="W2400" s="136">
        <f>+COMPROMISOS_2025[[#This Row],[valor_total]]-COMPROMISOS_2025[[#This Row],[total_cancelado]]</f>
        <v>711750</v>
      </c>
      <c r="X2400" s="136">
        <f>COMPROMISOS_2025[[#This Row],[total_ordenes]]</f>
        <v>711750</v>
      </c>
      <c r="Y2400" t="str" cm="1">
        <f t="array" aca="1" ref="Y2400" ca="1">IFERROR(_xlfn.XLOOKUP(COMPROMISOS_2025[[#This Row],[concatenado]],PAA[[#All],[RCP-RUBRO]],PAA[[#All],[Actividad3]],VLOOKUP(COMPROMISOS_2025[[#This Row],[Indicador Principal]],$AC$2:$AD$17,2,0),0),"")</f>
        <v/>
      </c>
    </row>
    <row r="2401" spans="1:25" hidden="1" x14ac:dyDescent="0.25">
      <c r="A2401">
        <v>1915</v>
      </c>
      <c r="B2401" t="s">
        <v>2491</v>
      </c>
      <c r="C2401" t="s">
        <v>1936</v>
      </c>
      <c r="D2401" t="s">
        <v>4182</v>
      </c>
      <c r="F2401">
        <v>406</v>
      </c>
      <c r="G2401">
        <v>65</v>
      </c>
      <c r="H2401" t="s">
        <v>662</v>
      </c>
      <c r="I2401" t="s">
        <v>2271</v>
      </c>
      <c r="J2401">
        <v>711750</v>
      </c>
      <c r="K2401">
        <v>2025</v>
      </c>
      <c r="L2401">
        <v>1109290803</v>
      </c>
      <c r="M2401" t="s">
        <v>3871</v>
      </c>
      <c r="N2401" t="s">
        <v>1688</v>
      </c>
      <c r="O2401" t="s">
        <v>1686</v>
      </c>
      <c r="P2401">
        <v>0</v>
      </c>
      <c r="Q2401">
        <v>711750</v>
      </c>
      <c r="R2401">
        <v>0</v>
      </c>
      <c r="S2401">
        <v>0</v>
      </c>
      <c r="T2401" t="str">
        <f t="shared" si="74"/>
        <v>19152.43.4302.85.0-205128.2.3.3.08.06.</v>
      </c>
      <c r="U2401" t="e" cm="1">
        <f t="array" aca="1" ref="U2401" ca="1">+IF(COMPROMISOS_2025[[#This Row],[P]]="20","41080111",_xlfn.XLOOKUP(COMPROMISOS_2025[[#This Row],[concatenado]],PAA[[#All],[RCP-RUBRO]],PAA[[#All],[INDICADOR]],"",0))</f>
        <v>#NAME?</v>
      </c>
      <c r="V2401" s="144" t="str">
        <f t="shared" si="75"/>
        <v>85</v>
      </c>
      <c r="W2401" s="136">
        <f>+COMPROMISOS_2025[[#This Row],[valor_total]]-COMPROMISOS_2025[[#This Row],[total_cancelado]]</f>
        <v>711750</v>
      </c>
      <c r="X2401" s="136">
        <f>COMPROMISOS_2025[[#This Row],[total_ordenes]]</f>
        <v>711750</v>
      </c>
      <c r="Y2401" t="str" cm="1">
        <f t="array" aca="1" ref="Y2401" ca="1">IFERROR(_xlfn.XLOOKUP(COMPROMISOS_2025[[#This Row],[concatenado]],PAA[[#All],[RCP-RUBRO]],PAA[[#All],[Actividad3]],VLOOKUP(COMPROMISOS_2025[[#This Row],[Indicador Principal]],$AC$2:$AD$17,2,0),0),"")</f>
        <v/>
      </c>
    </row>
    <row r="2402" spans="1:25" hidden="1" x14ac:dyDescent="0.25">
      <c r="A2402">
        <v>1916</v>
      </c>
      <c r="B2402" t="s">
        <v>2491</v>
      </c>
      <c r="C2402" t="s">
        <v>1936</v>
      </c>
      <c r="D2402" t="s">
        <v>4182</v>
      </c>
      <c r="F2402">
        <v>406</v>
      </c>
      <c r="G2402">
        <v>65</v>
      </c>
      <c r="H2402" t="s">
        <v>662</v>
      </c>
      <c r="I2402" t="s">
        <v>2271</v>
      </c>
      <c r="J2402">
        <v>1067625</v>
      </c>
      <c r="K2402">
        <v>2025</v>
      </c>
      <c r="L2402">
        <v>1110364718</v>
      </c>
      <c r="M2402" t="s">
        <v>4437</v>
      </c>
      <c r="N2402" t="s">
        <v>1688</v>
      </c>
      <c r="O2402" t="s">
        <v>1686</v>
      </c>
      <c r="P2402">
        <v>0</v>
      </c>
      <c r="Q2402">
        <v>1067625</v>
      </c>
      <c r="R2402">
        <v>0</v>
      </c>
      <c r="S2402">
        <v>0</v>
      </c>
      <c r="T2402" t="str">
        <f t="shared" si="74"/>
        <v>19162.43.4302.85.0-205128.2.3.3.08.06.</v>
      </c>
      <c r="U2402" t="e" cm="1">
        <f t="array" aca="1" ref="U2402" ca="1">+IF(COMPROMISOS_2025[[#This Row],[P]]="20","41080111",_xlfn.XLOOKUP(COMPROMISOS_2025[[#This Row],[concatenado]],PAA[[#All],[RCP-RUBRO]],PAA[[#All],[INDICADOR]],"",0))</f>
        <v>#NAME?</v>
      </c>
      <c r="V2402" s="144" t="str">
        <f t="shared" si="75"/>
        <v>85</v>
      </c>
      <c r="W2402" s="136">
        <f>+COMPROMISOS_2025[[#This Row],[valor_total]]-COMPROMISOS_2025[[#This Row],[total_cancelado]]</f>
        <v>1067625</v>
      </c>
      <c r="X2402" s="136">
        <f>COMPROMISOS_2025[[#This Row],[total_ordenes]]</f>
        <v>1067625</v>
      </c>
      <c r="Y2402" t="str" cm="1">
        <f t="array" aca="1" ref="Y2402" ca="1">IFERROR(_xlfn.XLOOKUP(COMPROMISOS_2025[[#This Row],[concatenado]],PAA[[#All],[RCP-RUBRO]],PAA[[#All],[Actividad3]],VLOOKUP(COMPROMISOS_2025[[#This Row],[Indicador Principal]],$AC$2:$AD$17,2,0),0),"")</f>
        <v/>
      </c>
    </row>
    <row r="2403" spans="1:25" hidden="1" x14ac:dyDescent="0.25">
      <c r="A2403">
        <v>1917</v>
      </c>
      <c r="B2403" t="s">
        <v>2491</v>
      </c>
      <c r="C2403" t="s">
        <v>1936</v>
      </c>
      <c r="D2403" t="s">
        <v>4182</v>
      </c>
      <c r="F2403">
        <v>406</v>
      </c>
      <c r="G2403">
        <v>65</v>
      </c>
      <c r="H2403" t="s">
        <v>662</v>
      </c>
      <c r="I2403" t="s">
        <v>2271</v>
      </c>
      <c r="J2403">
        <v>2847000</v>
      </c>
      <c r="K2403">
        <v>2025</v>
      </c>
      <c r="L2403">
        <v>1110481474</v>
      </c>
      <c r="M2403" t="s">
        <v>4438</v>
      </c>
      <c r="N2403" t="s">
        <v>1688</v>
      </c>
      <c r="O2403" t="s">
        <v>1686</v>
      </c>
      <c r="P2403">
        <v>0</v>
      </c>
      <c r="Q2403">
        <v>2847000</v>
      </c>
      <c r="R2403">
        <v>0</v>
      </c>
      <c r="S2403">
        <v>0</v>
      </c>
      <c r="T2403" t="str">
        <f t="shared" si="74"/>
        <v>19172.43.4302.85.0-205128.2.3.3.08.06.</v>
      </c>
      <c r="U2403" t="e" cm="1">
        <f t="array" aca="1" ref="U2403" ca="1">+IF(COMPROMISOS_2025[[#This Row],[P]]="20","41080111",_xlfn.XLOOKUP(COMPROMISOS_2025[[#This Row],[concatenado]],PAA[[#All],[RCP-RUBRO]],PAA[[#All],[INDICADOR]],"",0))</f>
        <v>#NAME?</v>
      </c>
      <c r="V2403" s="144" t="str">
        <f t="shared" si="75"/>
        <v>85</v>
      </c>
      <c r="W2403" s="136">
        <f>+COMPROMISOS_2025[[#This Row],[valor_total]]-COMPROMISOS_2025[[#This Row],[total_cancelado]]</f>
        <v>2847000</v>
      </c>
      <c r="X2403" s="136">
        <f>COMPROMISOS_2025[[#This Row],[total_ordenes]]</f>
        <v>2847000</v>
      </c>
      <c r="Y2403" t="str" cm="1">
        <f t="array" aca="1" ref="Y2403" ca="1">IFERROR(_xlfn.XLOOKUP(COMPROMISOS_2025[[#This Row],[concatenado]],PAA[[#All],[RCP-RUBRO]],PAA[[#All],[Actividad3]],VLOOKUP(COMPROMISOS_2025[[#This Row],[Indicador Principal]],$AC$2:$AD$17,2,0),0),"")</f>
        <v/>
      </c>
    </row>
    <row r="2404" spans="1:25" hidden="1" x14ac:dyDescent="0.25">
      <c r="A2404">
        <v>1918</v>
      </c>
      <c r="B2404" t="s">
        <v>2491</v>
      </c>
      <c r="C2404" t="s">
        <v>1936</v>
      </c>
      <c r="D2404" t="s">
        <v>4182</v>
      </c>
      <c r="F2404">
        <v>406</v>
      </c>
      <c r="G2404">
        <v>65</v>
      </c>
      <c r="H2404" t="s">
        <v>662</v>
      </c>
      <c r="I2404" t="s">
        <v>2271</v>
      </c>
      <c r="J2404">
        <v>711750</v>
      </c>
      <c r="K2404">
        <v>2025</v>
      </c>
      <c r="L2404">
        <v>1111677509</v>
      </c>
      <c r="M2404" t="s">
        <v>4439</v>
      </c>
      <c r="N2404" t="s">
        <v>1688</v>
      </c>
      <c r="O2404" t="s">
        <v>1686</v>
      </c>
      <c r="P2404">
        <v>0</v>
      </c>
      <c r="Q2404">
        <v>711750</v>
      </c>
      <c r="R2404">
        <v>0</v>
      </c>
      <c r="S2404">
        <v>0</v>
      </c>
      <c r="T2404" t="str">
        <f t="shared" si="74"/>
        <v>19182.43.4302.85.0-205128.2.3.3.08.06.</v>
      </c>
      <c r="U2404" t="e" cm="1">
        <f t="array" aca="1" ref="U2404" ca="1">+IF(COMPROMISOS_2025[[#This Row],[P]]="20","41080111",_xlfn.XLOOKUP(COMPROMISOS_2025[[#This Row],[concatenado]],PAA[[#All],[RCP-RUBRO]],PAA[[#All],[INDICADOR]],"",0))</f>
        <v>#NAME?</v>
      </c>
      <c r="V2404" s="144" t="str">
        <f t="shared" si="75"/>
        <v>85</v>
      </c>
      <c r="W2404" s="136">
        <f>+COMPROMISOS_2025[[#This Row],[valor_total]]-COMPROMISOS_2025[[#This Row],[total_cancelado]]</f>
        <v>711750</v>
      </c>
      <c r="X2404" s="136">
        <f>COMPROMISOS_2025[[#This Row],[total_ordenes]]</f>
        <v>711750</v>
      </c>
      <c r="Y2404" t="str" cm="1">
        <f t="array" aca="1" ref="Y2404" ca="1">IFERROR(_xlfn.XLOOKUP(COMPROMISOS_2025[[#This Row],[concatenado]],PAA[[#All],[RCP-RUBRO]],PAA[[#All],[Actividad3]],VLOOKUP(COMPROMISOS_2025[[#This Row],[Indicador Principal]],$AC$2:$AD$17,2,0),0),"")</f>
        <v/>
      </c>
    </row>
    <row r="2405" spans="1:25" hidden="1" x14ac:dyDescent="0.25">
      <c r="A2405">
        <v>1919</v>
      </c>
      <c r="B2405" t="s">
        <v>2491</v>
      </c>
      <c r="C2405" t="s">
        <v>1936</v>
      </c>
      <c r="D2405" t="s">
        <v>4182</v>
      </c>
      <c r="F2405">
        <v>406</v>
      </c>
      <c r="G2405">
        <v>65</v>
      </c>
      <c r="H2405" t="s">
        <v>662</v>
      </c>
      <c r="I2405" t="s">
        <v>2271</v>
      </c>
      <c r="J2405">
        <v>711750</v>
      </c>
      <c r="K2405">
        <v>2025</v>
      </c>
      <c r="L2405">
        <v>1113314645</v>
      </c>
      <c r="M2405" t="s">
        <v>4129</v>
      </c>
      <c r="N2405" t="s">
        <v>1688</v>
      </c>
      <c r="O2405" t="s">
        <v>1686</v>
      </c>
      <c r="P2405">
        <v>0</v>
      </c>
      <c r="Q2405">
        <v>711750</v>
      </c>
      <c r="R2405">
        <v>0</v>
      </c>
      <c r="S2405">
        <v>0</v>
      </c>
      <c r="T2405" t="str">
        <f t="shared" si="74"/>
        <v>19192.43.4302.85.0-205128.2.3.3.08.06.</v>
      </c>
      <c r="U2405" t="e" cm="1">
        <f t="array" aca="1" ref="U2405" ca="1">+IF(COMPROMISOS_2025[[#This Row],[P]]="20","41080111",_xlfn.XLOOKUP(COMPROMISOS_2025[[#This Row],[concatenado]],PAA[[#All],[RCP-RUBRO]],PAA[[#All],[INDICADOR]],"",0))</f>
        <v>#NAME?</v>
      </c>
      <c r="V2405" s="144" t="str">
        <f t="shared" si="75"/>
        <v>85</v>
      </c>
      <c r="W2405" s="136">
        <f>+COMPROMISOS_2025[[#This Row],[valor_total]]-COMPROMISOS_2025[[#This Row],[total_cancelado]]</f>
        <v>711750</v>
      </c>
      <c r="X2405" s="136">
        <f>COMPROMISOS_2025[[#This Row],[total_ordenes]]</f>
        <v>711750</v>
      </c>
      <c r="Y2405" t="str" cm="1">
        <f t="array" aca="1" ref="Y2405" ca="1">IFERROR(_xlfn.XLOOKUP(COMPROMISOS_2025[[#This Row],[concatenado]],PAA[[#All],[RCP-RUBRO]],PAA[[#All],[Actividad3]],VLOOKUP(COMPROMISOS_2025[[#This Row],[Indicador Principal]],$AC$2:$AD$17,2,0),0),"")</f>
        <v/>
      </c>
    </row>
    <row r="2406" spans="1:25" hidden="1" x14ac:dyDescent="0.25">
      <c r="A2406">
        <v>1920</v>
      </c>
      <c r="B2406" t="s">
        <v>2491</v>
      </c>
      <c r="C2406" t="s">
        <v>1936</v>
      </c>
      <c r="D2406" t="s">
        <v>4182</v>
      </c>
      <c r="F2406">
        <v>406</v>
      </c>
      <c r="G2406">
        <v>65</v>
      </c>
      <c r="H2406" t="s">
        <v>662</v>
      </c>
      <c r="I2406" t="s">
        <v>2271</v>
      </c>
      <c r="J2406">
        <v>711750</v>
      </c>
      <c r="K2406">
        <v>2025</v>
      </c>
      <c r="L2406">
        <v>1113779786</v>
      </c>
      <c r="M2406" t="s">
        <v>3872</v>
      </c>
      <c r="N2406" t="s">
        <v>1688</v>
      </c>
      <c r="O2406" t="s">
        <v>1686</v>
      </c>
      <c r="P2406">
        <v>0</v>
      </c>
      <c r="Q2406">
        <v>711750</v>
      </c>
      <c r="R2406">
        <v>0</v>
      </c>
      <c r="S2406">
        <v>0</v>
      </c>
      <c r="T2406" t="str">
        <f t="shared" si="74"/>
        <v>19202.43.4302.85.0-205128.2.3.3.08.06.</v>
      </c>
      <c r="U2406" t="e" cm="1">
        <f t="array" aca="1" ref="U2406" ca="1">+IF(COMPROMISOS_2025[[#This Row],[P]]="20","41080111",_xlfn.XLOOKUP(COMPROMISOS_2025[[#This Row],[concatenado]],PAA[[#All],[RCP-RUBRO]],PAA[[#All],[INDICADOR]],"",0))</f>
        <v>#NAME?</v>
      </c>
      <c r="V2406" s="144" t="str">
        <f t="shared" si="75"/>
        <v>85</v>
      </c>
      <c r="W2406" s="136">
        <f>+COMPROMISOS_2025[[#This Row],[valor_total]]-COMPROMISOS_2025[[#This Row],[total_cancelado]]</f>
        <v>711750</v>
      </c>
      <c r="X2406" s="136">
        <f>COMPROMISOS_2025[[#This Row],[total_ordenes]]</f>
        <v>711750</v>
      </c>
      <c r="Y2406" t="str" cm="1">
        <f t="array" aca="1" ref="Y2406" ca="1">IFERROR(_xlfn.XLOOKUP(COMPROMISOS_2025[[#This Row],[concatenado]],PAA[[#All],[RCP-RUBRO]],PAA[[#All],[Actividad3]],VLOOKUP(COMPROMISOS_2025[[#This Row],[Indicador Principal]],$AC$2:$AD$17,2,0),0),"")</f>
        <v/>
      </c>
    </row>
    <row r="2407" spans="1:25" hidden="1" x14ac:dyDescent="0.25">
      <c r="A2407">
        <v>1921</v>
      </c>
      <c r="B2407" t="s">
        <v>2491</v>
      </c>
      <c r="C2407" t="s">
        <v>1936</v>
      </c>
      <c r="D2407" t="s">
        <v>4182</v>
      </c>
      <c r="F2407">
        <v>406</v>
      </c>
      <c r="G2407">
        <v>65</v>
      </c>
      <c r="H2407" t="s">
        <v>662</v>
      </c>
      <c r="I2407" t="s">
        <v>2271</v>
      </c>
      <c r="J2407">
        <v>711750</v>
      </c>
      <c r="K2407">
        <v>2025</v>
      </c>
      <c r="L2407">
        <v>1113864199</v>
      </c>
      <c r="M2407" t="s">
        <v>3873</v>
      </c>
      <c r="N2407" t="s">
        <v>1688</v>
      </c>
      <c r="O2407" t="s">
        <v>1686</v>
      </c>
      <c r="P2407">
        <v>0</v>
      </c>
      <c r="Q2407">
        <v>711750</v>
      </c>
      <c r="R2407">
        <v>0</v>
      </c>
      <c r="S2407">
        <v>0</v>
      </c>
      <c r="T2407" t="str">
        <f t="shared" si="74"/>
        <v>19212.43.4302.85.0-205128.2.3.3.08.06.</v>
      </c>
      <c r="U2407" t="e" cm="1">
        <f t="array" aca="1" ref="U2407" ca="1">+IF(COMPROMISOS_2025[[#This Row],[P]]="20","41080111",_xlfn.XLOOKUP(COMPROMISOS_2025[[#This Row],[concatenado]],PAA[[#All],[RCP-RUBRO]],PAA[[#All],[INDICADOR]],"",0))</f>
        <v>#NAME?</v>
      </c>
      <c r="V2407" s="144" t="str">
        <f t="shared" si="75"/>
        <v>85</v>
      </c>
      <c r="W2407" s="136">
        <f>+COMPROMISOS_2025[[#This Row],[valor_total]]-COMPROMISOS_2025[[#This Row],[total_cancelado]]</f>
        <v>711750</v>
      </c>
      <c r="X2407" s="136">
        <f>COMPROMISOS_2025[[#This Row],[total_ordenes]]</f>
        <v>711750</v>
      </c>
      <c r="Y2407" t="str" cm="1">
        <f t="array" aca="1" ref="Y2407" ca="1">IFERROR(_xlfn.XLOOKUP(COMPROMISOS_2025[[#This Row],[concatenado]],PAA[[#All],[RCP-RUBRO]],PAA[[#All],[Actividad3]],VLOOKUP(COMPROMISOS_2025[[#This Row],[Indicador Principal]],$AC$2:$AD$17,2,0),0),"")</f>
        <v/>
      </c>
    </row>
    <row r="2408" spans="1:25" hidden="1" x14ac:dyDescent="0.25">
      <c r="A2408">
        <v>1922</v>
      </c>
      <c r="B2408" t="s">
        <v>2491</v>
      </c>
      <c r="C2408" t="s">
        <v>1936</v>
      </c>
      <c r="D2408" t="s">
        <v>4182</v>
      </c>
      <c r="F2408">
        <v>406</v>
      </c>
      <c r="G2408">
        <v>65</v>
      </c>
      <c r="H2408" t="s">
        <v>662</v>
      </c>
      <c r="I2408" t="s">
        <v>2271</v>
      </c>
      <c r="J2408">
        <v>711750</v>
      </c>
      <c r="K2408">
        <v>2025</v>
      </c>
      <c r="L2408">
        <v>1114000026</v>
      </c>
      <c r="M2408" t="s">
        <v>3874</v>
      </c>
      <c r="N2408" t="s">
        <v>1688</v>
      </c>
      <c r="O2408" t="s">
        <v>1686</v>
      </c>
      <c r="P2408">
        <v>0</v>
      </c>
      <c r="Q2408">
        <v>711750</v>
      </c>
      <c r="R2408">
        <v>0</v>
      </c>
      <c r="S2408">
        <v>0</v>
      </c>
      <c r="T2408" t="str">
        <f t="shared" si="74"/>
        <v>19222.43.4302.85.0-205128.2.3.3.08.06.</v>
      </c>
      <c r="U2408" t="e" cm="1">
        <f t="array" aca="1" ref="U2408" ca="1">+IF(COMPROMISOS_2025[[#This Row],[P]]="20","41080111",_xlfn.XLOOKUP(COMPROMISOS_2025[[#This Row],[concatenado]],PAA[[#All],[RCP-RUBRO]],PAA[[#All],[INDICADOR]],"",0))</f>
        <v>#NAME?</v>
      </c>
      <c r="V2408" s="144" t="str">
        <f t="shared" si="75"/>
        <v>85</v>
      </c>
      <c r="W2408" s="136">
        <f>+COMPROMISOS_2025[[#This Row],[valor_total]]-COMPROMISOS_2025[[#This Row],[total_cancelado]]</f>
        <v>711750</v>
      </c>
      <c r="X2408" s="136">
        <f>COMPROMISOS_2025[[#This Row],[total_ordenes]]</f>
        <v>711750</v>
      </c>
      <c r="Y2408" t="str" cm="1">
        <f t="array" aca="1" ref="Y2408" ca="1">IFERROR(_xlfn.XLOOKUP(COMPROMISOS_2025[[#This Row],[concatenado]],PAA[[#All],[RCP-RUBRO]],PAA[[#All],[Actividad3]],VLOOKUP(COMPROMISOS_2025[[#This Row],[Indicador Principal]],$AC$2:$AD$17,2,0),0),"")</f>
        <v/>
      </c>
    </row>
    <row r="2409" spans="1:25" hidden="1" x14ac:dyDescent="0.25">
      <c r="A2409">
        <v>1923</v>
      </c>
      <c r="B2409" t="s">
        <v>2491</v>
      </c>
      <c r="C2409" t="s">
        <v>1936</v>
      </c>
      <c r="D2409" t="s">
        <v>4182</v>
      </c>
      <c r="F2409">
        <v>406</v>
      </c>
      <c r="G2409">
        <v>65</v>
      </c>
      <c r="H2409" t="s">
        <v>662</v>
      </c>
      <c r="I2409" t="s">
        <v>2271</v>
      </c>
      <c r="J2409">
        <v>711750</v>
      </c>
      <c r="K2409">
        <v>2025</v>
      </c>
      <c r="L2409">
        <v>1114092848</v>
      </c>
      <c r="M2409" t="s">
        <v>4130</v>
      </c>
      <c r="N2409" t="s">
        <v>1688</v>
      </c>
      <c r="O2409" t="s">
        <v>1686</v>
      </c>
      <c r="P2409">
        <v>0</v>
      </c>
      <c r="Q2409">
        <v>711750</v>
      </c>
      <c r="R2409">
        <v>0</v>
      </c>
      <c r="S2409">
        <v>0</v>
      </c>
      <c r="T2409" t="str">
        <f t="shared" si="74"/>
        <v>19232.43.4302.85.0-205128.2.3.3.08.06.</v>
      </c>
      <c r="U2409" t="e" cm="1">
        <f t="array" aca="1" ref="U2409" ca="1">+IF(COMPROMISOS_2025[[#This Row],[P]]="20","41080111",_xlfn.XLOOKUP(COMPROMISOS_2025[[#This Row],[concatenado]],PAA[[#All],[RCP-RUBRO]],PAA[[#All],[INDICADOR]],"",0))</f>
        <v>#NAME?</v>
      </c>
      <c r="V2409" s="144" t="str">
        <f t="shared" si="75"/>
        <v>85</v>
      </c>
      <c r="W2409" s="136">
        <f>+COMPROMISOS_2025[[#This Row],[valor_total]]-COMPROMISOS_2025[[#This Row],[total_cancelado]]</f>
        <v>711750</v>
      </c>
      <c r="X2409" s="136">
        <f>COMPROMISOS_2025[[#This Row],[total_ordenes]]</f>
        <v>711750</v>
      </c>
      <c r="Y2409" t="str" cm="1">
        <f t="array" aca="1" ref="Y2409" ca="1">IFERROR(_xlfn.XLOOKUP(COMPROMISOS_2025[[#This Row],[concatenado]],PAA[[#All],[RCP-RUBRO]],PAA[[#All],[Actividad3]],VLOOKUP(COMPROMISOS_2025[[#This Row],[Indicador Principal]],$AC$2:$AD$17,2,0),0),"")</f>
        <v/>
      </c>
    </row>
    <row r="2410" spans="1:25" hidden="1" x14ac:dyDescent="0.25">
      <c r="A2410">
        <v>1924</v>
      </c>
      <c r="B2410" t="s">
        <v>2491</v>
      </c>
      <c r="C2410" t="s">
        <v>1936</v>
      </c>
      <c r="D2410" t="s">
        <v>4182</v>
      </c>
      <c r="F2410">
        <v>406</v>
      </c>
      <c r="G2410">
        <v>65</v>
      </c>
      <c r="H2410" t="s">
        <v>662</v>
      </c>
      <c r="I2410" t="s">
        <v>2271</v>
      </c>
      <c r="J2410">
        <v>711750</v>
      </c>
      <c r="K2410">
        <v>2025</v>
      </c>
      <c r="L2410">
        <v>1114154008</v>
      </c>
      <c r="M2410" t="s">
        <v>3875</v>
      </c>
      <c r="N2410" t="s">
        <v>1688</v>
      </c>
      <c r="O2410" t="s">
        <v>1686</v>
      </c>
      <c r="P2410">
        <v>0</v>
      </c>
      <c r="Q2410">
        <v>711750</v>
      </c>
      <c r="R2410">
        <v>0</v>
      </c>
      <c r="S2410">
        <v>0</v>
      </c>
      <c r="T2410" t="str">
        <f t="shared" si="74"/>
        <v>19242.43.4302.85.0-205128.2.3.3.08.06.</v>
      </c>
      <c r="U2410" t="e" cm="1">
        <f t="array" aca="1" ref="U2410" ca="1">+IF(COMPROMISOS_2025[[#This Row],[P]]="20","41080111",_xlfn.XLOOKUP(COMPROMISOS_2025[[#This Row],[concatenado]],PAA[[#All],[RCP-RUBRO]],PAA[[#All],[INDICADOR]],"",0))</f>
        <v>#NAME?</v>
      </c>
      <c r="V2410" s="144" t="str">
        <f t="shared" si="75"/>
        <v>85</v>
      </c>
      <c r="W2410" s="136">
        <f>+COMPROMISOS_2025[[#This Row],[valor_total]]-COMPROMISOS_2025[[#This Row],[total_cancelado]]</f>
        <v>711750</v>
      </c>
      <c r="X2410" s="136">
        <f>COMPROMISOS_2025[[#This Row],[total_ordenes]]</f>
        <v>711750</v>
      </c>
      <c r="Y2410" t="str" cm="1">
        <f t="array" aca="1" ref="Y2410" ca="1">IFERROR(_xlfn.XLOOKUP(COMPROMISOS_2025[[#This Row],[concatenado]],PAA[[#All],[RCP-RUBRO]],PAA[[#All],[Actividad3]],VLOOKUP(COMPROMISOS_2025[[#This Row],[Indicador Principal]],$AC$2:$AD$17,2,0),0),"")</f>
        <v/>
      </c>
    </row>
    <row r="2411" spans="1:25" hidden="1" x14ac:dyDescent="0.25">
      <c r="A2411">
        <v>1925</v>
      </c>
      <c r="B2411" t="s">
        <v>2491</v>
      </c>
      <c r="C2411" t="s">
        <v>1936</v>
      </c>
      <c r="D2411" t="s">
        <v>4182</v>
      </c>
      <c r="F2411">
        <v>406</v>
      </c>
      <c r="G2411">
        <v>65</v>
      </c>
      <c r="H2411" t="s">
        <v>662</v>
      </c>
      <c r="I2411" t="s">
        <v>2271</v>
      </c>
      <c r="J2411">
        <v>711750</v>
      </c>
      <c r="K2411">
        <v>2025</v>
      </c>
      <c r="L2411">
        <v>1114823559</v>
      </c>
      <c r="M2411" t="s">
        <v>3876</v>
      </c>
      <c r="N2411" t="s">
        <v>1688</v>
      </c>
      <c r="O2411" t="s">
        <v>1686</v>
      </c>
      <c r="P2411">
        <v>0</v>
      </c>
      <c r="Q2411">
        <v>711750</v>
      </c>
      <c r="R2411">
        <v>0</v>
      </c>
      <c r="S2411">
        <v>0</v>
      </c>
      <c r="T2411" t="str">
        <f t="shared" si="74"/>
        <v>19252.43.4302.85.0-205128.2.3.3.08.06.</v>
      </c>
      <c r="U2411" t="e" cm="1">
        <f t="array" aca="1" ref="U2411" ca="1">+IF(COMPROMISOS_2025[[#This Row],[P]]="20","41080111",_xlfn.XLOOKUP(COMPROMISOS_2025[[#This Row],[concatenado]],PAA[[#All],[RCP-RUBRO]],PAA[[#All],[INDICADOR]],"",0))</f>
        <v>#NAME?</v>
      </c>
      <c r="V2411" s="144" t="str">
        <f t="shared" si="75"/>
        <v>85</v>
      </c>
      <c r="W2411" s="136">
        <f>+COMPROMISOS_2025[[#This Row],[valor_total]]-COMPROMISOS_2025[[#This Row],[total_cancelado]]</f>
        <v>711750</v>
      </c>
      <c r="X2411" s="136">
        <f>COMPROMISOS_2025[[#This Row],[total_ordenes]]</f>
        <v>711750</v>
      </c>
      <c r="Y2411" t="str" cm="1">
        <f t="array" aca="1" ref="Y2411" ca="1">IFERROR(_xlfn.XLOOKUP(COMPROMISOS_2025[[#This Row],[concatenado]],PAA[[#All],[RCP-RUBRO]],PAA[[#All],[Actividad3]],VLOOKUP(COMPROMISOS_2025[[#This Row],[Indicador Principal]],$AC$2:$AD$17,2,0),0),"")</f>
        <v/>
      </c>
    </row>
    <row r="2412" spans="1:25" hidden="1" x14ac:dyDescent="0.25">
      <c r="A2412">
        <v>1926</v>
      </c>
      <c r="B2412" t="s">
        <v>2491</v>
      </c>
      <c r="C2412" t="s">
        <v>1936</v>
      </c>
      <c r="D2412" t="s">
        <v>4182</v>
      </c>
      <c r="F2412">
        <v>406</v>
      </c>
      <c r="G2412">
        <v>65</v>
      </c>
      <c r="H2412" t="s">
        <v>662</v>
      </c>
      <c r="I2412" t="s">
        <v>2271</v>
      </c>
      <c r="J2412">
        <v>711750</v>
      </c>
      <c r="K2412">
        <v>2025</v>
      </c>
      <c r="L2412">
        <v>1115094317</v>
      </c>
      <c r="M2412" t="s">
        <v>4131</v>
      </c>
      <c r="N2412" t="s">
        <v>1688</v>
      </c>
      <c r="O2412" t="s">
        <v>1686</v>
      </c>
      <c r="P2412">
        <v>0</v>
      </c>
      <c r="Q2412">
        <v>711750</v>
      </c>
      <c r="R2412">
        <v>0</v>
      </c>
      <c r="S2412">
        <v>0</v>
      </c>
      <c r="T2412" t="str">
        <f t="shared" si="74"/>
        <v>19262.43.4302.85.0-205128.2.3.3.08.06.</v>
      </c>
      <c r="U2412" t="e" cm="1">
        <f t="array" aca="1" ref="U2412" ca="1">+IF(COMPROMISOS_2025[[#This Row],[P]]="20","41080111",_xlfn.XLOOKUP(COMPROMISOS_2025[[#This Row],[concatenado]],PAA[[#All],[RCP-RUBRO]],PAA[[#All],[INDICADOR]],"",0))</f>
        <v>#NAME?</v>
      </c>
      <c r="V2412" s="144" t="str">
        <f t="shared" si="75"/>
        <v>85</v>
      </c>
      <c r="W2412" s="136">
        <f>+COMPROMISOS_2025[[#This Row],[valor_total]]-COMPROMISOS_2025[[#This Row],[total_cancelado]]</f>
        <v>711750</v>
      </c>
      <c r="X2412" s="136">
        <f>COMPROMISOS_2025[[#This Row],[total_ordenes]]</f>
        <v>711750</v>
      </c>
      <c r="Y2412" t="str" cm="1">
        <f t="array" aca="1" ref="Y2412" ca="1">IFERROR(_xlfn.XLOOKUP(COMPROMISOS_2025[[#This Row],[concatenado]],PAA[[#All],[RCP-RUBRO]],PAA[[#All],[Actividad3]],VLOOKUP(COMPROMISOS_2025[[#This Row],[Indicador Principal]],$AC$2:$AD$17,2,0),0),"")</f>
        <v/>
      </c>
    </row>
    <row r="2413" spans="1:25" hidden="1" x14ac:dyDescent="0.25">
      <c r="A2413">
        <v>1927</v>
      </c>
      <c r="B2413" t="s">
        <v>2491</v>
      </c>
      <c r="C2413" t="s">
        <v>1936</v>
      </c>
      <c r="D2413" t="s">
        <v>4182</v>
      </c>
      <c r="F2413">
        <v>406</v>
      </c>
      <c r="G2413">
        <v>65</v>
      </c>
      <c r="H2413" t="s">
        <v>662</v>
      </c>
      <c r="I2413" t="s">
        <v>2271</v>
      </c>
      <c r="J2413">
        <v>711750</v>
      </c>
      <c r="K2413">
        <v>2025</v>
      </c>
      <c r="L2413">
        <v>1116071546</v>
      </c>
      <c r="M2413" t="s">
        <v>4440</v>
      </c>
      <c r="N2413" t="s">
        <v>1688</v>
      </c>
      <c r="O2413" t="s">
        <v>1686</v>
      </c>
      <c r="P2413">
        <v>0</v>
      </c>
      <c r="Q2413">
        <v>711750</v>
      </c>
      <c r="R2413">
        <v>0</v>
      </c>
      <c r="S2413">
        <v>0</v>
      </c>
      <c r="T2413" t="str">
        <f t="shared" si="74"/>
        <v>19272.43.4302.85.0-205128.2.3.3.08.06.</v>
      </c>
      <c r="U2413" t="e" cm="1">
        <f t="array" aca="1" ref="U2413" ca="1">+IF(COMPROMISOS_2025[[#This Row],[P]]="20","41080111",_xlfn.XLOOKUP(COMPROMISOS_2025[[#This Row],[concatenado]],PAA[[#All],[RCP-RUBRO]],PAA[[#All],[INDICADOR]],"",0))</f>
        <v>#NAME?</v>
      </c>
      <c r="V2413" s="144" t="str">
        <f t="shared" si="75"/>
        <v>85</v>
      </c>
      <c r="W2413" s="136">
        <f>+COMPROMISOS_2025[[#This Row],[valor_total]]-COMPROMISOS_2025[[#This Row],[total_cancelado]]</f>
        <v>711750</v>
      </c>
      <c r="X2413" s="136">
        <f>COMPROMISOS_2025[[#This Row],[total_ordenes]]</f>
        <v>711750</v>
      </c>
      <c r="Y2413" t="str" cm="1">
        <f t="array" aca="1" ref="Y2413" ca="1">IFERROR(_xlfn.XLOOKUP(COMPROMISOS_2025[[#This Row],[concatenado]],PAA[[#All],[RCP-RUBRO]],PAA[[#All],[Actividad3]],VLOOKUP(COMPROMISOS_2025[[#This Row],[Indicador Principal]],$AC$2:$AD$17,2,0),0),"")</f>
        <v/>
      </c>
    </row>
    <row r="2414" spans="1:25" hidden="1" x14ac:dyDescent="0.25">
      <c r="A2414">
        <v>1928</v>
      </c>
      <c r="B2414" t="s">
        <v>2491</v>
      </c>
      <c r="C2414" t="s">
        <v>1936</v>
      </c>
      <c r="D2414" t="s">
        <v>4182</v>
      </c>
      <c r="F2414">
        <v>406</v>
      </c>
      <c r="G2414">
        <v>65</v>
      </c>
      <c r="H2414" t="s">
        <v>662</v>
      </c>
      <c r="I2414" t="s">
        <v>2271</v>
      </c>
      <c r="J2414">
        <v>711750</v>
      </c>
      <c r="K2414">
        <v>2025</v>
      </c>
      <c r="L2414">
        <v>1117533562</v>
      </c>
      <c r="M2414" t="s">
        <v>4441</v>
      </c>
      <c r="N2414" t="s">
        <v>1688</v>
      </c>
      <c r="O2414" t="s">
        <v>1686</v>
      </c>
      <c r="P2414">
        <v>0</v>
      </c>
      <c r="Q2414">
        <v>711750</v>
      </c>
      <c r="R2414">
        <v>0</v>
      </c>
      <c r="S2414">
        <v>0</v>
      </c>
      <c r="T2414" t="str">
        <f t="shared" si="74"/>
        <v>19282.43.4302.85.0-205128.2.3.3.08.06.</v>
      </c>
      <c r="U2414" t="e" cm="1">
        <f t="array" aca="1" ref="U2414" ca="1">+IF(COMPROMISOS_2025[[#This Row],[P]]="20","41080111",_xlfn.XLOOKUP(COMPROMISOS_2025[[#This Row],[concatenado]],PAA[[#All],[RCP-RUBRO]],PAA[[#All],[INDICADOR]],"",0))</f>
        <v>#NAME?</v>
      </c>
      <c r="V2414" s="144" t="str">
        <f t="shared" si="75"/>
        <v>85</v>
      </c>
      <c r="W2414" s="136">
        <f>+COMPROMISOS_2025[[#This Row],[valor_total]]-COMPROMISOS_2025[[#This Row],[total_cancelado]]</f>
        <v>711750</v>
      </c>
      <c r="X2414" s="136">
        <f>COMPROMISOS_2025[[#This Row],[total_ordenes]]</f>
        <v>711750</v>
      </c>
      <c r="Y2414" t="str" cm="1">
        <f t="array" aca="1" ref="Y2414" ca="1">IFERROR(_xlfn.XLOOKUP(COMPROMISOS_2025[[#This Row],[concatenado]],PAA[[#All],[RCP-RUBRO]],PAA[[#All],[Actividad3]],VLOOKUP(COMPROMISOS_2025[[#This Row],[Indicador Principal]],$AC$2:$AD$17,2,0),0),"")</f>
        <v/>
      </c>
    </row>
    <row r="2415" spans="1:25" hidden="1" x14ac:dyDescent="0.25">
      <c r="A2415">
        <v>1929</v>
      </c>
      <c r="B2415" t="s">
        <v>2491</v>
      </c>
      <c r="C2415" t="s">
        <v>1936</v>
      </c>
      <c r="D2415" t="s">
        <v>4182</v>
      </c>
      <c r="F2415">
        <v>406</v>
      </c>
      <c r="G2415">
        <v>65</v>
      </c>
      <c r="H2415" t="s">
        <v>662</v>
      </c>
      <c r="I2415" t="s">
        <v>2271</v>
      </c>
      <c r="J2415">
        <v>4270500</v>
      </c>
      <c r="K2415">
        <v>2025</v>
      </c>
      <c r="L2415">
        <v>1121716735</v>
      </c>
      <c r="M2415" t="s">
        <v>4442</v>
      </c>
      <c r="N2415" t="s">
        <v>1688</v>
      </c>
      <c r="O2415" t="s">
        <v>1686</v>
      </c>
      <c r="P2415">
        <v>0</v>
      </c>
      <c r="Q2415">
        <v>4270500</v>
      </c>
      <c r="R2415">
        <v>0</v>
      </c>
      <c r="S2415">
        <v>0</v>
      </c>
      <c r="T2415" t="str">
        <f t="shared" si="74"/>
        <v>19292.43.4302.85.0-205128.2.3.3.08.06.</v>
      </c>
      <c r="U2415" t="e" cm="1">
        <f t="array" aca="1" ref="U2415" ca="1">+IF(COMPROMISOS_2025[[#This Row],[P]]="20","41080111",_xlfn.XLOOKUP(COMPROMISOS_2025[[#This Row],[concatenado]],PAA[[#All],[RCP-RUBRO]],PAA[[#All],[INDICADOR]],"",0))</f>
        <v>#NAME?</v>
      </c>
      <c r="V2415" s="144" t="str">
        <f t="shared" si="75"/>
        <v>85</v>
      </c>
      <c r="W2415" s="136">
        <f>+COMPROMISOS_2025[[#This Row],[valor_total]]-COMPROMISOS_2025[[#This Row],[total_cancelado]]</f>
        <v>4270500</v>
      </c>
      <c r="X2415" s="136">
        <f>COMPROMISOS_2025[[#This Row],[total_ordenes]]</f>
        <v>4270500</v>
      </c>
      <c r="Y2415" t="str" cm="1">
        <f t="array" aca="1" ref="Y2415" ca="1">IFERROR(_xlfn.XLOOKUP(COMPROMISOS_2025[[#This Row],[concatenado]],PAA[[#All],[RCP-RUBRO]],PAA[[#All],[Actividad3]],VLOOKUP(COMPROMISOS_2025[[#This Row],[Indicador Principal]],$AC$2:$AD$17,2,0),0),"")</f>
        <v/>
      </c>
    </row>
    <row r="2416" spans="1:25" hidden="1" x14ac:dyDescent="0.25">
      <c r="A2416">
        <v>1930</v>
      </c>
      <c r="B2416" t="s">
        <v>2491</v>
      </c>
      <c r="C2416" t="s">
        <v>1936</v>
      </c>
      <c r="D2416" t="s">
        <v>4182</v>
      </c>
      <c r="F2416">
        <v>406</v>
      </c>
      <c r="G2416">
        <v>65</v>
      </c>
      <c r="H2416" t="s">
        <v>662</v>
      </c>
      <c r="I2416" t="s">
        <v>2271</v>
      </c>
      <c r="J2416">
        <v>1067625</v>
      </c>
      <c r="K2416">
        <v>2025</v>
      </c>
      <c r="L2416">
        <v>1121929188</v>
      </c>
      <c r="M2416" t="s">
        <v>4443</v>
      </c>
      <c r="N2416" t="s">
        <v>1688</v>
      </c>
      <c r="O2416" t="s">
        <v>1686</v>
      </c>
      <c r="P2416">
        <v>0</v>
      </c>
      <c r="Q2416">
        <v>1067625</v>
      </c>
      <c r="R2416">
        <v>0</v>
      </c>
      <c r="S2416">
        <v>0</v>
      </c>
      <c r="T2416" t="str">
        <f t="shared" si="74"/>
        <v>19302.43.4302.85.0-205128.2.3.3.08.06.</v>
      </c>
      <c r="U2416" t="e" cm="1">
        <f t="array" aca="1" ref="U2416" ca="1">+IF(COMPROMISOS_2025[[#This Row],[P]]="20","41080111",_xlfn.XLOOKUP(COMPROMISOS_2025[[#This Row],[concatenado]],PAA[[#All],[RCP-RUBRO]],PAA[[#All],[INDICADOR]],"",0))</f>
        <v>#NAME?</v>
      </c>
      <c r="V2416" s="144" t="str">
        <f t="shared" si="75"/>
        <v>85</v>
      </c>
      <c r="W2416" s="136">
        <f>+COMPROMISOS_2025[[#This Row],[valor_total]]-COMPROMISOS_2025[[#This Row],[total_cancelado]]</f>
        <v>1067625</v>
      </c>
      <c r="X2416" s="136">
        <f>COMPROMISOS_2025[[#This Row],[total_ordenes]]</f>
        <v>1067625</v>
      </c>
      <c r="Y2416" t="str" cm="1">
        <f t="array" aca="1" ref="Y2416" ca="1">IFERROR(_xlfn.XLOOKUP(COMPROMISOS_2025[[#This Row],[concatenado]],PAA[[#All],[RCP-RUBRO]],PAA[[#All],[Actividad3]],VLOOKUP(COMPROMISOS_2025[[#This Row],[Indicador Principal]],$AC$2:$AD$17,2,0),0),"")</f>
        <v/>
      </c>
    </row>
    <row r="2417" spans="1:25" hidden="1" x14ac:dyDescent="0.25">
      <c r="A2417">
        <v>1931</v>
      </c>
      <c r="B2417" t="s">
        <v>2491</v>
      </c>
      <c r="C2417" t="s">
        <v>1936</v>
      </c>
      <c r="D2417" t="s">
        <v>4182</v>
      </c>
      <c r="F2417">
        <v>406</v>
      </c>
      <c r="G2417">
        <v>65</v>
      </c>
      <c r="H2417" t="s">
        <v>662</v>
      </c>
      <c r="I2417" t="s">
        <v>2271</v>
      </c>
      <c r="J2417">
        <v>711750</v>
      </c>
      <c r="K2417">
        <v>2025</v>
      </c>
      <c r="L2417">
        <v>1122398924</v>
      </c>
      <c r="M2417" t="s">
        <v>4444</v>
      </c>
      <c r="N2417" t="s">
        <v>1688</v>
      </c>
      <c r="O2417" t="s">
        <v>1686</v>
      </c>
      <c r="P2417">
        <v>0</v>
      </c>
      <c r="Q2417">
        <v>711750</v>
      </c>
      <c r="R2417">
        <v>0</v>
      </c>
      <c r="S2417">
        <v>0</v>
      </c>
      <c r="T2417" t="str">
        <f t="shared" si="74"/>
        <v>19312.43.4302.85.0-205128.2.3.3.08.06.</v>
      </c>
      <c r="U2417" t="e" cm="1">
        <f t="array" aca="1" ref="U2417" ca="1">+IF(COMPROMISOS_2025[[#This Row],[P]]="20","41080111",_xlfn.XLOOKUP(COMPROMISOS_2025[[#This Row],[concatenado]],PAA[[#All],[RCP-RUBRO]],PAA[[#All],[INDICADOR]],"",0))</f>
        <v>#NAME?</v>
      </c>
      <c r="V2417" s="144" t="str">
        <f t="shared" si="75"/>
        <v>85</v>
      </c>
      <c r="W2417" s="136">
        <f>+COMPROMISOS_2025[[#This Row],[valor_total]]-COMPROMISOS_2025[[#This Row],[total_cancelado]]</f>
        <v>711750</v>
      </c>
      <c r="X2417" s="136">
        <f>COMPROMISOS_2025[[#This Row],[total_ordenes]]</f>
        <v>711750</v>
      </c>
      <c r="Y2417" t="str" cm="1">
        <f t="array" aca="1" ref="Y2417" ca="1">IFERROR(_xlfn.XLOOKUP(COMPROMISOS_2025[[#This Row],[concatenado]],PAA[[#All],[RCP-RUBRO]],PAA[[#All],[Actividad3]],VLOOKUP(COMPROMISOS_2025[[#This Row],[Indicador Principal]],$AC$2:$AD$17,2,0),0),"")</f>
        <v/>
      </c>
    </row>
    <row r="2418" spans="1:25" hidden="1" x14ac:dyDescent="0.25">
      <c r="A2418">
        <v>1932</v>
      </c>
      <c r="B2418" t="s">
        <v>2491</v>
      </c>
      <c r="C2418" t="s">
        <v>1936</v>
      </c>
      <c r="D2418" t="s">
        <v>4182</v>
      </c>
      <c r="F2418">
        <v>406</v>
      </c>
      <c r="G2418">
        <v>65</v>
      </c>
      <c r="H2418" t="s">
        <v>662</v>
      </c>
      <c r="I2418" t="s">
        <v>2271</v>
      </c>
      <c r="J2418">
        <v>1067625</v>
      </c>
      <c r="K2418">
        <v>2025</v>
      </c>
      <c r="L2418">
        <v>1122509415</v>
      </c>
      <c r="M2418" t="s">
        <v>3877</v>
      </c>
      <c r="N2418" t="s">
        <v>1688</v>
      </c>
      <c r="O2418" t="s">
        <v>1686</v>
      </c>
      <c r="P2418">
        <v>0</v>
      </c>
      <c r="Q2418">
        <v>1067625</v>
      </c>
      <c r="R2418">
        <v>0</v>
      </c>
      <c r="S2418">
        <v>0</v>
      </c>
      <c r="T2418" t="str">
        <f t="shared" si="74"/>
        <v>19322.43.4302.85.0-205128.2.3.3.08.06.</v>
      </c>
      <c r="U2418" t="e" cm="1">
        <f t="array" aca="1" ref="U2418" ca="1">+IF(COMPROMISOS_2025[[#This Row],[P]]="20","41080111",_xlfn.XLOOKUP(COMPROMISOS_2025[[#This Row],[concatenado]],PAA[[#All],[RCP-RUBRO]],PAA[[#All],[INDICADOR]],"",0))</f>
        <v>#NAME?</v>
      </c>
      <c r="V2418" s="144" t="str">
        <f t="shared" si="75"/>
        <v>85</v>
      </c>
      <c r="W2418" s="136">
        <f>+COMPROMISOS_2025[[#This Row],[valor_total]]-COMPROMISOS_2025[[#This Row],[total_cancelado]]</f>
        <v>1067625</v>
      </c>
      <c r="X2418" s="136">
        <f>COMPROMISOS_2025[[#This Row],[total_ordenes]]</f>
        <v>1067625</v>
      </c>
      <c r="Y2418" t="str" cm="1">
        <f t="array" aca="1" ref="Y2418" ca="1">IFERROR(_xlfn.XLOOKUP(COMPROMISOS_2025[[#This Row],[concatenado]],PAA[[#All],[RCP-RUBRO]],PAA[[#All],[Actividad3]],VLOOKUP(COMPROMISOS_2025[[#This Row],[Indicador Principal]],$AC$2:$AD$17,2,0),0),"")</f>
        <v/>
      </c>
    </row>
    <row r="2419" spans="1:25" hidden="1" x14ac:dyDescent="0.25">
      <c r="A2419">
        <v>1933</v>
      </c>
      <c r="B2419" t="s">
        <v>2491</v>
      </c>
      <c r="C2419" t="s">
        <v>1936</v>
      </c>
      <c r="D2419" t="s">
        <v>4182</v>
      </c>
      <c r="F2419">
        <v>406</v>
      </c>
      <c r="G2419">
        <v>65</v>
      </c>
      <c r="H2419" t="s">
        <v>662</v>
      </c>
      <c r="I2419" t="s">
        <v>2271</v>
      </c>
      <c r="J2419">
        <v>711750</v>
      </c>
      <c r="K2419">
        <v>2025</v>
      </c>
      <c r="L2419">
        <v>1122783908</v>
      </c>
      <c r="M2419" t="s">
        <v>4445</v>
      </c>
      <c r="N2419" t="s">
        <v>1688</v>
      </c>
      <c r="O2419" t="s">
        <v>1686</v>
      </c>
      <c r="P2419">
        <v>0</v>
      </c>
      <c r="Q2419">
        <v>711750</v>
      </c>
      <c r="R2419">
        <v>0</v>
      </c>
      <c r="S2419">
        <v>0</v>
      </c>
      <c r="T2419" t="str">
        <f t="shared" si="74"/>
        <v>19332.43.4302.85.0-205128.2.3.3.08.06.</v>
      </c>
      <c r="U2419" t="e" cm="1">
        <f t="array" aca="1" ref="U2419" ca="1">+IF(COMPROMISOS_2025[[#This Row],[P]]="20","41080111",_xlfn.XLOOKUP(COMPROMISOS_2025[[#This Row],[concatenado]],PAA[[#All],[RCP-RUBRO]],PAA[[#All],[INDICADOR]],"",0))</f>
        <v>#NAME?</v>
      </c>
      <c r="V2419" s="144" t="str">
        <f t="shared" si="75"/>
        <v>85</v>
      </c>
      <c r="W2419" s="136">
        <f>+COMPROMISOS_2025[[#This Row],[valor_total]]-COMPROMISOS_2025[[#This Row],[total_cancelado]]</f>
        <v>711750</v>
      </c>
      <c r="X2419" s="136">
        <f>COMPROMISOS_2025[[#This Row],[total_ordenes]]</f>
        <v>711750</v>
      </c>
      <c r="Y2419" t="str" cm="1">
        <f t="array" aca="1" ref="Y2419" ca="1">IFERROR(_xlfn.XLOOKUP(COMPROMISOS_2025[[#This Row],[concatenado]],PAA[[#All],[RCP-RUBRO]],PAA[[#All],[Actividad3]],VLOOKUP(COMPROMISOS_2025[[#This Row],[Indicador Principal]],$AC$2:$AD$17,2,0),0),"")</f>
        <v/>
      </c>
    </row>
    <row r="2420" spans="1:25" hidden="1" x14ac:dyDescent="0.25">
      <c r="A2420">
        <v>1934</v>
      </c>
      <c r="B2420" t="s">
        <v>2491</v>
      </c>
      <c r="C2420" t="s">
        <v>1936</v>
      </c>
      <c r="D2420" t="s">
        <v>4182</v>
      </c>
      <c r="F2420">
        <v>406</v>
      </c>
      <c r="G2420">
        <v>65</v>
      </c>
      <c r="H2420" t="s">
        <v>662</v>
      </c>
      <c r="I2420" t="s">
        <v>2271</v>
      </c>
      <c r="J2420">
        <v>1423500</v>
      </c>
      <c r="K2420">
        <v>2025</v>
      </c>
      <c r="L2420">
        <v>1125786679</v>
      </c>
      <c r="M2420" t="s">
        <v>4446</v>
      </c>
      <c r="N2420" t="s">
        <v>1688</v>
      </c>
      <c r="O2420" t="s">
        <v>1686</v>
      </c>
      <c r="P2420">
        <v>0</v>
      </c>
      <c r="Q2420">
        <v>1423500</v>
      </c>
      <c r="R2420">
        <v>0</v>
      </c>
      <c r="S2420">
        <v>0</v>
      </c>
      <c r="T2420" t="str">
        <f t="shared" si="74"/>
        <v>19342.43.4302.85.0-205128.2.3.3.08.06.</v>
      </c>
      <c r="U2420" t="e" cm="1">
        <f t="array" aca="1" ref="U2420" ca="1">+IF(COMPROMISOS_2025[[#This Row],[P]]="20","41080111",_xlfn.XLOOKUP(COMPROMISOS_2025[[#This Row],[concatenado]],PAA[[#All],[RCP-RUBRO]],PAA[[#All],[INDICADOR]],"",0))</f>
        <v>#NAME?</v>
      </c>
      <c r="V2420" s="144" t="str">
        <f t="shared" si="75"/>
        <v>85</v>
      </c>
      <c r="W2420" s="136">
        <f>+COMPROMISOS_2025[[#This Row],[valor_total]]-COMPROMISOS_2025[[#This Row],[total_cancelado]]</f>
        <v>1423500</v>
      </c>
      <c r="X2420" s="136">
        <f>COMPROMISOS_2025[[#This Row],[total_ordenes]]</f>
        <v>1423500</v>
      </c>
      <c r="Y2420" t="str" cm="1">
        <f t="array" aca="1" ref="Y2420" ca="1">IFERROR(_xlfn.XLOOKUP(COMPROMISOS_2025[[#This Row],[concatenado]],PAA[[#All],[RCP-RUBRO]],PAA[[#All],[Actividad3]],VLOOKUP(COMPROMISOS_2025[[#This Row],[Indicador Principal]],$AC$2:$AD$17,2,0),0),"")</f>
        <v/>
      </c>
    </row>
    <row r="2421" spans="1:25" hidden="1" x14ac:dyDescent="0.25">
      <c r="A2421">
        <v>1935</v>
      </c>
      <c r="B2421" t="s">
        <v>2491</v>
      </c>
      <c r="C2421" t="s">
        <v>1936</v>
      </c>
      <c r="D2421" t="s">
        <v>4182</v>
      </c>
      <c r="F2421">
        <v>406</v>
      </c>
      <c r="G2421">
        <v>65</v>
      </c>
      <c r="H2421" t="s">
        <v>662</v>
      </c>
      <c r="I2421" t="s">
        <v>2271</v>
      </c>
      <c r="J2421">
        <v>1067625</v>
      </c>
      <c r="K2421">
        <v>2025</v>
      </c>
      <c r="L2421">
        <v>1126430818</v>
      </c>
      <c r="M2421" t="s">
        <v>4132</v>
      </c>
      <c r="N2421" t="s">
        <v>1688</v>
      </c>
      <c r="O2421" t="s">
        <v>1686</v>
      </c>
      <c r="P2421">
        <v>0</v>
      </c>
      <c r="Q2421">
        <v>1067625</v>
      </c>
      <c r="R2421">
        <v>0</v>
      </c>
      <c r="S2421">
        <v>0</v>
      </c>
      <c r="T2421" t="str">
        <f t="shared" si="74"/>
        <v>19352.43.4302.85.0-205128.2.3.3.08.06.</v>
      </c>
      <c r="U2421" t="e" cm="1">
        <f t="array" aca="1" ref="U2421" ca="1">+IF(COMPROMISOS_2025[[#This Row],[P]]="20","41080111",_xlfn.XLOOKUP(COMPROMISOS_2025[[#This Row],[concatenado]],PAA[[#All],[RCP-RUBRO]],PAA[[#All],[INDICADOR]],"",0))</f>
        <v>#NAME?</v>
      </c>
      <c r="V2421" s="144" t="str">
        <f t="shared" si="75"/>
        <v>85</v>
      </c>
      <c r="W2421" s="136">
        <f>+COMPROMISOS_2025[[#This Row],[valor_total]]-COMPROMISOS_2025[[#This Row],[total_cancelado]]</f>
        <v>1067625</v>
      </c>
      <c r="X2421" s="136">
        <f>COMPROMISOS_2025[[#This Row],[total_ordenes]]</f>
        <v>1067625</v>
      </c>
      <c r="Y2421" t="str" cm="1">
        <f t="array" aca="1" ref="Y2421" ca="1">IFERROR(_xlfn.XLOOKUP(COMPROMISOS_2025[[#This Row],[concatenado]],PAA[[#All],[RCP-RUBRO]],PAA[[#All],[Actividad3]],VLOOKUP(COMPROMISOS_2025[[#This Row],[Indicador Principal]],$AC$2:$AD$17,2,0),0),"")</f>
        <v/>
      </c>
    </row>
    <row r="2422" spans="1:25" hidden="1" x14ac:dyDescent="0.25">
      <c r="A2422">
        <v>1936</v>
      </c>
      <c r="B2422" t="s">
        <v>2491</v>
      </c>
      <c r="C2422" t="s">
        <v>1936</v>
      </c>
      <c r="D2422" t="s">
        <v>4182</v>
      </c>
      <c r="F2422">
        <v>406</v>
      </c>
      <c r="G2422">
        <v>65</v>
      </c>
      <c r="H2422" t="s">
        <v>662</v>
      </c>
      <c r="I2422" t="s">
        <v>2271</v>
      </c>
      <c r="J2422">
        <v>2847000</v>
      </c>
      <c r="K2422">
        <v>2025</v>
      </c>
      <c r="L2422">
        <v>1126595540</v>
      </c>
      <c r="M2422" t="s">
        <v>4447</v>
      </c>
      <c r="N2422" t="s">
        <v>1688</v>
      </c>
      <c r="O2422" t="s">
        <v>1686</v>
      </c>
      <c r="P2422">
        <v>0</v>
      </c>
      <c r="Q2422">
        <v>2847000</v>
      </c>
      <c r="R2422">
        <v>0</v>
      </c>
      <c r="S2422">
        <v>0</v>
      </c>
      <c r="T2422" t="str">
        <f t="shared" si="74"/>
        <v>19362.43.4302.85.0-205128.2.3.3.08.06.</v>
      </c>
      <c r="U2422" t="e" cm="1">
        <f t="array" aca="1" ref="U2422" ca="1">+IF(COMPROMISOS_2025[[#This Row],[P]]="20","41080111",_xlfn.XLOOKUP(COMPROMISOS_2025[[#This Row],[concatenado]],PAA[[#All],[RCP-RUBRO]],PAA[[#All],[INDICADOR]],"",0))</f>
        <v>#NAME?</v>
      </c>
      <c r="V2422" s="144" t="str">
        <f t="shared" si="75"/>
        <v>85</v>
      </c>
      <c r="W2422" s="136">
        <f>+COMPROMISOS_2025[[#This Row],[valor_total]]-COMPROMISOS_2025[[#This Row],[total_cancelado]]</f>
        <v>2847000</v>
      </c>
      <c r="X2422" s="136">
        <f>COMPROMISOS_2025[[#This Row],[total_ordenes]]</f>
        <v>2847000</v>
      </c>
      <c r="Y2422" t="str" cm="1">
        <f t="array" aca="1" ref="Y2422" ca="1">IFERROR(_xlfn.XLOOKUP(COMPROMISOS_2025[[#This Row],[concatenado]],PAA[[#All],[RCP-RUBRO]],PAA[[#All],[Actividad3]],VLOOKUP(COMPROMISOS_2025[[#This Row],[Indicador Principal]],$AC$2:$AD$17,2,0),0),"")</f>
        <v/>
      </c>
    </row>
    <row r="2423" spans="1:25" hidden="1" x14ac:dyDescent="0.25">
      <c r="A2423">
        <v>1937</v>
      </c>
      <c r="B2423" t="s">
        <v>2491</v>
      </c>
      <c r="C2423" t="s">
        <v>1936</v>
      </c>
      <c r="D2423" t="s">
        <v>4182</v>
      </c>
      <c r="F2423">
        <v>406</v>
      </c>
      <c r="G2423">
        <v>65</v>
      </c>
      <c r="H2423" t="s">
        <v>662</v>
      </c>
      <c r="I2423" t="s">
        <v>2271</v>
      </c>
      <c r="J2423">
        <v>1423500</v>
      </c>
      <c r="K2423">
        <v>2025</v>
      </c>
      <c r="L2423">
        <v>1126595546</v>
      </c>
      <c r="M2423" t="s">
        <v>4133</v>
      </c>
      <c r="N2423" t="s">
        <v>1688</v>
      </c>
      <c r="O2423" t="s">
        <v>1686</v>
      </c>
      <c r="P2423">
        <v>0</v>
      </c>
      <c r="Q2423">
        <v>1423500</v>
      </c>
      <c r="R2423">
        <v>0</v>
      </c>
      <c r="S2423">
        <v>0</v>
      </c>
      <c r="T2423" t="str">
        <f t="shared" si="74"/>
        <v>19372.43.4302.85.0-205128.2.3.3.08.06.</v>
      </c>
      <c r="U2423" t="e" cm="1">
        <f t="array" aca="1" ref="U2423" ca="1">+IF(COMPROMISOS_2025[[#This Row],[P]]="20","41080111",_xlfn.XLOOKUP(COMPROMISOS_2025[[#This Row],[concatenado]],PAA[[#All],[RCP-RUBRO]],PAA[[#All],[INDICADOR]],"",0))</f>
        <v>#NAME?</v>
      </c>
      <c r="V2423" s="144" t="str">
        <f t="shared" si="75"/>
        <v>85</v>
      </c>
      <c r="W2423" s="136">
        <f>+COMPROMISOS_2025[[#This Row],[valor_total]]-COMPROMISOS_2025[[#This Row],[total_cancelado]]</f>
        <v>1423500</v>
      </c>
      <c r="X2423" s="136">
        <f>COMPROMISOS_2025[[#This Row],[total_ordenes]]</f>
        <v>1423500</v>
      </c>
      <c r="Y2423" t="str" cm="1">
        <f t="array" aca="1" ref="Y2423" ca="1">IFERROR(_xlfn.XLOOKUP(COMPROMISOS_2025[[#This Row],[concatenado]],PAA[[#All],[RCP-RUBRO]],PAA[[#All],[Actividad3]],VLOOKUP(COMPROMISOS_2025[[#This Row],[Indicador Principal]],$AC$2:$AD$17,2,0),0),"")</f>
        <v/>
      </c>
    </row>
    <row r="2424" spans="1:25" hidden="1" x14ac:dyDescent="0.25">
      <c r="A2424">
        <v>1938</v>
      </c>
      <c r="B2424" t="s">
        <v>2491</v>
      </c>
      <c r="C2424" t="s">
        <v>1936</v>
      </c>
      <c r="D2424" t="s">
        <v>4182</v>
      </c>
      <c r="F2424">
        <v>406</v>
      </c>
      <c r="G2424">
        <v>65</v>
      </c>
      <c r="H2424" t="s">
        <v>662</v>
      </c>
      <c r="I2424" t="s">
        <v>2271</v>
      </c>
      <c r="J2424">
        <v>2847000</v>
      </c>
      <c r="K2424">
        <v>2025</v>
      </c>
      <c r="L2424">
        <v>1127211581</v>
      </c>
      <c r="M2424" t="s">
        <v>4448</v>
      </c>
      <c r="N2424" t="s">
        <v>1688</v>
      </c>
      <c r="O2424" t="s">
        <v>1686</v>
      </c>
      <c r="P2424">
        <v>0</v>
      </c>
      <c r="Q2424">
        <v>2847000</v>
      </c>
      <c r="R2424">
        <v>0</v>
      </c>
      <c r="S2424">
        <v>0</v>
      </c>
      <c r="T2424" t="str">
        <f t="shared" si="74"/>
        <v>19382.43.4302.85.0-205128.2.3.3.08.06.</v>
      </c>
      <c r="U2424" t="e" cm="1">
        <f t="array" aca="1" ref="U2424" ca="1">+IF(COMPROMISOS_2025[[#This Row],[P]]="20","41080111",_xlfn.XLOOKUP(COMPROMISOS_2025[[#This Row],[concatenado]],PAA[[#All],[RCP-RUBRO]],PAA[[#All],[INDICADOR]],"",0))</f>
        <v>#NAME?</v>
      </c>
      <c r="V2424" s="144" t="str">
        <f t="shared" si="75"/>
        <v>85</v>
      </c>
      <c r="W2424" s="136">
        <f>+COMPROMISOS_2025[[#This Row],[valor_total]]-COMPROMISOS_2025[[#This Row],[total_cancelado]]</f>
        <v>2847000</v>
      </c>
      <c r="X2424" s="136">
        <f>COMPROMISOS_2025[[#This Row],[total_ordenes]]</f>
        <v>2847000</v>
      </c>
      <c r="Y2424" t="str" cm="1">
        <f t="array" aca="1" ref="Y2424" ca="1">IFERROR(_xlfn.XLOOKUP(COMPROMISOS_2025[[#This Row],[concatenado]],PAA[[#All],[RCP-RUBRO]],PAA[[#All],[Actividad3]],VLOOKUP(COMPROMISOS_2025[[#This Row],[Indicador Principal]],$AC$2:$AD$17,2,0),0),"")</f>
        <v/>
      </c>
    </row>
    <row r="2425" spans="1:25" hidden="1" x14ac:dyDescent="0.25">
      <c r="A2425">
        <v>1939</v>
      </c>
      <c r="B2425" t="s">
        <v>2491</v>
      </c>
      <c r="C2425" t="s">
        <v>1936</v>
      </c>
      <c r="D2425" t="s">
        <v>4182</v>
      </c>
      <c r="F2425">
        <v>406</v>
      </c>
      <c r="G2425">
        <v>65</v>
      </c>
      <c r="H2425" t="s">
        <v>662</v>
      </c>
      <c r="I2425" t="s">
        <v>2271</v>
      </c>
      <c r="J2425">
        <v>711750</v>
      </c>
      <c r="K2425">
        <v>2025</v>
      </c>
      <c r="L2425">
        <v>1127533766</v>
      </c>
      <c r="M2425" t="s">
        <v>3878</v>
      </c>
      <c r="N2425" t="s">
        <v>1688</v>
      </c>
      <c r="O2425" t="s">
        <v>1686</v>
      </c>
      <c r="P2425">
        <v>0</v>
      </c>
      <c r="Q2425">
        <v>711750</v>
      </c>
      <c r="R2425">
        <v>0</v>
      </c>
      <c r="S2425">
        <v>0</v>
      </c>
      <c r="T2425" t="str">
        <f t="shared" si="74"/>
        <v>19392.43.4302.85.0-205128.2.3.3.08.06.</v>
      </c>
      <c r="U2425" t="e" cm="1">
        <f t="array" aca="1" ref="U2425" ca="1">+IF(COMPROMISOS_2025[[#This Row],[P]]="20","41080111",_xlfn.XLOOKUP(COMPROMISOS_2025[[#This Row],[concatenado]],PAA[[#All],[RCP-RUBRO]],PAA[[#All],[INDICADOR]],"",0))</f>
        <v>#NAME?</v>
      </c>
      <c r="V2425" s="144" t="str">
        <f t="shared" si="75"/>
        <v>85</v>
      </c>
      <c r="W2425" s="136">
        <f>+COMPROMISOS_2025[[#This Row],[valor_total]]-COMPROMISOS_2025[[#This Row],[total_cancelado]]</f>
        <v>711750</v>
      </c>
      <c r="X2425" s="136">
        <f>COMPROMISOS_2025[[#This Row],[total_ordenes]]</f>
        <v>711750</v>
      </c>
      <c r="Y2425" t="str" cm="1">
        <f t="array" aca="1" ref="Y2425" ca="1">IFERROR(_xlfn.XLOOKUP(COMPROMISOS_2025[[#This Row],[concatenado]],PAA[[#All],[RCP-RUBRO]],PAA[[#All],[Actividad3]],VLOOKUP(COMPROMISOS_2025[[#This Row],[Indicador Principal]],$AC$2:$AD$17,2,0),0),"")</f>
        <v/>
      </c>
    </row>
    <row r="2426" spans="1:25" hidden="1" x14ac:dyDescent="0.25">
      <c r="A2426">
        <v>1940</v>
      </c>
      <c r="B2426" t="s">
        <v>2491</v>
      </c>
      <c r="C2426" t="s">
        <v>1936</v>
      </c>
      <c r="D2426" t="s">
        <v>4182</v>
      </c>
      <c r="F2426">
        <v>406</v>
      </c>
      <c r="G2426">
        <v>65</v>
      </c>
      <c r="H2426" t="s">
        <v>662</v>
      </c>
      <c r="I2426" t="s">
        <v>2271</v>
      </c>
      <c r="J2426">
        <v>2847000</v>
      </c>
      <c r="K2426">
        <v>2025</v>
      </c>
      <c r="L2426">
        <v>1127620633</v>
      </c>
      <c r="M2426" t="s">
        <v>4449</v>
      </c>
      <c r="N2426" t="s">
        <v>1688</v>
      </c>
      <c r="O2426" t="s">
        <v>1686</v>
      </c>
      <c r="P2426">
        <v>0</v>
      </c>
      <c r="Q2426">
        <v>2847000</v>
      </c>
      <c r="R2426">
        <v>0</v>
      </c>
      <c r="S2426">
        <v>0</v>
      </c>
      <c r="T2426" t="str">
        <f t="shared" si="74"/>
        <v>19402.43.4302.85.0-205128.2.3.3.08.06.</v>
      </c>
      <c r="U2426" t="e" cm="1">
        <f t="array" aca="1" ref="U2426" ca="1">+IF(COMPROMISOS_2025[[#This Row],[P]]="20","41080111",_xlfn.XLOOKUP(COMPROMISOS_2025[[#This Row],[concatenado]],PAA[[#All],[RCP-RUBRO]],PAA[[#All],[INDICADOR]],"",0))</f>
        <v>#NAME?</v>
      </c>
      <c r="V2426" s="144" t="str">
        <f t="shared" si="75"/>
        <v>85</v>
      </c>
      <c r="W2426" s="136">
        <f>+COMPROMISOS_2025[[#This Row],[valor_total]]-COMPROMISOS_2025[[#This Row],[total_cancelado]]</f>
        <v>2847000</v>
      </c>
      <c r="X2426" s="136">
        <f>COMPROMISOS_2025[[#This Row],[total_ordenes]]</f>
        <v>2847000</v>
      </c>
      <c r="Y2426" t="str" cm="1">
        <f t="array" aca="1" ref="Y2426" ca="1">IFERROR(_xlfn.XLOOKUP(COMPROMISOS_2025[[#This Row],[concatenado]],PAA[[#All],[RCP-RUBRO]],PAA[[#All],[Actividad3]],VLOOKUP(COMPROMISOS_2025[[#This Row],[Indicador Principal]],$AC$2:$AD$17,2,0),0),"")</f>
        <v/>
      </c>
    </row>
    <row r="2427" spans="1:25" hidden="1" x14ac:dyDescent="0.25">
      <c r="A2427">
        <v>1941</v>
      </c>
      <c r="B2427" t="s">
        <v>2491</v>
      </c>
      <c r="C2427" t="s">
        <v>1936</v>
      </c>
      <c r="D2427" t="s">
        <v>4182</v>
      </c>
      <c r="F2427">
        <v>406</v>
      </c>
      <c r="G2427">
        <v>65</v>
      </c>
      <c r="H2427" t="s">
        <v>662</v>
      </c>
      <c r="I2427" t="s">
        <v>2271</v>
      </c>
      <c r="J2427">
        <v>1779375</v>
      </c>
      <c r="K2427">
        <v>2025</v>
      </c>
      <c r="L2427">
        <v>1127946190</v>
      </c>
      <c r="M2427" t="s">
        <v>3879</v>
      </c>
      <c r="N2427" t="s">
        <v>1688</v>
      </c>
      <c r="O2427" t="s">
        <v>1686</v>
      </c>
      <c r="P2427">
        <v>0</v>
      </c>
      <c r="Q2427">
        <v>1779375</v>
      </c>
      <c r="R2427">
        <v>0</v>
      </c>
      <c r="S2427">
        <v>0</v>
      </c>
      <c r="T2427" t="str">
        <f t="shared" si="74"/>
        <v>19412.43.4302.85.0-205128.2.3.3.08.06.</v>
      </c>
      <c r="U2427" t="e" cm="1">
        <f t="array" aca="1" ref="U2427" ca="1">+IF(COMPROMISOS_2025[[#This Row],[P]]="20","41080111",_xlfn.XLOOKUP(COMPROMISOS_2025[[#This Row],[concatenado]],PAA[[#All],[RCP-RUBRO]],PAA[[#All],[INDICADOR]],"",0))</f>
        <v>#NAME?</v>
      </c>
      <c r="V2427" s="144" t="str">
        <f t="shared" si="75"/>
        <v>85</v>
      </c>
      <c r="W2427" s="136">
        <f>+COMPROMISOS_2025[[#This Row],[valor_total]]-COMPROMISOS_2025[[#This Row],[total_cancelado]]</f>
        <v>1779375</v>
      </c>
      <c r="X2427" s="136">
        <f>COMPROMISOS_2025[[#This Row],[total_ordenes]]</f>
        <v>1779375</v>
      </c>
      <c r="Y2427" t="str" cm="1">
        <f t="array" aca="1" ref="Y2427" ca="1">IFERROR(_xlfn.XLOOKUP(COMPROMISOS_2025[[#This Row],[concatenado]],PAA[[#All],[RCP-RUBRO]],PAA[[#All],[Actividad3]],VLOOKUP(COMPROMISOS_2025[[#This Row],[Indicador Principal]],$AC$2:$AD$17,2,0),0),"")</f>
        <v/>
      </c>
    </row>
    <row r="2428" spans="1:25" hidden="1" x14ac:dyDescent="0.25">
      <c r="A2428">
        <v>1942</v>
      </c>
      <c r="B2428" t="s">
        <v>2491</v>
      </c>
      <c r="C2428" t="s">
        <v>1936</v>
      </c>
      <c r="D2428" t="s">
        <v>4182</v>
      </c>
      <c r="F2428">
        <v>406</v>
      </c>
      <c r="G2428">
        <v>65</v>
      </c>
      <c r="H2428" t="s">
        <v>662</v>
      </c>
      <c r="I2428" t="s">
        <v>2271</v>
      </c>
      <c r="J2428">
        <v>2847000</v>
      </c>
      <c r="K2428">
        <v>2025</v>
      </c>
      <c r="L2428">
        <v>1128266790</v>
      </c>
      <c r="M2428" t="s">
        <v>4450</v>
      </c>
      <c r="N2428" t="s">
        <v>1688</v>
      </c>
      <c r="O2428" t="s">
        <v>1686</v>
      </c>
      <c r="P2428">
        <v>0</v>
      </c>
      <c r="Q2428">
        <v>2847000</v>
      </c>
      <c r="R2428">
        <v>0</v>
      </c>
      <c r="S2428">
        <v>0</v>
      </c>
      <c r="T2428" t="str">
        <f t="shared" si="74"/>
        <v>19422.43.4302.85.0-205128.2.3.3.08.06.</v>
      </c>
      <c r="U2428" t="e" cm="1">
        <f t="array" aca="1" ref="U2428" ca="1">+IF(COMPROMISOS_2025[[#This Row],[P]]="20","41080111",_xlfn.XLOOKUP(COMPROMISOS_2025[[#This Row],[concatenado]],PAA[[#All],[RCP-RUBRO]],PAA[[#All],[INDICADOR]],"",0))</f>
        <v>#NAME?</v>
      </c>
      <c r="V2428" s="144" t="str">
        <f t="shared" si="75"/>
        <v>85</v>
      </c>
      <c r="W2428" s="136">
        <f>+COMPROMISOS_2025[[#This Row],[valor_total]]-COMPROMISOS_2025[[#This Row],[total_cancelado]]</f>
        <v>2847000</v>
      </c>
      <c r="X2428" s="136">
        <f>COMPROMISOS_2025[[#This Row],[total_ordenes]]</f>
        <v>2847000</v>
      </c>
      <c r="Y2428" t="str" cm="1">
        <f t="array" aca="1" ref="Y2428" ca="1">IFERROR(_xlfn.XLOOKUP(COMPROMISOS_2025[[#This Row],[concatenado]],PAA[[#All],[RCP-RUBRO]],PAA[[#All],[Actividad3]],VLOOKUP(COMPROMISOS_2025[[#This Row],[Indicador Principal]],$AC$2:$AD$17,2,0),0),"")</f>
        <v/>
      </c>
    </row>
    <row r="2429" spans="1:25" hidden="1" x14ac:dyDescent="0.25">
      <c r="A2429">
        <v>1943</v>
      </c>
      <c r="B2429" t="s">
        <v>2491</v>
      </c>
      <c r="C2429" t="s">
        <v>1936</v>
      </c>
      <c r="D2429" t="s">
        <v>4182</v>
      </c>
      <c r="F2429">
        <v>406</v>
      </c>
      <c r="G2429">
        <v>65</v>
      </c>
      <c r="H2429" t="s">
        <v>662</v>
      </c>
      <c r="I2429" t="s">
        <v>2271</v>
      </c>
      <c r="J2429">
        <v>1423500</v>
      </c>
      <c r="K2429">
        <v>2025</v>
      </c>
      <c r="L2429">
        <v>11282759088</v>
      </c>
      <c r="M2429" t="s">
        <v>4451</v>
      </c>
      <c r="N2429" t="s">
        <v>1688</v>
      </c>
      <c r="O2429" t="s">
        <v>1686</v>
      </c>
      <c r="P2429">
        <v>0</v>
      </c>
      <c r="Q2429">
        <v>1423500</v>
      </c>
      <c r="R2429">
        <v>0</v>
      </c>
      <c r="S2429">
        <v>0</v>
      </c>
      <c r="T2429" t="str">
        <f t="shared" si="74"/>
        <v>19432.43.4302.85.0-205128.2.3.3.08.06.</v>
      </c>
      <c r="U2429" t="e" cm="1">
        <f t="array" aca="1" ref="U2429" ca="1">+IF(COMPROMISOS_2025[[#This Row],[P]]="20","41080111",_xlfn.XLOOKUP(COMPROMISOS_2025[[#This Row],[concatenado]],PAA[[#All],[RCP-RUBRO]],PAA[[#All],[INDICADOR]],"",0))</f>
        <v>#NAME?</v>
      </c>
      <c r="V2429" s="144" t="str">
        <f t="shared" si="75"/>
        <v>85</v>
      </c>
      <c r="W2429" s="136">
        <f>+COMPROMISOS_2025[[#This Row],[valor_total]]-COMPROMISOS_2025[[#This Row],[total_cancelado]]</f>
        <v>1423500</v>
      </c>
      <c r="X2429" s="136">
        <f>COMPROMISOS_2025[[#This Row],[total_ordenes]]</f>
        <v>1423500</v>
      </c>
      <c r="Y2429" t="str" cm="1">
        <f t="array" aca="1" ref="Y2429" ca="1">IFERROR(_xlfn.XLOOKUP(COMPROMISOS_2025[[#This Row],[concatenado]],PAA[[#All],[RCP-RUBRO]],PAA[[#All],[Actividad3]],VLOOKUP(COMPROMISOS_2025[[#This Row],[Indicador Principal]],$AC$2:$AD$17,2,0),0),"")</f>
        <v/>
      </c>
    </row>
    <row r="2430" spans="1:25" hidden="1" x14ac:dyDescent="0.25">
      <c r="A2430">
        <v>1944</v>
      </c>
      <c r="B2430" t="s">
        <v>2491</v>
      </c>
      <c r="C2430" t="s">
        <v>1936</v>
      </c>
      <c r="D2430" t="s">
        <v>4182</v>
      </c>
      <c r="F2430">
        <v>406</v>
      </c>
      <c r="G2430">
        <v>65</v>
      </c>
      <c r="H2430" t="s">
        <v>662</v>
      </c>
      <c r="I2430" t="s">
        <v>2271</v>
      </c>
      <c r="J2430">
        <v>1067625</v>
      </c>
      <c r="K2430">
        <v>2025</v>
      </c>
      <c r="L2430">
        <v>1128276647</v>
      </c>
      <c r="M2430" t="s">
        <v>4452</v>
      </c>
      <c r="N2430" t="s">
        <v>1688</v>
      </c>
      <c r="O2430" t="s">
        <v>1686</v>
      </c>
      <c r="P2430">
        <v>0</v>
      </c>
      <c r="Q2430">
        <v>1067625</v>
      </c>
      <c r="R2430">
        <v>0</v>
      </c>
      <c r="S2430">
        <v>0</v>
      </c>
      <c r="T2430" t="str">
        <f t="shared" si="74"/>
        <v>19442.43.4302.85.0-205128.2.3.3.08.06.</v>
      </c>
      <c r="U2430" t="e" cm="1">
        <f t="array" aca="1" ref="U2430" ca="1">+IF(COMPROMISOS_2025[[#This Row],[P]]="20","41080111",_xlfn.XLOOKUP(COMPROMISOS_2025[[#This Row],[concatenado]],PAA[[#All],[RCP-RUBRO]],PAA[[#All],[INDICADOR]],"",0))</f>
        <v>#NAME?</v>
      </c>
      <c r="V2430" s="144" t="str">
        <f t="shared" si="75"/>
        <v>85</v>
      </c>
      <c r="W2430" s="136">
        <f>+COMPROMISOS_2025[[#This Row],[valor_total]]-COMPROMISOS_2025[[#This Row],[total_cancelado]]</f>
        <v>1067625</v>
      </c>
      <c r="X2430" s="136">
        <f>COMPROMISOS_2025[[#This Row],[total_ordenes]]</f>
        <v>1067625</v>
      </c>
      <c r="Y2430" t="str" cm="1">
        <f t="array" aca="1" ref="Y2430" ca="1">IFERROR(_xlfn.XLOOKUP(COMPROMISOS_2025[[#This Row],[concatenado]],PAA[[#All],[RCP-RUBRO]],PAA[[#All],[Actividad3]],VLOOKUP(COMPROMISOS_2025[[#This Row],[Indicador Principal]],$AC$2:$AD$17,2,0),0),"")</f>
        <v/>
      </c>
    </row>
    <row r="2431" spans="1:25" hidden="1" x14ac:dyDescent="0.25">
      <c r="A2431">
        <v>1945</v>
      </c>
      <c r="B2431" t="s">
        <v>2491</v>
      </c>
      <c r="C2431" t="s">
        <v>1936</v>
      </c>
      <c r="D2431" t="s">
        <v>4182</v>
      </c>
      <c r="F2431">
        <v>406</v>
      </c>
      <c r="G2431">
        <v>65</v>
      </c>
      <c r="H2431" t="s">
        <v>662</v>
      </c>
      <c r="I2431" t="s">
        <v>2271</v>
      </c>
      <c r="J2431">
        <v>711750</v>
      </c>
      <c r="K2431">
        <v>2025</v>
      </c>
      <c r="L2431">
        <v>1128385540</v>
      </c>
      <c r="M2431" t="s">
        <v>3880</v>
      </c>
      <c r="N2431" t="s">
        <v>1688</v>
      </c>
      <c r="O2431" t="s">
        <v>1686</v>
      </c>
      <c r="P2431">
        <v>0</v>
      </c>
      <c r="Q2431">
        <v>711750</v>
      </c>
      <c r="R2431">
        <v>0</v>
      </c>
      <c r="S2431">
        <v>0</v>
      </c>
      <c r="T2431" t="str">
        <f t="shared" si="74"/>
        <v>19452.43.4302.85.0-205128.2.3.3.08.06.</v>
      </c>
      <c r="U2431" t="e" cm="1">
        <f t="array" aca="1" ref="U2431" ca="1">+IF(COMPROMISOS_2025[[#This Row],[P]]="20","41080111",_xlfn.XLOOKUP(COMPROMISOS_2025[[#This Row],[concatenado]],PAA[[#All],[RCP-RUBRO]],PAA[[#All],[INDICADOR]],"",0))</f>
        <v>#NAME?</v>
      </c>
      <c r="V2431" s="144" t="str">
        <f t="shared" si="75"/>
        <v>85</v>
      </c>
      <c r="W2431" s="136">
        <f>+COMPROMISOS_2025[[#This Row],[valor_total]]-COMPROMISOS_2025[[#This Row],[total_cancelado]]</f>
        <v>711750</v>
      </c>
      <c r="X2431" s="136">
        <f>COMPROMISOS_2025[[#This Row],[total_ordenes]]</f>
        <v>711750</v>
      </c>
      <c r="Y2431" t="str" cm="1">
        <f t="array" aca="1" ref="Y2431" ca="1">IFERROR(_xlfn.XLOOKUP(COMPROMISOS_2025[[#This Row],[concatenado]],PAA[[#All],[RCP-RUBRO]],PAA[[#All],[Actividad3]],VLOOKUP(COMPROMISOS_2025[[#This Row],[Indicador Principal]],$AC$2:$AD$17,2,0),0),"")</f>
        <v/>
      </c>
    </row>
    <row r="2432" spans="1:25" hidden="1" x14ac:dyDescent="0.25">
      <c r="A2432">
        <v>1946</v>
      </c>
      <c r="B2432" t="s">
        <v>2491</v>
      </c>
      <c r="C2432" t="s">
        <v>1936</v>
      </c>
      <c r="D2432" t="s">
        <v>4182</v>
      </c>
      <c r="F2432">
        <v>406</v>
      </c>
      <c r="G2432">
        <v>65</v>
      </c>
      <c r="H2432" t="s">
        <v>662</v>
      </c>
      <c r="I2432" t="s">
        <v>2271</v>
      </c>
      <c r="J2432">
        <v>1067625</v>
      </c>
      <c r="K2432">
        <v>2025</v>
      </c>
      <c r="L2432">
        <v>1128387853</v>
      </c>
      <c r="M2432" t="s">
        <v>4453</v>
      </c>
      <c r="N2432" t="s">
        <v>1688</v>
      </c>
      <c r="O2432" t="s">
        <v>1686</v>
      </c>
      <c r="P2432">
        <v>0</v>
      </c>
      <c r="Q2432">
        <v>1067625</v>
      </c>
      <c r="R2432">
        <v>0</v>
      </c>
      <c r="S2432">
        <v>0</v>
      </c>
      <c r="T2432" t="str">
        <f t="shared" si="74"/>
        <v>19462.43.4302.85.0-205128.2.3.3.08.06.</v>
      </c>
      <c r="U2432" t="e" cm="1">
        <f t="array" aca="1" ref="U2432" ca="1">+IF(COMPROMISOS_2025[[#This Row],[P]]="20","41080111",_xlfn.XLOOKUP(COMPROMISOS_2025[[#This Row],[concatenado]],PAA[[#All],[RCP-RUBRO]],PAA[[#All],[INDICADOR]],"",0))</f>
        <v>#NAME?</v>
      </c>
      <c r="V2432" s="144" t="str">
        <f t="shared" si="75"/>
        <v>85</v>
      </c>
      <c r="W2432" s="136">
        <f>+COMPROMISOS_2025[[#This Row],[valor_total]]-COMPROMISOS_2025[[#This Row],[total_cancelado]]</f>
        <v>1067625</v>
      </c>
      <c r="X2432" s="136">
        <f>COMPROMISOS_2025[[#This Row],[total_ordenes]]</f>
        <v>1067625</v>
      </c>
      <c r="Y2432" t="str" cm="1">
        <f t="array" aca="1" ref="Y2432" ca="1">IFERROR(_xlfn.XLOOKUP(COMPROMISOS_2025[[#This Row],[concatenado]],PAA[[#All],[RCP-RUBRO]],PAA[[#All],[Actividad3]],VLOOKUP(COMPROMISOS_2025[[#This Row],[Indicador Principal]],$AC$2:$AD$17,2,0),0),"")</f>
        <v/>
      </c>
    </row>
    <row r="2433" spans="1:25" hidden="1" x14ac:dyDescent="0.25">
      <c r="A2433">
        <v>1947</v>
      </c>
      <c r="B2433" t="s">
        <v>2491</v>
      </c>
      <c r="C2433" t="s">
        <v>1936</v>
      </c>
      <c r="D2433" t="s">
        <v>4182</v>
      </c>
      <c r="F2433">
        <v>406</v>
      </c>
      <c r="G2433">
        <v>65</v>
      </c>
      <c r="H2433" t="s">
        <v>662</v>
      </c>
      <c r="I2433" t="s">
        <v>2271</v>
      </c>
      <c r="J2433">
        <v>1423500</v>
      </c>
      <c r="K2433">
        <v>2025</v>
      </c>
      <c r="L2433">
        <v>1128388707</v>
      </c>
      <c r="M2433" t="s">
        <v>4135</v>
      </c>
      <c r="N2433" t="s">
        <v>1688</v>
      </c>
      <c r="O2433" t="s">
        <v>1686</v>
      </c>
      <c r="P2433">
        <v>0</v>
      </c>
      <c r="Q2433">
        <v>1423500</v>
      </c>
      <c r="R2433">
        <v>0</v>
      </c>
      <c r="S2433">
        <v>0</v>
      </c>
      <c r="T2433" t="str">
        <f t="shared" si="74"/>
        <v>19472.43.4302.85.0-205128.2.3.3.08.06.</v>
      </c>
      <c r="U2433" t="e" cm="1">
        <f t="array" aca="1" ref="U2433" ca="1">+IF(COMPROMISOS_2025[[#This Row],[P]]="20","41080111",_xlfn.XLOOKUP(COMPROMISOS_2025[[#This Row],[concatenado]],PAA[[#All],[RCP-RUBRO]],PAA[[#All],[INDICADOR]],"",0))</f>
        <v>#NAME?</v>
      </c>
      <c r="V2433" s="144" t="str">
        <f t="shared" si="75"/>
        <v>85</v>
      </c>
      <c r="W2433" s="136">
        <f>+COMPROMISOS_2025[[#This Row],[valor_total]]-COMPROMISOS_2025[[#This Row],[total_cancelado]]</f>
        <v>1423500</v>
      </c>
      <c r="X2433" s="136">
        <f>COMPROMISOS_2025[[#This Row],[total_ordenes]]</f>
        <v>1423500</v>
      </c>
      <c r="Y2433" t="str" cm="1">
        <f t="array" aca="1" ref="Y2433" ca="1">IFERROR(_xlfn.XLOOKUP(COMPROMISOS_2025[[#This Row],[concatenado]],PAA[[#All],[RCP-RUBRO]],PAA[[#All],[Actividad3]],VLOOKUP(COMPROMISOS_2025[[#This Row],[Indicador Principal]],$AC$2:$AD$17,2,0),0),"")</f>
        <v/>
      </c>
    </row>
    <row r="2434" spans="1:25" hidden="1" x14ac:dyDescent="0.25">
      <c r="A2434">
        <v>1948</v>
      </c>
      <c r="B2434" t="s">
        <v>2491</v>
      </c>
      <c r="C2434" t="s">
        <v>1936</v>
      </c>
      <c r="D2434" t="s">
        <v>4182</v>
      </c>
      <c r="F2434">
        <v>406</v>
      </c>
      <c r="G2434">
        <v>65</v>
      </c>
      <c r="H2434" t="s">
        <v>662</v>
      </c>
      <c r="I2434" t="s">
        <v>2271</v>
      </c>
      <c r="J2434">
        <v>1423500</v>
      </c>
      <c r="K2434">
        <v>2025</v>
      </c>
      <c r="L2434">
        <v>1128403141</v>
      </c>
      <c r="M2434" t="s">
        <v>4454</v>
      </c>
      <c r="N2434" t="s">
        <v>1688</v>
      </c>
      <c r="O2434" t="s">
        <v>1686</v>
      </c>
      <c r="P2434">
        <v>0</v>
      </c>
      <c r="Q2434">
        <v>1423500</v>
      </c>
      <c r="R2434">
        <v>0</v>
      </c>
      <c r="S2434">
        <v>0</v>
      </c>
      <c r="T2434" t="str">
        <f t="shared" ref="T2434:T2497" si="76">IF(A2434&gt;=0,CONCATENATE(A2434,H2434),"")</f>
        <v>19482.43.4302.85.0-205128.2.3.3.08.06.</v>
      </c>
      <c r="U2434" t="e" cm="1">
        <f t="array" aca="1" ref="U2434" ca="1">+IF(COMPROMISOS_2025[[#This Row],[P]]="20","41080111",_xlfn.XLOOKUP(COMPROMISOS_2025[[#This Row],[concatenado]],PAA[[#All],[RCP-RUBRO]],PAA[[#All],[INDICADOR]],"",0))</f>
        <v>#NAME?</v>
      </c>
      <c r="V2434" s="144" t="str">
        <f t="shared" ref="V2434:V2497" si="77">+MID(H2434,11,2)</f>
        <v>85</v>
      </c>
      <c r="W2434" s="136">
        <f>+COMPROMISOS_2025[[#This Row],[valor_total]]-COMPROMISOS_2025[[#This Row],[total_cancelado]]</f>
        <v>1423500</v>
      </c>
      <c r="X2434" s="136">
        <f>COMPROMISOS_2025[[#This Row],[total_ordenes]]</f>
        <v>1423500</v>
      </c>
      <c r="Y2434" t="str" cm="1">
        <f t="array" aca="1" ref="Y2434" ca="1">IFERROR(_xlfn.XLOOKUP(COMPROMISOS_2025[[#This Row],[concatenado]],PAA[[#All],[RCP-RUBRO]],PAA[[#All],[Actividad3]],VLOOKUP(COMPROMISOS_2025[[#This Row],[Indicador Principal]],$AC$2:$AD$17,2,0),0),"")</f>
        <v/>
      </c>
    </row>
    <row r="2435" spans="1:25" hidden="1" x14ac:dyDescent="0.25">
      <c r="A2435">
        <v>1949</v>
      </c>
      <c r="B2435" t="s">
        <v>2491</v>
      </c>
      <c r="C2435" t="s">
        <v>1936</v>
      </c>
      <c r="D2435" t="s">
        <v>4182</v>
      </c>
      <c r="F2435">
        <v>406</v>
      </c>
      <c r="G2435">
        <v>65</v>
      </c>
      <c r="H2435" t="s">
        <v>662</v>
      </c>
      <c r="I2435" t="s">
        <v>2271</v>
      </c>
      <c r="J2435">
        <v>1423500</v>
      </c>
      <c r="K2435">
        <v>2025</v>
      </c>
      <c r="L2435">
        <v>1128404285</v>
      </c>
      <c r="M2435" t="s">
        <v>4455</v>
      </c>
      <c r="N2435" t="s">
        <v>1688</v>
      </c>
      <c r="O2435" t="s">
        <v>1686</v>
      </c>
      <c r="P2435">
        <v>0</v>
      </c>
      <c r="Q2435">
        <v>1423500</v>
      </c>
      <c r="R2435">
        <v>0</v>
      </c>
      <c r="S2435">
        <v>0</v>
      </c>
      <c r="T2435" t="str">
        <f t="shared" si="76"/>
        <v>19492.43.4302.85.0-205128.2.3.3.08.06.</v>
      </c>
      <c r="U2435" t="e" cm="1">
        <f t="array" aca="1" ref="U2435" ca="1">+IF(COMPROMISOS_2025[[#This Row],[P]]="20","41080111",_xlfn.XLOOKUP(COMPROMISOS_2025[[#This Row],[concatenado]],PAA[[#All],[RCP-RUBRO]],PAA[[#All],[INDICADOR]],"",0))</f>
        <v>#NAME?</v>
      </c>
      <c r="V2435" s="144" t="str">
        <f t="shared" si="77"/>
        <v>85</v>
      </c>
      <c r="W2435" s="136">
        <f>+COMPROMISOS_2025[[#This Row],[valor_total]]-COMPROMISOS_2025[[#This Row],[total_cancelado]]</f>
        <v>1423500</v>
      </c>
      <c r="X2435" s="136">
        <f>COMPROMISOS_2025[[#This Row],[total_ordenes]]</f>
        <v>1423500</v>
      </c>
      <c r="Y2435" t="str" cm="1">
        <f t="array" aca="1" ref="Y2435" ca="1">IFERROR(_xlfn.XLOOKUP(COMPROMISOS_2025[[#This Row],[concatenado]],PAA[[#All],[RCP-RUBRO]],PAA[[#All],[Actividad3]],VLOOKUP(COMPROMISOS_2025[[#This Row],[Indicador Principal]],$AC$2:$AD$17,2,0),0),"")</f>
        <v/>
      </c>
    </row>
    <row r="2436" spans="1:25" hidden="1" x14ac:dyDescent="0.25">
      <c r="A2436">
        <v>1950</v>
      </c>
      <c r="B2436" t="s">
        <v>2491</v>
      </c>
      <c r="C2436" t="s">
        <v>1936</v>
      </c>
      <c r="D2436" t="s">
        <v>4182</v>
      </c>
      <c r="F2436">
        <v>406</v>
      </c>
      <c r="G2436">
        <v>65</v>
      </c>
      <c r="H2436" t="s">
        <v>662</v>
      </c>
      <c r="I2436" t="s">
        <v>2271</v>
      </c>
      <c r="J2436">
        <v>1423500</v>
      </c>
      <c r="K2436">
        <v>2025</v>
      </c>
      <c r="L2436">
        <v>1128416502</v>
      </c>
      <c r="M2436" t="s">
        <v>4136</v>
      </c>
      <c r="N2436" t="s">
        <v>1688</v>
      </c>
      <c r="O2436" t="s">
        <v>1686</v>
      </c>
      <c r="P2436">
        <v>0</v>
      </c>
      <c r="Q2436">
        <v>1423500</v>
      </c>
      <c r="R2436">
        <v>0</v>
      </c>
      <c r="S2436">
        <v>0</v>
      </c>
      <c r="T2436" t="str">
        <f t="shared" si="76"/>
        <v>19502.43.4302.85.0-205128.2.3.3.08.06.</v>
      </c>
      <c r="U2436" t="e" cm="1">
        <f t="array" aca="1" ref="U2436" ca="1">+IF(COMPROMISOS_2025[[#This Row],[P]]="20","41080111",_xlfn.XLOOKUP(COMPROMISOS_2025[[#This Row],[concatenado]],PAA[[#All],[RCP-RUBRO]],PAA[[#All],[INDICADOR]],"",0))</f>
        <v>#NAME?</v>
      </c>
      <c r="V2436" s="144" t="str">
        <f t="shared" si="77"/>
        <v>85</v>
      </c>
      <c r="W2436" s="136">
        <f>+COMPROMISOS_2025[[#This Row],[valor_total]]-COMPROMISOS_2025[[#This Row],[total_cancelado]]</f>
        <v>1423500</v>
      </c>
      <c r="X2436" s="136">
        <f>COMPROMISOS_2025[[#This Row],[total_ordenes]]</f>
        <v>1423500</v>
      </c>
      <c r="Y2436" t="str" cm="1">
        <f t="array" aca="1" ref="Y2436" ca="1">IFERROR(_xlfn.XLOOKUP(COMPROMISOS_2025[[#This Row],[concatenado]],PAA[[#All],[RCP-RUBRO]],PAA[[#All],[Actividad3]],VLOOKUP(COMPROMISOS_2025[[#This Row],[Indicador Principal]],$AC$2:$AD$17,2,0),0),"")</f>
        <v/>
      </c>
    </row>
    <row r="2437" spans="1:25" hidden="1" x14ac:dyDescent="0.25">
      <c r="A2437">
        <v>1951</v>
      </c>
      <c r="B2437" t="s">
        <v>2491</v>
      </c>
      <c r="C2437" t="s">
        <v>1936</v>
      </c>
      <c r="D2437" t="s">
        <v>4182</v>
      </c>
      <c r="F2437">
        <v>406</v>
      </c>
      <c r="G2437">
        <v>65</v>
      </c>
      <c r="H2437" t="s">
        <v>662</v>
      </c>
      <c r="I2437" t="s">
        <v>2271</v>
      </c>
      <c r="J2437">
        <v>1423500</v>
      </c>
      <c r="K2437">
        <v>2025</v>
      </c>
      <c r="L2437">
        <v>1128422573</v>
      </c>
      <c r="M2437" t="s">
        <v>4456</v>
      </c>
      <c r="N2437" t="s">
        <v>1688</v>
      </c>
      <c r="O2437" t="s">
        <v>1686</v>
      </c>
      <c r="P2437">
        <v>0</v>
      </c>
      <c r="Q2437">
        <v>1423500</v>
      </c>
      <c r="R2437">
        <v>0</v>
      </c>
      <c r="S2437">
        <v>0</v>
      </c>
      <c r="T2437" t="str">
        <f t="shared" si="76"/>
        <v>19512.43.4302.85.0-205128.2.3.3.08.06.</v>
      </c>
      <c r="U2437" t="e" cm="1">
        <f t="array" aca="1" ref="U2437" ca="1">+IF(COMPROMISOS_2025[[#This Row],[P]]="20","41080111",_xlfn.XLOOKUP(COMPROMISOS_2025[[#This Row],[concatenado]],PAA[[#All],[RCP-RUBRO]],PAA[[#All],[INDICADOR]],"",0))</f>
        <v>#NAME?</v>
      </c>
      <c r="V2437" s="144" t="str">
        <f t="shared" si="77"/>
        <v>85</v>
      </c>
      <c r="W2437" s="136">
        <f>+COMPROMISOS_2025[[#This Row],[valor_total]]-COMPROMISOS_2025[[#This Row],[total_cancelado]]</f>
        <v>1423500</v>
      </c>
      <c r="X2437" s="136">
        <f>COMPROMISOS_2025[[#This Row],[total_ordenes]]</f>
        <v>1423500</v>
      </c>
      <c r="Y2437" t="str" cm="1">
        <f t="array" aca="1" ref="Y2437" ca="1">IFERROR(_xlfn.XLOOKUP(COMPROMISOS_2025[[#This Row],[concatenado]],PAA[[#All],[RCP-RUBRO]],PAA[[#All],[Actividad3]],VLOOKUP(COMPROMISOS_2025[[#This Row],[Indicador Principal]],$AC$2:$AD$17,2,0),0),"")</f>
        <v/>
      </c>
    </row>
    <row r="2438" spans="1:25" hidden="1" x14ac:dyDescent="0.25">
      <c r="A2438">
        <v>1952</v>
      </c>
      <c r="B2438" t="s">
        <v>2491</v>
      </c>
      <c r="C2438" t="s">
        <v>1936</v>
      </c>
      <c r="D2438" t="s">
        <v>4182</v>
      </c>
      <c r="F2438">
        <v>406</v>
      </c>
      <c r="G2438">
        <v>65</v>
      </c>
      <c r="H2438" t="s">
        <v>662</v>
      </c>
      <c r="I2438" t="s">
        <v>2271</v>
      </c>
      <c r="J2438">
        <v>711750</v>
      </c>
      <c r="K2438">
        <v>2025</v>
      </c>
      <c r="L2438">
        <v>1128422729</v>
      </c>
      <c r="M2438" t="s">
        <v>4457</v>
      </c>
      <c r="N2438" t="s">
        <v>1688</v>
      </c>
      <c r="O2438" t="s">
        <v>1686</v>
      </c>
      <c r="P2438">
        <v>0</v>
      </c>
      <c r="Q2438">
        <v>711750</v>
      </c>
      <c r="R2438">
        <v>0</v>
      </c>
      <c r="S2438">
        <v>0</v>
      </c>
      <c r="T2438" t="str">
        <f t="shared" si="76"/>
        <v>19522.43.4302.85.0-205128.2.3.3.08.06.</v>
      </c>
      <c r="U2438" t="e" cm="1">
        <f t="array" aca="1" ref="U2438" ca="1">+IF(COMPROMISOS_2025[[#This Row],[P]]="20","41080111",_xlfn.XLOOKUP(COMPROMISOS_2025[[#This Row],[concatenado]],PAA[[#All],[RCP-RUBRO]],PAA[[#All],[INDICADOR]],"",0))</f>
        <v>#NAME?</v>
      </c>
      <c r="V2438" s="144" t="str">
        <f t="shared" si="77"/>
        <v>85</v>
      </c>
      <c r="W2438" s="136">
        <f>+COMPROMISOS_2025[[#This Row],[valor_total]]-COMPROMISOS_2025[[#This Row],[total_cancelado]]</f>
        <v>711750</v>
      </c>
      <c r="X2438" s="136">
        <f>COMPROMISOS_2025[[#This Row],[total_ordenes]]</f>
        <v>711750</v>
      </c>
      <c r="Y2438" t="str" cm="1">
        <f t="array" aca="1" ref="Y2438" ca="1">IFERROR(_xlfn.XLOOKUP(COMPROMISOS_2025[[#This Row],[concatenado]],PAA[[#All],[RCP-RUBRO]],PAA[[#All],[Actividad3]],VLOOKUP(COMPROMISOS_2025[[#This Row],[Indicador Principal]],$AC$2:$AD$17,2,0),0),"")</f>
        <v/>
      </c>
    </row>
    <row r="2439" spans="1:25" hidden="1" x14ac:dyDescent="0.25">
      <c r="A2439">
        <v>1953</v>
      </c>
      <c r="B2439" t="s">
        <v>2491</v>
      </c>
      <c r="C2439" t="s">
        <v>1936</v>
      </c>
      <c r="D2439" t="s">
        <v>4182</v>
      </c>
      <c r="F2439">
        <v>406</v>
      </c>
      <c r="G2439">
        <v>65</v>
      </c>
      <c r="H2439" t="s">
        <v>662</v>
      </c>
      <c r="I2439" t="s">
        <v>2271</v>
      </c>
      <c r="J2439">
        <v>1067625</v>
      </c>
      <c r="K2439">
        <v>2025</v>
      </c>
      <c r="L2439">
        <v>1128431296</v>
      </c>
      <c r="M2439" t="s">
        <v>4458</v>
      </c>
      <c r="N2439" t="s">
        <v>1688</v>
      </c>
      <c r="O2439" t="s">
        <v>1686</v>
      </c>
      <c r="P2439">
        <v>0</v>
      </c>
      <c r="Q2439">
        <v>1067625</v>
      </c>
      <c r="R2439">
        <v>0</v>
      </c>
      <c r="S2439">
        <v>0</v>
      </c>
      <c r="T2439" t="str">
        <f t="shared" si="76"/>
        <v>19532.43.4302.85.0-205128.2.3.3.08.06.</v>
      </c>
      <c r="U2439" t="e" cm="1">
        <f t="array" aca="1" ref="U2439" ca="1">+IF(COMPROMISOS_2025[[#This Row],[P]]="20","41080111",_xlfn.XLOOKUP(COMPROMISOS_2025[[#This Row],[concatenado]],PAA[[#All],[RCP-RUBRO]],PAA[[#All],[INDICADOR]],"",0))</f>
        <v>#NAME?</v>
      </c>
      <c r="V2439" s="144" t="str">
        <f t="shared" si="77"/>
        <v>85</v>
      </c>
      <c r="W2439" s="136">
        <f>+COMPROMISOS_2025[[#This Row],[valor_total]]-COMPROMISOS_2025[[#This Row],[total_cancelado]]</f>
        <v>1067625</v>
      </c>
      <c r="X2439" s="136">
        <f>COMPROMISOS_2025[[#This Row],[total_ordenes]]</f>
        <v>1067625</v>
      </c>
      <c r="Y2439" t="str" cm="1">
        <f t="array" aca="1" ref="Y2439" ca="1">IFERROR(_xlfn.XLOOKUP(COMPROMISOS_2025[[#This Row],[concatenado]],PAA[[#All],[RCP-RUBRO]],PAA[[#All],[Actividad3]],VLOOKUP(COMPROMISOS_2025[[#This Row],[Indicador Principal]],$AC$2:$AD$17,2,0),0),"")</f>
        <v/>
      </c>
    </row>
    <row r="2440" spans="1:25" hidden="1" x14ac:dyDescent="0.25">
      <c r="A2440">
        <v>1954</v>
      </c>
      <c r="B2440" t="s">
        <v>2491</v>
      </c>
      <c r="C2440" t="s">
        <v>1936</v>
      </c>
      <c r="D2440" t="s">
        <v>4182</v>
      </c>
      <c r="F2440">
        <v>406</v>
      </c>
      <c r="G2440">
        <v>65</v>
      </c>
      <c r="H2440" t="s">
        <v>662</v>
      </c>
      <c r="I2440" t="s">
        <v>2271</v>
      </c>
      <c r="J2440">
        <v>711750</v>
      </c>
      <c r="K2440">
        <v>2025</v>
      </c>
      <c r="L2440">
        <v>1128433819</v>
      </c>
      <c r="M2440" t="s">
        <v>4137</v>
      </c>
      <c r="N2440" t="s">
        <v>1688</v>
      </c>
      <c r="O2440" t="s">
        <v>1686</v>
      </c>
      <c r="P2440">
        <v>0</v>
      </c>
      <c r="Q2440">
        <v>711750</v>
      </c>
      <c r="R2440">
        <v>0</v>
      </c>
      <c r="S2440">
        <v>0</v>
      </c>
      <c r="T2440" t="str">
        <f t="shared" si="76"/>
        <v>19542.43.4302.85.0-205128.2.3.3.08.06.</v>
      </c>
      <c r="U2440" t="e" cm="1">
        <f t="array" aca="1" ref="U2440" ca="1">+IF(COMPROMISOS_2025[[#This Row],[P]]="20","41080111",_xlfn.XLOOKUP(COMPROMISOS_2025[[#This Row],[concatenado]],PAA[[#All],[RCP-RUBRO]],PAA[[#All],[INDICADOR]],"",0))</f>
        <v>#NAME?</v>
      </c>
      <c r="V2440" s="144" t="str">
        <f t="shared" si="77"/>
        <v>85</v>
      </c>
      <c r="W2440" s="136">
        <f>+COMPROMISOS_2025[[#This Row],[valor_total]]-COMPROMISOS_2025[[#This Row],[total_cancelado]]</f>
        <v>711750</v>
      </c>
      <c r="X2440" s="136">
        <f>COMPROMISOS_2025[[#This Row],[total_ordenes]]</f>
        <v>711750</v>
      </c>
      <c r="Y2440" t="str" cm="1">
        <f t="array" aca="1" ref="Y2440" ca="1">IFERROR(_xlfn.XLOOKUP(COMPROMISOS_2025[[#This Row],[concatenado]],PAA[[#All],[RCP-RUBRO]],PAA[[#All],[Actividad3]],VLOOKUP(COMPROMISOS_2025[[#This Row],[Indicador Principal]],$AC$2:$AD$17,2,0),0),"")</f>
        <v/>
      </c>
    </row>
    <row r="2441" spans="1:25" hidden="1" x14ac:dyDescent="0.25">
      <c r="A2441">
        <v>1955</v>
      </c>
      <c r="B2441" t="s">
        <v>2491</v>
      </c>
      <c r="C2441" t="s">
        <v>1936</v>
      </c>
      <c r="D2441" t="s">
        <v>4182</v>
      </c>
      <c r="F2441">
        <v>406</v>
      </c>
      <c r="G2441">
        <v>65</v>
      </c>
      <c r="H2441" t="s">
        <v>662</v>
      </c>
      <c r="I2441" t="s">
        <v>2271</v>
      </c>
      <c r="J2441">
        <v>1067625</v>
      </c>
      <c r="K2441">
        <v>2025</v>
      </c>
      <c r="L2441">
        <v>1128436270</v>
      </c>
      <c r="M2441" t="s">
        <v>4138</v>
      </c>
      <c r="N2441" t="s">
        <v>1688</v>
      </c>
      <c r="O2441" t="s">
        <v>1686</v>
      </c>
      <c r="P2441">
        <v>0</v>
      </c>
      <c r="Q2441">
        <v>1067625</v>
      </c>
      <c r="R2441">
        <v>0</v>
      </c>
      <c r="S2441">
        <v>0</v>
      </c>
      <c r="T2441" t="str">
        <f t="shared" si="76"/>
        <v>19552.43.4302.85.0-205128.2.3.3.08.06.</v>
      </c>
      <c r="U2441" t="e" cm="1">
        <f t="array" aca="1" ref="U2441" ca="1">+IF(COMPROMISOS_2025[[#This Row],[P]]="20","41080111",_xlfn.XLOOKUP(COMPROMISOS_2025[[#This Row],[concatenado]],PAA[[#All],[RCP-RUBRO]],PAA[[#All],[INDICADOR]],"",0))</f>
        <v>#NAME?</v>
      </c>
      <c r="V2441" s="144" t="str">
        <f t="shared" si="77"/>
        <v>85</v>
      </c>
      <c r="W2441" s="136">
        <f>+COMPROMISOS_2025[[#This Row],[valor_total]]-COMPROMISOS_2025[[#This Row],[total_cancelado]]</f>
        <v>1067625</v>
      </c>
      <c r="X2441" s="136">
        <f>COMPROMISOS_2025[[#This Row],[total_ordenes]]</f>
        <v>1067625</v>
      </c>
      <c r="Y2441" t="str" cm="1">
        <f t="array" aca="1" ref="Y2441" ca="1">IFERROR(_xlfn.XLOOKUP(COMPROMISOS_2025[[#This Row],[concatenado]],PAA[[#All],[RCP-RUBRO]],PAA[[#All],[Actividad3]],VLOOKUP(COMPROMISOS_2025[[#This Row],[Indicador Principal]],$AC$2:$AD$17,2,0),0),"")</f>
        <v/>
      </c>
    </row>
    <row r="2442" spans="1:25" hidden="1" x14ac:dyDescent="0.25">
      <c r="A2442">
        <v>1956</v>
      </c>
      <c r="B2442" t="s">
        <v>2491</v>
      </c>
      <c r="C2442" t="s">
        <v>1936</v>
      </c>
      <c r="D2442" t="s">
        <v>4182</v>
      </c>
      <c r="F2442">
        <v>406</v>
      </c>
      <c r="G2442">
        <v>65</v>
      </c>
      <c r="H2442" t="s">
        <v>662</v>
      </c>
      <c r="I2442" t="s">
        <v>2271</v>
      </c>
      <c r="J2442">
        <v>711750</v>
      </c>
      <c r="K2442">
        <v>2025</v>
      </c>
      <c r="L2442">
        <v>1128436361</v>
      </c>
      <c r="M2442" t="s">
        <v>4139</v>
      </c>
      <c r="N2442" t="s">
        <v>1688</v>
      </c>
      <c r="O2442" t="s">
        <v>1686</v>
      </c>
      <c r="P2442">
        <v>0</v>
      </c>
      <c r="Q2442">
        <v>711750</v>
      </c>
      <c r="R2442">
        <v>0</v>
      </c>
      <c r="S2442">
        <v>0</v>
      </c>
      <c r="T2442" t="str">
        <f t="shared" si="76"/>
        <v>19562.43.4302.85.0-205128.2.3.3.08.06.</v>
      </c>
      <c r="U2442" t="e" cm="1">
        <f t="array" aca="1" ref="U2442" ca="1">+IF(COMPROMISOS_2025[[#This Row],[P]]="20","41080111",_xlfn.XLOOKUP(COMPROMISOS_2025[[#This Row],[concatenado]],PAA[[#All],[RCP-RUBRO]],PAA[[#All],[INDICADOR]],"",0))</f>
        <v>#NAME?</v>
      </c>
      <c r="V2442" s="144" t="str">
        <f t="shared" si="77"/>
        <v>85</v>
      </c>
      <c r="W2442" s="136">
        <f>+COMPROMISOS_2025[[#This Row],[valor_total]]-COMPROMISOS_2025[[#This Row],[total_cancelado]]</f>
        <v>711750</v>
      </c>
      <c r="X2442" s="136">
        <f>COMPROMISOS_2025[[#This Row],[total_ordenes]]</f>
        <v>711750</v>
      </c>
      <c r="Y2442" t="str" cm="1">
        <f t="array" aca="1" ref="Y2442" ca="1">IFERROR(_xlfn.XLOOKUP(COMPROMISOS_2025[[#This Row],[concatenado]],PAA[[#All],[RCP-RUBRO]],PAA[[#All],[Actividad3]],VLOOKUP(COMPROMISOS_2025[[#This Row],[Indicador Principal]],$AC$2:$AD$17,2,0),0),"")</f>
        <v/>
      </c>
    </row>
    <row r="2443" spans="1:25" hidden="1" x14ac:dyDescent="0.25">
      <c r="A2443">
        <v>1957</v>
      </c>
      <c r="B2443" t="s">
        <v>2491</v>
      </c>
      <c r="C2443" t="s">
        <v>1936</v>
      </c>
      <c r="D2443" t="s">
        <v>4182</v>
      </c>
      <c r="F2443">
        <v>406</v>
      </c>
      <c r="G2443">
        <v>65</v>
      </c>
      <c r="H2443" t="s">
        <v>662</v>
      </c>
      <c r="I2443" t="s">
        <v>2271</v>
      </c>
      <c r="J2443">
        <v>2847000</v>
      </c>
      <c r="K2443">
        <v>2025</v>
      </c>
      <c r="L2443">
        <v>1128458818</v>
      </c>
      <c r="M2443" t="s">
        <v>4140</v>
      </c>
      <c r="N2443" t="s">
        <v>1688</v>
      </c>
      <c r="O2443" t="s">
        <v>1686</v>
      </c>
      <c r="P2443">
        <v>0</v>
      </c>
      <c r="Q2443">
        <v>2847000</v>
      </c>
      <c r="R2443">
        <v>0</v>
      </c>
      <c r="S2443">
        <v>0</v>
      </c>
      <c r="T2443" t="str">
        <f t="shared" si="76"/>
        <v>19572.43.4302.85.0-205128.2.3.3.08.06.</v>
      </c>
      <c r="U2443" t="e" cm="1">
        <f t="array" aca="1" ref="U2443" ca="1">+IF(COMPROMISOS_2025[[#This Row],[P]]="20","41080111",_xlfn.XLOOKUP(COMPROMISOS_2025[[#This Row],[concatenado]],PAA[[#All],[RCP-RUBRO]],PAA[[#All],[INDICADOR]],"",0))</f>
        <v>#NAME?</v>
      </c>
      <c r="V2443" s="144" t="str">
        <f t="shared" si="77"/>
        <v>85</v>
      </c>
      <c r="W2443" s="136">
        <f>+COMPROMISOS_2025[[#This Row],[valor_total]]-COMPROMISOS_2025[[#This Row],[total_cancelado]]</f>
        <v>2847000</v>
      </c>
      <c r="X2443" s="136">
        <f>COMPROMISOS_2025[[#This Row],[total_ordenes]]</f>
        <v>2847000</v>
      </c>
      <c r="Y2443" t="str" cm="1">
        <f t="array" aca="1" ref="Y2443" ca="1">IFERROR(_xlfn.XLOOKUP(COMPROMISOS_2025[[#This Row],[concatenado]],PAA[[#All],[RCP-RUBRO]],PAA[[#All],[Actividad3]],VLOOKUP(COMPROMISOS_2025[[#This Row],[Indicador Principal]],$AC$2:$AD$17,2,0),0),"")</f>
        <v/>
      </c>
    </row>
    <row r="2444" spans="1:25" hidden="1" x14ac:dyDescent="0.25">
      <c r="A2444">
        <v>1958</v>
      </c>
      <c r="B2444" t="s">
        <v>2491</v>
      </c>
      <c r="C2444" t="s">
        <v>1936</v>
      </c>
      <c r="D2444" t="s">
        <v>4182</v>
      </c>
      <c r="F2444">
        <v>406</v>
      </c>
      <c r="G2444">
        <v>65</v>
      </c>
      <c r="H2444" t="s">
        <v>662</v>
      </c>
      <c r="I2444" t="s">
        <v>2271</v>
      </c>
      <c r="J2444">
        <v>1423500</v>
      </c>
      <c r="K2444">
        <v>2025</v>
      </c>
      <c r="L2444">
        <v>1128471723</v>
      </c>
      <c r="M2444" t="s">
        <v>4459</v>
      </c>
      <c r="N2444" t="s">
        <v>1688</v>
      </c>
      <c r="O2444" t="s">
        <v>1686</v>
      </c>
      <c r="P2444">
        <v>0</v>
      </c>
      <c r="Q2444">
        <v>1423500</v>
      </c>
      <c r="R2444">
        <v>0</v>
      </c>
      <c r="S2444">
        <v>0</v>
      </c>
      <c r="T2444" t="str">
        <f t="shared" si="76"/>
        <v>19582.43.4302.85.0-205128.2.3.3.08.06.</v>
      </c>
      <c r="U2444" t="e" cm="1">
        <f t="array" aca="1" ref="U2444" ca="1">+IF(COMPROMISOS_2025[[#This Row],[P]]="20","41080111",_xlfn.XLOOKUP(COMPROMISOS_2025[[#This Row],[concatenado]],PAA[[#All],[RCP-RUBRO]],PAA[[#All],[INDICADOR]],"",0))</f>
        <v>#NAME?</v>
      </c>
      <c r="V2444" s="144" t="str">
        <f t="shared" si="77"/>
        <v>85</v>
      </c>
      <c r="W2444" s="136">
        <f>+COMPROMISOS_2025[[#This Row],[valor_total]]-COMPROMISOS_2025[[#This Row],[total_cancelado]]</f>
        <v>1423500</v>
      </c>
      <c r="X2444" s="136">
        <f>COMPROMISOS_2025[[#This Row],[total_ordenes]]</f>
        <v>1423500</v>
      </c>
      <c r="Y2444" t="str" cm="1">
        <f t="array" aca="1" ref="Y2444" ca="1">IFERROR(_xlfn.XLOOKUP(COMPROMISOS_2025[[#This Row],[concatenado]],PAA[[#All],[RCP-RUBRO]],PAA[[#All],[Actividad3]],VLOOKUP(COMPROMISOS_2025[[#This Row],[Indicador Principal]],$AC$2:$AD$17,2,0),0),"")</f>
        <v/>
      </c>
    </row>
    <row r="2445" spans="1:25" hidden="1" x14ac:dyDescent="0.25">
      <c r="A2445">
        <v>1959</v>
      </c>
      <c r="B2445" t="s">
        <v>2491</v>
      </c>
      <c r="C2445" t="s">
        <v>1936</v>
      </c>
      <c r="D2445" t="s">
        <v>4182</v>
      </c>
      <c r="F2445">
        <v>406</v>
      </c>
      <c r="G2445">
        <v>65</v>
      </c>
      <c r="H2445" t="s">
        <v>662</v>
      </c>
      <c r="I2445" t="s">
        <v>2271</v>
      </c>
      <c r="J2445">
        <v>1423500</v>
      </c>
      <c r="K2445">
        <v>2025</v>
      </c>
      <c r="L2445">
        <v>1129044029</v>
      </c>
      <c r="M2445" t="s">
        <v>4180</v>
      </c>
      <c r="N2445" t="s">
        <v>1688</v>
      </c>
      <c r="O2445" t="s">
        <v>1686</v>
      </c>
      <c r="P2445">
        <v>0</v>
      </c>
      <c r="Q2445">
        <v>1423500</v>
      </c>
      <c r="R2445">
        <v>0</v>
      </c>
      <c r="S2445">
        <v>0</v>
      </c>
      <c r="T2445" t="str">
        <f t="shared" si="76"/>
        <v>19592.43.4302.85.0-205128.2.3.3.08.06.</v>
      </c>
      <c r="U2445" t="e" cm="1">
        <f t="array" aca="1" ref="U2445" ca="1">+IF(COMPROMISOS_2025[[#This Row],[P]]="20","41080111",_xlfn.XLOOKUP(COMPROMISOS_2025[[#This Row],[concatenado]],PAA[[#All],[RCP-RUBRO]],PAA[[#All],[INDICADOR]],"",0))</f>
        <v>#NAME?</v>
      </c>
      <c r="V2445" s="144" t="str">
        <f t="shared" si="77"/>
        <v>85</v>
      </c>
      <c r="W2445" s="136">
        <f>+COMPROMISOS_2025[[#This Row],[valor_total]]-COMPROMISOS_2025[[#This Row],[total_cancelado]]</f>
        <v>1423500</v>
      </c>
      <c r="X2445" s="136">
        <f>COMPROMISOS_2025[[#This Row],[total_ordenes]]</f>
        <v>1423500</v>
      </c>
      <c r="Y2445" t="str" cm="1">
        <f t="array" aca="1" ref="Y2445" ca="1">IFERROR(_xlfn.XLOOKUP(COMPROMISOS_2025[[#This Row],[concatenado]],PAA[[#All],[RCP-RUBRO]],PAA[[#All],[Actividad3]],VLOOKUP(COMPROMISOS_2025[[#This Row],[Indicador Principal]],$AC$2:$AD$17,2,0),0),"")</f>
        <v/>
      </c>
    </row>
    <row r="2446" spans="1:25" hidden="1" x14ac:dyDescent="0.25">
      <c r="A2446">
        <v>1960</v>
      </c>
      <c r="B2446" t="s">
        <v>2491</v>
      </c>
      <c r="C2446" t="s">
        <v>1936</v>
      </c>
      <c r="D2446" t="s">
        <v>4182</v>
      </c>
      <c r="F2446">
        <v>406</v>
      </c>
      <c r="G2446">
        <v>65</v>
      </c>
      <c r="H2446" t="s">
        <v>662</v>
      </c>
      <c r="I2446" t="s">
        <v>2271</v>
      </c>
      <c r="J2446">
        <v>711750</v>
      </c>
      <c r="K2446">
        <v>2025</v>
      </c>
      <c r="L2446">
        <v>1129584626</v>
      </c>
      <c r="M2446" t="s">
        <v>3881</v>
      </c>
      <c r="N2446" t="s">
        <v>1688</v>
      </c>
      <c r="O2446" t="s">
        <v>1686</v>
      </c>
      <c r="P2446">
        <v>0</v>
      </c>
      <c r="Q2446">
        <v>711750</v>
      </c>
      <c r="R2446">
        <v>0</v>
      </c>
      <c r="S2446">
        <v>0</v>
      </c>
      <c r="T2446" t="str">
        <f t="shared" si="76"/>
        <v>19602.43.4302.85.0-205128.2.3.3.08.06.</v>
      </c>
      <c r="U2446" t="e" cm="1">
        <f t="array" aca="1" ref="U2446" ca="1">+IF(COMPROMISOS_2025[[#This Row],[P]]="20","41080111",_xlfn.XLOOKUP(COMPROMISOS_2025[[#This Row],[concatenado]],PAA[[#All],[RCP-RUBRO]],PAA[[#All],[INDICADOR]],"",0))</f>
        <v>#NAME?</v>
      </c>
      <c r="V2446" s="144" t="str">
        <f t="shared" si="77"/>
        <v>85</v>
      </c>
      <c r="W2446" s="136">
        <f>+COMPROMISOS_2025[[#This Row],[valor_total]]-COMPROMISOS_2025[[#This Row],[total_cancelado]]</f>
        <v>711750</v>
      </c>
      <c r="X2446" s="136">
        <f>COMPROMISOS_2025[[#This Row],[total_ordenes]]</f>
        <v>711750</v>
      </c>
      <c r="Y2446" t="str" cm="1">
        <f t="array" aca="1" ref="Y2446" ca="1">IFERROR(_xlfn.XLOOKUP(COMPROMISOS_2025[[#This Row],[concatenado]],PAA[[#All],[RCP-RUBRO]],PAA[[#All],[Actividad3]],VLOOKUP(COMPROMISOS_2025[[#This Row],[Indicador Principal]],$AC$2:$AD$17,2,0),0),"")</f>
        <v/>
      </c>
    </row>
    <row r="2447" spans="1:25" hidden="1" x14ac:dyDescent="0.25">
      <c r="A2447">
        <v>1961</v>
      </c>
      <c r="B2447" t="s">
        <v>2491</v>
      </c>
      <c r="C2447" t="s">
        <v>1936</v>
      </c>
      <c r="D2447" t="s">
        <v>4182</v>
      </c>
      <c r="F2447">
        <v>406</v>
      </c>
      <c r="G2447">
        <v>65</v>
      </c>
      <c r="H2447" t="s">
        <v>662</v>
      </c>
      <c r="I2447" t="s">
        <v>2271</v>
      </c>
      <c r="J2447">
        <v>711750</v>
      </c>
      <c r="K2447">
        <v>2025</v>
      </c>
      <c r="L2447">
        <v>1140425476</v>
      </c>
      <c r="M2447" t="s">
        <v>3882</v>
      </c>
      <c r="N2447" t="s">
        <v>1688</v>
      </c>
      <c r="O2447" t="s">
        <v>1686</v>
      </c>
      <c r="P2447">
        <v>0</v>
      </c>
      <c r="Q2447">
        <v>711750</v>
      </c>
      <c r="R2447">
        <v>0</v>
      </c>
      <c r="S2447">
        <v>0</v>
      </c>
      <c r="T2447" t="str">
        <f t="shared" si="76"/>
        <v>19612.43.4302.85.0-205128.2.3.3.08.06.</v>
      </c>
      <c r="U2447" t="e" cm="1">
        <f t="array" aca="1" ref="U2447" ca="1">+IF(COMPROMISOS_2025[[#This Row],[P]]="20","41080111",_xlfn.XLOOKUP(COMPROMISOS_2025[[#This Row],[concatenado]],PAA[[#All],[RCP-RUBRO]],PAA[[#All],[INDICADOR]],"",0))</f>
        <v>#NAME?</v>
      </c>
      <c r="V2447" s="144" t="str">
        <f t="shared" si="77"/>
        <v>85</v>
      </c>
      <c r="W2447" s="136">
        <f>+COMPROMISOS_2025[[#This Row],[valor_total]]-COMPROMISOS_2025[[#This Row],[total_cancelado]]</f>
        <v>711750</v>
      </c>
      <c r="X2447" s="136">
        <f>COMPROMISOS_2025[[#This Row],[total_ordenes]]</f>
        <v>711750</v>
      </c>
      <c r="Y2447" t="str" cm="1">
        <f t="array" aca="1" ref="Y2447" ca="1">IFERROR(_xlfn.XLOOKUP(COMPROMISOS_2025[[#This Row],[concatenado]],PAA[[#All],[RCP-RUBRO]],PAA[[#All],[Actividad3]],VLOOKUP(COMPROMISOS_2025[[#This Row],[Indicador Principal]],$AC$2:$AD$17,2,0),0),"")</f>
        <v/>
      </c>
    </row>
    <row r="2448" spans="1:25" hidden="1" x14ac:dyDescent="0.25">
      <c r="A2448">
        <v>1962</v>
      </c>
      <c r="B2448" t="s">
        <v>2491</v>
      </c>
      <c r="C2448" t="s">
        <v>1936</v>
      </c>
      <c r="D2448" t="s">
        <v>4182</v>
      </c>
      <c r="F2448">
        <v>406</v>
      </c>
      <c r="G2448">
        <v>65</v>
      </c>
      <c r="H2448" t="s">
        <v>662</v>
      </c>
      <c r="I2448" t="s">
        <v>2271</v>
      </c>
      <c r="J2448">
        <v>5694000</v>
      </c>
      <c r="K2448">
        <v>2025</v>
      </c>
      <c r="L2448">
        <v>1140880543</v>
      </c>
      <c r="M2448" t="s">
        <v>4460</v>
      </c>
      <c r="N2448" t="s">
        <v>1688</v>
      </c>
      <c r="O2448" t="s">
        <v>1686</v>
      </c>
      <c r="P2448">
        <v>0</v>
      </c>
      <c r="Q2448">
        <v>5694000</v>
      </c>
      <c r="R2448">
        <v>0</v>
      </c>
      <c r="S2448">
        <v>0</v>
      </c>
      <c r="T2448" t="str">
        <f t="shared" si="76"/>
        <v>19622.43.4302.85.0-205128.2.3.3.08.06.</v>
      </c>
      <c r="U2448" t="e" cm="1">
        <f t="array" aca="1" ref="U2448" ca="1">+IF(COMPROMISOS_2025[[#This Row],[P]]="20","41080111",_xlfn.XLOOKUP(COMPROMISOS_2025[[#This Row],[concatenado]],PAA[[#All],[RCP-RUBRO]],PAA[[#All],[INDICADOR]],"",0))</f>
        <v>#NAME?</v>
      </c>
      <c r="V2448" s="144" t="str">
        <f t="shared" si="77"/>
        <v>85</v>
      </c>
      <c r="W2448" s="136">
        <f>+COMPROMISOS_2025[[#This Row],[valor_total]]-COMPROMISOS_2025[[#This Row],[total_cancelado]]</f>
        <v>5694000</v>
      </c>
      <c r="X2448" s="136">
        <f>COMPROMISOS_2025[[#This Row],[total_ordenes]]</f>
        <v>5694000</v>
      </c>
      <c r="Y2448" t="str" cm="1">
        <f t="array" aca="1" ref="Y2448" ca="1">IFERROR(_xlfn.XLOOKUP(COMPROMISOS_2025[[#This Row],[concatenado]],PAA[[#All],[RCP-RUBRO]],PAA[[#All],[Actividad3]],VLOOKUP(COMPROMISOS_2025[[#This Row],[Indicador Principal]],$AC$2:$AD$17,2,0),0),"")</f>
        <v/>
      </c>
    </row>
    <row r="2449" spans="1:25" hidden="1" x14ac:dyDescent="0.25">
      <c r="A2449">
        <v>1963</v>
      </c>
      <c r="B2449" t="s">
        <v>2491</v>
      </c>
      <c r="C2449" t="s">
        <v>1936</v>
      </c>
      <c r="D2449" t="s">
        <v>4182</v>
      </c>
      <c r="F2449">
        <v>406</v>
      </c>
      <c r="G2449">
        <v>65</v>
      </c>
      <c r="H2449" t="s">
        <v>662</v>
      </c>
      <c r="I2449" t="s">
        <v>2271</v>
      </c>
      <c r="J2449">
        <v>711750</v>
      </c>
      <c r="K2449">
        <v>2025</v>
      </c>
      <c r="L2449">
        <v>1141325230</v>
      </c>
      <c r="M2449" t="s">
        <v>4461</v>
      </c>
      <c r="N2449" t="s">
        <v>1688</v>
      </c>
      <c r="O2449" t="s">
        <v>1686</v>
      </c>
      <c r="P2449">
        <v>0</v>
      </c>
      <c r="Q2449">
        <v>711750</v>
      </c>
      <c r="R2449">
        <v>0</v>
      </c>
      <c r="S2449">
        <v>0</v>
      </c>
      <c r="T2449" t="str">
        <f t="shared" si="76"/>
        <v>19632.43.4302.85.0-205128.2.3.3.08.06.</v>
      </c>
      <c r="U2449" t="e" cm="1">
        <f t="array" aca="1" ref="U2449" ca="1">+IF(COMPROMISOS_2025[[#This Row],[P]]="20","41080111",_xlfn.XLOOKUP(COMPROMISOS_2025[[#This Row],[concatenado]],PAA[[#All],[RCP-RUBRO]],PAA[[#All],[INDICADOR]],"",0))</f>
        <v>#NAME?</v>
      </c>
      <c r="V2449" s="144" t="str">
        <f t="shared" si="77"/>
        <v>85</v>
      </c>
      <c r="W2449" s="136">
        <f>+COMPROMISOS_2025[[#This Row],[valor_total]]-COMPROMISOS_2025[[#This Row],[total_cancelado]]</f>
        <v>711750</v>
      </c>
      <c r="X2449" s="136">
        <f>COMPROMISOS_2025[[#This Row],[total_ordenes]]</f>
        <v>711750</v>
      </c>
      <c r="Y2449" t="str" cm="1">
        <f t="array" aca="1" ref="Y2449" ca="1">IFERROR(_xlfn.XLOOKUP(COMPROMISOS_2025[[#This Row],[concatenado]],PAA[[#All],[RCP-RUBRO]],PAA[[#All],[Actividad3]],VLOOKUP(COMPROMISOS_2025[[#This Row],[Indicador Principal]],$AC$2:$AD$17,2,0),0),"")</f>
        <v/>
      </c>
    </row>
    <row r="2450" spans="1:25" hidden="1" x14ac:dyDescent="0.25">
      <c r="A2450">
        <v>1964</v>
      </c>
      <c r="B2450" t="s">
        <v>2491</v>
      </c>
      <c r="C2450" t="s">
        <v>1936</v>
      </c>
      <c r="D2450" t="s">
        <v>4182</v>
      </c>
      <c r="F2450">
        <v>406</v>
      </c>
      <c r="G2450">
        <v>65</v>
      </c>
      <c r="H2450" t="s">
        <v>662</v>
      </c>
      <c r="I2450" t="s">
        <v>2271</v>
      </c>
      <c r="J2450">
        <v>711750</v>
      </c>
      <c r="K2450">
        <v>2025</v>
      </c>
      <c r="L2450">
        <v>1141516584</v>
      </c>
      <c r="M2450" t="s">
        <v>3883</v>
      </c>
      <c r="N2450" t="s">
        <v>1688</v>
      </c>
      <c r="O2450" t="s">
        <v>1686</v>
      </c>
      <c r="P2450">
        <v>0</v>
      </c>
      <c r="Q2450">
        <v>711750</v>
      </c>
      <c r="R2450">
        <v>0</v>
      </c>
      <c r="S2450">
        <v>0</v>
      </c>
      <c r="T2450" t="str">
        <f t="shared" si="76"/>
        <v>19642.43.4302.85.0-205128.2.3.3.08.06.</v>
      </c>
      <c r="U2450" t="e" cm="1">
        <f t="array" aca="1" ref="U2450" ca="1">+IF(COMPROMISOS_2025[[#This Row],[P]]="20","41080111",_xlfn.XLOOKUP(COMPROMISOS_2025[[#This Row],[concatenado]],PAA[[#All],[RCP-RUBRO]],PAA[[#All],[INDICADOR]],"",0))</f>
        <v>#NAME?</v>
      </c>
      <c r="V2450" s="144" t="str">
        <f t="shared" si="77"/>
        <v>85</v>
      </c>
      <c r="W2450" s="136">
        <f>+COMPROMISOS_2025[[#This Row],[valor_total]]-COMPROMISOS_2025[[#This Row],[total_cancelado]]</f>
        <v>711750</v>
      </c>
      <c r="X2450" s="136">
        <f>COMPROMISOS_2025[[#This Row],[total_ordenes]]</f>
        <v>711750</v>
      </c>
      <c r="Y2450" t="str" cm="1">
        <f t="array" aca="1" ref="Y2450" ca="1">IFERROR(_xlfn.XLOOKUP(COMPROMISOS_2025[[#This Row],[concatenado]],PAA[[#All],[RCP-RUBRO]],PAA[[#All],[Actividad3]],VLOOKUP(COMPROMISOS_2025[[#This Row],[Indicador Principal]],$AC$2:$AD$17,2,0),0),"")</f>
        <v/>
      </c>
    </row>
    <row r="2451" spans="1:25" hidden="1" x14ac:dyDescent="0.25">
      <c r="A2451">
        <v>1965</v>
      </c>
      <c r="B2451" t="s">
        <v>2491</v>
      </c>
      <c r="C2451" t="s">
        <v>1936</v>
      </c>
      <c r="D2451" t="s">
        <v>4182</v>
      </c>
      <c r="F2451">
        <v>406</v>
      </c>
      <c r="G2451">
        <v>65</v>
      </c>
      <c r="H2451" t="s">
        <v>662</v>
      </c>
      <c r="I2451" t="s">
        <v>2271</v>
      </c>
      <c r="J2451">
        <v>711750</v>
      </c>
      <c r="K2451">
        <v>2025</v>
      </c>
      <c r="L2451">
        <v>1142922660</v>
      </c>
      <c r="M2451" t="s">
        <v>4462</v>
      </c>
      <c r="N2451" t="s">
        <v>1688</v>
      </c>
      <c r="O2451" t="s">
        <v>1686</v>
      </c>
      <c r="P2451">
        <v>0</v>
      </c>
      <c r="Q2451">
        <v>711750</v>
      </c>
      <c r="R2451">
        <v>0</v>
      </c>
      <c r="S2451">
        <v>0</v>
      </c>
      <c r="T2451" t="str">
        <f t="shared" si="76"/>
        <v>19652.43.4302.85.0-205128.2.3.3.08.06.</v>
      </c>
      <c r="U2451" t="e" cm="1">
        <f t="array" aca="1" ref="U2451" ca="1">+IF(COMPROMISOS_2025[[#This Row],[P]]="20","41080111",_xlfn.XLOOKUP(COMPROMISOS_2025[[#This Row],[concatenado]],PAA[[#All],[RCP-RUBRO]],PAA[[#All],[INDICADOR]],"",0))</f>
        <v>#NAME?</v>
      </c>
      <c r="V2451" s="144" t="str">
        <f t="shared" si="77"/>
        <v>85</v>
      </c>
      <c r="W2451" s="136">
        <f>+COMPROMISOS_2025[[#This Row],[valor_total]]-COMPROMISOS_2025[[#This Row],[total_cancelado]]</f>
        <v>711750</v>
      </c>
      <c r="X2451" s="136">
        <f>COMPROMISOS_2025[[#This Row],[total_ordenes]]</f>
        <v>711750</v>
      </c>
      <c r="Y2451" t="str" cm="1">
        <f t="array" aca="1" ref="Y2451" ca="1">IFERROR(_xlfn.XLOOKUP(COMPROMISOS_2025[[#This Row],[concatenado]],PAA[[#All],[RCP-RUBRO]],PAA[[#All],[Actividad3]],VLOOKUP(COMPROMISOS_2025[[#This Row],[Indicador Principal]],$AC$2:$AD$17,2,0),0),"")</f>
        <v/>
      </c>
    </row>
    <row r="2452" spans="1:25" hidden="1" x14ac:dyDescent="0.25">
      <c r="A2452">
        <v>1966</v>
      </c>
      <c r="B2452" t="s">
        <v>2491</v>
      </c>
      <c r="C2452" t="s">
        <v>1936</v>
      </c>
      <c r="D2452" t="s">
        <v>4182</v>
      </c>
      <c r="F2452">
        <v>406</v>
      </c>
      <c r="G2452">
        <v>65</v>
      </c>
      <c r="H2452" t="s">
        <v>662</v>
      </c>
      <c r="I2452" t="s">
        <v>2271</v>
      </c>
      <c r="J2452">
        <v>711750</v>
      </c>
      <c r="K2452">
        <v>2025</v>
      </c>
      <c r="L2452">
        <v>1142924105</v>
      </c>
      <c r="M2452" t="s">
        <v>4463</v>
      </c>
      <c r="N2452" t="s">
        <v>1688</v>
      </c>
      <c r="O2452" t="s">
        <v>1686</v>
      </c>
      <c r="P2452">
        <v>0</v>
      </c>
      <c r="Q2452">
        <v>711750</v>
      </c>
      <c r="R2452">
        <v>0</v>
      </c>
      <c r="S2452">
        <v>0</v>
      </c>
      <c r="T2452" t="str">
        <f t="shared" si="76"/>
        <v>19662.43.4302.85.0-205128.2.3.3.08.06.</v>
      </c>
      <c r="U2452" t="e" cm="1">
        <f t="array" aca="1" ref="U2452" ca="1">+IF(COMPROMISOS_2025[[#This Row],[P]]="20","41080111",_xlfn.XLOOKUP(COMPROMISOS_2025[[#This Row],[concatenado]],PAA[[#All],[RCP-RUBRO]],PAA[[#All],[INDICADOR]],"",0))</f>
        <v>#NAME?</v>
      </c>
      <c r="V2452" s="144" t="str">
        <f t="shared" si="77"/>
        <v>85</v>
      </c>
      <c r="W2452" s="136">
        <f>+COMPROMISOS_2025[[#This Row],[valor_total]]-COMPROMISOS_2025[[#This Row],[total_cancelado]]</f>
        <v>711750</v>
      </c>
      <c r="X2452" s="136">
        <f>COMPROMISOS_2025[[#This Row],[total_ordenes]]</f>
        <v>711750</v>
      </c>
      <c r="Y2452" t="str" cm="1">
        <f t="array" aca="1" ref="Y2452" ca="1">IFERROR(_xlfn.XLOOKUP(COMPROMISOS_2025[[#This Row],[concatenado]],PAA[[#All],[RCP-RUBRO]],PAA[[#All],[Actividad3]],VLOOKUP(COMPROMISOS_2025[[#This Row],[Indicador Principal]],$AC$2:$AD$17,2,0),0),"")</f>
        <v/>
      </c>
    </row>
    <row r="2453" spans="1:25" hidden="1" x14ac:dyDescent="0.25">
      <c r="A2453">
        <v>1967</v>
      </c>
      <c r="B2453" t="s">
        <v>2491</v>
      </c>
      <c r="C2453" t="s">
        <v>1936</v>
      </c>
      <c r="D2453" t="s">
        <v>4182</v>
      </c>
      <c r="F2453">
        <v>406</v>
      </c>
      <c r="G2453">
        <v>65</v>
      </c>
      <c r="H2453" t="s">
        <v>662</v>
      </c>
      <c r="I2453" t="s">
        <v>2271</v>
      </c>
      <c r="J2453">
        <v>711750</v>
      </c>
      <c r="K2453">
        <v>2025</v>
      </c>
      <c r="L2453">
        <v>1142924954</v>
      </c>
      <c r="M2453" t="s">
        <v>3884</v>
      </c>
      <c r="N2453" t="s">
        <v>1688</v>
      </c>
      <c r="O2453" t="s">
        <v>1686</v>
      </c>
      <c r="P2453">
        <v>0</v>
      </c>
      <c r="Q2453">
        <v>711750</v>
      </c>
      <c r="R2453">
        <v>0</v>
      </c>
      <c r="S2453">
        <v>0</v>
      </c>
      <c r="T2453" t="str">
        <f t="shared" si="76"/>
        <v>19672.43.4302.85.0-205128.2.3.3.08.06.</v>
      </c>
      <c r="U2453" t="e" cm="1">
        <f t="array" aca="1" ref="U2453" ca="1">+IF(COMPROMISOS_2025[[#This Row],[P]]="20","41080111",_xlfn.XLOOKUP(COMPROMISOS_2025[[#This Row],[concatenado]],PAA[[#All],[RCP-RUBRO]],PAA[[#All],[INDICADOR]],"",0))</f>
        <v>#NAME?</v>
      </c>
      <c r="V2453" s="144" t="str">
        <f t="shared" si="77"/>
        <v>85</v>
      </c>
      <c r="W2453" s="136">
        <f>+COMPROMISOS_2025[[#This Row],[valor_total]]-COMPROMISOS_2025[[#This Row],[total_cancelado]]</f>
        <v>711750</v>
      </c>
      <c r="X2453" s="136">
        <f>COMPROMISOS_2025[[#This Row],[total_ordenes]]</f>
        <v>711750</v>
      </c>
      <c r="Y2453" t="str" cm="1">
        <f t="array" aca="1" ref="Y2453" ca="1">IFERROR(_xlfn.XLOOKUP(COMPROMISOS_2025[[#This Row],[concatenado]],PAA[[#All],[RCP-RUBRO]],PAA[[#All],[Actividad3]],VLOOKUP(COMPROMISOS_2025[[#This Row],[Indicador Principal]],$AC$2:$AD$17,2,0),0),"")</f>
        <v/>
      </c>
    </row>
    <row r="2454" spans="1:25" hidden="1" x14ac:dyDescent="0.25">
      <c r="A2454">
        <v>1968</v>
      </c>
      <c r="B2454" t="s">
        <v>2491</v>
      </c>
      <c r="C2454" t="s">
        <v>1936</v>
      </c>
      <c r="D2454" t="s">
        <v>4182</v>
      </c>
      <c r="F2454">
        <v>406</v>
      </c>
      <c r="G2454">
        <v>65</v>
      </c>
      <c r="H2454" t="s">
        <v>662</v>
      </c>
      <c r="I2454" t="s">
        <v>2271</v>
      </c>
      <c r="J2454">
        <v>15302625</v>
      </c>
      <c r="K2454">
        <v>2025</v>
      </c>
      <c r="L2454">
        <v>1143150941</v>
      </c>
      <c r="M2454" t="s">
        <v>4141</v>
      </c>
      <c r="N2454" t="s">
        <v>1688</v>
      </c>
      <c r="O2454" t="s">
        <v>1686</v>
      </c>
      <c r="P2454">
        <v>0</v>
      </c>
      <c r="Q2454">
        <v>15302625</v>
      </c>
      <c r="R2454">
        <v>0</v>
      </c>
      <c r="S2454">
        <v>0</v>
      </c>
      <c r="T2454" t="str">
        <f t="shared" si="76"/>
        <v>19682.43.4302.85.0-205128.2.3.3.08.06.</v>
      </c>
      <c r="U2454" t="e" cm="1">
        <f t="array" aca="1" ref="U2454" ca="1">+IF(COMPROMISOS_2025[[#This Row],[P]]="20","41080111",_xlfn.XLOOKUP(COMPROMISOS_2025[[#This Row],[concatenado]],PAA[[#All],[RCP-RUBRO]],PAA[[#All],[INDICADOR]],"",0))</f>
        <v>#NAME?</v>
      </c>
      <c r="V2454" s="144" t="str">
        <f t="shared" si="77"/>
        <v>85</v>
      </c>
      <c r="W2454" s="136">
        <f>+COMPROMISOS_2025[[#This Row],[valor_total]]-COMPROMISOS_2025[[#This Row],[total_cancelado]]</f>
        <v>15302625</v>
      </c>
      <c r="X2454" s="136">
        <f>COMPROMISOS_2025[[#This Row],[total_ordenes]]</f>
        <v>15302625</v>
      </c>
      <c r="Y2454" t="str" cm="1">
        <f t="array" aca="1" ref="Y2454" ca="1">IFERROR(_xlfn.XLOOKUP(COMPROMISOS_2025[[#This Row],[concatenado]],PAA[[#All],[RCP-RUBRO]],PAA[[#All],[Actividad3]],VLOOKUP(COMPROMISOS_2025[[#This Row],[Indicador Principal]],$AC$2:$AD$17,2,0),0),"")</f>
        <v/>
      </c>
    </row>
    <row r="2455" spans="1:25" hidden="1" x14ac:dyDescent="0.25">
      <c r="A2455">
        <v>1969</v>
      </c>
      <c r="B2455" t="s">
        <v>2491</v>
      </c>
      <c r="C2455" t="s">
        <v>1936</v>
      </c>
      <c r="D2455" t="s">
        <v>4182</v>
      </c>
      <c r="F2455">
        <v>406</v>
      </c>
      <c r="G2455">
        <v>65</v>
      </c>
      <c r="H2455" t="s">
        <v>662</v>
      </c>
      <c r="I2455" t="s">
        <v>2271</v>
      </c>
      <c r="J2455">
        <v>711750</v>
      </c>
      <c r="K2455">
        <v>2025</v>
      </c>
      <c r="L2455">
        <v>1143351287</v>
      </c>
      <c r="M2455" t="s">
        <v>4464</v>
      </c>
      <c r="N2455" t="s">
        <v>1688</v>
      </c>
      <c r="O2455" t="s">
        <v>1686</v>
      </c>
      <c r="P2455">
        <v>0</v>
      </c>
      <c r="Q2455">
        <v>711750</v>
      </c>
      <c r="R2455">
        <v>0</v>
      </c>
      <c r="S2455">
        <v>0</v>
      </c>
      <c r="T2455" t="str">
        <f t="shared" si="76"/>
        <v>19692.43.4302.85.0-205128.2.3.3.08.06.</v>
      </c>
      <c r="U2455" t="e" cm="1">
        <f t="array" aca="1" ref="U2455" ca="1">+IF(COMPROMISOS_2025[[#This Row],[P]]="20","41080111",_xlfn.XLOOKUP(COMPROMISOS_2025[[#This Row],[concatenado]],PAA[[#All],[RCP-RUBRO]],PAA[[#All],[INDICADOR]],"",0))</f>
        <v>#NAME?</v>
      </c>
      <c r="V2455" s="144" t="str">
        <f t="shared" si="77"/>
        <v>85</v>
      </c>
      <c r="W2455" s="136">
        <f>+COMPROMISOS_2025[[#This Row],[valor_total]]-COMPROMISOS_2025[[#This Row],[total_cancelado]]</f>
        <v>711750</v>
      </c>
      <c r="X2455" s="136">
        <f>COMPROMISOS_2025[[#This Row],[total_ordenes]]</f>
        <v>711750</v>
      </c>
      <c r="Y2455" t="str" cm="1">
        <f t="array" aca="1" ref="Y2455" ca="1">IFERROR(_xlfn.XLOOKUP(COMPROMISOS_2025[[#This Row],[concatenado]],PAA[[#All],[RCP-RUBRO]],PAA[[#All],[Actividad3]],VLOOKUP(COMPROMISOS_2025[[#This Row],[Indicador Principal]],$AC$2:$AD$17,2,0),0),"")</f>
        <v/>
      </c>
    </row>
    <row r="2456" spans="1:25" hidden="1" x14ac:dyDescent="0.25">
      <c r="A2456">
        <v>1970</v>
      </c>
      <c r="B2456" t="s">
        <v>2491</v>
      </c>
      <c r="C2456" t="s">
        <v>1936</v>
      </c>
      <c r="D2456" t="s">
        <v>4182</v>
      </c>
      <c r="F2456">
        <v>406</v>
      </c>
      <c r="G2456">
        <v>65</v>
      </c>
      <c r="H2456" t="s">
        <v>662</v>
      </c>
      <c r="I2456" t="s">
        <v>2271</v>
      </c>
      <c r="J2456">
        <v>38434500</v>
      </c>
      <c r="K2456">
        <v>2025</v>
      </c>
      <c r="L2456">
        <v>1143878021</v>
      </c>
      <c r="M2456" t="s">
        <v>4465</v>
      </c>
      <c r="N2456" t="s">
        <v>1688</v>
      </c>
      <c r="O2456" t="s">
        <v>1686</v>
      </c>
      <c r="P2456">
        <v>0</v>
      </c>
      <c r="Q2456">
        <v>38434500</v>
      </c>
      <c r="R2456">
        <v>0</v>
      </c>
      <c r="S2456">
        <v>0</v>
      </c>
      <c r="T2456" t="str">
        <f t="shared" si="76"/>
        <v>19702.43.4302.85.0-205128.2.3.3.08.06.</v>
      </c>
      <c r="U2456" t="e" cm="1">
        <f t="array" aca="1" ref="U2456" ca="1">+IF(COMPROMISOS_2025[[#This Row],[P]]="20","41080111",_xlfn.XLOOKUP(COMPROMISOS_2025[[#This Row],[concatenado]],PAA[[#All],[RCP-RUBRO]],PAA[[#All],[INDICADOR]],"",0))</f>
        <v>#NAME?</v>
      </c>
      <c r="V2456" s="144" t="str">
        <f t="shared" si="77"/>
        <v>85</v>
      </c>
      <c r="W2456" s="136">
        <f>+COMPROMISOS_2025[[#This Row],[valor_total]]-COMPROMISOS_2025[[#This Row],[total_cancelado]]</f>
        <v>38434500</v>
      </c>
      <c r="X2456" s="136">
        <f>COMPROMISOS_2025[[#This Row],[total_ordenes]]</f>
        <v>38434500</v>
      </c>
      <c r="Y2456" t="str" cm="1">
        <f t="array" aca="1" ref="Y2456" ca="1">IFERROR(_xlfn.XLOOKUP(COMPROMISOS_2025[[#This Row],[concatenado]],PAA[[#All],[RCP-RUBRO]],PAA[[#All],[Actividad3]],VLOOKUP(COMPROMISOS_2025[[#This Row],[Indicador Principal]],$AC$2:$AD$17,2,0),0),"")</f>
        <v/>
      </c>
    </row>
    <row r="2457" spans="1:25" hidden="1" x14ac:dyDescent="0.25">
      <c r="A2457">
        <v>1971</v>
      </c>
      <c r="B2457" t="s">
        <v>2491</v>
      </c>
      <c r="C2457" t="s">
        <v>1936</v>
      </c>
      <c r="D2457" t="s">
        <v>4182</v>
      </c>
      <c r="F2457">
        <v>406</v>
      </c>
      <c r="G2457">
        <v>65</v>
      </c>
      <c r="H2457" t="s">
        <v>662</v>
      </c>
      <c r="I2457" t="s">
        <v>2271</v>
      </c>
      <c r="J2457">
        <v>2847000</v>
      </c>
      <c r="K2457">
        <v>2025</v>
      </c>
      <c r="L2457">
        <v>1144179074</v>
      </c>
      <c r="M2457" t="s">
        <v>3885</v>
      </c>
      <c r="N2457" t="s">
        <v>1688</v>
      </c>
      <c r="O2457" t="s">
        <v>1686</v>
      </c>
      <c r="P2457">
        <v>0</v>
      </c>
      <c r="Q2457">
        <v>2847000</v>
      </c>
      <c r="R2457">
        <v>0</v>
      </c>
      <c r="S2457">
        <v>0</v>
      </c>
      <c r="T2457" t="str">
        <f t="shared" si="76"/>
        <v>19712.43.4302.85.0-205128.2.3.3.08.06.</v>
      </c>
      <c r="U2457" t="e" cm="1">
        <f t="array" aca="1" ref="U2457" ca="1">+IF(COMPROMISOS_2025[[#This Row],[P]]="20","41080111",_xlfn.XLOOKUP(COMPROMISOS_2025[[#This Row],[concatenado]],PAA[[#All],[RCP-RUBRO]],PAA[[#All],[INDICADOR]],"",0))</f>
        <v>#NAME?</v>
      </c>
      <c r="V2457" s="144" t="str">
        <f t="shared" si="77"/>
        <v>85</v>
      </c>
      <c r="W2457" s="136">
        <f>+COMPROMISOS_2025[[#This Row],[valor_total]]-COMPROMISOS_2025[[#This Row],[total_cancelado]]</f>
        <v>2847000</v>
      </c>
      <c r="X2457" s="136">
        <f>COMPROMISOS_2025[[#This Row],[total_ordenes]]</f>
        <v>2847000</v>
      </c>
      <c r="Y2457" t="str" cm="1">
        <f t="array" aca="1" ref="Y2457" ca="1">IFERROR(_xlfn.XLOOKUP(COMPROMISOS_2025[[#This Row],[concatenado]],PAA[[#All],[RCP-RUBRO]],PAA[[#All],[Actividad3]],VLOOKUP(COMPROMISOS_2025[[#This Row],[Indicador Principal]],$AC$2:$AD$17,2,0),0),"")</f>
        <v/>
      </c>
    </row>
    <row r="2458" spans="1:25" hidden="1" x14ac:dyDescent="0.25">
      <c r="A2458">
        <v>1972</v>
      </c>
      <c r="B2458" t="s">
        <v>2491</v>
      </c>
      <c r="C2458" t="s">
        <v>1936</v>
      </c>
      <c r="D2458" t="s">
        <v>4182</v>
      </c>
      <c r="F2458">
        <v>406</v>
      </c>
      <c r="G2458">
        <v>65</v>
      </c>
      <c r="H2458" t="s">
        <v>662</v>
      </c>
      <c r="I2458" t="s">
        <v>2271</v>
      </c>
      <c r="J2458">
        <v>1423500</v>
      </c>
      <c r="K2458">
        <v>2025</v>
      </c>
      <c r="L2458">
        <v>1146436695</v>
      </c>
      <c r="M2458" t="s">
        <v>4466</v>
      </c>
      <c r="N2458" t="s">
        <v>1688</v>
      </c>
      <c r="O2458" t="s">
        <v>1686</v>
      </c>
      <c r="P2458">
        <v>0</v>
      </c>
      <c r="Q2458">
        <v>1423500</v>
      </c>
      <c r="R2458">
        <v>0</v>
      </c>
      <c r="S2458">
        <v>0</v>
      </c>
      <c r="T2458" t="str">
        <f t="shared" si="76"/>
        <v>19722.43.4302.85.0-205128.2.3.3.08.06.</v>
      </c>
      <c r="U2458" t="e" cm="1">
        <f t="array" aca="1" ref="U2458" ca="1">+IF(COMPROMISOS_2025[[#This Row],[P]]="20","41080111",_xlfn.XLOOKUP(COMPROMISOS_2025[[#This Row],[concatenado]],PAA[[#All],[RCP-RUBRO]],PAA[[#All],[INDICADOR]],"",0))</f>
        <v>#NAME?</v>
      </c>
      <c r="V2458" s="144" t="str">
        <f t="shared" si="77"/>
        <v>85</v>
      </c>
      <c r="W2458" s="136">
        <f>+COMPROMISOS_2025[[#This Row],[valor_total]]-COMPROMISOS_2025[[#This Row],[total_cancelado]]</f>
        <v>1423500</v>
      </c>
      <c r="X2458" s="136">
        <f>COMPROMISOS_2025[[#This Row],[total_ordenes]]</f>
        <v>1423500</v>
      </c>
      <c r="Y2458" t="str" cm="1">
        <f t="array" aca="1" ref="Y2458" ca="1">IFERROR(_xlfn.XLOOKUP(COMPROMISOS_2025[[#This Row],[concatenado]],PAA[[#All],[RCP-RUBRO]],PAA[[#All],[Actividad3]],VLOOKUP(COMPROMISOS_2025[[#This Row],[Indicador Principal]],$AC$2:$AD$17,2,0),0),"")</f>
        <v/>
      </c>
    </row>
    <row r="2459" spans="1:25" hidden="1" x14ac:dyDescent="0.25">
      <c r="A2459">
        <v>1973</v>
      </c>
      <c r="B2459" t="s">
        <v>2491</v>
      </c>
      <c r="C2459" t="s">
        <v>1936</v>
      </c>
      <c r="D2459" t="s">
        <v>4182</v>
      </c>
      <c r="F2459">
        <v>406</v>
      </c>
      <c r="G2459">
        <v>65</v>
      </c>
      <c r="H2459" t="s">
        <v>662</v>
      </c>
      <c r="I2459" t="s">
        <v>2271</v>
      </c>
      <c r="J2459">
        <v>711750</v>
      </c>
      <c r="K2459">
        <v>2025</v>
      </c>
      <c r="L2459">
        <v>1146438661</v>
      </c>
      <c r="M2459" t="s">
        <v>4142</v>
      </c>
      <c r="N2459" t="s">
        <v>1688</v>
      </c>
      <c r="O2459" t="s">
        <v>1686</v>
      </c>
      <c r="P2459">
        <v>0</v>
      </c>
      <c r="Q2459">
        <v>711750</v>
      </c>
      <c r="R2459">
        <v>0</v>
      </c>
      <c r="S2459">
        <v>0</v>
      </c>
      <c r="T2459" t="str">
        <f t="shared" si="76"/>
        <v>19732.43.4302.85.0-205128.2.3.3.08.06.</v>
      </c>
      <c r="U2459" t="e" cm="1">
        <f t="array" aca="1" ref="U2459" ca="1">+IF(COMPROMISOS_2025[[#This Row],[P]]="20","41080111",_xlfn.XLOOKUP(COMPROMISOS_2025[[#This Row],[concatenado]],PAA[[#All],[RCP-RUBRO]],PAA[[#All],[INDICADOR]],"",0))</f>
        <v>#NAME?</v>
      </c>
      <c r="V2459" s="144" t="str">
        <f t="shared" si="77"/>
        <v>85</v>
      </c>
      <c r="W2459" s="136">
        <f>+COMPROMISOS_2025[[#This Row],[valor_total]]-COMPROMISOS_2025[[#This Row],[total_cancelado]]</f>
        <v>711750</v>
      </c>
      <c r="X2459" s="136">
        <f>COMPROMISOS_2025[[#This Row],[total_ordenes]]</f>
        <v>711750</v>
      </c>
      <c r="Y2459" t="str" cm="1">
        <f t="array" aca="1" ref="Y2459" ca="1">IFERROR(_xlfn.XLOOKUP(COMPROMISOS_2025[[#This Row],[concatenado]],PAA[[#All],[RCP-RUBRO]],PAA[[#All],[Actividad3]],VLOOKUP(COMPROMISOS_2025[[#This Row],[Indicador Principal]],$AC$2:$AD$17,2,0),0),"")</f>
        <v/>
      </c>
    </row>
    <row r="2460" spans="1:25" hidden="1" x14ac:dyDescent="0.25">
      <c r="A2460">
        <v>1974</v>
      </c>
      <c r="B2460" t="s">
        <v>2491</v>
      </c>
      <c r="C2460" t="s">
        <v>1936</v>
      </c>
      <c r="D2460" t="s">
        <v>4182</v>
      </c>
      <c r="F2460">
        <v>406</v>
      </c>
      <c r="G2460">
        <v>65</v>
      </c>
      <c r="H2460" t="s">
        <v>662</v>
      </c>
      <c r="I2460" t="s">
        <v>2271</v>
      </c>
      <c r="J2460">
        <v>1067625</v>
      </c>
      <c r="K2460">
        <v>2025</v>
      </c>
      <c r="L2460">
        <v>1148435152</v>
      </c>
      <c r="M2460" t="s">
        <v>3886</v>
      </c>
      <c r="N2460" t="s">
        <v>1688</v>
      </c>
      <c r="O2460" t="s">
        <v>1686</v>
      </c>
      <c r="P2460">
        <v>0</v>
      </c>
      <c r="Q2460">
        <v>1067625</v>
      </c>
      <c r="R2460">
        <v>0</v>
      </c>
      <c r="S2460">
        <v>0</v>
      </c>
      <c r="T2460" t="str">
        <f t="shared" si="76"/>
        <v>19742.43.4302.85.0-205128.2.3.3.08.06.</v>
      </c>
      <c r="U2460" t="e" cm="1">
        <f t="array" aca="1" ref="U2460" ca="1">+IF(COMPROMISOS_2025[[#This Row],[P]]="20","41080111",_xlfn.XLOOKUP(COMPROMISOS_2025[[#This Row],[concatenado]],PAA[[#All],[RCP-RUBRO]],PAA[[#All],[INDICADOR]],"",0))</f>
        <v>#NAME?</v>
      </c>
      <c r="V2460" s="144" t="str">
        <f t="shared" si="77"/>
        <v>85</v>
      </c>
      <c r="W2460" s="136">
        <f>+COMPROMISOS_2025[[#This Row],[valor_total]]-COMPROMISOS_2025[[#This Row],[total_cancelado]]</f>
        <v>1067625</v>
      </c>
      <c r="X2460" s="136">
        <f>COMPROMISOS_2025[[#This Row],[total_ordenes]]</f>
        <v>1067625</v>
      </c>
      <c r="Y2460" t="str" cm="1">
        <f t="array" aca="1" ref="Y2460" ca="1">IFERROR(_xlfn.XLOOKUP(COMPROMISOS_2025[[#This Row],[concatenado]],PAA[[#All],[RCP-RUBRO]],PAA[[#All],[Actividad3]],VLOOKUP(COMPROMISOS_2025[[#This Row],[Indicador Principal]],$AC$2:$AD$17,2,0),0),"")</f>
        <v/>
      </c>
    </row>
    <row r="2461" spans="1:25" hidden="1" x14ac:dyDescent="0.25">
      <c r="A2461">
        <v>1975</v>
      </c>
      <c r="B2461" t="s">
        <v>2491</v>
      </c>
      <c r="C2461" t="s">
        <v>1936</v>
      </c>
      <c r="D2461" t="s">
        <v>4182</v>
      </c>
      <c r="F2461">
        <v>406</v>
      </c>
      <c r="G2461">
        <v>65</v>
      </c>
      <c r="H2461" t="s">
        <v>662</v>
      </c>
      <c r="I2461" t="s">
        <v>2271</v>
      </c>
      <c r="J2461">
        <v>711750</v>
      </c>
      <c r="K2461">
        <v>2025</v>
      </c>
      <c r="L2461">
        <v>1149434719</v>
      </c>
      <c r="M2461" t="s">
        <v>4467</v>
      </c>
      <c r="N2461" t="s">
        <v>1688</v>
      </c>
      <c r="O2461" t="s">
        <v>1686</v>
      </c>
      <c r="P2461">
        <v>0</v>
      </c>
      <c r="Q2461">
        <v>711750</v>
      </c>
      <c r="R2461">
        <v>0</v>
      </c>
      <c r="S2461">
        <v>0</v>
      </c>
      <c r="T2461" t="str">
        <f t="shared" si="76"/>
        <v>19752.43.4302.85.0-205128.2.3.3.08.06.</v>
      </c>
      <c r="U2461" t="e" cm="1">
        <f t="array" aca="1" ref="U2461" ca="1">+IF(COMPROMISOS_2025[[#This Row],[P]]="20","41080111",_xlfn.XLOOKUP(COMPROMISOS_2025[[#This Row],[concatenado]],PAA[[#All],[RCP-RUBRO]],PAA[[#All],[INDICADOR]],"",0))</f>
        <v>#NAME?</v>
      </c>
      <c r="V2461" s="144" t="str">
        <f t="shared" si="77"/>
        <v>85</v>
      </c>
      <c r="W2461" s="136">
        <f>+COMPROMISOS_2025[[#This Row],[valor_total]]-COMPROMISOS_2025[[#This Row],[total_cancelado]]</f>
        <v>711750</v>
      </c>
      <c r="X2461" s="136">
        <f>COMPROMISOS_2025[[#This Row],[total_ordenes]]</f>
        <v>711750</v>
      </c>
      <c r="Y2461" t="str" cm="1">
        <f t="array" aca="1" ref="Y2461" ca="1">IFERROR(_xlfn.XLOOKUP(COMPROMISOS_2025[[#This Row],[concatenado]],PAA[[#All],[RCP-RUBRO]],PAA[[#All],[Actividad3]],VLOOKUP(COMPROMISOS_2025[[#This Row],[Indicador Principal]],$AC$2:$AD$17,2,0),0),"")</f>
        <v/>
      </c>
    </row>
    <row r="2462" spans="1:25" hidden="1" x14ac:dyDescent="0.25">
      <c r="A2462">
        <v>1976</v>
      </c>
      <c r="B2462" t="s">
        <v>2491</v>
      </c>
      <c r="C2462" t="s">
        <v>1936</v>
      </c>
      <c r="D2462" t="s">
        <v>4182</v>
      </c>
      <c r="F2462">
        <v>406</v>
      </c>
      <c r="G2462">
        <v>65</v>
      </c>
      <c r="H2462" t="s">
        <v>662</v>
      </c>
      <c r="I2462" t="s">
        <v>2271</v>
      </c>
      <c r="J2462">
        <v>2847000</v>
      </c>
      <c r="K2462">
        <v>2025</v>
      </c>
      <c r="L2462">
        <v>1152185642</v>
      </c>
      <c r="M2462" t="s">
        <v>4143</v>
      </c>
      <c r="N2462" t="s">
        <v>1688</v>
      </c>
      <c r="O2462" t="s">
        <v>1686</v>
      </c>
      <c r="P2462">
        <v>0</v>
      </c>
      <c r="Q2462">
        <v>2847000</v>
      </c>
      <c r="R2462">
        <v>0</v>
      </c>
      <c r="S2462">
        <v>0</v>
      </c>
      <c r="T2462" t="str">
        <f t="shared" si="76"/>
        <v>19762.43.4302.85.0-205128.2.3.3.08.06.</v>
      </c>
      <c r="U2462" t="e" cm="1">
        <f t="array" aca="1" ref="U2462" ca="1">+IF(COMPROMISOS_2025[[#This Row],[P]]="20","41080111",_xlfn.XLOOKUP(COMPROMISOS_2025[[#This Row],[concatenado]],PAA[[#All],[RCP-RUBRO]],PAA[[#All],[INDICADOR]],"",0))</f>
        <v>#NAME?</v>
      </c>
      <c r="V2462" s="144" t="str">
        <f t="shared" si="77"/>
        <v>85</v>
      </c>
      <c r="W2462" s="136">
        <f>+COMPROMISOS_2025[[#This Row],[valor_total]]-COMPROMISOS_2025[[#This Row],[total_cancelado]]</f>
        <v>2847000</v>
      </c>
      <c r="X2462" s="136">
        <f>COMPROMISOS_2025[[#This Row],[total_ordenes]]</f>
        <v>2847000</v>
      </c>
      <c r="Y2462" t="str" cm="1">
        <f t="array" aca="1" ref="Y2462" ca="1">IFERROR(_xlfn.XLOOKUP(COMPROMISOS_2025[[#This Row],[concatenado]],PAA[[#All],[RCP-RUBRO]],PAA[[#All],[Actividad3]],VLOOKUP(COMPROMISOS_2025[[#This Row],[Indicador Principal]],$AC$2:$AD$17,2,0),0),"")</f>
        <v/>
      </c>
    </row>
    <row r="2463" spans="1:25" hidden="1" x14ac:dyDescent="0.25">
      <c r="A2463">
        <v>1977</v>
      </c>
      <c r="B2463" t="s">
        <v>2491</v>
      </c>
      <c r="C2463" t="s">
        <v>1936</v>
      </c>
      <c r="D2463" t="s">
        <v>4182</v>
      </c>
      <c r="F2463">
        <v>406</v>
      </c>
      <c r="G2463">
        <v>65</v>
      </c>
      <c r="H2463" t="s">
        <v>662</v>
      </c>
      <c r="I2463" t="s">
        <v>2271</v>
      </c>
      <c r="J2463">
        <v>5694000</v>
      </c>
      <c r="K2463">
        <v>2025</v>
      </c>
      <c r="L2463">
        <v>1152187644</v>
      </c>
      <c r="M2463" t="s">
        <v>3887</v>
      </c>
      <c r="N2463" t="s">
        <v>1688</v>
      </c>
      <c r="O2463" t="s">
        <v>1686</v>
      </c>
      <c r="P2463">
        <v>0</v>
      </c>
      <c r="Q2463">
        <v>5694000</v>
      </c>
      <c r="R2463">
        <v>0</v>
      </c>
      <c r="S2463">
        <v>0</v>
      </c>
      <c r="T2463" t="str">
        <f t="shared" si="76"/>
        <v>19772.43.4302.85.0-205128.2.3.3.08.06.</v>
      </c>
      <c r="U2463" t="e" cm="1">
        <f t="array" aca="1" ref="U2463" ca="1">+IF(COMPROMISOS_2025[[#This Row],[P]]="20","41080111",_xlfn.XLOOKUP(COMPROMISOS_2025[[#This Row],[concatenado]],PAA[[#All],[RCP-RUBRO]],PAA[[#All],[INDICADOR]],"",0))</f>
        <v>#NAME?</v>
      </c>
      <c r="V2463" s="144" t="str">
        <f t="shared" si="77"/>
        <v>85</v>
      </c>
      <c r="W2463" s="136">
        <f>+COMPROMISOS_2025[[#This Row],[valor_total]]-COMPROMISOS_2025[[#This Row],[total_cancelado]]</f>
        <v>5694000</v>
      </c>
      <c r="X2463" s="136">
        <f>COMPROMISOS_2025[[#This Row],[total_ordenes]]</f>
        <v>5694000</v>
      </c>
      <c r="Y2463" t="str" cm="1">
        <f t="array" aca="1" ref="Y2463" ca="1">IFERROR(_xlfn.XLOOKUP(COMPROMISOS_2025[[#This Row],[concatenado]],PAA[[#All],[RCP-RUBRO]],PAA[[#All],[Actividad3]],VLOOKUP(COMPROMISOS_2025[[#This Row],[Indicador Principal]],$AC$2:$AD$17,2,0),0),"")</f>
        <v/>
      </c>
    </row>
    <row r="2464" spans="1:25" hidden="1" x14ac:dyDescent="0.25">
      <c r="A2464">
        <v>1978</v>
      </c>
      <c r="B2464" t="s">
        <v>2491</v>
      </c>
      <c r="C2464" t="s">
        <v>1936</v>
      </c>
      <c r="D2464" t="s">
        <v>4182</v>
      </c>
      <c r="F2464">
        <v>406</v>
      </c>
      <c r="G2464">
        <v>65</v>
      </c>
      <c r="H2464" t="s">
        <v>662</v>
      </c>
      <c r="I2464" t="s">
        <v>2271</v>
      </c>
      <c r="J2464">
        <v>1067625</v>
      </c>
      <c r="K2464">
        <v>2025</v>
      </c>
      <c r="L2464">
        <v>1152188126</v>
      </c>
      <c r="M2464" t="s">
        <v>4468</v>
      </c>
      <c r="N2464" t="s">
        <v>1688</v>
      </c>
      <c r="O2464" t="s">
        <v>1686</v>
      </c>
      <c r="P2464">
        <v>0</v>
      </c>
      <c r="Q2464">
        <v>1067625</v>
      </c>
      <c r="R2464">
        <v>0</v>
      </c>
      <c r="S2464">
        <v>0</v>
      </c>
      <c r="T2464" t="str">
        <f t="shared" si="76"/>
        <v>19782.43.4302.85.0-205128.2.3.3.08.06.</v>
      </c>
      <c r="U2464" t="e" cm="1">
        <f t="array" aca="1" ref="U2464" ca="1">+IF(COMPROMISOS_2025[[#This Row],[P]]="20","41080111",_xlfn.XLOOKUP(COMPROMISOS_2025[[#This Row],[concatenado]],PAA[[#All],[RCP-RUBRO]],PAA[[#All],[INDICADOR]],"",0))</f>
        <v>#NAME?</v>
      </c>
      <c r="V2464" s="144" t="str">
        <f t="shared" si="77"/>
        <v>85</v>
      </c>
      <c r="W2464" s="136">
        <f>+COMPROMISOS_2025[[#This Row],[valor_total]]-COMPROMISOS_2025[[#This Row],[total_cancelado]]</f>
        <v>1067625</v>
      </c>
      <c r="X2464" s="136">
        <f>COMPROMISOS_2025[[#This Row],[total_ordenes]]</f>
        <v>1067625</v>
      </c>
      <c r="Y2464" t="str" cm="1">
        <f t="array" aca="1" ref="Y2464" ca="1">IFERROR(_xlfn.XLOOKUP(COMPROMISOS_2025[[#This Row],[concatenado]],PAA[[#All],[RCP-RUBRO]],PAA[[#All],[Actividad3]],VLOOKUP(COMPROMISOS_2025[[#This Row],[Indicador Principal]],$AC$2:$AD$17,2,0),0),"")</f>
        <v/>
      </c>
    </row>
    <row r="2465" spans="1:25" hidden="1" x14ac:dyDescent="0.25">
      <c r="A2465">
        <v>1979</v>
      </c>
      <c r="B2465" t="s">
        <v>2491</v>
      </c>
      <c r="C2465" t="s">
        <v>1936</v>
      </c>
      <c r="D2465" t="s">
        <v>4182</v>
      </c>
      <c r="F2465">
        <v>406</v>
      </c>
      <c r="G2465">
        <v>65</v>
      </c>
      <c r="H2465" t="s">
        <v>662</v>
      </c>
      <c r="I2465" t="s">
        <v>2271</v>
      </c>
      <c r="J2465">
        <v>711750</v>
      </c>
      <c r="K2465">
        <v>2025</v>
      </c>
      <c r="L2465">
        <v>1152190131</v>
      </c>
      <c r="M2465" t="s">
        <v>3888</v>
      </c>
      <c r="N2465" t="s">
        <v>1688</v>
      </c>
      <c r="O2465" t="s">
        <v>1686</v>
      </c>
      <c r="P2465">
        <v>0</v>
      </c>
      <c r="Q2465">
        <v>711750</v>
      </c>
      <c r="R2465">
        <v>0</v>
      </c>
      <c r="S2465">
        <v>0</v>
      </c>
      <c r="T2465" t="str">
        <f t="shared" si="76"/>
        <v>19792.43.4302.85.0-205128.2.3.3.08.06.</v>
      </c>
      <c r="U2465" t="e" cm="1">
        <f t="array" aca="1" ref="U2465" ca="1">+IF(COMPROMISOS_2025[[#This Row],[P]]="20","41080111",_xlfn.XLOOKUP(COMPROMISOS_2025[[#This Row],[concatenado]],PAA[[#All],[RCP-RUBRO]],PAA[[#All],[INDICADOR]],"",0))</f>
        <v>#NAME?</v>
      </c>
      <c r="V2465" s="144" t="str">
        <f t="shared" si="77"/>
        <v>85</v>
      </c>
      <c r="W2465" s="136">
        <f>+COMPROMISOS_2025[[#This Row],[valor_total]]-COMPROMISOS_2025[[#This Row],[total_cancelado]]</f>
        <v>711750</v>
      </c>
      <c r="X2465" s="136">
        <f>COMPROMISOS_2025[[#This Row],[total_ordenes]]</f>
        <v>711750</v>
      </c>
      <c r="Y2465" t="str" cm="1">
        <f t="array" aca="1" ref="Y2465" ca="1">IFERROR(_xlfn.XLOOKUP(COMPROMISOS_2025[[#This Row],[concatenado]],PAA[[#All],[RCP-RUBRO]],PAA[[#All],[Actividad3]],VLOOKUP(COMPROMISOS_2025[[#This Row],[Indicador Principal]],$AC$2:$AD$17,2,0),0),"")</f>
        <v/>
      </c>
    </row>
    <row r="2466" spans="1:25" hidden="1" x14ac:dyDescent="0.25">
      <c r="A2466">
        <v>1980</v>
      </c>
      <c r="B2466" t="s">
        <v>2491</v>
      </c>
      <c r="C2466" t="s">
        <v>1936</v>
      </c>
      <c r="D2466" t="s">
        <v>4182</v>
      </c>
      <c r="F2466">
        <v>406</v>
      </c>
      <c r="G2466">
        <v>65</v>
      </c>
      <c r="H2466" t="s">
        <v>662</v>
      </c>
      <c r="I2466" t="s">
        <v>2271</v>
      </c>
      <c r="J2466">
        <v>5694000</v>
      </c>
      <c r="K2466">
        <v>2025</v>
      </c>
      <c r="L2466">
        <v>1152193072</v>
      </c>
      <c r="M2466" t="s">
        <v>3889</v>
      </c>
      <c r="N2466" t="s">
        <v>1688</v>
      </c>
      <c r="O2466" t="s">
        <v>1686</v>
      </c>
      <c r="P2466">
        <v>0</v>
      </c>
      <c r="Q2466">
        <v>5694000</v>
      </c>
      <c r="R2466">
        <v>0</v>
      </c>
      <c r="S2466">
        <v>0</v>
      </c>
      <c r="T2466" t="str">
        <f t="shared" si="76"/>
        <v>19802.43.4302.85.0-205128.2.3.3.08.06.</v>
      </c>
      <c r="U2466" t="e" cm="1">
        <f t="array" aca="1" ref="U2466" ca="1">+IF(COMPROMISOS_2025[[#This Row],[P]]="20","41080111",_xlfn.XLOOKUP(COMPROMISOS_2025[[#This Row],[concatenado]],PAA[[#All],[RCP-RUBRO]],PAA[[#All],[INDICADOR]],"",0))</f>
        <v>#NAME?</v>
      </c>
      <c r="V2466" s="144" t="str">
        <f t="shared" si="77"/>
        <v>85</v>
      </c>
      <c r="W2466" s="136">
        <f>+COMPROMISOS_2025[[#This Row],[valor_total]]-COMPROMISOS_2025[[#This Row],[total_cancelado]]</f>
        <v>5694000</v>
      </c>
      <c r="X2466" s="136">
        <f>COMPROMISOS_2025[[#This Row],[total_ordenes]]</f>
        <v>5694000</v>
      </c>
      <c r="Y2466" t="str" cm="1">
        <f t="array" aca="1" ref="Y2466" ca="1">IFERROR(_xlfn.XLOOKUP(COMPROMISOS_2025[[#This Row],[concatenado]],PAA[[#All],[RCP-RUBRO]],PAA[[#All],[Actividad3]],VLOOKUP(COMPROMISOS_2025[[#This Row],[Indicador Principal]],$AC$2:$AD$17,2,0),0),"")</f>
        <v/>
      </c>
    </row>
    <row r="2467" spans="1:25" hidden="1" x14ac:dyDescent="0.25">
      <c r="A2467">
        <v>1981</v>
      </c>
      <c r="B2467" t="s">
        <v>2491</v>
      </c>
      <c r="C2467" t="s">
        <v>1936</v>
      </c>
      <c r="D2467" t="s">
        <v>4182</v>
      </c>
      <c r="F2467">
        <v>406</v>
      </c>
      <c r="G2467">
        <v>65</v>
      </c>
      <c r="H2467" t="s">
        <v>662</v>
      </c>
      <c r="I2467" t="s">
        <v>2271</v>
      </c>
      <c r="J2467">
        <v>4270500</v>
      </c>
      <c r="K2467">
        <v>2025</v>
      </c>
      <c r="L2467">
        <v>1152193422</v>
      </c>
      <c r="M2467" t="s">
        <v>3890</v>
      </c>
      <c r="N2467" t="s">
        <v>1688</v>
      </c>
      <c r="O2467" t="s">
        <v>1686</v>
      </c>
      <c r="P2467">
        <v>0</v>
      </c>
      <c r="Q2467">
        <v>4270500</v>
      </c>
      <c r="R2467">
        <v>0</v>
      </c>
      <c r="S2467">
        <v>0</v>
      </c>
      <c r="T2467" t="str">
        <f t="shared" si="76"/>
        <v>19812.43.4302.85.0-205128.2.3.3.08.06.</v>
      </c>
      <c r="U2467" t="e" cm="1">
        <f t="array" aca="1" ref="U2467" ca="1">+IF(COMPROMISOS_2025[[#This Row],[P]]="20","41080111",_xlfn.XLOOKUP(COMPROMISOS_2025[[#This Row],[concatenado]],PAA[[#All],[RCP-RUBRO]],PAA[[#All],[INDICADOR]],"",0))</f>
        <v>#NAME?</v>
      </c>
      <c r="V2467" s="144" t="str">
        <f t="shared" si="77"/>
        <v>85</v>
      </c>
      <c r="W2467" s="136">
        <f>+COMPROMISOS_2025[[#This Row],[valor_total]]-COMPROMISOS_2025[[#This Row],[total_cancelado]]</f>
        <v>4270500</v>
      </c>
      <c r="X2467" s="136">
        <f>COMPROMISOS_2025[[#This Row],[total_ordenes]]</f>
        <v>4270500</v>
      </c>
      <c r="Y2467" t="str" cm="1">
        <f t="array" aca="1" ref="Y2467" ca="1">IFERROR(_xlfn.XLOOKUP(COMPROMISOS_2025[[#This Row],[concatenado]],PAA[[#All],[RCP-RUBRO]],PAA[[#All],[Actividad3]],VLOOKUP(COMPROMISOS_2025[[#This Row],[Indicador Principal]],$AC$2:$AD$17,2,0),0),"")</f>
        <v/>
      </c>
    </row>
    <row r="2468" spans="1:25" hidden="1" x14ac:dyDescent="0.25">
      <c r="A2468">
        <v>1982</v>
      </c>
      <c r="B2468" t="s">
        <v>2491</v>
      </c>
      <c r="C2468" t="s">
        <v>1936</v>
      </c>
      <c r="D2468" t="s">
        <v>4182</v>
      </c>
      <c r="F2468">
        <v>406</v>
      </c>
      <c r="G2468">
        <v>65</v>
      </c>
      <c r="H2468" t="s">
        <v>662</v>
      </c>
      <c r="I2468" t="s">
        <v>2271</v>
      </c>
      <c r="J2468">
        <v>711750</v>
      </c>
      <c r="K2468">
        <v>2025</v>
      </c>
      <c r="L2468">
        <v>1152200858</v>
      </c>
      <c r="M2468" t="s">
        <v>3891</v>
      </c>
      <c r="N2468" t="s">
        <v>1688</v>
      </c>
      <c r="O2468" t="s">
        <v>1686</v>
      </c>
      <c r="P2468">
        <v>0</v>
      </c>
      <c r="Q2468">
        <v>711750</v>
      </c>
      <c r="R2468">
        <v>0</v>
      </c>
      <c r="S2468">
        <v>0</v>
      </c>
      <c r="T2468" t="str">
        <f t="shared" si="76"/>
        <v>19822.43.4302.85.0-205128.2.3.3.08.06.</v>
      </c>
      <c r="U2468" t="e" cm="1">
        <f t="array" aca="1" ref="U2468" ca="1">+IF(COMPROMISOS_2025[[#This Row],[P]]="20","41080111",_xlfn.XLOOKUP(COMPROMISOS_2025[[#This Row],[concatenado]],PAA[[#All],[RCP-RUBRO]],PAA[[#All],[INDICADOR]],"",0))</f>
        <v>#NAME?</v>
      </c>
      <c r="V2468" s="144" t="str">
        <f t="shared" si="77"/>
        <v>85</v>
      </c>
      <c r="W2468" s="136">
        <f>+COMPROMISOS_2025[[#This Row],[valor_total]]-COMPROMISOS_2025[[#This Row],[total_cancelado]]</f>
        <v>711750</v>
      </c>
      <c r="X2468" s="136">
        <f>COMPROMISOS_2025[[#This Row],[total_ordenes]]</f>
        <v>711750</v>
      </c>
      <c r="Y2468" t="str" cm="1">
        <f t="array" aca="1" ref="Y2468" ca="1">IFERROR(_xlfn.XLOOKUP(COMPROMISOS_2025[[#This Row],[concatenado]],PAA[[#All],[RCP-RUBRO]],PAA[[#All],[Actividad3]],VLOOKUP(COMPROMISOS_2025[[#This Row],[Indicador Principal]],$AC$2:$AD$17,2,0),0),"")</f>
        <v/>
      </c>
    </row>
    <row r="2469" spans="1:25" hidden="1" x14ac:dyDescent="0.25">
      <c r="A2469">
        <v>1983</v>
      </c>
      <c r="B2469" t="s">
        <v>2491</v>
      </c>
      <c r="C2469" t="s">
        <v>1936</v>
      </c>
      <c r="D2469" t="s">
        <v>4182</v>
      </c>
      <c r="F2469">
        <v>406</v>
      </c>
      <c r="G2469">
        <v>65</v>
      </c>
      <c r="H2469" t="s">
        <v>662</v>
      </c>
      <c r="I2469" t="s">
        <v>2271</v>
      </c>
      <c r="J2469">
        <v>2847000</v>
      </c>
      <c r="K2469">
        <v>2025</v>
      </c>
      <c r="L2469">
        <v>1152205610</v>
      </c>
      <c r="M2469" t="s">
        <v>4144</v>
      </c>
      <c r="N2469" t="s">
        <v>1688</v>
      </c>
      <c r="O2469" t="s">
        <v>1686</v>
      </c>
      <c r="P2469">
        <v>0</v>
      </c>
      <c r="Q2469">
        <v>2847000</v>
      </c>
      <c r="R2469">
        <v>0</v>
      </c>
      <c r="S2469">
        <v>0</v>
      </c>
      <c r="T2469" t="str">
        <f t="shared" si="76"/>
        <v>19832.43.4302.85.0-205128.2.3.3.08.06.</v>
      </c>
      <c r="U2469" t="e" cm="1">
        <f t="array" aca="1" ref="U2469" ca="1">+IF(COMPROMISOS_2025[[#This Row],[P]]="20","41080111",_xlfn.XLOOKUP(COMPROMISOS_2025[[#This Row],[concatenado]],PAA[[#All],[RCP-RUBRO]],PAA[[#All],[INDICADOR]],"",0))</f>
        <v>#NAME?</v>
      </c>
      <c r="V2469" s="144" t="str">
        <f t="shared" si="77"/>
        <v>85</v>
      </c>
      <c r="W2469" s="136">
        <f>+COMPROMISOS_2025[[#This Row],[valor_total]]-COMPROMISOS_2025[[#This Row],[total_cancelado]]</f>
        <v>2847000</v>
      </c>
      <c r="X2469" s="136">
        <f>COMPROMISOS_2025[[#This Row],[total_ordenes]]</f>
        <v>2847000</v>
      </c>
      <c r="Y2469" t="str" cm="1">
        <f t="array" aca="1" ref="Y2469" ca="1">IFERROR(_xlfn.XLOOKUP(COMPROMISOS_2025[[#This Row],[concatenado]],PAA[[#All],[RCP-RUBRO]],PAA[[#All],[Actividad3]],VLOOKUP(COMPROMISOS_2025[[#This Row],[Indicador Principal]],$AC$2:$AD$17,2,0),0),"")</f>
        <v/>
      </c>
    </row>
    <row r="2470" spans="1:25" hidden="1" x14ac:dyDescent="0.25">
      <c r="A2470">
        <v>1984</v>
      </c>
      <c r="B2470" t="s">
        <v>2491</v>
      </c>
      <c r="C2470" t="s">
        <v>1936</v>
      </c>
      <c r="D2470" t="s">
        <v>4182</v>
      </c>
      <c r="F2470">
        <v>406</v>
      </c>
      <c r="G2470">
        <v>65</v>
      </c>
      <c r="H2470" t="s">
        <v>662</v>
      </c>
      <c r="I2470" t="s">
        <v>2271</v>
      </c>
      <c r="J2470">
        <v>1423500</v>
      </c>
      <c r="K2470">
        <v>2025</v>
      </c>
      <c r="L2470">
        <v>1152208585</v>
      </c>
      <c r="M2470" t="s">
        <v>4145</v>
      </c>
      <c r="N2470" t="s">
        <v>1688</v>
      </c>
      <c r="O2470" t="s">
        <v>1686</v>
      </c>
      <c r="P2470">
        <v>0</v>
      </c>
      <c r="Q2470">
        <v>1423500</v>
      </c>
      <c r="R2470">
        <v>0</v>
      </c>
      <c r="S2470">
        <v>0</v>
      </c>
      <c r="T2470" t="str">
        <f t="shared" si="76"/>
        <v>19842.43.4302.85.0-205128.2.3.3.08.06.</v>
      </c>
      <c r="U2470" t="e" cm="1">
        <f t="array" aca="1" ref="U2470" ca="1">+IF(COMPROMISOS_2025[[#This Row],[P]]="20","41080111",_xlfn.XLOOKUP(COMPROMISOS_2025[[#This Row],[concatenado]],PAA[[#All],[RCP-RUBRO]],PAA[[#All],[INDICADOR]],"",0))</f>
        <v>#NAME?</v>
      </c>
      <c r="V2470" s="144" t="str">
        <f t="shared" si="77"/>
        <v>85</v>
      </c>
      <c r="W2470" s="136">
        <f>+COMPROMISOS_2025[[#This Row],[valor_total]]-COMPROMISOS_2025[[#This Row],[total_cancelado]]</f>
        <v>1423500</v>
      </c>
      <c r="X2470" s="136">
        <f>COMPROMISOS_2025[[#This Row],[total_ordenes]]</f>
        <v>1423500</v>
      </c>
      <c r="Y2470" t="str" cm="1">
        <f t="array" aca="1" ref="Y2470" ca="1">IFERROR(_xlfn.XLOOKUP(COMPROMISOS_2025[[#This Row],[concatenado]],PAA[[#All],[RCP-RUBRO]],PAA[[#All],[Actividad3]],VLOOKUP(COMPROMISOS_2025[[#This Row],[Indicador Principal]],$AC$2:$AD$17,2,0),0),"")</f>
        <v/>
      </c>
    </row>
    <row r="2471" spans="1:25" hidden="1" x14ac:dyDescent="0.25">
      <c r="A2471">
        <v>1985</v>
      </c>
      <c r="B2471" t="s">
        <v>2491</v>
      </c>
      <c r="C2471" t="s">
        <v>1936</v>
      </c>
      <c r="D2471" t="s">
        <v>4182</v>
      </c>
      <c r="F2471">
        <v>406</v>
      </c>
      <c r="G2471">
        <v>65</v>
      </c>
      <c r="H2471" t="s">
        <v>662</v>
      </c>
      <c r="I2471" t="s">
        <v>2271</v>
      </c>
      <c r="J2471">
        <v>1423500</v>
      </c>
      <c r="K2471">
        <v>2025</v>
      </c>
      <c r="L2471">
        <v>1152211514</v>
      </c>
      <c r="M2471" t="s">
        <v>4146</v>
      </c>
      <c r="N2471" t="s">
        <v>1688</v>
      </c>
      <c r="O2471" t="s">
        <v>1686</v>
      </c>
      <c r="P2471">
        <v>0</v>
      </c>
      <c r="Q2471">
        <v>1423500</v>
      </c>
      <c r="R2471">
        <v>0</v>
      </c>
      <c r="S2471">
        <v>0</v>
      </c>
      <c r="T2471" t="str">
        <f t="shared" si="76"/>
        <v>19852.43.4302.85.0-205128.2.3.3.08.06.</v>
      </c>
      <c r="U2471" t="e" cm="1">
        <f t="array" aca="1" ref="U2471" ca="1">+IF(COMPROMISOS_2025[[#This Row],[P]]="20","41080111",_xlfn.XLOOKUP(COMPROMISOS_2025[[#This Row],[concatenado]],PAA[[#All],[RCP-RUBRO]],PAA[[#All],[INDICADOR]],"",0))</f>
        <v>#NAME?</v>
      </c>
      <c r="V2471" s="144" t="str">
        <f t="shared" si="77"/>
        <v>85</v>
      </c>
      <c r="W2471" s="136">
        <f>+COMPROMISOS_2025[[#This Row],[valor_total]]-COMPROMISOS_2025[[#This Row],[total_cancelado]]</f>
        <v>1423500</v>
      </c>
      <c r="X2471" s="136">
        <f>COMPROMISOS_2025[[#This Row],[total_ordenes]]</f>
        <v>1423500</v>
      </c>
      <c r="Y2471" t="str" cm="1">
        <f t="array" aca="1" ref="Y2471" ca="1">IFERROR(_xlfn.XLOOKUP(COMPROMISOS_2025[[#This Row],[concatenado]],PAA[[#All],[RCP-RUBRO]],PAA[[#All],[Actividad3]],VLOOKUP(COMPROMISOS_2025[[#This Row],[Indicador Principal]],$AC$2:$AD$17,2,0),0),"")</f>
        <v/>
      </c>
    </row>
    <row r="2472" spans="1:25" hidden="1" x14ac:dyDescent="0.25">
      <c r="A2472">
        <v>1986</v>
      </c>
      <c r="B2472" t="s">
        <v>2491</v>
      </c>
      <c r="C2472" t="s">
        <v>1936</v>
      </c>
      <c r="D2472" t="s">
        <v>4182</v>
      </c>
      <c r="F2472">
        <v>406</v>
      </c>
      <c r="G2472">
        <v>65</v>
      </c>
      <c r="H2472" t="s">
        <v>662</v>
      </c>
      <c r="I2472" t="s">
        <v>2271</v>
      </c>
      <c r="J2472">
        <v>2847000</v>
      </c>
      <c r="K2472">
        <v>2025</v>
      </c>
      <c r="L2472">
        <v>1152217727</v>
      </c>
      <c r="M2472" t="s">
        <v>4469</v>
      </c>
      <c r="N2472" t="s">
        <v>1688</v>
      </c>
      <c r="O2472" t="s">
        <v>1686</v>
      </c>
      <c r="P2472">
        <v>0</v>
      </c>
      <c r="Q2472">
        <v>2847000</v>
      </c>
      <c r="R2472">
        <v>0</v>
      </c>
      <c r="S2472">
        <v>0</v>
      </c>
      <c r="T2472" t="str">
        <f t="shared" si="76"/>
        <v>19862.43.4302.85.0-205128.2.3.3.08.06.</v>
      </c>
      <c r="U2472" t="e" cm="1">
        <f t="array" aca="1" ref="U2472" ca="1">+IF(COMPROMISOS_2025[[#This Row],[P]]="20","41080111",_xlfn.XLOOKUP(COMPROMISOS_2025[[#This Row],[concatenado]],PAA[[#All],[RCP-RUBRO]],PAA[[#All],[INDICADOR]],"",0))</f>
        <v>#NAME?</v>
      </c>
      <c r="V2472" s="144" t="str">
        <f t="shared" si="77"/>
        <v>85</v>
      </c>
      <c r="W2472" s="136">
        <f>+COMPROMISOS_2025[[#This Row],[valor_total]]-COMPROMISOS_2025[[#This Row],[total_cancelado]]</f>
        <v>2847000</v>
      </c>
      <c r="X2472" s="136">
        <f>COMPROMISOS_2025[[#This Row],[total_ordenes]]</f>
        <v>2847000</v>
      </c>
      <c r="Y2472" t="str" cm="1">
        <f t="array" aca="1" ref="Y2472" ca="1">IFERROR(_xlfn.XLOOKUP(COMPROMISOS_2025[[#This Row],[concatenado]],PAA[[#All],[RCP-RUBRO]],PAA[[#All],[Actividad3]],VLOOKUP(COMPROMISOS_2025[[#This Row],[Indicador Principal]],$AC$2:$AD$17,2,0),0),"")</f>
        <v/>
      </c>
    </row>
    <row r="2473" spans="1:25" hidden="1" x14ac:dyDescent="0.25">
      <c r="A2473">
        <v>1987</v>
      </c>
      <c r="B2473" t="s">
        <v>2491</v>
      </c>
      <c r="C2473" t="s">
        <v>1936</v>
      </c>
      <c r="D2473" t="s">
        <v>4182</v>
      </c>
      <c r="F2473">
        <v>406</v>
      </c>
      <c r="G2473">
        <v>65</v>
      </c>
      <c r="H2473" t="s">
        <v>662</v>
      </c>
      <c r="I2473" t="s">
        <v>2271</v>
      </c>
      <c r="J2473">
        <v>1423500</v>
      </c>
      <c r="K2473">
        <v>2025</v>
      </c>
      <c r="L2473">
        <v>1152219487</v>
      </c>
      <c r="M2473" t="s">
        <v>3892</v>
      </c>
      <c r="N2473" t="s">
        <v>1688</v>
      </c>
      <c r="O2473" t="s">
        <v>1686</v>
      </c>
      <c r="P2473">
        <v>0</v>
      </c>
      <c r="Q2473">
        <v>1423500</v>
      </c>
      <c r="R2473">
        <v>0</v>
      </c>
      <c r="S2473">
        <v>0</v>
      </c>
      <c r="T2473" t="str">
        <f t="shared" si="76"/>
        <v>19872.43.4302.85.0-205128.2.3.3.08.06.</v>
      </c>
      <c r="U2473" t="e" cm="1">
        <f t="array" aca="1" ref="U2473" ca="1">+IF(COMPROMISOS_2025[[#This Row],[P]]="20","41080111",_xlfn.XLOOKUP(COMPROMISOS_2025[[#This Row],[concatenado]],PAA[[#All],[RCP-RUBRO]],PAA[[#All],[INDICADOR]],"",0))</f>
        <v>#NAME?</v>
      </c>
      <c r="V2473" s="144" t="str">
        <f t="shared" si="77"/>
        <v>85</v>
      </c>
      <c r="W2473" s="136">
        <f>+COMPROMISOS_2025[[#This Row],[valor_total]]-COMPROMISOS_2025[[#This Row],[total_cancelado]]</f>
        <v>1423500</v>
      </c>
      <c r="X2473" s="136">
        <f>COMPROMISOS_2025[[#This Row],[total_ordenes]]</f>
        <v>1423500</v>
      </c>
      <c r="Y2473" t="str" cm="1">
        <f t="array" aca="1" ref="Y2473" ca="1">IFERROR(_xlfn.XLOOKUP(COMPROMISOS_2025[[#This Row],[concatenado]],PAA[[#All],[RCP-RUBRO]],PAA[[#All],[Actividad3]],VLOOKUP(COMPROMISOS_2025[[#This Row],[Indicador Principal]],$AC$2:$AD$17,2,0),0),"")</f>
        <v/>
      </c>
    </row>
    <row r="2474" spans="1:25" hidden="1" x14ac:dyDescent="0.25">
      <c r="A2474">
        <v>1988</v>
      </c>
      <c r="B2474" t="s">
        <v>2491</v>
      </c>
      <c r="C2474" t="s">
        <v>1936</v>
      </c>
      <c r="D2474" t="s">
        <v>4182</v>
      </c>
      <c r="F2474">
        <v>406</v>
      </c>
      <c r="G2474">
        <v>65</v>
      </c>
      <c r="H2474" t="s">
        <v>662</v>
      </c>
      <c r="I2474" t="s">
        <v>2271</v>
      </c>
      <c r="J2474">
        <v>4270500</v>
      </c>
      <c r="K2474">
        <v>2025</v>
      </c>
      <c r="L2474">
        <v>1152219617</v>
      </c>
      <c r="M2474" t="s">
        <v>4470</v>
      </c>
      <c r="N2474" t="s">
        <v>1688</v>
      </c>
      <c r="O2474" t="s">
        <v>1686</v>
      </c>
      <c r="P2474">
        <v>0</v>
      </c>
      <c r="Q2474">
        <v>4270500</v>
      </c>
      <c r="R2474">
        <v>0</v>
      </c>
      <c r="S2474">
        <v>0</v>
      </c>
      <c r="T2474" t="str">
        <f t="shared" si="76"/>
        <v>19882.43.4302.85.0-205128.2.3.3.08.06.</v>
      </c>
      <c r="U2474" t="e" cm="1">
        <f t="array" aca="1" ref="U2474" ca="1">+IF(COMPROMISOS_2025[[#This Row],[P]]="20","41080111",_xlfn.XLOOKUP(COMPROMISOS_2025[[#This Row],[concatenado]],PAA[[#All],[RCP-RUBRO]],PAA[[#All],[INDICADOR]],"",0))</f>
        <v>#NAME?</v>
      </c>
      <c r="V2474" s="144" t="str">
        <f t="shared" si="77"/>
        <v>85</v>
      </c>
      <c r="W2474" s="136">
        <f>+COMPROMISOS_2025[[#This Row],[valor_total]]-COMPROMISOS_2025[[#This Row],[total_cancelado]]</f>
        <v>4270500</v>
      </c>
      <c r="X2474" s="136">
        <f>COMPROMISOS_2025[[#This Row],[total_ordenes]]</f>
        <v>4270500</v>
      </c>
      <c r="Y2474" t="str" cm="1">
        <f t="array" aca="1" ref="Y2474" ca="1">IFERROR(_xlfn.XLOOKUP(COMPROMISOS_2025[[#This Row],[concatenado]],PAA[[#All],[RCP-RUBRO]],PAA[[#All],[Actividad3]],VLOOKUP(COMPROMISOS_2025[[#This Row],[Indicador Principal]],$AC$2:$AD$17,2,0),0),"")</f>
        <v/>
      </c>
    </row>
    <row r="2475" spans="1:25" hidden="1" x14ac:dyDescent="0.25">
      <c r="A2475">
        <v>1989</v>
      </c>
      <c r="B2475" t="s">
        <v>2491</v>
      </c>
      <c r="C2475" t="s">
        <v>1936</v>
      </c>
      <c r="D2475" t="s">
        <v>4182</v>
      </c>
      <c r="F2475">
        <v>406</v>
      </c>
      <c r="G2475">
        <v>65</v>
      </c>
      <c r="H2475" t="s">
        <v>662</v>
      </c>
      <c r="I2475" t="s">
        <v>2271</v>
      </c>
      <c r="J2475">
        <v>711750</v>
      </c>
      <c r="K2475">
        <v>2025</v>
      </c>
      <c r="L2475">
        <v>1152219916</v>
      </c>
      <c r="M2475" t="s">
        <v>4471</v>
      </c>
      <c r="N2475" t="s">
        <v>1688</v>
      </c>
      <c r="O2475" t="s">
        <v>1686</v>
      </c>
      <c r="P2475">
        <v>0</v>
      </c>
      <c r="Q2475">
        <v>711750</v>
      </c>
      <c r="R2475">
        <v>0</v>
      </c>
      <c r="S2475">
        <v>0</v>
      </c>
      <c r="T2475" t="str">
        <f t="shared" si="76"/>
        <v>19892.43.4302.85.0-205128.2.3.3.08.06.</v>
      </c>
      <c r="U2475" t="e" cm="1">
        <f t="array" aca="1" ref="U2475" ca="1">+IF(COMPROMISOS_2025[[#This Row],[P]]="20","41080111",_xlfn.XLOOKUP(COMPROMISOS_2025[[#This Row],[concatenado]],PAA[[#All],[RCP-RUBRO]],PAA[[#All],[INDICADOR]],"",0))</f>
        <v>#NAME?</v>
      </c>
      <c r="V2475" s="144" t="str">
        <f t="shared" si="77"/>
        <v>85</v>
      </c>
      <c r="W2475" s="136">
        <f>+COMPROMISOS_2025[[#This Row],[valor_total]]-COMPROMISOS_2025[[#This Row],[total_cancelado]]</f>
        <v>711750</v>
      </c>
      <c r="X2475" s="136">
        <f>COMPROMISOS_2025[[#This Row],[total_ordenes]]</f>
        <v>711750</v>
      </c>
      <c r="Y2475" t="str" cm="1">
        <f t="array" aca="1" ref="Y2475" ca="1">IFERROR(_xlfn.XLOOKUP(COMPROMISOS_2025[[#This Row],[concatenado]],PAA[[#All],[RCP-RUBRO]],PAA[[#All],[Actividad3]],VLOOKUP(COMPROMISOS_2025[[#This Row],[Indicador Principal]],$AC$2:$AD$17,2,0),0),"")</f>
        <v/>
      </c>
    </row>
    <row r="2476" spans="1:25" hidden="1" x14ac:dyDescent="0.25">
      <c r="A2476">
        <v>1990</v>
      </c>
      <c r="B2476" t="s">
        <v>2491</v>
      </c>
      <c r="C2476" t="s">
        <v>1936</v>
      </c>
      <c r="D2476" t="s">
        <v>4182</v>
      </c>
      <c r="F2476">
        <v>406</v>
      </c>
      <c r="G2476">
        <v>65</v>
      </c>
      <c r="H2476" t="s">
        <v>662</v>
      </c>
      <c r="I2476" t="s">
        <v>2271</v>
      </c>
      <c r="J2476">
        <v>711750</v>
      </c>
      <c r="K2476">
        <v>2025</v>
      </c>
      <c r="L2476">
        <v>1152222257</v>
      </c>
      <c r="M2476" t="s">
        <v>4147</v>
      </c>
      <c r="N2476" t="s">
        <v>1688</v>
      </c>
      <c r="O2476" t="s">
        <v>1686</v>
      </c>
      <c r="P2476">
        <v>0</v>
      </c>
      <c r="Q2476">
        <v>711750</v>
      </c>
      <c r="R2476">
        <v>0</v>
      </c>
      <c r="S2476">
        <v>0</v>
      </c>
      <c r="T2476" t="str">
        <f t="shared" si="76"/>
        <v>19902.43.4302.85.0-205128.2.3.3.08.06.</v>
      </c>
      <c r="U2476" t="e" cm="1">
        <f t="array" aca="1" ref="U2476" ca="1">+IF(COMPROMISOS_2025[[#This Row],[P]]="20","41080111",_xlfn.XLOOKUP(COMPROMISOS_2025[[#This Row],[concatenado]],PAA[[#All],[RCP-RUBRO]],PAA[[#All],[INDICADOR]],"",0))</f>
        <v>#NAME?</v>
      </c>
      <c r="V2476" s="144" t="str">
        <f t="shared" si="77"/>
        <v>85</v>
      </c>
      <c r="W2476" s="136">
        <f>+COMPROMISOS_2025[[#This Row],[valor_total]]-COMPROMISOS_2025[[#This Row],[total_cancelado]]</f>
        <v>711750</v>
      </c>
      <c r="X2476" s="136">
        <f>COMPROMISOS_2025[[#This Row],[total_ordenes]]</f>
        <v>711750</v>
      </c>
      <c r="Y2476" t="str" cm="1">
        <f t="array" aca="1" ref="Y2476" ca="1">IFERROR(_xlfn.XLOOKUP(COMPROMISOS_2025[[#This Row],[concatenado]],PAA[[#All],[RCP-RUBRO]],PAA[[#All],[Actividad3]],VLOOKUP(COMPROMISOS_2025[[#This Row],[Indicador Principal]],$AC$2:$AD$17,2,0),0),"")</f>
        <v/>
      </c>
    </row>
    <row r="2477" spans="1:25" hidden="1" x14ac:dyDescent="0.25">
      <c r="A2477">
        <v>1991</v>
      </c>
      <c r="B2477" t="s">
        <v>2491</v>
      </c>
      <c r="C2477" t="s">
        <v>1936</v>
      </c>
      <c r="D2477" t="s">
        <v>4182</v>
      </c>
      <c r="F2477">
        <v>406</v>
      </c>
      <c r="G2477">
        <v>65</v>
      </c>
      <c r="H2477" t="s">
        <v>662</v>
      </c>
      <c r="I2477" t="s">
        <v>2271</v>
      </c>
      <c r="J2477">
        <v>711750</v>
      </c>
      <c r="K2477">
        <v>2025</v>
      </c>
      <c r="L2477">
        <v>1152223367</v>
      </c>
      <c r="M2477" t="s">
        <v>4472</v>
      </c>
      <c r="N2477" t="s">
        <v>1688</v>
      </c>
      <c r="O2477" t="s">
        <v>1686</v>
      </c>
      <c r="P2477">
        <v>0</v>
      </c>
      <c r="Q2477">
        <v>711750</v>
      </c>
      <c r="R2477">
        <v>0</v>
      </c>
      <c r="S2477">
        <v>0</v>
      </c>
      <c r="T2477" t="str">
        <f t="shared" si="76"/>
        <v>19912.43.4302.85.0-205128.2.3.3.08.06.</v>
      </c>
      <c r="U2477" t="e" cm="1">
        <f t="array" aca="1" ref="U2477" ca="1">+IF(COMPROMISOS_2025[[#This Row],[P]]="20","41080111",_xlfn.XLOOKUP(COMPROMISOS_2025[[#This Row],[concatenado]],PAA[[#All],[RCP-RUBRO]],PAA[[#All],[INDICADOR]],"",0))</f>
        <v>#NAME?</v>
      </c>
      <c r="V2477" s="144" t="str">
        <f t="shared" si="77"/>
        <v>85</v>
      </c>
      <c r="W2477" s="136">
        <f>+COMPROMISOS_2025[[#This Row],[valor_total]]-COMPROMISOS_2025[[#This Row],[total_cancelado]]</f>
        <v>711750</v>
      </c>
      <c r="X2477" s="136">
        <f>COMPROMISOS_2025[[#This Row],[total_ordenes]]</f>
        <v>711750</v>
      </c>
      <c r="Y2477" t="str" cm="1">
        <f t="array" aca="1" ref="Y2477" ca="1">IFERROR(_xlfn.XLOOKUP(COMPROMISOS_2025[[#This Row],[concatenado]],PAA[[#All],[RCP-RUBRO]],PAA[[#All],[Actividad3]],VLOOKUP(COMPROMISOS_2025[[#This Row],[Indicador Principal]],$AC$2:$AD$17,2,0),0),"")</f>
        <v/>
      </c>
    </row>
    <row r="2478" spans="1:25" hidden="1" x14ac:dyDescent="0.25">
      <c r="A2478">
        <v>1992</v>
      </c>
      <c r="B2478" t="s">
        <v>2491</v>
      </c>
      <c r="C2478" t="s">
        <v>1936</v>
      </c>
      <c r="D2478" t="s">
        <v>4182</v>
      </c>
      <c r="F2478">
        <v>406</v>
      </c>
      <c r="G2478">
        <v>65</v>
      </c>
      <c r="H2478" t="s">
        <v>662</v>
      </c>
      <c r="I2478" t="s">
        <v>2271</v>
      </c>
      <c r="J2478">
        <v>1423500</v>
      </c>
      <c r="K2478">
        <v>2025</v>
      </c>
      <c r="L2478">
        <v>1152434378</v>
      </c>
      <c r="M2478" t="s">
        <v>4148</v>
      </c>
      <c r="N2478" t="s">
        <v>1688</v>
      </c>
      <c r="O2478" t="s">
        <v>1686</v>
      </c>
      <c r="P2478">
        <v>0</v>
      </c>
      <c r="Q2478">
        <v>1423500</v>
      </c>
      <c r="R2478">
        <v>0</v>
      </c>
      <c r="S2478">
        <v>0</v>
      </c>
      <c r="T2478" t="str">
        <f t="shared" si="76"/>
        <v>19922.43.4302.85.0-205128.2.3.3.08.06.</v>
      </c>
      <c r="U2478" t="e" cm="1">
        <f t="array" aca="1" ref="U2478" ca="1">+IF(COMPROMISOS_2025[[#This Row],[P]]="20","41080111",_xlfn.XLOOKUP(COMPROMISOS_2025[[#This Row],[concatenado]],PAA[[#All],[RCP-RUBRO]],PAA[[#All],[INDICADOR]],"",0))</f>
        <v>#NAME?</v>
      </c>
      <c r="V2478" s="144" t="str">
        <f t="shared" si="77"/>
        <v>85</v>
      </c>
      <c r="W2478" s="136">
        <f>+COMPROMISOS_2025[[#This Row],[valor_total]]-COMPROMISOS_2025[[#This Row],[total_cancelado]]</f>
        <v>1423500</v>
      </c>
      <c r="X2478" s="136">
        <f>COMPROMISOS_2025[[#This Row],[total_ordenes]]</f>
        <v>1423500</v>
      </c>
      <c r="Y2478" t="str" cm="1">
        <f t="array" aca="1" ref="Y2478" ca="1">IFERROR(_xlfn.XLOOKUP(COMPROMISOS_2025[[#This Row],[concatenado]],PAA[[#All],[RCP-RUBRO]],PAA[[#All],[Actividad3]],VLOOKUP(COMPROMISOS_2025[[#This Row],[Indicador Principal]],$AC$2:$AD$17,2,0),0),"")</f>
        <v/>
      </c>
    </row>
    <row r="2479" spans="1:25" hidden="1" x14ac:dyDescent="0.25">
      <c r="A2479">
        <v>1993</v>
      </c>
      <c r="B2479" t="s">
        <v>2491</v>
      </c>
      <c r="C2479" t="s">
        <v>1936</v>
      </c>
      <c r="D2479" t="s">
        <v>4182</v>
      </c>
      <c r="F2479">
        <v>406</v>
      </c>
      <c r="G2479">
        <v>65</v>
      </c>
      <c r="H2479" t="s">
        <v>662</v>
      </c>
      <c r="I2479" t="s">
        <v>2271</v>
      </c>
      <c r="J2479">
        <v>711750</v>
      </c>
      <c r="K2479">
        <v>2025</v>
      </c>
      <c r="L2479">
        <v>1152437888</v>
      </c>
      <c r="M2479" t="s">
        <v>4473</v>
      </c>
      <c r="N2479" t="s">
        <v>1688</v>
      </c>
      <c r="O2479" t="s">
        <v>1686</v>
      </c>
      <c r="P2479">
        <v>0</v>
      </c>
      <c r="Q2479">
        <v>711750</v>
      </c>
      <c r="R2479">
        <v>0</v>
      </c>
      <c r="S2479">
        <v>0</v>
      </c>
      <c r="T2479" t="str">
        <f t="shared" si="76"/>
        <v>19932.43.4302.85.0-205128.2.3.3.08.06.</v>
      </c>
      <c r="U2479" t="e" cm="1">
        <f t="array" aca="1" ref="U2479" ca="1">+IF(COMPROMISOS_2025[[#This Row],[P]]="20","41080111",_xlfn.XLOOKUP(COMPROMISOS_2025[[#This Row],[concatenado]],PAA[[#All],[RCP-RUBRO]],PAA[[#All],[INDICADOR]],"",0))</f>
        <v>#NAME?</v>
      </c>
      <c r="V2479" s="144" t="str">
        <f t="shared" si="77"/>
        <v>85</v>
      </c>
      <c r="W2479" s="136">
        <f>+COMPROMISOS_2025[[#This Row],[valor_total]]-COMPROMISOS_2025[[#This Row],[total_cancelado]]</f>
        <v>711750</v>
      </c>
      <c r="X2479" s="136">
        <f>COMPROMISOS_2025[[#This Row],[total_ordenes]]</f>
        <v>711750</v>
      </c>
      <c r="Y2479" t="str" cm="1">
        <f t="array" aca="1" ref="Y2479" ca="1">IFERROR(_xlfn.XLOOKUP(COMPROMISOS_2025[[#This Row],[concatenado]],PAA[[#All],[RCP-RUBRO]],PAA[[#All],[Actividad3]],VLOOKUP(COMPROMISOS_2025[[#This Row],[Indicador Principal]],$AC$2:$AD$17,2,0),0),"")</f>
        <v/>
      </c>
    </row>
    <row r="2480" spans="1:25" hidden="1" x14ac:dyDescent="0.25">
      <c r="A2480">
        <v>1994</v>
      </c>
      <c r="B2480" t="s">
        <v>2491</v>
      </c>
      <c r="C2480" t="s">
        <v>1936</v>
      </c>
      <c r="D2480" t="s">
        <v>4182</v>
      </c>
      <c r="F2480">
        <v>406</v>
      </c>
      <c r="G2480">
        <v>65</v>
      </c>
      <c r="H2480" t="s">
        <v>662</v>
      </c>
      <c r="I2480" t="s">
        <v>2271</v>
      </c>
      <c r="J2480">
        <v>2847000</v>
      </c>
      <c r="K2480">
        <v>2025</v>
      </c>
      <c r="L2480">
        <v>1152450943</v>
      </c>
      <c r="M2480" t="s">
        <v>3893</v>
      </c>
      <c r="N2480" t="s">
        <v>1688</v>
      </c>
      <c r="O2480" t="s">
        <v>1686</v>
      </c>
      <c r="P2480">
        <v>0</v>
      </c>
      <c r="Q2480">
        <v>2847000</v>
      </c>
      <c r="R2480">
        <v>0</v>
      </c>
      <c r="S2480">
        <v>0</v>
      </c>
      <c r="T2480" t="str">
        <f t="shared" si="76"/>
        <v>19942.43.4302.85.0-205128.2.3.3.08.06.</v>
      </c>
      <c r="U2480" t="e" cm="1">
        <f t="array" aca="1" ref="U2480" ca="1">+IF(COMPROMISOS_2025[[#This Row],[P]]="20","41080111",_xlfn.XLOOKUP(COMPROMISOS_2025[[#This Row],[concatenado]],PAA[[#All],[RCP-RUBRO]],PAA[[#All],[INDICADOR]],"",0))</f>
        <v>#NAME?</v>
      </c>
      <c r="V2480" s="144" t="str">
        <f t="shared" si="77"/>
        <v>85</v>
      </c>
      <c r="W2480" s="136">
        <f>+COMPROMISOS_2025[[#This Row],[valor_total]]-COMPROMISOS_2025[[#This Row],[total_cancelado]]</f>
        <v>2847000</v>
      </c>
      <c r="X2480" s="136">
        <f>COMPROMISOS_2025[[#This Row],[total_ordenes]]</f>
        <v>2847000</v>
      </c>
      <c r="Y2480" t="str" cm="1">
        <f t="array" aca="1" ref="Y2480" ca="1">IFERROR(_xlfn.XLOOKUP(COMPROMISOS_2025[[#This Row],[concatenado]],PAA[[#All],[RCP-RUBRO]],PAA[[#All],[Actividad3]],VLOOKUP(COMPROMISOS_2025[[#This Row],[Indicador Principal]],$AC$2:$AD$17,2,0),0),"")</f>
        <v/>
      </c>
    </row>
    <row r="2481" spans="1:25" hidden="1" x14ac:dyDescent="0.25">
      <c r="A2481">
        <v>1995</v>
      </c>
      <c r="B2481" t="s">
        <v>2491</v>
      </c>
      <c r="C2481" t="s">
        <v>1936</v>
      </c>
      <c r="D2481" t="s">
        <v>4182</v>
      </c>
      <c r="F2481">
        <v>406</v>
      </c>
      <c r="G2481">
        <v>65</v>
      </c>
      <c r="H2481" t="s">
        <v>662</v>
      </c>
      <c r="I2481" t="s">
        <v>2271</v>
      </c>
      <c r="J2481">
        <v>1423500</v>
      </c>
      <c r="K2481">
        <v>2025</v>
      </c>
      <c r="L2481">
        <v>1152451110</v>
      </c>
      <c r="M2481" t="s">
        <v>4474</v>
      </c>
      <c r="N2481" t="s">
        <v>1688</v>
      </c>
      <c r="O2481" t="s">
        <v>1686</v>
      </c>
      <c r="P2481">
        <v>0</v>
      </c>
      <c r="Q2481">
        <v>1423500</v>
      </c>
      <c r="R2481">
        <v>0</v>
      </c>
      <c r="S2481">
        <v>0</v>
      </c>
      <c r="T2481" t="str">
        <f t="shared" si="76"/>
        <v>19952.43.4302.85.0-205128.2.3.3.08.06.</v>
      </c>
      <c r="U2481" t="e" cm="1">
        <f t="array" aca="1" ref="U2481" ca="1">+IF(COMPROMISOS_2025[[#This Row],[P]]="20","41080111",_xlfn.XLOOKUP(COMPROMISOS_2025[[#This Row],[concatenado]],PAA[[#All],[RCP-RUBRO]],PAA[[#All],[INDICADOR]],"",0))</f>
        <v>#NAME?</v>
      </c>
      <c r="V2481" s="144" t="str">
        <f t="shared" si="77"/>
        <v>85</v>
      </c>
      <c r="W2481" s="136">
        <f>+COMPROMISOS_2025[[#This Row],[valor_total]]-COMPROMISOS_2025[[#This Row],[total_cancelado]]</f>
        <v>1423500</v>
      </c>
      <c r="X2481" s="136">
        <f>COMPROMISOS_2025[[#This Row],[total_ordenes]]</f>
        <v>1423500</v>
      </c>
      <c r="Y2481" t="str" cm="1">
        <f t="array" aca="1" ref="Y2481" ca="1">IFERROR(_xlfn.XLOOKUP(COMPROMISOS_2025[[#This Row],[concatenado]],PAA[[#All],[RCP-RUBRO]],PAA[[#All],[Actividad3]],VLOOKUP(COMPROMISOS_2025[[#This Row],[Indicador Principal]],$AC$2:$AD$17,2,0),0),"")</f>
        <v/>
      </c>
    </row>
    <row r="2482" spans="1:25" hidden="1" x14ac:dyDescent="0.25">
      <c r="A2482">
        <v>1996</v>
      </c>
      <c r="B2482" t="s">
        <v>2491</v>
      </c>
      <c r="C2482" t="s">
        <v>1936</v>
      </c>
      <c r="D2482" t="s">
        <v>4182</v>
      </c>
      <c r="F2482">
        <v>406</v>
      </c>
      <c r="G2482">
        <v>65</v>
      </c>
      <c r="H2482" t="s">
        <v>662</v>
      </c>
      <c r="I2482" t="s">
        <v>2271</v>
      </c>
      <c r="J2482">
        <v>1423500</v>
      </c>
      <c r="K2482">
        <v>2025</v>
      </c>
      <c r="L2482">
        <v>1152452785</v>
      </c>
      <c r="M2482" t="s">
        <v>3085</v>
      </c>
      <c r="N2482" t="s">
        <v>1688</v>
      </c>
      <c r="O2482" t="s">
        <v>1686</v>
      </c>
      <c r="P2482">
        <v>0</v>
      </c>
      <c r="Q2482">
        <v>1423500</v>
      </c>
      <c r="R2482">
        <v>0</v>
      </c>
      <c r="S2482">
        <v>0</v>
      </c>
      <c r="T2482" t="str">
        <f t="shared" si="76"/>
        <v>19962.43.4302.85.0-205128.2.3.3.08.06.</v>
      </c>
      <c r="U2482" t="e" cm="1">
        <f t="array" aca="1" ref="U2482" ca="1">+IF(COMPROMISOS_2025[[#This Row],[P]]="20","41080111",_xlfn.XLOOKUP(COMPROMISOS_2025[[#This Row],[concatenado]],PAA[[#All],[RCP-RUBRO]],PAA[[#All],[INDICADOR]],"",0))</f>
        <v>#NAME?</v>
      </c>
      <c r="V2482" s="144" t="str">
        <f t="shared" si="77"/>
        <v>85</v>
      </c>
      <c r="W2482" s="136">
        <f>+COMPROMISOS_2025[[#This Row],[valor_total]]-COMPROMISOS_2025[[#This Row],[total_cancelado]]</f>
        <v>1423500</v>
      </c>
      <c r="X2482" s="136">
        <f>COMPROMISOS_2025[[#This Row],[total_ordenes]]</f>
        <v>1423500</v>
      </c>
      <c r="Y2482" t="str" cm="1">
        <f t="array" aca="1" ref="Y2482" ca="1">IFERROR(_xlfn.XLOOKUP(COMPROMISOS_2025[[#This Row],[concatenado]],PAA[[#All],[RCP-RUBRO]],PAA[[#All],[Actividad3]],VLOOKUP(COMPROMISOS_2025[[#This Row],[Indicador Principal]],$AC$2:$AD$17,2,0),0),"")</f>
        <v/>
      </c>
    </row>
    <row r="2483" spans="1:25" hidden="1" x14ac:dyDescent="0.25">
      <c r="A2483">
        <v>1997</v>
      </c>
      <c r="B2483" t="s">
        <v>2491</v>
      </c>
      <c r="C2483" t="s">
        <v>1936</v>
      </c>
      <c r="D2483" t="s">
        <v>4182</v>
      </c>
      <c r="F2483">
        <v>406</v>
      </c>
      <c r="G2483">
        <v>65</v>
      </c>
      <c r="H2483" t="s">
        <v>662</v>
      </c>
      <c r="I2483" t="s">
        <v>2271</v>
      </c>
      <c r="J2483">
        <v>1423500</v>
      </c>
      <c r="K2483">
        <v>2025</v>
      </c>
      <c r="L2483">
        <v>1152455669</v>
      </c>
      <c r="M2483" t="s">
        <v>4475</v>
      </c>
      <c r="N2483" t="s">
        <v>1688</v>
      </c>
      <c r="O2483" t="s">
        <v>1686</v>
      </c>
      <c r="P2483">
        <v>0</v>
      </c>
      <c r="Q2483">
        <v>1423500</v>
      </c>
      <c r="R2483">
        <v>0</v>
      </c>
      <c r="S2483">
        <v>0</v>
      </c>
      <c r="T2483" t="str">
        <f t="shared" si="76"/>
        <v>19972.43.4302.85.0-205128.2.3.3.08.06.</v>
      </c>
      <c r="U2483" t="e" cm="1">
        <f t="array" aca="1" ref="U2483" ca="1">+IF(COMPROMISOS_2025[[#This Row],[P]]="20","41080111",_xlfn.XLOOKUP(COMPROMISOS_2025[[#This Row],[concatenado]],PAA[[#All],[RCP-RUBRO]],PAA[[#All],[INDICADOR]],"",0))</f>
        <v>#NAME?</v>
      </c>
      <c r="V2483" s="144" t="str">
        <f t="shared" si="77"/>
        <v>85</v>
      </c>
      <c r="W2483" s="136">
        <f>+COMPROMISOS_2025[[#This Row],[valor_total]]-COMPROMISOS_2025[[#This Row],[total_cancelado]]</f>
        <v>1423500</v>
      </c>
      <c r="X2483" s="136">
        <f>COMPROMISOS_2025[[#This Row],[total_ordenes]]</f>
        <v>1423500</v>
      </c>
      <c r="Y2483" t="str" cm="1">
        <f t="array" aca="1" ref="Y2483" ca="1">IFERROR(_xlfn.XLOOKUP(COMPROMISOS_2025[[#This Row],[concatenado]],PAA[[#All],[RCP-RUBRO]],PAA[[#All],[Actividad3]],VLOOKUP(COMPROMISOS_2025[[#This Row],[Indicador Principal]],$AC$2:$AD$17,2,0),0),"")</f>
        <v/>
      </c>
    </row>
    <row r="2484" spans="1:25" hidden="1" x14ac:dyDescent="0.25">
      <c r="A2484">
        <v>1998</v>
      </c>
      <c r="B2484" t="s">
        <v>2491</v>
      </c>
      <c r="C2484" t="s">
        <v>1936</v>
      </c>
      <c r="D2484" t="s">
        <v>4182</v>
      </c>
      <c r="F2484">
        <v>406</v>
      </c>
      <c r="G2484">
        <v>65</v>
      </c>
      <c r="H2484" t="s">
        <v>662</v>
      </c>
      <c r="I2484" t="s">
        <v>2271</v>
      </c>
      <c r="J2484">
        <v>1067625</v>
      </c>
      <c r="K2484">
        <v>2025</v>
      </c>
      <c r="L2484">
        <v>11524677528</v>
      </c>
      <c r="M2484" t="s">
        <v>4476</v>
      </c>
      <c r="N2484" t="s">
        <v>1688</v>
      </c>
      <c r="O2484" t="s">
        <v>1686</v>
      </c>
      <c r="P2484">
        <v>0</v>
      </c>
      <c r="Q2484">
        <v>1067625</v>
      </c>
      <c r="R2484">
        <v>0</v>
      </c>
      <c r="S2484">
        <v>0</v>
      </c>
      <c r="T2484" t="str">
        <f t="shared" si="76"/>
        <v>19982.43.4302.85.0-205128.2.3.3.08.06.</v>
      </c>
      <c r="U2484" t="e" cm="1">
        <f t="array" aca="1" ref="U2484" ca="1">+IF(COMPROMISOS_2025[[#This Row],[P]]="20","41080111",_xlfn.XLOOKUP(COMPROMISOS_2025[[#This Row],[concatenado]],PAA[[#All],[RCP-RUBRO]],PAA[[#All],[INDICADOR]],"",0))</f>
        <v>#NAME?</v>
      </c>
      <c r="V2484" s="144" t="str">
        <f t="shared" si="77"/>
        <v>85</v>
      </c>
      <c r="W2484" s="136">
        <f>+COMPROMISOS_2025[[#This Row],[valor_total]]-COMPROMISOS_2025[[#This Row],[total_cancelado]]</f>
        <v>1067625</v>
      </c>
      <c r="X2484" s="136">
        <f>COMPROMISOS_2025[[#This Row],[total_ordenes]]</f>
        <v>1067625</v>
      </c>
      <c r="Y2484" t="str" cm="1">
        <f t="array" aca="1" ref="Y2484" ca="1">IFERROR(_xlfn.XLOOKUP(COMPROMISOS_2025[[#This Row],[concatenado]],PAA[[#All],[RCP-RUBRO]],PAA[[#All],[Actividad3]],VLOOKUP(COMPROMISOS_2025[[#This Row],[Indicador Principal]],$AC$2:$AD$17,2,0),0),"")</f>
        <v/>
      </c>
    </row>
    <row r="2485" spans="1:25" hidden="1" x14ac:dyDescent="0.25">
      <c r="A2485">
        <v>1999</v>
      </c>
      <c r="B2485" t="s">
        <v>2491</v>
      </c>
      <c r="C2485" t="s">
        <v>1936</v>
      </c>
      <c r="D2485" t="s">
        <v>4182</v>
      </c>
      <c r="F2485">
        <v>406</v>
      </c>
      <c r="G2485">
        <v>65</v>
      </c>
      <c r="H2485" t="s">
        <v>662</v>
      </c>
      <c r="I2485" t="s">
        <v>2271</v>
      </c>
      <c r="J2485">
        <v>2847000</v>
      </c>
      <c r="K2485">
        <v>2025</v>
      </c>
      <c r="L2485">
        <v>1152468812</v>
      </c>
      <c r="M2485" t="s">
        <v>4477</v>
      </c>
      <c r="N2485" t="s">
        <v>1688</v>
      </c>
      <c r="O2485" t="s">
        <v>1686</v>
      </c>
      <c r="P2485">
        <v>0</v>
      </c>
      <c r="Q2485">
        <v>2847000</v>
      </c>
      <c r="R2485">
        <v>0</v>
      </c>
      <c r="S2485">
        <v>0</v>
      </c>
      <c r="T2485" t="str">
        <f t="shared" si="76"/>
        <v>19992.43.4302.85.0-205128.2.3.3.08.06.</v>
      </c>
      <c r="U2485" t="e" cm="1">
        <f t="array" aca="1" ref="U2485" ca="1">+IF(COMPROMISOS_2025[[#This Row],[P]]="20","41080111",_xlfn.XLOOKUP(COMPROMISOS_2025[[#This Row],[concatenado]],PAA[[#All],[RCP-RUBRO]],PAA[[#All],[INDICADOR]],"",0))</f>
        <v>#NAME?</v>
      </c>
      <c r="V2485" s="144" t="str">
        <f t="shared" si="77"/>
        <v>85</v>
      </c>
      <c r="W2485" s="136">
        <f>+COMPROMISOS_2025[[#This Row],[valor_total]]-COMPROMISOS_2025[[#This Row],[total_cancelado]]</f>
        <v>2847000</v>
      </c>
      <c r="X2485" s="136">
        <f>COMPROMISOS_2025[[#This Row],[total_ordenes]]</f>
        <v>2847000</v>
      </c>
      <c r="Y2485" t="str" cm="1">
        <f t="array" aca="1" ref="Y2485" ca="1">IFERROR(_xlfn.XLOOKUP(COMPROMISOS_2025[[#This Row],[concatenado]],PAA[[#All],[RCP-RUBRO]],PAA[[#All],[Actividad3]],VLOOKUP(COMPROMISOS_2025[[#This Row],[Indicador Principal]],$AC$2:$AD$17,2,0),0),"")</f>
        <v/>
      </c>
    </row>
    <row r="2486" spans="1:25" hidden="1" x14ac:dyDescent="0.25">
      <c r="A2486">
        <v>2000</v>
      </c>
      <c r="B2486" t="s">
        <v>2491</v>
      </c>
      <c r="C2486" t="s">
        <v>1936</v>
      </c>
      <c r="D2486" t="s">
        <v>4182</v>
      </c>
      <c r="F2486">
        <v>406</v>
      </c>
      <c r="G2486">
        <v>65</v>
      </c>
      <c r="H2486" t="s">
        <v>662</v>
      </c>
      <c r="I2486" t="s">
        <v>2271</v>
      </c>
      <c r="J2486">
        <v>1067625</v>
      </c>
      <c r="K2486">
        <v>2025</v>
      </c>
      <c r="L2486">
        <v>1152469840</v>
      </c>
      <c r="M2486" t="s">
        <v>4149</v>
      </c>
      <c r="N2486" t="s">
        <v>1688</v>
      </c>
      <c r="O2486" t="s">
        <v>1686</v>
      </c>
      <c r="P2486">
        <v>0</v>
      </c>
      <c r="Q2486">
        <v>1067625</v>
      </c>
      <c r="R2486">
        <v>0</v>
      </c>
      <c r="S2486">
        <v>0</v>
      </c>
      <c r="T2486" t="str">
        <f t="shared" si="76"/>
        <v>20002.43.4302.85.0-205128.2.3.3.08.06.</v>
      </c>
      <c r="U2486" t="e" cm="1">
        <f t="array" aca="1" ref="U2486" ca="1">+IF(COMPROMISOS_2025[[#This Row],[P]]="20","41080111",_xlfn.XLOOKUP(COMPROMISOS_2025[[#This Row],[concatenado]],PAA[[#All],[RCP-RUBRO]],PAA[[#All],[INDICADOR]],"",0))</f>
        <v>#NAME?</v>
      </c>
      <c r="V2486" s="144" t="str">
        <f t="shared" si="77"/>
        <v>85</v>
      </c>
      <c r="W2486" s="136">
        <f>+COMPROMISOS_2025[[#This Row],[valor_total]]-COMPROMISOS_2025[[#This Row],[total_cancelado]]</f>
        <v>1067625</v>
      </c>
      <c r="X2486" s="136">
        <f>COMPROMISOS_2025[[#This Row],[total_ordenes]]</f>
        <v>1067625</v>
      </c>
      <c r="Y2486" t="str" cm="1">
        <f t="array" aca="1" ref="Y2486" ca="1">IFERROR(_xlfn.XLOOKUP(COMPROMISOS_2025[[#This Row],[concatenado]],PAA[[#All],[RCP-RUBRO]],PAA[[#All],[Actividad3]],VLOOKUP(COMPROMISOS_2025[[#This Row],[Indicador Principal]],$AC$2:$AD$17,2,0),0),"")</f>
        <v/>
      </c>
    </row>
    <row r="2487" spans="1:25" hidden="1" x14ac:dyDescent="0.25">
      <c r="A2487">
        <v>2001</v>
      </c>
      <c r="B2487" t="s">
        <v>2491</v>
      </c>
      <c r="C2487" t="s">
        <v>1936</v>
      </c>
      <c r="D2487" t="s">
        <v>4182</v>
      </c>
      <c r="F2487">
        <v>406</v>
      </c>
      <c r="G2487">
        <v>65</v>
      </c>
      <c r="H2487" t="s">
        <v>662</v>
      </c>
      <c r="I2487" t="s">
        <v>2271</v>
      </c>
      <c r="J2487">
        <v>1067625</v>
      </c>
      <c r="K2487">
        <v>2025</v>
      </c>
      <c r="L2487">
        <v>1152470076</v>
      </c>
      <c r="M2487" t="s">
        <v>4478</v>
      </c>
      <c r="N2487" t="s">
        <v>1688</v>
      </c>
      <c r="O2487" t="s">
        <v>1686</v>
      </c>
      <c r="P2487">
        <v>0</v>
      </c>
      <c r="Q2487">
        <v>1067625</v>
      </c>
      <c r="R2487">
        <v>0</v>
      </c>
      <c r="S2487">
        <v>0</v>
      </c>
      <c r="T2487" t="str">
        <f t="shared" si="76"/>
        <v>20012.43.4302.85.0-205128.2.3.3.08.06.</v>
      </c>
      <c r="U2487" t="e" cm="1">
        <f t="array" aca="1" ref="U2487" ca="1">+IF(COMPROMISOS_2025[[#This Row],[P]]="20","41080111",_xlfn.XLOOKUP(COMPROMISOS_2025[[#This Row],[concatenado]],PAA[[#All],[RCP-RUBRO]],PAA[[#All],[INDICADOR]],"",0))</f>
        <v>#NAME?</v>
      </c>
      <c r="V2487" s="144" t="str">
        <f t="shared" si="77"/>
        <v>85</v>
      </c>
      <c r="W2487" s="136">
        <f>+COMPROMISOS_2025[[#This Row],[valor_total]]-COMPROMISOS_2025[[#This Row],[total_cancelado]]</f>
        <v>1067625</v>
      </c>
      <c r="X2487" s="136">
        <f>COMPROMISOS_2025[[#This Row],[total_ordenes]]</f>
        <v>1067625</v>
      </c>
      <c r="Y2487" t="str" cm="1">
        <f t="array" aca="1" ref="Y2487" ca="1">IFERROR(_xlfn.XLOOKUP(COMPROMISOS_2025[[#This Row],[concatenado]],PAA[[#All],[RCP-RUBRO]],PAA[[#All],[Actividad3]],VLOOKUP(COMPROMISOS_2025[[#This Row],[Indicador Principal]],$AC$2:$AD$17,2,0),0),"")</f>
        <v/>
      </c>
    </row>
    <row r="2488" spans="1:25" hidden="1" x14ac:dyDescent="0.25">
      <c r="A2488">
        <v>2002</v>
      </c>
      <c r="B2488" t="s">
        <v>2491</v>
      </c>
      <c r="C2488" t="s">
        <v>1936</v>
      </c>
      <c r="D2488" t="s">
        <v>4182</v>
      </c>
      <c r="F2488">
        <v>406</v>
      </c>
      <c r="G2488">
        <v>65</v>
      </c>
      <c r="H2488" t="s">
        <v>662</v>
      </c>
      <c r="I2488" t="s">
        <v>2271</v>
      </c>
      <c r="J2488">
        <v>1423500</v>
      </c>
      <c r="K2488">
        <v>2025</v>
      </c>
      <c r="L2488">
        <v>1152693447</v>
      </c>
      <c r="M2488" t="s">
        <v>4479</v>
      </c>
      <c r="N2488" t="s">
        <v>1688</v>
      </c>
      <c r="O2488" t="s">
        <v>1686</v>
      </c>
      <c r="P2488">
        <v>0</v>
      </c>
      <c r="Q2488">
        <v>1423500</v>
      </c>
      <c r="R2488">
        <v>0</v>
      </c>
      <c r="S2488">
        <v>0</v>
      </c>
      <c r="T2488" t="str">
        <f t="shared" si="76"/>
        <v>20022.43.4302.85.0-205128.2.3.3.08.06.</v>
      </c>
      <c r="U2488" t="e" cm="1">
        <f t="array" aca="1" ref="U2488" ca="1">+IF(COMPROMISOS_2025[[#This Row],[P]]="20","41080111",_xlfn.XLOOKUP(COMPROMISOS_2025[[#This Row],[concatenado]],PAA[[#All],[RCP-RUBRO]],PAA[[#All],[INDICADOR]],"",0))</f>
        <v>#NAME?</v>
      </c>
      <c r="V2488" s="144" t="str">
        <f t="shared" si="77"/>
        <v>85</v>
      </c>
      <c r="W2488" s="136">
        <f>+COMPROMISOS_2025[[#This Row],[valor_total]]-COMPROMISOS_2025[[#This Row],[total_cancelado]]</f>
        <v>1423500</v>
      </c>
      <c r="X2488" s="136">
        <f>COMPROMISOS_2025[[#This Row],[total_ordenes]]</f>
        <v>1423500</v>
      </c>
      <c r="Y2488" t="str" cm="1">
        <f t="array" aca="1" ref="Y2488" ca="1">IFERROR(_xlfn.XLOOKUP(COMPROMISOS_2025[[#This Row],[concatenado]],PAA[[#All],[RCP-RUBRO]],PAA[[#All],[Actividad3]],VLOOKUP(COMPROMISOS_2025[[#This Row],[Indicador Principal]],$AC$2:$AD$17,2,0),0),"")</f>
        <v/>
      </c>
    </row>
    <row r="2489" spans="1:25" hidden="1" x14ac:dyDescent="0.25">
      <c r="A2489">
        <v>2003</v>
      </c>
      <c r="B2489" t="s">
        <v>2491</v>
      </c>
      <c r="C2489" t="s">
        <v>1936</v>
      </c>
      <c r="D2489" t="s">
        <v>4182</v>
      </c>
      <c r="F2489">
        <v>406</v>
      </c>
      <c r="G2489">
        <v>65</v>
      </c>
      <c r="H2489" t="s">
        <v>662</v>
      </c>
      <c r="I2489" t="s">
        <v>2271</v>
      </c>
      <c r="J2489">
        <v>711750</v>
      </c>
      <c r="K2489">
        <v>2025</v>
      </c>
      <c r="L2489">
        <v>1152695410</v>
      </c>
      <c r="M2489" t="s">
        <v>4480</v>
      </c>
      <c r="N2489" t="s">
        <v>1688</v>
      </c>
      <c r="O2489" t="s">
        <v>1686</v>
      </c>
      <c r="P2489">
        <v>0</v>
      </c>
      <c r="Q2489">
        <v>711750</v>
      </c>
      <c r="R2489">
        <v>0</v>
      </c>
      <c r="S2489">
        <v>0</v>
      </c>
      <c r="T2489" t="str">
        <f t="shared" si="76"/>
        <v>20032.43.4302.85.0-205128.2.3.3.08.06.</v>
      </c>
      <c r="U2489" t="e" cm="1">
        <f t="array" aca="1" ref="U2489" ca="1">+IF(COMPROMISOS_2025[[#This Row],[P]]="20","41080111",_xlfn.XLOOKUP(COMPROMISOS_2025[[#This Row],[concatenado]],PAA[[#All],[RCP-RUBRO]],PAA[[#All],[INDICADOR]],"",0))</f>
        <v>#NAME?</v>
      </c>
      <c r="V2489" s="144" t="str">
        <f t="shared" si="77"/>
        <v>85</v>
      </c>
      <c r="W2489" s="136">
        <f>+COMPROMISOS_2025[[#This Row],[valor_total]]-COMPROMISOS_2025[[#This Row],[total_cancelado]]</f>
        <v>711750</v>
      </c>
      <c r="X2489" s="136">
        <f>COMPROMISOS_2025[[#This Row],[total_ordenes]]</f>
        <v>711750</v>
      </c>
      <c r="Y2489" t="str" cm="1">
        <f t="array" aca="1" ref="Y2489" ca="1">IFERROR(_xlfn.XLOOKUP(COMPROMISOS_2025[[#This Row],[concatenado]],PAA[[#All],[RCP-RUBRO]],PAA[[#All],[Actividad3]],VLOOKUP(COMPROMISOS_2025[[#This Row],[Indicador Principal]],$AC$2:$AD$17,2,0),0),"")</f>
        <v/>
      </c>
    </row>
    <row r="2490" spans="1:25" hidden="1" x14ac:dyDescent="0.25">
      <c r="A2490">
        <v>2004</v>
      </c>
      <c r="B2490" t="s">
        <v>2491</v>
      </c>
      <c r="C2490" t="s">
        <v>1936</v>
      </c>
      <c r="D2490" t="s">
        <v>4182</v>
      </c>
      <c r="F2490">
        <v>406</v>
      </c>
      <c r="G2490">
        <v>65</v>
      </c>
      <c r="H2490" t="s">
        <v>662</v>
      </c>
      <c r="I2490" t="s">
        <v>2271</v>
      </c>
      <c r="J2490">
        <v>2847000</v>
      </c>
      <c r="K2490">
        <v>2025</v>
      </c>
      <c r="L2490">
        <v>1152695433</v>
      </c>
      <c r="M2490" t="s">
        <v>4481</v>
      </c>
      <c r="N2490" t="s">
        <v>1688</v>
      </c>
      <c r="O2490" t="s">
        <v>1686</v>
      </c>
      <c r="P2490">
        <v>0</v>
      </c>
      <c r="Q2490">
        <v>2847000</v>
      </c>
      <c r="R2490">
        <v>0</v>
      </c>
      <c r="S2490">
        <v>0</v>
      </c>
      <c r="T2490" t="str">
        <f t="shared" si="76"/>
        <v>20042.43.4302.85.0-205128.2.3.3.08.06.</v>
      </c>
      <c r="U2490" t="e" cm="1">
        <f t="array" aca="1" ref="U2490" ca="1">+IF(COMPROMISOS_2025[[#This Row],[P]]="20","41080111",_xlfn.XLOOKUP(COMPROMISOS_2025[[#This Row],[concatenado]],PAA[[#All],[RCP-RUBRO]],PAA[[#All],[INDICADOR]],"",0))</f>
        <v>#NAME?</v>
      </c>
      <c r="V2490" s="144" t="str">
        <f t="shared" si="77"/>
        <v>85</v>
      </c>
      <c r="W2490" s="136">
        <f>+COMPROMISOS_2025[[#This Row],[valor_total]]-COMPROMISOS_2025[[#This Row],[total_cancelado]]</f>
        <v>2847000</v>
      </c>
      <c r="X2490" s="136">
        <f>COMPROMISOS_2025[[#This Row],[total_ordenes]]</f>
        <v>2847000</v>
      </c>
      <c r="Y2490" t="str" cm="1">
        <f t="array" aca="1" ref="Y2490" ca="1">IFERROR(_xlfn.XLOOKUP(COMPROMISOS_2025[[#This Row],[concatenado]],PAA[[#All],[RCP-RUBRO]],PAA[[#All],[Actividad3]],VLOOKUP(COMPROMISOS_2025[[#This Row],[Indicador Principal]],$AC$2:$AD$17,2,0),0),"")</f>
        <v/>
      </c>
    </row>
    <row r="2491" spans="1:25" hidden="1" x14ac:dyDescent="0.25">
      <c r="A2491">
        <v>2005</v>
      </c>
      <c r="B2491" t="s">
        <v>2491</v>
      </c>
      <c r="C2491" t="s">
        <v>1936</v>
      </c>
      <c r="D2491" t="s">
        <v>4182</v>
      </c>
      <c r="F2491">
        <v>406</v>
      </c>
      <c r="G2491">
        <v>65</v>
      </c>
      <c r="H2491" t="s">
        <v>662</v>
      </c>
      <c r="I2491" t="s">
        <v>2271</v>
      </c>
      <c r="J2491">
        <v>711750</v>
      </c>
      <c r="K2491">
        <v>2025</v>
      </c>
      <c r="L2491">
        <v>1152703345</v>
      </c>
      <c r="M2491" t="s">
        <v>4482</v>
      </c>
      <c r="N2491" t="s">
        <v>1688</v>
      </c>
      <c r="O2491" t="s">
        <v>1686</v>
      </c>
      <c r="P2491">
        <v>0</v>
      </c>
      <c r="Q2491">
        <v>711750</v>
      </c>
      <c r="R2491">
        <v>0</v>
      </c>
      <c r="S2491">
        <v>0</v>
      </c>
      <c r="T2491" t="str">
        <f t="shared" si="76"/>
        <v>20052.43.4302.85.0-205128.2.3.3.08.06.</v>
      </c>
      <c r="U2491" t="e" cm="1">
        <f t="array" aca="1" ref="U2491" ca="1">+IF(COMPROMISOS_2025[[#This Row],[P]]="20","41080111",_xlfn.XLOOKUP(COMPROMISOS_2025[[#This Row],[concatenado]],PAA[[#All],[RCP-RUBRO]],PAA[[#All],[INDICADOR]],"",0))</f>
        <v>#NAME?</v>
      </c>
      <c r="V2491" s="144" t="str">
        <f t="shared" si="77"/>
        <v>85</v>
      </c>
      <c r="W2491" s="136">
        <f>+COMPROMISOS_2025[[#This Row],[valor_total]]-COMPROMISOS_2025[[#This Row],[total_cancelado]]</f>
        <v>711750</v>
      </c>
      <c r="X2491" s="136">
        <f>COMPROMISOS_2025[[#This Row],[total_ordenes]]</f>
        <v>711750</v>
      </c>
      <c r="Y2491" t="str" cm="1">
        <f t="array" aca="1" ref="Y2491" ca="1">IFERROR(_xlfn.XLOOKUP(COMPROMISOS_2025[[#This Row],[concatenado]],PAA[[#All],[RCP-RUBRO]],PAA[[#All],[Actividad3]],VLOOKUP(COMPROMISOS_2025[[#This Row],[Indicador Principal]],$AC$2:$AD$17,2,0),0),"")</f>
        <v/>
      </c>
    </row>
    <row r="2492" spans="1:25" hidden="1" x14ac:dyDescent="0.25">
      <c r="A2492">
        <v>2006</v>
      </c>
      <c r="B2492" t="s">
        <v>2491</v>
      </c>
      <c r="C2492" t="s">
        <v>1936</v>
      </c>
      <c r="D2492" t="s">
        <v>4182</v>
      </c>
      <c r="F2492">
        <v>406</v>
      </c>
      <c r="G2492">
        <v>65</v>
      </c>
      <c r="H2492" t="s">
        <v>662</v>
      </c>
      <c r="I2492" t="s">
        <v>2271</v>
      </c>
      <c r="J2492">
        <v>711750</v>
      </c>
      <c r="K2492">
        <v>2025</v>
      </c>
      <c r="L2492">
        <v>1152708455</v>
      </c>
      <c r="M2492" t="s">
        <v>4483</v>
      </c>
      <c r="N2492" t="s">
        <v>1688</v>
      </c>
      <c r="O2492" t="s">
        <v>1686</v>
      </c>
      <c r="P2492">
        <v>0</v>
      </c>
      <c r="Q2492">
        <v>711750</v>
      </c>
      <c r="R2492">
        <v>0</v>
      </c>
      <c r="S2492">
        <v>0</v>
      </c>
      <c r="T2492" t="str">
        <f t="shared" si="76"/>
        <v>20062.43.4302.85.0-205128.2.3.3.08.06.</v>
      </c>
      <c r="U2492" t="e" cm="1">
        <f t="array" aca="1" ref="U2492" ca="1">+IF(COMPROMISOS_2025[[#This Row],[P]]="20","41080111",_xlfn.XLOOKUP(COMPROMISOS_2025[[#This Row],[concatenado]],PAA[[#All],[RCP-RUBRO]],PAA[[#All],[INDICADOR]],"",0))</f>
        <v>#NAME?</v>
      </c>
      <c r="V2492" s="144" t="str">
        <f t="shared" si="77"/>
        <v>85</v>
      </c>
      <c r="W2492" s="136">
        <f>+COMPROMISOS_2025[[#This Row],[valor_total]]-COMPROMISOS_2025[[#This Row],[total_cancelado]]</f>
        <v>711750</v>
      </c>
      <c r="X2492" s="136">
        <f>COMPROMISOS_2025[[#This Row],[total_ordenes]]</f>
        <v>711750</v>
      </c>
      <c r="Y2492" t="str" cm="1">
        <f t="array" aca="1" ref="Y2492" ca="1">IFERROR(_xlfn.XLOOKUP(COMPROMISOS_2025[[#This Row],[concatenado]],PAA[[#All],[RCP-RUBRO]],PAA[[#All],[Actividad3]],VLOOKUP(COMPROMISOS_2025[[#This Row],[Indicador Principal]],$AC$2:$AD$17,2,0),0),"")</f>
        <v/>
      </c>
    </row>
    <row r="2493" spans="1:25" hidden="1" x14ac:dyDescent="0.25">
      <c r="A2493">
        <v>2007</v>
      </c>
      <c r="B2493" t="s">
        <v>2491</v>
      </c>
      <c r="C2493" t="s">
        <v>1936</v>
      </c>
      <c r="D2493" t="s">
        <v>4182</v>
      </c>
      <c r="F2493">
        <v>406</v>
      </c>
      <c r="G2493">
        <v>65</v>
      </c>
      <c r="H2493" t="s">
        <v>662</v>
      </c>
      <c r="I2493" t="s">
        <v>2271</v>
      </c>
      <c r="J2493">
        <v>1423500</v>
      </c>
      <c r="K2493">
        <v>2025</v>
      </c>
      <c r="L2493">
        <v>1152710769</v>
      </c>
      <c r="M2493" t="s">
        <v>3894</v>
      </c>
      <c r="N2493" t="s">
        <v>1688</v>
      </c>
      <c r="O2493" t="s">
        <v>1686</v>
      </c>
      <c r="P2493">
        <v>0</v>
      </c>
      <c r="Q2493">
        <v>1423500</v>
      </c>
      <c r="R2493">
        <v>0</v>
      </c>
      <c r="S2493">
        <v>0</v>
      </c>
      <c r="T2493" t="str">
        <f t="shared" si="76"/>
        <v>20072.43.4302.85.0-205128.2.3.3.08.06.</v>
      </c>
      <c r="U2493" t="e" cm="1">
        <f t="array" aca="1" ref="U2493" ca="1">+IF(COMPROMISOS_2025[[#This Row],[P]]="20","41080111",_xlfn.XLOOKUP(COMPROMISOS_2025[[#This Row],[concatenado]],PAA[[#All],[RCP-RUBRO]],PAA[[#All],[INDICADOR]],"",0))</f>
        <v>#NAME?</v>
      </c>
      <c r="V2493" s="144" t="str">
        <f t="shared" si="77"/>
        <v>85</v>
      </c>
      <c r="W2493" s="136">
        <f>+COMPROMISOS_2025[[#This Row],[valor_total]]-COMPROMISOS_2025[[#This Row],[total_cancelado]]</f>
        <v>1423500</v>
      </c>
      <c r="X2493" s="136">
        <f>COMPROMISOS_2025[[#This Row],[total_ordenes]]</f>
        <v>1423500</v>
      </c>
      <c r="Y2493" t="str" cm="1">
        <f t="array" aca="1" ref="Y2493" ca="1">IFERROR(_xlfn.XLOOKUP(COMPROMISOS_2025[[#This Row],[concatenado]],PAA[[#All],[RCP-RUBRO]],PAA[[#All],[Actividad3]],VLOOKUP(COMPROMISOS_2025[[#This Row],[Indicador Principal]],$AC$2:$AD$17,2,0),0),"")</f>
        <v/>
      </c>
    </row>
    <row r="2494" spans="1:25" hidden="1" x14ac:dyDescent="0.25">
      <c r="A2494">
        <v>2008</v>
      </c>
      <c r="B2494" t="s">
        <v>2491</v>
      </c>
      <c r="C2494" t="s">
        <v>1936</v>
      </c>
      <c r="D2494" t="s">
        <v>4182</v>
      </c>
      <c r="F2494">
        <v>406</v>
      </c>
      <c r="G2494">
        <v>65</v>
      </c>
      <c r="H2494" t="s">
        <v>662</v>
      </c>
      <c r="I2494" t="s">
        <v>2271</v>
      </c>
      <c r="J2494">
        <v>2847000</v>
      </c>
      <c r="K2494">
        <v>2025</v>
      </c>
      <c r="L2494">
        <v>1152713319</v>
      </c>
      <c r="M2494" t="s">
        <v>4484</v>
      </c>
      <c r="N2494" t="s">
        <v>1688</v>
      </c>
      <c r="O2494" t="s">
        <v>1686</v>
      </c>
      <c r="P2494">
        <v>0</v>
      </c>
      <c r="Q2494">
        <v>2847000</v>
      </c>
      <c r="R2494">
        <v>0</v>
      </c>
      <c r="S2494">
        <v>0</v>
      </c>
      <c r="T2494" t="str">
        <f t="shared" si="76"/>
        <v>20082.43.4302.85.0-205128.2.3.3.08.06.</v>
      </c>
      <c r="U2494" t="e" cm="1">
        <f t="array" aca="1" ref="U2494" ca="1">+IF(COMPROMISOS_2025[[#This Row],[P]]="20","41080111",_xlfn.XLOOKUP(COMPROMISOS_2025[[#This Row],[concatenado]],PAA[[#All],[RCP-RUBRO]],PAA[[#All],[INDICADOR]],"",0))</f>
        <v>#NAME?</v>
      </c>
      <c r="V2494" s="144" t="str">
        <f t="shared" si="77"/>
        <v>85</v>
      </c>
      <c r="W2494" s="136">
        <f>+COMPROMISOS_2025[[#This Row],[valor_total]]-COMPROMISOS_2025[[#This Row],[total_cancelado]]</f>
        <v>2847000</v>
      </c>
      <c r="X2494" s="136">
        <f>COMPROMISOS_2025[[#This Row],[total_ordenes]]</f>
        <v>2847000</v>
      </c>
      <c r="Y2494" t="str" cm="1">
        <f t="array" aca="1" ref="Y2494" ca="1">IFERROR(_xlfn.XLOOKUP(COMPROMISOS_2025[[#This Row],[concatenado]],PAA[[#All],[RCP-RUBRO]],PAA[[#All],[Actividad3]],VLOOKUP(COMPROMISOS_2025[[#This Row],[Indicador Principal]],$AC$2:$AD$17,2,0),0),"")</f>
        <v/>
      </c>
    </row>
    <row r="2495" spans="1:25" hidden="1" x14ac:dyDescent="0.25">
      <c r="A2495">
        <v>2009</v>
      </c>
      <c r="B2495" t="s">
        <v>2491</v>
      </c>
      <c r="C2495" t="s">
        <v>1936</v>
      </c>
      <c r="D2495" t="s">
        <v>4182</v>
      </c>
      <c r="F2495">
        <v>406</v>
      </c>
      <c r="G2495">
        <v>65</v>
      </c>
      <c r="H2495" t="s">
        <v>662</v>
      </c>
      <c r="I2495" t="s">
        <v>2271</v>
      </c>
      <c r="J2495">
        <v>1067625</v>
      </c>
      <c r="K2495">
        <v>2025</v>
      </c>
      <c r="L2495">
        <v>1152717404</v>
      </c>
      <c r="M2495" t="s">
        <v>3895</v>
      </c>
      <c r="N2495" t="s">
        <v>1688</v>
      </c>
      <c r="O2495" t="s">
        <v>1686</v>
      </c>
      <c r="P2495">
        <v>0</v>
      </c>
      <c r="Q2495">
        <v>1067625</v>
      </c>
      <c r="R2495">
        <v>0</v>
      </c>
      <c r="S2495">
        <v>0</v>
      </c>
      <c r="T2495" t="str">
        <f t="shared" si="76"/>
        <v>20092.43.4302.85.0-205128.2.3.3.08.06.</v>
      </c>
      <c r="U2495" t="e" cm="1">
        <f t="array" aca="1" ref="U2495" ca="1">+IF(COMPROMISOS_2025[[#This Row],[P]]="20","41080111",_xlfn.XLOOKUP(COMPROMISOS_2025[[#This Row],[concatenado]],PAA[[#All],[RCP-RUBRO]],PAA[[#All],[INDICADOR]],"",0))</f>
        <v>#NAME?</v>
      </c>
      <c r="V2495" s="144" t="str">
        <f t="shared" si="77"/>
        <v>85</v>
      </c>
      <c r="W2495" s="136">
        <f>+COMPROMISOS_2025[[#This Row],[valor_total]]-COMPROMISOS_2025[[#This Row],[total_cancelado]]</f>
        <v>1067625</v>
      </c>
      <c r="X2495" s="136">
        <f>COMPROMISOS_2025[[#This Row],[total_ordenes]]</f>
        <v>1067625</v>
      </c>
      <c r="Y2495" t="str" cm="1">
        <f t="array" aca="1" ref="Y2495" ca="1">IFERROR(_xlfn.XLOOKUP(COMPROMISOS_2025[[#This Row],[concatenado]],PAA[[#All],[RCP-RUBRO]],PAA[[#All],[Actividad3]],VLOOKUP(COMPROMISOS_2025[[#This Row],[Indicador Principal]],$AC$2:$AD$17,2,0),0),"")</f>
        <v/>
      </c>
    </row>
    <row r="2496" spans="1:25" hidden="1" x14ac:dyDescent="0.25">
      <c r="A2496">
        <v>2010</v>
      </c>
      <c r="B2496" t="s">
        <v>2491</v>
      </c>
      <c r="C2496" t="s">
        <v>1936</v>
      </c>
      <c r="D2496" t="s">
        <v>4182</v>
      </c>
      <c r="F2496">
        <v>406</v>
      </c>
      <c r="G2496">
        <v>65</v>
      </c>
      <c r="H2496" t="s">
        <v>662</v>
      </c>
      <c r="I2496" t="s">
        <v>2271</v>
      </c>
      <c r="J2496">
        <v>1067625</v>
      </c>
      <c r="K2496">
        <v>2025</v>
      </c>
      <c r="L2496">
        <v>1153465899</v>
      </c>
      <c r="M2496" t="s">
        <v>4485</v>
      </c>
      <c r="N2496" t="s">
        <v>1688</v>
      </c>
      <c r="O2496" t="s">
        <v>1686</v>
      </c>
      <c r="P2496">
        <v>0</v>
      </c>
      <c r="Q2496">
        <v>1067625</v>
      </c>
      <c r="R2496">
        <v>0</v>
      </c>
      <c r="S2496">
        <v>0</v>
      </c>
      <c r="T2496" t="str">
        <f t="shared" si="76"/>
        <v>20102.43.4302.85.0-205128.2.3.3.08.06.</v>
      </c>
      <c r="U2496" t="e" cm="1">
        <f t="array" aca="1" ref="U2496" ca="1">+IF(COMPROMISOS_2025[[#This Row],[P]]="20","41080111",_xlfn.XLOOKUP(COMPROMISOS_2025[[#This Row],[concatenado]],PAA[[#All],[RCP-RUBRO]],PAA[[#All],[INDICADOR]],"",0))</f>
        <v>#NAME?</v>
      </c>
      <c r="V2496" s="144" t="str">
        <f t="shared" si="77"/>
        <v>85</v>
      </c>
      <c r="W2496" s="136">
        <f>+COMPROMISOS_2025[[#This Row],[valor_total]]-COMPROMISOS_2025[[#This Row],[total_cancelado]]</f>
        <v>1067625</v>
      </c>
      <c r="X2496" s="136">
        <f>COMPROMISOS_2025[[#This Row],[total_ordenes]]</f>
        <v>1067625</v>
      </c>
      <c r="Y2496" t="str" cm="1">
        <f t="array" aca="1" ref="Y2496" ca="1">IFERROR(_xlfn.XLOOKUP(COMPROMISOS_2025[[#This Row],[concatenado]],PAA[[#All],[RCP-RUBRO]],PAA[[#All],[Actividad3]],VLOOKUP(COMPROMISOS_2025[[#This Row],[Indicador Principal]],$AC$2:$AD$17,2,0),0),"")</f>
        <v/>
      </c>
    </row>
    <row r="2497" spans="1:25" hidden="1" x14ac:dyDescent="0.25">
      <c r="A2497">
        <v>2011</v>
      </c>
      <c r="B2497" t="s">
        <v>2491</v>
      </c>
      <c r="C2497" t="s">
        <v>1936</v>
      </c>
      <c r="D2497" t="s">
        <v>4182</v>
      </c>
      <c r="F2497">
        <v>406</v>
      </c>
      <c r="G2497">
        <v>65</v>
      </c>
      <c r="H2497" t="s">
        <v>662</v>
      </c>
      <c r="I2497" t="s">
        <v>2271</v>
      </c>
      <c r="J2497">
        <v>1067625</v>
      </c>
      <c r="K2497">
        <v>2025</v>
      </c>
      <c r="L2497">
        <v>1155214316</v>
      </c>
      <c r="M2497" t="s">
        <v>3896</v>
      </c>
      <c r="N2497" t="s">
        <v>1688</v>
      </c>
      <c r="O2497" t="s">
        <v>1686</v>
      </c>
      <c r="P2497">
        <v>0</v>
      </c>
      <c r="Q2497">
        <v>1067625</v>
      </c>
      <c r="R2497">
        <v>0</v>
      </c>
      <c r="S2497">
        <v>0</v>
      </c>
      <c r="T2497" t="str">
        <f t="shared" si="76"/>
        <v>20112.43.4302.85.0-205128.2.3.3.08.06.</v>
      </c>
      <c r="U2497" t="e" cm="1">
        <f t="array" aca="1" ref="U2497" ca="1">+IF(COMPROMISOS_2025[[#This Row],[P]]="20","41080111",_xlfn.XLOOKUP(COMPROMISOS_2025[[#This Row],[concatenado]],PAA[[#All],[RCP-RUBRO]],PAA[[#All],[INDICADOR]],"",0))</f>
        <v>#NAME?</v>
      </c>
      <c r="V2497" s="144" t="str">
        <f t="shared" si="77"/>
        <v>85</v>
      </c>
      <c r="W2497" s="136">
        <f>+COMPROMISOS_2025[[#This Row],[valor_total]]-COMPROMISOS_2025[[#This Row],[total_cancelado]]</f>
        <v>1067625</v>
      </c>
      <c r="X2497" s="136">
        <f>COMPROMISOS_2025[[#This Row],[total_ordenes]]</f>
        <v>1067625</v>
      </c>
      <c r="Y2497" t="str" cm="1">
        <f t="array" aca="1" ref="Y2497" ca="1">IFERROR(_xlfn.XLOOKUP(COMPROMISOS_2025[[#This Row],[concatenado]],PAA[[#All],[RCP-RUBRO]],PAA[[#All],[Actividad3]],VLOOKUP(COMPROMISOS_2025[[#This Row],[Indicador Principal]],$AC$2:$AD$17,2,0),0),"")</f>
        <v/>
      </c>
    </row>
    <row r="2498" spans="1:25" hidden="1" x14ac:dyDescent="0.25">
      <c r="A2498">
        <v>2012</v>
      </c>
      <c r="B2498" t="s">
        <v>2491</v>
      </c>
      <c r="C2498" t="s">
        <v>1936</v>
      </c>
      <c r="D2498" t="s">
        <v>4182</v>
      </c>
      <c r="F2498">
        <v>406</v>
      </c>
      <c r="G2498">
        <v>65</v>
      </c>
      <c r="H2498" t="s">
        <v>662</v>
      </c>
      <c r="I2498" t="s">
        <v>2271</v>
      </c>
      <c r="J2498">
        <v>711750</v>
      </c>
      <c r="K2498">
        <v>2025</v>
      </c>
      <c r="L2498">
        <v>1192463064</v>
      </c>
      <c r="M2498" t="s">
        <v>3897</v>
      </c>
      <c r="N2498" t="s">
        <v>1688</v>
      </c>
      <c r="O2498" t="s">
        <v>1686</v>
      </c>
      <c r="P2498">
        <v>0</v>
      </c>
      <c r="Q2498">
        <v>711750</v>
      </c>
      <c r="R2498">
        <v>0</v>
      </c>
      <c r="S2498">
        <v>0</v>
      </c>
      <c r="T2498" t="str">
        <f t="shared" ref="T2498:T2561" si="78">IF(A2498&gt;=0,CONCATENATE(A2498,H2498),"")</f>
        <v>20122.43.4302.85.0-205128.2.3.3.08.06.</v>
      </c>
      <c r="U2498" t="e" cm="1">
        <f t="array" aca="1" ref="U2498" ca="1">+IF(COMPROMISOS_2025[[#This Row],[P]]="20","41080111",_xlfn.XLOOKUP(COMPROMISOS_2025[[#This Row],[concatenado]],PAA[[#All],[RCP-RUBRO]],PAA[[#All],[INDICADOR]],"",0))</f>
        <v>#NAME?</v>
      </c>
      <c r="V2498" s="144" t="str">
        <f t="shared" ref="V2498:V2561" si="79">+MID(H2498,11,2)</f>
        <v>85</v>
      </c>
      <c r="W2498" s="136">
        <f>+COMPROMISOS_2025[[#This Row],[valor_total]]-COMPROMISOS_2025[[#This Row],[total_cancelado]]</f>
        <v>711750</v>
      </c>
      <c r="X2498" s="136">
        <f>COMPROMISOS_2025[[#This Row],[total_ordenes]]</f>
        <v>711750</v>
      </c>
      <c r="Y2498" t="str" cm="1">
        <f t="array" aca="1" ref="Y2498" ca="1">IFERROR(_xlfn.XLOOKUP(COMPROMISOS_2025[[#This Row],[concatenado]],PAA[[#All],[RCP-RUBRO]],PAA[[#All],[Actividad3]],VLOOKUP(COMPROMISOS_2025[[#This Row],[Indicador Principal]],$AC$2:$AD$17,2,0),0),"")</f>
        <v/>
      </c>
    </row>
    <row r="2499" spans="1:25" hidden="1" x14ac:dyDescent="0.25">
      <c r="A2499">
        <v>2013</v>
      </c>
      <c r="B2499" t="s">
        <v>2491</v>
      </c>
      <c r="C2499" t="s">
        <v>1936</v>
      </c>
      <c r="D2499" t="s">
        <v>4182</v>
      </c>
      <c r="F2499">
        <v>406</v>
      </c>
      <c r="G2499">
        <v>65</v>
      </c>
      <c r="H2499" t="s">
        <v>662</v>
      </c>
      <c r="I2499" t="s">
        <v>2271</v>
      </c>
      <c r="J2499">
        <v>711750</v>
      </c>
      <c r="K2499">
        <v>2025</v>
      </c>
      <c r="L2499">
        <v>1192463897</v>
      </c>
      <c r="M2499" t="s">
        <v>4486</v>
      </c>
      <c r="N2499" t="s">
        <v>1688</v>
      </c>
      <c r="O2499" t="s">
        <v>1686</v>
      </c>
      <c r="P2499">
        <v>0</v>
      </c>
      <c r="Q2499">
        <v>711750</v>
      </c>
      <c r="R2499">
        <v>0</v>
      </c>
      <c r="S2499">
        <v>0</v>
      </c>
      <c r="T2499" t="str">
        <f t="shared" si="78"/>
        <v>20132.43.4302.85.0-205128.2.3.3.08.06.</v>
      </c>
      <c r="U2499" t="e" cm="1">
        <f t="array" aca="1" ref="U2499" ca="1">+IF(COMPROMISOS_2025[[#This Row],[P]]="20","41080111",_xlfn.XLOOKUP(COMPROMISOS_2025[[#This Row],[concatenado]],PAA[[#All],[RCP-RUBRO]],PAA[[#All],[INDICADOR]],"",0))</f>
        <v>#NAME?</v>
      </c>
      <c r="V2499" s="144" t="str">
        <f t="shared" si="79"/>
        <v>85</v>
      </c>
      <c r="W2499" s="136">
        <f>+COMPROMISOS_2025[[#This Row],[valor_total]]-COMPROMISOS_2025[[#This Row],[total_cancelado]]</f>
        <v>711750</v>
      </c>
      <c r="X2499" s="136">
        <f>COMPROMISOS_2025[[#This Row],[total_ordenes]]</f>
        <v>711750</v>
      </c>
      <c r="Y2499" t="str" cm="1">
        <f t="array" aca="1" ref="Y2499" ca="1">IFERROR(_xlfn.XLOOKUP(COMPROMISOS_2025[[#This Row],[concatenado]],PAA[[#All],[RCP-RUBRO]],PAA[[#All],[Actividad3]],VLOOKUP(COMPROMISOS_2025[[#This Row],[Indicador Principal]],$AC$2:$AD$17,2,0),0),"")</f>
        <v/>
      </c>
    </row>
    <row r="2500" spans="1:25" hidden="1" x14ac:dyDescent="0.25">
      <c r="A2500">
        <v>2014</v>
      </c>
      <c r="B2500" t="s">
        <v>2491</v>
      </c>
      <c r="C2500" t="s">
        <v>1936</v>
      </c>
      <c r="D2500" t="s">
        <v>4182</v>
      </c>
      <c r="F2500">
        <v>406</v>
      </c>
      <c r="G2500">
        <v>65</v>
      </c>
      <c r="H2500" t="s">
        <v>662</v>
      </c>
      <c r="I2500" t="s">
        <v>2271</v>
      </c>
      <c r="J2500">
        <v>711750</v>
      </c>
      <c r="K2500">
        <v>2025</v>
      </c>
      <c r="L2500">
        <v>1192792247</v>
      </c>
      <c r="M2500" t="s">
        <v>4487</v>
      </c>
      <c r="N2500" t="s">
        <v>1688</v>
      </c>
      <c r="O2500" t="s">
        <v>1686</v>
      </c>
      <c r="P2500">
        <v>0</v>
      </c>
      <c r="Q2500">
        <v>711750</v>
      </c>
      <c r="R2500">
        <v>0</v>
      </c>
      <c r="S2500">
        <v>0</v>
      </c>
      <c r="T2500" t="str">
        <f t="shared" si="78"/>
        <v>20142.43.4302.85.0-205128.2.3.3.08.06.</v>
      </c>
      <c r="U2500" t="e" cm="1">
        <f t="array" aca="1" ref="U2500" ca="1">+IF(COMPROMISOS_2025[[#This Row],[P]]="20","41080111",_xlfn.XLOOKUP(COMPROMISOS_2025[[#This Row],[concatenado]],PAA[[#All],[RCP-RUBRO]],PAA[[#All],[INDICADOR]],"",0))</f>
        <v>#NAME?</v>
      </c>
      <c r="V2500" s="144" t="str">
        <f t="shared" si="79"/>
        <v>85</v>
      </c>
      <c r="W2500" s="136">
        <f>+COMPROMISOS_2025[[#This Row],[valor_total]]-COMPROMISOS_2025[[#This Row],[total_cancelado]]</f>
        <v>711750</v>
      </c>
      <c r="X2500" s="136">
        <f>COMPROMISOS_2025[[#This Row],[total_ordenes]]</f>
        <v>711750</v>
      </c>
      <c r="Y2500" t="str" cm="1">
        <f t="array" aca="1" ref="Y2500" ca="1">IFERROR(_xlfn.XLOOKUP(COMPROMISOS_2025[[#This Row],[concatenado]],PAA[[#All],[RCP-RUBRO]],PAA[[#All],[Actividad3]],VLOOKUP(COMPROMISOS_2025[[#This Row],[Indicador Principal]],$AC$2:$AD$17,2,0),0),"")</f>
        <v/>
      </c>
    </row>
    <row r="2501" spans="1:25" hidden="1" x14ac:dyDescent="0.25">
      <c r="A2501">
        <v>2015</v>
      </c>
      <c r="B2501" t="s">
        <v>2491</v>
      </c>
      <c r="C2501" t="s">
        <v>1936</v>
      </c>
      <c r="D2501" t="s">
        <v>4182</v>
      </c>
      <c r="F2501">
        <v>406</v>
      </c>
      <c r="G2501">
        <v>65</v>
      </c>
      <c r="H2501" t="s">
        <v>662</v>
      </c>
      <c r="I2501" t="s">
        <v>2271</v>
      </c>
      <c r="J2501">
        <v>1423500</v>
      </c>
      <c r="K2501">
        <v>2025</v>
      </c>
      <c r="L2501">
        <v>1193115454</v>
      </c>
      <c r="M2501" t="s">
        <v>4151</v>
      </c>
      <c r="N2501" t="s">
        <v>1688</v>
      </c>
      <c r="O2501" t="s">
        <v>1686</v>
      </c>
      <c r="P2501">
        <v>0</v>
      </c>
      <c r="Q2501">
        <v>1423500</v>
      </c>
      <c r="R2501">
        <v>0</v>
      </c>
      <c r="S2501">
        <v>0</v>
      </c>
      <c r="T2501" t="str">
        <f t="shared" si="78"/>
        <v>20152.43.4302.85.0-205128.2.3.3.08.06.</v>
      </c>
      <c r="U2501" t="e" cm="1">
        <f t="array" aca="1" ref="U2501" ca="1">+IF(COMPROMISOS_2025[[#This Row],[P]]="20","41080111",_xlfn.XLOOKUP(COMPROMISOS_2025[[#This Row],[concatenado]],PAA[[#All],[RCP-RUBRO]],PAA[[#All],[INDICADOR]],"",0))</f>
        <v>#NAME?</v>
      </c>
      <c r="V2501" s="144" t="str">
        <f t="shared" si="79"/>
        <v>85</v>
      </c>
      <c r="W2501" s="136">
        <f>+COMPROMISOS_2025[[#This Row],[valor_total]]-COMPROMISOS_2025[[#This Row],[total_cancelado]]</f>
        <v>1423500</v>
      </c>
      <c r="X2501" s="136">
        <f>COMPROMISOS_2025[[#This Row],[total_ordenes]]</f>
        <v>1423500</v>
      </c>
      <c r="Y2501" t="str" cm="1">
        <f t="array" aca="1" ref="Y2501" ca="1">IFERROR(_xlfn.XLOOKUP(COMPROMISOS_2025[[#This Row],[concatenado]],PAA[[#All],[RCP-RUBRO]],PAA[[#All],[Actividad3]],VLOOKUP(COMPROMISOS_2025[[#This Row],[Indicador Principal]],$AC$2:$AD$17,2,0),0),"")</f>
        <v/>
      </c>
    </row>
    <row r="2502" spans="1:25" hidden="1" x14ac:dyDescent="0.25">
      <c r="A2502">
        <v>2016</v>
      </c>
      <c r="B2502" t="s">
        <v>2491</v>
      </c>
      <c r="C2502" t="s">
        <v>1936</v>
      </c>
      <c r="D2502" t="s">
        <v>4182</v>
      </c>
      <c r="F2502">
        <v>406</v>
      </c>
      <c r="G2502">
        <v>65</v>
      </c>
      <c r="H2502" t="s">
        <v>662</v>
      </c>
      <c r="I2502" t="s">
        <v>2271</v>
      </c>
      <c r="J2502">
        <v>1423500</v>
      </c>
      <c r="K2502">
        <v>2025</v>
      </c>
      <c r="L2502">
        <v>1193142948</v>
      </c>
      <c r="M2502" t="s">
        <v>4153</v>
      </c>
      <c r="N2502" t="s">
        <v>1688</v>
      </c>
      <c r="O2502" t="s">
        <v>1686</v>
      </c>
      <c r="P2502">
        <v>0</v>
      </c>
      <c r="Q2502">
        <v>1423500</v>
      </c>
      <c r="R2502">
        <v>0</v>
      </c>
      <c r="S2502">
        <v>0</v>
      </c>
      <c r="T2502" t="str">
        <f t="shared" si="78"/>
        <v>20162.43.4302.85.0-205128.2.3.3.08.06.</v>
      </c>
      <c r="U2502" t="e" cm="1">
        <f t="array" aca="1" ref="U2502" ca="1">+IF(COMPROMISOS_2025[[#This Row],[P]]="20","41080111",_xlfn.XLOOKUP(COMPROMISOS_2025[[#This Row],[concatenado]],PAA[[#All],[RCP-RUBRO]],PAA[[#All],[INDICADOR]],"",0))</f>
        <v>#NAME?</v>
      </c>
      <c r="V2502" s="144" t="str">
        <f t="shared" si="79"/>
        <v>85</v>
      </c>
      <c r="W2502" s="136">
        <f>+COMPROMISOS_2025[[#This Row],[valor_total]]-COMPROMISOS_2025[[#This Row],[total_cancelado]]</f>
        <v>1423500</v>
      </c>
      <c r="X2502" s="136">
        <f>COMPROMISOS_2025[[#This Row],[total_ordenes]]</f>
        <v>1423500</v>
      </c>
      <c r="Y2502" t="str" cm="1">
        <f t="array" aca="1" ref="Y2502" ca="1">IFERROR(_xlfn.XLOOKUP(COMPROMISOS_2025[[#This Row],[concatenado]],PAA[[#All],[RCP-RUBRO]],PAA[[#All],[Actividad3]],VLOOKUP(COMPROMISOS_2025[[#This Row],[Indicador Principal]],$AC$2:$AD$17,2,0),0),"")</f>
        <v/>
      </c>
    </row>
    <row r="2503" spans="1:25" hidden="1" x14ac:dyDescent="0.25">
      <c r="A2503">
        <v>2017</v>
      </c>
      <c r="B2503" t="s">
        <v>2491</v>
      </c>
      <c r="C2503" t="s">
        <v>1936</v>
      </c>
      <c r="D2503" t="s">
        <v>4182</v>
      </c>
      <c r="F2503">
        <v>406</v>
      </c>
      <c r="G2503">
        <v>65</v>
      </c>
      <c r="H2503" t="s">
        <v>662</v>
      </c>
      <c r="I2503" t="s">
        <v>2271</v>
      </c>
      <c r="J2503">
        <v>1423500</v>
      </c>
      <c r="K2503">
        <v>2025</v>
      </c>
      <c r="L2503">
        <v>1193369529</v>
      </c>
      <c r="M2503" t="s">
        <v>3898</v>
      </c>
      <c r="N2503" t="s">
        <v>1688</v>
      </c>
      <c r="O2503" t="s">
        <v>1686</v>
      </c>
      <c r="P2503">
        <v>0</v>
      </c>
      <c r="Q2503">
        <v>1423500</v>
      </c>
      <c r="R2503">
        <v>0</v>
      </c>
      <c r="S2503">
        <v>0</v>
      </c>
      <c r="T2503" t="str">
        <f t="shared" si="78"/>
        <v>20172.43.4302.85.0-205128.2.3.3.08.06.</v>
      </c>
      <c r="U2503" t="e" cm="1">
        <f t="array" aca="1" ref="U2503" ca="1">+IF(COMPROMISOS_2025[[#This Row],[P]]="20","41080111",_xlfn.XLOOKUP(COMPROMISOS_2025[[#This Row],[concatenado]],PAA[[#All],[RCP-RUBRO]],PAA[[#All],[INDICADOR]],"",0))</f>
        <v>#NAME?</v>
      </c>
      <c r="V2503" s="144" t="str">
        <f t="shared" si="79"/>
        <v>85</v>
      </c>
      <c r="W2503" s="136">
        <f>+COMPROMISOS_2025[[#This Row],[valor_total]]-COMPROMISOS_2025[[#This Row],[total_cancelado]]</f>
        <v>1423500</v>
      </c>
      <c r="X2503" s="136">
        <f>COMPROMISOS_2025[[#This Row],[total_ordenes]]</f>
        <v>1423500</v>
      </c>
      <c r="Y2503" t="str" cm="1">
        <f t="array" aca="1" ref="Y2503" ca="1">IFERROR(_xlfn.XLOOKUP(COMPROMISOS_2025[[#This Row],[concatenado]],PAA[[#All],[RCP-RUBRO]],PAA[[#All],[Actividad3]],VLOOKUP(COMPROMISOS_2025[[#This Row],[Indicador Principal]],$AC$2:$AD$17,2,0),0),"")</f>
        <v/>
      </c>
    </row>
    <row r="2504" spans="1:25" hidden="1" x14ac:dyDescent="0.25">
      <c r="A2504">
        <v>2018</v>
      </c>
      <c r="B2504" t="s">
        <v>2491</v>
      </c>
      <c r="C2504" t="s">
        <v>1936</v>
      </c>
      <c r="D2504" t="s">
        <v>4182</v>
      </c>
      <c r="F2504">
        <v>406</v>
      </c>
      <c r="G2504">
        <v>65</v>
      </c>
      <c r="H2504" t="s">
        <v>662</v>
      </c>
      <c r="I2504" t="s">
        <v>2271</v>
      </c>
      <c r="J2504">
        <v>1423500</v>
      </c>
      <c r="K2504">
        <v>2025</v>
      </c>
      <c r="L2504">
        <v>1193448358</v>
      </c>
      <c r="M2504" t="s">
        <v>4488</v>
      </c>
      <c r="N2504" t="s">
        <v>1688</v>
      </c>
      <c r="O2504" t="s">
        <v>1686</v>
      </c>
      <c r="P2504">
        <v>0</v>
      </c>
      <c r="Q2504">
        <v>1423500</v>
      </c>
      <c r="R2504">
        <v>0</v>
      </c>
      <c r="S2504">
        <v>0</v>
      </c>
      <c r="T2504" t="str">
        <f t="shared" si="78"/>
        <v>20182.43.4302.85.0-205128.2.3.3.08.06.</v>
      </c>
      <c r="U2504" t="e" cm="1">
        <f t="array" aca="1" ref="U2504" ca="1">+IF(COMPROMISOS_2025[[#This Row],[P]]="20","41080111",_xlfn.XLOOKUP(COMPROMISOS_2025[[#This Row],[concatenado]],PAA[[#All],[RCP-RUBRO]],PAA[[#All],[INDICADOR]],"",0))</f>
        <v>#NAME?</v>
      </c>
      <c r="V2504" s="144" t="str">
        <f t="shared" si="79"/>
        <v>85</v>
      </c>
      <c r="W2504" s="136">
        <f>+COMPROMISOS_2025[[#This Row],[valor_total]]-COMPROMISOS_2025[[#This Row],[total_cancelado]]</f>
        <v>1423500</v>
      </c>
      <c r="X2504" s="136">
        <f>COMPROMISOS_2025[[#This Row],[total_ordenes]]</f>
        <v>1423500</v>
      </c>
      <c r="Y2504" t="str" cm="1">
        <f t="array" aca="1" ref="Y2504" ca="1">IFERROR(_xlfn.XLOOKUP(COMPROMISOS_2025[[#This Row],[concatenado]],PAA[[#All],[RCP-RUBRO]],PAA[[#All],[Actividad3]],VLOOKUP(COMPROMISOS_2025[[#This Row],[Indicador Principal]],$AC$2:$AD$17,2,0),0),"")</f>
        <v/>
      </c>
    </row>
    <row r="2505" spans="1:25" hidden="1" x14ac:dyDescent="0.25">
      <c r="A2505">
        <v>2019</v>
      </c>
      <c r="B2505" t="s">
        <v>2491</v>
      </c>
      <c r="C2505" t="s">
        <v>1936</v>
      </c>
      <c r="D2505" t="s">
        <v>4182</v>
      </c>
      <c r="F2505">
        <v>406</v>
      </c>
      <c r="G2505">
        <v>65</v>
      </c>
      <c r="H2505" t="s">
        <v>662</v>
      </c>
      <c r="I2505" t="s">
        <v>2271</v>
      </c>
      <c r="J2505">
        <v>1067625</v>
      </c>
      <c r="K2505">
        <v>2025</v>
      </c>
      <c r="L2505">
        <v>1193466628</v>
      </c>
      <c r="M2505" t="s">
        <v>4181</v>
      </c>
      <c r="N2505" t="s">
        <v>1688</v>
      </c>
      <c r="O2505" t="s">
        <v>1686</v>
      </c>
      <c r="P2505">
        <v>0</v>
      </c>
      <c r="Q2505">
        <v>1067625</v>
      </c>
      <c r="R2505">
        <v>0</v>
      </c>
      <c r="S2505">
        <v>0</v>
      </c>
      <c r="T2505" t="str">
        <f t="shared" si="78"/>
        <v>20192.43.4302.85.0-205128.2.3.3.08.06.</v>
      </c>
      <c r="U2505" t="e" cm="1">
        <f t="array" aca="1" ref="U2505" ca="1">+IF(COMPROMISOS_2025[[#This Row],[P]]="20","41080111",_xlfn.XLOOKUP(COMPROMISOS_2025[[#This Row],[concatenado]],PAA[[#All],[RCP-RUBRO]],PAA[[#All],[INDICADOR]],"",0))</f>
        <v>#NAME?</v>
      </c>
      <c r="V2505" s="144" t="str">
        <f t="shared" si="79"/>
        <v>85</v>
      </c>
      <c r="W2505" s="136">
        <f>+COMPROMISOS_2025[[#This Row],[valor_total]]-COMPROMISOS_2025[[#This Row],[total_cancelado]]</f>
        <v>1067625</v>
      </c>
      <c r="X2505" s="136">
        <f>COMPROMISOS_2025[[#This Row],[total_ordenes]]</f>
        <v>1067625</v>
      </c>
      <c r="Y2505" t="str" cm="1">
        <f t="array" aca="1" ref="Y2505" ca="1">IFERROR(_xlfn.XLOOKUP(COMPROMISOS_2025[[#This Row],[concatenado]],PAA[[#All],[RCP-RUBRO]],PAA[[#All],[Actividad3]],VLOOKUP(COMPROMISOS_2025[[#This Row],[Indicador Principal]],$AC$2:$AD$17,2,0),0),"")</f>
        <v/>
      </c>
    </row>
    <row r="2506" spans="1:25" hidden="1" x14ac:dyDescent="0.25">
      <c r="A2506">
        <v>2020</v>
      </c>
      <c r="B2506" t="s">
        <v>2491</v>
      </c>
      <c r="C2506" t="s">
        <v>1936</v>
      </c>
      <c r="D2506" t="s">
        <v>4182</v>
      </c>
      <c r="F2506">
        <v>406</v>
      </c>
      <c r="G2506">
        <v>65</v>
      </c>
      <c r="H2506" t="s">
        <v>662</v>
      </c>
      <c r="I2506" t="s">
        <v>2271</v>
      </c>
      <c r="J2506">
        <v>711750</v>
      </c>
      <c r="K2506">
        <v>2025</v>
      </c>
      <c r="L2506">
        <v>1193529525</v>
      </c>
      <c r="M2506" t="s">
        <v>4154</v>
      </c>
      <c r="N2506" t="s">
        <v>1688</v>
      </c>
      <c r="O2506" t="s">
        <v>1686</v>
      </c>
      <c r="P2506">
        <v>0</v>
      </c>
      <c r="Q2506">
        <v>711750</v>
      </c>
      <c r="R2506">
        <v>0</v>
      </c>
      <c r="S2506">
        <v>0</v>
      </c>
      <c r="T2506" t="str">
        <f t="shared" si="78"/>
        <v>20202.43.4302.85.0-205128.2.3.3.08.06.</v>
      </c>
      <c r="U2506" t="e" cm="1">
        <f t="array" aca="1" ref="U2506" ca="1">+IF(COMPROMISOS_2025[[#This Row],[P]]="20","41080111",_xlfn.XLOOKUP(COMPROMISOS_2025[[#This Row],[concatenado]],PAA[[#All],[RCP-RUBRO]],PAA[[#All],[INDICADOR]],"",0))</f>
        <v>#NAME?</v>
      </c>
      <c r="V2506" s="144" t="str">
        <f t="shared" si="79"/>
        <v>85</v>
      </c>
      <c r="W2506" s="136">
        <f>+COMPROMISOS_2025[[#This Row],[valor_total]]-COMPROMISOS_2025[[#This Row],[total_cancelado]]</f>
        <v>711750</v>
      </c>
      <c r="X2506" s="136">
        <f>COMPROMISOS_2025[[#This Row],[total_ordenes]]</f>
        <v>711750</v>
      </c>
      <c r="Y2506" t="str" cm="1">
        <f t="array" aca="1" ref="Y2506" ca="1">IFERROR(_xlfn.XLOOKUP(COMPROMISOS_2025[[#This Row],[concatenado]],PAA[[#All],[RCP-RUBRO]],PAA[[#All],[Actividad3]],VLOOKUP(COMPROMISOS_2025[[#This Row],[Indicador Principal]],$AC$2:$AD$17,2,0),0),"")</f>
        <v/>
      </c>
    </row>
    <row r="2507" spans="1:25" hidden="1" x14ac:dyDescent="0.25">
      <c r="A2507">
        <v>2021</v>
      </c>
      <c r="B2507" t="s">
        <v>2491</v>
      </c>
      <c r="C2507" t="s">
        <v>1936</v>
      </c>
      <c r="D2507" t="s">
        <v>4182</v>
      </c>
      <c r="F2507">
        <v>406</v>
      </c>
      <c r="G2507">
        <v>65</v>
      </c>
      <c r="H2507" t="s">
        <v>662</v>
      </c>
      <c r="I2507" t="s">
        <v>2271</v>
      </c>
      <c r="J2507">
        <v>4270500</v>
      </c>
      <c r="K2507">
        <v>2025</v>
      </c>
      <c r="L2507">
        <v>1193588400</v>
      </c>
      <c r="M2507" t="s">
        <v>3899</v>
      </c>
      <c r="N2507" t="s">
        <v>1688</v>
      </c>
      <c r="O2507" t="s">
        <v>1686</v>
      </c>
      <c r="P2507">
        <v>0</v>
      </c>
      <c r="Q2507">
        <v>4270500</v>
      </c>
      <c r="R2507">
        <v>0</v>
      </c>
      <c r="S2507">
        <v>0</v>
      </c>
      <c r="T2507" t="str">
        <f t="shared" si="78"/>
        <v>20212.43.4302.85.0-205128.2.3.3.08.06.</v>
      </c>
      <c r="U2507" t="e" cm="1">
        <f t="array" aca="1" ref="U2507" ca="1">+IF(COMPROMISOS_2025[[#This Row],[P]]="20","41080111",_xlfn.XLOOKUP(COMPROMISOS_2025[[#This Row],[concatenado]],PAA[[#All],[RCP-RUBRO]],PAA[[#All],[INDICADOR]],"",0))</f>
        <v>#NAME?</v>
      </c>
      <c r="V2507" s="144" t="str">
        <f t="shared" si="79"/>
        <v>85</v>
      </c>
      <c r="W2507" s="136">
        <f>+COMPROMISOS_2025[[#This Row],[valor_total]]-COMPROMISOS_2025[[#This Row],[total_cancelado]]</f>
        <v>4270500</v>
      </c>
      <c r="X2507" s="136">
        <f>COMPROMISOS_2025[[#This Row],[total_ordenes]]</f>
        <v>4270500</v>
      </c>
      <c r="Y2507" t="str" cm="1">
        <f t="array" aca="1" ref="Y2507" ca="1">IFERROR(_xlfn.XLOOKUP(COMPROMISOS_2025[[#This Row],[concatenado]],PAA[[#All],[RCP-RUBRO]],PAA[[#All],[Actividad3]],VLOOKUP(COMPROMISOS_2025[[#This Row],[Indicador Principal]],$AC$2:$AD$17,2,0),0),"")</f>
        <v/>
      </c>
    </row>
    <row r="2508" spans="1:25" hidden="1" x14ac:dyDescent="0.25">
      <c r="A2508">
        <v>2022</v>
      </c>
      <c r="B2508" t="s">
        <v>2491</v>
      </c>
      <c r="C2508" t="s">
        <v>1936</v>
      </c>
      <c r="D2508" t="s">
        <v>4182</v>
      </c>
      <c r="F2508">
        <v>406</v>
      </c>
      <c r="G2508">
        <v>65</v>
      </c>
      <c r="H2508" t="s">
        <v>662</v>
      </c>
      <c r="I2508" t="s">
        <v>2271</v>
      </c>
      <c r="J2508">
        <v>711750</v>
      </c>
      <c r="K2508">
        <v>2025</v>
      </c>
      <c r="L2508">
        <v>1198463674</v>
      </c>
      <c r="M2508" t="s">
        <v>4155</v>
      </c>
      <c r="N2508" t="s">
        <v>1688</v>
      </c>
      <c r="O2508" t="s">
        <v>1686</v>
      </c>
      <c r="P2508">
        <v>0</v>
      </c>
      <c r="Q2508">
        <v>711750</v>
      </c>
      <c r="R2508">
        <v>0</v>
      </c>
      <c r="S2508">
        <v>0</v>
      </c>
      <c r="T2508" t="str">
        <f t="shared" si="78"/>
        <v>20222.43.4302.85.0-205128.2.3.3.08.06.</v>
      </c>
      <c r="U2508" t="e" cm="1">
        <f t="array" aca="1" ref="U2508" ca="1">+IF(COMPROMISOS_2025[[#This Row],[P]]="20","41080111",_xlfn.XLOOKUP(COMPROMISOS_2025[[#This Row],[concatenado]],PAA[[#All],[RCP-RUBRO]],PAA[[#All],[INDICADOR]],"",0))</f>
        <v>#NAME?</v>
      </c>
      <c r="V2508" s="144" t="str">
        <f t="shared" si="79"/>
        <v>85</v>
      </c>
      <c r="W2508" s="136">
        <f>+COMPROMISOS_2025[[#This Row],[valor_total]]-COMPROMISOS_2025[[#This Row],[total_cancelado]]</f>
        <v>711750</v>
      </c>
      <c r="X2508" s="136">
        <f>COMPROMISOS_2025[[#This Row],[total_ordenes]]</f>
        <v>711750</v>
      </c>
      <c r="Y2508" t="str" cm="1">
        <f t="array" aca="1" ref="Y2508" ca="1">IFERROR(_xlfn.XLOOKUP(COMPROMISOS_2025[[#This Row],[concatenado]],PAA[[#All],[RCP-RUBRO]],PAA[[#All],[Actividad3]],VLOOKUP(COMPROMISOS_2025[[#This Row],[Indicador Principal]],$AC$2:$AD$17,2,0),0),"")</f>
        <v/>
      </c>
    </row>
    <row r="2509" spans="1:25" hidden="1" x14ac:dyDescent="0.25">
      <c r="A2509">
        <v>2023</v>
      </c>
      <c r="B2509" t="s">
        <v>2491</v>
      </c>
      <c r="C2509" t="s">
        <v>1936</v>
      </c>
      <c r="D2509" t="s">
        <v>4182</v>
      </c>
      <c r="F2509">
        <v>406</v>
      </c>
      <c r="G2509">
        <v>65</v>
      </c>
      <c r="H2509" t="s">
        <v>662</v>
      </c>
      <c r="I2509" t="s">
        <v>2271</v>
      </c>
      <c r="J2509">
        <v>1067625</v>
      </c>
      <c r="K2509">
        <v>2025</v>
      </c>
      <c r="L2509">
        <v>1214723748</v>
      </c>
      <c r="M2509" t="s">
        <v>4489</v>
      </c>
      <c r="N2509" t="s">
        <v>1688</v>
      </c>
      <c r="O2509" t="s">
        <v>1686</v>
      </c>
      <c r="P2509">
        <v>0</v>
      </c>
      <c r="Q2509">
        <v>1067625</v>
      </c>
      <c r="R2509">
        <v>0</v>
      </c>
      <c r="S2509">
        <v>0</v>
      </c>
      <c r="T2509" t="str">
        <f t="shared" si="78"/>
        <v>20232.43.4302.85.0-205128.2.3.3.08.06.</v>
      </c>
      <c r="U2509" t="e" cm="1">
        <f t="array" aca="1" ref="U2509" ca="1">+IF(COMPROMISOS_2025[[#This Row],[P]]="20","41080111",_xlfn.XLOOKUP(COMPROMISOS_2025[[#This Row],[concatenado]],PAA[[#All],[RCP-RUBRO]],PAA[[#All],[INDICADOR]],"",0))</f>
        <v>#NAME?</v>
      </c>
      <c r="V2509" s="144" t="str">
        <f t="shared" si="79"/>
        <v>85</v>
      </c>
      <c r="W2509" s="136">
        <f>+COMPROMISOS_2025[[#This Row],[valor_total]]-COMPROMISOS_2025[[#This Row],[total_cancelado]]</f>
        <v>1067625</v>
      </c>
      <c r="X2509" s="136">
        <f>COMPROMISOS_2025[[#This Row],[total_ordenes]]</f>
        <v>1067625</v>
      </c>
      <c r="Y2509" t="str" cm="1">
        <f t="array" aca="1" ref="Y2509" ca="1">IFERROR(_xlfn.XLOOKUP(COMPROMISOS_2025[[#This Row],[concatenado]],PAA[[#All],[RCP-RUBRO]],PAA[[#All],[Actividad3]],VLOOKUP(COMPROMISOS_2025[[#This Row],[Indicador Principal]],$AC$2:$AD$17,2,0),0),"")</f>
        <v/>
      </c>
    </row>
    <row r="2510" spans="1:25" hidden="1" x14ac:dyDescent="0.25">
      <c r="A2510">
        <v>2024</v>
      </c>
      <c r="B2510" t="s">
        <v>2491</v>
      </c>
      <c r="C2510" t="s">
        <v>1936</v>
      </c>
      <c r="D2510" t="s">
        <v>4182</v>
      </c>
      <c r="F2510">
        <v>406</v>
      </c>
      <c r="G2510">
        <v>65</v>
      </c>
      <c r="H2510" t="s">
        <v>662</v>
      </c>
      <c r="I2510" t="s">
        <v>2271</v>
      </c>
      <c r="J2510">
        <v>2847000</v>
      </c>
      <c r="K2510">
        <v>2025</v>
      </c>
      <c r="L2510">
        <v>1214738333</v>
      </c>
      <c r="M2510" t="s">
        <v>4157</v>
      </c>
      <c r="N2510" t="s">
        <v>1688</v>
      </c>
      <c r="O2510" t="s">
        <v>1686</v>
      </c>
      <c r="P2510">
        <v>0</v>
      </c>
      <c r="Q2510">
        <v>2847000</v>
      </c>
      <c r="R2510">
        <v>0</v>
      </c>
      <c r="S2510">
        <v>0</v>
      </c>
      <c r="T2510" t="str">
        <f t="shared" si="78"/>
        <v>20242.43.4302.85.0-205128.2.3.3.08.06.</v>
      </c>
      <c r="U2510" t="e" cm="1">
        <f t="array" aca="1" ref="U2510" ca="1">+IF(COMPROMISOS_2025[[#This Row],[P]]="20","41080111",_xlfn.XLOOKUP(COMPROMISOS_2025[[#This Row],[concatenado]],PAA[[#All],[RCP-RUBRO]],PAA[[#All],[INDICADOR]],"",0))</f>
        <v>#NAME?</v>
      </c>
      <c r="V2510" s="144" t="str">
        <f t="shared" si="79"/>
        <v>85</v>
      </c>
      <c r="W2510" s="136">
        <f>+COMPROMISOS_2025[[#This Row],[valor_total]]-COMPROMISOS_2025[[#This Row],[total_cancelado]]</f>
        <v>2847000</v>
      </c>
      <c r="X2510" s="136">
        <f>COMPROMISOS_2025[[#This Row],[total_ordenes]]</f>
        <v>2847000</v>
      </c>
      <c r="Y2510" t="str" cm="1">
        <f t="array" aca="1" ref="Y2510" ca="1">IFERROR(_xlfn.XLOOKUP(COMPROMISOS_2025[[#This Row],[concatenado]],PAA[[#All],[RCP-RUBRO]],PAA[[#All],[Actividad3]],VLOOKUP(COMPROMISOS_2025[[#This Row],[Indicador Principal]],$AC$2:$AD$17,2,0),0),"")</f>
        <v/>
      </c>
    </row>
    <row r="2511" spans="1:25" hidden="1" x14ac:dyDescent="0.25">
      <c r="A2511">
        <v>2025</v>
      </c>
      <c r="B2511" t="s">
        <v>2491</v>
      </c>
      <c r="C2511" t="s">
        <v>1936</v>
      </c>
      <c r="D2511" t="s">
        <v>4182</v>
      </c>
      <c r="F2511">
        <v>406</v>
      </c>
      <c r="G2511">
        <v>65</v>
      </c>
      <c r="H2511" t="s">
        <v>662</v>
      </c>
      <c r="I2511" t="s">
        <v>2271</v>
      </c>
      <c r="J2511">
        <v>1067625</v>
      </c>
      <c r="K2511">
        <v>2025</v>
      </c>
      <c r="L2511">
        <v>1214742899</v>
      </c>
      <c r="M2511" t="s">
        <v>4158</v>
      </c>
      <c r="N2511" t="s">
        <v>1688</v>
      </c>
      <c r="O2511" t="s">
        <v>1686</v>
      </c>
      <c r="P2511">
        <v>0</v>
      </c>
      <c r="Q2511">
        <v>1067625</v>
      </c>
      <c r="R2511">
        <v>0</v>
      </c>
      <c r="S2511">
        <v>0</v>
      </c>
      <c r="T2511" t="str">
        <f t="shared" si="78"/>
        <v>20252.43.4302.85.0-205128.2.3.3.08.06.</v>
      </c>
      <c r="U2511" t="e" cm="1">
        <f t="array" aca="1" ref="U2511" ca="1">+IF(COMPROMISOS_2025[[#This Row],[P]]="20","41080111",_xlfn.XLOOKUP(COMPROMISOS_2025[[#This Row],[concatenado]],PAA[[#All],[RCP-RUBRO]],PAA[[#All],[INDICADOR]],"",0))</f>
        <v>#NAME?</v>
      </c>
      <c r="V2511" s="144" t="str">
        <f t="shared" si="79"/>
        <v>85</v>
      </c>
      <c r="W2511" s="136">
        <f>+COMPROMISOS_2025[[#This Row],[valor_total]]-COMPROMISOS_2025[[#This Row],[total_cancelado]]</f>
        <v>1067625</v>
      </c>
      <c r="X2511" s="136">
        <f>COMPROMISOS_2025[[#This Row],[total_ordenes]]</f>
        <v>1067625</v>
      </c>
      <c r="Y2511" t="str" cm="1">
        <f t="array" aca="1" ref="Y2511" ca="1">IFERROR(_xlfn.XLOOKUP(COMPROMISOS_2025[[#This Row],[concatenado]],PAA[[#All],[RCP-RUBRO]],PAA[[#All],[Actividad3]],VLOOKUP(COMPROMISOS_2025[[#This Row],[Indicador Principal]],$AC$2:$AD$17,2,0),0),"")</f>
        <v/>
      </c>
    </row>
    <row r="2512" spans="1:25" hidden="1" x14ac:dyDescent="0.25">
      <c r="A2512">
        <v>2026</v>
      </c>
      <c r="B2512" t="s">
        <v>2491</v>
      </c>
      <c r="C2512" t="s">
        <v>1936</v>
      </c>
      <c r="D2512" t="s">
        <v>4182</v>
      </c>
      <c r="F2512">
        <v>406</v>
      </c>
      <c r="G2512">
        <v>65</v>
      </c>
      <c r="H2512" t="s">
        <v>662</v>
      </c>
      <c r="I2512" t="s">
        <v>2271</v>
      </c>
      <c r="J2512">
        <v>711750</v>
      </c>
      <c r="K2512">
        <v>2025</v>
      </c>
      <c r="L2512">
        <v>1214745346</v>
      </c>
      <c r="M2512" t="s">
        <v>4490</v>
      </c>
      <c r="N2512" t="s">
        <v>1688</v>
      </c>
      <c r="O2512" t="s">
        <v>1686</v>
      </c>
      <c r="P2512">
        <v>0</v>
      </c>
      <c r="Q2512">
        <v>711750</v>
      </c>
      <c r="R2512">
        <v>0</v>
      </c>
      <c r="S2512">
        <v>0</v>
      </c>
      <c r="T2512" t="str">
        <f t="shared" si="78"/>
        <v>20262.43.4302.85.0-205128.2.3.3.08.06.</v>
      </c>
      <c r="U2512" t="e" cm="1">
        <f t="array" aca="1" ref="U2512" ca="1">+IF(COMPROMISOS_2025[[#This Row],[P]]="20","41080111",_xlfn.XLOOKUP(COMPROMISOS_2025[[#This Row],[concatenado]],PAA[[#All],[RCP-RUBRO]],PAA[[#All],[INDICADOR]],"",0))</f>
        <v>#NAME?</v>
      </c>
      <c r="V2512" s="144" t="str">
        <f t="shared" si="79"/>
        <v>85</v>
      </c>
      <c r="W2512" s="136">
        <f>+COMPROMISOS_2025[[#This Row],[valor_total]]-COMPROMISOS_2025[[#This Row],[total_cancelado]]</f>
        <v>711750</v>
      </c>
      <c r="X2512" s="136">
        <f>COMPROMISOS_2025[[#This Row],[total_ordenes]]</f>
        <v>711750</v>
      </c>
      <c r="Y2512" t="str" cm="1">
        <f t="array" aca="1" ref="Y2512" ca="1">IFERROR(_xlfn.XLOOKUP(COMPROMISOS_2025[[#This Row],[concatenado]],PAA[[#All],[RCP-RUBRO]],PAA[[#All],[Actividad3]],VLOOKUP(COMPROMISOS_2025[[#This Row],[Indicador Principal]],$AC$2:$AD$17,2,0),0),"")</f>
        <v/>
      </c>
    </row>
    <row r="2513" spans="1:25" hidden="1" x14ac:dyDescent="0.25">
      <c r="A2513">
        <v>2027</v>
      </c>
      <c r="B2513" t="s">
        <v>2491</v>
      </c>
      <c r="C2513" t="s">
        <v>1936</v>
      </c>
      <c r="D2513" t="s">
        <v>4182</v>
      </c>
      <c r="F2513">
        <v>406</v>
      </c>
      <c r="G2513">
        <v>65</v>
      </c>
      <c r="H2513" t="s">
        <v>662</v>
      </c>
      <c r="I2513" t="s">
        <v>2271</v>
      </c>
      <c r="J2513">
        <v>711750</v>
      </c>
      <c r="K2513">
        <v>2025</v>
      </c>
      <c r="L2513">
        <v>1214745505</v>
      </c>
      <c r="M2513" t="s">
        <v>4159</v>
      </c>
      <c r="N2513" t="s">
        <v>1688</v>
      </c>
      <c r="O2513" t="s">
        <v>1686</v>
      </c>
      <c r="P2513">
        <v>0</v>
      </c>
      <c r="Q2513">
        <v>711750</v>
      </c>
      <c r="R2513">
        <v>0</v>
      </c>
      <c r="S2513">
        <v>0</v>
      </c>
      <c r="T2513" t="str">
        <f t="shared" si="78"/>
        <v>20272.43.4302.85.0-205128.2.3.3.08.06.</v>
      </c>
      <c r="U2513" t="e" cm="1">
        <f t="array" aca="1" ref="U2513" ca="1">+IF(COMPROMISOS_2025[[#This Row],[P]]="20","41080111",_xlfn.XLOOKUP(COMPROMISOS_2025[[#This Row],[concatenado]],PAA[[#All],[RCP-RUBRO]],PAA[[#All],[INDICADOR]],"",0))</f>
        <v>#NAME?</v>
      </c>
      <c r="V2513" s="144" t="str">
        <f t="shared" si="79"/>
        <v>85</v>
      </c>
      <c r="W2513" s="136">
        <f>+COMPROMISOS_2025[[#This Row],[valor_total]]-COMPROMISOS_2025[[#This Row],[total_cancelado]]</f>
        <v>711750</v>
      </c>
      <c r="X2513" s="136">
        <f>COMPROMISOS_2025[[#This Row],[total_ordenes]]</f>
        <v>711750</v>
      </c>
      <c r="Y2513" t="str" cm="1">
        <f t="array" aca="1" ref="Y2513" ca="1">IFERROR(_xlfn.XLOOKUP(COMPROMISOS_2025[[#This Row],[concatenado]],PAA[[#All],[RCP-RUBRO]],PAA[[#All],[Actividad3]],VLOOKUP(COMPROMISOS_2025[[#This Row],[Indicador Principal]],$AC$2:$AD$17,2,0),0),"")</f>
        <v/>
      </c>
    </row>
    <row r="2514" spans="1:25" hidden="1" x14ac:dyDescent="0.25">
      <c r="A2514">
        <v>2028</v>
      </c>
      <c r="B2514" t="s">
        <v>2491</v>
      </c>
      <c r="C2514" t="s">
        <v>1936</v>
      </c>
      <c r="D2514" t="s">
        <v>4182</v>
      </c>
      <c r="F2514">
        <v>406</v>
      </c>
      <c r="G2514">
        <v>65</v>
      </c>
      <c r="H2514" t="s">
        <v>662</v>
      </c>
      <c r="I2514" t="s">
        <v>2271</v>
      </c>
      <c r="J2514">
        <v>1423500</v>
      </c>
      <c r="K2514">
        <v>2025</v>
      </c>
      <c r="L2514">
        <v>1216714113</v>
      </c>
      <c r="M2514" t="s">
        <v>4491</v>
      </c>
      <c r="N2514" t="s">
        <v>1688</v>
      </c>
      <c r="O2514" t="s">
        <v>1686</v>
      </c>
      <c r="P2514">
        <v>0</v>
      </c>
      <c r="Q2514">
        <v>1423500</v>
      </c>
      <c r="R2514">
        <v>0</v>
      </c>
      <c r="S2514">
        <v>0</v>
      </c>
      <c r="T2514" t="str">
        <f t="shared" si="78"/>
        <v>20282.43.4302.85.0-205128.2.3.3.08.06.</v>
      </c>
      <c r="U2514" t="e" cm="1">
        <f t="array" aca="1" ref="U2514" ca="1">+IF(COMPROMISOS_2025[[#This Row],[P]]="20","41080111",_xlfn.XLOOKUP(COMPROMISOS_2025[[#This Row],[concatenado]],PAA[[#All],[RCP-RUBRO]],PAA[[#All],[INDICADOR]],"",0))</f>
        <v>#NAME?</v>
      </c>
      <c r="V2514" s="144" t="str">
        <f t="shared" si="79"/>
        <v>85</v>
      </c>
      <c r="W2514" s="136">
        <f>+COMPROMISOS_2025[[#This Row],[valor_total]]-COMPROMISOS_2025[[#This Row],[total_cancelado]]</f>
        <v>1423500</v>
      </c>
      <c r="X2514" s="136">
        <f>COMPROMISOS_2025[[#This Row],[total_ordenes]]</f>
        <v>1423500</v>
      </c>
      <c r="Y2514" t="str" cm="1">
        <f t="array" aca="1" ref="Y2514" ca="1">IFERROR(_xlfn.XLOOKUP(COMPROMISOS_2025[[#This Row],[concatenado]],PAA[[#All],[RCP-RUBRO]],PAA[[#All],[Actividad3]],VLOOKUP(COMPROMISOS_2025[[#This Row],[Indicador Principal]],$AC$2:$AD$17,2,0),0),"")</f>
        <v/>
      </c>
    </row>
    <row r="2515" spans="1:25" hidden="1" x14ac:dyDescent="0.25">
      <c r="A2515">
        <v>2029</v>
      </c>
      <c r="B2515" t="s">
        <v>2491</v>
      </c>
      <c r="C2515" t="s">
        <v>1936</v>
      </c>
      <c r="D2515" t="s">
        <v>4182</v>
      </c>
      <c r="F2515">
        <v>406</v>
      </c>
      <c r="G2515">
        <v>65</v>
      </c>
      <c r="H2515" t="s">
        <v>662</v>
      </c>
      <c r="I2515" t="s">
        <v>2271</v>
      </c>
      <c r="J2515">
        <v>1423500</v>
      </c>
      <c r="K2515">
        <v>2025</v>
      </c>
      <c r="L2515">
        <v>1216723047</v>
      </c>
      <c r="M2515" t="s">
        <v>4161</v>
      </c>
      <c r="N2515" t="s">
        <v>1688</v>
      </c>
      <c r="O2515" t="s">
        <v>1686</v>
      </c>
      <c r="P2515">
        <v>0</v>
      </c>
      <c r="Q2515">
        <v>1423500</v>
      </c>
      <c r="R2515">
        <v>0</v>
      </c>
      <c r="S2515">
        <v>0</v>
      </c>
      <c r="T2515" t="str">
        <f t="shared" si="78"/>
        <v>20292.43.4302.85.0-205128.2.3.3.08.06.</v>
      </c>
      <c r="U2515" t="e" cm="1">
        <f t="array" aca="1" ref="U2515" ca="1">+IF(COMPROMISOS_2025[[#This Row],[P]]="20","41080111",_xlfn.XLOOKUP(COMPROMISOS_2025[[#This Row],[concatenado]],PAA[[#All],[RCP-RUBRO]],PAA[[#All],[INDICADOR]],"",0))</f>
        <v>#NAME?</v>
      </c>
      <c r="V2515" s="144" t="str">
        <f t="shared" si="79"/>
        <v>85</v>
      </c>
      <c r="W2515" s="136">
        <f>+COMPROMISOS_2025[[#This Row],[valor_total]]-COMPROMISOS_2025[[#This Row],[total_cancelado]]</f>
        <v>1423500</v>
      </c>
      <c r="X2515" s="136">
        <f>COMPROMISOS_2025[[#This Row],[total_ordenes]]</f>
        <v>1423500</v>
      </c>
      <c r="Y2515" t="str" cm="1">
        <f t="array" aca="1" ref="Y2515" ca="1">IFERROR(_xlfn.XLOOKUP(COMPROMISOS_2025[[#This Row],[concatenado]],PAA[[#All],[RCP-RUBRO]],PAA[[#All],[Actividad3]],VLOOKUP(COMPROMISOS_2025[[#This Row],[Indicador Principal]],$AC$2:$AD$17,2,0),0),"")</f>
        <v/>
      </c>
    </row>
    <row r="2516" spans="1:25" hidden="1" x14ac:dyDescent="0.25">
      <c r="A2516">
        <v>2030</v>
      </c>
      <c r="B2516" t="s">
        <v>2491</v>
      </c>
      <c r="C2516" t="s">
        <v>1936</v>
      </c>
      <c r="D2516" t="s">
        <v>4182</v>
      </c>
      <c r="F2516">
        <v>406</v>
      </c>
      <c r="G2516">
        <v>65</v>
      </c>
      <c r="H2516" t="s">
        <v>662</v>
      </c>
      <c r="I2516" t="s">
        <v>2271</v>
      </c>
      <c r="J2516">
        <v>1423500</v>
      </c>
      <c r="K2516">
        <v>2025</v>
      </c>
      <c r="L2516">
        <v>1216723485</v>
      </c>
      <c r="M2516" t="s">
        <v>4492</v>
      </c>
      <c r="N2516" t="s">
        <v>1688</v>
      </c>
      <c r="O2516" t="s">
        <v>1686</v>
      </c>
      <c r="P2516">
        <v>0</v>
      </c>
      <c r="Q2516">
        <v>1423500</v>
      </c>
      <c r="R2516">
        <v>0</v>
      </c>
      <c r="S2516">
        <v>0</v>
      </c>
      <c r="T2516" t="str">
        <f t="shared" si="78"/>
        <v>20302.43.4302.85.0-205128.2.3.3.08.06.</v>
      </c>
      <c r="U2516" t="e" cm="1">
        <f t="array" aca="1" ref="U2516" ca="1">+IF(COMPROMISOS_2025[[#This Row],[P]]="20","41080111",_xlfn.XLOOKUP(COMPROMISOS_2025[[#This Row],[concatenado]],PAA[[#All],[RCP-RUBRO]],PAA[[#All],[INDICADOR]],"",0))</f>
        <v>#NAME?</v>
      </c>
      <c r="V2516" s="144" t="str">
        <f t="shared" si="79"/>
        <v>85</v>
      </c>
      <c r="W2516" s="136">
        <f>+COMPROMISOS_2025[[#This Row],[valor_total]]-COMPROMISOS_2025[[#This Row],[total_cancelado]]</f>
        <v>1423500</v>
      </c>
      <c r="X2516" s="136">
        <f>COMPROMISOS_2025[[#This Row],[total_ordenes]]</f>
        <v>1423500</v>
      </c>
      <c r="Y2516" t="str" cm="1">
        <f t="array" aca="1" ref="Y2516" ca="1">IFERROR(_xlfn.XLOOKUP(COMPROMISOS_2025[[#This Row],[concatenado]],PAA[[#All],[RCP-RUBRO]],PAA[[#All],[Actividad3]],VLOOKUP(COMPROMISOS_2025[[#This Row],[Indicador Principal]],$AC$2:$AD$17,2,0),0),"")</f>
        <v/>
      </c>
    </row>
    <row r="2517" spans="1:25" hidden="1" x14ac:dyDescent="0.25">
      <c r="A2517">
        <v>2031</v>
      </c>
      <c r="B2517" t="s">
        <v>2491</v>
      </c>
      <c r="C2517" t="s">
        <v>1936</v>
      </c>
      <c r="D2517" t="s">
        <v>4182</v>
      </c>
      <c r="F2517">
        <v>406</v>
      </c>
      <c r="G2517">
        <v>65</v>
      </c>
      <c r="H2517" t="s">
        <v>662</v>
      </c>
      <c r="I2517" t="s">
        <v>2271</v>
      </c>
      <c r="J2517">
        <v>711750</v>
      </c>
      <c r="K2517">
        <v>2025</v>
      </c>
      <c r="L2517">
        <v>1216728943</v>
      </c>
      <c r="M2517" t="s">
        <v>4493</v>
      </c>
      <c r="N2517" t="s">
        <v>1688</v>
      </c>
      <c r="O2517" t="s">
        <v>1686</v>
      </c>
      <c r="P2517">
        <v>0</v>
      </c>
      <c r="Q2517">
        <v>711750</v>
      </c>
      <c r="R2517">
        <v>0</v>
      </c>
      <c r="S2517">
        <v>0</v>
      </c>
      <c r="T2517" t="str">
        <f t="shared" si="78"/>
        <v>20312.43.4302.85.0-205128.2.3.3.08.06.</v>
      </c>
      <c r="U2517" t="e" cm="1">
        <f t="array" aca="1" ref="U2517" ca="1">+IF(COMPROMISOS_2025[[#This Row],[P]]="20","41080111",_xlfn.XLOOKUP(COMPROMISOS_2025[[#This Row],[concatenado]],PAA[[#All],[RCP-RUBRO]],PAA[[#All],[INDICADOR]],"",0))</f>
        <v>#NAME?</v>
      </c>
      <c r="V2517" s="144" t="str">
        <f t="shared" si="79"/>
        <v>85</v>
      </c>
      <c r="W2517" s="136">
        <f>+COMPROMISOS_2025[[#This Row],[valor_total]]-COMPROMISOS_2025[[#This Row],[total_cancelado]]</f>
        <v>711750</v>
      </c>
      <c r="X2517" s="136">
        <f>COMPROMISOS_2025[[#This Row],[total_ordenes]]</f>
        <v>711750</v>
      </c>
      <c r="Y2517" t="str" cm="1">
        <f t="array" aca="1" ref="Y2517" ca="1">IFERROR(_xlfn.XLOOKUP(COMPROMISOS_2025[[#This Row],[concatenado]],PAA[[#All],[RCP-RUBRO]],PAA[[#All],[Actividad3]],VLOOKUP(COMPROMISOS_2025[[#This Row],[Indicador Principal]],$AC$2:$AD$17,2,0),0),"")</f>
        <v/>
      </c>
    </row>
    <row r="2518" spans="1:25" hidden="1" x14ac:dyDescent="0.25">
      <c r="A2518">
        <v>2032</v>
      </c>
      <c r="B2518" t="s">
        <v>2491</v>
      </c>
      <c r="C2518" t="s">
        <v>1936</v>
      </c>
      <c r="D2518" t="s">
        <v>4182</v>
      </c>
      <c r="F2518">
        <v>406</v>
      </c>
      <c r="G2518">
        <v>65</v>
      </c>
      <c r="H2518" t="s">
        <v>662</v>
      </c>
      <c r="I2518" t="s">
        <v>2271</v>
      </c>
      <c r="J2518">
        <v>711750</v>
      </c>
      <c r="K2518">
        <v>2025</v>
      </c>
      <c r="L2518">
        <v>1221975893</v>
      </c>
      <c r="M2518" t="s">
        <v>4162</v>
      </c>
      <c r="N2518" t="s">
        <v>1688</v>
      </c>
      <c r="O2518" t="s">
        <v>1686</v>
      </c>
      <c r="P2518">
        <v>0</v>
      </c>
      <c r="Q2518">
        <v>711750</v>
      </c>
      <c r="R2518">
        <v>0</v>
      </c>
      <c r="S2518">
        <v>0</v>
      </c>
      <c r="T2518" t="str">
        <f t="shared" si="78"/>
        <v>20322.43.4302.85.0-205128.2.3.3.08.06.</v>
      </c>
      <c r="U2518" t="e" cm="1">
        <f t="array" aca="1" ref="U2518" ca="1">+IF(COMPROMISOS_2025[[#This Row],[P]]="20","41080111",_xlfn.XLOOKUP(COMPROMISOS_2025[[#This Row],[concatenado]],PAA[[#All],[RCP-RUBRO]],PAA[[#All],[INDICADOR]],"",0))</f>
        <v>#NAME?</v>
      </c>
      <c r="V2518" s="144" t="str">
        <f t="shared" si="79"/>
        <v>85</v>
      </c>
      <c r="W2518" s="136">
        <f>+COMPROMISOS_2025[[#This Row],[valor_total]]-COMPROMISOS_2025[[#This Row],[total_cancelado]]</f>
        <v>711750</v>
      </c>
      <c r="X2518" s="136">
        <f>COMPROMISOS_2025[[#This Row],[total_ordenes]]</f>
        <v>711750</v>
      </c>
      <c r="Y2518" t="str" cm="1">
        <f t="array" aca="1" ref="Y2518" ca="1">IFERROR(_xlfn.XLOOKUP(COMPROMISOS_2025[[#This Row],[concatenado]],PAA[[#All],[RCP-RUBRO]],PAA[[#All],[Actividad3]],VLOOKUP(COMPROMISOS_2025[[#This Row],[Indicador Principal]],$AC$2:$AD$17,2,0),0),"")</f>
        <v/>
      </c>
    </row>
    <row r="2519" spans="1:25" hidden="1" x14ac:dyDescent="0.25">
      <c r="A2519">
        <v>2033</v>
      </c>
      <c r="B2519" t="s">
        <v>2491</v>
      </c>
      <c r="C2519" t="s">
        <v>1936</v>
      </c>
      <c r="D2519" t="s">
        <v>4182</v>
      </c>
      <c r="F2519">
        <v>406</v>
      </c>
      <c r="G2519">
        <v>65</v>
      </c>
      <c r="H2519" t="s">
        <v>662</v>
      </c>
      <c r="I2519" t="s">
        <v>2271</v>
      </c>
      <c r="J2519">
        <v>711750</v>
      </c>
      <c r="K2519">
        <v>2025</v>
      </c>
      <c r="L2519">
        <v>1234988780</v>
      </c>
      <c r="M2519" t="s">
        <v>4163</v>
      </c>
      <c r="N2519" t="s">
        <v>1688</v>
      </c>
      <c r="O2519" t="s">
        <v>1686</v>
      </c>
      <c r="P2519">
        <v>0</v>
      </c>
      <c r="Q2519">
        <v>711750</v>
      </c>
      <c r="R2519">
        <v>0</v>
      </c>
      <c r="S2519">
        <v>0</v>
      </c>
      <c r="T2519" t="str">
        <f t="shared" si="78"/>
        <v>20332.43.4302.85.0-205128.2.3.3.08.06.</v>
      </c>
      <c r="U2519" t="e" cm="1">
        <f t="array" aca="1" ref="U2519" ca="1">+IF(COMPROMISOS_2025[[#This Row],[P]]="20","41080111",_xlfn.XLOOKUP(COMPROMISOS_2025[[#This Row],[concatenado]],PAA[[#All],[RCP-RUBRO]],PAA[[#All],[INDICADOR]],"",0))</f>
        <v>#NAME?</v>
      </c>
      <c r="V2519" s="144" t="str">
        <f t="shared" si="79"/>
        <v>85</v>
      </c>
      <c r="W2519" s="136">
        <f>+COMPROMISOS_2025[[#This Row],[valor_total]]-COMPROMISOS_2025[[#This Row],[total_cancelado]]</f>
        <v>711750</v>
      </c>
      <c r="X2519" s="136">
        <f>COMPROMISOS_2025[[#This Row],[total_ordenes]]</f>
        <v>711750</v>
      </c>
      <c r="Y2519" t="str" cm="1">
        <f t="array" aca="1" ref="Y2519" ca="1">IFERROR(_xlfn.XLOOKUP(COMPROMISOS_2025[[#This Row],[concatenado]],PAA[[#All],[RCP-RUBRO]],PAA[[#All],[Actividad3]],VLOOKUP(COMPROMISOS_2025[[#This Row],[Indicador Principal]],$AC$2:$AD$17,2,0),0),"")</f>
        <v/>
      </c>
    </row>
    <row r="2520" spans="1:25" hidden="1" x14ac:dyDescent="0.25">
      <c r="A2520">
        <v>2034</v>
      </c>
      <c r="B2520" t="s">
        <v>2491</v>
      </c>
      <c r="C2520" t="s">
        <v>1936</v>
      </c>
      <c r="D2520" t="s">
        <v>4182</v>
      </c>
      <c r="F2520">
        <v>406</v>
      </c>
      <c r="G2520">
        <v>65</v>
      </c>
      <c r="H2520" t="s">
        <v>662</v>
      </c>
      <c r="I2520" t="s">
        <v>2271</v>
      </c>
      <c r="J2520">
        <v>6405750</v>
      </c>
      <c r="K2520">
        <v>2025</v>
      </c>
      <c r="L2520">
        <v>1238938651</v>
      </c>
      <c r="M2520" t="s">
        <v>3900</v>
      </c>
      <c r="N2520" t="s">
        <v>1688</v>
      </c>
      <c r="O2520" t="s">
        <v>1686</v>
      </c>
      <c r="P2520">
        <v>0</v>
      </c>
      <c r="Q2520">
        <v>6405750</v>
      </c>
      <c r="R2520">
        <v>0</v>
      </c>
      <c r="S2520">
        <v>0</v>
      </c>
      <c r="T2520" t="str">
        <f t="shared" si="78"/>
        <v>20342.43.4302.85.0-205128.2.3.3.08.06.</v>
      </c>
      <c r="U2520" t="e" cm="1">
        <f t="array" aca="1" ref="U2520" ca="1">+IF(COMPROMISOS_2025[[#This Row],[P]]="20","41080111",_xlfn.XLOOKUP(COMPROMISOS_2025[[#This Row],[concatenado]],PAA[[#All],[RCP-RUBRO]],PAA[[#All],[INDICADOR]],"",0))</f>
        <v>#NAME?</v>
      </c>
      <c r="V2520" s="144" t="str">
        <f t="shared" si="79"/>
        <v>85</v>
      </c>
      <c r="W2520" s="136">
        <f>+COMPROMISOS_2025[[#This Row],[valor_total]]-COMPROMISOS_2025[[#This Row],[total_cancelado]]</f>
        <v>6405750</v>
      </c>
      <c r="X2520" s="136">
        <f>COMPROMISOS_2025[[#This Row],[total_ordenes]]</f>
        <v>6405750</v>
      </c>
      <c r="Y2520" t="str" cm="1">
        <f t="array" aca="1" ref="Y2520" ca="1">IFERROR(_xlfn.XLOOKUP(COMPROMISOS_2025[[#This Row],[concatenado]],PAA[[#All],[RCP-RUBRO]],PAA[[#All],[Actividad3]],VLOOKUP(COMPROMISOS_2025[[#This Row],[Indicador Principal]],$AC$2:$AD$17,2,0),0),"")</f>
        <v/>
      </c>
    </row>
    <row r="2521" spans="1:25" hidden="1" x14ac:dyDescent="0.25">
      <c r="A2521">
        <v>2035</v>
      </c>
      <c r="B2521" t="s">
        <v>2491</v>
      </c>
      <c r="C2521" t="s">
        <v>1936</v>
      </c>
      <c r="D2521" t="s">
        <v>4182</v>
      </c>
      <c r="F2521">
        <v>406</v>
      </c>
      <c r="G2521">
        <v>65</v>
      </c>
      <c r="H2521" t="s">
        <v>662</v>
      </c>
      <c r="I2521" t="s">
        <v>2271</v>
      </c>
      <c r="J2521">
        <v>1423500</v>
      </c>
      <c r="K2521">
        <v>2025</v>
      </c>
      <c r="L2521">
        <v>2000019238</v>
      </c>
      <c r="M2521" t="s">
        <v>4494</v>
      </c>
      <c r="N2521" t="s">
        <v>1688</v>
      </c>
      <c r="O2521" t="s">
        <v>1686</v>
      </c>
      <c r="P2521">
        <v>0</v>
      </c>
      <c r="Q2521">
        <v>1423500</v>
      </c>
      <c r="R2521">
        <v>0</v>
      </c>
      <c r="S2521">
        <v>0</v>
      </c>
      <c r="T2521" t="str">
        <f t="shared" si="78"/>
        <v>20352.43.4302.85.0-205128.2.3.3.08.06.</v>
      </c>
      <c r="U2521" t="e" cm="1">
        <f t="array" aca="1" ref="U2521" ca="1">+IF(COMPROMISOS_2025[[#This Row],[P]]="20","41080111",_xlfn.XLOOKUP(COMPROMISOS_2025[[#This Row],[concatenado]],PAA[[#All],[RCP-RUBRO]],PAA[[#All],[INDICADOR]],"",0))</f>
        <v>#NAME?</v>
      </c>
      <c r="V2521" s="144" t="str">
        <f t="shared" si="79"/>
        <v>85</v>
      </c>
      <c r="W2521" s="136">
        <f>+COMPROMISOS_2025[[#This Row],[valor_total]]-COMPROMISOS_2025[[#This Row],[total_cancelado]]</f>
        <v>1423500</v>
      </c>
      <c r="X2521" s="136">
        <f>COMPROMISOS_2025[[#This Row],[total_ordenes]]</f>
        <v>1423500</v>
      </c>
      <c r="Y2521" t="str" cm="1">
        <f t="array" aca="1" ref="Y2521" ca="1">IFERROR(_xlfn.XLOOKUP(COMPROMISOS_2025[[#This Row],[concatenado]],PAA[[#All],[RCP-RUBRO]],PAA[[#All],[Actividad3]],VLOOKUP(COMPROMISOS_2025[[#This Row],[Indicador Principal]],$AC$2:$AD$17,2,0),0),"")</f>
        <v/>
      </c>
    </row>
    <row r="2522" spans="1:25" hidden="1" x14ac:dyDescent="0.25">
      <c r="A2522">
        <v>2038</v>
      </c>
      <c r="B2522" t="s">
        <v>2491</v>
      </c>
      <c r="C2522" t="s">
        <v>1936</v>
      </c>
      <c r="D2522" t="s">
        <v>3575</v>
      </c>
      <c r="F2522">
        <v>405</v>
      </c>
      <c r="G2522">
        <v>65</v>
      </c>
      <c r="H2522" t="s">
        <v>662</v>
      </c>
      <c r="I2522" t="s">
        <v>2271</v>
      </c>
      <c r="J2522">
        <v>4270500</v>
      </c>
      <c r="K2522">
        <v>2025</v>
      </c>
      <c r="L2522">
        <v>3391561</v>
      </c>
      <c r="M2522" t="s">
        <v>4183</v>
      </c>
      <c r="N2522" t="s">
        <v>1688</v>
      </c>
      <c r="O2522" t="s">
        <v>1686</v>
      </c>
      <c r="P2522">
        <v>0</v>
      </c>
      <c r="Q2522">
        <v>4270500</v>
      </c>
      <c r="R2522">
        <v>0</v>
      </c>
      <c r="S2522">
        <v>0</v>
      </c>
      <c r="T2522" t="str">
        <f t="shared" si="78"/>
        <v>20382.43.4302.85.0-205128.2.3.3.08.06.</v>
      </c>
      <c r="U2522" t="e" cm="1">
        <f t="array" aca="1" ref="U2522" ca="1">+IF(COMPROMISOS_2025[[#This Row],[P]]="20","41080111",_xlfn.XLOOKUP(COMPROMISOS_2025[[#This Row],[concatenado]],PAA[[#All],[RCP-RUBRO]],PAA[[#All],[INDICADOR]],"",0))</f>
        <v>#NAME?</v>
      </c>
      <c r="V2522" s="144" t="str">
        <f t="shared" si="79"/>
        <v>85</v>
      </c>
      <c r="W2522" s="136">
        <f>+COMPROMISOS_2025[[#This Row],[valor_total]]-COMPROMISOS_2025[[#This Row],[total_cancelado]]</f>
        <v>4270500</v>
      </c>
      <c r="X2522" s="136">
        <f>COMPROMISOS_2025[[#This Row],[total_ordenes]]</f>
        <v>4270500</v>
      </c>
      <c r="Y2522" t="str" cm="1">
        <f t="array" aca="1" ref="Y2522" ca="1">IFERROR(_xlfn.XLOOKUP(COMPROMISOS_2025[[#This Row],[concatenado]],PAA[[#All],[RCP-RUBRO]],PAA[[#All],[Actividad3]],VLOOKUP(COMPROMISOS_2025[[#This Row],[Indicador Principal]],$AC$2:$AD$17,2,0),0),"")</f>
        <v/>
      </c>
    </row>
    <row r="2523" spans="1:25" hidden="1" x14ac:dyDescent="0.25">
      <c r="A2523">
        <v>2041</v>
      </c>
      <c r="B2523" t="s">
        <v>2491</v>
      </c>
      <c r="C2523" t="s">
        <v>1936</v>
      </c>
      <c r="D2523" t="s">
        <v>3575</v>
      </c>
      <c r="F2523">
        <v>405</v>
      </c>
      <c r="G2523">
        <v>65</v>
      </c>
      <c r="H2523" t="s">
        <v>662</v>
      </c>
      <c r="I2523" t="s">
        <v>2271</v>
      </c>
      <c r="J2523">
        <v>711750</v>
      </c>
      <c r="K2523">
        <v>2025</v>
      </c>
      <c r="L2523">
        <v>5692692</v>
      </c>
      <c r="M2523" t="s">
        <v>4184</v>
      </c>
      <c r="N2523" t="s">
        <v>1688</v>
      </c>
      <c r="O2523" t="s">
        <v>1686</v>
      </c>
      <c r="P2523">
        <v>0</v>
      </c>
      <c r="Q2523">
        <v>711750</v>
      </c>
      <c r="R2523">
        <v>0</v>
      </c>
      <c r="S2523">
        <v>0</v>
      </c>
      <c r="T2523" t="str">
        <f t="shared" si="78"/>
        <v>20412.43.4302.85.0-205128.2.3.3.08.06.</v>
      </c>
      <c r="U2523" t="e" cm="1">
        <f t="array" aca="1" ref="U2523" ca="1">+IF(COMPROMISOS_2025[[#This Row],[P]]="20","41080111",_xlfn.XLOOKUP(COMPROMISOS_2025[[#This Row],[concatenado]],PAA[[#All],[RCP-RUBRO]],PAA[[#All],[INDICADOR]],"",0))</f>
        <v>#NAME?</v>
      </c>
      <c r="V2523" s="144" t="str">
        <f t="shared" si="79"/>
        <v>85</v>
      </c>
      <c r="W2523" s="136">
        <f>+COMPROMISOS_2025[[#This Row],[valor_total]]-COMPROMISOS_2025[[#This Row],[total_cancelado]]</f>
        <v>711750</v>
      </c>
      <c r="X2523" s="136">
        <f>COMPROMISOS_2025[[#This Row],[total_ordenes]]</f>
        <v>711750</v>
      </c>
      <c r="Y2523" t="str" cm="1">
        <f t="array" aca="1" ref="Y2523" ca="1">IFERROR(_xlfn.XLOOKUP(COMPROMISOS_2025[[#This Row],[concatenado]],PAA[[#All],[RCP-RUBRO]],PAA[[#All],[Actividad3]],VLOOKUP(COMPROMISOS_2025[[#This Row],[Indicador Principal]],$AC$2:$AD$17,2,0),0),"")</f>
        <v/>
      </c>
    </row>
    <row r="2524" spans="1:25" hidden="1" x14ac:dyDescent="0.25">
      <c r="A2524">
        <v>2042</v>
      </c>
      <c r="B2524" t="s">
        <v>2491</v>
      </c>
      <c r="C2524" t="s">
        <v>1936</v>
      </c>
      <c r="D2524" t="s">
        <v>3575</v>
      </c>
      <c r="F2524">
        <v>405</v>
      </c>
      <c r="G2524">
        <v>65</v>
      </c>
      <c r="H2524" t="s">
        <v>662</v>
      </c>
      <c r="I2524" t="s">
        <v>2271</v>
      </c>
      <c r="J2524">
        <v>1423500</v>
      </c>
      <c r="K2524">
        <v>2025</v>
      </c>
      <c r="L2524">
        <v>7308832</v>
      </c>
      <c r="M2524" t="s">
        <v>4185</v>
      </c>
      <c r="N2524" t="s">
        <v>1688</v>
      </c>
      <c r="O2524" t="s">
        <v>1686</v>
      </c>
      <c r="P2524">
        <v>0</v>
      </c>
      <c r="Q2524">
        <v>1423500</v>
      </c>
      <c r="R2524">
        <v>0</v>
      </c>
      <c r="S2524">
        <v>0</v>
      </c>
      <c r="T2524" t="str">
        <f t="shared" si="78"/>
        <v>20422.43.4302.85.0-205128.2.3.3.08.06.</v>
      </c>
      <c r="U2524" t="e" cm="1">
        <f t="array" aca="1" ref="U2524" ca="1">+IF(COMPROMISOS_2025[[#This Row],[P]]="20","41080111",_xlfn.XLOOKUP(COMPROMISOS_2025[[#This Row],[concatenado]],PAA[[#All],[RCP-RUBRO]],PAA[[#All],[INDICADOR]],"",0))</f>
        <v>#NAME?</v>
      </c>
      <c r="V2524" s="144" t="str">
        <f t="shared" si="79"/>
        <v>85</v>
      </c>
      <c r="W2524" s="136">
        <f>+COMPROMISOS_2025[[#This Row],[valor_total]]-COMPROMISOS_2025[[#This Row],[total_cancelado]]</f>
        <v>1423500</v>
      </c>
      <c r="X2524" s="136">
        <f>COMPROMISOS_2025[[#This Row],[total_ordenes]]</f>
        <v>1423500</v>
      </c>
      <c r="Y2524" t="str" cm="1">
        <f t="array" aca="1" ref="Y2524" ca="1">IFERROR(_xlfn.XLOOKUP(COMPROMISOS_2025[[#This Row],[concatenado]],PAA[[#All],[RCP-RUBRO]],PAA[[#All],[Actividad3]],VLOOKUP(COMPROMISOS_2025[[#This Row],[Indicador Principal]],$AC$2:$AD$17,2,0),0),"")</f>
        <v/>
      </c>
    </row>
    <row r="2525" spans="1:25" hidden="1" x14ac:dyDescent="0.25">
      <c r="A2525">
        <v>2044</v>
      </c>
      <c r="B2525" t="s">
        <v>2491</v>
      </c>
      <c r="C2525" t="s">
        <v>1936</v>
      </c>
      <c r="D2525" t="s">
        <v>3575</v>
      </c>
      <c r="F2525">
        <v>405</v>
      </c>
      <c r="G2525">
        <v>65</v>
      </c>
      <c r="H2525" t="s">
        <v>662</v>
      </c>
      <c r="I2525" t="s">
        <v>2271</v>
      </c>
      <c r="J2525">
        <v>1423500</v>
      </c>
      <c r="K2525">
        <v>2025</v>
      </c>
      <c r="L2525">
        <v>8027439</v>
      </c>
      <c r="M2525" t="s">
        <v>3918</v>
      </c>
      <c r="N2525" t="s">
        <v>1688</v>
      </c>
      <c r="O2525" t="s">
        <v>1686</v>
      </c>
      <c r="P2525">
        <v>0</v>
      </c>
      <c r="Q2525">
        <v>1423500</v>
      </c>
      <c r="R2525">
        <v>0</v>
      </c>
      <c r="S2525">
        <v>0</v>
      </c>
      <c r="T2525" t="str">
        <f t="shared" si="78"/>
        <v>20442.43.4302.85.0-205128.2.3.3.08.06.</v>
      </c>
      <c r="U2525" t="e" cm="1">
        <f t="array" aca="1" ref="U2525" ca="1">+IF(COMPROMISOS_2025[[#This Row],[P]]="20","41080111",_xlfn.XLOOKUP(COMPROMISOS_2025[[#This Row],[concatenado]],PAA[[#All],[RCP-RUBRO]],PAA[[#All],[INDICADOR]],"",0))</f>
        <v>#NAME?</v>
      </c>
      <c r="V2525" s="144" t="str">
        <f t="shared" si="79"/>
        <v>85</v>
      </c>
      <c r="W2525" s="136">
        <f>+COMPROMISOS_2025[[#This Row],[valor_total]]-COMPROMISOS_2025[[#This Row],[total_cancelado]]</f>
        <v>1423500</v>
      </c>
      <c r="X2525" s="136">
        <f>COMPROMISOS_2025[[#This Row],[total_ordenes]]</f>
        <v>1423500</v>
      </c>
      <c r="Y2525" t="str" cm="1">
        <f t="array" aca="1" ref="Y2525" ca="1">IFERROR(_xlfn.XLOOKUP(COMPROMISOS_2025[[#This Row],[concatenado]],PAA[[#All],[RCP-RUBRO]],PAA[[#All],[Actividad3]],VLOOKUP(COMPROMISOS_2025[[#This Row],[Indicador Principal]],$AC$2:$AD$17,2,0),0),"")</f>
        <v/>
      </c>
    </row>
    <row r="2526" spans="1:25" hidden="1" x14ac:dyDescent="0.25">
      <c r="A2526">
        <v>2045</v>
      </c>
      <c r="B2526" t="s">
        <v>2491</v>
      </c>
      <c r="C2526" t="s">
        <v>1936</v>
      </c>
      <c r="D2526" t="s">
        <v>3575</v>
      </c>
      <c r="F2526">
        <v>405</v>
      </c>
      <c r="G2526">
        <v>65</v>
      </c>
      <c r="H2526" t="s">
        <v>662</v>
      </c>
      <c r="I2526" t="s">
        <v>2271</v>
      </c>
      <c r="J2526">
        <v>2847000</v>
      </c>
      <c r="K2526">
        <v>2025</v>
      </c>
      <c r="L2526">
        <v>8466228</v>
      </c>
      <c r="M2526" t="s">
        <v>3919</v>
      </c>
      <c r="N2526" t="s">
        <v>1688</v>
      </c>
      <c r="O2526" t="s">
        <v>1686</v>
      </c>
      <c r="P2526">
        <v>0</v>
      </c>
      <c r="Q2526">
        <v>2847000</v>
      </c>
      <c r="R2526">
        <v>0</v>
      </c>
      <c r="S2526">
        <v>0</v>
      </c>
      <c r="T2526" t="str">
        <f t="shared" si="78"/>
        <v>20452.43.4302.85.0-205128.2.3.3.08.06.</v>
      </c>
      <c r="U2526" t="e" cm="1">
        <f t="array" aca="1" ref="U2526" ca="1">+IF(COMPROMISOS_2025[[#This Row],[P]]="20","41080111",_xlfn.XLOOKUP(COMPROMISOS_2025[[#This Row],[concatenado]],PAA[[#All],[RCP-RUBRO]],PAA[[#All],[INDICADOR]],"",0))</f>
        <v>#NAME?</v>
      </c>
      <c r="V2526" s="144" t="str">
        <f t="shared" si="79"/>
        <v>85</v>
      </c>
      <c r="W2526" s="136">
        <f>+COMPROMISOS_2025[[#This Row],[valor_total]]-COMPROMISOS_2025[[#This Row],[total_cancelado]]</f>
        <v>2847000</v>
      </c>
      <c r="X2526" s="136">
        <f>COMPROMISOS_2025[[#This Row],[total_ordenes]]</f>
        <v>2847000</v>
      </c>
      <c r="Y2526" t="str" cm="1">
        <f t="array" aca="1" ref="Y2526" ca="1">IFERROR(_xlfn.XLOOKUP(COMPROMISOS_2025[[#This Row],[concatenado]],PAA[[#All],[RCP-RUBRO]],PAA[[#All],[Actividad3]],VLOOKUP(COMPROMISOS_2025[[#This Row],[Indicador Principal]],$AC$2:$AD$17,2,0),0),"")</f>
        <v/>
      </c>
    </row>
    <row r="2527" spans="1:25" hidden="1" x14ac:dyDescent="0.25">
      <c r="A2527">
        <v>2046</v>
      </c>
      <c r="B2527" t="s">
        <v>2491</v>
      </c>
      <c r="C2527" t="s">
        <v>1936</v>
      </c>
      <c r="D2527" t="s">
        <v>3575</v>
      </c>
      <c r="F2527">
        <v>405</v>
      </c>
      <c r="G2527">
        <v>65</v>
      </c>
      <c r="H2527" t="s">
        <v>662</v>
      </c>
      <c r="I2527" t="s">
        <v>2271</v>
      </c>
      <c r="J2527">
        <v>2847000</v>
      </c>
      <c r="K2527">
        <v>2025</v>
      </c>
      <c r="L2527">
        <v>8791266</v>
      </c>
      <c r="M2527" t="s">
        <v>4186</v>
      </c>
      <c r="N2527" t="s">
        <v>1688</v>
      </c>
      <c r="O2527" t="s">
        <v>1686</v>
      </c>
      <c r="P2527">
        <v>0</v>
      </c>
      <c r="Q2527">
        <v>2847000</v>
      </c>
      <c r="R2527">
        <v>0</v>
      </c>
      <c r="S2527">
        <v>0</v>
      </c>
      <c r="T2527" t="str">
        <f t="shared" si="78"/>
        <v>20462.43.4302.85.0-205128.2.3.3.08.06.</v>
      </c>
      <c r="U2527" t="e" cm="1">
        <f t="array" aca="1" ref="U2527" ca="1">+IF(COMPROMISOS_2025[[#This Row],[P]]="20","41080111",_xlfn.XLOOKUP(COMPROMISOS_2025[[#This Row],[concatenado]],PAA[[#All],[RCP-RUBRO]],PAA[[#All],[INDICADOR]],"",0))</f>
        <v>#NAME?</v>
      </c>
      <c r="V2527" s="144" t="str">
        <f t="shared" si="79"/>
        <v>85</v>
      </c>
      <c r="W2527" s="136">
        <f>+COMPROMISOS_2025[[#This Row],[valor_total]]-COMPROMISOS_2025[[#This Row],[total_cancelado]]</f>
        <v>2847000</v>
      </c>
      <c r="X2527" s="136">
        <f>COMPROMISOS_2025[[#This Row],[total_ordenes]]</f>
        <v>2847000</v>
      </c>
      <c r="Y2527" t="str" cm="1">
        <f t="array" aca="1" ref="Y2527" ca="1">IFERROR(_xlfn.XLOOKUP(COMPROMISOS_2025[[#This Row],[concatenado]],PAA[[#All],[RCP-RUBRO]],PAA[[#All],[Actividad3]],VLOOKUP(COMPROMISOS_2025[[#This Row],[Indicador Principal]],$AC$2:$AD$17,2,0),0),"")</f>
        <v/>
      </c>
    </row>
    <row r="2528" spans="1:25" hidden="1" x14ac:dyDescent="0.25">
      <c r="A2528">
        <v>2047</v>
      </c>
      <c r="B2528" t="s">
        <v>2491</v>
      </c>
      <c r="C2528" t="s">
        <v>1936</v>
      </c>
      <c r="D2528" t="s">
        <v>3575</v>
      </c>
      <c r="F2528">
        <v>405</v>
      </c>
      <c r="G2528">
        <v>65</v>
      </c>
      <c r="H2528" t="s">
        <v>662</v>
      </c>
      <c r="I2528" t="s">
        <v>2271</v>
      </c>
      <c r="J2528">
        <v>2847000</v>
      </c>
      <c r="K2528">
        <v>2025</v>
      </c>
      <c r="L2528">
        <v>9729766</v>
      </c>
      <c r="M2528" t="s">
        <v>3074</v>
      </c>
      <c r="N2528" t="s">
        <v>1688</v>
      </c>
      <c r="O2528" t="s">
        <v>1686</v>
      </c>
      <c r="P2528">
        <v>0</v>
      </c>
      <c r="Q2528">
        <v>2847000</v>
      </c>
      <c r="R2528">
        <v>0</v>
      </c>
      <c r="S2528">
        <v>0</v>
      </c>
      <c r="T2528" t="str">
        <f t="shared" si="78"/>
        <v>20472.43.4302.85.0-205128.2.3.3.08.06.</v>
      </c>
      <c r="U2528" t="e" cm="1">
        <f t="array" aca="1" ref="U2528" ca="1">+IF(COMPROMISOS_2025[[#This Row],[P]]="20","41080111",_xlfn.XLOOKUP(COMPROMISOS_2025[[#This Row],[concatenado]],PAA[[#All],[RCP-RUBRO]],PAA[[#All],[INDICADOR]],"",0))</f>
        <v>#NAME?</v>
      </c>
      <c r="V2528" s="144" t="str">
        <f t="shared" si="79"/>
        <v>85</v>
      </c>
      <c r="W2528" s="136">
        <f>+COMPROMISOS_2025[[#This Row],[valor_total]]-COMPROMISOS_2025[[#This Row],[total_cancelado]]</f>
        <v>2847000</v>
      </c>
      <c r="X2528" s="136">
        <f>COMPROMISOS_2025[[#This Row],[total_ordenes]]</f>
        <v>2847000</v>
      </c>
      <c r="Y2528" t="str" cm="1">
        <f t="array" aca="1" ref="Y2528" ca="1">IFERROR(_xlfn.XLOOKUP(COMPROMISOS_2025[[#This Row],[concatenado]],PAA[[#All],[RCP-RUBRO]],PAA[[#All],[Actividad3]],VLOOKUP(COMPROMISOS_2025[[#This Row],[Indicador Principal]],$AC$2:$AD$17,2,0),0),"")</f>
        <v/>
      </c>
    </row>
    <row r="2529" spans="1:25" hidden="1" x14ac:dyDescent="0.25">
      <c r="A2529">
        <v>2048</v>
      </c>
      <c r="B2529" t="s">
        <v>2491</v>
      </c>
      <c r="C2529" t="s">
        <v>1936</v>
      </c>
      <c r="D2529" t="s">
        <v>3575</v>
      </c>
      <c r="F2529">
        <v>405</v>
      </c>
      <c r="G2529">
        <v>65</v>
      </c>
      <c r="H2529" t="s">
        <v>662</v>
      </c>
      <c r="I2529" t="s">
        <v>2271</v>
      </c>
      <c r="J2529">
        <v>1423500</v>
      </c>
      <c r="K2529">
        <v>2025</v>
      </c>
      <c r="L2529">
        <v>15488291</v>
      </c>
      <c r="M2529" t="s">
        <v>4187</v>
      </c>
      <c r="N2529" t="s">
        <v>1688</v>
      </c>
      <c r="O2529" t="s">
        <v>1686</v>
      </c>
      <c r="P2529">
        <v>0</v>
      </c>
      <c r="Q2529">
        <v>1423500</v>
      </c>
      <c r="R2529">
        <v>0</v>
      </c>
      <c r="S2529">
        <v>0</v>
      </c>
      <c r="T2529" t="str">
        <f t="shared" si="78"/>
        <v>20482.43.4302.85.0-205128.2.3.3.08.06.</v>
      </c>
      <c r="U2529" t="e" cm="1">
        <f t="array" aca="1" ref="U2529" ca="1">+IF(COMPROMISOS_2025[[#This Row],[P]]="20","41080111",_xlfn.XLOOKUP(COMPROMISOS_2025[[#This Row],[concatenado]],PAA[[#All],[RCP-RUBRO]],PAA[[#All],[INDICADOR]],"",0))</f>
        <v>#NAME?</v>
      </c>
      <c r="V2529" s="144" t="str">
        <f t="shared" si="79"/>
        <v>85</v>
      </c>
      <c r="W2529" s="136">
        <f>+COMPROMISOS_2025[[#This Row],[valor_total]]-COMPROMISOS_2025[[#This Row],[total_cancelado]]</f>
        <v>1423500</v>
      </c>
      <c r="X2529" s="136">
        <f>COMPROMISOS_2025[[#This Row],[total_ordenes]]</f>
        <v>1423500</v>
      </c>
      <c r="Y2529" t="str" cm="1">
        <f t="array" aca="1" ref="Y2529" ca="1">IFERROR(_xlfn.XLOOKUP(COMPROMISOS_2025[[#This Row],[concatenado]],PAA[[#All],[RCP-RUBRO]],PAA[[#All],[Actividad3]],VLOOKUP(COMPROMISOS_2025[[#This Row],[Indicador Principal]],$AC$2:$AD$17,2,0),0),"")</f>
        <v/>
      </c>
    </row>
    <row r="2530" spans="1:25" hidden="1" x14ac:dyDescent="0.25">
      <c r="A2530">
        <v>2049</v>
      </c>
      <c r="B2530" t="s">
        <v>2491</v>
      </c>
      <c r="C2530" t="s">
        <v>1936</v>
      </c>
      <c r="D2530" t="s">
        <v>3575</v>
      </c>
      <c r="F2530">
        <v>405</v>
      </c>
      <c r="G2530">
        <v>65</v>
      </c>
      <c r="H2530" t="s">
        <v>662</v>
      </c>
      <c r="I2530" t="s">
        <v>2271</v>
      </c>
      <c r="J2530">
        <v>1067625</v>
      </c>
      <c r="K2530">
        <v>2025</v>
      </c>
      <c r="L2530">
        <v>15537308</v>
      </c>
      <c r="M2530" t="s">
        <v>3921</v>
      </c>
      <c r="N2530" t="s">
        <v>1688</v>
      </c>
      <c r="O2530" t="s">
        <v>1686</v>
      </c>
      <c r="P2530">
        <v>0</v>
      </c>
      <c r="Q2530">
        <v>1067625</v>
      </c>
      <c r="R2530">
        <v>0</v>
      </c>
      <c r="S2530">
        <v>0</v>
      </c>
      <c r="T2530" t="str">
        <f t="shared" si="78"/>
        <v>20492.43.4302.85.0-205128.2.3.3.08.06.</v>
      </c>
      <c r="U2530" t="e" cm="1">
        <f t="array" aca="1" ref="U2530" ca="1">+IF(COMPROMISOS_2025[[#This Row],[P]]="20","41080111",_xlfn.XLOOKUP(COMPROMISOS_2025[[#This Row],[concatenado]],PAA[[#All],[RCP-RUBRO]],PAA[[#All],[INDICADOR]],"",0))</f>
        <v>#NAME?</v>
      </c>
      <c r="V2530" s="144" t="str">
        <f t="shared" si="79"/>
        <v>85</v>
      </c>
      <c r="W2530" s="136">
        <f>+COMPROMISOS_2025[[#This Row],[valor_total]]-COMPROMISOS_2025[[#This Row],[total_cancelado]]</f>
        <v>1067625</v>
      </c>
      <c r="X2530" s="136">
        <f>COMPROMISOS_2025[[#This Row],[total_ordenes]]</f>
        <v>1067625</v>
      </c>
      <c r="Y2530" t="str" cm="1">
        <f t="array" aca="1" ref="Y2530" ca="1">IFERROR(_xlfn.XLOOKUP(COMPROMISOS_2025[[#This Row],[concatenado]],PAA[[#All],[RCP-RUBRO]],PAA[[#All],[Actividad3]],VLOOKUP(COMPROMISOS_2025[[#This Row],[Indicador Principal]],$AC$2:$AD$17,2,0),0),"")</f>
        <v/>
      </c>
    </row>
    <row r="2531" spans="1:25" hidden="1" x14ac:dyDescent="0.25">
      <c r="A2531">
        <v>2050</v>
      </c>
      <c r="B2531" t="s">
        <v>2491</v>
      </c>
      <c r="C2531" t="s">
        <v>1936</v>
      </c>
      <c r="D2531" t="s">
        <v>3575</v>
      </c>
      <c r="F2531">
        <v>405</v>
      </c>
      <c r="G2531">
        <v>65</v>
      </c>
      <c r="H2531" t="s">
        <v>662</v>
      </c>
      <c r="I2531" t="s">
        <v>2271</v>
      </c>
      <c r="J2531">
        <v>2847000</v>
      </c>
      <c r="K2531">
        <v>2025</v>
      </c>
      <c r="L2531">
        <v>32258328</v>
      </c>
      <c r="M2531" t="s">
        <v>3922</v>
      </c>
      <c r="N2531" t="s">
        <v>1688</v>
      </c>
      <c r="O2531" t="s">
        <v>1686</v>
      </c>
      <c r="P2531">
        <v>0</v>
      </c>
      <c r="Q2531">
        <v>2847000</v>
      </c>
      <c r="R2531">
        <v>0</v>
      </c>
      <c r="S2531">
        <v>0</v>
      </c>
      <c r="T2531" t="str">
        <f t="shared" si="78"/>
        <v>20502.43.4302.85.0-205128.2.3.3.08.06.</v>
      </c>
      <c r="U2531" t="e" cm="1">
        <f t="array" aca="1" ref="U2531" ca="1">+IF(COMPROMISOS_2025[[#This Row],[P]]="20","41080111",_xlfn.XLOOKUP(COMPROMISOS_2025[[#This Row],[concatenado]],PAA[[#All],[RCP-RUBRO]],PAA[[#All],[INDICADOR]],"",0))</f>
        <v>#NAME?</v>
      </c>
      <c r="V2531" s="144" t="str">
        <f t="shared" si="79"/>
        <v>85</v>
      </c>
      <c r="W2531" s="136">
        <f>+COMPROMISOS_2025[[#This Row],[valor_total]]-COMPROMISOS_2025[[#This Row],[total_cancelado]]</f>
        <v>2847000</v>
      </c>
      <c r="X2531" s="136">
        <f>COMPROMISOS_2025[[#This Row],[total_ordenes]]</f>
        <v>2847000</v>
      </c>
      <c r="Y2531" t="str" cm="1">
        <f t="array" aca="1" ref="Y2531" ca="1">IFERROR(_xlfn.XLOOKUP(COMPROMISOS_2025[[#This Row],[concatenado]],PAA[[#All],[RCP-RUBRO]],PAA[[#All],[Actividad3]],VLOOKUP(COMPROMISOS_2025[[#This Row],[Indicador Principal]],$AC$2:$AD$17,2,0),0),"")</f>
        <v/>
      </c>
    </row>
    <row r="2532" spans="1:25" hidden="1" x14ac:dyDescent="0.25">
      <c r="A2532">
        <v>2051</v>
      </c>
      <c r="B2532" t="s">
        <v>2491</v>
      </c>
      <c r="C2532" t="s">
        <v>1936</v>
      </c>
      <c r="D2532" t="s">
        <v>3575</v>
      </c>
      <c r="F2532">
        <v>405</v>
      </c>
      <c r="G2532">
        <v>65</v>
      </c>
      <c r="H2532" t="s">
        <v>662</v>
      </c>
      <c r="I2532" t="s">
        <v>2271</v>
      </c>
      <c r="J2532">
        <v>4270500</v>
      </c>
      <c r="K2532">
        <v>2025</v>
      </c>
      <c r="L2532">
        <v>32354866</v>
      </c>
      <c r="M2532" t="s">
        <v>4188</v>
      </c>
      <c r="N2532" t="s">
        <v>1688</v>
      </c>
      <c r="O2532" t="s">
        <v>1686</v>
      </c>
      <c r="P2532">
        <v>0</v>
      </c>
      <c r="Q2532">
        <v>4270500</v>
      </c>
      <c r="R2532">
        <v>0</v>
      </c>
      <c r="S2532">
        <v>0</v>
      </c>
      <c r="T2532" t="str">
        <f t="shared" si="78"/>
        <v>20512.43.4302.85.0-205128.2.3.3.08.06.</v>
      </c>
      <c r="U2532" t="e" cm="1">
        <f t="array" aca="1" ref="U2532" ca="1">+IF(COMPROMISOS_2025[[#This Row],[P]]="20","41080111",_xlfn.XLOOKUP(COMPROMISOS_2025[[#This Row],[concatenado]],PAA[[#All],[RCP-RUBRO]],PAA[[#All],[INDICADOR]],"",0))</f>
        <v>#NAME?</v>
      </c>
      <c r="V2532" s="144" t="str">
        <f t="shared" si="79"/>
        <v>85</v>
      </c>
      <c r="W2532" s="136">
        <f>+COMPROMISOS_2025[[#This Row],[valor_total]]-COMPROMISOS_2025[[#This Row],[total_cancelado]]</f>
        <v>4270500</v>
      </c>
      <c r="X2532" s="136">
        <f>COMPROMISOS_2025[[#This Row],[total_ordenes]]</f>
        <v>4270500</v>
      </c>
      <c r="Y2532" t="str" cm="1">
        <f t="array" aca="1" ref="Y2532" ca="1">IFERROR(_xlfn.XLOOKUP(COMPROMISOS_2025[[#This Row],[concatenado]],PAA[[#All],[RCP-RUBRO]],PAA[[#All],[Actividad3]],VLOOKUP(COMPROMISOS_2025[[#This Row],[Indicador Principal]],$AC$2:$AD$17,2,0),0),"")</f>
        <v/>
      </c>
    </row>
    <row r="2533" spans="1:25" hidden="1" x14ac:dyDescent="0.25">
      <c r="A2533">
        <v>2052</v>
      </c>
      <c r="B2533" t="s">
        <v>2491</v>
      </c>
      <c r="C2533" t="s">
        <v>1936</v>
      </c>
      <c r="D2533" t="s">
        <v>3575</v>
      </c>
      <c r="F2533">
        <v>405</v>
      </c>
      <c r="G2533">
        <v>65</v>
      </c>
      <c r="H2533" t="s">
        <v>662</v>
      </c>
      <c r="I2533" t="s">
        <v>2271</v>
      </c>
      <c r="J2533">
        <v>1067625</v>
      </c>
      <c r="K2533">
        <v>2025</v>
      </c>
      <c r="L2533">
        <v>39210955</v>
      </c>
      <c r="M2533" t="s">
        <v>4189</v>
      </c>
      <c r="N2533" t="s">
        <v>1688</v>
      </c>
      <c r="O2533" t="s">
        <v>1686</v>
      </c>
      <c r="P2533">
        <v>0</v>
      </c>
      <c r="Q2533">
        <v>1067625</v>
      </c>
      <c r="R2533">
        <v>0</v>
      </c>
      <c r="S2533">
        <v>0</v>
      </c>
      <c r="T2533" t="str">
        <f t="shared" si="78"/>
        <v>20522.43.4302.85.0-205128.2.3.3.08.06.</v>
      </c>
      <c r="U2533" t="e" cm="1">
        <f t="array" aca="1" ref="U2533" ca="1">+IF(COMPROMISOS_2025[[#This Row],[P]]="20","41080111",_xlfn.XLOOKUP(COMPROMISOS_2025[[#This Row],[concatenado]],PAA[[#All],[RCP-RUBRO]],PAA[[#All],[INDICADOR]],"",0))</f>
        <v>#NAME?</v>
      </c>
      <c r="V2533" s="144" t="str">
        <f t="shared" si="79"/>
        <v>85</v>
      </c>
      <c r="W2533" s="136">
        <f>+COMPROMISOS_2025[[#This Row],[valor_total]]-COMPROMISOS_2025[[#This Row],[total_cancelado]]</f>
        <v>1067625</v>
      </c>
      <c r="X2533" s="136">
        <f>COMPROMISOS_2025[[#This Row],[total_ordenes]]</f>
        <v>1067625</v>
      </c>
      <c r="Y2533" t="str" cm="1">
        <f t="array" aca="1" ref="Y2533" ca="1">IFERROR(_xlfn.XLOOKUP(COMPROMISOS_2025[[#This Row],[concatenado]],PAA[[#All],[RCP-RUBRO]],PAA[[#All],[Actividad3]],VLOOKUP(COMPROMISOS_2025[[#This Row],[Indicador Principal]],$AC$2:$AD$17,2,0),0),"")</f>
        <v/>
      </c>
    </row>
    <row r="2534" spans="1:25" hidden="1" x14ac:dyDescent="0.25">
      <c r="A2534">
        <v>2053</v>
      </c>
      <c r="B2534" t="s">
        <v>2491</v>
      </c>
      <c r="C2534" t="s">
        <v>1936</v>
      </c>
      <c r="D2534" t="s">
        <v>3575</v>
      </c>
      <c r="F2534">
        <v>405</v>
      </c>
      <c r="G2534">
        <v>65</v>
      </c>
      <c r="H2534" t="s">
        <v>662</v>
      </c>
      <c r="I2534" t="s">
        <v>2271</v>
      </c>
      <c r="J2534">
        <v>1423500</v>
      </c>
      <c r="K2534">
        <v>2025</v>
      </c>
      <c r="L2534">
        <v>43054036</v>
      </c>
      <c r="M2534" t="s">
        <v>4190</v>
      </c>
      <c r="N2534" t="s">
        <v>1688</v>
      </c>
      <c r="O2534" t="s">
        <v>1686</v>
      </c>
      <c r="P2534">
        <v>0</v>
      </c>
      <c r="Q2534">
        <v>1423500</v>
      </c>
      <c r="R2534">
        <v>0</v>
      </c>
      <c r="S2534">
        <v>0</v>
      </c>
      <c r="T2534" t="str">
        <f t="shared" si="78"/>
        <v>20532.43.4302.85.0-205128.2.3.3.08.06.</v>
      </c>
      <c r="U2534" t="e" cm="1">
        <f t="array" aca="1" ref="U2534" ca="1">+IF(COMPROMISOS_2025[[#This Row],[P]]="20","41080111",_xlfn.XLOOKUP(COMPROMISOS_2025[[#This Row],[concatenado]],PAA[[#All],[RCP-RUBRO]],PAA[[#All],[INDICADOR]],"",0))</f>
        <v>#NAME?</v>
      </c>
      <c r="V2534" s="144" t="str">
        <f t="shared" si="79"/>
        <v>85</v>
      </c>
      <c r="W2534" s="136">
        <f>+COMPROMISOS_2025[[#This Row],[valor_total]]-COMPROMISOS_2025[[#This Row],[total_cancelado]]</f>
        <v>1423500</v>
      </c>
      <c r="X2534" s="136">
        <f>COMPROMISOS_2025[[#This Row],[total_ordenes]]</f>
        <v>1423500</v>
      </c>
      <c r="Y2534" t="str" cm="1">
        <f t="array" aca="1" ref="Y2534" ca="1">IFERROR(_xlfn.XLOOKUP(COMPROMISOS_2025[[#This Row],[concatenado]],PAA[[#All],[RCP-RUBRO]],PAA[[#All],[Actividad3]],VLOOKUP(COMPROMISOS_2025[[#This Row],[Indicador Principal]],$AC$2:$AD$17,2,0),0),"")</f>
        <v/>
      </c>
    </row>
    <row r="2535" spans="1:25" hidden="1" x14ac:dyDescent="0.25">
      <c r="A2535">
        <v>2054</v>
      </c>
      <c r="B2535" t="s">
        <v>2491</v>
      </c>
      <c r="C2535" t="s">
        <v>1936</v>
      </c>
      <c r="D2535" t="s">
        <v>3575</v>
      </c>
      <c r="F2535">
        <v>405</v>
      </c>
      <c r="G2535">
        <v>65</v>
      </c>
      <c r="H2535" t="s">
        <v>662</v>
      </c>
      <c r="I2535" t="s">
        <v>2271</v>
      </c>
      <c r="J2535">
        <v>1423500</v>
      </c>
      <c r="K2535">
        <v>2025</v>
      </c>
      <c r="L2535">
        <v>43254122</v>
      </c>
      <c r="M2535" t="s">
        <v>4191</v>
      </c>
      <c r="N2535" t="s">
        <v>1688</v>
      </c>
      <c r="O2535" t="s">
        <v>1686</v>
      </c>
      <c r="P2535">
        <v>0</v>
      </c>
      <c r="Q2535">
        <v>1423500</v>
      </c>
      <c r="R2535">
        <v>0</v>
      </c>
      <c r="S2535">
        <v>0</v>
      </c>
      <c r="T2535" t="str">
        <f t="shared" si="78"/>
        <v>20542.43.4302.85.0-205128.2.3.3.08.06.</v>
      </c>
      <c r="U2535" t="e" cm="1">
        <f t="array" aca="1" ref="U2535" ca="1">+IF(COMPROMISOS_2025[[#This Row],[P]]="20","41080111",_xlfn.XLOOKUP(COMPROMISOS_2025[[#This Row],[concatenado]],PAA[[#All],[RCP-RUBRO]],PAA[[#All],[INDICADOR]],"",0))</f>
        <v>#NAME?</v>
      </c>
      <c r="V2535" s="144" t="str">
        <f t="shared" si="79"/>
        <v>85</v>
      </c>
      <c r="W2535" s="136">
        <f>+COMPROMISOS_2025[[#This Row],[valor_total]]-COMPROMISOS_2025[[#This Row],[total_cancelado]]</f>
        <v>1423500</v>
      </c>
      <c r="X2535" s="136">
        <f>COMPROMISOS_2025[[#This Row],[total_ordenes]]</f>
        <v>1423500</v>
      </c>
      <c r="Y2535" t="str" cm="1">
        <f t="array" aca="1" ref="Y2535" ca="1">IFERROR(_xlfn.XLOOKUP(COMPROMISOS_2025[[#This Row],[concatenado]],PAA[[#All],[RCP-RUBRO]],PAA[[#All],[Actividad3]],VLOOKUP(COMPROMISOS_2025[[#This Row],[Indicador Principal]],$AC$2:$AD$17,2,0),0),"")</f>
        <v/>
      </c>
    </row>
    <row r="2536" spans="1:25" hidden="1" x14ac:dyDescent="0.25">
      <c r="A2536">
        <v>2055</v>
      </c>
      <c r="B2536" t="s">
        <v>2491</v>
      </c>
      <c r="C2536" t="s">
        <v>1936</v>
      </c>
      <c r="D2536" t="s">
        <v>3575</v>
      </c>
      <c r="F2536">
        <v>405</v>
      </c>
      <c r="G2536">
        <v>65</v>
      </c>
      <c r="H2536" t="s">
        <v>662</v>
      </c>
      <c r="I2536" t="s">
        <v>2271</v>
      </c>
      <c r="J2536">
        <v>1423500</v>
      </c>
      <c r="K2536">
        <v>2025</v>
      </c>
      <c r="L2536">
        <v>43757764</v>
      </c>
      <c r="M2536" t="s">
        <v>4192</v>
      </c>
      <c r="N2536" t="s">
        <v>1688</v>
      </c>
      <c r="O2536" t="s">
        <v>1686</v>
      </c>
      <c r="P2536">
        <v>0</v>
      </c>
      <c r="Q2536">
        <v>1423500</v>
      </c>
      <c r="R2536">
        <v>0</v>
      </c>
      <c r="S2536">
        <v>0</v>
      </c>
      <c r="T2536" t="str">
        <f t="shared" si="78"/>
        <v>20552.43.4302.85.0-205128.2.3.3.08.06.</v>
      </c>
      <c r="U2536" t="e" cm="1">
        <f t="array" aca="1" ref="U2536" ca="1">+IF(COMPROMISOS_2025[[#This Row],[P]]="20","41080111",_xlfn.XLOOKUP(COMPROMISOS_2025[[#This Row],[concatenado]],PAA[[#All],[RCP-RUBRO]],PAA[[#All],[INDICADOR]],"",0))</f>
        <v>#NAME?</v>
      </c>
      <c r="V2536" s="144" t="str">
        <f t="shared" si="79"/>
        <v>85</v>
      </c>
      <c r="W2536" s="136">
        <f>+COMPROMISOS_2025[[#This Row],[valor_total]]-COMPROMISOS_2025[[#This Row],[total_cancelado]]</f>
        <v>1423500</v>
      </c>
      <c r="X2536" s="136">
        <f>COMPROMISOS_2025[[#This Row],[total_ordenes]]</f>
        <v>1423500</v>
      </c>
      <c r="Y2536" t="str" cm="1">
        <f t="array" aca="1" ref="Y2536" ca="1">IFERROR(_xlfn.XLOOKUP(COMPROMISOS_2025[[#This Row],[concatenado]],PAA[[#All],[RCP-RUBRO]],PAA[[#All],[Actividad3]],VLOOKUP(COMPROMISOS_2025[[#This Row],[Indicador Principal]],$AC$2:$AD$17,2,0),0),"")</f>
        <v/>
      </c>
    </row>
    <row r="2537" spans="1:25" hidden="1" x14ac:dyDescent="0.25">
      <c r="A2537">
        <v>2056</v>
      </c>
      <c r="B2537" t="s">
        <v>2491</v>
      </c>
      <c r="C2537" t="s">
        <v>1936</v>
      </c>
      <c r="D2537" t="s">
        <v>3575</v>
      </c>
      <c r="F2537">
        <v>405</v>
      </c>
      <c r="G2537">
        <v>65</v>
      </c>
      <c r="H2537" t="s">
        <v>662</v>
      </c>
      <c r="I2537" t="s">
        <v>2271</v>
      </c>
      <c r="J2537">
        <v>2847000</v>
      </c>
      <c r="K2537">
        <v>2025</v>
      </c>
      <c r="L2537">
        <v>43847269</v>
      </c>
      <c r="M2537" t="s">
        <v>3923</v>
      </c>
      <c r="N2537" t="s">
        <v>1688</v>
      </c>
      <c r="O2537" t="s">
        <v>1686</v>
      </c>
      <c r="P2537">
        <v>0</v>
      </c>
      <c r="Q2537">
        <v>2847000</v>
      </c>
      <c r="R2537">
        <v>0</v>
      </c>
      <c r="S2537">
        <v>0</v>
      </c>
      <c r="T2537" t="str">
        <f t="shared" si="78"/>
        <v>20562.43.4302.85.0-205128.2.3.3.08.06.</v>
      </c>
      <c r="U2537" t="e" cm="1">
        <f t="array" aca="1" ref="U2537" ca="1">+IF(COMPROMISOS_2025[[#This Row],[P]]="20","41080111",_xlfn.XLOOKUP(COMPROMISOS_2025[[#This Row],[concatenado]],PAA[[#All],[RCP-RUBRO]],PAA[[#All],[INDICADOR]],"",0))</f>
        <v>#NAME?</v>
      </c>
      <c r="V2537" s="144" t="str">
        <f t="shared" si="79"/>
        <v>85</v>
      </c>
      <c r="W2537" s="136">
        <f>+COMPROMISOS_2025[[#This Row],[valor_total]]-COMPROMISOS_2025[[#This Row],[total_cancelado]]</f>
        <v>2847000</v>
      </c>
      <c r="X2537" s="136">
        <f>COMPROMISOS_2025[[#This Row],[total_ordenes]]</f>
        <v>2847000</v>
      </c>
      <c r="Y2537" t="str" cm="1">
        <f t="array" aca="1" ref="Y2537" ca="1">IFERROR(_xlfn.XLOOKUP(COMPROMISOS_2025[[#This Row],[concatenado]],PAA[[#All],[RCP-RUBRO]],PAA[[#All],[Actividad3]],VLOOKUP(COMPROMISOS_2025[[#This Row],[Indicador Principal]],$AC$2:$AD$17,2,0),0),"")</f>
        <v/>
      </c>
    </row>
    <row r="2538" spans="1:25" hidden="1" x14ac:dyDescent="0.25">
      <c r="A2538">
        <v>2057</v>
      </c>
      <c r="B2538" t="s">
        <v>2491</v>
      </c>
      <c r="C2538" t="s">
        <v>1936</v>
      </c>
      <c r="D2538" t="s">
        <v>3575</v>
      </c>
      <c r="F2538">
        <v>405</v>
      </c>
      <c r="G2538">
        <v>65</v>
      </c>
      <c r="H2538" t="s">
        <v>662</v>
      </c>
      <c r="I2538" t="s">
        <v>2271</v>
      </c>
      <c r="J2538">
        <v>2847000</v>
      </c>
      <c r="K2538">
        <v>2025</v>
      </c>
      <c r="L2538">
        <v>43906879</v>
      </c>
      <c r="M2538" t="s">
        <v>4193</v>
      </c>
      <c r="N2538" t="s">
        <v>1688</v>
      </c>
      <c r="O2538" t="s">
        <v>1686</v>
      </c>
      <c r="P2538">
        <v>0</v>
      </c>
      <c r="Q2538">
        <v>2847000</v>
      </c>
      <c r="R2538">
        <v>0</v>
      </c>
      <c r="S2538">
        <v>0</v>
      </c>
      <c r="T2538" t="str">
        <f t="shared" si="78"/>
        <v>20572.43.4302.85.0-205128.2.3.3.08.06.</v>
      </c>
      <c r="U2538" t="e" cm="1">
        <f t="array" aca="1" ref="U2538" ca="1">+IF(COMPROMISOS_2025[[#This Row],[P]]="20","41080111",_xlfn.XLOOKUP(COMPROMISOS_2025[[#This Row],[concatenado]],PAA[[#All],[RCP-RUBRO]],PAA[[#All],[INDICADOR]],"",0))</f>
        <v>#NAME?</v>
      </c>
      <c r="V2538" s="144" t="str">
        <f t="shared" si="79"/>
        <v>85</v>
      </c>
      <c r="W2538" s="136">
        <f>+COMPROMISOS_2025[[#This Row],[valor_total]]-COMPROMISOS_2025[[#This Row],[total_cancelado]]</f>
        <v>2847000</v>
      </c>
      <c r="X2538" s="136">
        <f>COMPROMISOS_2025[[#This Row],[total_ordenes]]</f>
        <v>2847000</v>
      </c>
      <c r="Y2538" t="str" cm="1">
        <f t="array" aca="1" ref="Y2538" ca="1">IFERROR(_xlfn.XLOOKUP(COMPROMISOS_2025[[#This Row],[concatenado]],PAA[[#All],[RCP-RUBRO]],PAA[[#All],[Actividad3]],VLOOKUP(COMPROMISOS_2025[[#This Row],[Indicador Principal]],$AC$2:$AD$17,2,0),0),"")</f>
        <v/>
      </c>
    </row>
    <row r="2539" spans="1:25" hidden="1" x14ac:dyDescent="0.25">
      <c r="A2539">
        <v>2058</v>
      </c>
      <c r="B2539" t="s">
        <v>2491</v>
      </c>
      <c r="C2539" t="s">
        <v>1936</v>
      </c>
      <c r="D2539" t="s">
        <v>3575</v>
      </c>
      <c r="F2539">
        <v>405</v>
      </c>
      <c r="G2539">
        <v>65</v>
      </c>
      <c r="H2539" t="s">
        <v>662</v>
      </c>
      <c r="I2539" t="s">
        <v>2271</v>
      </c>
      <c r="J2539">
        <v>4270500</v>
      </c>
      <c r="K2539">
        <v>2025</v>
      </c>
      <c r="L2539">
        <v>43908043</v>
      </c>
      <c r="M2539" t="s">
        <v>4194</v>
      </c>
      <c r="N2539" t="s">
        <v>1688</v>
      </c>
      <c r="O2539" t="s">
        <v>1686</v>
      </c>
      <c r="P2539">
        <v>0</v>
      </c>
      <c r="Q2539">
        <v>4270500</v>
      </c>
      <c r="R2539">
        <v>0</v>
      </c>
      <c r="S2539">
        <v>0</v>
      </c>
      <c r="T2539" t="str">
        <f t="shared" si="78"/>
        <v>20582.43.4302.85.0-205128.2.3.3.08.06.</v>
      </c>
      <c r="U2539" t="e" cm="1">
        <f t="array" aca="1" ref="U2539" ca="1">+IF(COMPROMISOS_2025[[#This Row],[P]]="20","41080111",_xlfn.XLOOKUP(COMPROMISOS_2025[[#This Row],[concatenado]],PAA[[#All],[RCP-RUBRO]],PAA[[#All],[INDICADOR]],"",0))</f>
        <v>#NAME?</v>
      </c>
      <c r="V2539" s="144" t="str">
        <f t="shared" si="79"/>
        <v>85</v>
      </c>
      <c r="W2539" s="136">
        <f>+COMPROMISOS_2025[[#This Row],[valor_total]]-COMPROMISOS_2025[[#This Row],[total_cancelado]]</f>
        <v>4270500</v>
      </c>
      <c r="X2539" s="136">
        <f>COMPROMISOS_2025[[#This Row],[total_ordenes]]</f>
        <v>4270500</v>
      </c>
      <c r="Y2539" t="str" cm="1">
        <f t="array" aca="1" ref="Y2539" ca="1">IFERROR(_xlfn.XLOOKUP(COMPROMISOS_2025[[#This Row],[concatenado]],PAA[[#All],[RCP-RUBRO]],PAA[[#All],[Actividad3]],VLOOKUP(COMPROMISOS_2025[[#This Row],[Indicador Principal]],$AC$2:$AD$17,2,0),0),"")</f>
        <v/>
      </c>
    </row>
    <row r="2540" spans="1:25" hidden="1" x14ac:dyDescent="0.25">
      <c r="A2540">
        <v>2059</v>
      </c>
      <c r="B2540" t="s">
        <v>2491</v>
      </c>
      <c r="C2540" t="s">
        <v>1936</v>
      </c>
      <c r="D2540" t="s">
        <v>3575</v>
      </c>
      <c r="F2540">
        <v>405</v>
      </c>
      <c r="G2540">
        <v>65</v>
      </c>
      <c r="H2540" t="s">
        <v>662</v>
      </c>
      <c r="I2540" t="s">
        <v>2271</v>
      </c>
      <c r="J2540">
        <v>1423500</v>
      </c>
      <c r="K2540">
        <v>2025</v>
      </c>
      <c r="L2540">
        <v>43982928</v>
      </c>
      <c r="M2540" t="s">
        <v>4195</v>
      </c>
      <c r="N2540" t="s">
        <v>1688</v>
      </c>
      <c r="O2540" t="s">
        <v>1686</v>
      </c>
      <c r="P2540">
        <v>0</v>
      </c>
      <c r="Q2540">
        <v>1423500</v>
      </c>
      <c r="R2540">
        <v>0</v>
      </c>
      <c r="S2540">
        <v>0</v>
      </c>
      <c r="T2540" t="str">
        <f t="shared" si="78"/>
        <v>20592.43.4302.85.0-205128.2.3.3.08.06.</v>
      </c>
      <c r="U2540" t="e" cm="1">
        <f t="array" aca="1" ref="U2540" ca="1">+IF(COMPROMISOS_2025[[#This Row],[P]]="20","41080111",_xlfn.XLOOKUP(COMPROMISOS_2025[[#This Row],[concatenado]],PAA[[#All],[RCP-RUBRO]],PAA[[#All],[INDICADOR]],"",0))</f>
        <v>#NAME?</v>
      </c>
      <c r="V2540" s="144" t="str">
        <f t="shared" si="79"/>
        <v>85</v>
      </c>
      <c r="W2540" s="136">
        <f>+COMPROMISOS_2025[[#This Row],[valor_total]]-COMPROMISOS_2025[[#This Row],[total_cancelado]]</f>
        <v>1423500</v>
      </c>
      <c r="X2540" s="136">
        <f>COMPROMISOS_2025[[#This Row],[total_ordenes]]</f>
        <v>1423500</v>
      </c>
      <c r="Y2540" t="str" cm="1">
        <f t="array" aca="1" ref="Y2540" ca="1">IFERROR(_xlfn.XLOOKUP(COMPROMISOS_2025[[#This Row],[concatenado]],PAA[[#All],[RCP-RUBRO]],PAA[[#All],[Actividad3]],VLOOKUP(COMPROMISOS_2025[[#This Row],[Indicador Principal]],$AC$2:$AD$17,2,0),0),"")</f>
        <v/>
      </c>
    </row>
    <row r="2541" spans="1:25" hidden="1" x14ac:dyDescent="0.25">
      <c r="A2541">
        <v>2061</v>
      </c>
      <c r="B2541" t="s">
        <v>2491</v>
      </c>
      <c r="C2541" t="s">
        <v>1936</v>
      </c>
      <c r="D2541" t="s">
        <v>3575</v>
      </c>
      <c r="F2541">
        <v>405</v>
      </c>
      <c r="G2541">
        <v>65</v>
      </c>
      <c r="H2541" t="s">
        <v>662</v>
      </c>
      <c r="I2541" t="s">
        <v>2271</v>
      </c>
      <c r="J2541">
        <v>2847000</v>
      </c>
      <c r="K2541">
        <v>2025</v>
      </c>
      <c r="L2541">
        <v>45481718</v>
      </c>
      <c r="M2541" t="s">
        <v>4196</v>
      </c>
      <c r="N2541" t="s">
        <v>1688</v>
      </c>
      <c r="O2541" t="s">
        <v>1686</v>
      </c>
      <c r="P2541">
        <v>0</v>
      </c>
      <c r="Q2541">
        <v>2847000</v>
      </c>
      <c r="R2541">
        <v>0</v>
      </c>
      <c r="S2541">
        <v>0</v>
      </c>
      <c r="T2541" t="str">
        <f t="shared" si="78"/>
        <v>20612.43.4302.85.0-205128.2.3.3.08.06.</v>
      </c>
      <c r="U2541" t="e" cm="1">
        <f t="array" aca="1" ref="U2541" ca="1">+IF(COMPROMISOS_2025[[#This Row],[P]]="20","41080111",_xlfn.XLOOKUP(COMPROMISOS_2025[[#This Row],[concatenado]],PAA[[#All],[RCP-RUBRO]],PAA[[#All],[INDICADOR]],"",0))</f>
        <v>#NAME?</v>
      </c>
      <c r="V2541" s="144" t="str">
        <f t="shared" si="79"/>
        <v>85</v>
      </c>
      <c r="W2541" s="136">
        <f>+COMPROMISOS_2025[[#This Row],[valor_total]]-COMPROMISOS_2025[[#This Row],[total_cancelado]]</f>
        <v>2847000</v>
      </c>
      <c r="X2541" s="136">
        <f>COMPROMISOS_2025[[#This Row],[total_ordenes]]</f>
        <v>2847000</v>
      </c>
      <c r="Y2541" t="str" cm="1">
        <f t="array" aca="1" ref="Y2541" ca="1">IFERROR(_xlfn.XLOOKUP(COMPROMISOS_2025[[#This Row],[concatenado]],PAA[[#All],[RCP-RUBRO]],PAA[[#All],[Actividad3]],VLOOKUP(COMPROMISOS_2025[[#This Row],[Indicador Principal]],$AC$2:$AD$17,2,0),0),"")</f>
        <v/>
      </c>
    </row>
    <row r="2542" spans="1:25" hidden="1" x14ac:dyDescent="0.25">
      <c r="A2542">
        <v>2062</v>
      </c>
      <c r="B2542" t="s">
        <v>2491</v>
      </c>
      <c r="C2542" t="s">
        <v>1936</v>
      </c>
      <c r="D2542" t="s">
        <v>3575</v>
      </c>
      <c r="F2542">
        <v>405</v>
      </c>
      <c r="G2542">
        <v>65</v>
      </c>
      <c r="H2542" t="s">
        <v>662</v>
      </c>
      <c r="I2542" t="s">
        <v>2271</v>
      </c>
      <c r="J2542">
        <v>1067625</v>
      </c>
      <c r="K2542">
        <v>2025</v>
      </c>
      <c r="L2542">
        <v>70143129</v>
      </c>
      <c r="M2542" t="s">
        <v>4197</v>
      </c>
      <c r="N2542" t="s">
        <v>1688</v>
      </c>
      <c r="O2542" t="s">
        <v>1686</v>
      </c>
      <c r="P2542">
        <v>0</v>
      </c>
      <c r="Q2542">
        <v>1067625</v>
      </c>
      <c r="R2542">
        <v>0</v>
      </c>
      <c r="S2542">
        <v>0</v>
      </c>
      <c r="T2542" t="str">
        <f t="shared" si="78"/>
        <v>20622.43.4302.85.0-205128.2.3.3.08.06.</v>
      </c>
      <c r="U2542" t="e" cm="1">
        <f t="array" aca="1" ref="U2542" ca="1">+IF(COMPROMISOS_2025[[#This Row],[P]]="20","41080111",_xlfn.XLOOKUP(COMPROMISOS_2025[[#This Row],[concatenado]],PAA[[#All],[RCP-RUBRO]],PAA[[#All],[INDICADOR]],"",0))</f>
        <v>#NAME?</v>
      </c>
      <c r="V2542" s="144" t="str">
        <f t="shared" si="79"/>
        <v>85</v>
      </c>
      <c r="W2542" s="136">
        <f>+COMPROMISOS_2025[[#This Row],[valor_total]]-COMPROMISOS_2025[[#This Row],[total_cancelado]]</f>
        <v>1067625</v>
      </c>
      <c r="X2542" s="136">
        <f>COMPROMISOS_2025[[#This Row],[total_ordenes]]</f>
        <v>1067625</v>
      </c>
      <c r="Y2542" t="str" cm="1">
        <f t="array" aca="1" ref="Y2542" ca="1">IFERROR(_xlfn.XLOOKUP(COMPROMISOS_2025[[#This Row],[concatenado]],PAA[[#All],[RCP-RUBRO]],PAA[[#All],[Actividad3]],VLOOKUP(COMPROMISOS_2025[[#This Row],[Indicador Principal]],$AC$2:$AD$17,2,0),0),"")</f>
        <v/>
      </c>
    </row>
    <row r="2543" spans="1:25" hidden="1" x14ac:dyDescent="0.25">
      <c r="A2543">
        <v>2064</v>
      </c>
      <c r="B2543" t="s">
        <v>2491</v>
      </c>
      <c r="C2543" t="s">
        <v>1936</v>
      </c>
      <c r="D2543" t="s">
        <v>3575</v>
      </c>
      <c r="F2543">
        <v>405</v>
      </c>
      <c r="G2543">
        <v>65</v>
      </c>
      <c r="H2543" t="s">
        <v>662</v>
      </c>
      <c r="I2543" t="s">
        <v>2271</v>
      </c>
      <c r="J2543">
        <v>711750</v>
      </c>
      <c r="K2543">
        <v>2025</v>
      </c>
      <c r="L2543">
        <v>70732170</v>
      </c>
      <c r="M2543" t="s">
        <v>4198</v>
      </c>
      <c r="N2543" t="s">
        <v>1688</v>
      </c>
      <c r="O2543" t="s">
        <v>1686</v>
      </c>
      <c r="P2543">
        <v>0</v>
      </c>
      <c r="Q2543">
        <v>711750</v>
      </c>
      <c r="R2543">
        <v>0</v>
      </c>
      <c r="S2543">
        <v>0</v>
      </c>
      <c r="T2543" t="str">
        <f t="shared" si="78"/>
        <v>20642.43.4302.85.0-205128.2.3.3.08.06.</v>
      </c>
      <c r="U2543" t="e" cm="1">
        <f t="array" aca="1" ref="U2543" ca="1">+IF(COMPROMISOS_2025[[#This Row],[P]]="20","41080111",_xlfn.XLOOKUP(COMPROMISOS_2025[[#This Row],[concatenado]],PAA[[#All],[RCP-RUBRO]],PAA[[#All],[INDICADOR]],"",0))</f>
        <v>#NAME?</v>
      </c>
      <c r="V2543" s="144" t="str">
        <f t="shared" si="79"/>
        <v>85</v>
      </c>
      <c r="W2543" s="136">
        <f>+COMPROMISOS_2025[[#This Row],[valor_total]]-COMPROMISOS_2025[[#This Row],[total_cancelado]]</f>
        <v>711750</v>
      </c>
      <c r="X2543" s="136">
        <f>COMPROMISOS_2025[[#This Row],[total_ordenes]]</f>
        <v>711750</v>
      </c>
      <c r="Y2543" t="str" cm="1">
        <f t="array" aca="1" ref="Y2543" ca="1">IFERROR(_xlfn.XLOOKUP(COMPROMISOS_2025[[#This Row],[concatenado]],PAA[[#All],[RCP-RUBRO]],PAA[[#All],[Actividad3]],VLOOKUP(COMPROMISOS_2025[[#This Row],[Indicador Principal]],$AC$2:$AD$17,2,0),0),"")</f>
        <v/>
      </c>
    </row>
    <row r="2544" spans="1:25" hidden="1" x14ac:dyDescent="0.25">
      <c r="A2544">
        <v>2065</v>
      </c>
      <c r="B2544" t="s">
        <v>2491</v>
      </c>
      <c r="C2544" t="s">
        <v>1936</v>
      </c>
      <c r="D2544" t="s">
        <v>3575</v>
      </c>
      <c r="F2544">
        <v>405</v>
      </c>
      <c r="G2544">
        <v>65</v>
      </c>
      <c r="H2544" t="s">
        <v>662</v>
      </c>
      <c r="I2544" t="s">
        <v>2271</v>
      </c>
      <c r="J2544">
        <v>1423500</v>
      </c>
      <c r="K2544">
        <v>2025</v>
      </c>
      <c r="L2544">
        <v>71086337</v>
      </c>
      <c r="M2544" t="s">
        <v>4199</v>
      </c>
      <c r="N2544" t="s">
        <v>1688</v>
      </c>
      <c r="O2544" t="s">
        <v>1686</v>
      </c>
      <c r="P2544">
        <v>0</v>
      </c>
      <c r="Q2544">
        <v>1423500</v>
      </c>
      <c r="R2544">
        <v>0</v>
      </c>
      <c r="S2544">
        <v>0</v>
      </c>
      <c r="T2544" t="str">
        <f t="shared" si="78"/>
        <v>20652.43.4302.85.0-205128.2.3.3.08.06.</v>
      </c>
      <c r="U2544" t="e" cm="1">
        <f t="array" aca="1" ref="U2544" ca="1">+IF(COMPROMISOS_2025[[#This Row],[P]]="20","41080111",_xlfn.XLOOKUP(COMPROMISOS_2025[[#This Row],[concatenado]],PAA[[#All],[RCP-RUBRO]],PAA[[#All],[INDICADOR]],"",0))</f>
        <v>#NAME?</v>
      </c>
      <c r="V2544" s="144" t="str">
        <f t="shared" si="79"/>
        <v>85</v>
      </c>
      <c r="W2544" s="136">
        <f>+COMPROMISOS_2025[[#This Row],[valor_total]]-COMPROMISOS_2025[[#This Row],[total_cancelado]]</f>
        <v>1423500</v>
      </c>
      <c r="X2544" s="136">
        <f>COMPROMISOS_2025[[#This Row],[total_ordenes]]</f>
        <v>1423500</v>
      </c>
      <c r="Y2544" t="str" cm="1">
        <f t="array" aca="1" ref="Y2544" ca="1">IFERROR(_xlfn.XLOOKUP(COMPROMISOS_2025[[#This Row],[concatenado]],PAA[[#All],[RCP-RUBRO]],PAA[[#All],[Actividad3]],VLOOKUP(COMPROMISOS_2025[[#This Row],[Indicador Principal]],$AC$2:$AD$17,2,0),0),"")</f>
        <v/>
      </c>
    </row>
    <row r="2545" spans="1:25" hidden="1" x14ac:dyDescent="0.25">
      <c r="A2545">
        <v>2066</v>
      </c>
      <c r="B2545" t="s">
        <v>2491</v>
      </c>
      <c r="C2545" t="s">
        <v>1936</v>
      </c>
      <c r="D2545" t="s">
        <v>3575</v>
      </c>
      <c r="F2545">
        <v>405</v>
      </c>
      <c r="G2545">
        <v>65</v>
      </c>
      <c r="H2545" t="s">
        <v>662</v>
      </c>
      <c r="I2545" t="s">
        <v>2271</v>
      </c>
      <c r="J2545">
        <v>1067625</v>
      </c>
      <c r="K2545">
        <v>2025</v>
      </c>
      <c r="L2545">
        <v>71277601</v>
      </c>
      <c r="M2545" t="s">
        <v>3547</v>
      </c>
      <c r="N2545" t="s">
        <v>1688</v>
      </c>
      <c r="O2545" t="s">
        <v>1686</v>
      </c>
      <c r="P2545">
        <v>0</v>
      </c>
      <c r="Q2545">
        <v>1067625</v>
      </c>
      <c r="R2545">
        <v>0</v>
      </c>
      <c r="S2545">
        <v>0</v>
      </c>
      <c r="T2545" t="str">
        <f t="shared" si="78"/>
        <v>20662.43.4302.85.0-205128.2.3.3.08.06.</v>
      </c>
      <c r="U2545" t="e" cm="1">
        <f t="array" aca="1" ref="U2545" ca="1">+IF(COMPROMISOS_2025[[#This Row],[P]]="20","41080111",_xlfn.XLOOKUP(COMPROMISOS_2025[[#This Row],[concatenado]],PAA[[#All],[RCP-RUBRO]],PAA[[#All],[INDICADOR]],"",0))</f>
        <v>#NAME?</v>
      </c>
      <c r="V2545" s="144" t="str">
        <f t="shared" si="79"/>
        <v>85</v>
      </c>
      <c r="W2545" s="136">
        <f>+COMPROMISOS_2025[[#This Row],[valor_total]]-COMPROMISOS_2025[[#This Row],[total_cancelado]]</f>
        <v>1067625</v>
      </c>
      <c r="X2545" s="136">
        <f>COMPROMISOS_2025[[#This Row],[total_ordenes]]</f>
        <v>1067625</v>
      </c>
      <c r="Y2545" t="str" cm="1">
        <f t="array" aca="1" ref="Y2545" ca="1">IFERROR(_xlfn.XLOOKUP(COMPROMISOS_2025[[#This Row],[concatenado]],PAA[[#All],[RCP-RUBRO]],PAA[[#All],[Actividad3]],VLOOKUP(COMPROMISOS_2025[[#This Row],[Indicador Principal]],$AC$2:$AD$17,2,0),0),"")</f>
        <v/>
      </c>
    </row>
    <row r="2546" spans="1:25" hidden="1" x14ac:dyDescent="0.25">
      <c r="A2546">
        <v>2067</v>
      </c>
      <c r="B2546" t="s">
        <v>2491</v>
      </c>
      <c r="C2546" t="s">
        <v>1936</v>
      </c>
      <c r="D2546" t="s">
        <v>3575</v>
      </c>
      <c r="F2546">
        <v>405</v>
      </c>
      <c r="G2546">
        <v>65</v>
      </c>
      <c r="H2546" t="s">
        <v>662</v>
      </c>
      <c r="I2546" t="s">
        <v>2271</v>
      </c>
      <c r="J2546">
        <v>1067625</v>
      </c>
      <c r="K2546">
        <v>2025</v>
      </c>
      <c r="L2546">
        <v>71290655</v>
      </c>
      <c r="M2546" t="s">
        <v>3924</v>
      </c>
      <c r="N2546" t="s">
        <v>1688</v>
      </c>
      <c r="O2546" t="s">
        <v>1686</v>
      </c>
      <c r="P2546">
        <v>0</v>
      </c>
      <c r="Q2546">
        <v>1067625</v>
      </c>
      <c r="R2546">
        <v>0</v>
      </c>
      <c r="S2546">
        <v>0</v>
      </c>
      <c r="T2546" t="str">
        <f t="shared" si="78"/>
        <v>20672.43.4302.85.0-205128.2.3.3.08.06.</v>
      </c>
      <c r="U2546" t="e" cm="1">
        <f t="array" aca="1" ref="U2546" ca="1">+IF(COMPROMISOS_2025[[#This Row],[P]]="20","41080111",_xlfn.XLOOKUP(COMPROMISOS_2025[[#This Row],[concatenado]],PAA[[#All],[RCP-RUBRO]],PAA[[#All],[INDICADOR]],"",0))</f>
        <v>#NAME?</v>
      </c>
      <c r="V2546" s="144" t="str">
        <f t="shared" si="79"/>
        <v>85</v>
      </c>
      <c r="W2546" s="136">
        <f>+COMPROMISOS_2025[[#This Row],[valor_total]]-COMPROMISOS_2025[[#This Row],[total_cancelado]]</f>
        <v>1067625</v>
      </c>
      <c r="X2546" s="136">
        <f>COMPROMISOS_2025[[#This Row],[total_ordenes]]</f>
        <v>1067625</v>
      </c>
      <c r="Y2546" t="str" cm="1">
        <f t="array" aca="1" ref="Y2546" ca="1">IFERROR(_xlfn.XLOOKUP(COMPROMISOS_2025[[#This Row],[concatenado]],PAA[[#All],[RCP-RUBRO]],PAA[[#All],[Actividad3]],VLOOKUP(COMPROMISOS_2025[[#This Row],[Indicador Principal]],$AC$2:$AD$17,2,0),0),"")</f>
        <v/>
      </c>
    </row>
    <row r="2547" spans="1:25" hidden="1" x14ac:dyDescent="0.25">
      <c r="A2547">
        <v>2068</v>
      </c>
      <c r="B2547" t="s">
        <v>2491</v>
      </c>
      <c r="C2547" t="s">
        <v>1936</v>
      </c>
      <c r="D2547" t="s">
        <v>3575</v>
      </c>
      <c r="F2547">
        <v>405</v>
      </c>
      <c r="G2547">
        <v>65</v>
      </c>
      <c r="H2547" t="s">
        <v>662</v>
      </c>
      <c r="I2547" t="s">
        <v>2271</v>
      </c>
      <c r="J2547">
        <v>4270500</v>
      </c>
      <c r="K2547">
        <v>2025</v>
      </c>
      <c r="L2547">
        <v>71318489</v>
      </c>
      <c r="M2547" t="s">
        <v>4200</v>
      </c>
      <c r="N2547" t="s">
        <v>1688</v>
      </c>
      <c r="O2547" t="s">
        <v>1686</v>
      </c>
      <c r="P2547">
        <v>0</v>
      </c>
      <c r="Q2547">
        <v>4270500</v>
      </c>
      <c r="R2547">
        <v>0</v>
      </c>
      <c r="S2547">
        <v>0</v>
      </c>
      <c r="T2547" t="str">
        <f t="shared" si="78"/>
        <v>20682.43.4302.85.0-205128.2.3.3.08.06.</v>
      </c>
      <c r="U2547" t="e" cm="1">
        <f t="array" aca="1" ref="U2547" ca="1">+IF(COMPROMISOS_2025[[#This Row],[P]]="20","41080111",_xlfn.XLOOKUP(COMPROMISOS_2025[[#This Row],[concatenado]],PAA[[#All],[RCP-RUBRO]],PAA[[#All],[INDICADOR]],"",0))</f>
        <v>#NAME?</v>
      </c>
      <c r="V2547" s="144" t="str">
        <f t="shared" si="79"/>
        <v>85</v>
      </c>
      <c r="W2547" s="136">
        <f>+COMPROMISOS_2025[[#This Row],[valor_total]]-COMPROMISOS_2025[[#This Row],[total_cancelado]]</f>
        <v>4270500</v>
      </c>
      <c r="X2547" s="136">
        <f>COMPROMISOS_2025[[#This Row],[total_ordenes]]</f>
        <v>4270500</v>
      </c>
      <c r="Y2547" t="str" cm="1">
        <f t="array" aca="1" ref="Y2547" ca="1">IFERROR(_xlfn.XLOOKUP(COMPROMISOS_2025[[#This Row],[concatenado]],PAA[[#All],[RCP-RUBRO]],PAA[[#All],[Actividad3]],VLOOKUP(COMPROMISOS_2025[[#This Row],[Indicador Principal]],$AC$2:$AD$17,2,0),0),"")</f>
        <v/>
      </c>
    </row>
    <row r="2548" spans="1:25" hidden="1" x14ac:dyDescent="0.25">
      <c r="A2548">
        <v>2069</v>
      </c>
      <c r="B2548" t="s">
        <v>2491</v>
      </c>
      <c r="C2548" t="s">
        <v>1936</v>
      </c>
      <c r="D2548" t="s">
        <v>3575</v>
      </c>
      <c r="F2548">
        <v>405</v>
      </c>
      <c r="G2548">
        <v>65</v>
      </c>
      <c r="H2548" t="s">
        <v>662</v>
      </c>
      <c r="I2548" t="s">
        <v>2271</v>
      </c>
      <c r="J2548">
        <v>1067625</v>
      </c>
      <c r="K2548">
        <v>2025</v>
      </c>
      <c r="L2548">
        <v>71332309</v>
      </c>
      <c r="M2548" t="s">
        <v>4201</v>
      </c>
      <c r="N2548" t="s">
        <v>1688</v>
      </c>
      <c r="O2548" t="s">
        <v>1686</v>
      </c>
      <c r="P2548">
        <v>0</v>
      </c>
      <c r="Q2548">
        <v>1067625</v>
      </c>
      <c r="R2548">
        <v>0</v>
      </c>
      <c r="S2548">
        <v>0</v>
      </c>
      <c r="T2548" t="str">
        <f t="shared" si="78"/>
        <v>20692.43.4302.85.0-205128.2.3.3.08.06.</v>
      </c>
      <c r="U2548" t="e" cm="1">
        <f t="array" aca="1" ref="U2548" ca="1">+IF(COMPROMISOS_2025[[#This Row],[P]]="20","41080111",_xlfn.XLOOKUP(COMPROMISOS_2025[[#This Row],[concatenado]],PAA[[#All],[RCP-RUBRO]],PAA[[#All],[INDICADOR]],"",0))</f>
        <v>#NAME?</v>
      </c>
      <c r="V2548" s="144" t="str">
        <f t="shared" si="79"/>
        <v>85</v>
      </c>
      <c r="W2548" s="136">
        <f>+COMPROMISOS_2025[[#This Row],[valor_total]]-COMPROMISOS_2025[[#This Row],[total_cancelado]]</f>
        <v>1067625</v>
      </c>
      <c r="X2548" s="136">
        <f>COMPROMISOS_2025[[#This Row],[total_ordenes]]</f>
        <v>1067625</v>
      </c>
      <c r="Y2548" t="str" cm="1">
        <f t="array" aca="1" ref="Y2548" ca="1">IFERROR(_xlfn.XLOOKUP(COMPROMISOS_2025[[#This Row],[concatenado]],PAA[[#All],[RCP-RUBRO]],PAA[[#All],[Actividad3]],VLOOKUP(COMPROMISOS_2025[[#This Row],[Indicador Principal]],$AC$2:$AD$17,2,0),0),"")</f>
        <v/>
      </c>
    </row>
    <row r="2549" spans="1:25" hidden="1" x14ac:dyDescent="0.25">
      <c r="A2549">
        <v>2070</v>
      </c>
      <c r="B2549" t="s">
        <v>2491</v>
      </c>
      <c r="C2549" t="s">
        <v>1936</v>
      </c>
      <c r="D2549" t="s">
        <v>3575</v>
      </c>
      <c r="F2549">
        <v>405</v>
      </c>
      <c r="G2549">
        <v>65</v>
      </c>
      <c r="H2549" t="s">
        <v>662</v>
      </c>
      <c r="I2549" t="s">
        <v>2271</v>
      </c>
      <c r="J2549">
        <v>711750</v>
      </c>
      <c r="K2549">
        <v>2025</v>
      </c>
      <c r="L2549">
        <v>71352797</v>
      </c>
      <c r="M2549" t="s">
        <v>4202</v>
      </c>
      <c r="N2549" t="s">
        <v>1688</v>
      </c>
      <c r="O2549" t="s">
        <v>1686</v>
      </c>
      <c r="P2549">
        <v>0</v>
      </c>
      <c r="Q2549">
        <v>711750</v>
      </c>
      <c r="R2549">
        <v>0</v>
      </c>
      <c r="S2549">
        <v>0</v>
      </c>
      <c r="T2549" t="str">
        <f t="shared" si="78"/>
        <v>20702.43.4302.85.0-205128.2.3.3.08.06.</v>
      </c>
      <c r="U2549" t="e" cm="1">
        <f t="array" aca="1" ref="U2549" ca="1">+IF(COMPROMISOS_2025[[#This Row],[P]]="20","41080111",_xlfn.XLOOKUP(COMPROMISOS_2025[[#This Row],[concatenado]],PAA[[#All],[RCP-RUBRO]],PAA[[#All],[INDICADOR]],"",0))</f>
        <v>#NAME?</v>
      </c>
      <c r="V2549" s="144" t="str">
        <f t="shared" si="79"/>
        <v>85</v>
      </c>
      <c r="W2549" s="136">
        <f>+COMPROMISOS_2025[[#This Row],[valor_total]]-COMPROMISOS_2025[[#This Row],[total_cancelado]]</f>
        <v>711750</v>
      </c>
      <c r="X2549" s="136">
        <f>COMPROMISOS_2025[[#This Row],[total_ordenes]]</f>
        <v>711750</v>
      </c>
      <c r="Y2549" t="str" cm="1">
        <f t="array" aca="1" ref="Y2549" ca="1">IFERROR(_xlfn.XLOOKUP(COMPROMISOS_2025[[#This Row],[concatenado]],PAA[[#All],[RCP-RUBRO]],PAA[[#All],[Actividad3]],VLOOKUP(COMPROMISOS_2025[[#This Row],[Indicador Principal]],$AC$2:$AD$17,2,0),0),"")</f>
        <v/>
      </c>
    </row>
    <row r="2550" spans="1:25" hidden="1" x14ac:dyDescent="0.25">
      <c r="A2550">
        <v>2072</v>
      </c>
      <c r="B2550" t="s">
        <v>2491</v>
      </c>
      <c r="C2550" t="s">
        <v>1936</v>
      </c>
      <c r="D2550" t="s">
        <v>3575</v>
      </c>
      <c r="F2550">
        <v>405</v>
      </c>
      <c r="G2550">
        <v>65</v>
      </c>
      <c r="H2550" t="s">
        <v>662</v>
      </c>
      <c r="I2550" t="s">
        <v>2271</v>
      </c>
      <c r="J2550">
        <v>1423500</v>
      </c>
      <c r="K2550">
        <v>2025</v>
      </c>
      <c r="L2550">
        <v>71397245</v>
      </c>
      <c r="M2550" t="s">
        <v>4203</v>
      </c>
      <c r="N2550" t="s">
        <v>1688</v>
      </c>
      <c r="O2550" t="s">
        <v>1686</v>
      </c>
      <c r="P2550">
        <v>0</v>
      </c>
      <c r="Q2550">
        <v>1423500</v>
      </c>
      <c r="R2550">
        <v>0</v>
      </c>
      <c r="S2550">
        <v>0</v>
      </c>
      <c r="T2550" t="str">
        <f t="shared" si="78"/>
        <v>20722.43.4302.85.0-205128.2.3.3.08.06.</v>
      </c>
      <c r="U2550" t="e" cm="1">
        <f t="array" aca="1" ref="U2550" ca="1">+IF(COMPROMISOS_2025[[#This Row],[P]]="20","41080111",_xlfn.XLOOKUP(COMPROMISOS_2025[[#This Row],[concatenado]],PAA[[#All],[RCP-RUBRO]],PAA[[#All],[INDICADOR]],"",0))</f>
        <v>#NAME?</v>
      </c>
      <c r="V2550" s="144" t="str">
        <f t="shared" si="79"/>
        <v>85</v>
      </c>
      <c r="W2550" s="136">
        <f>+COMPROMISOS_2025[[#This Row],[valor_total]]-COMPROMISOS_2025[[#This Row],[total_cancelado]]</f>
        <v>1423500</v>
      </c>
      <c r="X2550" s="136">
        <f>COMPROMISOS_2025[[#This Row],[total_ordenes]]</f>
        <v>1423500</v>
      </c>
      <c r="Y2550" t="str" cm="1">
        <f t="array" aca="1" ref="Y2550" ca="1">IFERROR(_xlfn.XLOOKUP(COMPROMISOS_2025[[#This Row],[concatenado]],PAA[[#All],[RCP-RUBRO]],PAA[[#All],[Actividad3]],VLOOKUP(COMPROMISOS_2025[[#This Row],[Indicador Principal]],$AC$2:$AD$17,2,0),0),"")</f>
        <v/>
      </c>
    </row>
    <row r="2551" spans="1:25" hidden="1" x14ac:dyDescent="0.25">
      <c r="A2551">
        <v>2073</v>
      </c>
      <c r="B2551" t="s">
        <v>2491</v>
      </c>
      <c r="C2551" t="s">
        <v>1936</v>
      </c>
      <c r="D2551" t="s">
        <v>3575</v>
      </c>
      <c r="F2551">
        <v>405</v>
      </c>
      <c r="G2551">
        <v>65</v>
      </c>
      <c r="H2551" t="s">
        <v>662</v>
      </c>
      <c r="I2551" t="s">
        <v>2271</v>
      </c>
      <c r="J2551">
        <v>1067625</v>
      </c>
      <c r="K2551">
        <v>2025</v>
      </c>
      <c r="L2551">
        <v>71705850</v>
      </c>
      <c r="M2551" t="s">
        <v>4204</v>
      </c>
      <c r="N2551" t="s">
        <v>1688</v>
      </c>
      <c r="O2551" t="s">
        <v>1686</v>
      </c>
      <c r="P2551">
        <v>0</v>
      </c>
      <c r="Q2551">
        <v>1067625</v>
      </c>
      <c r="R2551">
        <v>0</v>
      </c>
      <c r="S2551">
        <v>0</v>
      </c>
      <c r="T2551" t="str">
        <f t="shared" si="78"/>
        <v>20732.43.4302.85.0-205128.2.3.3.08.06.</v>
      </c>
      <c r="U2551" t="e" cm="1">
        <f t="array" aca="1" ref="U2551" ca="1">+IF(COMPROMISOS_2025[[#This Row],[P]]="20","41080111",_xlfn.XLOOKUP(COMPROMISOS_2025[[#This Row],[concatenado]],PAA[[#All],[RCP-RUBRO]],PAA[[#All],[INDICADOR]],"",0))</f>
        <v>#NAME?</v>
      </c>
      <c r="V2551" s="144" t="str">
        <f t="shared" si="79"/>
        <v>85</v>
      </c>
      <c r="W2551" s="136">
        <f>+COMPROMISOS_2025[[#This Row],[valor_total]]-COMPROMISOS_2025[[#This Row],[total_cancelado]]</f>
        <v>1067625</v>
      </c>
      <c r="X2551" s="136">
        <f>COMPROMISOS_2025[[#This Row],[total_ordenes]]</f>
        <v>1067625</v>
      </c>
      <c r="Y2551" t="str" cm="1">
        <f t="array" aca="1" ref="Y2551" ca="1">IFERROR(_xlfn.XLOOKUP(COMPROMISOS_2025[[#This Row],[concatenado]],PAA[[#All],[RCP-RUBRO]],PAA[[#All],[Actividad3]],VLOOKUP(COMPROMISOS_2025[[#This Row],[Indicador Principal]],$AC$2:$AD$17,2,0),0),"")</f>
        <v/>
      </c>
    </row>
    <row r="2552" spans="1:25" hidden="1" x14ac:dyDescent="0.25">
      <c r="A2552">
        <v>2074</v>
      </c>
      <c r="B2552" t="s">
        <v>2491</v>
      </c>
      <c r="C2552" t="s">
        <v>1936</v>
      </c>
      <c r="D2552" t="s">
        <v>3575</v>
      </c>
      <c r="F2552">
        <v>405</v>
      </c>
      <c r="G2552">
        <v>65</v>
      </c>
      <c r="H2552" t="s">
        <v>662</v>
      </c>
      <c r="I2552" t="s">
        <v>2271</v>
      </c>
      <c r="J2552">
        <v>1423500</v>
      </c>
      <c r="K2552">
        <v>2025</v>
      </c>
      <c r="L2552">
        <v>71759760</v>
      </c>
      <c r="M2552" t="s">
        <v>3926</v>
      </c>
      <c r="N2552" t="s">
        <v>1688</v>
      </c>
      <c r="O2552" t="s">
        <v>1686</v>
      </c>
      <c r="P2552">
        <v>0</v>
      </c>
      <c r="Q2552">
        <v>1423500</v>
      </c>
      <c r="R2552">
        <v>0</v>
      </c>
      <c r="S2552">
        <v>0</v>
      </c>
      <c r="T2552" t="str">
        <f t="shared" si="78"/>
        <v>20742.43.4302.85.0-205128.2.3.3.08.06.</v>
      </c>
      <c r="U2552" t="e" cm="1">
        <f t="array" aca="1" ref="U2552" ca="1">+IF(COMPROMISOS_2025[[#This Row],[P]]="20","41080111",_xlfn.XLOOKUP(COMPROMISOS_2025[[#This Row],[concatenado]],PAA[[#All],[RCP-RUBRO]],PAA[[#All],[INDICADOR]],"",0))</f>
        <v>#NAME?</v>
      </c>
      <c r="V2552" s="144" t="str">
        <f t="shared" si="79"/>
        <v>85</v>
      </c>
      <c r="W2552" s="136">
        <f>+COMPROMISOS_2025[[#This Row],[valor_total]]-COMPROMISOS_2025[[#This Row],[total_cancelado]]</f>
        <v>1423500</v>
      </c>
      <c r="X2552" s="136">
        <f>COMPROMISOS_2025[[#This Row],[total_ordenes]]</f>
        <v>1423500</v>
      </c>
      <c r="Y2552" t="str" cm="1">
        <f t="array" aca="1" ref="Y2552" ca="1">IFERROR(_xlfn.XLOOKUP(COMPROMISOS_2025[[#This Row],[concatenado]],PAA[[#All],[RCP-RUBRO]],PAA[[#All],[Actividad3]],VLOOKUP(COMPROMISOS_2025[[#This Row],[Indicador Principal]],$AC$2:$AD$17,2,0),0),"")</f>
        <v/>
      </c>
    </row>
    <row r="2553" spans="1:25" hidden="1" x14ac:dyDescent="0.25">
      <c r="A2553">
        <v>2075</v>
      </c>
      <c r="B2553" t="s">
        <v>2491</v>
      </c>
      <c r="C2553" t="s">
        <v>1936</v>
      </c>
      <c r="D2553" t="s">
        <v>3575</v>
      </c>
      <c r="F2553">
        <v>405</v>
      </c>
      <c r="G2553">
        <v>65</v>
      </c>
      <c r="H2553" t="s">
        <v>662</v>
      </c>
      <c r="I2553" t="s">
        <v>2271</v>
      </c>
      <c r="J2553">
        <v>1423500</v>
      </c>
      <c r="K2553">
        <v>2025</v>
      </c>
      <c r="L2553">
        <v>71760275</v>
      </c>
      <c r="M2553" t="s">
        <v>4205</v>
      </c>
      <c r="N2553" t="s">
        <v>1688</v>
      </c>
      <c r="O2553" t="s">
        <v>1686</v>
      </c>
      <c r="P2553">
        <v>0</v>
      </c>
      <c r="Q2553">
        <v>1423500</v>
      </c>
      <c r="R2553">
        <v>0</v>
      </c>
      <c r="S2553">
        <v>0</v>
      </c>
      <c r="T2553" t="str">
        <f t="shared" si="78"/>
        <v>20752.43.4302.85.0-205128.2.3.3.08.06.</v>
      </c>
      <c r="U2553" t="e" cm="1">
        <f t="array" aca="1" ref="U2553" ca="1">+IF(COMPROMISOS_2025[[#This Row],[P]]="20","41080111",_xlfn.XLOOKUP(COMPROMISOS_2025[[#This Row],[concatenado]],PAA[[#All],[RCP-RUBRO]],PAA[[#All],[INDICADOR]],"",0))</f>
        <v>#NAME?</v>
      </c>
      <c r="V2553" s="144" t="str">
        <f t="shared" si="79"/>
        <v>85</v>
      </c>
      <c r="W2553" s="136">
        <f>+COMPROMISOS_2025[[#This Row],[valor_total]]-COMPROMISOS_2025[[#This Row],[total_cancelado]]</f>
        <v>1423500</v>
      </c>
      <c r="X2553" s="136">
        <f>COMPROMISOS_2025[[#This Row],[total_ordenes]]</f>
        <v>1423500</v>
      </c>
      <c r="Y2553" t="str" cm="1">
        <f t="array" aca="1" ref="Y2553" ca="1">IFERROR(_xlfn.XLOOKUP(COMPROMISOS_2025[[#This Row],[concatenado]],PAA[[#All],[RCP-RUBRO]],PAA[[#All],[Actividad3]],VLOOKUP(COMPROMISOS_2025[[#This Row],[Indicador Principal]],$AC$2:$AD$17,2,0),0),"")</f>
        <v/>
      </c>
    </row>
    <row r="2554" spans="1:25" hidden="1" x14ac:dyDescent="0.25">
      <c r="A2554">
        <v>2076</v>
      </c>
      <c r="B2554" t="s">
        <v>2491</v>
      </c>
      <c r="C2554" t="s">
        <v>1936</v>
      </c>
      <c r="D2554" t="s">
        <v>3575</v>
      </c>
      <c r="F2554">
        <v>405</v>
      </c>
      <c r="G2554">
        <v>65</v>
      </c>
      <c r="H2554" t="s">
        <v>662</v>
      </c>
      <c r="I2554" t="s">
        <v>2271</v>
      </c>
      <c r="J2554">
        <v>1423500</v>
      </c>
      <c r="K2554">
        <v>2025</v>
      </c>
      <c r="L2554">
        <v>71786321</v>
      </c>
      <c r="M2554" t="s">
        <v>4206</v>
      </c>
      <c r="N2554" t="s">
        <v>1688</v>
      </c>
      <c r="O2554" t="s">
        <v>1686</v>
      </c>
      <c r="P2554">
        <v>0</v>
      </c>
      <c r="Q2554">
        <v>1423500</v>
      </c>
      <c r="R2554">
        <v>0</v>
      </c>
      <c r="S2554">
        <v>0</v>
      </c>
      <c r="T2554" t="str">
        <f t="shared" si="78"/>
        <v>20762.43.4302.85.0-205128.2.3.3.08.06.</v>
      </c>
      <c r="U2554" t="e" cm="1">
        <f t="array" aca="1" ref="U2554" ca="1">+IF(COMPROMISOS_2025[[#This Row],[P]]="20","41080111",_xlfn.XLOOKUP(COMPROMISOS_2025[[#This Row],[concatenado]],PAA[[#All],[RCP-RUBRO]],PAA[[#All],[INDICADOR]],"",0))</f>
        <v>#NAME?</v>
      </c>
      <c r="V2554" s="144" t="str">
        <f t="shared" si="79"/>
        <v>85</v>
      </c>
      <c r="W2554" s="136">
        <f>+COMPROMISOS_2025[[#This Row],[valor_total]]-COMPROMISOS_2025[[#This Row],[total_cancelado]]</f>
        <v>1423500</v>
      </c>
      <c r="X2554" s="136">
        <f>COMPROMISOS_2025[[#This Row],[total_ordenes]]</f>
        <v>1423500</v>
      </c>
      <c r="Y2554" t="str" cm="1">
        <f t="array" aca="1" ref="Y2554" ca="1">IFERROR(_xlfn.XLOOKUP(COMPROMISOS_2025[[#This Row],[concatenado]],PAA[[#All],[RCP-RUBRO]],PAA[[#All],[Actividad3]],VLOOKUP(COMPROMISOS_2025[[#This Row],[Indicador Principal]],$AC$2:$AD$17,2,0),0),"")</f>
        <v/>
      </c>
    </row>
    <row r="2555" spans="1:25" hidden="1" x14ac:dyDescent="0.25">
      <c r="A2555">
        <v>2077</v>
      </c>
      <c r="B2555" t="s">
        <v>2491</v>
      </c>
      <c r="C2555" t="s">
        <v>1936</v>
      </c>
      <c r="D2555" t="s">
        <v>3575</v>
      </c>
      <c r="F2555">
        <v>405</v>
      </c>
      <c r="G2555">
        <v>65</v>
      </c>
      <c r="H2555" t="s">
        <v>662</v>
      </c>
      <c r="I2555" t="s">
        <v>2271</v>
      </c>
      <c r="J2555">
        <v>1067625</v>
      </c>
      <c r="K2555">
        <v>2025</v>
      </c>
      <c r="L2555">
        <v>80795082</v>
      </c>
      <c r="M2555" t="s">
        <v>4207</v>
      </c>
      <c r="N2555" t="s">
        <v>1688</v>
      </c>
      <c r="O2555" t="s">
        <v>1686</v>
      </c>
      <c r="P2555">
        <v>0</v>
      </c>
      <c r="Q2555">
        <v>1067625</v>
      </c>
      <c r="R2555">
        <v>0</v>
      </c>
      <c r="S2555">
        <v>0</v>
      </c>
      <c r="T2555" t="str">
        <f t="shared" si="78"/>
        <v>20772.43.4302.85.0-205128.2.3.3.08.06.</v>
      </c>
      <c r="U2555" t="e" cm="1">
        <f t="array" aca="1" ref="U2555" ca="1">+IF(COMPROMISOS_2025[[#This Row],[P]]="20","41080111",_xlfn.XLOOKUP(COMPROMISOS_2025[[#This Row],[concatenado]],PAA[[#All],[RCP-RUBRO]],PAA[[#All],[INDICADOR]],"",0))</f>
        <v>#NAME?</v>
      </c>
      <c r="V2555" s="144" t="str">
        <f t="shared" si="79"/>
        <v>85</v>
      </c>
      <c r="W2555" s="136">
        <f>+COMPROMISOS_2025[[#This Row],[valor_total]]-COMPROMISOS_2025[[#This Row],[total_cancelado]]</f>
        <v>1067625</v>
      </c>
      <c r="X2555" s="136">
        <f>COMPROMISOS_2025[[#This Row],[total_ordenes]]</f>
        <v>1067625</v>
      </c>
      <c r="Y2555" t="str" cm="1">
        <f t="array" aca="1" ref="Y2555" ca="1">IFERROR(_xlfn.XLOOKUP(COMPROMISOS_2025[[#This Row],[concatenado]],PAA[[#All],[RCP-RUBRO]],PAA[[#All],[Actividad3]],VLOOKUP(COMPROMISOS_2025[[#This Row],[Indicador Principal]],$AC$2:$AD$17,2,0),0),"")</f>
        <v/>
      </c>
    </row>
    <row r="2556" spans="1:25" hidden="1" x14ac:dyDescent="0.25">
      <c r="A2556">
        <v>2078</v>
      </c>
      <c r="B2556" t="s">
        <v>2491</v>
      </c>
      <c r="C2556" t="s">
        <v>1936</v>
      </c>
      <c r="D2556" t="s">
        <v>3575</v>
      </c>
      <c r="F2556">
        <v>405</v>
      </c>
      <c r="G2556">
        <v>65</v>
      </c>
      <c r="H2556" t="s">
        <v>662</v>
      </c>
      <c r="I2556" t="s">
        <v>2271</v>
      </c>
      <c r="J2556">
        <v>1067625</v>
      </c>
      <c r="K2556">
        <v>2025</v>
      </c>
      <c r="L2556">
        <v>98525398</v>
      </c>
      <c r="M2556" t="s">
        <v>4208</v>
      </c>
      <c r="N2556" t="s">
        <v>1688</v>
      </c>
      <c r="O2556" t="s">
        <v>1686</v>
      </c>
      <c r="P2556">
        <v>0</v>
      </c>
      <c r="Q2556">
        <v>1067625</v>
      </c>
      <c r="R2556">
        <v>0</v>
      </c>
      <c r="S2556">
        <v>0</v>
      </c>
      <c r="T2556" t="str">
        <f t="shared" si="78"/>
        <v>20782.43.4302.85.0-205128.2.3.3.08.06.</v>
      </c>
      <c r="U2556" t="e" cm="1">
        <f t="array" aca="1" ref="U2556" ca="1">+IF(COMPROMISOS_2025[[#This Row],[P]]="20","41080111",_xlfn.XLOOKUP(COMPROMISOS_2025[[#This Row],[concatenado]],PAA[[#All],[RCP-RUBRO]],PAA[[#All],[INDICADOR]],"",0))</f>
        <v>#NAME?</v>
      </c>
      <c r="V2556" s="144" t="str">
        <f t="shared" si="79"/>
        <v>85</v>
      </c>
      <c r="W2556" s="136">
        <f>+COMPROMISOS_2025[[#This Row],[valor_total]]-COMPROMISOS_2025[[#This Row],[total_cancelado]]</f>
        <v>1067625</v>
      </c>
      <c r="X2556" s="136">
        <f>COMPROMISOS_2025[[#This Row],[total_ordenes]]</f>
        <v>1067625</v>
      </c>
      <c r="Y2556" t="str" cm="1">
        <f t="array" aca="1" ref="Y2556" ca="1">IFERROR(_xlfn.XLOOKUP(COMPROMISOS_2025[[#This Row],[concatenado]],PAA[[#All],[RCP-RUBRO]],PAA[[#All],[Actividad3]],VLOOKUP(COMPROMISOS_2025[[#This Row],[Indicador Principal]],$AC$2:$AD$17,2,0),0),"")</f>
        <v/>
      </c>
    </row>
    <row r="2557" spans="1:25" hidden="1" x14ac:dyDescent="0.25">
      <c r="A2557">
        <v>2079</v>
      </c>
      <c r="B2557" t="s">
        <v>2491</v>
      </c>
      <c r="C2557" t="s">
        <v>1936</v>
      </c>
      <c r="D2557" t="s">
        <v>3575</v>
      </c>
      <c r="F2557">
        <v>405</v>
      </c>
      <c r="G2557">
        <v>65</v>
      </c>
      <c r="H2557" t="s">
        <v>662</v>
      </c>
      <c r="I2557" t="s">
        <v>2271</v>
      </c>
      <c r="J2557">
        <v>1067625</v>
      </c>
      <c r="K2557">
        <v>2025</v>
      </c>
      <c r="L2557">
        <v>98603973</v>
      </c>
      <c r="M2557" t="s">
        <v>3927</v>
      </c>
      <c r="N2557" t="s">
        <v>1688</v>
      </c>
      <c r="O2557" t="s">
        <v>1686</v>
      </c>
      <c r="P2557">
        <v>0</v>
      </c>
      <c r="Q2557">
        <v>1067625</v>
      </c>
      <c r="R2557">
        <v>0</v>
      </c>
      <c r="S2557">
        <v>0</v>
      </c>
      <c r="T2557" t="str">
        <f t="shared" si="78"/>
        <v>20792.43.4302.85.0-205128.2.3.3.08.06.</v>
      </c>
      <c r="U2557" t="e" cm="1">
        <f t="array" aca="1" ref="U2557" ca="1">+IF(COMPROMISOS_2025[[#This Row],[P]]="20","41080111",_xlfn.XLOOKUP(COMPROMISOS_2025[[#This Row],[concatenado]],PAA[[#All],[RCP-RUBRO]],PAA[[#All],[INDICADOR]],"",0))</f>
        <v>#NAME?</v>
      </c>
      <c r="V2557" s="144" t="str">
        <f t="shared" si="79"/>
        <v>85</v>
      </c>
      <c r="W2557" s="136">
        <f>+COMPROMISOS_2025[[#This Row],[valor_total]]-COMPROMISOS_2025[[#This Row],[total_cancelado]]</f>
        <v>1067625</v>
      </c>
      <c r="X2557" s="136">
        <f>COMPROMISOS_2025[[#This Row],[total_ordenes]]</f>
        <v>1067625</v>
      </c>
      <c r="Y2557" t="str" cm="1">
        <f t="array" aca="1" ref="Y2557" ca="1">IFERROR(_xlfn.XLOOKUP(COMPROMISOS_2025[[#This Row],[concatenado]],PAA[[#All],[RCP-RUBRO]],PAA[[#All],[Actividad3]],VLOOKUP(COMPROMISOS_2025[[#This Row],[Indicador Principal]],$AC$2:$AD$17,2,0),0),"")</f>
        <v/>
      </c>
    </row>
    <row r="2558" spans="1:25" hidden="1" x14ac:dyDescent="0.25">
      <c r="A2558">
        <v>2080</v>
      </c>
      <c r="B2558" t="s">
        <v>2491</v>
      </c>
      <c r="C2558" t="s">
        <v>1936</v>
      </c>
      <c r="D2558" t="s">
        <v>3575</v>
      </c>
      <c r="F2558">
        <v>405</v>
      </c>
      <c r="G2558">
        <v>65</v>
      </c>
      <c r="H2558" t="s">
        <v>662</v>
      </c>
      <c r="I2558" t="s">
        <v>2271</v>
      </c>
      <c r="J2558">
        <v>1067625</v>
      </c>
      <c r="K2558">
        <v>2025</v>
      </c>
      <c r="L2558">
        <v>98699344</v>
      </c>
      <c r="M2558" t="s">
        <v>4209</v>
      </c>
      <c r="N2558" t="s">
        <v>1688</v>
      </c>
      <c r="O2558" t="s">
        <v>1686</v>
      </c>
      <c r="P2558">
        <v>0</v>
      </c>
      <c r="Q2558">
        <v>1067625</v>
      </c>
      <c r="R2558">
        <v>0</v>
      </c>
      <c r="S2558">
        <v>0</v>
      </c>
      <c r="T2558" t="str">
        <f t="shared" si="78"/>
        <v>20802.43.4302.85.0-205128.2.3.3.08.06.</v>
      </c>
      <c r="U2558" t="e" cm="1">
        <f t="array" aca="1" ref="U2558" ca="1">+IF(COMPROMISOS_2025[[#This Row],[P]]="20","41080111",_xlfn.XLOOKUP(COMPROMISOS_2025[[#This Row],[concatenado]],PAA[[#All],[RCP-RUBRO]],PAA[[#All],[INDICADOR]],"",0))</f>
        <v>#NAME?</v>
      </c>
      <c r="V2558" s="144" t="str">
        <f t="shared" si="79"/>
        <v>85</v>
      </c>
      <c r="W2558" s="136">
        <f>+COMPROMISOS_2025[[#This Row],[valor_total]]-COMPROMISOS_2025[[#This Row],[total_cancelado]]</f>
        <v>1067625</v>
      </c>
      <c r="X2558" s="136">
        <f>COMPROMISOS_2025[[#This Row],[total_ordenes]]</f>
        <v>1067625</v>
      </c>
      <c r="Y2558" t="str" cm="1">
        <f t="array" aca="1" ref="Y2558" ca="1">IFERROR(_xlfn.XLOOKUP(COMPROMISOS_2025[[#This Row],[concatenado]],PAA[[#All],[RCP-RUBRO]],PAA[[#All],[Actividad3]],VLOOKUP(COMPROMISOS_2025[[#This Row],[Indicador Principal]],$AC$2:$AD$17,2,0),0),"")</f>
        <v/>
      </c>
    </row>
    <row r="2559" spans="1:25" hidden="1" x14ac:dyDescent="0.25">
      <c r="A2559">
        <v>2081</v>
      </c>
      <c r="B2559" t="s">
        <v>2491</v>
      </c>
      <c r="C2559" t="s">
        <v>1936</v>
      </c>
      <c r="D2559" t="s">
        <v>3575</v>
      </c>
      <c r="F2559">
        <v>405</v>
      </c>
      <c r="G2559">
        <v>65</v>
      </c>
      <c r="H2559" t="s">
        <v>662</v>
      </c>
      <c r="I2559" t="s">
        <v>2271</v>
      </c>
      <c r="J2559">
        <v>1423500</v>
      </c>
      <c r="K2559">
        <v>2025</v>
      </c>
      <c r="L2559">
        <v>98702359</v>
      </c>
      <c r="M2559" t="s">
        <v>4210</v>
      </c>
      <c r="N2559" t="s">
        <v>1688</v>
      </c>
      <c r="O2559" t="s">
        <v>1686</v>
      </c>
      <c r="P2559">
        <v>0</v>
      </c>
      <c r="Q2559">
        <v>1423500</v>
      </c>
      <c r="R2559">
        <v>0</v>
      </c>
      <c r="S2559">
        <v>0</v>
      </c>
      <c r="T2559" t="str">
        <f t="shared" si="78"/>
        <v>20812.43.4302.85.0-205128.2.3.3.08.06.</v>
      </c>
      <c r="U2559" t="e" cm="1">
        <f t="array" aca="1" ref="U2559" ca="1">+IF(COMPROMISOS_2025[[#This Row],[P]]="20","41080111",_xlfn.XLOOKUP(COMPROMISOS_2025[[#This Row],[concatenado]],PAA[[#All],[RCP-RUBRO]],PAA[[#All],[INDICADOR]],"",0))</f>
        <v>#NAME?</v>
      </c>
      <c r="V2559" s="144" t="str">
        <f t="shared" si="79"/>
        <v>85</v>
      </c>
      <c r="W2559" s="136">
        <f>+COMPROMISOS_2025[[#This Row],[valor_total]]-COMPROMISOS_2025[[#This Row],[total_cancelado]]</f>
        <v>1423500</v>
      </c>
      <c r="X2559" s="136">
        <f>COMPROMISOS_2025[[#This Row],[total_ordenes]]</f>
        <v>1423500</v>
      </c>
      <c r="Y2559" t="str" cm="1">
        <f t="array" aca="1" ref="Y2559" ca="1">IFERROR(_xlfn.XLOOKUP(COMPROMISOS_2025[[#This Row],[concatenado]],PAA[[#All],[RCP-RUBRO]],PAA[[#All],[Actividad3]],VLOOKUP(COMPROMISOS_2025[[#This Row],[Indicador Principal]],$AC$2:$AD$17,2,0),0),"")</f>
        <v/>
      </c>
    </row>
    <row r="2560" spans="1:25" hidden="1" x14ac:dyDescent="0.25">
      <c r="A2560">
        <v>2082</v>
      </c>
      <c r="B2560" t="s">
        <v>2491</v>
      </c>
      <c r="C2560" t="s">
        <v>1936</v>
      </c>
      <c r="D2560" t="s">
        <v>3575</v>
      </c>
      <c r="F2560">
        <v>405</v>
      </c>
      <c r="G2560">
        <v>65</v>
      </c>
      <c r="H2560" t="s">
        <v>662</v>
      </c>
      <c r="I2560" t="s">
        <v>2271</v>
      </c>
      <c r="J2560">
        <v>1423500</v>
      </c>
      <c r="K2560">
        <v>2025</v>
      </c>
      <c r="L2560">
        <v>98710243</v>
      </c>
      <c r="M2560" t="s">
        <v>4211</v>
      </c>
      <c r="N2560" t="s">
        <v>1688</v>
      </c>
      <c r="O2560" t="s">
        <v>1686</v>
      </c>
      <c r="P2560">
        <v>0</v>
      </c>
      <c r="Q2560">
        <v>1423500</v>
      </c>
      <c r="R2560">
        <v>0</v>
      </c>
      <c r="S2560">
        <v>0</v>
      </c>
      <c r="T2560" t="str">
        <f t="shared" si="78"/>
        <v>20822.43.4302.85.0-205128.2.3.3.08.06.</v>
      </c>
      <c r="U2560" t="e" cm="1">
        <f t="array" aca="1" ref="U2560" ca="1">+IF(COMPROMISOS_2025[[#This Row],[P]]="20","41080111",_xlfn.XLOOKUP(COMPROMISOS_2025[[#This Row],[concatenado]],PAA[[#All],[RCP-RUBRO]],PAA[[#All],[INDICADOR]],"",0))</f>
        <v>#NAME?</v>
      </c>
      <c r="V2560" s="144" t="str">
        <f t="shared" si="79"/>
        <v>85</v>
      </c>
      <c r="W2560" s="136">
        <f>+COMPROMISOS_2025[[#This Row],[valor_total]]-COMPROMISOS_2025[[#This Row],[total_cancelado]]</f>
        <v>1423500</v>
      </c>
      <c r="X2560" s="136">
        <f>COMPROMISOS_2025[[#This Row],[total_ordenes]]</f>
        <v>1423500</v>
      </c>
      <c r="Y2560" t="str" cm="1">
        <f t="array" aca="1" ref="Y2560" ca="1">IFERROR(_xlfn.XLOOKUP(COMPROMISOS_2025[[#This Row],[concatenado]],PAA[[#All],[RCP-RUBRO]],PAA[[#All],[Actividad3]],VLOOKUP(COMPROMISOS_2025[[#This Row],[Indicador Principal]],$AC$2:$AD$17,2,0),0),"")</f>
        <v/>
      </c>
    </row>
    <row r="2561" spans="1:25" hidden="1" x14ac:dyDescent="0.25">
      <c r="A2561">
        <v>2084</v>
      </c>
      <c r="B2561" t="s">
        <v>2491</v>
      </c>
      <c r="C2561" t="s">
        <v>1936</v>
      </c>
      <c r="D2561" t="s">
        <v>3575</v>
      </c>
      <c r="F2561">
        <v>405</v>
      </c>
      <c r="G2561">
        <v>65</v>
      </c>
      <c r="H2561" t="s">
        <v>662</v>
      </c>
      <c r="I2561" t="s">
        <v>2271</v>
      </c>
      <c r="J2561">
        <v>2847000</v>
      </c>
      <c r="K2561">
        <v>2025</v>
      </c>
      <c r="L2561">
        <v>98764366</v>
      </c>
      <c r="M2561" t="s">
        <v>4212</v>
      </c>
      <c r="N2561" t="s">
        <v>1688</v>
      </c>
      <c r="O2561" t="s">
        <v>1686</v>
      </c>
      <c r="P2561">
        <v>0</v>
      </c>
      <c r="Q2561">
        <v>2847000</v>
      </c>
      <c r="R2561">
        <v>0</v>
      </c>
      <c r="S2561">
        <v>0</v>
      </c>
      <c r="T2561" t="str">
        <f t="shared" si="78"/>
        <v>20842.43.4302.85.0-205128.2.3.3.08.06.</v>
      </c>
      <c r="U2561" t="e" cm="1">
        <f t="array" aca="1" ref="U2561" ca="1">+IF(COMPROMISOS_2025[[#This Row],[P]]="20","41080111",_xlfn.XLOOKUP(COMPROMISOS_2025[[#This Row],[concatenado]],PAA[[#All],[RCP-RUBRO]],PAA[[#All],[INDICADOR]],"",0))</f>
        <v>#NAME?</v>
      </c>
      <c r="V2561" s="144" t="str">
        <f t="shared" si="79"/>
        <v>85</v>
      </c>
      <c r="W2561" s="136">
        <f>+COMPROMISOS_2025[[#This Row],[valor_total]]-COMPROMISOS_2025[[#This Row],[total_cancelado]]</f>
        <v>2847000</v>
      </c>
      <c r="X2561" s="136">
        <f>COMPROMISOS_2025[[#This Row],[total_ordenes]]</f>
        <v>2847000</v>
      </c>
      <c r="Y2561" t="str" cm="1">
        <f t="array" aca="1" ref="Y2561" ca="1">IFERROR(_xlfn.XLOOKUP(COMPROMISOS_2025[[#This Row],[concatenado]],PAA[[#All],[RCP-RUBRO]],PAA[[#All],[Actividad3]],VLOOKUP(COMPROMISOS_2025[[#This Row],[Indicador Principal]],$AC$2:$AD$17,2,0),0),"")</f>
        <v/>
      </c>
    </row>
    <row r="2562" spans="1:25" hidden="1" x14ac:dyDescent="0.25">
      <c r="A2562">
        <v>2085</v>
      </c>
      <c r="B2562" t="s">
        <v>2491</v>
      </c>
      <c r="C2562" t="s">
        <v>1936</v>
      </c>
      <c r="D2562" t="s">
        <v>3575</v>
      </c>
      <c r="F2562">
        <v>405</v>
      </c>
      <c r="G2562">
        <v>65</v>
      </c>
      <c r="H2562" t="s">
        <v>662</v>
      </c>
      <c r="I2562" t="s">
        <v>2271</v>
      </c>
      <c r="J2562">
        <v>1423500</v>
      </c>
      <c r="K2562">
        <v>2025</v>
      </c>
      <c r="L2562">
        <v>1000085770</v>
      </c>
      <c r="M2562" t="s">
        <v>3928</v>
      </c>
      <c r="N2562" t="s">
        <v>1688</v>
      </c>
      <c r="O2562" t="s">
        <v>1686</v>
      </c>
      <c r="P2562">
        <v>0</v>
      </c>
      <c r="Q2562">
        <v>1423500</v>
      </c>
      <c r="R2562">
        <v>0</v>
      </c>
      <c r="S2562">
        <v>0</v>
      </c>
      <c r="T2562" t="str">
        <f t="shared" ref="T2562:T2625" si="80">IF(A2562&gt;=0,CONCATENATE(A2562,H2562),"")</f>
        <v>20852.43.4302.85.0-205128.2.3.3.08.06.</v>
      </c>
      <c r="U2562" t="e" cm="1">
        <f t="array" aca="1" ref="U2562" ca="1">+IF(COMPROMISOS_2025[[#This Row],[P]]="20","41080111",_xlfn.XLOOKUP(COMPROMISOS_2025[[#This Row],[concatenado]],PAA[[#All],[RCP-RUBRO]],PAA[[#All],[INDICADOR]],"",0))</f>
        <v>#NAME?</v>
      </c>
      <c r="V2562" s="144" t="str">
        <f t="shared" ref="V2562:V2625" si="81">+MID(H2562,11,2)</f>
        <v>85</v>
      </c>
      <c r="W2562" s="136">
        <f>+COMPROMISOS_2025[[#This Row],[valor_total]]-COMPROMISOS_2025[[#This Row],[total_cancelado]]</f>
        <v>1423500</v>
      </c>
      <c r="X2562" s="136">
        <f>COMPROMISOS_2025[[#This Row],[total_ordenes]]</f>
        <v>1423500</v>
      </c>
      <c r="Y2562" t="str" cm="1">
        <f t="array" aca="1" ref="Y2562" ca="1">IFERROR(_xlfn.XLOOKUP(COMPROMISOS_2025[[#This Row],[concatenado]],PAA[[#All],[RCP-RUBRO]],PAA[[#All],[Actividad3]],VLOOKUP(COMPROMISOS_2025[[#This Row],[Indicador Principal]],$AC$2:$AD$17,2,0),0),"")</f>
        <v/>
      </c>
    </row>
    <row r="2563" spans="1:25" hidden="1" x14ac:dyDescent="0.25">
      <c r="A2563">
        <v>2086</v>
      </c>
      <c r="B2563" t="s">
        <v>2491</v>
      </c>
      <c r="C2563" t="s">
        <v>1936</v>
      </c>
      <c r="D2563" t="s">
        <v>3575</v>
      </c>
      <c r="F2563">
        <v>405</v>
      </c>
      <c r="G2563">
        <v>65</v>
      </c>
      <c r="H2563" t="s">
        <v>662</v>
      </c>
      <c r="I2563" t="s">
        <v>2271</v>
      </c>
      <c r="J2563">
        <v>711750</v>
      </c>
      <c r="K2563">
        <v>2025</v>
      </c>
      <c r="L2563">
        <v>1000086050</v>
      </c>
      <c r="M2563" t="s">
        <v>4213</v>
      </c>
      <c r="N2563" t="s">
        <v>1688</v>
      </c>
      <c r="O2563" t="s">
        <v>1686</v>
      </c>
      <c r="P2563">
        <v>0</v>
      </c>
      <c r="Q2563">
        <v>711750</v>
      </c>
      <c r="R2563">
        <v>0</v>
      </c>
      <c r="S2563">
        <v>0</v>
      </c>
      <c r="T2563" t="str">
        <f t="shared" si="80"/>
        <v>20862.43.4302.85.0-205128.2.3.3.08.06.</v>
      </c>
      <c r="U2563" t="e" cm="1">
        <f t="array" aca="1" ref="U2563" ca="1">+IF(COMPROMISOS_2025[[#This Row],[P]]="20","41080111",_xlfn.XLOOKUP(COMPROMISOS_2025[[#This Row],[concatenado]],PAA[[#All],[RCP-RUBRO]],PAA[[#All],[INDICADOR]],"",0))</f>
        <v>#NAME?</v>
      </c>
      <c r="V2563" s="144" t="str">
        <f t="shared" si="81"/>
        <v>85</v>
      </c>
      <c r="W2563" s="136">
        <f>+COMPROMISOS_2025[[#This Row],[valor_total]]-COMPROMISOS_2025[[#This Row],[total_cancelado]]</f>
        <v>711750</v>
      </c>
      <c r="X2563" s="136">
        <f>COMPROMISOS_2025[[#This Row],[total_ordenes]]</f>
        <v>711750</v>
      </c>
      <c r="Y2563" t="str" cm="1">
        <f t="array" aca="1" ref="Y2563" ca="1">IFERROR(_xlfn.XLOOKUP(COMPROMISOS_2025[[#This Row],[concatenado]],PAA[[#All],[RCP-RUBRO]],PAA[[#All],[Actividad3]],VLOOKUP(COMPROMISOS_2025[[#This Row],[Indicador Principal]],$AC$2:$AD$17,2,0),0),"")</f>
        <v/>
      </c>
    </row>
    <row r="2564" spans="1:25" hidden="1" x14ac:dyDescent="0.25">
      <c r="A2564">
        <v>2087</v>
      </c>
      <c r="B2564" t="s">
        <v>2491</v>
      </c>
      <c r="C2564" t="s">
        <v>1936</v>
      </c>
      <c r="D2564" t="s">
        <v>3575</v>
      </c>
      <c r="F2564">
        <v>405</v>
      </c>
      <c r="G2564">
        <v>65</v>
      </c>
      <c r="H2564" t="s">
        <v>662</v>
      </c>
      <c r="I2564" t="s">
        <v>2271</v>
      </c>
      <c r="J2564">
        <v>2847000</v>
      </c>
      <c r="K2564">
        <v>2025</v>
      </c>
      <c r="L2564">
        <v>1000087228</v>
      </c>
      <c r="M2564" t="s">
        <v>3929</v>
      </c>
      <c r="N2564" t="s">
        <v>1688</v>
      </c>
      <c r="O2564" t="s">
        <v>1686</v>
      </c>
      <c r="P2564">
        <v>0</v>
      </c>
      <c r="Q2564">
        <v>2847000</v>
      </c>
      <c r="R2564">
        <v>0</v>
      </c>
      <c r="S2564">
        <v>0</v>
      </c>
      <c r="T2564" t="str">
        <f t="shared" si="80"/>
        <v>20872.43.4302.85.0-205128.2.3.3.08.06.</v>
      </c>
      <c r="U2564" t="e" cm="1">
        <f t="array" aca="1" ref="U2564" ca="1">+IF(COMPROMISOS_2025[[#This Row],[P]]="20","41080111",_xlfn.XLOOKUP(COMPROMISOS_2025[[#This Row],[concatenado]],PAA[[#All],[RCP-RUBRO]],PAA[[#All],[INDICADOR]],"",0))</f>
        <v>#NAME?</v>
      </c>
      <c r="V2564" s="144" t="str">
        <f t="shared" si="81"/>
        <v>85</v>
      </c>
      <c r="W2564" s="136">
        <f>+COMPROMISOS_2025[[#This Row],[valor_total]]-COMPROMISOS_2025[[#This Row],[total_cancelado]]</f>
        <v>2847000</v>
      </c>
      <c r="X2564" s="136">
        <f>COMPROMISOS_2025[[#This Row],[total_ordenes]]</f>
        <v>2847000</v>
      </c>
      <c r="Y2564" t="str" cm="1">
        <f t="array" aca="1" ref="Y2564" ca="1">IFERROR(_xlfn.XLOOKUP(COMPROMISOS_2025[[#This Row],[concatenado]],PAA[[#All],[RCP-RUBRO]],PAA[[#All],[Actividad3]],VLOOKUP(COMPROMISOS_2025[[#This Row],[Indicador Principal]],$AC$2:$AD$17,2,0),0),"")</f>
        <v/>
      </c>
    </row>
    <row r="2565" spans="1:25" hidden="1" x14ac:dyDescent="0.25">
      <c r="A2565">
        <v>2089</v>
      </c>
      <c r="B2565" t="s">
        <v>2491</v>
      </c>
      <c r="C2565" t="s">
        <v>1936</v>
      </c>
      <c r="D2565" t="s">
        <v>3575</v>
      </c>
      <c r="F2565">
        <v>405</v>
      </c>
      <c r="G2565">
        <v>65</v>
      </c>
      <c r="H2565" t="s">
        <v>662</v>
      </c>
      <c r="I2565" t="s">
        <v>2271</v>
      </c>
      <c r="J2565">
        <v>1067625</v>
      </c>
      <c r="K2565">
        <v>2025</v>
      </c>
      <c r="L2565">
        <v>1000090441</v>
      </c>
      <c r="M2565" t="s">
        <v>4214</v>
      </c>
      <c r="N2565" t="s">
        <v>1688</v>
      </c>
      <c r="O2565" t="s">
        <v>1686</v>
      </c>
      <c r="P2565">
        <v>0</v>
      </c>
      <c r="Q2565">
        <v>1067625</v>
      </c>
      <c r="R2565">
        <v>0</v>
      </c>
      <c r="S2565">
        <v>0</v>
      </c>
      <c r="T2565" t="str">
        <f t="shared" si="80"/>
        <v>20892.43.4302.85.0-205128.2.3.3.08.06.</v>
      </c>
      <c r="U2565" t="e" cm="1">
        <f t="array" aca="1" ref="U2565" ca="1">+IF(COMPROMISOS_2025[[#This Row],[P]]="20","41080111",_xlfn.XLOOKUP(COMPROMISOS_2025[[#This Row],[concatenado]],PAA[[#All],[RCP-RUBRO]],PAA[[#All],[INDICADOR]],"",0))</f>
        <v>#NAME?</v>
      </c>
      <c r="V2565" s="144" t="str">
        <f t="shared" si="81"/>
        <v>85</v>
      </c>
      <c r="W2565" s="136">
        <f>+COMPROMISOS_2025[[#This Row],[valor_total]]-COMPROMISOS_2025[[#This Row],[total_cancelado]]</f>
        <v>1067625</v>
      </c>
      <c r="X2565" s="136">
        <f>COMPROMISOS_2025[[#This Row],[total_ordenes]]</f>
        <v>1067625</v>
      </c>
      <c r="Y2565" t="str" cm="1">
        <f t="array" aca="1" ref="Y2565" ca="1">IFERROR(_xlfn.XLOOKUP(COMPROMISOS_2025[[#This Row],[concatenado]],PAA[[#All],[RCP-RUBRO]],PAA[[#All],[Actividad3]],VLOOKUP(COMPROMISOS_2025[[#This Row],[Indicador Principal]],$AC$2:$AD$17,2,0),0),"")</f>
        <v/>
      </c>
    </row>
    <row r="2566" spans="1:25" hidden="1" x14ac:dyDescent="0.25">
      <c r="A2566">
        <v>2091</v>
      </c>
      <c r="B2566" t="s">
        <v>2491</v>
      </c>
      <c r="C2566" t="s">
        <v>1936</v>
      </c>
      <c r="D2566" t="s">
        <v>3575</v>
      </c>
      <c r="F2566">
        <v>405</v>
      </c>
      <c r="G2566">
        <v>65</v>
      </c>
      <c r="H2566" t="s">
        <v>662</v>
      </c>
      <c r="I2566" t="s">
        <v>2271</v>
      </c>
      <c r="J2566">
        <v>1067625</v>
      </c>
      <c r="K2566">
        <v>2025</v>
      </c>
      <c r="L2566">
        <v>1000098258</v>
      </c>
      <c r="M2566" t="s">
        <v>4215</v>
      </c>
      <c r="N2566" t="s">
        <v>1688</v>
      </c>
      <c r="O2566" t="s">
        <v>1686</v>
      </c>
      <c r="P2566">
        <v>0</v>
      </c>
      <c r="Q2566">
        <v>1067625</v>
      </c>
      <c r="R2566">
        <v>0</v>
      </c>
      <c r="S2566">
        <v>0</v>
      </c>
      <c r="T2566" t="str">
        <f t="shared" si="80"/>
        <v>20912.43.4302.85.0-205128.2.3.3.08.06.</v>
      </c>
      <c r="U2566" t="e" cm="1">
        <f t="array" aca="1" ref="U2566" ca="1">+IF(COMPROMISOS_2025[[#This Row],[P]]="20","41080111",_xlfn.XLOOKUP(COMPROMISOS_2025[[#This Row],[concatenado]],PAA[[#All],[RCP-RUBRO]],PAA[[#All],[INDICADOR]],"",0))</f>
        <v>#NAME?</v>
      </c>
      <c r="V2566" s="144" t="str">
        <f t="shared" si="81"/>
        <v>85</v>
      </c>
      <c r="W2566" s="136">
        <f>+COMPROMISOS_2025[[#This Row],[valor_total]]-COMPROMISOS_2025[[#This Row],[total_cancelado]]</f>
        <v>1067625</v>
      </c>
      <c r="X2566" s="136">
        <f>COMPROMISOS_2025[[#This Row],[total_ordenes]]</f>
        <v>1067625</v>
      </c>
      <c r="Y2566" t="str" cm="1">
        <f t="array" aca="1" ref="Y2566" ca="1">IFERROR(_xlfn.XLOOKUP(COMPROMISOS_2025[[#This Row],[concatenado]],PAA[[#All],[RCP-RUBRO]],PAA[[#All],[Actividad3]],VLOOKUP(COMPROMISOS_2025[[#This Row],[Indicador Principal]],$AC$2:$AD$17,2,0),0),"")</f>
        <v/>
      </c>
    </row>
    <row r="2567" spans="1:25" hidden="1" x14ac:dyDescent="0.25">
      <c r="A2567">
        <v>2092</v>
      </c>
      <c r="B2567" t="s">
        <v>2491</v>
      </c>
      <c r="C2567" t="s">
        <v>1936</v>
      </c>
      <c r="D2567" t="s">
        <v>3575</v>
      </c>
      <c r="F2567">
        <v>405</v>
      </c>
      <c r="G2567">
        <v>65</v>
      </c>
      <c r="H2567" t="s">
        <v>662</v>
      </c>
      <c r="I2567" t="s">
        <v>2271</v>
      </c>
      <c r="J2567">
        <v>711750</v>
      </c>
      <c r="K2567">
        <v>2025</v>
      </c>
      <c r="L2567">
        <v>1000100459</v>
      </c>
      <c r="M2567" t="s">
        <v>4216</v>
      </c>
      <c r="N2567" t="s">
        <v>1688</v>
      </c>
      <c r="O2567" t="s">
        <v>1686</v>
      </c>
      <c r="P2567">
        <v>0</v>
      </c>
      <c r="Q2567">
        <v>711750</v>
      </c>
      <c r="R2567">
        <v>0</v>
      </c>
      <c r="S2567">
        <v>0</v>
      </c>
      <c r="T2567" t="str">
        <f t="shared" si="80"/>
        <v>20922.43.4302.85.0-205128.2.3.3.08.06.</v>
      </c>
      <c r="U2567" t="e" cm="1">
        <f t="array" aca="1" ref="U2567" ca="1">+IF(COMPROMISOS_2025[[#This Row],[P]]="20","41080111",_xlfn.XLOOKUP(COMPROMISOS_2025[[#This Row],[concatenado]],PAA[[#All],[RCP-RUBRO]],PAA[[#All],[INDICADOR]],"",0))</f>
        <v>#NAME?</v>
      </c>
      <c r="V2567" s="144" t="str">
        <f t="shared" si="81"/>
        <v>85</v>
      </c>
      <c r="W2567" s="136">
        <f>+COMPROMISOS_2025[[#This Row],[valor_total]]-COMPROMISOS_2025[[#This Row],[total_cancelado]]</f>
        <v>711750</v>
      </c>
      <c r="X2567" s="136">
        <f>COMPROMISOS_2025[[#This Row],[total_ordenes]]</f>
        <v>711750</v>
      </c>
      <c r="Y2567" t="str" cm="1">
        <f t="array" aca="1" ref="Y2567" ca="1">IFERROR(_xlfn.XLOOKUP(COMPROMISOS_2025[[#This Row],[concatenado]],PAA[[#All],[RCP-RUBRO]],PAA[[#All],[Actividad3]],VLOOKUP(COMPROMISOS_2025[[#This Row],[Indicador Principal]],$AC$2:$AD$17,2,0),0),"")</f>
        <v/>
      </c>
    </row>
    <row r="2568" spans="1:25" hidden="1" x14ac:dyDescent="0.25">
      <c r="A2568">
        <v>2093</v>
      </c>
      <c r="B2568" t="s">
        <v>2491</v>
      </c>
      <c r="C2568" t="s">
        <v>1936</v>
      </c>
      <c r="D2568" t="s">
        <v>3575</v>
      </c>
      <c r="F2568">
        <v>405</v>
      </c>
      <c r="G2568">
        <v>65</v>
      </c>
      <c r="H2568" t="s">
        <v>662</v>
      </c>
      <c r="I2568" t="s">
        <v>2271</v>
      </c>
      <c r="J2568">
        <v>1067625</v>
      </c>
      <c r="K2568">
        <v>2025</v>
      </c>
      <c r="L2568">
        <v>1000101188</v>
      </c>
      <c r="M2568" t="s">
        <v>4217</v>
      </c>
      <c r="N2568" t="s">
        <v>1688</v>
      </c>
      <c r="O2568" t="s">
        <v>1686</v>
      </c>
      <c r="P2568">
        <v>0</v>
      </c>
      <c r="Q2568">
        <v>1067625</v>
      </c>
      <c r="R2568">
        <v>0</v>
      </c>
      <c r="S2568">
        <v>0</v>
      </c>
      <c r="T2568" t="str">
        <f t="shared" si="80"/>
        <v>20932.43.4302.85.0-205128.2.3.3.08.06.</v>
      </c>
      <c r="U2568" t="e" cm="1">
        <f t="array" aca="1" ref="U2568" ca="1">+IF(COMPROMISOS_2025[[#This Row],[P]]="20","41080111",_xlfn.XLOOKUP(COMPROMISOS_2025[[#This Row],[concatenado]],PAA[[#All],[RCP-RUBRO]],PAA[[#All],[INDICADOR]],"",0))</f>
        <v>#NAME?</v>
      </c>
      <c r="V2568" s="144" t="str">
        <f t="shared" si="81"/>
        <v>85</v>
      </c>
      <c r="W2568" s="136">
        <f>+COMPROMISOS_2025[[#This Row],[valor_total]]-COMPROMISOS_2025[[#This Row],[total_cancelado]]</f>
        <v>1067625</v>
      </c>
      <c r="X2568" s="136">
        <f>COMPROMISOS_2025[[#This Row],[total_ordenes]]</f>
        <v>1067625</v>
      </c>
      <c r="Y2568" t="str" cm="1">
        <f t="array" aca="1" ref="Y2568" ca="1">IFERROR(_xlfn.XLOOKUP(COMPROMISOS_2025[[#This Row],[concatenado]],PAA[[#All],[RCP-RUBRO]],PAA[[#All],[Actividad3]],VLOOKUP(COMPROMISOS_2025[[#This Row],[Indicador Principal]],$AC$2:$AD$17,2,0),0),"")</f>
        <v/>
      </c>
    </row>
    <row r="2569" spans="1:25" hidden="1" x14ac:dyDescent="0.25">
      <c r="A2569">
        <v>2094</v>
      </c>
      <c r="B2569" t="s">
        <v>2491</v>
      </c>
      <c r="C2569" t="s">
        <v>1936</v>
      </c>
      <c r="D2569" t="s">
        <v>3575</v>
      </c>
      <c r="F2569">
        <v>405</v>
      </c>
      <c r="G2569">
        <v>65</v>
      </c>
      <c r="H2569" t="s">
        <v>662</v>
      </c>
      <c r="I2569" t="s">
        <v>2271</v>
      </c>
      <c r="J2569">
        <v>1067625</v>
      </c>
      <c r="K2569">
        <v>2025</v>
      </c>
      <c r="L2569">
        <v>1000188667</v>
      </c>
      <c r="M2569" t="s">
        <v>3930</v>
      </c>
      <c r="N2569" t="s">
        <v>1688</v>
      </c>
      <c r="O2569" t="s">
        <v>1686</v>
      </c>
      <c r="P2569">
        <v>0</v>
      </c>
      <c r="Q2569">
        <v>1067625</v>
      </c>
      <c r="R2569">
        <v>0</v>
      </c>
      <c r="S2569">
        <v>0</v>
      </c>
      <c r="T2569" t="str">
        <f t="shared" si="80"/>
        <v>20942.43.4302.85.0-205128.2.3.3.08.06.</v>
      </c>
      <c r="U2569" t="e" cm="1">
        <f t="array" aca="1" ref="U2569" ca="1">+IF(COMPROMISOS_2025[[#This Row],[P]]="20","41080111",_xlfn.XLOOKUP(COMPROMISOS_2025[[#This Row],[concatenado]],PAA[[#All],[RCP-RUBRO]],PAA[[#All],[INDICADOR]],"",0))</f>
        <v>#NAME?</v>
      </c>
      <c r="V2569" s="144" t="str">
        <f t="shared" si="81"/>
        <v>85</v>
      </c>
      <c r="W2569" s="136">
        <f>+COMPROMISOS_2025[[#This Row],[valor_total]]-COMPROMISOS_2025[[#This Row],[total_cancelado]]</f>
        <v>1067625</v>
      </c>
      <c r="X2569" s="136">
        <f>COMPROMISOS_2025[[#This Row],[total_ordenes]]</f>
        <v>1067625</v>
      </c>
      <c r="Y2569" t="str" cm="1">
        <f t="array" aca="1" ref="Y2569" ca="1">IFERROR(_xlfn.XLOOKUP(COMPROMISOS_2025[[#This Row],[concatenado]],PAA[[#All],[RCP-RUBRO]],PAA[[#All],[Actividad3]],VLOOKUP(COMPROMISOS_2025[[#This Row],[Indicador Principal]],$AC$2:$AD$17,2,0),0),"")</f>
        <v/>
      </c>
    </row>
    <row r="2570" spans="1:25" hidden="1" x14ac:dyDescent="0.25">
      <c r="A2570">
        <v>2095</v>
      </c>
      <c r="B2570" t="s">
        <v>2491</v>
      </c>
      <c r="C2570" t="s">
        <v>1936</v>
      </c>
      <c r="D2570" t="s">
        <v>3575</v>
      </c>
      <c r="F2570">
        <v>405</v>
      </c>
      <c r="G2570">
        <v>65</v>
      </c>
      <c r="H2570" t="s">
        <v>662</v>
      </c>
      <c r="I2570" t="s">
        <v>2271</v>
      </c>
      <c r="J2570">
        <v>1423500</v>
      </c>
      <c r="K2570">
        <v>2025</v>
      </c>
      <c r="L2570">
        <v>1000188912</v>
      </c>
      <c r="M2570" t="s">
        <v>3931</v>
      </c>
      <c r="N2570" t="s">
        <v>1688</v>
      </c>
      <c r="O2570" t="s">
        <v>1686</v>
      </c>
      <c r="P2570">
        <v>0</v>
      </c>
      <c r="Q2570">
        <v>1423500</v>
      </c>
      <c r="R2570">
        <v>0</v>
      </c>
      <c r="S2570">
        <v>0</v>
      </c>
      <c r="T2570" t="str">
        <f t="shared" si="80"/>
        <v>20952.43.4302.85.0-205128.2.3.3.08.06.</v>
      </c>
      <c r="U2570" t="e" cm="1">
        <f t="array" aca="1" ref="U2570" ca="1">+IF(COMPROMISOS_2025[[#This Row],[P]]="20","41080111",_xlfn.XLOOKUP(COMPROMISOS_2025[[#This Row],[concatenado]],PAA[[#All],[RCP-RUBRO]],PAA[[#All],[INDICADOR]],"",0))</f>
        <v>#NAME?</v>
      </c>
      <c r="V2570" s="144" t="str">
        <f t="shared" si="81"/>
        <v>85</v>
      </c>
      <c r="W2570" s="136">
        <f>+COMPROMISOS_2025[[#This Row],[valor_total]]-COMPROMISOS_2025[[#This Row],[total_cancelado]]</f>
        <v>1423500</v>
      </c>
      <c r="X2570" s="136">
        <f>COMPROMISOS_2025[[#This Row],[total_ordenes]]</f>
        <v>1423500</v>
      </c>
      <c r="Y2570" t="str" cm="1">
        <f t="array" aca="1" ref="Y2570" ca="1">IFERROR(_xlfn.XLOOKUP(COMPROMISOS_2025[[#This Row],[concatenado]],PAA[[#All],[RCP-RUBRO]],PAA[[#All],[Actividad3]],VLOOKUP(COMPROMISOS_2025[[#This Row],[Indicador Principal]],$AC$2:$AD$17,2,0),0),"")</f>
        <v/>
      </c>
    </row>
    <row r="2571" spans="1:25" hidden="1" x14ac:dyDescent="0.25">
      <c r="A2571">
        <v>2096</v>
      </c>
      <c r="B2571" t="s">
        <v>2491</v>
      </c>
      <c r="C2571" t="s">
        <v>1936</v>
      </c>
      <c r="D2571" t="s">
        <v>3575</v>
      </c>
      <c r="F2571">
        <v>405</v>
      </c>
      <c r="G2571">
        <v>65</v>
      </c>
      <c r="H2571" t="s">
        <v>662</v>
      </c>
      <c r="I2571" t="s">
        <v>2271</v>
      </c>
      <c r="J2571">
        <v>1423500</v>
      </c>
      <c r="K2571">
        <v>2025</v>
      </c>
      <c r="L2571">
        <v>1000189220</v>
      </c>
      <c r="M2571" t="s">
        <v>4218</v>
      </c>
      <c r="N2571" t="s">
        <v>1688</v>
      </c>
      <c r="O2571" t="s">
        <v>1686</v>
      </c>
      <c r="P2571">
        <v>0</v>
      </c>
      <c r="Q2571">
        <v>1423500</v>
      </c>
      <c r="R2571">
        <v>0</v>
      </c>
      <c r="S2571">
        <v>0</v>
      </c>
      <c r="T2571" t="str">
        <f t="shared" si="80"/>
        <v>20962.43.4302.85.0-205128.2.3.3.08.06.</v>
      </c>
      <c r="U2571" t="e" cm="1">
        <f t="array" aca="1" ref="U2571" ca="1">+IF(COMPROMISOS_2025[[#This Row],[P]]="20","41080111",_xlfn.XLOOKUP(COMPROMISOS_2025[[#This Row],[concatenado]],PAA[[#All],[RCP-RUBRO]],PAA[[#All],[INDICADOR]],"",0))</f>
        <v>#NAME?</v>
      </c>
      <c r="V2571" s="144" t="str">
        <f t="shared" si="81"/>
        <v>85</v>
      </c>
      <c r="W2571" s="136">
        <f>+COMPROMISOS_2025[[#This Row],[valor_total]]-COMPROMISOS_2025[[#This Row],[total_cancelado]]</f>
        <v>1423500</v>
      </c>
      <c r="X2571" s="136">
        <f>COMPROMISOS_2025[[#This Row],[total_ordenes]]</f>
        <v>1423500</v>
      </c>
      <c r="Y2571" t="str" cm="1">
        <f t="array" aca="1" ref="Y2571" ca="1">IFERROR(_xlfn.XLOOKUP(COMPROMISOS_2025[[#This Row],[concatenado]],PAA[[#All],[RCP-RUBRO]],PAA[[#All],[Actividad3]],VLOOKUP(COMPROMISOS_2025[[#This Row],[Indicador Principal]],$AC$2:$AD$17,2,0),0),"")</f>
        <v/>
      </c>
    </row>
    <row r="2572" spans="1:25" hidden="1" x14ac:dyDescent="0.25">
      <c r="A2572">
        <v>2097</v>
      </c>
      <c r="B2572" t="s">
        <v>2491</v>
      </c>
      <c r="C2572" t="s">
        <v>1936</v>
      </c>
      <c r="D2572" t="s">
        <v>3575</v>
      </c>
      <c r="F2572">
        <v>405</v>
      </c>
      <c r="G2572">
        <v>65</v>
      </c>
      <c r="H2572" t="s">
        <v>662</v>
      </c>
      <c r="I2572" t="s">
        <v>2271</v>
      </c>
      <c r="J2572">
        <v>711750</v>
      </c>
      <c r="K2572">
        <v>2025</v>
      </c>
      <c r="L2572">
        <v>1000194225</v>
      </c>
      <c r="M2572" t="s">
        <v>4219</v>
      </c>
      <c r="N2572" t="s">
        <v>1688</v>
      </c>
      <c r="O2572" t="s">
        <v>1686</v>
      </c>
      <c r="P2572">
        <v>0</v>
      </c>
      <c r="Q2572">
        <v>711750</v>
      </c>
      <c r="R2572">
        <v>0</v>
      </c>
      <c r="S2572">
        <v>0</v>
      </c>
      <c r="T2572" t="str">
        <f t="shared" si="80"/>
        <v>20972.43.4302.85.0-205128.2.3.3.08.06.</v>
      </c>
      <c r="U2572" t="e" cm="1">
        <f t="array" aca="1" ref="U2572" ca="1">+IF(COMPROMISOS_2025[[#This Row],[P]]="20","41080111",_xlfn.XLOOKUP(COMPROMISOS_2025[[#This Row],[concatenado]],PAA[[#All],[RCP-RUBRO]],PAA[[#All],[INDICADOR]],"",0))</f>
        <v>#NAME?</v>
      </c>
      <c r="V2572" s="144" t="str">
        <f t="shared" si="81"/>
        <v>85</v>
      </c>
      <c r="W2572" s="136">
        <f>+COMPROMISOS_2025[[#This Row],[valor_total]]-COMPROMISOS_2025[[#This Row],[total_cancelado]]</f>
        <v>711750</v>
      </c>
      <c r="X2572" s="136">
        <f>COMPROMISOS_2025[[#This Row],[total_ordenes]]</f>
        <v>711750</v>
      </c>
      <c r="Y2572" t="str" cm="1">
        <f t="array" aca="1" ref="Y2572" ca="1">IFERROR(_xlfn.XLOOKUP(COMPROMISOS_2025[[#This Row],[concatenado]],PAA[[#All],[RCP-RUBRO]],PAA[[#All],[Actividad3]],VLOOKUP(COMPROMISOS_2025[[#This Row],[Indicador Principal]],$AC$2:$AD$17,2,0),0),"")</f>
        <v/>
      </c>
    </row>
    <row r="2573" spans="1:25" hidden="1" x14ac:dyDescent="0.25">
      <c r="A2573">
        <v>2098</v>
      </c>
      <c r="B2573" t="s">
        <v>2491</v>
      </c>
      <c r="C2573" t="s">
        <v>1936</v>
      </c>
      <c r="D2573" t="s">
        <v>3575</v>
      </c>
      <c r="F2573">
        <v>405</v>
      </c>
      <c r="G2573">
        <v>65</v>
      </c>
      <c r="H2573" t="s">
        <v>662</v>
      </c>
      <c r="I2573" t="s">
        <v>2271</v>
      </c>
      <c r="J2573">
        <v>711750</v>
      </c>
      <c r="K2573">
        <v>2025</v>
      </c>
      <c r="L2573">
        <v>1000225884</v>
      </c>
      <c r="M2573" t="s">
        <v>4220</v>
      </c>
      <c r="N2573" t="s">
        <v>1688</v>
      </c>
      <c r="O2573" t="s">
        <v>1686</v>
      </c>
      <c r="P2573">
        <v>0</v>
      </c>
      <c r="Q2573">
        <v>711750</v>
      </c>
      <c r="R2573">
        <v>0</v>
      </c>
      <c r="S2573">
        <v>0</v>
      </c>
      <c r="T2573" t="str">
        <f t="shared" si="80"/>
        <v>20982.43.4302.85.0-205128.2.3.3.08.06.</v>
      </c>
      <c r="U2573" t="e" cm="1">
        <f t="array" aca="1" ref="U2573" ca="1">+IF(COMPROMISOS_2025[[#This Row],[P]]="20","41080111",_xlfn.XLOOKUP(COMPROMISOS_2025[[#This Row],[concatenado]],PAA[[#All],[RCP-RUBRO]],PAA[[#All],[INDICADOR]],"",0))</f>
        <v>#NAME?</v>
      </c>
      <c r="V2573" s="144" t="str">
        <f t="shared" si="81"/>
        <v>85</v>
      </c>
      <c r="W2573" s="136">
        <f>+COMPROMISOS_2025[[#This Row],[valor_total]]-COMPROMISOS_2025[[#This Row],[total_cancelado]]</f>
        <v>711750</v>
      </c>
      <c r="X2573" s="136">
        <f>COMPROMISOS_2025[[#This Row],[total_ordenes]]</f>
        <v>711750</v>
      </c>
      <c r="Y2573" t="str" cm="1">
        <f t="array" aca="1" ref="Y2573" ca="1">IFERROR(_xlfn.XLOOKUP(COMPROMISOS_2025[[#This Row],[concatenado]],PAA[[#All],[RCP-RUBRO]],PAA[[#All],[Actividad3]],VLOOKUP(COMPROMISOS_2025[[#This Row],[Indicador Principal]],$AC$2:$AD$17,2,0),0),"")</f>
        <v/>
      </c>
    </row>
    <row r="2574" spans="1:25" hidden="1" x14ac:dyDescent="0.25">
      <c r="A2574">
        <v>2100</v>
      </c>
      <c r="B2574" t="s">
        <v>2491</v>
      </c>
      <c r="C2574" t="s">
        <v>1936</v>
      </c>
      <c r="D2574" t="s">
        <v>3575</v>
      </c>
      <c r="F2574">
        <v>405</v>
      </c>
      <c r="G2574">
        <v>65</v>
      </c>
      <c r="H2574" t="s">
        <v>662</v>
      </c>
      <c r="I2574" t="s">
        <v>2271</v>
      </c>
      <c r="J2574">
        <v>4270500</v>
      </c>
      <c r="K2574">
        <v>2025</v>
      </c>
      <c r="L2574">
        <v>1000305283</v>
      </c>
      <c r="M2574" t="s">
        <v>4221</v>
      </c>
      <c r="N2574" t="s">
        <v>1688</v>
      </c>
      <c r="O2574" t="s">
        <v>1686</v>
      </c>
      <c r="P2574">
        <v>0</v>
      </c>
      <c r="Q2574">
        <v>4270500</v>
      </c>
      <c r="R2574">
        <v>0</v>
      </c>
      <c r="S2574">
        <v>0</v>
      </c>
      <c r="T2574" t="str">
        <f t="shared" si="80"/>
        <v>21002.43.4302.85.0-205128.2.3.3.08.06.</v>
      </c>
      <c r="U2574" t="e" cm="1">
        <f t="array" aca="1" ref="U2574" ca="1">+IF(COMPROMISOS_2025[[#This Row],[P]]="20","41080111",_xlfn.XLOOKUP(COMPROMISOS_2025[[#This Row],[concatenado]],PAA[[#All],[RCP-RUBRO]],PAA[[#All],[INDICADOR]],"",0))</f>
        <v>#NAME?</v>
      </c>
      <c r="V2574" s="144" t="str">
        <f t="shared" si="81"/>
        <v>85</v>
      </c>
      <c r="W2574" s="136">
        <f>+COMPROMISOS_2025[[#This Row],[valor_total]]-COMPROMISOS_2025[[#This Row],[total_cancelado]]</f>
        <v>4270500</v>
      </c>
      <c r="X2574" s="136">
        <f>COMPROMISOS_2025[[#This Row],[total_ordenes]]</f>
        <v>4270500</v>
      </c>
      <c r="Y2574" t="str" cm="1">
        <f t="array" aca="1" ref="Y2574" ca="1">IFERROR(_xlfn.XLOOKUP(COMPROMISOS_2025[[#This Row],[concatenado]],PAA[[#All],[RCP-RUBRO]],PAA[[#All],[Actividad3]],VLOOKUP(COMPROMISOS_2025[[#This Row],[Indicador Principal]],$AC$2:$AD$17,2,0),0),"")</f>
        <v/>
      </c>
    </row>
    <row r="2575" spans="1:25" hidden="1" x14ac:dyDescent="0.25">
      <c r="A2575">
        <v>2101</v>
      </c>
      <c r="B2575" t="s">
        <v>2491</v>
      </c>
      <c r="C2575" t="s">
        <v>1936</v>
      </c>
      <c r="D2575" t="s">
        <v>3575</v>
      </c>
      <c r="F2575">
        <v>405</v>
      </c>
      <c r="G2575">
        <v>65</v>
      </c>
      <c r="H2575" t="s">
        <v>662</v>
      </c>
      <c r="I2575" t="s">
        <v>2271</v>
      </c>
      <c r="J2575">
        <v>6405750</v>
      </c>
      <c r="K2575">
        <v>2025</v>
      </c>
      <c r="L2575">
        <v>1000400343</v>
      </c>
      <c r="M2575" t="s">
        <v>4222</v>
      </c>
      <c r="N2575" t="s">
        <v>1688</v>
      </c>
      <c r="O2575" t="s">
        <v>1686</v>
      </c>
      <c r="P2575">
        <v>0</v>
      </c>
      <c r="Q2575">
        <v>6405750</v>
      </c>
      <c r="R2575">
        <v>0</v>
      </c>
      <c r="S2575">
        <v>0</v>
      </c>
      <c r="T2575" t="str">
        <f t="shared" si="80"/>
        <v>21012.43.4302.85.0-205128.2.3.3.08.06.</v>
      </c>
      <c r="U2575" t="e" cm="1">
        <f t="array" aca="1" ref="U2575" ca="1">+IF(COMPROMISOS_2025[[#This Row],[P]]="20","41080111",_xlfn.XLOOKUP(COMPROMISOS_2025[[#This Row],[concatenado]],PAA[[#All],[RCP-RUBRO]],PAA[[#All],[INDICADOR]],"",0))</f>
        <v>#NAME?</v>
      </c>
      <c r="V2575" s="144" t="str">
        <f t="shared" si="81"/>
        <v>85</v>
      </c>
      <c r="W2575" s="136">
        <f>+COMPROMISOS_2025[[#This Row],[valor_total]]-COMPROMISOS_2025[[#This Row],[total_cancelado]]</f>
        <v>6405750</v>
      </c>
      <c r="X2575" s="136">
        <f>COMPROMISOS_2025[[#This Row],[total_ordenes]]</f>
        <v>6405750</v>
      </c>
      <c r="Y2575" t="str" cm="1">
        <f t="array" aca="1" ref="Y2575" ca="1">IFERROR(_xlfn.XLOOKUP(COMPROMISOS_2025[[#This Row],[concatenado]],PAA[[#All],[RCP-RUBRO]],PAA[[#All],[Actividad3]],VLOOKUP(COMPROMISOS_2025[[#This Row],[Indicador Principal]],$AC$2:$AD$17,2,0),0),"")</f>
        <v/>
      </c>
    </row>
    <row r="2576" spans="1:25" hidden="1" x14ac:dyDescent="0.25">
      <c r="A2576">
        <v>2102</v>
      </c>
      <c r="B2576" t="s">
        <v>2491</v>
      </c>
      <c r="C2576" t="s">
        <v>1936</v>
      </c>
      <c r="D2576" t="s">
        <v>3575</v>
      </c>
      <c r="F2576">
        <v>405</v>
      </c>
      <c r="G2576">
        <v>65</v>
      </c>
      <c r="H2576" t="s">
        <v>662</v>
      </c>
      <c r="I2576" t="s">
        <v>2271</v>
      </c>
      <c r="J2576">
        <v>5694000</v>
      </c>
      <c r="K2576">
        <v>2025</v>
      </c>
      <c r="L2576">
        <v>1000410188</v>
      </c>
      <c r="M2576" t="s">
        <v>3934</v>
      </c>
      <c r="N2576" t="s">
        <v>1688</v>
      </c>
      <c r="O2576" t="s">
        <v>1686</v>
      </c>
      <c r="P2576">
        <v>0</v>
      </c>
      <c r="Q2576">
        <v>5694000</v>
      </c>
      <c r="R2576">
        <v>0</v>
      </c>
      <c r="S2576">
        <v>0</v>
      </c>
      <c r="T2576" t="str">
        <f t="shared" si="80"/>
        <v>21022.43.4302.85.0-205128.2.3.3.08.06.</v>
      </c>
      <c r="U2576" t="e" cm="1">
        <f t="array" aca="1" ref="U2576" ca="1">+IF(COMPROMISOS_2025[[#This Row],[P]]="20","41080111",_xlfn.XLOOKUP(COMPROMISOS_2025[[#This Row],[concatenado]],PAA[[#All],[RCP-RUBRO]],PAA[[#All],[INDICADOR]],"",0))</f>
        <v>#NAME?</v>
      </c>
      <c r="V2576" s="144" t="str">
        <f t="shared" si="81"/>
        <v>85</v>
      </c>
      <c r="W2576" s="136">
        <f>+COMPROMISOS_2025[[#This Row],[valor_total]]-COMPROMISOS_2025[[#This Row],[total_cancelado]]</f>
        <v>5694000</v>
      </c>
      <c r="X2576" s="136">
        <f>COMPROMISOS_2025[[#This Row],[total_ordenes]]</f>
        <v>5694000</v>
      </c>
      <c r="Y2576" t="str" cm="1">
        <f t="array" aca="1" ref="Y2576" ca="1">IFERROR(_xlfn.XLOOKUP(COMPROMISOS_2025[[#This Row],[concatenado]],PAA[[#All],[RCP-RUBRO]],PAA[[#All],[Actividad3]],VLOOKUP(COMPROMISOS_2025[[#This Row],[Indicador Principal]],$AC$2:$AD$17,2,0),0),"")</f>
        <v/>
      </c>
    </row>
    <row r="2577" spans="1:25" hidden="1" x14ac:dyDescent="0.25">
      <c r="A2577">
        <v>2105</v>
      </c>
      <c r="B2577" t="s">
        <v>2491</v>
      </c>
      <c r="C2577" t="s">
        <v>1936</v>
      </c>
      <c r="D2577" t="s">
        <v>3575</v>
      </c>
      <c r="F2577">
        <v>405</v>
      </c>
      <c r="G2577">
        <v>65</v>
      </c>
      <c r="H2577" t="s">
        <v>662</v>
      </c>
      <c r="I2577" t="s">
        <v>2271</v>
      </c>
      <c r="J2577">
        <v>4270500</v>
      </c>
      <c r="K2577">
        <v>2025</v>
      </c>
      <c r="L2577">
        <v>1000412615</v>
      </c>
      <c r="M2577" t="s">
        <v>3935</v>
      </c>
      <c r="N2577" t="s">
        <v>1688</v>
      </c>
      <c r="O2577" t="s">
        <v>1686</v>
      </c>
      <c r="P2577">
        <v>0</v>
      </c>
      <c r="Q2577">
        <v>4270500</v>
      </c>
      <c r="R2577">
        <v>0</v>
      </c>
      <c r="S2577">
        <v>0</v>
      </c>
      <c r="T2577" t="str">
        <f t="shared" si="80"/>
        <v>21052.43.4302.85.0-205128.2.3.3.08.06.</v>
      </c>
      <c r="U2577" t="e" cm="1">
        <f t="array" aca="1" ref="U2577" ca="1">+IF(COMPROMISOS_2025[[#This Row],[P]]="20","41080111",_xlfn.XLOOKUP(COMPROMISOS_2025[[#This Row],[concatenado]],PAA[[#All],[RCP-RUBRO]],PAA[[#All],[INDICADOR]],"",0))</f>
        <v>#NAME?</v>
      </c>
      <c r="V2577" s="144" t="str">
        <f t="shared" si="81"/>
        <v>85</v>
      </c>
      <c r="W2577" s="136">
        <f>+COMPROMISOS_2025[[#This Row],[valor_total]]-COMPROMISOS_2025[[#This Row],[total_cancelado]]</f>
        <v>4270500</v>
      </c>
      <c r="X2577" s="136">
        <f>COMPROMISOS_2025[[#This Row],[total_ordenes]]</f>
        <v>4270500</v>
      </c>
      <c r="Y2577" t="str" cm="1">
        <f t="array" aca="1" ref="Y2577" ca="1">IFERROR(_xlfn.XLOOKUP(COMPROMISOS_2025[[#This Row],[concatenado]],PAA[[#All],[RCP-RUBRO]],PAA[[#All],[Actividad3]],VLOOKUP(COMPROMISOS_2025[[#This Row],[Indicador Principal]],$AC$2:$AD$17,2,0),0),"")</f>
        <v/>
      </c>
    </row>
    <row r="2578" spans="1:25" hidden="1" x14ac:dyDescent="0.25">
      <c r="A2578">
        <v>2106</v>
      </c>
      <c r="B2578" t="s">
        <v>2491</v>
      </c>
      <c r="C2578" t="s">
        <v>1936</v>
      </c>
      <c r="D2578" t="s">
        <v>3575</v>
      </c>
      <c r="F2578">
        <v>405</v>
      </c>
      <c r="G2578">
        <v>65</v>
      </c>
      <c r="H2578" t="s">
        <v>662</v>
      </c>
      <c r="I2578" t="s">
        <v>2271</v>
      </c>
      <c r="J2578">
        <v>711750</v>
      </c>
      <c r="K2578">
        <v>2025</v>
      </c>
      <c r="L2578">
        <v>1000414094</v>
      </c>
      <c r="M2578" t="s">
        <v>4223</v>
      </c>
      <c r="N2578" t="s">
        <v>1688</v>
      </c>
      <c r="O2578" t="s">
        <v>1686</v>
      </c>
      <c r="P2578">
        <v>0</v>
      </c>
      <c r="Q2578">
        <v>711750</v>
      </c>
      <c r="R2578">
        <v>0</v>
      </c>
      <c r="S2578">
        <v>0</v>
      </c>
      <c r="T2578" t="str">
        <f t="shared" si="80"/>
        <v>21062.43.4302.85.0-205128.2.3.3.08.06.</v>
      </c>
      <c r="U2578" t="e" cm="1">
        <f t="array" aca="1" ref="U2578" ca="1">+IF(COMPROMISOS_2025[[#This Row],[P]]="20","41080111",_xlfn.XLOOKUP(COMPROMISOS_2025[[#This Row],[concatenado]],PAA[[#All],[RCP-RUBRO]],PAA[[#All],[INDICADOR]],"",0))</f>
        <v>#NAME?</v>
      </c>
      <c r="V2578" s="144" t="str">
        <f t="shared" si="81"/>
        <v>85</v>
      </c>
      <c r="W2578" s="136">
        <f>+COMPROMISOS_2025[[#This Row],[valor_total]]-COMPROMISOS_2025[[#This Row],[total_cancelado]]</f>
        <v>711750</v>
      </c>
      <c r="X2578" s="136">
        <f>COMPROMISOS_2025[[#This Row],[total_ordenes]]</f>
        <v>711750</v>
      </c>
      <c r="Y2578" t="str" cm="1">
        <f t="array" aca="1" ref="Y2578" ca="1">IFERROR(_xlfn.XLOOKUP(COMPROMISOS_2025[[#This Row],[concatenado]],PAA[[#All],[RCP-RUBRO]],PAA[[#All],[Actividad3]],VLOOKUP(COMPROMISOS_2025[[#This Row],[Indicador Principal]],$AC$2:$AD$17,2,0),0),"")</f>
        <v/>
      </c>
    </row>
    <row r="2579" spans="1:25" hidden="1" x14ac:dyDescent="0.25">
      <c r="A2579">
        <v>2107</v>
      </c>
      <c r="B2579" t="s">
        <v>2491</v>
      </c>
      <c r="C2579" t="s">
        <v>1936</v>
      </c>
      <c r="D2579" t="s">
        <v>3575</v>
      </c>
      <c r="F2579">
        <v>405</v>
      </c>
      <c r="G2579">
        <v>65</v>
      </c>
      <c r="H2579" t="s">
        <v>662</v>
      </c>
      <c r="I2579" t="s">
        <v>2271</v>
      </c>
      <c r="J2579">
        <v>1423500</v>
      </c>
      <c r="K2579">
        <v>2025</v>
      </c>
      <c r="L2579">
        <v>1000532655</v>
      </c>
      <c r="M2579" t="s">
        <v>3937</v>
      </c>
      <c r="N2579" t="s">
        <v>1688</v>
      </c>
      <c r="O2579" t="s">
        <v>1686</v>
      </c>
      <c r="P2579">
        <v>0</v>
      </c>
      <c r="Q2579">
        <v>1423500</v>
      </c>
      <c r="R2579">
        <v>0</v>
      </c>
      <c r="S2579">
        <v>0</v>
      </c>
      <c r="T2579" t="str">
        <f t="shared" si="80"/>
        <v>21072.43.4302.85.0-205128.2.3.3.08.06.</v>
      </c>
      <c r="U2579" t="e" cm="1">
        <f t="array" aca="1" ref="U2579" ca="1">+IF(COMPROMISOS_2025[[#This Row],[P]]="20","41080111",_xlfn.XLOOKUP(COMPROMISOS_2025[[#This Row],[concatenado]],PAA[[#All],[RCP-RUBRO]],PAA[[#All],[INDICADOR]],"",0))</f>
        <v>#NAME?</v>
      </c>
      <c r="V2579" s="144" t="str">
        <f t="shared" si="81"/>
        <v>85</v>
      </c>
      <c r="W2579" s="136">
        <f>+COMPROMISOS_2025[[#This Row],[valor_total]]-COMPROMISOS_2025[[#This Row],[total_cancelado]]</f>
        <v>1423500</v>
      </c>
      <c r="X2579" s="136">
        <f>COMPROMISOS_2025[[#This Row],[total_ordenes]]</f>
        <v>1423500</v>
      </c>
      <c r="Y2579" t="str" cm="1">
        <f t="array" aca="1" ref="Y2579" ca="1">IFERROR(_xlfn.XLOOKUP(COMPROMISOS_2025[[#This Row],[concatenado]],PAA[[#All],[RCP-RUBRO]],PAA[[#All],[Actividad3]],VLOOKUP(COMPROMISOS_2025[[#This Row],[Indicador Principal]],$AC$2:$AD$17,2,0),0),"")</f>
        <v/>
      </c>
    </row>
    <row r="2580" spans="1:25" hidden="1" x14ac:dyDescent="0.25">
      <c r="A2580">
        <v>2108</v>
      </c>
      <c r="B2580" t="s">
        <v>2491</v>
      </c>
      <c r="C2580" t="s">
        <v>1936</v>
      </c>
      <c r="D2580" t="s">
        <v>3575</v>
      </c>
      <c r="F2580">
        <v>405</v>
      </c>
      <c r="G2580">
        <v>65</v>
      </c>
      <c r="H2580" t="s">
        <v>662</v>
      </c>
      <c r="I2580" t="s">
        <v>2271</v>
      </c>
      <c r="J2580">
        <v>711750</v>
      </c>
      <c r="K2580">
        <v>2025</v>
      </c>
      <c r="L2580">
        <v>1000535257</v>
      </c>
      <c r="M2580" t="s">
        <v>4224</v>
      </c>
      <c r="N2580" t="s">
        <v>1688</v>
      </c>
      <c r="O2580" t="s">
        <v>1686</v>
      </c>
      <c r="P2580">
        <v>0</v>
      </c>
      <c r="Q2580">
        <v>711750</v>
      </c>
      <c r="R2580">
        <v>0</v>
      </c>
      <c r="S2580">
        <v>0</v>
      </c>
      <c r="T2580" t="str">
        <f t="shared" si="80"/>
        <v>21082.43.4302.85.0-205128.2.3.3.08.06.</v>
      </c>
      <c r="U2580" t="e" cm="1">
        <f t="array" aca="1" ref="U2580" ca="1">+IF(COMPROMISOS_2025[[#This Row],[P]]="20","41080111",_xlfn.XLOOKUP(COMPROMISOS_2025[[#This Row],[concatenado]],PAA[[#All],[RCP-RUBRO]],PAA[[#All],[INDICADOR]],"",0))</f>
        <v>#NAME?</v>
      </c>
      <c r="V2580" s="144" t="str">
        <f t="shared" si="81"/>
        <v>85</v>
      </c>
      <c r="W2580" s="136">
        <f>+COMPROMISOS_2025[[#This Row],[valor_total]]-COMPROMISOS_2025[[#This Row],[total_cancelado]]</f>
        <v>711750</v>
      </c>
      <c r="X2580" s="136">
        <f>COMPROMISOS_2025[[#This Row],[total_ordenes]]</f>
        <v>711750</v>
      </c>
      <c r="Y2580" t="str" cm="1">
        <f t="array" aca="1" ref="Y2580" ca="1">IFERROR(_xlfn.XLOOKUP(COMPROMISOS_2025[[#This Row],[concatenado]],PAA[[#All],[RCP-RUBRO]],PAA[[#All],[Actividad3]],VLOOKUP(COMPROMISOS_2025[[#This Row],[Indicador Principal]],$AC$2:$AD$17,2,0),0),"")</f>
        <v/>
      </c>
    </row>
    <row r="2581" spans="1:25" hidden="1" x14ac:dyDescent="0.25">
      <c r="A2581">
        <v>2109</v>
      </c>
      <c r="B2581" t="s">
        <v>2491</v>
      </c>
      <c r="C2581" t="s">
        <v>1936</v>
      </c>
      <c r="D2581" t="s">
        <v>3575</v>
      </c>
      <c r="F2581">
        <v>405</v>
      </c>
      <c r="G2581">
        <v>65</v>
      </c>
      <c r="H2581" t="s">
        <v>662</v>
      </c>
      <c r="I2581" t="s">
        <v>2271</v>
      </c>
      <c r="J2581">
        <v>4270500</v>
      </c>
      <c r="K2581">
        <v>2025</v>
      </c>
      <c r="L2581">
        <v>1000537394</v>
      </c>
      <c r="M2581" t="s">
        <v>3939</v>
      </c>
      <c r="N2581" t="s">
        <v>1688</v>
      </c>
      <c r="O2581" t="s">
        <v>1686</v>
      </c>
      <c r="P2581">
        <v>0</v>
      </c>
      <c r="Q2581">
        <v>4270500</v>
      </c>
      <c r="R2581">
        <v>0</v>
      </c>
      <c r="S2581">
        <v>0</v>
      </c>
      <c r="T2581" t="str">
        <f t="shared" si="80"/>
        <v>21092.43.4302.85.0-205128.2.3.3.08.06.</v>
      </c>
      <c r="U2581" t="e" cm="1">
        <f t="array" aca="1" ref="U2581" ca="1">+IF(COMPROMISOS_2025[[#This Row],[P]]="20","41080111",_xlfn.XLOOKUP(COMPROMISOS_2025[[#This Row],[concatenado]],PAA[[#All],[RCP-RUBRO]],PAA[[#All],[INDICADOR]],"",0))</f>
        <v>#NAME?</v>
      </c>
      <c r="V2581" s="144" t="str">
        <f t="shared" si="81"/>
        <v>85</v>
      </c>
      <c r="W2581" s="136">
        <f>+COMPROMISOS_2025[[#This Row],[valor_total]]-COMPROMISOS_2025[[#This Row],[total_cancelado]]</f>
        <v>4270500</v>
      </c>
      <c r="X2581" s="136">
        <f>COMPROMISOS_2025[[#This Row],[total_ordenes]]</f>
        <v>4270500</v>
      </c>
      <c r="Y2581" t="str" cm="1">
        <f t="array" aca="1" ref="Y2581" ca="1">IFERROR(_xlfn.XLOOKUP(COMPROMISOS_2025[[#This Row],[concatenado]],PAA[[#All],[RCP-RUBRO]],PAA[[#All],[Actividad3]],VLOOKUP(COMPROMISOS_2025[[#This Row],[Indicador Principal]],$AC$2:$AD$17,2,0),0),"")</f>
        <v/>
      </c>
    </row>
    <row r="2582" spans="1:25" hidden="1" x14ac:dyDescent="0.25">
      <c r="A2582">
        <v>2110</v>
      </c>
      <c r="B2582" t="s">
        <v>2491</v>
      </c>
      <c r="C2582" t="s">
        <v>1936</v>
      </c>
      <c r="D2582" t="s">
        <v>3575</v>
      </c>
      <c r="F2582">
        <v>405</v>
      </c>
      <c r="G2582">
        <v>65</v>
      </c>
      <c r="H2582" t="s">
        <v>662</v>
      </c>
      <c r="I2582" t="s">
        <v>2271</v>
      </c>
      <c r="J2582">
        <v>711750</v>
      </c>
      <c r="K2582">
        <v>2025</v>
      </c>
      <c r="L2582">
        <v>1000537721</v>
      </c>
      <c r="M2582" t="s">
        <v>4225</v>
      </c>
      <c r="N2582" t="s">
        <v>1688</v>
      </c>
      <c r="O2582" t="s">
        <v>1686</v>
      </c>
      <c r="P2582">
        <v>0</v>
      </c>
      <c r="Q2582">
        <v>711750</v>
      </c>
      <c r="R2582">
        <v>0</v>
      </c>
      <c r="S2582">
        <v>0</v>
      </c>
      <c r="T2582" t="str">
        <f t="shared" si="80"/>
        <v>21102.43.4302.85.0-205128.2.3.3.08.06.</v>
      </c>
      <c r="U2582" t="e" cm="1">
        <f t="array" aca="1" ref="U2582" ca="1">+IF(COMPROMISOS_2025[[#This Row],[P]]="20","41080111",_xlfn.XLOOKUP(COMPROMISOS_2025[[#This Row],[concatenado]],PAA[[#All],[RCP-RUBRO]],PAA[[#All],[INDICADOR]],"",0))</f>
        <v>#NAME?</v>
      </c>
      <c r="V2582" s="144" t="str">
        <f t="shared" si="81"/>
        <v>85</v>
      </c>
      <c r="W2582" s="136">
        <f>+COMPROMISOS_2025[[#This Row],[valor_total]]-COMPROMISOS_2025[[#This Row],[total_cancelado]]</f>
        <v>711750</v>
      </c>
      <c r="X2582" s="136">
        <f>COMPROMISOS_2025[[#This Row],[total_ordenes]]</f>
        <v>711750</v>
      </c>
      <c r="Y2582" t="str" cm="1">
        <f t="array" aca="1" ref="Y2582" ca="1">IFERROR(_xlfn.XLOOKUP(COMPROMISOS_2025[[#This Row],[concatenado]],PAA[[#All],[RCP-RUBRO]],PAA[[#All],[Actividad3]],VLOOKUP(COMPROMISOS_2025[[#This Row],[Indicador Principal]],$AC$2:$AD$17,2,0),0),"")</f>
        <v/>
      </c>
    </row>
    <row r="2583" spans="1:25" hidden="1" x14ac:dyDescent="0.25">
      <c r="A2583">
        <v>2111</v>
      </c>
      <c r="B2583" t="s">
        <v>2491</v>
      </c>
      <c r="C2583" t="s">
        <v>1936</v>
      </c>
      <c r="D2583" t="s">
        <v>3575</v>
      </c>
      <c r="F2583">
        <v>405</v>
      </c>
      <c r="G2583">
        <v>65</v>
      </c>
      <c r="H2583" t="s">
        <v>662</v>
      </c>
      <c r="I2583" t="s">
        <v>2271</v>
      </c>
      <c r="J2583">
        <v>2847000</v>
      </c>
      <c r="K2583">
        <v>2025</v>
      </c>
      <c r="L2583">
        <v>1000537974</v>
      </c>
      <c r="M2583" t="s">
        <v>4226</v>
      </c>
      <c r="N2583" t="s">
        <v>1688</v>
      </c>
      <c r="O2583" t="s">
        <v>1686</v>
      </c>
      <c r="P2583">
        <v>0</v>
      </c>
      <c r="Q2583">
        <v>2847000</v>
      </c>
      <c r="R2583">
        <v>0</v>
      </c>
      <c r="S2583">
        <v>0</v>
      </c>
      <c r="T2583" t="str">
        <f t="shared" si="80"/>
        <v>21112.43.4302.85.0-205128.2.3.3.08.06.</v>
      </c>
      <c r="U2583" t="e" cm="1">
        <f t="array" aca="1" ref="U2583" ca="1">+IF(COMPROMISOS_2025[[#This Row],[P]]="20","41080111",_xlfn.XLOOKUP(COMPROMISOS_2025[[#This Row],[concatenado]],PAA[[#All],[RCP-RUBRO]],PAA[[#All],[INDICADOR]],"",0))</f>
        <v>#NAME?</v>
      </c>
      <c r="V2583" s="144" t="str">
        <f t="shared" si="81"/>
        <v>85</v>
      </c>
      <c r="W2583" s="136">
        <f>+COMPROMISOS_2025[[#This Row],[valor_total]]-COMPROMISOS_2025[[#This Row],[total_cancelado]]</f>
        <v>2847000</v>
      </c>
      <c r="X2583" s="136">
        <f>COMPROMISOS_2025[[#This Row],[total_ordenes]]</f>
        <v>2847000</v>
      </c>
      <c r="Y2583" t="str" cm="1">
        <f t="array" aca="1" ref="Y2583" ca="1">IFERROR(_xlfn.XLOOKUP(COMPROMISOS_2025[[#This Row],[concatenado]],PAA[[#All],[RCP-RUBRO]],PAA[[#All],[Actividad3]],VLOOKUP(COMPROMISOS_2025[[#This Row],[Indicador Principal]],$AC$2:$AD$17,2,0),0),"")</f>
        <v/>
      </c>
    </row>
    <row r="2584" spans="1:25" hidden="1" x14ac:dyDescent="0.25">
      <c r="A2584">
        <v>2114</v>
      </c>
      <c r="B2584" t="s">
        <v>2491</v>
      </c>
      <c r="C2584" t="s">
        <v>1936</v>
      </c>
      <c r="D2584" t="s">
        <v>3575</v>
      </c>
      <c r="F2584">
        <v>405</v>
      </c>
      <c r="G2584">
        <v>65</v>
      </c>
      <c r="H2584" t="s">
        <v>662</v>
      </c>
      <c r="I2584" t="s">
        <v>2271</v>
      </c>
      <c r="J2584">
        <v>1067625</v>
      </c>
      <c r="K2584">
        <v>2025</v>
      </c>
      <c r="L2584">
        <v>1000635239</v>
      </c>
      <c r="M2584" t="s">
        <v>4227</v>
      </c>
      <c r="N2584" t="s">
        <v>1688</v>
      </c>
      <c r="O2584" t="s">
        <v>1686</v>
      </c>
      <c r="P2584">
        <v>0</v>
      </c>
      <c r="Q2584">
        <v>1067625</v>
      </c>
      <c r="R2584">
        <v>0</v>
      </c>
      <c r="S2584">
        <v>0</v>
      </c>
      <c r="T2584" t="str">
        <f t="shared" si="80"/>
        <v>21142.43.4302.85.0-205128.2.3.3.08.06.</v>
      </c>
      <c r="U2584" t="e" cm="1">
        <f t="array" aca="1" ref="U2584" ca="1">+IF(COMPROMISOS_2025[[#This Row],[P]]="20","41080111",_xlfn.XLOOKUP(COMPROMISOS_2025[[#This Row],[concatenado]],PAA[[#All],[RCP-RUBRO]],PAA[[#All],[INDICADOR]],"",0))</f>
        <v>#NAME?</v>
      </c>
      <c r="V2584" s="144" t="str">
        <f t="shared" si="81"/>
        <v>85</v>
      </c>
      <c r="W2584" s="136">
        <f>+COMPROMISOS_2025[[#This Row],[valor_total]]-COMPROMISOS_2025[[#This Row],[total_cancelado]]</f>
        <v>1067625</v>
      </c>
      <c r="X2584" s="136">
        <f>COMPROMISOS_2025[[#This Row],[total_ordenes]]</f>
        <v>1067625</v>
      </c>
      <c r="Y2584" t="str" cm="1">
        <f t="array" aca="1" ref="Y2584" ca="1">IFERROR(_xlfn.XLOOKUP(COMPROMISOS_2025[[#This Row],[concatenado]],PAA[[#All],[RCP-RUBRO]],PAA[[#All],[Actividad3]],VLOOKUP(COMPROMISOS_2025[[#This Row],[Indicador Principal]],$AC$2:$AD$17,2,0),0),"")</f>
        <v/>
      </c>
    </row>
    <row r="2585" spans="1:25" hidden="1" x14ac:dyDescent="0.25">
      <c r="A2585">
        <v>2115</v>
      </c>
      <c r="B2585" t="s">
        <v>2491</v>
      </c>
      <c r="C2585" t="s">
        <v>1936</v>
      </c>
      <c r="D2585" t="s">
        <v>3575</v>
      </c>
      <c r="F2585">
        <v>405</v>
      </c>
      <c r="G2585">
        <v>65</v>
      </c>
      <c r="H2585" t="s">
        <v>662</v>
      </c>
      <c r="I2585" t="s">
        <v>2271</v>
      </c>
      <c r="J2585">
        <v>1423500</v>
      </c>
      <c r="K2585">
        <v>2025</v>
      </c>
      <c r="L2585">
        <v>1000635560</v>
      </c>
      <c r="M2585" t="s">
        <v>3940</v>
      </c>
      <c r="N2585" t="s">
        <v>1688</v>
      </c>
      <c r="O2585" t="s">
        <v>1686</v>
      </c>
      <c r="P2585">
        <v>0</v>
      </c>
      <c r="Q2585">
        <v>1423500</v>
      </c>
      <c r="R2585">
        <v>0</v>
      </c>
      <c r="S2585">
        <v>0</v>
      </c>
      <c r="T2585" t="str">
        <f t="shared" si="80"/>
        <v>21152.43.4302.85.0-205128.2.3.3.08.06.</v>
      </c>
      <c r="U2585" t="e" cm="1">
        <f t="array" aca="1" ref="U2585" ca="1">+IF(COMPROMISOS_2025[[#This Row],[P]]="20","41080111",_xlfn.XLOOKUP(COMPROMISOS_2025[[#This Row],[concatenado]],PAA[[#All],[RCP-RUBRO]],PAA[[#All],[INDICADOR]],"",0))</f>
        <v>#NAME?</v>
      </c>
      <c r="V2585" s="144" t="str">
        <f t="shared" si="81"/>
        <v>85</v>
      </c>
      <c r="W2585" s="136">
        <f>+COMPROMISOS_2025[[#This Row],[valor_total]]-COMPROMISOS_2025[[#This Row],[total_cancelado]]</f>
        <v>1423500</v>
      </c>
      <c r="X2585" s="136">
        <f>COMPROMISOS_2025[[#This Row],[total_ordenes]]</f>
        <v>1423500</v>
      </c>
      <c r="Y2585" t="str" cm="1">
        <f t="array" aca="1" ref="Y2585" ca="1">IFERROR(_xlfn.XLOOKUP(COMPROMISOS_2025[[#This Row],[concatenado]],PAA[[#All],[RCP-RUBRO]],PAA[[#All],[Actividad3]],VLOOKUP(COMPROMISOS_2025[[#This Row],[Indicador Principal]],$AC$2:$AD$17,2,0),0),"")</f>
        <v/>
      </c>
    </row>
    <row r="2586" spans="1:25" hidden="1" x14ac:dyDescent="0.25">
      <c r="A2586">
        <v>2116</v>
      </c>
      <c r="B2586" t="s">
        <v>2491</v>
      </c>
      <c r="C2586" t="s">
        <v>1936</v>
      </c>
      <c r="D2586" t="s">
        <v>3575</v>
      </c>
      <c r="F2586">
        <v>405</v>
      </c>
      <c r="G2586">
        <v>65</v>
      </c>
      <c r="H2586" t="s">
        <v>662</v>
      </c>
      <c r="I2586" t="s">
        <v>2271</v>
      </c>
      <c r="J2586">
        <v>711750</v>
      </c>
      <c r="K2586">
        <v>2025</v>
      </c>
      <c r="L2586">
        <v>1000637947</v>
      </c>
      <c r="M2586" t="s">
        <v>4228</v>
      </c>
      <c r="N2586" t="s">
        <v>1688</v>
      </c>
      <c r="O2586" t="s">
        <v>1686</v>
      </c>
      <c r="P2586">
        <v>0</v>
      </c>
      <c r="Q2586">
        <v>711750</v>
      </c>
      <c r="R2586">
        <v>0</v>
      </c>
      <c r="S2586">
        <v>0</v>
      </c>
      <c r="T2586" t="str">
        <f t="shared" si="80"/>
        <v>21162.43.4302.85.0-205128.2.3.3.08.06.</v>
      </c>
      <c r="U2586" t="e" cm="1">
        <f t="array" aca="1" ref="U2586" ca="1">+IF(COMPROMISOS_2025[[#This Row],[P]]="20","41080111",_xlfn.XLOOKUP(COMPROMISOS_2025[[#This Row],[concatenado]],PAA[[#All],[RCP-RUBRO]],PAA[[#All],[INDICADOR]],"",0))</f>
        <v>#NAME?</v>
      </c>
      <c r="V2586" s="144" t="str">
        <f t="shared" si="81"/>
        <v>85</v>
      </c>
      <c r="W2586" s="136">
        <f>+COMPROMISOS_2025[[#This Row],[valor_total]]-COMPROMISOS_2025[[#This Row],[total_cancelado]]</f>
        <v>711750</v>
      </c>
      <c r="X2586" s="136">
        <f>COMPROMISOS_2025[[#This Row],[total_ordenes]]</f>
        <v>711750</v>
      </c>
      <c r="Y2586" t="str" cm="1">
        <f t="array" aca="1" ref="Y2586" ca="1">IFERROR(_xlfn.XLOOKUP(COMPROMISOS_2025[[#This Row],[concatenado]],PAA[[#All],[RCP-RUBRO]],PAA[[#All],[Actividad3]],VLOOKUP(COMPROMISOS_2025[[#This Row],[Indicador Principal]],$AC$2:$AD$17,2,0),0),"")</f>
        <v/>
      </c>
    </row>
    <row r="2587" spans="1:25" hidden="1" x14ac:dyDescent="0.25">
      <c r="A2587">
        <v>2118</v>
      </c>
      <c r="B2587" t="s">
        <v>2491</v>
      </c>
      <c r="C2587" t="s">
        <v>1936</v>
      </c>
      <c r="D2587" t="s">
        <v>3575</v>
      </c>
      <c r="F2587">
        <v>405</v>
      </c>
      <c r="G2587">
        <v>65</v>
      </c>
      <c r="H2587" t="s">
        <v>662</v>
      </c>
      <c r="I2587" t="s">
        <v>2271</v>
      </c>
      <c r="J2587">
        <v>4270500</v>
      </c>
      <c r="K2587">
        <v>2025</v>
      </c>
      <c r="L2587">
        <v>1000653897</v>
      </c>
      <c r="M2587" t="s">
        <v>3238</v>
      </c>
      <c r="N2587" t="s">
        <v>1688</v>
      </c>
      <c r="O2587" t="s">
        <v>1686</v>
      </c>
      <c r="P2587">
        <v>0</v>
      </c>
      <c r="Q2587">
        <v>4270500</v>
      </c>
      <c r="R2587">
        <v>0</v>
      </c>
      <c r="S2587">
        <v>0</v>
      </c>
      <c r="T2587" t="str">
        <f t="shared" si="80"/>
        <v>21182.43.4302.85.0-205128.2.3.3.08.06.</v>
      </c>
      <c r="U2587" t="e" cm="1">
        <f t="array" aca="1" ref="U2587" ca="1">+IF(COMPROMISOS_2025[[#This Row],[P]]="20","41080111",_xlfn.XLOOKUP(COMPROMISOS_2025[[#This Row],[concatenado]],PAA[[#All],[RCP-RUBRO]],PAA[[#All],[INDICADOR]],"",0))</f>
        <v>#NAME?</v>
      </c>
      <c r="V2587" s="144" t="str">
        <f t="shared" si="81"/>
        <v>85</v>
      </c>
      <c r="W2587" s="136">
        <f>+COMPROMISOS_2025[[#This Row],[valor_total]]-COMPROMISOS_2025[[#This Row],[total_cancelado]]</f>
        <v>4270500</v>
      </c>
      <c r="X2587" s="136">
        <f>COMPROMISOS_2025[[#This Row],[total_ordenes]]</f>
        <v>4270500</v>
      </c>
      <c r="Y2587" t="str" cm="1">
        <f t="array" aca="1" ref="Y2587" ca="1">IFERROR(_xlfn.XLOOKUP(COMPROMISOS_2025[[#This Row],[concatenado]],PAA[[#All],[RCP-RUBRO]],PAA[[#All],[Actividad3]],VLOOKUP(COMPROMISOS_2025[[#This Row],[Indicador Principal]],$AC$2:$AD$17,2,0),0),"")</f>
        <v/>
      </c>
    </row>
    <row r="2588" spans="1:25" hidden="1" x14ac:dyDescent="0.25">
      <c r="A2588">
        <v>2119</v>
      </c>
      <c r="B2588" t="s">
        <v>2491</v>
      </c>
      <c r="C2588" t="s">
        <v>1936</v>
      </c>
      <c r="D2588" t="s">
        <v>3575</v>
      </c>
      <c r="F2588">
        <v>405</v>
      </c>
      <c r="G2588">
        <v>65</v>
      </c>
      <c r="H2588" t="s">
        <v>662</v>
      </c>
      <c r="I2588" t="s">
        <v>2271</v>
      </c>
      <c r="J2588">
        <v>1067625</v>
      </c>
      <c r="K2588">
        <v>2025</v>
      </c>
      <c r="L2588">
        <v>1000654590</v>
      </c>
      <c r="M2588" t="s">
        <v>4229</v>
      </c>
      <c r="N2588" t="s">
        <v>1688</v>
      </c>
      <c r="O2588" t="s">
        <v>1686</v>
      </c>
      <c r="P2588">
        <v>0</v>
      </c>
      <c r="Q2588">
        <v>1067625</v>
      </c>
      <c r="R2588">
        <v>0</v>
      </c>
      <c r="S2588">
        <v>0</v>
      </c>
      <c r="T2588" t="str">
        <f t="shared" si="80"/>
        <v>21192.43.4302.85.0-205128.2.3.3.08.06.</v>
      </c>
      <c r="U2588" t="e" cm="1">
        <f t="array" aca="1" ref="U2588" ca="1">+IF(COMPROMISOS_2025[[#This Row],[P]]="20","41080111",_xlfn.XLOOKUP(COMPROMISOS_2025[[#This Row],[concatenado]],PAA[[#All],[RCP-RUBRO]],PAA[[#All],[INDICADOR]],"",0))</f>
        <v>#NAME?</v>
      </c>
      <c r="V2588" s="144" t="str">
        <f t="shared" si="81"/>
        <v>85</v>
      </c>
      <c r="W2588" s="136">
        <f>+COMPROMISOS_2025[[#This Row],[valor_total]]-COMPROMISOS_2025[[#This Row],[total_cancelado]]</f>
        <v>1067625</v>
      </c>
      <c r="X2588" s="136">
        <f>COMPROMISOS_2025[[#This Row],[total_ordenes]]</f>
        <v>1067625</v>
      </c>
      <c r="Y2588" t="str" cm="1">
        <f t="array" aca="1" ref="Y2588" ca="1">IFERROR(_xlfn.XLOOKUP(COMPROMISOS_2025[[#This Row],[concatenado]],PAA[[#All],[RCP-RUBRO]],PAA[[#All],[Actividad3]],VLOOKUP(COMPROMISOS_2025[[#This Row],[Indicador Principal]],$AC$2:$AD$17,2,0),0),"")</f>
        <v/>
      </c>
    </row>
    <row r="2589" spans="1:25" hidden="1" x14ac:dyDescent="0.25">
      <c r="A2589">
        <v>2120</v>
      </c>
      <c r="B2589" t="s">
        <v>2491</v>
      </c>
      <c r="C2589" t="s">
        <v>1936</v>
      </c>
      <c r="D2589" t="s">
        <v>3575</v>
      </c>
      <c r="F2589">
        <v>405</v>
      </c>
      <c r="G2589">
        <v>65</v>
      </c>
      <c r="H2589" t="s">
        <v>662</v>
      </c>
      <c r="I2589" t="s">
        <v>2271</v>
      </c>
      <c r="J2589">
        <v>1423500</v>
      </c>
      <c r="K2589">
        <v>2025</v>
      </c>
      <c r="L2589">
        <v>1000654725</v>
      </c>
      <c r="M2589" t="s">
        <v>4230</v>
      </c>
      <c r="N2589" t="s">
        <v>1688</v>
      </c>
      <c r="O2589" t="s">
        <v>1686</v>
      </c>
      <c r="P2589">
        <v>0</v>
      </c>
      <c r="Q2589">
        <v>1423500</v>
      </c>
      <c r="R2589">
        <v>0</v>
      </c>
      <c r="S2589">
        <v>0</v>
      </c>
      <c r="T2589" t="str">
        <f t="shared" si="80"/>
        <v>21202.43.4302.85.0-205128.2.3.3.08.06.</v>
      </c>
      <c r="U2589" t="e" cm="1">
        <f t="array" aca="1" ref="U2589" ca="1">+IF(COMPROMISOS_2025[[#This Row],[P]]="20","41080111",_xlfn.XLOOKUP(COMPROMISOS_2025[[#This Row],[concatenado]],PAA[[#All],[RCP-RUBRO]],PAA[[#All],[INDICADOR]],"",0))</f>
        <v>#NAME?</v>
      </c>
      <c r="V2589" s="144" t="str">
        <f t="shared" si="81"/>
        <v>85</v>
      </c>
      <c r="W2589" s="136">
        <f>+COMPROMISOS_2025[[#This Row],[valor_total]]-COMPROMISOS_2025[[#This Row],[total_cancelado]]</f>
        <v>1423500</v>
      </c>
      <c r="X2589" s="136">
        <f>COMPROMISOS_2025[[#This Row],[total_ordenes]]</f>
        <v>1423500</v>
      </c>
      <c r="Y2589" t="str" cm="1">
        <f t="array" aca="1" ref="Y2589" ca="1">IFERROR(_xlfn.XLOOKUP(COMPROMISOS_2025[[#This Row],[concatenado]],PAA[[#All],[RCP-RUBRO]],PAA[[#All],[Actividad3]],VLOOKUP(COMPROMISOS_2025[[#This Row],[Indicador Principal]],$AC$2:$AD$17,2,0),0),"")</f>
        <v/>
      </c>
    </row>
    <row r="2590" spans="1:25" hidden="1" x14ac:dyDescent="0.25">
      <c r="A2590">
        <v>2121</v>
      </c>
      <c r="B2590" t="s">
        <v>2491</v>
      </c>
      <c r="C2590" t="s">
        <v>1936</v>
      </c>
      <c r="D2590" t="s">
        <v>3575</v>
      </c>
      <c r="F2590">
        <v>405</v>
      </c>
      <c r="G2590">
        <v>65</v>
      </c>
      <c r="H2590" t="s">
        <v>662</v>
      </c>
      <c r="I2590" t="s">
        <v>2271</v>
      </c>
      <c r="J2590">
        <v>1067625</v>
      </c>
      <c r="K2590">
        <v>2025</v>
      </c>
      <c r="L2590">
        <v>1000660216</v>
      </c>
      <c r="M2590" t="s">
        <v>3942</v>
      </c>
      <c r="N2590" t="s">
        <v>1688</v>
      </c>
      <c r="O2590" t="s">
        <v>1686</v>
      </c>
      <c r="P2590">
        <v>0</v>
      </c>
      <c r="Q2590">
        <v>1067625</v>
      </c>
      <c r="R2590">
        <v>0</v>
      </c>
      <c r="S2590">
        <v>0</v>
      </c>
      <c r="T2590" t="str">
        <f t="shared" si="80"/>
        <v>21212.43.4302.85.0-205128.2.3.3.08.06.</v>
      </c>
      <c r="U2590" t="e" cm="1">
        <f t="array" aca="1" ref="U2590" ca="1">+IF(COMPROMISOS_2025[[#This Row],[P]]="20","41080111",_xlfn.XLOOKUP(COMPROMISOS_2025[[#This Row],[concatenado]],PAA[[#All],[RCP-RUBRO]],PAA[[#All],[INDICADOR]],"",0))</f>
        <v>#NAME?</v>
      </c>
      <c r="V2590" s="144" t="str">
        <f t="shared" si="81"/>
        <v>85</v>
      </c>
      <c r="W2590" s="136">
        <f>+COMPROMISOS_2025[[#This Row],[valor_total]]-COMPROMISOS_2025[[#This Row],[total_cancelado]]</f>
        <v>1067625</v>
      </c>
      <c r="X2590" s="136">
        <f>COMPROMISOS_2025[[#This Row],[total_ordenes]]</f>
        <v>1067625</v>
      </c>
      <c r="Y2590" t="str" cm="1">
        <f t="array" aca="1" ref="Y2590" ca="1">IFERROR(_xlfn.XLOOKUP(COMPROMISOS_2025[[#This Row],[concatenado]],PAA[[#All],[RCP-RUBRO]],PAA[[#All],[Actividad3]],VLOOKUP(COMPROMISOS_2025[[#This Row],[Indicador Principal]],$AC$2:$AD$17,2,0),0),"")</f>
        <v/>
      </c>
    </row>
    <row r="2591" spans="1:25" hidden="1" x14ac:dyDescent="0.25">
      <c r="A2591">
        <v>2122</v>
      </c>
      <c r="B2591" t="s">
        <v>2491</v>
      </c>
      <c r="C2591" t="s">
        <v>1936</v>
      </c>
      <c r="D2591" t="s">
        <v>3575</v>
      </c>
      <c r="F2591">
        <v>405</v>
      </c>
      <c r="G2591">
        <v>65</v>
      </c>
      <c r="H2591" t="s">
        <v>662</v>
      </c>
      <c r="I2591" t="s">
        <v>2271</v>
      </c>
      <c r="J2591">
        <v>711750</v>
      </c>
      <c r="K2591">
        <v>2025</v>
      </c>
      <c r="L2591">
        <v>1000746926</v>
      </c>
      <c r="M2591" t="s">
        <v>4231</v>
      </c>
      <c r="N2591" t="s">
        <v>1688</v>
      </c>
      <c r="O2591" t="s">
        <v>1686</v>
      </c>
      <c r="P2591">
        <v>0</v>
      </c>
      <c r="Q2591">
        <v>711750</v>
      </c>
      <c r="R2591">
        <v>0</v>
      </c>
      <c r="S2591">
        <v>0</v>
      </c>
      <c r="T2591" t="str">
        <f t="shared" si="80"/>
        <v>21222.43.4302.85.0-205128.2.3.3.08.06.</v>
      </c>
      <c r="U2591" t="e" cm="1">
        <f t="array" aca="1" ref="U2591" ca="1">+IF(COMPROMISOS_2025[[#This Row],[P]]="20","41080111",_xlfn.XLOOKUP(COMPROMISOS_2025[[#This Row],[concatenado]],PAA[[#All],[RCP-RUBRO]],PAA[[#All],[INDICADOR]],"",0))</f>
        <v>#NAME?</v>
      </c>
      <c r="V2591" s="144" t="str">
        <f t="shared" si="81"/>
        <v>85</v>
      </c>
      <c r="W2591" s="136">
        <f>+COMPROMISOS_2025[[#This Row],[valor_total]]-COMPROMISOS_2025[[#This Row],[total_cancelado]]</f>
        <v>711750</v>
      </c>
      <c r="X2591" s="136">
        <f>COMPROMISOS_2025[[#This Row],[total_ordenes]]</f>
        <v>711750</v>
      </c>
      <c r="Y2591" t="str" cm="1">
        <f t="array" aca="1" ref="Y2591" ca="1">IFERROR(_xlfn.XLOOKUP(COMPROMISOS_2025[[#This Row],[concatenado]],PAA[[#All],[RCP-RUBRO]],PAA[[#All],[Actividad3]],VLOOKUP(COMPROMISOS_2025[[#This Row],[Indicador Principal]],$AC$2:$AD$17,2,0),0),"")</f>
        <v/>
      </c>
    </row>
    <row r="2592" spans="1:25" hidden="1" x14ac:dyDescent="0.25">
      <c r="A2592">
        <v>2123</v>
      </c>
      <c r="B2592" t="s">
        <v>2491</v>
      </c>
      <c r="C2592" t="s">
        <v>1936</v>
      </c>
      <c r="D2592" t="s">
        <v>3575</v>
      </c>
      <c r="F2592">
        <v>405</v>
      </c>
      <c r="G2592">
        <v>65</v>
      </c>
      <c r="H2592" t="s">
        <v>662</v>
      </c>
      <c r="I2592" t="s">
        <v>2271</v>
      </c>
      <c r="J2592">
        <v>711750</v>
      </c>
      <c r="K2592">
        <v>2025</v>
      </c>
      <c r="L2592">
        <v>1000759209</v>
      </c>
      <c r="M2592" t="s">
        <v>4232</v>
      </c>
      <c r="N2592" t="s">
        <v>1688</v>
      </c>
      <c r="O2592" t="s">
        <v>1686</v>
      </c>
      <c r="P2592">
        <v>0</v>
      </c>
      <c r="Q2592">
        <v>711750</v>
      </c>
      <c r="R2592">
        <v>0</v>
      </c>
      <c r="S2592">
        <v>0</v>
      </c>
      <c r="T2592" t="str">
        <f t="shared" si="80"/>
        <v>21232.43.4302.85.0-205128.2.3.3.08.06.</v>
      </c>
      <c r="U2592" t="e" cm="1">
        <f t="array" aca="1" ref="U2592" ca="1">+IF(COMPROMISOS_2025[[#This Row],[P]]="20","41080111",_xlfn.XLOOKUP(COMPROMISOS_2025[[#This Row],[concatenado]],PAA[[#All],[RCP-RUBRO]],PAA[[#All],[INDICADOR]],"",0))</f>
        <v>#NAME?</v>
      </c>
      <c r="V2592" s="144" t="str">
        <f t="shared" si="81"/>
        <v>85</v>
      </c>
      <c r="W2592" s="136">
        <f>+COMPROMISOS_2025[[#This Row],[valor_total]]-COMPROMISOS_2025[[#This Row],[total_cancelado]]</f>
        <v>711750</v>
      </c>
      <c r="X2592" s="136">
        <f>COMPROMISOS_2025[[#This Row],[total_ordenes]]</f>
        <v>711750</v>
      </c>
      <c r="Y2592" t="str" cm="1">
        <f t="array" aca="1" ref="Y2592" ca="1">IFERROR(_xlfn.XLOOKUP(COMPROMISOS_2025[[#This Row],[concatenado]],PAA[[#All],[RCP-RUBRO]],PAA[[#All],[Actividad3]],VLOOKUP(COMPROMISOS_2025[[#This Row],[Indicador Principal]],$AC$2:$AD$17,2,0),0),"")</f>
        <v/>
      </c>
    </row>
    <row r="2593" spans="1:25" hidden="1" x14ac:dyDescent="0.25">
      <c r="A2593">
        <v>2125</v>
      </c>
      <c r="B2593" t="s">
        <v>2491</v>
      </c>
      <c r="C2593" t="s">
        <v>1936</v>
      </c>
      <c r="D2593" t="s">
        <v>3575</v>
      </c>
      <c r="F2593">
        <v>405</v>
      </c>
      <c r="G2593">
        <v>65</v>
      </c>
      <c r="H2593" t="s">
        <v>662</v>
      </c>
      <c r="I2593" t="s">
        <v>2271</v>
      </c>
      <c r="J2593">
        <v>1067625</v>
      </c>
      <c r="K2593">
        <v>2025</v>
      </c>
      <c r="L2593">
        <v>1000761320</v>
      </c>
      <c r="M2593" t="s">
        <v>4233</v>
      </c>
      <c r="N2593" t="s">
        <v>1688</v>
      </c>
      <c r="O2593" t="s">
        <v>1686</v>
      </c>
      <c r="P2593">
        <v>0</v>
      </c>
      <c r="Q2593">
        <v>1067625</v>
      </c>
      <c r="R2593">
        <v>0</v>
      </c>
      <c r="S2593">
        <v>0</v>
      </c>
      <c r="T2593" t="str">
        <f t="shared" si="80"/>
        <v>21252.43.4302.85.0-205128.2.3.3.08.06.</v>
      </c>
      <c r="U2593" t="e" cm="1">
        <f t="array" aca="1" ref="U2593" ca="1">+IF(COMPROMISOS_2025[[#This Row],[P]]="20","41080111",_xlfn.XLOOKUP(COMPROMISOS_2025[[#This Row],[concatenado]],PAA[[#All],[RCP-RUBRO]],PAA[[#All],[INDICADOR]],"",0))</f>
        <v>#NAME?</v>
      </c>
      <c r="V2593" s="144" t="str">
        <f t="shared" si="81"/>
        <v>85</v>
      </c>
      <c r="W2593" s="136">
        <f>+COMPROMISOS_2025[[#This Row],[valor_total]]-COMPROMISOS_2025[[#This Row],[total_cancelado]]</f>
        <v>1067625</v>
      </c>
      <c r="X2593" s="136">
        <f>COMPROMISOS_2025[[#This Row],[total_ordenes]]</f>
        <v>1067625</v>
      </c>
      <c r="Y2593" t="str" cm="1">
        <f t="array" aca="1" ref="Y2593" ca="1">IFERROR(_xlfn.XLOOKUP(COMPROMISOS_2025[[#This Row],[concatenado]],PAA[[#All],[RCP-RUBRO]],PAA[[#All],[Actividad3]],VLOOKUP(COMPROMISOS_2025[[#This Row],[Indicador Principal]],$AC$2:$AD$17,2,0),0),"")</f>
        <v/>
      </c>
    </row>
    <row r="2594" spans="1:25" hidden="1" x14ac:dyDescent="0.25">
      <c r="A2594">
        <v>2126</v>
      </c>
      <c r="B2594" t="s">
        <v>2491</v>
      </c>
      <c r="C2594" t="s">
        <v>1936</v>
      </c>
      <c r="D2594" t="s">
        <v>3575</v>
      </c>
      <c r="F2594">
        <v>405</v>
      </c>
      <c r="G2594">
        <v>65</v>
      </c>
      <c r="H2594" t="s">
        <v>662</v>
      </c>
      <c r="I2594" t="s">
        <v>2271</v>
      </c>
      <c r="J2594">
        <v>1067625</v>
      </c>
      <c r="K2594">
        <v>2025</v>
      </c>
      <c r="L2594">
        <v>1000764516</v>
      </c>
      <c r="M2594" t="s">
        <v>4234</v>
      </c>
      <c r="N2594" t="s">
        <v>1688</v>
      </c>
      <c r="O2594" t="s">
        <v>1686</v>
      </c>
      <c r="P2594">
        <v>0</v>
      </c>
      <c r="Q2594">
        <v>1067625</v>
      </c>
      <c r="R2594">
        <v>0</v>
      </c>
      <c r="S2594">
        <v>0</v>
      </c>
      <c r="T2594" t="str">
        <f t="shared" si="80"/>
        <v>21262.43.4302.85.0-205128.2.3.3.08.06.</v>
      </c>
      <c r="U2594" t="e" cm="1">
        <f t="array" aca="1" ref="U2594" ca="1">+IF(COMPROMISOS_2025[[#This Row],[P]]="20","41080111",_xlfn.XLOOKUP(COMPROMISOS_2025[[#This Row],[concatenado]],PAA[[#All],[RCP-RUBRO]],PAA[[#All],[INDICADOR]],"",0))</f>
        <v>#NAME?</v>
      </c>
      <c r="V2594" s="144" t="str">
        <f t="shared" si="81"/>
        <v>85</v>
      </c>
      <c r="W2594" s="136">
        <f>+COMPROMISOS_2025[[#This Row],[valor_total]]-COMPROMISOS_2025[[#This Row],[total_cancelado]]</f>
        <v>1067625</v>
      </c>
      <c r="X2594" s="136">
        <f>COMPROMISOS_2025[[#This Row],[total_ordenes]]</f>
        <v>1067625</v>
      </c>
      <c r="Y2594" t="str" cm="1">
        <f t="array" aca="1" ref="Y2594" ca="1">IFERROR(_xlfn.XLOOKUP(COMPROMISOS_2025[[#This Row],[concatenado]],PAA[[#All],[RCP-RUBRO]],PAA[[#All],[Actividad3]],VLOOKUP(COMPROMISOS_2025[[#This Row],[Indicador Principal]],$AC$2:$AD$17,2,0),0),"")</f>
        <v/>
      </c>
    </row>
    <row r="2595" spans="1:25" hidden="1" x14ac:dyDescent="0.25">
      <c r="A2595">
        <v>2127</v>
      </c>
      <c r="B2595" t="s">
        <v>2491</v>
      </c>
      <c r="C2595" t="s">
        <v>1936</v>
      </c>
      <c r="D2595" t="s">
        <v>3575</v>
      </c>
      <c r="F2595">
        <v>405</v>
      </c>
      <c r="G2595">
        <v>65</v>
      </c>
      <c r="H2595" t="s">
        <v>662</v>
      </c>
      <c r="I2595" t="s">
        <v>2271</v>
      </c>
      <c r="J2595">
        <v>2847000</v>
      </c>
      <c r="K2595">
        <v>2025</v>
      </c>
      <c r="L2595">
        <v>1000869439</v>
      </c>
      <c r="M2595" t="s">
        <v>4235</v>
      </c>
      <c r="N2595" t="s">
        <v>1688</v>
      </c>
      <c r="O2595" t="s">
        <v>1686</v>
      </c>
      <c r="P2595">
        <v>0</v>
      </c>
      <c r="Q2595">
        <v>2847000</v>
      </c>
      <c r="R2595">
        <v>0</v>
      </c>
      <c r="S2595">
        <v>0</v>
      </c>
      <c r="T2595" t="str">
        <f t="shared" si="80"/>
        <v>21272.43.4302.85.0-205128.2.3.3.08.06.</v>
      </c>
      <c r="U2595" t="e" cm="1">
        <f t="array" aca="1" ref="U2595" ca="1">+IF(COMPROMISOS_2025[[#This Row],[P]]="20","41080111",_xlfn.XLOOKUP(COMPROMISOS_2025[[#This Row],[concatenado]],PAA[[#All],[RCP-RUBRO]],PAA[[#All],[INDICADOR]],"",0))</f>
        <v>#NAME?</v>
      </c>
      <c r="V2595" s="144" t="str">
        <f t="shared" si="81"/>
        <v>85</v>
      </c>
      <c r="W2595" s="136">
        <f>+COMPROMISOS_2025[[#This Row],[valor_total]]-COMPROMISOS_2025[[#This Row],[total_cancelado]]</f>
        <v>2847000</v>
      </c>
      <c r="X2595" s="136">
        <f>COMPROMISOS_2025[[#This Row],[total_ordenes]]</f>
        <v>2847000</v>
      </c>
      <c r="Y2595" t="str" cm="1">
        <f t="array" aca="1" ref="Y2595" ca="1">IFERROR(_xlfn.XLOOKUP(COMPROMISOS_2025[[#This Row],[concatenado]],PAA[[#All],[RCP-RUBRO]],PAA[[#All],[Actividad3]],VLOOKUP(COMPROMISOS_2025[[#This Row],[Indicador Principal]],$AC$2:$AD$17,2,0),0),"")</f>
        <v/>
      </c>
    </row>
    <row r="2596" spans="1:25" hidden="1" x14ac:dyDescent="0.25">
      <c r="A2596">
        <v>2129</v>
      </c>
      <c r="B2596" t="s">
        <v>2491</v>
      </c>
      <c r="C2596" t="s">
        <v>1936</v>
      </c>
      <c r="D2596" t="s">
        <v>3575</v>
      </c>
      <c r="F2596">
        <v>405</v>
      </c>
      <c r="G2596">
        <v>65</v>
      </c>
      <c r="H2596" t="s">
        <v>662</v>
      </c>
      <c r="I2596" t="s">
        <v>2271</v>
      </c>
      <c r="J2596">
        <v>1067625</v>
      </c>
      <c r="K2596">
        <v>2025</v>
      </c>
      <c r="L2596">
        <v>1000870734</v>
      </c>
      <c r="M2596" t="s">
        <v>3594</v>
      </c>
      <c r="N2596" t="s">
        <v>1688</v>
      </c>
      <c r="O2596" t="s">
        <v>1686</v>
      </c>
      <c r="P2596">
        <v>0</v>
      </c>
      <c r="Q2596">
        <v>1067625</v>
      </c>
      <c r="R2596">
        <v>0</v>
      </c>
      <c r="S2596">
        <v>0</v>
      </c>
      <c r="T2596" t="str">
        <f t="shared" si="80"/>
        <v>21292.43.4302.85.0-205128.2.3.3.08.06.</v>
      </c>
      <c r="U2596" t="e" cm="1">
        <f t="array" aca="1" ref="U2596" ca="1">+IF(COMPROMISOS_2025[[#This Row],[P]]="20","41080111",_xlfn.XLOOKUP(COMPROMISOS_2025[[#This Row],[concatenado]],PAA[[#All],[RCP-RUBRO]],PAA[[#All],[INDICADOR]],"",0))</f>
        <v>#NAME?</v>
      </c>
      <c r="V2596" s="144" t="str">
        <f t="shared" si="81"/>
        <v>85</v>
      </c>
      <c r="W2596" s="136">
        <f>+COMPROMISOS_2025[[#This Row],[valor_total]]-COMPROMISOS_2025[[#This Row],[total_cancelado]]</f>
        <v>1067625</v>
      </c>
      <c r="X2596" s="136">
        <f>COMPROMISOS_2025[[#This Row],[total_ordenes]]</f>
        <v>1067625</v>
      </c>
      <c r="Y2596" t="str" cm="1">
        <f t="array" aca="1" ref="Y2596" ca="1">IFERROR(_xlfn.XLOOKUP(COMPROMISOS_2025[[#This Row],[concatenado]],PAA[[#All],[RCP-RUBRO]],PAA[[#All],[Actividad3]],VLOOKUP(COMPROMISOS_2025[[#This Row],[Indicador Principal]],$AC$2:$AD$17,2,0),0),"")</f>
        <v/>
      </c>
    </row>
    <row r="2597" spans="1:25" hidden="1" x14ac:dyDescent="0.25">
      <c r="A2597">
        <v>2130</v>
      </c>
      <c r="B2597" t="s">
        <v>2491</v>
      </c>
      <c r="C2597" t="s">
        <v>1936</v>
      </c>
      <c r="D2597" t="s">
        <v>3575</v>
      </c>
      <c r="F2597">
        <v>405</v>
      </c>
      <c r="G2597">
        <v>65</v>
      </c>
      <c r="H2597" t="s">
        <v>662</v>
      </c>
      <c r="I2597" t="s">
        <v>2271</v>
      </c>
      <c r="J2597">
        <v>1067625</v>
      </c>
      <c r="K2597">
        <v>2025</v>
      </c>
      <c r="L2597">
        <v>1000873150</v>
      </c>
      <c r="M2597" t="s">
        <v>4236</v>
      </c>
      <c r="N2597" t="s">
        <v>1688</v>
      </c>
      <c r="O2597" t="s">
        <v>1686</v>
      </c>
      <c r="P2597">
        <v>0</v>
      </c>
      <c r="Q2597">
        <v>1067625</v>
      </c>
      <c r="R2597">
        <v>0</v>
      </c>
      <c r="S2597">
        <v>0</v>
      </c>
      <c r="T2597" t="str">
        <f t="shared" si="80"/>
        <v>21302.43.4302.85.0-205128.2.3.3.08.06.</v>
      </c>
      <c r="U2597" t="e" cm="1">
        <f t="array" aca="1" ref="U2597" ca="1">+IF(COMPROMISOS_2025[[#This Row],[P]]="20","41080111",_xlfn.XLOOKUP(COMPROMISOS_2025[[#This Row],[concatenado]],PAA[[#All],[RCP-RUBRO]],PAA[[#All],[INDICADOR]],"",0))</f>
        <v>#NAME?</v>
      </c>
      <c r="V2597" s="144" t="str">
        <f t="shared" si="81"/>
        <v>85</v>
      </c>
      <c r="W2597" s="136">
        <f>+COMPROMISOS_2025[[#This Row],[valor_total]]-COMPROMISOS_2025[[#This Row],[total_cancelado]]</f>
        <v>1067625</v>
      </c>
      <c r="X2597" s="136">
        <f>COMPROMISOS_2025[[#This Row],[total_ordenes]]</f>
        <v>1067625</v>
      </c>
      <c r="Y2597" t="str" cm="1">
        <f t="array" aca="1" ref="Y2597" ca="1">IFERROR(_xlfn.XLOOKUP(COMPROMISOS_2025[[#This Row],[concatenado]],PAA[[#All],[RCP-RUBRO]],PAA[[#All],[Actividad3]],VLOOKUP(COMPROMISOS_2025[[#This Row],[Indicador Principal]],$AC$2:$AD$17,2,0),0),"")</f>
        <v/>
      </c>
    </row>
    <row r="2598" spans="1:25" hidden="1" x14ac:dyDescent="0.25">
      <c r="A2598">
        <v>2131</v>
      </c>
      <c r="B2598" t="s">
        <v>2491</v>
      </c>
      <c r="C2598" t="s">
        <v>1936</v>
      </c>
      <c r="D2598" t="s">
        <v>3575</v>
      </c>
      <c r="F2598">
        <v>405</v>
      </c>
      <c r="G2598">
        <v>65</v>
      </c>
      <c r="H2598" t="s">
        <v>662</v>
      </c>
      <c r="I2598" t="s">
        <v>2271</v>
      </c>
      <c r="J2598">
        <v>1067625</v>
      </c>
      <c r="K2598">
        <v>2025</v>
      </c>
      <c r="L2598">
        <v>1000884322</v>
      </c>
      <c r="M2598" t="s">
        <v>3945</v>
      </c>
      <c r="N2598" t="s">
        <v>1688</v>
      </c>
      <c r="O2598" t="s">
        <v>1686</v>
      </c>
      <c r="P2598">
        <v>0</v>
      </c>
      <c r="Q2598">
        <v>1067625</v>
      </c>
      <c r="R2598">
        <v>0</v>
      </c>
      <c r="S2598">
        <v>0</v>
      </c>
      <c r="T2598" t="str">
        <f t="shared" si="80"/>
        <v>21312.43.4302.85.0-205128.2.3.3.08.06.</v>
      </c>
      <c r="U2598" t="e" cm="1">
        <f t="array" aca="1" ref="U2598" ca="1">+IF(COMPROMISOS_2025[[#This Row],[P]]="20","41080111",_xlfn.XLOOKUP(COMPROMISOS_2025[[#This Row],[concatenado]],PAA[[#All],[RCP-RUBRO]],PAA[[#All],[INDICADOR]],"",0))</f>
        <v>#NAME?</v>
      </c>
      <c r="V2598" s="144" t="str">
        <f t="shared" si="81"/>
        <v>85</v>
      </c>
      <c r="W2598" s="136">
        <f>+COMPROMISOS_2025[[#This Row],[valor_total]]-COMPROMISOS_2025[[#This Row],[total_cancelado]]</f>
        <v>1067625</v>
      </c>
      <c r="X2598" s="136">
        <f>COMPROMISOS_2025[[#This Row],[total_ordenes]]</f>
        <v>1067625</v>
      </c>
      <c r="Y2598" t="str" cm="1">
        <f t="array" aca="1" ref="Y2598" ca="1">IFERROR(_xlfn.XLOOKUP(COMPROMISOS_2025[[#This Row],[concatenado]],PAA[[#All],[RCP-RUBRO]],PAA[[#All],[Actividad3]],VLOOKUP(COMPROMISOS_2025[[#This Row],[Indicador Principal]],$AC$2:$AD$17,2,0),0),"")</f>
        <v/>
      </c>
    </row>
    <row r="2599" spans="1:25" hidden="1" x14ac:dyDescent="0.25">
      <c r="A2599">
        <v>2132</v>
      </c>
      <c r="B2599" t="s">
        <v>2491</v>
      </c>
      <c r="C2599" t="s">
        <v>1936</v>
      </c>
      <c r="D2599" t="s">
        <v>3575</v>
      </c>
      <c r="F2599">
        <v>405</v>
      </c>
      <c r="G2599">
        <v>65</v>
      </c>
      <c r="H2599" t="s">
        <v>662</v>
      </c>
      <c r="I2599" t="s">
        <v>2271</v>
      </c>
      <c r="J2599">
        <v>711750</v>
      </c>
      <c r="K2599">
        <v>2025</v>
      </c>
      <c r="L2599">
        <v>1000888639</v>
      </c>
      <c r="M2599" t="s">
        <v>3946</v>
      </c>
      <c r="N2599" t="s">
        <v>1688</v>
      </c>
      <c r="O2599" t="s">
        <v>1686</v>
      </c>
      <c r="P2599">
        <v>0</v>
      </c>
      <c r="Q2599">
        <v>711750</v>
      </c>
      <c r="R2599">
        <v>0</v>
      </c>
      <c r="S2599">
        <v>0</v>
      </c>
      <c r="T2599" t="str">
        <f t="shared" si="80"/>
        <v>21322.43.4302.85.0-205128.2.3.3.08.06.</v>
      </c>
      <c r="U2599" t="e" cm="1">
        <f t="array" aca="1" ref="U2599" ca="1">+IF(COMPROMISOS_2025[[#This Row],[P]]="20","41080111",_xlfn.XLOOKUP(COMPROMISOS_2025[[#This Row],[concatenado]],PAA[[#All],[RCP-RUBRO]],PAA[[#All],[INDICADOR]],"",0))</f>
        <v>#NAME?</v>
      </c>
      <c r="V2599" s="144" t="str">
        <f t="shared" si="81"/>
        <v>85</v>
      </c>
      <c r="W2599" s="136">
        <f>+COMPROMISOS_2025[[#This Row],[valor_total]]-COMPROMISOS_2025[[#This Row],[total_cancelado]]</f>
        <v>711750</v>
      </c>
      <c r="X2599" s="136">
        <f>COMPROMISOS_2025[[#This Row],[total_ordenes]]</f>
        <v>711750</v>
      </c>
      <c r="Y2599" t="str" cm="1">
        <f t="array" aca="1" ref="Y2599" ca="1">IFERROR(_xlfn.XLOOKUP(COMPROMISOS_2025[[#This Row],[concatenado]],PAA[[#All],[RCP-RUBRO]],PAA[[#All],[Actividad3]],VLOOKUP(COMPROMISOS_2025[[#This Row],[Indicador Principal]],$AC$2:$AD$17,2,0),0),"")</f>
        <v/>
      </c>
    </row>
    <row r="2600" spans="1:25" hidden="1" x14ac:dyDescent="0.25">
      <c r="A2600">
        <v>2133</v>
      </c>
      <c r="B2600" t="s">
        <v>2491</v>
      </c>
      <c r="C2600" t="s">
        <v>1936</v>
      </c>
      <c r="D2600" t="s">
        <v>3575</v>
      </c>
      <c r="F2600">
        <v>405</v>
      </c>
      <c r="G2600">
        <v>65</v>
      </c>
      <c r="H2600" t="s">
        <v>662</v>
      </c>
      <c r="I2600" t="s">
        <v>2271</v>
      </c>
      <c r="J2600">
        <v>711750</v>
      </c>
      <c r="K2600">
        <v>2025</v>
      </c>
      <c r="L2600">
        <v>1000888866</v>
      </c>
      <c r="M2600" t="s">
        <v>4237</v>
      </c>
      <c r="N2600" t="s">
        <v>1688</v>
      </c>
      <c r="O2600" t="s">
        <v>1686</v>
      </c>
      <c r="P2600">
        <v>0</v>
      </c>
      <c r="Q2600">
        <v>711750</v>
      </c>
      <c r="R2600">
        <v>0</v>
      </c>
      <c r="S2600">
        <v>0</v>
      </c>
      <c r="T2600" t="str">
        <f t="shared" si="80"/>
        <v>21332.43.4302.85.0-205128.2.3.3.08.06.</v>
      </c>
      <c r="U2600" t="e" cm="1">
        <f t="array" aca="1" ref="U2600" ca="1">+IF(COMPROMISOS_2025[[#This Row],[P]]="20","41080111",_xlfn.XLOOKUP(COMPROMISOS_2025[[#This Row],[concatenado]],PAA[[#All],[RCP-RUBRO]],PAA[[#All],[INDICADOR]],"",0))</f>
        <v>#NAME?</v>
      </c>
      <c r="V2600" s="144" t="str">
        <f t="shared" si="81"/>
        <v>85</v>
      </c>
      <c r="W2600" s="136">
        <f>+COMPROMISOS_2025[[#This Row],[valor_total]]-COMPROMISOS_2025[[#This Row],[total_cancelado]]</f>
        <v>711750</v>
      </c>
      <c r="X2600" s="136">
        <f>COMPROMISOS_2025[[#This Row],[total_ordenes]]</f>
        <v>711750</v>
      </c>
      <c r="Y2600" t="str" cm="1">
        <f t="array" aca="1" ref="Y2600" ca="1">IFERROR(_xlfn.XLOOKUP(COMPROMISOS_2025[[#This Row],[concatenado]],PAA[[#All],[RCP-RUBRO]],PAA[[#All],[Actividad3]],VLOOKUP(COMPROMISOS_2025[[#This Row],[Indicador Principal]],$AC$2:$AD$17,2,0),0),"")</f>
        <v/>
      </c>
    </row>
    <row r="2601" spans="1:25" hidden="1" x14ac:dyDescent="0.25">
      <c r="A2601">
        <v>2134</v>
      </c>
      <c r="B2601" t="s">
        <v>2491</v>
      </c>
      <c r="C2601" t="s">
        <v>1936</v>
      </c>
      <c r="D2601" t="s">
        <v>3575</v>
      </c>
      <c r="F2601">
        <v>405</v>
      </c>
      <c r="G2601">
        <v>65</v>
      </c>
      <c r="H2601" t="s">
        <v>662</v>
      </c>
      <c r="I2601" t="s">
        <v>2271</v>
      </c>
      <c r="J2601">
        <v>1067625</v>
      </c>
      <c r="K2601">
        <v>2025</v>
      </c>
      <c r="L2601">
        <v>1000894273</v>
      </c>
      <c r="M2601" t="s">
        <v>3947</v>
      </c>
      <c r="N2601" t="s">
        <v>1688</v>
      </c>
      <c r="O2601" t="s">
        <v>1686</v>
      </c>
      <c r="P2601">
        <v>0</v>
      </c>
      <c r="Q2601">
        <v>1067625</v>
      </c>
      <c r="R2601">
        <v>0</v>
      </c>
      <c r="S2601">
        <v>0</v>
      </c>
      <c r="T2601" t="str">
        <f t="shared" si="80"/>
        <v>21342.43.4302.85.0-205128.2.3.3.08.06.</v>
      </c>
      <c r="U2601" t="e" cm="1">
        <f t="array" aca="1" ref="U2601" ca="1">+IF(COMPROMISOS_2025[[#This Row],[P]]="20","41080111",_xlfn.XLOOKUP(COMPROMISOS_2025[[#This Row],[concatenado]],PAA[[#All],[RCP-RUBRO]],PAA[[#All],[INDICADOR]],"",0))</f>
        <v>#NAME?</v>
      </c>
      <c r="V2601" s="144" t="str">
        <f t="shared" si="81"/>
        <v>85</v>
      </c>
      <c r="W2601" s="136">
        <f>+COMPROMISOS_2025[[#This Row],[valor_total]]-COMPROMISOS_2025[[#This Row],[total_cancelado]]</f>
        <v>1067625</v>
      </c>
      <c r="X2601" s="136">
        <f>COMPROMISOS_2025[[#This Row],[total_ordenes]]</f>
        <v>1067625</v>
      </c>
      <c r="Y2601" t="str" cm="1">
        <f t="array" aca="1" ref="Y2601" ca="1">IFERROR(_xlfn.XLOOKUP(COMPROMISOS_2025[[#This Row],[concatenado]],PAA[[#All],[RCP-RUBRO]],PAA[[#All],[Actividad3]],VLOOKUP(COMPROMISOS_2025[[#This Row],[Indicador Principal]],$AC$2:$AD$17,2,0),0),"")</f>
        <v/>
      </c>
    </row>
    <row r="2602" spans="1:25" hidden="1" x14ac:dyDescent="0.25">
      <c r="A2602">
        <v>2135</v>
      </c>
      <c r="B2602" t="s">
        <v>2491</v>
      </c>
      <c r="C2602" t="s">
        <v>1936</v>
      </c>
      <c r="D2602" t="s">
        <v>3575</v>
      </c>
      <c r="F2602">
        <v>405</v>
      </c>
      <c r="G2602">
        <v>65</v>
      </c>
      <c r="H2602" t="s">
        <v>662</v>
      </c>
      <c r="I2602" t="s">
        <v>2271</v>
      </c>
      <c r="J2602">
        <v>711750</v>
      </c>
      <c r="K2602">
        <v>2025</v>
      </c>
      <c r="L2602">
        <v>1000894492</v>
      </c>
      <c r="M2602" t="s">
        <v>3595</v>
      </c>
      <c r="N2602" t="s">
        <v>1688</v>
      </c>
      <c r="O2602" t="s">
        <v>1686</v>
      </c>
      <c r="P2602">
        <v>0</v>
      </c>
      <c r="Q2602">
        <v>711750</v>
      </c>
      <c r="R2602">
        <v>0</v>
      </c>
      <c r="S2602">
        <v>0</v>
      </c>
      <c r="T2602" t="str">
        <f t="shared" si="80"/>
        <v>21352.43.4302.85.0-205128.2.3.3.08.06.</v>
      </c>
      <c r="U2602" t="e" cm="1">
        <f t="array" aca="1" ref="U2602" ca="1">+IF(COMPROMISOS_2025[[#This Row],[P]]="20","41080111",_xlfn.XLOOKUP(COMPROMISOS_2025[[#This Row],[concatenado]],PAA[[#All],[RCP-RUBRO]],PAA[[#All],[INDICADOR]],"",0))</f>
        <v>#NAME?</v>
      </c>
      <c r="V2602" s="144" t="str">
        <f t="shared" si="81"/>
        <v>85</v>
      </c>
      <c r="W2602" s="136">
        <f>+COMPROMISOS_2025[[#This Row],[valor_total]]-COMPROMISOS_2025[[#This Row],[total_cancelado]]</f>
        <v>711750</v>
      </c>
      <c r="X2602" s="136">
        <f>COMPROMISOS_2025[[#This Row],[total_ordenes]]</f>
        <v>711750</v>
      </c>
      <c r="Y2602" t="str" cm="1">
        <f t="array" aca="1" ref="Y2602" ca="1">IFERROR(_xlfn.XLOOKUP(COMPROMISOS_2025[[#This Row],[concatenado]],PAA[[#All],[RCP-RUBRO]],PAA[[#All],[Actividad3]],VLOOKUP(COMPROMISOS_2025[[#This Row],[Indicador Principal]],$AC$2:$AD$17,2,0),0),"")</f>
        <v/>
      </c>
    </row>
    <row r="2603" spans="1:25" hidden="1" x14ac:dyDescent="0.25">
      <c r="A2603">
        <v>2136</v>
      </c>
      <c r="B2603" t="s">
        <v>2491</v>
      </c>
      <c r="C2603" t="s">
        <v>1936</v>
      </c>
      <c r="D2603" t="s">
        <v>3575</v>
      </c>
      <c r="F2603">
        <v>405</v>
      </c>
      <c r="G2603">
        <v>65</v>
      </c>
      <c r="H2603" t="s">
        <v>662</v>
      </c>
      <c r="I2603" t="s">
        <v>2271</v>
      </c>
      <c r="J2603">
        <v>1067625</v>
      </c>
      <c r="K2603">
        <v>2025</v>
      </c>
      <c r="L2603">
        <v>1000896704</v>
      </c>
      <c r="M2603" t="s">
        <v>3948</v>
      </c>
      <c r="N2603" t="s">
        <v>1688</v>
      </c>
      <c r="O2603" t="s">
        <v>1686</v>
      </c>
      <c r="P2603">
        <v>0</v>
      </c>
      <c r="Q2603">
        <v>1067625</v>
      </c>
      <c r="R2603">
        <v>0</v>
      </c>
      <c r="S2603">
        <v>0</v>
      </c>
      <c r="T2603" t="str">
        <f t="shared" si="80"/>
        <v>21362.43.4302.85.0-205128.2.3.3.08.06.</v>
      </c>
      <c r="U2603" t="e" cm="1">
        <f t="array" aca="1" ref="U2603" ca="1">+IF(COMPROMISOS_2025[[#This Row],[P]]="20","41080111",_xlfn.XLOOKUP(COMPROMISOS_2025[[#This Row],[concatenado]],PAA[[#All],[RCP-RUBRO]],PAA[[#All],[INDICADOR]],"",0))</f>
        <v>#NAME?</v>
      </c>
      <c r="V2603" s="144" t="str">
        <f t="shared" si="81"/>
        <v>85</v>
      </c>
      <c r="W2603" s="136">
        <f>+COMPROMISOS_2025[[#This Row],[valor_total]]-COMPROMISOS_2025[[#This Row],[total_cancelado]]</f>
        <v>1067625</v>
      </c>
      <c r="X2603" s="136">
        <f>COMPROMISOS_2025[[#This Row],[total_ordenes]]</f>
        <v>1067625</v>
      </c>
      <c r="Y2603" t="str" cm="1">
        <f t="array" aca="1" ref="Y2603" ca="1">IFERROR(_xlfn.XLOOKUP(COMPROMISOS_2025[[#This Row],[concatenado]],PAA[[#All],[RCP-RUBRO]],PAA[[#All],[Actividad3]],VLOOKUP(COMPROMISOS_2025[[#This Row],[Indicador Principal]],$AC$2:$AD$17,2,0),0),"")</f>
        <v/>
      </c>
    </row>
    <row r="2604" spans="1:25" hidden="1" x14ac:dyDescent="0.25">
      <c r="A2604">
        <v>2138</v>
      </c>
      <c r="B2604" t="s">
        <v>2491</v>
      </c>
      <c r="C2604" t="s">
        <v>1936</v>
      </c>
      <c r="D2604" t="s">
        <v>3575</v>
      </c>
      <c r="F2604">
        <v>405</v>
      </c>
      <c r="G2604">
        <v>65</v>
      </c>
      <c r="H2604" t="s">
        <v>662</v>
      </c>
      <c r="I2604" t="s">
        <v>2271</v>
      </c>
      <c r="J2604">
        <v>1067625</v>
      </c>
      <c r="K2604">
        <v>2025</v>
      </c>
      <c r="L2604">
        <v>1000898031</v>
      </c>
      <c r="M2604" t="s">
        <v>4238</v>
      </c>
      <c r="N2604" t="s">
        <v>1688</v>
      </c>
      <c r="O2604" t="s">
        <v>1686</v>
      </c>
      <c r="P2604">
        <v>0</v>
      </c>
      <c r="Q2604">
        <v>1067625</v>
      </c>
      <c r="R2604">
        <v>0</v>
      </c>
      <c r="S2604">
        <v>0</v>
      </c>
      <c r="T2604" t="str">
        <f t="shared" si="80"/>
        <v>21382.43.4302.85.0-205128.2.3.3.08.06.</v>
      </c>
      <c r="U2604" t="e" cm="1">
        <f t="array" aca="1" ref="U2604" ca="1">+IF(COMPROMISOS_2025[[#This Row],[P]]="20","41080111",_xlfn.XLOOKUP(COMPROMISOS_2025[[#This Row],[concatenado]],PAA[[#All],[RCP-RUBRO]],PAA[[#All],[INDICADOR]],"",0))</f>
        <v>#NAME?</v>
      </c>
      <c r="V2604" s="144" t="str">
        <f t="shared" si="81"/>
        <v>85</v>
      </c>
      <c r="W2604" s="136">
        <f>+COMPROMISOS_2025[[#This Row],[valor_total]]-COMPROMISOS_2025[[#This Row],[total_cancelado]]</f>
        <v>1067625</v>
      </c>
      <c r="X2604" s="136">
        <f>COMPROMISOS_2025[[#This Row],[total_ordenes]]</f>
        <v>1067625</v>
      </c>
      <c r="Y2604" t="str" cm="1">
        <f t="array" aca="1" ref="Y2604" ca="1">IFERROR(_xlfn.XLOOKUP(COMPROMISOS_2025[[#This Row],[concatenado]],PAA[[#All],[RCP-RUBRO]],PAA[[#All],[Actividad3]],VLOOKUP(COMPROMISOS_2025[[#This Row],[Indicador Principal]],$AC$2:$AD$17,2,0),0),"")</f>
        <v/>
      </c>
    </row>
    <row r="2605" spans="1:25" hidden="1" x14ac:dyDescent="0.25">
      <c r="A2605">
        <v>2139</v>
      </c>
      <c r="B2605" t="s">
        <v>2491</v>
      </c>
      <c r="C2605" t="s">
        <v>1936</v>
      </c>
      <c r="D2605" t="s">
        <v>3575</v>
      </c>
      <c r="F2605">
        <v>405</v>
      </c>
      <c r="G2605">
        <v>65</v>
      </c>
      <c r="H2605" t="s">
        <v>662</v>
      </c>
      <c r="I2605" t="s">
        <v>2271</v>
      </c>
      <c r="J2605">
        <v>711750</v>
      </c>
      <c r="K2605">
        <v>2025</v>
      </c>
      <c r="L2605">
        <v>1000903085</v>
      </c>
      <c r="M2605" t="s">
        <v>4239</v>
      </c>
      <c r="N2605" t="s">
        <v>1688</v>
      </c>
      <c r="O2605" t="s">
        <v>1686</v>
      </c>
      <c r="P2605">
        <v>0</v>
      </c>
      <c r="Q2605">
        <v>711750</v>
      </c>
      <c r="R2605">
        <v>0</v>
      </c>
      <c r="S2605">
        <v>0</v>
      </c>
      <c r="T2605" t="str">
        <f t="shared" si="80"/>
        <v>21392.43.4302.85.0-205128.2.3.3.08.06.</v>
      </c>
      <c r="U2605" t="e" cm="1">
        <f t="array" aca="1" ref="U2605" ca="1">+IF(COMPROMISOS_2025[[#This Row],[P]]="20","41080111",_xlfn.XLOOKUP(COMPROMISOS_2025[[#This Row],[concatenado]],PAA[[#All],[RCP-RUBRO]],PAA[[#All],[INDICADOR]],"",0))</f>
        <v>#NAME?</v>
      </c>
      <c r="V2605" s="144" t="str">
        <f t="shared" si="81"/>
        <v>85</v>
      </c>
      <c r="W2605" s="136">
        <f>+COMPROMISOS_2025[[#This Row],[valor_total]]-COMPROMISOS_2025[[#This Row],[total_cancelado]]</f>
        <v>711750</v>
      </c>
      <c r="X2605" s="136">
        <f>COMPROMISOS_2025[[#This Row],[total_ordenes]]</f>
        <v>711750</v>
      </c>
      <c r="Y2605" t="str" cm="1">
        <f t="array" aca="1" ref="Y2605" ca="1">IFERROR(_xlfn.XLOOKUP(COMPROMISOS_2025[[#This Row],[concatenado]],PAA[[#All],[RCP-RUBRO]],PAA[[#All],[Actividad3]],VLOOKUP(COMPROMISOS_2025[[#This Row],[Indicador Principal]],$AC$2:$AD$17,2,0),0),"")</f>
        <v/>
      </c>
    </row>
    <row r="2606" spans="1:25" hidden="1" x14ac:dyDescent="0.25">
      <c r="A2606">
        <v>2140</v>
      </c>
      <c r="B2606" t="s">
        <v>2491</v>
      </c>
      <c r="C2606" t="s">
        <v>1936</v>
      </c>
      <c r="D2606" t="s">
        <v>3575</v>
      </c>
      <c r="F2606">
        <v>405</v>
      </c>
      <c r="G2606">
        <v>65</v>
      </c>
      <c r="H2606" t="s">
        <v>662</v>
      </c>
      <c r="I2606" t="s">
        <v>2271</v>
      </c>
      <c r="J2606">
        <v>1423500</v>
      </c>
      <c r="K2606">
        <v>2025</v>
      </c>
      <c r="L2606">
        <v>1000921491</v>
      </c>
      <c r="M2606" t="s">
        <v>3949</v>
      </c>
      <c r="N2606" t="s">
        <v>1688</v>
      </c>
      <c r="O2606" t="s">
        <v>1686</v>
      </c>
      <c r="P2606">
        <v>0</v>
      </c>
      <c r="Q2606">
        <v>1423500</v>
      </c>
      <c r="R2606">
        <v>0</v>
      </c>
      <c r="S2606">
        <v>0</v>
      </c>
      <c r="T2606" t="str">
        <f t="shared" si="80"/>
        <v>21402.43.4302.85.0-205128.2.3.3.08.06.</v>
      </c>
      <c r="U2606" t="e" cm="1">
        <f t="array" aca="1" ref="U2606" ca="1">+IF(COMPROMISOS_2025[[#This Row],[P]]="20","41080111",_xlfn.XLOOKUP(COMPROMISOS_2025[[#This Row],[concatenado]],PAA[[#All],[RCP-RUBRO]],PAA[[#All],[INDICADOR]],"",0))</f>
        <v>#NAME?</v>
      </c>
      <c r="V2606" s="144" t="str">
        <f t="shared" si="81"/>
        <v>85</v>
      </c>
      <c r="W2606" s="136">
        <f>+COMPROMISOS_2025[[#This Row],[valor_total]]-COMPROMISOS_2025[[#This Row],[total_cancelado]]</f>
        <v>1423500</v>
      </c>
      <c r="X2606" s="136">
        <f>COMPROMISOS_2025[[#This Row],[total_ordenes]]</f>
        <v>1423500</v>
      </c>
      <c r="Y2606" t="str" cm="1">
        <f t="array" aca="1" ref="Y2606" ca="1">IFERROR(_xlfn.XLOOKUP(COMPROMISOS_2025[[#This Row],[concatenado]],PAA[[#All],[RCP-RUBRO]],PAA[[#All],[Actividad3]],VLOOKUP(COMPROMISOS_2025[[#This Row],[Indicador Principal]],$AC$2:$AD$17,2,0),0),"")</f>
        <v/>
      </c>
    </row>
    <row r="2607" spans="1:25" hidden="1" x14ac:dyDescent="0.25">
      <c r="A2607">
        <v>2141</v>
      </c>
      <c r="B2607" t="s">
        <v>2491</v>
      </c>
      <c r="C2607" t="s">
        <v>1936</v>
      </c>
      <c r="D2607" t="s">
        <v>3575</v>
      </c>
      <c r="F2607">
        <v>405</v>
      </c>
      <c r="G2607">
        <v>65</v>
      </c>
      <c r="H2607" t="s">
        <v>662</v>
      </c>
      <c r="I2607" t="s">
        <v>2271</v>
      </c>
      <c r="J2607">
        <v>1067625</v>
      </c>
      <c r="K2607">
        <v>2025</v>
      </c>
      <c r="L2607">
        <v>1000940142</v>
      </c>
      <c r="M2607" t="s">
        <v>3950</v>
      </c>
      <c r="N2607" t="s">
        <v>1688</v>
      </c>
      <c r="O2607" t="s">
        <v>1686</v>
      </c>
      <c r="P2607">
        <v>0</v>
      </c>
      <c r="Q2607">
        <v>1067625</v>
      </c>
      <c r="R2607">
        <v>0</v>
      </c>
      <c r="S2607">
        <v>0</v>
      </c>
      <c r="T2607" t="str">
        <f t="shared" si="80"/>
        <v>21412.43.4302.85.0-205128.2.3.3.08.06.</v>
      </c>
      <c r="U2607" t="e" cm="1">
        <f t="array" aca="1" ref="U2607" ca="1">+IF(COMPROMISOS_2025[[#This Row],[P]]="20","41080111",_xlfn.XLOOKUP(COMPROMISOS_2025[[#This Row],[concatenado]],PAA[[#All],[RCP-RUBRO]],PAA[[#All],[INDICADOR]],"",0))</f>
        <v>#NAME?</v>
      </c>
      <c r="V2607" s="144" t="str">
        <f t="shared" si="81"/>
        <v>85</v>
      </c>
      <c r="W2607" s="136">
        <f>+COMPROMISOS_2025[[#This Row],[valor_total]]-COMPROMISOS_2025[[#This Row],[total_cancelado]]</f>
        <v>1067625</v>
      </c>
      <c r="X2607" s="136">
        <f>COMPROMISOS_2025[[#This Row],[total_ordenes]]</f>
        <v>1067625</v>
      </c>
      <c r="Y2607" t="str" cm="1">
        <f t="array" aca="1" ref="Y2607" ca="1">IFERROR(_xlfn.XLOOKUP(COMPROMISOS_2025[[#This Row],[concatenado]],PAA[[#All],[RCP-RUBRO]],PAA[[#All],[Actividad3]],VLOOKUP(COMPROMISOS_2025[[#This Row],[Indicador Principal]],$AC$2:$AD$17,2,0),0),"")</f>
        <v/>
      </c>
    </row>
    <row r="2608" spans="1:25" hidden="1" x14ac:dyDescent="0.25">
      <c r="A2608">
        <v>2143</v>
      </c>
      <c r="B2608" t="s">
        <v>2491</v>
      </c>
      <c r="C2608" t="s">
        <v>1936</v>
      </c>
      <c r="D2608" t="s">
        <v>3575</v>
      </c>
      <c r="F2608">
        <v>405</v>
      </c>
      <c r="G2608">
        <v>65</v>
      </c>
      <c r="H2608" t="s">
        <v>662</v>
      </c>
      <c r="I2608" t="s">
        <v>2271</v>
      </c>
      <c r="J2608">
        <v>1067625</v>
      </c>
      <c r="K2608">
        <v>2025</v>
      </c>
      <c r="L2608">
        <v>1001011199</v>
      </c>
      <c r="M2608" t="s">
        <v>4240</v>
      </c>
      <c r="N2608" t="s">
        <v>1688</v>
      </c>
      <c r="O2608" t="s">
        <v>1686</v>
      </c>
      <c r="P2608">
        <v>0</v>
      </c>
      <c r="Q2608">
        <v>1067625</v>
      </c>
      <c r="R2608">
        <v>0</v>
      </c>
      <c r="S2608">
        <v>0</v>
      </c>
      <c r="T2608" t="str">
        <f t="shared" si="80"/>
        <v>21432.43.4302.85.0-205128.2.3.3.08.06.</v>
      </c>
      <c r="U2608" t="e" cm="1">
        <f t="array" aca="1" ref="U2608" ca="1">+IF(COMPROMISOS_2025[[#This Row],[P]]="20","41080111",_xlfn.XLOOKUP(COMPROMISOS_2025[[#This Row],[concatenado]],PAA[[#All],[RCP-RUBRO]],PAA[[#All],[INDICADOR]],"",0))</f>
        <v>#NAME?</v>
      </c>
      <c r="V2608" s="144" t="str">
        <f t="shared" si="81"/>
        <v>85</v>
      </c>
      <c r="W2608" s="136">
        <f>+COMPROMISOS_2025[[#This Row],[valor_total]]-COMPROMISOS_2025[[#This Row],[total_cancelado]]</f>
        <v>1067625</v>
      </c>
      <c r="X2608" s="136">
        <f>COMPROMISOS_2025[[#This Row],[total_ordenes]]</f>
        <v>1067625</v>
      </c>
      <c r="Y2608" t="str" cm="1">
        <f t="array" aca="1" ref="Y2608" ca="1">IFERROR(_xlfn.XLOOKUP(COMPROMISOS_2025[[#This Row],[concatenado]],PAA[[#All],[RCP-RUBRO]],PAA[[#All],[Actividad3]],VLOOKUP(COMPROMISOS_2025[[#This Row],[Indicador Principal]],$AC$2:$AD$17,2,0),0),"")</f>
        <v/>
      </c>
    </row>
    <row r="2609" spans="1:25" hidden="1" x14ac:dyDescent="0.25">
      <c r="A2609">
        <v>2144</v>
      </c>
      <c r="B2609" t="s">
        <v>2491</v>
      </c>
      <c r="C2609" t="s">
        <v>1936</v>
      </c>
      <c r="D2609" t="s">
        <v>3575</v>
      </c>
      <c r="F2609">
        <v>405</v>
      </c>
      <c r="G2609">
        <v>65</v>
      </c>
      <c r="H2609" t="s">
        <v>662</v>
      </c>
      <c r="I2609" t="s">
        <v>2271</v>
      </c>
      <c r="J2609">
        <v>2847000</v>
      </c>
      <c r="K2609">
        <v>2025</v>
      </c>
      <c r="L2609">
        <v>1001014623</v>
      </c>
      <c r="M2609" t="s">
        <v>4241</v>
      </c>
      <c r="N2609" t="s">
        <v>1688</v>
      </c>
      <c r="O2609" t="s">
        <v>1686</v>
      </c>
      <c r="P2609">
        <v>0</v>
      </c>
      <c r="Q2609">
        <v>2847000</v>
      </c>
      <c r="R2609">
        <v>0</v>
      </c>
      <c r="S2609">
        <v>0</v>
      </c>
      <c r="T2609" t="str">
        <f t="shared" si="80"/>
        <v>21442.43.4302.85.0-205128.2.3.3.08.06.</v>
      </c>
      <c r="U2609" t="e" cm="1">
        <f t="array" aca="1" ref="U2609" ca="1">+IF(COMPROMISOS_2025[[#This Row],[P]]="20","41080111",_xlfn.XLOOKUP(COMPROMISOS_2025[[#This Row],[concatenado]],PAA[[#All],[RCP-RUBRO]],PAA[[#All],[INDICADOR]],"",0))</f>
        <v>#NAME?</v>
      </c>
      <c r="V2609" s="144" t="str">
        <f t="shared" si="81"/>
        <v>85</v>
      </c>
      <c r="W2609" s="136">
        <f>+COMPROMISOS_2025[[#This Row],[valor_total]]-COMPROMISOS_2025[[#This Row],[total_cancelado]]</f>
        <v>2847000</v>
      </c>
      <c r="X2609" s="136">
        <f>COMPROMISOS_2025[[#This Row],[total_ordenes]]</f>
        <v>2847000</v>
      </c>
      <c r="Y2609" t="str" cm="1">
        <f t="array" aca="1" ref="Y2609" ca="1">IFERROR(_xlfn.XLOOKUP(COMPROMISOS_2025[[#This Row],[concatenado]],PAA[[#All],[RCP-RUBRO]],PAA[[#All],[Actividad3]],VLOOKUP(COMPROMISOS_2025[[#This Row],[Indicador Principal]],$AC$2:$AD$17,2,0),0),"")</f>
        <v/>
      </c>
    </row>
    <row r="2610" spans="1:25" hidden="1" x14ac:dyDescent="0.25">
      <c r="A2610">
        <v>2145</v>
      </c>
      <c r="B2610" t="s">
        <v>2491</v>
      </c>
      <c r="C2610" t="s">
        <v>1936</v>
      </c>
      <c r="D2610" t="s">
        <v>3575</v>
      </c>
      <c r="F2610">
        <v>405</v>
      </c>
      <c r="G2610">
        <v>65</v>
      </c>
      <c r="H2610" t="s">
        <v>662</v>
      </c>
      <c r="I2610" t="s">
        <v>2271</v>
      </c>
      <c r="J2610">
        <v>1067625</v>
      </c>
      <c r="K2610">
        <v>2025</v>
      </c>
      <c r="L2610">
        <v>1001015877</v>
      </c>
      <c r="M2610" t="s">
        <v>4242</v>
      </c>
      <c r="N2610" t="s">
        <v>1688</v>
      </c>
      <c r="O2610" t="s">
        <v>1686</v>
      </c>
      <c r="P2610">
        <v>0</v>
      </c>
      <c r="Q2610">
        <v>1067625</v>
      </c>
      <c r="R2610">
        <v>0</v>
      </c>
      <c r="S2610">
        <v>0</v>
      </c>
      <c r="T2610" t="str">
        <f t="shared" si="80"/>
        <v>21452.43.4302.85.0-205128.2.3.3.08.06.</v>
      </c>
      <c r="U2610" t="e" cm="1">
        <f t="array" aca="1" ref="U2610" ca="1">+IF(COMPROMISOS_2025[[#This Row],[P]]="20","41080111",_xlfn.XLOOKUP(COMPROMISOS_2025[[#This Row],[concatenado]],PAA[[#All],[RCP-RUBRO]],PAA[[#All],[INDICADOR]],"",0))</f>
        <v>#NAME?</v>
      </c>
      <c r="V2610" s="144" t="str">
        <f t="shared" si="81"/>
        <v>85</v>
      </c>
      <c r="W2610" s="136">
        <f>+COMPROMISOS_2025[[#This Row],[valor_total]]-COMPROMISOS_2025[[#This Row],[total_cancelado]]</f>
        <v>1067625</v>
      </c>
      <c r="X2610" s="136">
        <f>COMPROMISOS_2025[[#This Row],[total_ordenes]]</f>
        <v>1067625</v>
      </c>
      <c r="Y2610" t="str" cm="1">
        <f t="array" aca="1" ref="Y2610" ca="1">IFERROR(_xlfn.XLOOKUP(COMPROMISOS_2025[[#This Row],[concatenado]],PAA[[#All],[RCP-RUBRO]],PAA[[#All],[Actividad3]],VLOOKUP(COMPROMISOS_2025[[#This Row],[Indicador Principal]],$AC$2:$AD$17,2,0),0),"")</f>
        <v/>
      </c>
    </row>
    <row r="2611" spans="1:25" hidden="1" x14ac:dyDescent="0.25">
      <c r="A2611">
        <v>2146</v>
      </c>
      <c r="B2611" t="s">
        <v>2491</v>
      </c>
      <c r="C2611" t="s">
        <v>1936</v>
      </c>
      <c r="D2611" t="s">
        <v>3575</v>
      </c>
      <c r="F2611">
        <v>405</v>
      </c>
      <c r="G2611">
        <v>65</v>
      </c>
      <c r="H2611" t="s">
        <v>662</v>
      </c>
      <c r="I2611" t="s">
        <v>2271</v>
      </c>
      <c r="J2611">
        <v>711750</v>
      </c>
      <c r="K2611">
        <v>2025</v>
      </c>
      <c r="L2611">
        <v>1001016039</v>
      </c>
      <c r="M2611" t="s">
        <v>3952</v>
      </c>
      <c r="N2611" t="s">
        <v>1688</v>
      </c>
      <c r="O2611" t="s">
        <v>1686</v>
      </c>
      <c r="P2611">
        <v>0</v>
      </c>
      <c r="Q2611">
        <v>711750</v>
      </c>
      <c r="R2611">
        <v>0</v>
      </c>
      <c r="S2611">
        <v>0</v>
      </c>
      <c r="T2611" t="str">
        <f t="shared" si="80"/>
        <v>21462.43.4302.85.0-205128.2.3.3.08.06.</v>
      </c>
      <c r="U2611" t="e" cm="1">
        <f t="array" aca="1" ref="U2611" ca="1">+IF(COMPROMISOS_2025[[#This Row],[P]]="20","41080111",_xlfn.XLOOKUP(COMPROMISOS_2025[[#This Row],[concatenado]],PAA[[#All],[RCP-RUBRO]],PAA[[#All],[INDICADOR]],"",0))</f>
        <v>#NAME?</v>
      </c>
      <c r="V2611" s="144" t="str">
        <f t="shared" si="81"/>
        <v>85</v>
      </c>
      <c r="W2611" s="136">
        <f>+COMPROMISOS_2025[[#This Row],[valor_total]]-COMPROMISOS_2025[[#This Row],[total_cancelado]]</f>
        <v>711750</v>
      </c>
      <c r="X2611" s="136">
        <f>COMPROMISOS_2025[[#This Row],[total_ordenes]]</f>
        <v>711750</v>
      </c>
      <c r="Y2611" t="str" cm="1">
        <f t="array" aca="1" ref="Y2611" ca="1">IFERROR(_xlfn.XLOOKUP(COMPROMISOS_2025[[#This Row],[concatenado]],PAA[[#All],[RCP-RUBRO]],PAA[[#All],[Actividad3]],VLOOKUP(COMPROMISOS_2025[[#This Row],[Indicador Principal]],$AC$2:$AD$17,2,0),0),"")</f>
        <v/>
      </c>
    </row>
    <row r="2612" spans="1:25" hidden="1" x14ac:dyDescent="0.25">
      <c r="A2612">
        <v>2147</v>
      </c>
      <c r="B2612" t="s">
        <v>2491</v>
      </c>
      <c r="C2612" t="s">
        <v>1936</v>
      </c>
      <c r="D2612" t="s">
        <v>3575</v>
      </c>
      <c r="F2612">
        <v>405</v>
      </c>
      <c r="G2612">
        <v>65</v>
      </c>
      <c r="H2612" t="s">
        <v>662</v>
      </c>
      <c r="I2612" t="s">
        <v>2271</v>
      </c>
      <c r="J2612">
        <v>711750</v>
      </c>
      <c r="K2612">
        <v>2025</v>
      </c>
      <c r="L2612">
        <v>1001017226</v>
      </c>
      <c r="M2612" t="s">
        <v>4243</v>
      </c>
      <c r="N2612" t="s">
        <v>1688</v>
      </c>
      <c r="O2612" t="s">
        <v>1686</v>
      </c>
      <c r="P2612">
        <v>0</v>
      </c>
      <c r="Q2612">
        <v>711750</v>
      </c>
      <c r="R2612">
        <v>0</v>
      </c>
      <c r="S2612">
        <v>0</v>
      </c>
      <c r="T2612" t="str">
        <f t="shared" si="80"/>
        <v>21472.43.4302.85.0-205128.2.3.3.08.06.</v>
      </c>
      <c r="U2612" t="e" cm="1">
        <f t="array" aca="1" ref="U2612" ca="1">+IF(COMPROMISOS_2025[[#This Row],[P]]="20","41080111",_xlfn.XLOOKUP(COMPROMISOS_2025[[#This Row],[concatenado]],PAA[[#All],[RCP-RUBRO]],PAA[[#All],[INDICADOR]],"",0))</f>
        <v>#NAME?</v>
      </c>
      <c r="V2612" s="144" t="str">
        <f t="shared" si="81"/>
        <v>85</v>
      </c>
      <c r="W2612" s="136">
        <f>+COMPROMISOS_2025[[#This Row],[valor_total]]-COMPROMISOS_2025[[#This Row],[total_cancelado]]</f>
        <v>711750</v>
      </c>
      <c r="X2612" s="136">
        <f>COMPROMISOS_2025[[#This Row],[total_ordenes]]</f>
        <v>711750</v>
      </c>
      <c r="Y2612" t="str" cm="1">
        <f t="array" aca="1" ref="Y2612" ca="1">IFERROR(_xlfn.XLOOKUP(COMPROMISOS_2025[[#This Row],[concatenado]],PAA[[#All],[RCP-RUBRO]],PAA[[#All],[Actividad3]],VLOOKUP(COMPROMISOS_2025[[#This Row],[Indicador Principal]],$AC$2:$AD$17,2,0),0),"")</f>
        <v/>
      </c>
    </row>
    <row r="2613" spans="1:25" hidden="1" x14ac:dyDescent="0.25">
      <c r="A2613">
        <v>2148</v>
      </c>
      <c r="B2613" t="s">
        <v>2491</v>
      </c>
      <c r="C2613" t="s">
        <v>1936</v>
      </c>
      <c r="D2613" t="s">
        <v>3575</v>
      </c>
      <c r="F2613">
        <v>405</v>
      </c>
      <c r="G2613">
        <v>65</v>
      </c>
      <c r="H2613" t="s">
        <v>662</v>
      </c>
      <c r="I2613" t="s">
        <v>2271</v>
      </c>
      <c r="J2613">
        <v>711750</v>
      </c>
      <c r="K2613">
        <v>2025</v>
      </c>
      <c r="L2613">
        <v>1001017616</v>
      </c>
      <c r="M2613" t="s">
        <v>3953</v>
      </c>
      <c r="N2613" t="s">
        <v>1688</v>
      </c>
      <c r="O2613" t="s">
        <v>1686</v>
      </c>
      <c r="P2613">
        <v>0</v>
      </c>
      <c r="Q2613">
        <v>711750</v>
      </c>
      <c r="R2613">
        <v>0</v>
      </c>
      <c r="S2613">
        <v>0</v>
      </c>
      <c r="T2613" t="str">
        <f t="shared" si="80"/>
        <v>21482.43.4302.85.0-205128.2.3.3.08.06.</v>
      </c>
      <c r="U2613" t="e" cm="1">
        <f t="array" aca="1" ref="U2613" ca="1">+IF(COMPROMISOS_2025[[#This Row],[P]]="20","41080111",_xlfn.XLOOKUP(COMPROMISOS_2025[[#This Row],[concatenado]],PAA[[#All],[RCP-RUBRO]],PAA[[#All],[INDICADOR]],"",0))</f>
        <v>#NAME?</v>
      </c>
      <c r="V2613" s="144" t="str">
        <f t="shared" si="81"/>
        <v>85</v>
      </c>
      <c r="W2613" s="136">
        <f>+COMPROMISOS_2025[[#This Row],[valor_total]]-COMPROMISOS_2025[[#This Row],[total_cancelado]]</f>
        <v>711750</v>
      </c>
      <c r="X2613" s="136">
        <f>COMPROMISOS_2025[[#This Row],[total_ordenes]]</f>
        <v>711750</v>
      </c>
      <c r="Y2613" t="str" cm="1">
        <f t="array" aca="1" ref="Y2613" ca="1">IFERROR(_xlfn.XLOOKUP(COMPROMISOS_2025[[#This Row],[concatenado]],PAA[[#All],[RCP-RUBRO]],PAA[[#All],[Actividad3]],VLOOKUP(COMPROMISOS_2025[[#This Row],[Indicador Principal]],$AC$2:$AD$17,2,0),0),"")</f>
        <v/>
      </c>
    </row>
    <row r="2614" spans="1:25" hidden="1" x14ac:dyDescent="0.25">
      <c r="A2614">
        <v>2149</v>
      </c>
      <c r="B2614" t="s">
        <v>2491</v>
      </c>
      <c r="C2614" t="s">
        <v>1936</v>
      </c>
      <c r="D2614" t="s">
        <v>3575</v>
      </c>
      <c r="F2614">
        <v>405</v>
      </c>
      <c r="G2614">
        <v>65</v>
      </c>
      <c r="H2614" t="s">
        <v>662</v>
      </c>
      <c r="I2614" t="s">
        <v>2271</v>
      </c>
      <c r="J2614">
        <v>4270500</v>
      </c>
      <c r="K2614">
        <v>2025</v>
      </c>
      <c r="L2614">
        <v>1001021746</v>
      </c>
      <c r="M2614" t="s">
        <v>3954</v>
      </c>
      <c r="N2614" t="s">
        <v>1688</v>
      </c>
      <c r="O2614" t="s">
        <v>1686</v>
      </c>
      <c r="P2614">
        <v>0</v>
      </c>
      <c r="Q2614">
        <v>4270500</v>
      </c>
      <c r="R2614">
        <v>0</v>
      </c>
      <c r="S2614">
        <v>0</v>
      </c>
      <c r="T2614" t="str">
        <f t="shared" si="80"/>
        <v>21492.43.4302.85.0-205128.2.3.3.08.06.</v>
      </c>
      <c r="U2614" t="e" cm="1">
        <f t="array" aca="1" ref="U2614" ca="1">+IF(COMPROMISOS_2025[[#This Row],[P]]="20","41080111",_xlfn.XLOOKUP(COMPROMISOS_2025[[#This Row],[concatenado]],PAA[[#All],[RCP-RUBRO]],PAA[[#All],[INDICADOR]],"",0))</f>
        <v>#NAME?</v>
      </c>
      <c r="V2614" s="144" t="str">
        <f t="shared" si="81"/>
        <v>85</v>
      </c>
      <c r="W2614" s="136">
        <f>+COMPROMISOS_2025[[#This Row],[valor_total]]-COMPROMISOS_2025[[#This Row],[total_cancelado]]</f>
        <v>4270500</v>
      </c>
      <c r="X2614" s="136">
        <f>COMPROMISOS_2025[[#This Row],[total_ordenes]]</f>
        <v>4270500</v>
      </c>
      <c r="Y2614" t="str" cm="1">
        <f t="array" aca="1" ref="Y2614" ca="1">IFERROR(_xlfn.XLOOKUP(COMPROMISOS_2025[[#This Row],[concatenado]],PAA[[#All],[RCP-RUBRO]],PAA[[#All],[Actividad3]],VLOOKUP(COMPROMISOS_2025[[#This Row],[Indicador Principal]],$AC$2:$AD$17,2,0),0),"")</f>
        <v/>
      </c>
    </row>
    <row r="2615" spans="1:25" hidden="1" x14ac:dyDescent="0.25">
      <c r="A2615">
        <v>2150</v>
      </c>
      <c r="B2615" t="s">
        <v>2491</v>
      </c>
      <c r="C2615" t="s">
        <v>1936</v>
      </c>
      <c r="D2615" t="s">
        <v>3575</v>
      </c>
      <c r="F2615">
        <v>405</v>
      </c>
      <c r="G2615">
        <v>65</v>
      </c>
      <c r="H2615" t="s">
        <v>662</v>
      </c>
      <c r="I2615" t="s">
        <v>2271</v>
      </c>
      <c r="J2615">
        <v>1067625</v>
      </c>
      <c r="K2615">
        <v>2025</v>
      </c>
      <c r="L2615">
        <v>1001021775</v>
      </c>
      <c r="M2615" t="s">
        <v>3955</v>
      </c>
      <c r="N2615" t="s">
        <v>1688</v>
      </c>
      <c r="O2615" t="s">
        <v>1686</v>
      </c>
      <c r="P2615">
        <v>0</v>
      </c>
      <c r="Q2615">
        <v>1067625</v>
      </c>
      <c r="R2615">
        <v>0</v>
      </c>
      <c r="S2615">
        <v>0</v>
      </c>
      <c r="T2615" t="str">
        <f t="shared" si="80"/>
        <v>21502.43.4302.85.0-205128.2.3.3.08.06.</v>
      </c>
      <c r="U2615" t="e" cm="1">
        <f t="array" aca="1" ref="U2615" ca="1">+IF(COMPROMISOS_2025[[#This Row],[P]]="20","41080111",_xlfn.XLOOKUP(COMPROMISOS_2025[[#This Row],[concatenado]],PAA[[#All],[RCP-RUBRO]],PAA[[#All],[INDICADOR]],"",0))</f>
        <v>#NAME?</v>
      </c>
      <c r="V2615" s="144" t="str">
        <f t="shared" si="81"/>
        <v>85</v>
      </c>
      <c r="W2615" s="136">
        <f>+COMPROMISOS_2025[[#This Row],[valor_total]]-COMPROMISOS_2025[[#This Row],[total_cancelado]]</f>
        <v>1067625</v>
      </c>
      <c r="X2615" s="136">
        <f>COMPROMISOS_2025[[#This Row],[total_ordenes]]</f>
        <v>1067625</v>
      </c>
      <c r="Y2615" t="str" cm="1">
        <f t="array" aca="1" ref="Y2615" ca="1">IFERROR(_xlfn.XLOOKUP(COMPROMISOS_2025[[#This Row],[concatenado]],PAA[[#All],[RCP-RUBRO]],PAA[[#All],[Actividad3]],VLOOKUP(COMPROMISOS_2025[[#This Row],[Indicador Principal]],$AC$2:$AD$17,2,0),0),"")</f>
        <v/>
      </c>
    </row>
    <row r="2616" spans="1:25" hidden="1" x14ac:dyDescent="0.25">
      <c r="A2616">
        <v>2151</v>
      </c>
      <c r="B2616" t="s">
        <v>2491</v>
      </c>
      <c r="C2616" t="s">
        <v>1936</v>
      </c>
      <c r="D2616" t="s">
        <v>3575</v>
      </c>
      <c r="F2616">
        <v>405</v>
      </c>
      <c r="G2616">
        <v>65</v>
      </c>
      <c r="H2616" t="s">
        <v>662</v>
      </c>
      <c r="I2616" t="s">
        <v>2271</v>
      </c>
      <c r="J2616">
        <v>711750</v>
      </c>
      <c r="K2616">
        <v>2025</v>
      </c>
      <c r="L2616">
        <v>1001023019</v>
      </c>
      <c r="M2616" t="s">
        <v>4167</v>
      </c>
      <c r="N2616" t="s">
        <v>1688</v>
      </c>
      <c r="O2616" t="s">
        <v>1686</v>
      </c>
      <c r="P2616">
        <v>0</v>
      </c>
      <c r="Q2616">
        <v>711750</v>
      </c>
      <c r="R2616">
        <v>0</v>
      </c>
      <c r="S2616">
        <v>0</v>
      </c>
      <c r="T2616" t="str">
        <f t="shared" si="80"/>
        <v>21512.43.4302.85.0-205128.2.3.3.08.06.</v>
      </c>
      <c r="U2616" t="e" cm="1">
        <f t="array" aca="1" ref="U2616" ca="1">+IF(COMPROMISOS_2025[[#This Row],[P]]="20","41080111",_xlfn.XLOOKUP(COMPROMISOS_2025[[#This Row],[concatenado]],PAA[[#All],[RCP-RUBRO]],PAA[[#All],[INDICADOR]],"",0))</f>
        <v>#NAME?</v>
      </c>
      <c r="V2616" s="144" t="str">
        <f t="shared" si="81"/>
        <v>85</v>
      </c>
      <c r="W2616" s="136">
        <f>+COMPROMISOS_2025[[#This Row],[valor_total]]-COMPROMISOS_2025[[#This Row],[total_cancelado]]</f>
        <v>711750</v>
      </c>
      <c r="X2616" s="136">
        <f>COMPROMISOS_2025[[#This Row],[total_ordenes]]</f>
        <v>711750</v>
      </c>
      <c r="Y2616" t="str" cm="1">
        <f t="array" aca="1" ref="Y2616" ca="1">IFERROR(_xlfn.XLOOKUP(COMPROMISOS_2025[[#This Row],[concatenado]],PAA[[#All],[RCP-RUBRO]],PAA[[#All],[Actividad3]],VLOOKUP(COMPROMISOS_2025[[#This Row],[Indicador Principal]],$AC$2:$AD$17,2,0),0),"")</f>
        <v/>
      </c>
    </row>
    <row r="2617" spans="1:25" hidden="1" x14ac:dyDescent="0.25">
      <c r="A2617">
        <v>2152</v>
      </c>
      <c r="B2617" t="s">
        <v>2491</v>
      </c>
      <c r="C2617" t="s">
        <v>1936</v>
      </c>
      <c r="D2617" t="s">
        <v>3575</v>
      </c>
      <c r="F2617">
        <v>405</v>
      </c>
      <c r="G2617">
        <v>65</v>
      </c>
      <c r="H2617" t="s">
        <v>662</v>
      </c>
      <c r="I2617" t="s">
        <v>2271</v>
      </c>
      <c r="J2617">
        <v>1423500</v>
      </c>
      <c r="K2617">
        <v>2025</v>
      </c>
      <c r="L2617">
        <v>1001025993</v>
      </c>
      <c r="M2617" t="s">
        <v>3956</v>
      </c>
      <c r="N2617" t="s">
        <v>1688</v>
      </c>
      <c r="O2617" t="s">
        <v>1686</v>
      </c>
      <c r="P2617">
        <v>0</v>
      </c>
      <c r="Q2617">
        <v>1423500</v>
      </c>
      <c r="R2617">
        <v>0</v>
      </c>
      <c r="S2617">
        <v>0</v>
      </c>
      <c r="T2617" t="str">
        <f t="shared" si="80"/>
        <v>21522.43.4302.85.0-205128.2.3.3.08.06.</v>
      </c>
      <c r="U2617" t="e" cm="1">
        <f t="array" aca="1" ref="U2617" ca="1">+IF(COMPROMISOS_2025[[#This Row],[P]]="20","41080111",_xlfn.XLOOKUP(COMPROMISOS_2025[[#This Row],[concatenado]],PAA[[#All],[RCP-RUBRO]],PAA[[#All],[INDICADOR]],"",0))</f>
        <v>#NAME?</v>
      </c>
      <c r="V2617" s="144" t="str">
        <f t="shared" si="81"/>
        <v>85</v>
      </c>
      <c r="W2617" s="136">
        <f>+COMPROMISOS_2025[[#This Row],[valor_total]]-COMPROMISOS_2025[[#This Row],[total_cancelado]]</f>
        <v>1423500</v>
      </c>
      <c r="X2617" s="136">
        <f>COMPROMISOS_2025[[#This Row],[total_ordenes]]</f>
        <v>1423500</v>
      </c>
      <c r="Y2617" t="str" cm="1">
        <f t="array" aca="1" ref="Y2617" ca="1">IFERROR(_xlfn.XLOOKUP(COMPROMISOS_2025[[#This Row],[concatenado]],PAA[[#All],[RCP-RUBRO]],PAA[[#All],[Actividad3]],VLOOKUP(COMPROMISOS_2025[[#This Row],[Indicador Principal]],$AC$2:$AD$17,2,0),0),"")</f>
        <v/>
      </c>
    </row>
    <row r="2618" spans="1:25" hidden="1" x14ac:dyDescent="0.25">
      <c r="A2618">
        <v>2153</v>
      </c>
      <c r="B2618" t="s">
        <v>2491</v>
      </c>
      <c r="C2618" t="s">
        <v>1936</v>
      </c>
      <c r="D2618" t="s">
        <v>3575</v>
      </c>
      <c r="F2618">
        <v>405</v>
      </c>
      <c r="G2618">
        <v>65</v>
      </c>
      <c r="H2618" t="s">
        <v>662</v>
      </c>
      <c r="I2618" t="s">
        <v>2271</v>
      </c>
      <c r="J2618">
        <v>1067625</v>
      </c>
      <c r="K2618">
        <v>2025</v>
      </c>
      <c r="L2618">
        <v>1001026212</v>
      </c>
      <c r="M2618" t="s">
        <v>3957</v>
      </c>
      <c r="N2618" t="s">
        <v>1688</v>
      </c>
      <c r="O2618" t="s">
        <v>1686</v>
      </c>
      <c r="P2618">
        <v>0</v>
      </c>
      <c r="Q2618">
        <v>1067625</v>
      </c>
      <c r="R2618">
        <v>0</v>
      </c>
      <c r="S2618">
        <v>0</v>
      </c>
      <c r="T2618" t="str">
        <f t="shared" si="80"/>
        <v>21532.43.4302.85.0-205128.2.3.3.08.06.</v>
      </c>
      <c r="U2618" t="e" cm="1">
        <f t="array" aca="1" ref="U2618" ca="1">+IF(COMPROMISOS_2025[[#This Row],[P]]="20","41080111",_xlfn.XLOOKUP(COMPROMISOS_2025[[#This Row],[concatenado]],PAA[[#All],[RCP-RUBRO]],PAA[[#All],[INDICADOR]],"",0))</f>
        <v>#NAME?</v>
      </c>
      <c r="V2618" s="144" t="str">
        <f t="shared" si="81"/>
        <v>85</v>
      </c>
      <c r="W2618" s="136">
        <f>+COMPROMISOS_2025[[#This Row],[valor_total]]-COMPROMISOS_2025[[#This Row],[total_cancelado]]</f>
        <v>1067625</v>
      </c>
      <c r="X2618" s="136">
        <f>COMPROMISOS_2025[[#This Row],[total_ordenes]]</f>
        <v>1067625</v>
      </c>
      <c r="Y2618" t="str" cm="1">
        <f t="array" aca="1" ref="Y2618" ca="1">IFERROR(_xlfn.XLOOKUP(COMPROMISOS_2025[[#This Row],[concatenado]],PAA[[#All],[RCP-RUBRO]],PAA[[#All],[Actividad3]],VLOOKUP(COMPROMISOS_2025[[#This Row],[Indicador Principal]],$AC$2:$AD$17,2,0),0),"")</f>
        <v/>
      </c>
    </row>
    <row r="2619" spans="1:25" hidden="1" x14ac:dyDescent="0.25">
      <c r="A2619">
        <v>2154</v>
      </c>
      <c r="B2619" t="s">
        <v>2491</v>
      </c>
      <c r="C2619" t="s">
        <v>1936</v>
      </c>
      <c r="D2619" t="s">
        <v>3575</v>
      </c>
      <c r="F2619">
        <v>405</v>
      </c>
      <c r="G2619">
        <v>65</v>
      </c>
      <c r="H2619" t="s">
        <v>662</v>
      </c>
      <c r="I2619" t="s">
        <v>2271</v>
      </c>
      <c r="J2619">
        <v>4270500</v>
      </c>
      <c r="K2619">
        <v>2025</v>
      </c>
      <c r="L2619">
        <v>1001034376</v>
      </c>
      <c r="M2619" t="s">
        <v>3959</v>
      </c>
      <c r="N2619" t="s">
        <v>1688</v>
      </c>
      <c r="O2619" t="s">
        <v>1686</v>
      </c>
      <c r="P2619">
        <v>0</v>
      </c>
      <c r="Q2619">
        <v>4270500</v>
      </c>
      <c r="R2619">
        <v>0</v>
      </c>
      <c r="S2619">
        <v>0</v>
      </c>
      <c r="T2619" t="str">
        <f t="shared" si="80"/>
        <v>21542.43.4302.85.0-205128.2.3.3.08.06.</v>
      </c>
      <c r="U2619" t="e" cm="1">
        <f t="array" aca="1" ref="U2619" ca="1">+IF(COMPROMISOS_2025[[#This Row],[P]]="20","41080111",_xlfn.XLOOKUP(COMPROMISOS_2025[[#This Row],[concatenado]],PAA[[#All],[RCP-RUBRO]],PAA[[#All],[INDICADOR]],"",0))</f>
        <v>#NAME?</v>
      </c>
      <c r="V2619" s="144" t="str">
        <f t="shared" si="81"/>
        <v>85</v>
      </c>
      <c r="W2619" s="136">
        <f>+COMPROMISOS_2025[[#This Row],[valor_total]]-COMPROMISOS_2025[[#This Row],[total_cancelado]]</f>
        <v>4270500</v>
      </c>
      <c r="X2619" s="136">
        <f>COMPROMISOS_2025[[#This Row],[total_ordenes]]</f>
        <v>4270500</v>
      </c>
      <c r="Y2619" t="str" cm="1">
        <f t="array" aca="1" ref="Y2619" ca="1">IFERROR(_xlfn.XLOOKUP(COMPROMISOS_2025[[#This Row],[concatenado]],PAA[[#All],[RCP-RUBRO]],PAA[[#All],[Actividad3]],VLOOKUP(COMPROMISOS_2025[[#This Row],[Indicador Principal]],$AC$2:$AD$17,2,0),0),"")</f>
        <v/>
      </c>
    </row>
    <row r="2620" spans="1:25" hidden="1" x14ac:dyDescent="0.25">
      <c r="A2620">
        <v>2155</v>
      </c>
      <c r="B2620" t="s">
        <v>2491</v>
      </c>
      <c r="C2620" t="s">
        <v>1936</v>
      </c>
      <c r="D2620" t="s">
        <v>3575</v>
      </c>
      <c r="F2620">
        <v>405</v>
      </c>
      <c r="G2620">
        <v>65</v>
      </c>
      <c r="H2620" t="s">
        <v>662</v>
      </c>
      <c r="I2620" t="s">
        <v>2271</v>
      </c>
      <c r="J2620">
        <v>711750</v>
      </c>
      <c r="K2620">
        <v>2025</v>
      </c>
      <c r="L2620">
        <v>1001131814</v>
      </c>
      <c r="M2620" t="s">
        <v>3960</v>
      </c>
      <c r="N2620" t="s">
        <v>1688</v>
      </c>
      <c r="O2620" t="s">
        <v>1686</v>
      </c>
      <c r="P2620">
        <v>0</v>
      </c>
      <c r="Q2620">
        <v>711750</v>
      </c>
      <c r="R2620">
        <v>0</v>
      </c>
      <c r="S2620">
        <v>0</v>
      </c>
      <c r="T2620" t="str">
        <f t="shared" si="80"/>
        <v>21552.43.4302.85.0-205128.2.3.3.08.06.</v>
      </c>
      <c r="U2620" t="e" cm="1">
        <f t="array" aca="1" ref="U2620" ca="1">+IF(COMPROMISOS_2025[[#This Row],[P]]="20","41080111",_xlfn.XLOOKUP(COMPROMISOS_2025[[#This Row],[concatenado]],PAA[[#All],[RCP-RUBRO]],PAA[[#All],[INDICADOR]],"",0))</f>
        <v>#NAME?</v>
      </c>
      <c r="V2620" s="144" t="str">
        <f t="shared" si="81"/>
        <v>85</v>
      </c>
      <c r="W2620" s="136">
        <f>+COMPROMISOS_2025[[#This Row],[valor_total]]-COMPROMISOS_2025[[#This Row],[total_cancelado]]</f>
        <v>711750</v>
      </c>
      <c r="X2620" s="136">
        <f>COMPROMISOS_2025[[#This Row],[total_ordenes]]</f>
        <v>711750</v>
      </c>
      <c r="Y2620" t="str" cm="1">
        <f t="array" aca="1" ref="Y2620" ca="1">IFERROR(_xlfn.XLOOKUP(COMPROMISOS_2025[[#This Row],[concatenado]],PAA[[#All],[RCP-RUBRO]],PAA[[#All],[Actividad3]],VLOOKUP(COMPROMISOS_2025[[#This Row],[Indicador Principal]],$AC$2:$AD$17,2,0),0),"")</f>
        <v/>
      </c>
    </row>
    <row r="2621" spans="1:25" hidden="1" x14ac:dyDescent="0.25">
      <c r="A2621">
        <v>2156</v>
      </c>
      <c r="B2621" t="s">
        <v>2491</v>
      </c>
      <c r="C2621" t="s">
        <v>1936</v>
      </c>
      <c r="D2621" t="s">
        <v>3575</v>
      </c>
      <c r="F2621">
        <v>405</v>
      </c>
      <c r="G2621">
        <v>65</v>
      </c>
      <c r="H2621" t="s">
        <v>662</v>
      </c>
      <c r="I2621" t="s">
        <v>2271</v>
      </c>
      <c r="J2621">
        <v>4270500</v>
      </c>
      <c r="K2621">
        <v>2025</v>
      </c>
      <c r="L2621">
        <v>1001131930</v>
      </c>
      <c r="M2621" t="s">
        <v>3961</v>
      </c>
      <c r="N2621" t="s">
        <v>1688</v>
      </c>
      <c r="O2621" t="s">
        <v>1686</v>
      </c>
      <c r="P2621">
        <v>0</v>
      </c>
      <c r="Q2621">
        <v>4270500</v>
      </c>
      <c r="R2621">
        <v>0</v>
      </c>
      <c r="S2621">
        <v>0</v>
      </c>
      <c r="T2621" t="str">
        <f t="shared" si="80"/>
        <v>21562.43.4302.85.0-205128.2.3.3.08.06.</v>
      </c>
      <c r="U2621" t="e" cm="1">
        <f t="array" aca="1" ref="U2621" ca="1">+IF(COMPROMISOS_2025[[#This Row],[P]]="20","41080111",_xlfn.XLOOKUP(COMPROMISOS_2025[[#This Row],[concatenado]],PAA[[#All],[RCP-RUBRO]],PAA[[#All],[INDICADOR]],"",0))</f>
        <v>#NAME?</v>
      </c>
      <c r="V2621" s="144" t="str">
        <f t="shared" si="81"/>
        <v>85</v>
      </c>
      <c r="W2621" s="136">
        <f>+COMPROMISOS_2025[[#This Row],[valor_total]]-COMPROMISOS_2025[[#This Row],[total_cancelado]]</f>
        <v>4270500</v>
      </c>
      <c r="X2621" s="136">
        <f>COMPROMISOS_2025[[#This Row],[total_ordenes]]</f>
        <v>4270500</v>
      </c>
      <c r="Y2621" t="str" cm="1">
        <f t="array" aca="1" ref="Y2621" ca="1">IFERROR(_xlfn.XLOOKUP(COMPROMISOS_2025[[#This Row],[concatenado]],PAA[[#All],[RCP-RUBRO]],PAA[[#All],[Actividad3]],VLOOKUP(COMPROMISOS_2025[[#This Row],[Indicador Principal]],$AC$2:$AD$17,2,0),0),"")</f>
        <v/>
      </c>
    </row>
    <row r="2622" spans="1:25" hidden="1" x14ac:dyDescent="0.25">
      <c r="A2622">
        <v>2157</v>
      </c>
      <c r="B2622" t="s">
        <v>2491</v>
      </c>
      <c r="C2622" t="s">
        <v>1936</v>
      </c>
      <c r="D2622" t="s">
        <v>3575</v>
      </c>
      <c r="F2622">
        <v>405</v>
      </c>
      <c r="G2622">
        <v>65</v>
      </c>
      <c r="H2622" t="s">
        <v>662</v>
      </c>
      <c r="I2622" t="s">
        <v>2271</v>
      </c>
      <c r="J2622">
        <v>711750</v>
      </c>
      <c r="K2622">
        <v>2025</v>
      </c>
      <c r="L2622">
        <v>1001132657</v>
      </c>
      <c r="M2622" t="s">
        <v>3962</v>
      </c>
      <c r="N2622" t="s">
        <v>1688</v>
      </c>
      <c r="O2622" t="s">
        <v>1686</v>
      </c>
      <c r="P2622">
        <v>0</v>
      </c>
      <c r="Q2622">
        <v>711750</v>
      </c>
      <c r="R2622">
        <v>0</v>
      </c>
      <c r="S2622">
        <v>0</v>
      </c>
      <c r="T2622" t="str">
        <f t="shared" si="80"/>
        <v>21572.43.4302.85.0-205128.2.3.3.08.06.</v>
      </c>
      <c r="U2622" t="e" cm="1">
        <f t="array" aca="1" ref="U2622" ca="1">+IF(COMPROMISOS_2025[[#This Row],[P]]="20","41080111",_xlfn.XLOOKUP(COMPROMISOS_2025[[#This Row],[concatenado]],PAA[[#All],[RCP-RUBRO]],PAA[[#All],[INDICADOR]],"",0))</f>
        <v>#NAME?</v>
      </c>
      <c r="V2622" s="144" t="str">
        <f t="shared" si="81"/>
        <v>85</v>
      </c>
      <c r="W2622" s="136">
        <f>+COMPROMISOS_2025[[#This Row],[valor_total]]-COMPROMISOS_2025[[#This Row],[total_cancelado]]</f>
        <v>711750</v>
      </c>
      <c r="X2622" s="136">
        <f>COMPROMISOS_2025[[#This Row],[total_ordenes]]</f>
        <v>711750</v>
      </c>
      <c r="Y2622" t="str" cm="1">
        <f t="array" aca="1" ref="Y2622" ca="1">IFERROR(_xlfn.XLOOKUP(COMPROMISOS_2025[[#This Row],[concatenado]],PAA[[#All],[RCP-RUBRO]],PAA[[#All],[Actividad3]],VLOOKUP(COMPROMISOS_2025[[#This Row],[Indicador Principal]],$AC$2:$AD$17,2,0),0),"")</f>
        <v/>
      </c>
    </row>
    <row r="2623" spans="1:25" hidden="1" x14ac:dyDescent="0.25">
      <c r="A2623">
        <v>2158</v>
      </c>
      <c r="B2623" t="s">
        <v>2491</v>
      </c>
      <c r="C2623" t="s">
        <v>1936</v>
      </c>
      <c r="D2623" t="s">
        <v>3575</v>
      </c>
      <c r="F2623">
        <v>405</v>
      </c>
      <c r="G2623">
        <v>65</v>
      </c>
      <c r="H2623" t="s">
        <v>662</v>
      </c>
      <c r="I2623" t="s">
        <v>2271</v>
      </c>
      <c r="J2623">
        <v>1423500</v>
      </c>
      <c r="K2623">
        <v>2025</v>
      </c>
      <c r="L2623">
        <v>1001137686</v>
      </c>
      <c r="M2623" t="s">
        <v>3963</v>
      </c>
      <c r="N2623" t="s">
        <v>1688</v>
      </c>
      <c r="O2623" t="s">
        <v>1686</v>
      </c>
      <c r="P2623">
        <v>0</v>
      </c>
      <c r="Q2623">
        <v>1423500</v>
      </c>
      <c r="R2623">
        <v>0</v>
      </c>
      <c r="S2623">
        <v>0</v>
      </c>
      <c r="T2623" t="str">
        <f t="shared" si="80"/>
        <v>21582.43.4302.85.0-205128.2.3.3.08.06.</v>
      </c>
      <c r="U2623" t="e" cm="1">
        <f t="array" aca="1" ref="U2623" ca="1">+IF(COMPROMISOS_2025[[#This Row],[P]]="20","41080111",_xlfn.XLOOKUP(COMPROMISOS_2025[[#This Row],[concatenado]],PAA[[#All],[RCP-RUBRO]],PAA[[#All],[INDICADOR]],"",0))</f>
        <v>#NAME?</v>
      </c>
      <c r="V2623" s="144" t="str">
        <f t="shared" si="81"/>
        <v>85</v>
      </c>
      <c r="W2623" s="136">
        <f>+COMPROMISOS_2025[[#This Row],[valor_total]]-COMPROMISOS_2025[[#This Row],[total_cancelado]]</f>
        <v>1423500</v>
      </c>
      <c r="X2623" s="136">
        <f>COMPROMISOS_2025[[#This Row],[total_ordenes]]</f>
        <v>1423500</v>
      </c>
      <c r="Y2623" t="str" cm="1">
        <f t="array" aca="1" ref="Y2623" ca="1">IFERROR(_xlfn.XLOOKUP(COMPROMISOS_2025[[#This Row],[concatenado]],PAA[[#All],[RCP-RUBRO]],PAA[[#All],[Actividad3]],VLOOKUP(COMPROMISOS_2025[[#This Row],[Indicador Principal]],$AC$2:$AD$17,2,0),0),"")</f>
        <v/>
      </c>
    </row>
    <row r="2624" spans="1:25" hidden="1" x14ac:dyDescent="0.25">
      <c r="A2624">
        <v>2159</v>
      </c>
      <c r="B2624" t="s">
        <v>2491</v>
      </c>
      <c r="C2624" t="s">
        <v>1936</v>
      </c>
      <c r="D2624" t="s">
        <v>3575</v>
      </c>
      <c r="F2624">
        <v>405</v>
      </c>
      <c r="G2624">
        <v>65</v>
      </c>
      <c r="H2624" t="s">
        <v>662</v>
      </c>
      <c r="I2624" t="s">
        <v>2271</v>
      </c>
      <c r="J2624">
        <v>711750</v>
      </c>
      <c r="K2624">
        <v>2025</v>
      </c>
      <c r="L2624">
        <v>1001145233</v>
      </c>
      <c r="M2624" t="s">
        <v>4244</v>
      </c>
      <c r="N2624" t="s">
        <v>1688</v>
      </c>
      <c r="O2624" t="s">
        <v>1686</v>
      </c>
      <c r="P2624">
        <v>0</v>
      </c>
      <c r="Q2624">
        <v>711750</v>
      </c>
      <c r="R2624">
        <v>0</v>
      </c>
      <c r="S2624">
        <v>0</v>
      </c>
      <c r="T2624" t="str">
        <f t="shared" si="80"/>
        <v>21592.43.4302.85.0-205128.2.3.3.08.06.</v>
      </c>
      <c r="U2624" t="e" cm="1">
        <f t="array" aca="1" ref="U2624" ca="1">+IF(COMPROMISOS_2025[[#This Row],[P]]="20","41080111",_xlfn.XLOOKUP(COMPROMISOS_2025[[#This Row],[concatenado]],PAA[[#All],[RCP-RUBRO]],PAA[[#All],[INDICADOR]],"",0))</f>
        <v>#NAME?</v>
      </c>
      <c r="V2624" s="144" t="str">
        <f t="shared" si="81"/>
        <v>85</v>
      </c>
      <c r="W2624" s="136">
        <f>+COMPROMISOS_2025[[#This Row],[valor_total]]-COMPROMISOS_2025[[#This Row],[total_cancelado]]</f>
        <v>711750</v>
      </c>
      <c r="X2624" s="136">
        <f>COMPROMISOS_2025[[#This Row],[total_ordenes]]</f>
        <v>711750</v>
      </c>
      <c r="Y2624" t="str" cm="1">
        <f t="array" aca="1" ref="Y2624" ca="1">IFERROR(_xlfn.XLOOKUP(COMPROMISOS_2025[[#This Row],[concatenado]],PAA[[#All],[RCP-RUBRO]],PAA[[#All],[Actividad3]],VLOOKUP(COMPROMISOS_2025[[#This Row],[Indicador Principal]],$AC$2:$AD$17,2,0),0),"")</f>
        <v/>
      </c>
    </row>
    <row r="2625" spans="1:25" hidden="1" x14ac:dyDescent="0.25">
      <c r="A2625">
        <v>2160</v>
      </c>
      <c r="B2625" t="s">
        <v>2491</v>
      </c>
      <c r="C2625" t="s">
        <v>1936</v>
      </c>
      <c r="D2625" t="s">
        <v>3575</v>
      </c>
      <c r="F2625">
        <v>405</v>
      </c>
      <c r="G2625">
        <v>65</v>
      </c>
      <c r="H2625" t="s">
        <v>662</v>
      </c>
      <c r="I2625" t="s">
        <v>2271</v>
      </c>
      <c r="J2625">
        <v>2847000</v>
      </c>
      <c r="K2625">
        <v>2025</v>
      </c>
      <c r="L2625">
        <v>1001227159</v>
      </c>
      <c r="M2625" t="s">
        <v>3964</v>
      </c>
      <c r="N2625" t="s">
        <v>1688</v>
      </c>
      <c r="O2625" t="s">
        <v>1686</v>
      </c>
      <c r="P2625">
        <v>0</v>
      </c>
      <c r="Q2625">
        <v>2847000</v>
      </c>
      <c r="R2625">
        <v>0</v>
      </c>
      <c r="S2625">
        <v>0</v>
      </c>
      <c r="T2625" t="str">
        <f t="shared" si="80"/>
        <v>21602.43.4302.85.0-205128.2.3.3.08.06.</v>
      </c>
      <c r="U2625" t="e" cm="1">
        <f t="array" aca="1" ref="U2625" ca="1">+IF(COMPROMISOS_2025[[#This Row],[P]]="20","41080111",_xlfn.XLOOKUP(COMPROMISOS_2025[[#This Row],[concatenado]],PAA[[#All],[RCP-RUBRO]],PAA[[#All],[INDICADOR]],"",0))</f>
        <v>#NAME?</v>
      </c>
      <c r="V2625" s="144" t="str">
        <f t="shared" si="81"/>
        <v>85</v>
      </c>
      <c r="W2625" s="136">
        <f>+COMPROMISOS_2025[[#This Row],[valor_total]]-COMPROMISOS_2025[[#This Row],[total_cancelado]]</f>
        <v>2847000</v>
      </c>
      <c r="X2625" s="136">
        <f>COMPROMISOS_2025[[#This Row],[total_ordenes]]</f>
        <v>2847000</v>
      </c>
      <c r="Y2625" t="str" cm="1">
        <f t="array" aca="1" ref="Y2625" ca="1">IFERROR(_xlfn.XLOOKUP(COMPROMISOS_2025[[#This Row],[concatenado]],PAA[[#All],[RCP-RUBRO]],PAA[[#All],[Actividad3]],VLOOKUP(COMPROMISOS_2025[[#This Row],[Indicador Principal]],$AC$2:$AD$17,2,0),0),"")</f>
        <v/>
      </c>
    </row>
    <row r="2626" spans="1:25" hidden="1" x14ac:dyDescent="0.25">
      <c r="A2626">
        <v>2162</v>
      </c>
      <c r="B2626" t="s">
        <v>2491</v>
      </c>
      <c r="C2626" t="s">
        <v>1936</v>
      </c>
      <c r="D2626" t="s">
        <v>3575</v>
      </c>
      <c r="F2626">
        <v>405</v>
      </c>
      <c r="G2626">
        <v>65</v>
      </c>
      <c r="H2626" t="s">
        <v>662</v>
      </c>
      <c r="I2626" t="s">
        <v>2271</v>
      </c>
      <c r="J2626">
        <v>1423500</v>
      </c>
      <c r="K2626">
        <v>2025</v>
      </c>
      <c r="L2626">
        <v>1001228562</v>
      </c>
      <c r="M2626" t="s">
        <v>3965</v>
      </c>
      <c r="N2626" t="s">
        <v>1688</v>
      </c>
      <c r="O2626" t="s">
        <v>1686</v>
      </c>
      <c r="P2626">
        <v>0</v>
      </c>
      <c r="Q2626">
        <v>1423500</v>
      </c>
      <c r="R2626">
        <v>0</v>
      </c>
      <c r="S2626">
        <v>0</v>
      </c>
      <c r="T2626" t="str">
        <f t="shared" ref="T2626:T2689" si="82">IF(A2626&gt;=0,CONCATENATE(A2626,H2626),"")</f>
        <v>21622.43.4302.85.0-205128.2.3.3.08.06.</v>
      </c>
      <c r="U2626" t="e" cm="1">
        <f t="array" aca="1" ref="U2626" ca="1">+IF(COMPROMISOS_2025[[#This Row],[P]]="20","41080111",_xlfn.XLOOKUP(COMPROMISOS_2025[[#This Row],[concatenado]],PAA[[#All],[RCP-RUBRO]],PAA[[#All],[INDICADOR]],"",0))</f>
        <v>#NAME?</v>
      </c>
      <c r="V2626" s="144" t="str">
        <f t="shared" ref="V2626:V2689" si="83">+MID(H2626,11,2)</f>
        <v>85</v>
      </c>
      <c r="W2626" s="136">
        <f>+COMPROMISOS_2025[[#This Row],[valor_total]]-COMPROMISOS_2025[[#This Row],[total_cancelado]]</f>
        <v>1423500</v>
      </c>
      <c r="X2626" s="136">
        <f>COMPROMISOS_2025[[#This Row],[total_ordenes]]</f>
        <v>1423500</v>
      </c>
      <c r="Y2626" t="str" cm="1">
        <f t="array" aca="1" ref="Y2626" ca="1">IFERROR(_xlfn.XLOOKUP(COMPROMISOS_2025[[#This Row],[concatenado]],PAA[[#All],[RCP-RUBRO]],PAA[[#All],[Actividad3]],VLOOKUP(COMPROMISOS_2025[[#This Row],[Indicador Principal]],$AC$2:$AD$17,2,0),0),"")</f>
        <v/>
      </c>
    </row>
    <row r="2627" spans="1:25" hidden="1" x14ac:dyDescent="0.25">
      <c r="A2627">
        <v>2163</v>
      </c>
      <c r="B2627" t="s">
        <v>2491</v>
      </c>
      <c r="C2627" t="s">
        <v>1936</v>
      </c>
      <c r="D2627" t="s">
        <v>3575</v>
      </c>
      <c r="F2627">
        <v>405</v>
      </c>
      <c r="G2627">
        <v>65</v>
      </c>
      <c r="H2627" t="s">
        <v>662</v>
      </c>
      <c r="I2627" t="s">
        <v>2271</v>
      </c>
      <c r="J2627">
        <v>711750</v>
      </c>
      <c r="K2627">
        <v>2025</v>
      </c>
      <c r="L2627">
        <v>1001237127</v>
      </c>
      <c r="M2627" t="s">
        <v>3967</v>
      </c>
      <c r="N2627" t="s">
        <v>1688</v>
      </c>
      <c r="O2627" t="s">
        <v>1686</v>
      </c>
      <c r="P2627">
        <v>0</v>
      </c>
      <c r="Q2627">
        <v>711750</v>
      </c>
      <c r="R2627">
        <v>0</v>
      </c>
      <c r="S2627">
        <v>0</v>
      </c>
      <c r="T2627" t="str">
        <f t="shared" si="82"/>
        <v>21632.43.4302.85.0-205128.2.3.3.08.06.</v>
      </c>
      <c r="U2627" t="e" cm="1">
        <f t="array" aca="1" ref="U2627" ca="1">+IF(COMPROMISOS_2025[[#This Row],[P]]="20","41080111",_xlfn.XLOOKUP(COMPROMISOS_2025[[#This Row],[concatenado]],PAA[[#All],[RCP-RUBRO]],PAA[[#All],[INDICADOR]],"",0))</f>
        <v>#NAME?</v>
      </c>
      <c r="V2627" s="144" t="str">
        <f t="shared" si="83"/>
        <v>85</v>
      </c>
      <c r="W2627" s="136">
        <f>+COMPROMISOS_2025[[#This Row],[valor_total]]-COMPROMISOS_2025[[#This Row],[total_cancelado]]</f>
        <v>711750</v>
      </c>
      <c r="X2627" s="136">
        <f>COMPROMISOS_2025[[#This Row],[total_ordenes]]</f>
        <v>711750</v>
      </c>
      <c r="Y2627" t="str" cm="1">
        <f t="array" aca="1" ref="Y2627" ca="1">IFERROR(_xlfn.XLOOKUP(COMPROMISOS_2025[[#This Row],[concatenado]],PAA[[#All],[RCP-RUBRO]],PAA[[#All],[Actividad3]],VLOOKUP(COMPROMISOS_2025[[#This Row],[Indicador Principal]],$AC$2:$AD$17,2,0),0),"")</f>
        <v/>
      </c>
    </row>
    <row r="2628" spans="1:25" hidden="1" x14ac:dyDescent="0.25">
      <c r="A2628">
        <v>2164</v>
      </c>
      <c r="B2628" t="s">
        <v>2491</v>
      </c>
      <c r="C2628" t="s">
        <v>1936</v>
      </c>
      <c r="D2628" t="s">
        <v>3575</v>
      </c>
      <c r="F2628">
        <v>405</v>
      </c>
      <c r="G2628">
        <v>65</v>
      </c>
      <c r="H2628" t="s">
        <v>662</v>
      </c>
      <c r="I2628" t="s">
        <v>2271</v>
      </c>
      <c r="J2628">
        <v>1067625</v>
      </c>
      <c r="K2628">
        <v>2025</v>
      </c>
      <c r="L2628">
        <v>1001249150</v>
      </c>
      <c r="M2628" t="s">
        <v>3968</v>
      </c>
      <c r="N2628" t="s">
        <v>1688</v>
      </c>
      <c r="O2628" t="s">
        <v>1686</v>
      </c>
      <c r="P2628">
        <v>0</v>
      </c>
      <c r="Q2628">
        <v>1067625</v>
      </c>
      <c r="R2628">
        <v>0</v>
      </c>
      <c r="S2628">
        <v>0</v>
      </c>
      <c r="T2628" t="str">
        <f t="shared" si="82"/>
        <v>21642.43.4302.85.0-205128.2.3.3.08.06.</v>
      </c>
      <c r="U2628" t="e" cm="1">
        <f t="array" aca="1" ref="U2628" ca="1">+IF(COMPROMISOS_2025[[#This Row],[P]]="20","41080111",_xlfn.XLOOKUP(COMPROMISOS_2025[[#This Row],[concatenado]],PAA[[#All],[RCP-RUBRO]],PAA[[#All],[INDICADOR]],"",0))</f>
        <v>#NAME?</v>
      </c>
      <c r="V2628" s="144" t="str">
        <f t="shared" si="83"/>
        <v>85</v>
      </c>
      <c r="W2628" s="136">
        <f>+COMPROMISOS_2025[[#This Row],[valor_total]]-COMPROMISOS_2025[[#This Row],[total_cancelado]]</f>
        <v>1067625</v>
      </c>
      <c r="X2628" s="136">
        <f>COMPROMISOS_2025[[#This Row],[total_ordenes]]</f>
        <v>1067625</v>
      </c>
      <c r="Y2628" t="str" cm="1">
        <f t="array" aca="1" ref="Y2628" ca="1">IFERROR(_xlfn.XLOOKUP(COMPROMISOS_2025[[#This Row],[concatenado]],PAA[[#All],[RCP-RUBRO]],PAA[[#All],[Actividad3]],VLOOKUP(COMPROMISOS_2025[[#This Row],[Indicador Principal]],$AC$2:$AD$17,2,0),0),"")</f>
        <v/>
      </c>
    </row>
    <row r="2629" spans="1:25" hidden="1" x14ac:dyDescent="0.25">
      <c r="A2629">
        <v>2165</v>
      </c>
      <c r="B2629" t="s">
        <v>2491</v>
      </c>
      <c r="C2629" t="s">
        <v>1936</v>
      </c>
      <c r="D2629" t="s">
        <v>3575</v>
      </c>
      <c r="F2629">
        <v>405</v>
      </c>
      <c r="G2629">
        <v>65</v>
      </c>
      <c r="H2629" t="s">
        <v>662</v>
      </c>
      <c r="I2629" t="s">
        <v>2271</v>
      </c>
      <c r="J2629">
        <v>1423500</v>
      </c>
      <c r="K2629">
        <v>2025</v>
      </c>
      <c r="L2629">
        <v>1001359975</v>
      </c>
      <c r="M2629" t="s">
        <v>3969</v>
      </c>
      <c r="N2629" t="s">
        <v>1688</v>
      </c>
      <c r="O2629" t="s">
        <v>1686</v>
      </c>
      <c r="P2629">
        <v>0</v>
      </c>
      <c r="Q2629">
        <v>1423500</v>
      </c>
      <c r="R2629">
        <v>0</v>
      </c>
      <c r="S2629">
        <v>0</v>
      </c>
      <c r="T2629" t="str">
        <f t="shared" si="82"/>
        <v>21652.43.4302.85.0-205128.2.3.3.08.06.</v>
      </c>
      <c r="U2629" t="e" cm="1">
        <f t="array" aca="1" ref="U2629" ca="1">+IF(COMPROMISOS_2025[[#This Row],[P]]="20","41080111",_xlfn.XLOOKUP(COMPROMISOS_2025[[#This Row],[concatenado]],PAA[[#All],[RCP-RUBRO]],PAA[[#All],[INDICADOR]],"",0))</f>
        <v>#NAME?</v>
      </c>
      <c r="V2629" s="144" t="str">
        <f t="shared" si="83"/>
        <v>85</v>
      </c>
      <c r="W2629" s="136">
        <f>+COMPROMISOS_2025[[#This Row],[valor_total]]-COMPROMISOS_2025[[#This Row],[total_cancelado]]</f>
        <v>1423500</v>
      </c>
      <c r="X2629" s="136">
        <f>COMPROMISOS_2025[[#This Row],[total_ordenes]]</f>
        <v>1423500</v>
      </c>
      <c r="Y2629" t="str" cm="1">
        <f t="array" aca="1" ref="Y2629" ca="1">IFERROR(_xlfn.XLOOKUP(COMPROMISOS_2025[[#This Row],[concatenado]],PAA[[#All],[RCP-RUBRO]],PAA[[#All],[Actividad3]],VLOOKUP(COMPROMISOS_2025[[#This Row],[Indicador Principal]],$AC$2:$AD$17,2,0),0),"")</f>
        <v/>
      </c>
    </row>
    <row r="2630" spans="1:25" hidden="1" x14ac:dyDescent="0.25">
      <c r="A2630">
        <v>2166</v>
      </c>
      <c r="B2630" t="s">
        <v>2491</v>
      </c>
      <c r="C2630" t="s">
        <v>1936</v>
      </c>
      <c r="D2630" t="s">
        <v>3575</v>
      </c>
      <c r="F2630">
        <v>405</v>
      </c>
      <c r="G2630">
        <v>65</v>
      </c>
      <c r="H2630" t="s">
        <v>662</v>
      </c>
      <c r="I2630" t="s">
        <v>2271</v>
      </c>
      <c r="J2630">
        <v>2847000</v>
      </c>
      <c r="K2630">
        <v>2025</v>
      </c>
      <c r="L2630">
        <v>1001366315</v>
      </c>
      <c r="M2630" t="s">
        <v>4245</v>
      </c>
      <c r="N2630" t="s">
        <v>1688</v>
      </c>
      <c r="O2630" t="s">
        <v>1686</v>
      </c>
      <c r="P2630">
        <v>0</v>
      </c>
      <c r="Q2630">
        <v>2847000</v>
      </c>
      <c r="R2630">
        <v>0</v>
      </c>
      <c r="S2630">
        <v>0</v>
      </c>
      <c r="T2630" t="str">
        <f t="shared" si="82"/>
        <v>21662.43.4302.85.0-205128.2.3.3.08.06.</v>
      </c>
      <c r="U2630" t="e" cm="1">
        <f t="array" aca="1" ref="U2630" ca="1">+IF(COMPROMISOS_2025[[#This Row],[P]]="20","41080111",_xlfn.XLOOKUP(COMPROMISOS_2025[[#This Row],[concatenado]],PAA[[#All],[RCP-RUBRO]],PAA[[#All],[INDICADOR]],"",0))</f>
        <v>#NAME?</v>
      </c>
      <c r="V2630" s="144" t="str">
        <f t="shared" si="83"/>
        <v>85</v>
      </c>
      <c r="W2630" s="136">
        <f>+COMPROMISOS_2025[[#This Row],[valor_total]]-COMPROMISOS_2025[[#This Row],[total_cancelado]]</f>
        <v>2847000</v>
      </c>
      <c r="X2630" s="136">
        <f>COMPROMISOS_2025[[#This Row],[total_ordenes]]</f>
        <v>2847000</v>
      </c>
      <c r="Y2630" t="str" cm="1">
        <f t="array" aca="1" ref="Y2630" ca="1">IFERROR(_xlfn.XLOOKUP(COMPROMISOS_2025[[#This Row],[concatenado]],PAA[[#All],[RCP-RUBRO]],PAA[[#All],[Actividad3]],VLOOKUP(COMPROMISOS_2025[[#This Row],[Indicador Principal]],$AC$2:$AD$17,2,0),0),"")</f>
        <v/>
      </c>
    </row>
    <row r="2631" spans="1:25" hidden="1" x14ac:dyDescent="0.25">
      <c r="A2631">
        <v>2168</v>
      </c>
      <c r="B2631" t="s">
        <v>2491</v>
      </c>
      <c r="C2631" t="s">
        <v>1936</v>
      </c>
      <c r="D2631" t="s">
        <v>3575</v>
      </c>
      <c r="F2631">
        <v>405</v>
      </c>
      <c r="G2631">
        <v>65</v>
      </c>
      <c r="H2631" t="s">
        <v>662</v>
      </c>
      <c r="I2631" t="s">
        <v>2271</v>
      </c>
      <c r="J2631">
        <v>2847000</v>
      </c>
      <c r="K2631">
        <v>2025</v>
      </c>
      <c r="L2631">
        <v>1001386972</v>
      </c>
      <c r="M2631" t="s">
        <v>4246</v>
      </c>
      <c r="N2631" t="s">
        <v>1688</v>
      </c>
      <c r="O2631" t="s">
        <v>1686</v>
      </c>
      <c r="P2631">
        <v>0</v>
      </c>
      <c r="Q2631">
        <v>2847000</v>
      </c>
      <c r="R2631">
        <v>0</v>
      </c>
      <c r="S2631">
        <v>0</v>
      </c>
      <c r="T2631" t="str">
        <f t="shared" si="82"/>
        <v>21682.43.4302.85.0-205128.2.3.3.08.06.</v>
      </c>
      <c r="U2631" t="e" cm="1">
        <f t="array" aca="1" ref="U2631" ca="1">+IF(COMPROMISOS_2025[[#This Row],[P]]="20","41080111",_xlfn.XLOOKUP(COMPROMISOS_2025[[#This Row],[concatenado]],PAA[[#All],[RCP-RUBRO]],PAA[[#All],[INDICADOR]],"",0))</f>
        <v>#NAME?</v>
      </c>
      <c r="V2631" s="144" t="str">
        <f t="shared" si="83"/>
        <v>85</v>
      </c>
      <c r="W2631" s="136">
        <f>+COMPROMISOS_2025[[#This Row],[valor_total]]-COMPROMISOS_2025[[#This Row],[total_cancelado]]</f>
        <v>2847000</v>
      </c>
      <c r="X2631" s="136">
        <f>COMPROMISOS_2025[[#This Row],[total_ordenes]]</f>
        <v>2847000</v>
      </c>
      <c r="Y2631" t="str" cm="1">
        <f t="array" aca="1" ref="Y2631" ca="1">IFERROR(_xlfn.XLOOKUP(COMPROMISOS_2025[[#This Row],[concatenado]],PAA[[#All],[RCP-RUBRO]],PAA[[#All],[Actividad3]],VLOOKUP(COMPROMISOS_2025[[#This Row],[Indicador Principal]],$AC$2:$AD$17,2,0),0),"")</f>
        <v/>
      </c>
    </row>
    <row r="2632" spans="1:25" hidden="1" x14ac:dyDescent="0.25">
      <c r="A2632">
        <v>2169</v>
      </c>
      <c r="B2632" t="s">
        <v>2491</v>
      </c>
      <c r="C2632" t="s">
        <v>1936</v>
      </c>
      <c r="D2632" t="s">
        <v>3575</v>
      </c>
      <c r="F2632">
        <v>405</v>
      </c>
      <c r="G2632">
        <v>65</v>
      </c>
      <c r="H2632" t="s">
        <v>662</v>
      </c>
      <c r="I2632" t="s">
        <v>2271</v>
      </c>
      <c r="J2632">
        <v>2847000</v>
      </c>
      <c r="K2632">
        <v>2025</v>
      </c>
      <c r="L2632">
        <v>1001389977</v>
      </c>
      <c r="M2632" t="s">
        <v>4247</v>
      </c>
      <c r="N2632" t="s">
        <v>1688</v>
      </c>
      <c r="O2632" t="s">
        <v>1686</v>
      </c>
      <c r="P2632">
        <v>0</v>
      </c>
      <c r="Q2632">
        <v>2847000</v>
      </c>
      <c r="R2632">
        <v>0</v>
      </c>
      <c r="S2632">
        <v>0</v>
      </c>
      <c r="T2632" t="str">
        <f t="shared" si="82"/>
        <v>21692.43.4302.85.0-205128.2.3.3.08.06.</v>
      </c>
      <c r="U2632" t="e" cm="1">
        <f t="array" aca="1" ref="U2632" ca="1">+IF(COMPROMISOS_2025[[#This Row],[P]]="20","41080111",_xlfn.XLOOKUP(COMPROMISOS_2025[[#This Row],[concatenado]],PAA[[#All],[RCP-RUBRO]],PAA[[#All],[INDICADOR]],"",0))</f>
        <v>#NAME?</v>
      </c>
      <c r="V2632" s="144" t="str">
        <f t="shared" si="83"/>
        <v>85</v>
      </c>
      <c r="W2632" s="136">
        <f>+COMPROMISOS_2025[[#This Row],[valor_total]]-COMPROMISOS_2025[[#This Row],[total_cancelado]]</f>
        <v>2847000</v>
      </c>
      <c r="X2632" s="136">
        <f>COMPROMISOS_2025[[#This Row],[total_ordenes]]</f>
        <v>2847000</v>
      </c>
      <c r="Y2632" t="str" cm="1">
        <f t="array" aca="1" ref="Y2632" ca="1">IFERROR(_xlfn.XLOOKUP(COMPROMISOS_2025[[#This Row],[concatenado]],PAA[[#All],[RCP-RUBRO]],PAA[[#All],[Actividad3]],VLOOKUP(COMPROMISOS_2025[[#This Row],[Indicador Principal]],$AC$2:$AD$17,2,0),0),"")</f>
        <v/>
      </c>
    </row>
    <row r="2633" spans="1:25" hidden="1" x14ac:dyDescent="0.25">
      <c r="A2633">
        <v>2170</v>
      </c>
      <c r="B2633" t="s">
        <v>2491</v>
      </c>
      <c r="C2633" t="s">
        <v>1936</v>
      </c>
      <c r="D2633" t="s">
        <v>3575</v>
      </c>
      <c r="F2633">
        <v>405</v>
      </c>
      <c r="G2633">
        <v>65</v>
      </c>
      <c r="H2633" t="s">
        <v>662</v>
      </c>
      <c r="I2633" t="s">
        <v>2271</v>
      </c>
      <c r="J2633">
        <v>711750</v>
      </c>
      <c r="K2633">
        <v>2025</v>
      </c>
      <c r="L2633">
        <v>1001391082</v>
      </c>
      <c r="M2633" t="s">
        <v>4248</v>
      </c>
      <c r="N2633" t="s">
        <v>1688</v>
      </c>
      <c r="O2633" t="s">
        <v>1686</v>
      </c>
      <c r="P2633">
        <v>0</v>
      </c>
      <c r="Q2633">
        <v>711750</v>
      </c>
      <c r="R2633">
        <v>0</v>
      </c>
      <c r="S2633">
        <v>0</v>
      </c>
      <c r="T2633" t="str">
        <f t="shared" si="82"/>
        <v>21702.43.4302.85.0-205128.2.3.3.08.06.</v>
      </c>
      <c r="U2633" t="e" cm="1">
        <f t="array" aca="1" ref="U2633" ca="1">+IF(COMPROMISOS_2025[[#This Row],[P]]="20","41080111",_xlfn.XLOOKUP(COMPROMISOS_2025[[#This Row],[concatenado]],PAA[[#All],[RCP-RUBRO]],PAA[[#All],[INDICADOR]],"",0))</f>
        <v>#NAME?</v>
      </c>
      <c r="V2633" s="144" t="str">
        <f t="shared" si="83"/>
        <v>85</v>
      </c>
      <c r="W2633" s="136">
        <f>+COMPROMISOS_2025[[#This Row],[valor_total]]-COMPROMISOS_2025[[#This Row],[total_cancelado]]</f>
        <v>711750</v>
      </c>
      <c r="X2633" s="136">
        <f>COMPROMISOS_2025[[#This Row],[total_ordenes]]</f>
        <v>711750</v>
      </c>
      <c r="Y2633" t="str" cm="1">
        <f t="array" aca="1" ref="Y2633" ca="1">IFERROR(_xlfn.XLOOKUP(COMPROMISOS_2025[[#This Row],[concatenado]],PAA[[#All],[RCP-RUBRO]],PAA[[#All],[Actividad3]],VLOOKUP(COMPROMISOS_2025[[#This Row],[Indicador Principal]],$AC$2:$AD$17,2,0),0),"")</f>
        <v/>
      </c>
    </row>
    <row r="2634" spans="1:25" hidden="1" x14ac:dyDescent="0.25">
      <c r="A2634">
        <v>2171</v>
      </c>
      <c r="B2634" t="s">
        <v>2491</v>
      </c>
      <c r="C2634" t="s">
        <v>1936</v>
      </c>
      <c r="D2634" t="s">
        <v>3575</v>
      </c>
      <c r="F2634">
        <v>405</v>
      </c>
      <c r="G2634">
        <v>65</v>
      </c>
      <c r="H2634" t="s">
        <v>662</v>
      </c>
      <c r="I2634" t="s">
        <v>2271</v>
      </c>
      <c r="J2634">
        <v>711750</v>
      </c>
      <c r="K2634">
        <v>2025</v>
      </c>
      <c r="L2634">
        <v>1001411971</v>
      </c>
      <c r="M2634" t="s">
        <v>4249</v>
      </c>
      <c r="N2634" t="s">
        <v>1688</v>
      </c>
      <c r="O2634" t="s">
        <v>1686</v>
      </c>
      <c r="P2634">
        <v>0</v>
      </c>
      <c r="Q2634">
        <v>711750</v>
      </c>
      <c r="R2634">
        <v>0</v>
      </c>
      <c r="S2634">
        <v>0</v>
      </c>
      <c r="T2634" t="str">
        <f t="shared" si="82"/>
        <v>21712.43.4302.85.0-205128.2.3.3.08.06.</v>
      </c>
      <c r="U2634" t="e" cm="1">
        <f t="array" aca="1" ref="U2634" ca="1">+IF(COMPROMISOS_2025[[#This Row],[P]]="20","41080111",_xlfn.XLOOKUP(COMPROMISOS_2025[[#This Row],[concatenado]],PAA[[#All],[RCP-RUBRO]],PAA[[#All],[INDICADOR]],"",0))</f>
        <v>#NAME?</v>
      </c>
      <c r="V2634" s="144" t="str">
        <f t="shared" si="83"/>
        <v>85</v>
      </c>
      <c r="W2634" s="136">
        <f>+COMPROMISOS_2025[[#This Row],[valor_total]]-COMPROMISOS_2025[[#This Row],[total_cancelado]]</f>
        <v>711750</v>
      </c>
      <c r="X2634" s="136">
        <f>COMPROMISOS_2025[[#This Row],[total_ordenes]]</f>
        <v>711750</v>
      </c>
      <c r="Y2634" t="str" cm="1">
        <f t="array" aca="1" ref="Y2634" ca="1">IFERROR(_xlfn.XLOOKUP(COMPROMISOS_2025[[#This Row],[concatenado]],PAA[[#All],[RCP-RUBRO]],PAA[[#All],[Actividad3]],VLOOKUP(COMPROMISOS_2025[[#This Row],[Indicador Principal]],$AC$2:$AD$17,2,0),0),"")</f>
        <v/>
      </c>
    </row>
    <row r="2635" spans="1:25" hidden="1" x14ac:dyDescent="0.25">
      <c r="A2635">
        <v>2172</v>
      </c>
      <c r="B2635" t="s">
        <v>2491</v>
      </c>
      <c r="C2635" t="s">
        <v>1936</v>
      </c>
      <c r="D2635" t="s">
        <v>3575</v>
      </c>
      <c r="F2635">
        <v>405</v>
      </c>
      <c r="G2635">
        <v>65</v>
      </c>
      <c r="H2635" t="s">
        <v>662</v>
      </c>
      <c r="I2635" t="s">
        <v>2271</v>
      </c>
      <c r="J2635">
        <v>1067625</v>
      </c>
      <c r="K2635">
        <v>2025</v>
      </c>
      <c r="L2635">
        <v>1001420883</v>
      </c>
      <c r="M2635" t="s">
        <v>4250</v>
      </c>
      <c r="N2635" t="s">
        <v>1688</v>
      </c>
      <c r="O2635" t="s">
        <v>1686</v>
      </c>
      <c r="P2635">
        <v>0</v>
      </c>
      <c r="Q2635">
        <v>1067625</v>
      </c>
      <c r="R2635">
        <v>0</v>
      </c>
      <c r="S2635">
        <v>0</v>
      </c>
      <c r="T2635" t="str">
        <f t="shared" si="82"/>
        <v>21722.43.4302.85.0-205128.2.3.3.08.06.</v>
      </c>
      <c r="U2635" t="e" cm="1">
        <f t="array" aca="1" ref="U2635" ca="1">+IF(COMPROMISOS_2025[[#This Row],[P]]="20","41080111",_xlfn.XLOOKUP(COMPROMISOS_2025[[#This Row],[concatenado]],PAA[[#All],[RCP-RUBRO]],PAA[[#All],[INDICADOR]],"",0))</f>
        <v>#NAME?</v>
      </c>
      <c r="V2635" s="144" t="str">
        <f t="shared" si="83"/>
        <v>85</v>
      </c>
      <c r="W2635" s="136">
        <f>+COMPROMISOS_2025[[#This Row],[valor_total]]-COMPROMISOS_2025[[#This Row],[total_cancelado]]</f>
        <v>1067625</v>
      </c>
      <c r="X2635" s="136">
        <f>COMPROMISOS_2025[[#This Row],[total_ordenes]]</f>
        <v>1067625</v>
      </c>
      <c r="Y2635" t="str" cm="1">
        <f t="array" aca="1" ref="Y2635" ca="1">IFERROR(_xlfn.XLOOKUP(COMPROMISOS_2025[[#This Row],[concatenado]],PAA[[#All],[RCP-RUBRO]],PAA[[#All],[Actividad3]],VLOOKUP(COMPROMISOS_2025[[#This Row],[Indicador Principal]],$AC$2:$AD$17,2,0),0),"")</f>
        <v/>
      </c>
    </row>
    <row r="2636" spans="1:25" hidden="1" x14ac:dyDescent="0.25">
      <c r="A2636">
        <v>2173</v>
      </c>
      <c r="B2636" t="s">
        <v>2491</v>
      </c>
      <c r="C2636" t="s">
        <v>1936</v>
      </c>
      <c r="D2636" t="s">
        <v>3575</v>
      </c>
      <c r="F2636">
        <v>405</v>
      </c>
      <c r="G2636">
        <v>65</v>
      </c>
      <c r="H2636" t="s">
        <v>662</v>
      </c>
      <c r="I2636" t="s">
        <v>2271</v>
      </c>
      <c r="J2636">
        <v>2847000</v>
      </c>
      <c r="K2636">
        <v>2025</v>
      </c>
      <c r="L2636">
        <v>1001477811</v>
      </c>
      <c r="M2636" t="s">
        <v>4251</v>
      </c>
      <c r="N2636" t="s">
        <v>1688</v>
      </c>
      <c r="O2636" t="s">
        <v>1686</v>
      </c>
      <c r="P2636">
        <v>0</v>
      </c>
      <c r="Q2636">
        <v>2847000</v>
      </c>
      <c r="R2636">
        <v>0</v>
      </c>
      <c r="S2636">
        <v>0</v>
      </c>
      <c r="T2636" t="str">
        <f t="shared" si="82"/>
        <v>21732.43.4302.85.0-205128.2.3.3.08.06.</v>
      </c>
      <c r="U2636" t="e" cm="1">
        <f t="array" aca="1" ref="U2636" ca="1">+IF(COMPROMISOS_2025[[#This Row],[P]]="20","41080111",_xlfn.XLOOKUP(COMPROMISOS_2025[[#This Row],[concatenado]],PAA[[#All],[RCP-RUBRO]],PAA[[#All],[INDICADOR]],"",0))</f>
        <v>#NAME?</v>
      </c>
      <c r="V2636" s="144" t="str">
        <f t="shared" si="83"/>
        <v>85</v>
      </c>
      <c r="W2636" s="136">
        <f>+COMPROMISOS_2025[[#This Row],[valor_total]]-COMPROMISOS_2025[[#This Row],[total_cancelado]]</f>
        <v>2847000</v>
      </c>
      <c r="X2636" s="136">
        <f>COMPROMISOS_2025[[#This Row],[total_ordenes]]</f>
        <v>2847000</v>
      </c>
      <c r="Y2636" t="str" cm="1">
        <f t="array" aca="1" ref="Y2636" ca="1">IFERROR(_xlfn.XLOOKUP(COMPROMISOS_2025[[#This Row],[concatenado]],PAA[[#All],[RCP-RUBRO]],PAA[[#All],[Actividad3]],VLOOKUP(COMPROMISOS_2025[[#This Row],[Indicador Principal]],$AC$2:$AD$17,2,0),0),"")</f>
        <v/>
      </c>
    </row>
    <row r="2637" spans="1:25" hidden="1" x14ac:dyDescent="0.25">
      <c r="A2637">
        <v>2175</v>
      </c>
      <c r="B2637" t="s">
        <v>2491</v>
      </c>
      <c r="C2637" t="s">
        <v>1936</v>
      </c>
      <c r="D2637" t="s">
        <v>3575</v>
      </c>
      <c r="F2637">
        <v>405</v>
      </c>
      <c r="G2637">
        <v>65</v>
      </c>
      <c r="H2637" t="s">
        <v>662</v>
      </c>
      <c r="I2637" t="s">
        <v>2271</v>
      </c>
      <c r="J2637">
        <v>1423500</v>
      </c>
      <c r="K2637">
        <v>2025</v>
      </c>
      <c r="L2637">
        <v>10014972036</v>
      </c>
      <c r="M2637" t="s">
        <v>3138</v>
      </c>
      <c r="N2637" t="s">
        <v>1688</v>
      </c>
      <c r="O2637" t="s">
        <v>1686</v>
      </c>
      <c r="P2637">
        <v>0</v>
      </c>
      <c r="Q2637">
        <v>1423500</v>
      </c>
      <c r="R2637">
        <v>0</v>
      </c>
      <c r="S2637">
        <v>0</v>
      </c>
      <c r="T2637" t="str">
        <f t="shared" si="82"/>
        <v>21752.43.4302.85.0-205128.2.3.3.08.06.</v>
      </c>
      <c r="U2637" t="e" cm="1">
        <f t="array" aca="1" ref="U2637" ca="1">+IF(COMPROMISOS_2025[[#This Row],[P]]="20","41080111",_xlfn.XLOOKUP(COMPROMISOS_2025[[#This Row],[concatenado]],PAA[[#All],[RCP-RUBRO]],PAA[[#All],[INDICADOR]],"",0))</f>
        <v>#NAME?</v>
      </c>
      <c r="V2637" s="144" t="str">
        <f t="shared" si="83"/>
        <v>85</v>
      </c>
      <c r="W2637" s="136">
        <f>+COMPROMISOS_2025[[#This Row],[valor_total]]-COMPROMISOS_2025[[#This Row],[total_cancelado]]</f>
        <v>1423500</v>
      </c>
      <c r="X2637" s="136">
        <f>COMPROMISOS_2025[[#This Row],[total_ordenes]]</f>
        <v>1423500</v>
      </c>
      <c r="Y2637" t="str" cm="1">
        <f t="array" aca="1" ref="Y2637" ca="1">IFERROR(_xlfn.XLOOKUP(COMPROMISOS_2025[[#This Row],[concatenado]],PAA[[#All],[RCP-RUBRO]],PAA[[#All],[Actividad3]],VLOOKUP(COMPROMISOS_2025[[#This Row],[Indicador Principal]],$AC$2:$AD$17,2,0),0),"")</f>
        <v/>
      </c>
    </row>
    <row r="2638" spans="1:25" hidden="1" x14ac:dyDescent="0.25">
      <c r="A2638">
        <v>2176</v>
      </c>
      <c r="B2638" t="s">
        <v>2491</v>
      </c>
      <c r="C2638" t="s">
        <v>1936</v>
      </c>
      <c r="D2638" t="s">
        <v>3575</v>
      </c>
      <c r="F2638">
        <v>405</v>
      </c>
      <c r="G2638">
        <v>65</v>
      </c>
      <c r="H2638" t="s">
        <v>662</v>
      </c>
      <c r="I2638" t="s">
        <v>2271</v>
      </c>
      <c r="J2638">
        <v>711750</v>
      </c>
      <c r="K2638">
        <v>2025</v>
      </c>
      <c r="L2638">
        <v>1001534811</v>
      </c>
      <c r="M2638" t="s">
        <v>3972</v>
      </c>
      <c r="N2638" t="s">
        <v>1688</v>
      </c>
      <c r="O2638" t="s">
        <v>1686</v>
      </c>
      <c r="P2638">
        <v>0</v>
      </c>
      <c r="Q2638">
        <v>711750</v>
      </c>
      <c r="R2638">
        <v>0</v>
      </c>
      <c r="S2638">
        <v>0</v>
      </c>
      <c r="T2638" t="str">
        <f t="shared" si="82"/>
        <v>21762.43.4302.85.0-205128.2.3.3.08.06.</v>
      </c>
      <c r="U2638" t="e" cm="1">
        <f t="array" aca="1" ref="U2638" ca="1">+IF(COMPROMISOS_2025[[#This Row],[P]]="20","41080111",_xlfn.XLOOKUP(COMPROMISOS_2025[[#This Row],[concatenado]],PAA[[#All],[RCP-RUBRO]],PAA[[#All],[INDICADOR]],"",0))</f>
        <v>#NAME?</v>
      </c>
      <c r="V2638" s="144" t="str">
        <f t="shared" si="83"/>
        <v>85</v>
      </c>
      <c r="W2638" s="136">
        <f>+COMPROMISOS_2025[[#This Row],[valor_total]]-COMPROMISOS_2025[[#This Row],[total_cancelado]]</f>
        <v>711750</v>
      </c>
      <c r="X2638" s="136">
        <f>COMPROMISOS_2025[[#This Row],[total_ordenes]]</f>
        <v>711750</v>
      </c>
      <c r="Y2638" t="str" cm="1">
        <f t="array" aca="1" ref="Y2638" ca="1">IFERROR(_xlfn.XLOOKUP(COMPROMISOS_2025[[#This Row],[concatenado]],PAA[[#All],[RCP-RUBRO]],PAA[[#All],[Actividad3]],VLOOKUP(COMPROMISOS_2025[[#This Row],[Indicador Principal]],$AC$2:$AD$17,2,0),0),"")</f>
        <v/>
      </c>
    </row>
    <row r="2639" spans="1:25" hidden="1" x14ac:dyDescent="0.25">
      <c r="A2639">
        <v>2177</v>
      </c>
      <c r="B2639" t="s">
        <v>2491</v>
      </c>
      <c r="C2639" t="s">
        <v>1936</v>
      </c>
      <c r="D2639" t="s">
        <v>3575</v>
      </c>
      <c r="F2639">
        <v>405</v>
      </c>
      <c r="G2639">
        <v>65</v>
      </c>
      <c r="H2639" t="s">
        <v>662</v>
      </c>
      <c r="I2639" t="s">
        <v>2271</v>
      </c>
      <c r="J2639">
        <v>1423500</v>
      </c>
      <c r="K2639">
        <v>2025</v>
      </c>
      <c r="L2639">
        <v>1001577370</v>
      </c>
      <c r="M2639" t="s">
        <v>4252</v>
      </c>
      <c r="N2639" t="s">
        <v>1688</v>
      </c>
      <c r="O2639" t="s">
        <v>1686</v>
      </c>
      <c r="P2639">
        <v>0</v>
      </c>
      <c r="Q2639">
        <v>1423500</v>
      </c>
      <c r="R2639">
        <v>0</v>
      </c>
      <c r="S2639">
        <v>0</v>
      </c>
      <c r="T2639" t="str">
        <f t="shared" si="82"/>
        <v>21772.43.4302.85.0-205128.2.3.3.08.06.</v>
      </c>
      <c r="U2639" t="e" cm="1">
        <f t="array" aca="1" ref="U2639" ca="1">+IF(COMPROMISOS_2025[[#This Row],[P]]="20","41080111",_xlfn.XLOOKUP(COMPROMISOS_2025[[#This Row],[concatenado]],PAA[[#All],[RCP-RUBRO]],PAA[[#All],[INDICADOR]],"",0))</f>
        <v>#NAME?</v>
      </c>
      <c r="V2639" s="144" t="str">
        <f t="shared" si="83"/>
        <v>85</v>
      </c>
      <c r="W2639" s="136">
        <f>+COMPROMISOS_2025[[#This Row],[valor_total]]-COMPROMISOS_2025[[#This Row],[total_cancelado]]</f>
        <v>1423500</v>
      </c>
      <c r="X2639" s="136">
        <f>COMPROMISOS_2025[[#This Row],[total_ordenes]]</f>
        <v>1423500</v>
      </c>
      <c r="Y2639" t="str" cm="1">
        <f t="array" aca="1" ref="Y2639" ca="1">IFERROR(_xlfn.XLOOKUP(COMPROMISOS_2025[[#This Row],[concatenado]],PAA[[#All],[RCP-RUBRO]],PAA[[#All],[Actividad3]],VLOOKUP(COMPROMISOS_2025[[#This Row],[Indicador Principal]],$AC$2:$AD$17,2,0),0),"")</f>
        <v/>
      </c>
    </row>
    <row r="2640" spans="1:25" hidden="1" x14ac:dyDescent="0.25">
      <c r="A2640">
        <v>2178</v>
      </c>
      <c r="B2640" t="s">
        <v>2491</v>
      </c>
      <c r="C2640" t="s">
        <v>1936</v>
      </c>
      <c r="D2640" t="s">
        <v>3575</v>
      </c>
      <c r="F2640">
        <v>405</v>
      </c>
      <c r="G2640">
        <v>65</v>
      </c>
      <c r="H2640" t="s">
        <v>662</v>
      </c>
      <c r="I2640" t="s">
        <v>2271</v>
      </c>
      <c r="J2640">
        <v>1067625</v>
      </c>
      <c r="K2640">
        <v>2025</v>
      </c>
      <c r="L2640">
        <v>1001667224</v>
      </c>
      <c r="M2640" t="s">
        <v>4253</v>
      </c>
      <c r="N2640" t="s">
        <v>1688</v>
      </c>
      <c r="O2640" t="s">
        <v>1686</v>
      </c>
      <c r="P2640">
        <v>0</v>
      </c>
      <c r="Q2640">
        <v>1067625</v>
      </c>
      <c r="R2640">
        <v>0</v>
      </c>
      <c r="S2640">
        <v>0</v>
      </c>
      <c r="T2640" t="str">
        <f t="shared" si="82"/>
        <v>21782.43.4302.85.0-205128.2.3.3.08.06.</v>
      </c>
      <c r="U2640" t="e" cm="1">
        <f t="array" aca="1" ref="U2640" ca="1">+IF(COMPROMISOS_2025[[#This Row],[P]]="20","41080111",_xlfn.XLOOKUP(COMPROMISOS_2025[[#This Row],[concatenado]],PAA[[#All],[RCP-RUBRO]],PAA[[#All],[INDICADOR]],"",0))</f>
        <v>#NAME?</v>
      </c>
      <c r="V2640" s="144" t="str">
        <f t="shared" si="83"/>
        <v>85</v>
      </c>
      <c r="W2640" s="136">
        <f>+COMPROMISOS_2025[[#This Row],[valor_total]]-COMPROMISOS_2025[[#This Row],[total_cancelado]]</f>
        <v>1067625</v>
      </c>
      <c r="X2640" s="136">
        <f>COMPROMISOS_2025[[#This Row],[total_ordenes]]</f>
        <v>1067625</v>
      </c>
      <c r="Y2640" t="str" cm="1">
        <f t="array" aca="1" ref="Y2640" ca="1">IFERROR(_xlfn.XLOOKUP(COMPROMISOS_2025[[#This Row],[concatenado]],PAA[[#All],[RCP-RUBRO]],PAA[[#All],[Actividad3]],VLOOKUP(COMPROMISOS_2025[[#This Row],[Indicador Principal]],$AC$2:$AD$17,2,0),0),"")</f>
        <v/>
      </c>
    </row>
    <row r="2641" spans="1:25" hidden="1" x14ac:dyDescent="0.25">
      <c r="A2641">
        <v>2179</v>
      </c>
      <c r="B2641" t="s">
        <v>2491</v>
      </c>
      <c r="C2641" t="s">
        <v>1936</v>
      </c>
      <c r="D2641" t="s">
        <v>3575</v>
      </c>
      <c r="F2641">
        <v>405</v>
      </c>
      <c r="G2641">
        <v>65</v>
      </c>
      <c r="H2641" t="s">
        <v>662</v>
      </c>
      <c r="I2641" t="s">
        <v>2271</v>
      </c>
      <c r="J2641">
        <v>711750</v>
      </c>
      <c r="K2641">
        <v>2025</v>
      </c>
      <c r="L2641">
        <v>1001667549</v>
      </c>
      <c r="M2641" t="s">
        <v>4254</v>
      </c>
      <c r="N2641" t="s">
        <v>1688</v>
      </c>
      <c r="O2641" t="s">
        <v>1686</v>
      </c>
      <c r="P2641">
        <v>0</v>
      </c>
      <c r="Q2641">
        <v>711750</v>
      </c>
      <c r="R2641">
        <v>0</v>
      </c>
      <c r="S2641">
        <v>0</v>
      </c>
      <c r="T2641" t="str">
        <f t="shared" si="82"/>
        <v>21792.43.4302.85.0-205128.2.3.3.08.06.</v>
      </c>
      <c r="U2641" t="e" cm="1">
        <f t="array" aca="1" ref="U2641" ca="1">+IF(COMPROMISOS_2025[[#This Row],[P]]="20","41080111",_xlfn.XLOOKUP(COMPROMISOS_2025[[#This Row],[concatenado]],PAA[[#All],[RCP-RUBRO]],PAA[[#All],[INDICADOR]],"",0))</f>
        <v>#NAME?</v>
      </c>
      <c r="V2641" s="144" t="str">
        <f t="shared" si="83"/>
        <v>85</v>
      </c>
      <c r="W2641" s="136">
        <f>+COMPROMISOS_2025[[#This Row],[valor_total]]-COMPROMISOS_2025[[#This Row],[total_cancelado]]</f>
        <v>711750</v>
      </c>
      <c r="X2641" s="136">
        <f>COMPROMISOS_2025[[#This Row],[total_ordenes]]</f>
        <v>711750</v>
      </c>
      <c r="Y2641" t="str" cm="1">
        <f t="array" aca="1" ref="Y2641" ca="1">IFERROR(_xlfn.XLOOKUP(COMPROMISOS_2025[[#This Row],[concatenado]],PAA[[#All],[RCP-RUBRO]],PAA[[#All],[Actividad3]],VLOOKUP(COMPROMISOS_2025[[#This Row],[Indicador Principal]],$AC$2:$AD$17,2,0),0),"")</f>
        <v/>
      </c>
    </row>
    <row r="2642" spans="1:25" hidden="1" x14ac:dyDescent="0.25">
      <c r="A2642">
        <v>2180</v>
      </c>
      <c r="B2642" t="s">
        <v>2491</v>
      </c>
      <c r="C2642" t="s">
        <v>1936</v>
      </c>
      <c r="D2642" t="s">
        <v>3575</v>
      </c>
      <c r="F2642">
        <v>405</v>
      </c>
      <c r="G2642">
        <v>65</v>
      </c>
      <c r="H2642" t="s">
        <v>662</v>
      </c>
      <c r="I2642" t="s">
        <v>2271</v>
      </c>
      <c r="J2642">
        <v>1067625</v>
      </c>
      <c r="K2642">
        <v>2025</v>
      </c>
      <c r="L2642">
        <v>1001672406</v>
      </c>
      <c r="M2642" t="s">
        <v>3974</v>
      </c>
      <c r="N2642" t="s">
        <v>1688</v>
      </c>
      <c r="O2642" t="s">
        <v>1686</v>
      </c>
      <c r="P2642">
        <v>0</v>
      </c>
      <c r="Q2642">
        <v>1067625</v>
      </c>
      <c r="R2642">
        <v>0</v>
      </c>
      <c r="S2642">
        <v>0</v>
      </c>
      <c r="T2642" t="str">
        <f t="shared" si="82"/>
        <v>21802.43.4302.85.0-205128.2.3.3.08.06.</v>
      </c>
      <c r="U2642" t="e" cm="1">
        <f t="array" aca="1" ref="U2642" ca="1">+IF(COMPROMISOS_2025[[#This Row],[P]]="20","41080111",_xlfn.XLOOKUP(COMPROMISOS_2025[[#This Row],[concatenado]],PAA[[#All],[RCP-RUBRO]],PAA[[#All],[INDICADOR]],"",0))</f>
        <v>#NAME?</v>
      </c>
      <c r="V2642" s="144" t="str">
        <f t="shared" si="83"/>
        <v>85</v>
      </c>
      <c r="W2642" s="136">
        <f>+COMPROMISOS_2025[[#This Row],[valor_total]]-COMPROMISOS_2025[[#This Row],[total_cancelado]]</f>
        <v>1067625</v>
      </c>
      <c r="X2642" s="136">
        <f>COMPROMISOS_2025[[#This Row],[total_ordenes]]</f>
        <v>1067625</v>
      </c>
      <c r="Y2642" t="str" cm="1">
        <f t="array" aca="1" ref="Y2642" ca="1">IFERROR(_xlfn.XLOOKUP(COMPROMISOS_2025[[#This Row],[concatenado]],PAA[[#All],[RCP-RUBRO]],PAA[[#All],[Actividad3]],VLOOKUP(COMPROMISOS_2025[[#This Row],[Indicador Principal]],$AC$2:$AD$17,2,0),0),"")</f>
        <v/>
      </c>
    </row>
    <row r="2643" spans="1:25" hidden="1" x14ac:dyDescent="0.25">
      <c r="A2643">
        <v>2181</v>
      </c>
      <c r="B2643" t="s">
        <v>2491</v>
      </c>
      <c r="C2643" t="s">
        <v>1936</v>
      </c>
      <c r="D2643" t="s">
        <v>3575</v>
      </c>
      <c r="F2643">
        <v>405</v>
      </c>
      <c r="G2643">
        <v>65</v>
      </c>
      <c r="H2643" t="s">
        <v>662</v>
      </c>
      <c r="I2643" t="s">
        <v>2271</v>
      </c>
      <c r="J2643">
        <v>711750</v>
      </c>
      <c r="K2643">
        <v>2025</v>
      </c>
      <c r="L2643">
        <v>1001686132</v>
      </c>
      <c r="M2643" t="s">
        <v>4255</v>
      </c>
      <c r="N2643" t="s">
        <v>1688</v>
      </c>
      <c r="O2643" t="s">
        <v>1686</v>
      </c>
      <c r="P2643">
        <v>0</v>
      </c>
      <c r="Q2643">
        <v>711750</v>
      </c>
      <c r="R2643">
        <v>0</v>
      </c>
      <c r="S2643">
        <v>0</v>
      </c>
      <c r="T2643" t="str">
        <f t="shared" si="82"/>
        <v>21812.43.4302.85.0-205128.2.3.3.08.06.</v>
      </c>
      <c r="U2643" t="e" cm="1">
        <f t="array" aca="1" ref="U2643" ca="1">+IF(COMPROMISOS_2025[[#This Row],[P]]="20","41080111",_xlfn.XLOOKUP(COMPROMISOS_2025[[#This Row],[concatenado]],PAA[[#All],[RCP-RUBRO]],PAA[[#All],[INDICADOR]],"",0))</f>
        <v>#NAME?</v>
      </c>
      <c r="V2643" s="144" t="str">
        <f t="shared" si="83"/>
        <v>85</v>
      </c>
      <c r="W2643" s="136">
        <f>+COMPROMISOS_2025[[#This Row],[valor_total]]-COMPROMISOS_2025[[#This Row],[total_cancelado]]</f>
        <v>711750</v>
      </c>
      <c r="X2643" s="136">
        <f>COMPROMISOS_2025[[#This Row],[total_ordenes]]</f>
        <v>711750</v>
      </c>
      <c r="Y2643" t="str" cm="1">
        <f t="array" aca="1" ref="Y2643" ca="1">IFERROR(_xlfn.XLOOKUP(COMPROMISOS_2025[[#This Row],[concatenado]],PAA[[#All],[RCP-RUBRO]],PAA[[#All],[Actividad3]],VLOOKUP(COMPROMISOS_2025[[#This Row],[Indicador Principal]],$AC$2:$AD$17,2,0),0),"")</f>
        <v/>
      </c>
    </row>
    <row r="2644" spans="1:25" hidden="1" x14ac:dyDescent="0.25">
      <c r="A2644">
        <v>2182</v>
      </c>
      <c r="B2644" t="s">
        <v>2491</v>
      </c>
      <c r="C2644" t="s">
        <v>1936</v>
      </c>
      <c r="D2644" t="s">
        <v>3575</v>
      </c>
      <c r="F2644">
        <v>405</v>
      </c>
      <c r="G2644">
        <v>65</v>
      </c>
      <c r="H2644" t="s">
        <v>662</v>
      </c>
      <c r="I2644" t="s">
        <v>2271</v>
      </c>
      <c r="J2644">
        <v>1067625</v>
      </c>
      <c r="K2644">
        <v>2025</v>
      </c>
      <c r="L2644">
        <v>1001686544</v>
      </c>
      <c r="M2644" t="s">
        <v>3975</v>
      </c>
      <c r="N2644" t="s">
        <v>1688</v>
      </c>
      <c r="O2644" t="s">
        <v>1686</v>
      </c>
      <c r="P2644">
        <v>0</v>
      </c>
      <c r="Q2644">
        <v>1067625</v>
      </c>
      <c r="R2644">
        <v>0</v>
      </c>
      <c r="S2644">
        <v>0</v>
      </c>
      <c r="T2644" t="str">
        <f t="shared" si="82"/>
        <v>21822.43.4302.85.0-205128.2.3.3.08.06.</v>
      </c>
      <c r="U2644" t="e" cm="1">
        <f t="array" aca="1" ref="U2644" ca="1">+IF(COMPROMISOS_2025[[#This Row],[P]]="20","41080111",_xlfn.XLOOKUP(COMPROMISOS_2025[[#This Row],[concatenado]],PAA[[#All],[RCP-RUBRO]],PAA[[#All],[INDICADOR]],"",0))</f>
        <v>#NAME?</v>
      </c>
      <c r="V2644" s="144" t="str">
        <f t="shared" si="83"/>
        <v>85</v>
      </c>
      <c r="W2644" s="136">
        <f>+COMPROMISOS_2025[[#This Row],[valor_total]]-COMPROMISOS_2025[[#This Row],[total_cancelado]]</f>
        <v>1067625</v>
      </c>
      <c r="X2644" s="136">
        <f>COMPROMISOS_2025[[#This Row],[total_ordenes]]</f>
        <v>1067625</v>
      </c>
      <c r="Y2644" t="str" cm="1">
        <f t="array" aca="1" ref="Y2644" ca="1">IFERROR(_xlfn.XLOOKUP(COMPROMISOS_2025[[#This Row],[concatenado]],PAA[[#All],[RCP-RUBRO]],PAA[[#All],[Actividad3]],VLOOKUP(COMPROMISOS_2025[[#This Row],[Indicador Principal]],$AC$2:$AD$17,2,0),0),"")</f>
        <v/>
      </c>
    </row>
    <row r="2645" spans="1:25" hidden="1" x14ac:dyDescent="0.25">
      <c r="A2645">
        <v>2183</v>
      </c>
      <c r="B2645" t="s">
        <v>2491</v>
      </c>
      <c r="C2645" t="s">
        <v>1936</v>
      </c>
      <c r="D2645" t="s">
        <v>3575</v>
      </c>
      <c r="F2645">
        <v>405</v>
      </c>
      <c r="G2645">
        <v>65</v>
      </c>
      <c r="H2645" t="s">
        <v>662</v>
      </c>
      <c r="I2645" t="s">
        <v>2271</v>
      </c>
      <c r="J2645">
        <v>1067625</v>
      </c>
      <c r="K2645">
        <v>2025</v>
      </c>
      <c r="L2645">
        <v>1001710933</v>
      </c>
      <c r="M2645" t="s">
        <v>4256</v>
      </c>
      <c r="N2645" t="s">
        <v>1688</v>
      </c>
      <c r="O2645" t="s">
        <v>1686</v>
      </c>
      <c r="P2645">
        <v>0</v>
      </c>
      <c r="Q2645">
        <v>1067625</v>
      </c>
      <c r="R2645">
        <v>0</v>
      </c>
      <c r="S2645">
        <v>0</v>
      </c>
      <c r="T2645" t="str">
        <f t="shared" si="82"/>
        <v>21832.43.4302.85.0-205128.2.3.3.08.06.</v>
      </c>
      <c r="U2645" t="e" cm="1">
        <f t="array" aca="1" ref="U2645" ca="1">+IF(COMPROMISOS_2025[[#This Row],[P]]="20","41080111",_xlfn.XLOOKUP(COMPROMISOS_2025[[#This Row],[concatenado]],PAA[[#All],[RCP-RUBRO]],PAA[[#All],[INDICADOR]],"",0))</f>
        <v>#NAME?</v>
      </c>
      <c r="V2645" s="144" t="str">
        <f t="shared" si="83"/>
        <v>85</v>
      </c>
      <c r="W2645" s="136">
        <f>+COMPROMISOS_2025[[#This Row],[valor_total]]-COMPROMISOS_2025[[#This Row],[total_cancelado]]</f>
        <v>1067625</v>
      </c>
      <c r="X2645" s="136">
        <f>COMPROMISOS_2025[[#This Row],[total_ordenes]]</f>
        <v>1067625</v>
      </c>
      <c r="Y2645" t="str" cm="1">
        <f t="array" aca="1" ref="Y2645" ca="1">IFERROR(_xlfn.XLOOKUP(COMPROMISOS_2025[[#This Row],[concatenado]],PAA[[#All],[RCP-RUBRO]],PAA[[#All],[Actividad3]],VLOOKUP(COMPROMISOS_2025[[#This Row],[Indicador Principal]],$AC$2:$AD$17,2,0),0),"")</f>
        <v/>
      </c>
    </row>
    <row r="2646" spans="1:25" hidden="1" x14ac:dyDescent="0.25">
      <c r="A2646">
        <v>2184</v>
      </c>
      <c r="B2646" t="s">
        <v>2491</v>
      </c>
      <c r="C2646" t="s">
        <v>1936</v>
      </c>
      <c r="D2646" t="s">
        <v>3575</v>
      </c>
      <c r="F2646">
        <v>405</v>
      </c>
      <c r="G2646">
        <v>65</v>
      </c>
      <c r="H2646" t="s">
        <v>662</v>
      </c>
      <c r="I2646" t="s">
        <v>2271</v>
      </c>
      <c r="J2646">
        <v>1067625</v>
      </c>
      <c r="K2646">
        <v>2025</v>
      </c>
      <c r="L2646">
        <v>1001773599</v>
      </c>
      <c r="M2646" t="s">
        <v>4257</v>
      </c>
      <c r="N2646" t="s">
        <v>1688</v>
      </c>
      <c r="O2646" t="s">
        <v>1686</v>
      </c>
      <c r="P2646">
        <v>0</v>
      </c>
      <c r="Q2646">
        <v>1067625</v>
      </c>
      <c r="R2646">
        <v>0</v>
      </c>
      <c r="S2646">
        <v>0</v>
      </c>
      <c r="T2646" t="str">
        <f t="shared" si="82"/>
        <v>21842.43.4302.85.0-205128.2.3.3.08.06.</v>
      </c>
      <c r="U2646" t="e" cm="1">
        <f t="array" aca="1" ref="U2646" ca="1">+IF(COMPROMISOS_2025[[#This Row],[P]]="20","41080111",_xlfn.XLOOKUP(COMPROMISOS_2025[[#This Row],[concatenado]],PAA[[#All],[RCP-RUBRO]],PAA[[#All],[INDICADOR]],"",0))</f>
        <v>#NAME?</v>
      </c>
      <c r="V2646" s="144" t="str">
        <f t="shared" si="83"/>
        <v>85</v>
      </c>
      <c r="W2646" s="136">
        <f>+COMPROMISOS_2025[[#This Row],[valor_total]]-COMPROMISOS_2025[[#This Row],[total_cancelado]]</f>
        <v>1067625</v>
      </c>
      <c r="X2646" s="136">
        <f>COMPROMISOS_2025[[#This Row],[total_ordenes]]</f>
        <v>1067625</v>
      </c>
      <c r="Y2646" t="str" cm="1">
        <f t="array" aca="1" ref="Y2646" ca="1">IFERROR(_xlfn.XLOOKUP(COMPROMISOS_2025[[#This Row],[concatenado]],PAA[[#All],[RCP-RUBRO]],PAA[[#All],[Actividad3]],VLOOKUP(COMPROMISOS_2025[[#This Row],[Indicador Principal]],$AC$2:$AD$17,2,0),0),"")</f>
        <v/>
      </c>
    </row>
    <row r="2647" spans="1:25" hidden="1" x14ac:dyDescent="0.25">
      <c r="A2647">
        <v>2185</v>
      </c>
      <c r="B2647" t="s">
        <v>2491</v>
      </c>
      <c r="C2647" t="s">
        <v>1936</v>
      </c>
      <c r="D2647" t="s">
        <v>3575</v>
      </c>
      <c r="F2647">
        <v>405</v>
      </c>
      <c r="G2647">
        <v>65</v>
      </c>
      <c r="H2647" t="s">
        <v>662</v>
      </c>
      <c r="I2647" t="s">
        <v>2271</v>
      </c>
      <c r="J2647">
        <v>1067625</v>
      </c>
      <c r="K2647">
        <v>2025</v>
      </c>
      <c r="L2647">
        <v>1001823709</v>
      </c>
      <c r="M2647" t="s">
        <v>4258</v>
      </c>
      <c r="N2647" t="s">
        <v>1688</v>
      </c>
      <c r="O2647" t="s">
        <v>1686</v>
      </c>
      <c r="P2647">
        <v>0</v>
      </c>
      <c r="Q2647">
        <v>1067625</v>
      </c>
      <c r="R2647">
        <v>0</v>
      </c>
      <c r="S2647">
        <v>0</v>
      </c>
      <c r="T2647" t="str">
        <f t="shared" si="82"/>
        <v>21852.43.4302.85.0-205128.2.3.3.08.06.</v>
      </c>
      <c r="U2647" t="e" cm="1">
        <f t="array" aca="1" ref="U2647" ca="1">+IF(COMPROMISOS_2025[[#This Row],[P]]="20","41080111",_xlfn.XLOOKUP(COMPROMISOS_2025[[#This Row],[concatenado]],PAA[[#All],[RCP-RUBRO]],PAA[[#All],[INDICADOR]],"",0))</f>
        <v>#NAME?</v>
      </c>
      <c r="V2647" s="144" t="str">
        <f t="shared" si="83"/>
        <v>85</v>
      </c>
      <c r="W2647" s="136">
        <f>+COMPROMISOS_2025[[#This Row],[valor_total]]-COMPROMISOS_2025[[#This Row],[total_cancelado]]</f>
        <v>1067625</v>
      </c>
      <c r="X2647" s="136">
        <f>COMPROMISOS_2025[[#This Row],[total_ordenes]]</f>
        <v>1067625</v>
      </c>
      <c r="Y2647" t="str" cm="1">
        <f t="array" aca="1" ref="Y2647" ca="1">IFERROR(_xlfn.XLOOKUP(COMPROMISOS_2025[[#This Row],[concatenado]],PAA[[#All],[RCP-RUBRO]],PAA[[#All],[Actividad3]],VLOOKUP(COMPROMISOS_2025[[#This Row],[Indicador Principal]],$AC$2:$AD$17,2,0),0),"")</f>
        <v/>
      </c>
    </row>
    <row r="2648" spans="1:25" hidden="1" x14ac:dyDescent="0.25">
      <c r="A2648">
        <v>2186</v>
      </c>
      <c r="B2648" t="s">
        <v>2491</v>
      </c>
      <c r="C2648" t="s">
        <v>1936</v>
      </c>
      <c r="D2648" t="s">
        <v>3575</v>
      </c>
      <c r="F2648">
        <v>405</v>
      </c>
      <c r="G2648">
        <v>65</v>
      </c>
      <c r="H2648" t="s">
        <v>662</v>
      </c>
      <c r="I2648" t="s">
        <v>2271</v>
      </c>
      <c r="J2648">
        <v>1423500</v>
      </c>
      <c r="K2648">
        <v>2025</v>
      </c>
      <c r="L2648">
        <v>1002061079</v>
      </c>
      <c r="M2648" t="s">
        <v>3977</v>
      </c>
      <c r="N2648" t="s">
        <v>1688</v>
      </c>
      <c r="O2648" t="s">
        <v>1686</v>
      </c>
      <c r="P2648">
        <v>0</v>
      </c>
      <c r="Q2648">
        <v>1423500</v>
      </c>
      <c r="R2648">
        <v>0</v>
      </c>
      <c r="S2648">
        <v>0</v>
      </c>
      <c r="T2648" t="str">
        <f t="shared" si="82"/>
        <v>21862.43.4302.85.0-205128.2.3.3.08.06.</v>
      </c>
      <c r="U2648" t="e" cm="1">
        <f t="array" aca="1" ref="U2648" ca="1">+IF(COMPROMISOS_2025[[#This Row],[P]]="20","41080111",_xlfn.XLOOKUP(COMPROMISOS_2025[[#This Row],[concatenado]],PAA[[#All],[RCP-RUBRO]],PAA[[#All],[INDICADOR]],"",0))</f>
        <v>#NAME?</v>
      </c>
      <c r="V2648" s="144" t="str">
        <f t="shared" si="83"/>
        <v>85</v>
      </c>
      <c r="W2648" s="136">
        <f>+COMPROMISOS_2025[[#This Row],[valor_total]]-COMPROMISOS_2025[[#This Row],[total_cancelado]]</f>
        <v>1423500</v>
      </c>
      <c r="X2648" s="136">
        <f>COMPROMISOS_2025[[#This Row],[total_ordenes]]</f>
        <v>1423500</v>
      </c>
      <c r="Y2648" t="str" cm="1">
        <f t="array" aca="1" ref="Y2648" ca="1">IFERROR(_xlfn.XLOOKUP(COMPROMISOS_2025[[#This Row],[concatenado]],PAA[[#All],[RCP-RUBRO]],PAA[[#All],[Actividad3]],VLOOKUP(COMPROMISOS_2025[[#This Row],[Indicador Principal]],$AC$2:$AD$17,2,0),0),"")</f>
        <v/>
      </c>
    </row>
    <row r="2649" spans="1:25" hidden="1" x14ac:dyDescent="0.25">
      <c r="A2649">
        <v>2187</v>
      </c>
      <c r="B2649" t="s">
        <v>2491</v>
      </c>
      <c r="C2649" t="s">
        <v>1936</v>
      </c>
      <c r="D2649" t="s">
        <v>3575</v>
      </c>
      <c r="F2649">
        <v>405</v>
      </c>
      <c r="G2649">
        <v>65</v>
      </c>
      <c r="H2649" t="s">
        <v>662</v>
      </c>
      <c r="I2649" t="s">
        <v>2271</v>
      </c>
      <c r="J2649">
        <v>2847000</v>
      </c>
      <c r="K2649">
        <v>2025</v>
      </c>
      <c r="L2649">
        <v>1002088003</v>
      </c>
      <c r="M2649" t="s">
        <v>3978</v>
      </c>
      <c r="N2649" t="s">
        <v>1688</v>
      </c>
      <c r="O2649" t="s">
        <v>1686</v>
      </c>
      <c r="P2649">
        <v>0</v>
      </c>
      <c r="Q2649">
        <v>2847000</v>
      </c>
      <c r="R2649">
        <v>0</v>
      </c>
      <c r="S2649">
        <v>0</v>
      </c>
      <c r="T2649" t="str">
        <f t="shared" si="82"/>
        <v>21872.43.4302.85.0-205128.2.3.3.08.06.</v>
      </c>
      <c r="U2649" t="e" cm="1">
        <f t="array" aca="1" ref="U2649" ca="1">+IF(COMPROMISOS_2025[[#This Row],[P]]="20","41080111",_xlfn.XLOOKUP(COMPROMISOS_2025[[#This Row],[concatenado]],PAA[[#All],[RCP-RUBRO]],PAA[[#All],[INDICADOR]],"",0))</f>
        <v>#NAME?</v>
      </c>
      <c r="V2649" s="144" t="str">
        <f t="shared" si="83"/>
        <v>85</v>
      </c>
      <c r="W2649" s="136">
        <f>+COMPROMISOS_2025[[#This Row],[valor_total]]-COMPROMISOS_2025[[#This Row],[total_cancelado]]</f>
        <v>2847000</v>
      </c>
      <c r="X2649" s="136">
        <f>COMPROMISOS_2025[[#This Row],[total_ordenes]]</f>
        <v>2847000</v>
      </c>
      <c r="Y2649" t="str" cm="1">
        <f t="array" aca="1" ref="Y2649" ca="1">IFERROR(_xlfn.XLOOKUP(COMPROMISOS_2025[[#This Row],[concatenado]],PAA[[#All],[RCP-RUBRO]],PAA[[#All],[Actividad3]],VLOOKUP(COMPROMISOS_2025[[#This Row],[Indicador Principal]],$AC$2:$AD$17,2,0),0),"")</f>
        <v/>
      </c>
    </row>
    <row r="2650" spans="1:25" hidden="1" x14ac:dyDescent="0.25">
      <c r="A2650">
        <v>2188</v>
      </c>
      <c r="B2650" t="s">
        <v>2491</v>
      </c>
      <c r="C2650" t="s">
        <v>1936</v>
      </c>
      <c r="D2650" t="s">
        <v>3575</v>
      </c>
      <c r="F2650">
        <v>405</v>
      </c>
      <c r="G2650">
        <v>65</v>
      </c>
      <c r="H2650" t="s">
        <v>662</v>
      </c>
      <c r="I2650" t="s">
        <v>2271</v>
      </c>
      <c r="J2650">
        <v>711750</v>
      </c>
      <c r="K2650">
        <v>2025</v>
      </c>
      <c r="L2650">
        <v>1002127163</v>
      </c>
      <c r="M2650" t="s">
        <v>4259</v>
      </c>
      <c r="N2650" t="s">
        <v>1688</v>
      </c>
      <c r="O2650" t="s">
        <v>1686</v>
      </c>
      <c r="P2650">
        <v>0</v>
      </c>
      <c r="Q2650">
        <v>711750</v>
      </c>
      <c r="R2650">
        <v>0</v>
      </c>
      <c r="S2650">
        <v>0</v>
      </c>
      <c r="T2650" t="str">
        <f t="shared" si="82"/>
        <v>21882.43.4302.85.0-205128.2.3.3.08.06.</v>
      </c>
      <c r="U2650" t="e" cm="1">
        <f t="array" aca="1" ref="U2650" ca="1">+IF(COMPROMISOS_2025[[#This Row],[P]]="20","41080111",_xlfn.XLOOKUP(COMPROMISOS_2025[[#This Row],[concatenado]],PAA[[#All],[RCP-RUBRO]],PAA[[#All],[INDICADOR]],"",0))</f>
        <v>#NAME?</v>
      </c>
      <c r="V2650" s="144" t="str">
        <f t="shared" si="83"/>
        <v>85</v>
      </c>
      <c r="W2650" s="136">
        <f>+COMPROMISOS_2025[[#This Row],[valor_total]]-COMPROMISOS_2025[[#This Row],[total_cancelado]]</f>
        <v>711750</v>
      </c>
      <c r="X2650" s="136">
        <f>COMPROMISOS_2025[[#This Row],[total_ordenes]]</f>
        <v>711750</v>
      </c>
      <c r="Y2650" t="str" cm="1">
        <f t="array" aca="1" ref="Y2650" ca="1">IFERROR(_xlfn.XLOOKUP(COMPROMISOS_2025[[#This Row],[concatenado]],PAA[[#All],[RCP-RUBRO]],PAA[[#All],[Actividad3]],VLOOKUP(COMPROMISOS_2025[[#This Row],[Indicador Principal]],$AC$2:$AD$17,2,0),0),"")</f>
        <v/>
      </c>
    </row>
    <row r="2651" spans="1:25" hidden="1" x14ac:dyDescent="0.25">
      <c r="A2651">
        <v>2192</v>
      </c>
      <c r="B2651" t="s">
        <v>2491</v>
      </c>
      <c r="C2651" t="s">
        <v>1936</v>
      </c>
      <c r="D2651" t="s">
        <v>3575</v>
      </c>
      <c r="F2651">
        <v>405</v>
      </c>
      <c r="G2651">
        <v>65</v>
      </c>
      <c r="H2651" t="s">
        <v>662</v>
      </c>
      <c r="I2651" t="s">
        <v>2271</v>
      </c>
      <c r="J2651">
        <v>2847000</v>
      </c>
      <c r="K2651">
        <v>2025</v>
      </c>
      <c r="L2651">
        <v>1003656615</v>
      </c>
      <c r="M2651" t="s">
        <v>3981</v>
      </c>
      <c r="N2651" t="s">
        <v>1688</v>
      </c>
      <c r="O2651" t="s">
        <v>1686</v>
      </c>
      <c r="P2651">
        <v>0</v>
      </c>
      <c r="Q2651">
        <v>2847000</v>
      </c>
      <c r="R2651">
        <v>0</v>
      </c>
      <c r="S2651">
        <v>0</v>
      </c>
      <c r="T2651" t="str">
        <f t="shared" si="82"/>
        <v>21922.43.4302.85.0-205128.2.3.3.08.06.</v>
      </c>
      <c r="U2651" t="e" cm="1">
        <f t="array" aca="1" ref="U2651" ca="1">+IF(COMPROMISOS_2025[[#This Row],[P]]="20","41080111",_xlfn.XLOOKUP(COMPROMISOS_2025[[#This Row],[concatenado]],PAA[[#All],[RCP-RUBRO]],PAA[[#All],[INDICADOR]],"",0))</f>
        <v>#NAME?</v>
      </c>
      <c r="V2651" s="144" t="str">
        <f t="shared" si="83"/>
        <v>85</v>
      </c>
      <c r="W2651" s="136">
        <f>+COMPROMISOS_2025[[#This Row],[valor_total]]-COMPROMISOS_2025[[#This Row],[total_cancelado]]</f>
        <v>2847000</v>
      </c>
      <c r="X2651" s="136">
        <f>COMPROMISOS_2025[[#This Row],[total_ordenes]]</f>
        <v>2847000</v>
      </c>
      <c r="Y2651" t="str" cm="1">
        <f t="array" aca="1" ref="Y2651" ca="1">IFERROR(_xlfn.XLOOKUP(COMPROMISOS_2025[[#This Row],[concatenado]],PAA[[#All],[RCP-RUBRO]],PAA[[#All],[Actividad3]],VLOOKUP(COMPROMISOS_2025[[#This Row],[Indicador Principal]],$AC$2:$AD$17,2,0),0),"")</f>
        <v/>
      </c>
    </row>
    <row r="2652" spans="1:25" hidden="1" x14ac:dyDescent="0.25">
      <c r="A2652">
        <v>2193</v>
      </c>
      <c r="B2652" t="s">
        <v>2491</v>
      </c>
      <c r="C2652" t="s">
        <v>1936</v>
      </c>
      <c r="D2652" t="s">
        <v>3575</v>
      </c>
      <c r="F2652">
        <v>405</v>
      </c>
      <c r="G2652">
        <v>65</v>
      </c>
      <c r="H2652" t="s">
        <v>662</v>
      </c>
      <c r="I2652" t="s">
        <v>2271</v>
      </c>
      <c r="J2652">
        <v>711750</v>
      </c>
      <c r="K2652">
        <v>2025</v>
      </c>
      <c r="L2652">
        <v>1003854434</v>
      </c>
      <c r="M2652" t="s">
        <v>3982</v>
      </c>
      <c r="N2652" t="s">
        <v>1688</v>
      </c>
      <c r="O2652" t="s">
        <v>1686</v>
      </c>
      <c r="P2652">
        <v>0</v>
      </c>
      <c r="Q2652">
        <v>711750</v>
      </c>
      <c r="R2652">
        <v>0</v>
      </c>
      <c r="S2652">
        <v>0</v>
      </c>
      <c r="T2652" t="str">
        <f t="shared" si="82"/>
        <v>21932.43.4302.85.0-205128.2.3.3.08.06.</v>
      </c>
      <c r="U2652" t="e" cm="1">
        <f t="array" aca="1" ref="U2652" ca="1">+IF(COMPROMISOS_2025[[#This Row],[P]]="20","41080111",_xlfn.XLOOKUP(COMPROMISOS_2025[[#This Row],[concatenado]],PAA[[#All],[RCP-RUBRO]],PAA[[#All],[INDICADOR]],"",0))</f>
        <v>#NAME?</v>
      </c>
      <c r="V2652" s="144" t="str">
        <f t="shared" si="83"/>
        <v>85</v>
      </c>
      <c r="W2652" s="136">
        <f>+COMPROMISOS_2025[[#This Row],[valor_total]]-COMPROMISOS_2025[[#This Row],[total_cancelado]]</f>
        <v>711750</v>
      </c>
      <c r="X2652" s="136">
        <f>COMPROMISOS_2025[[#This Row],[total_ordenes]]</f>
        <v>711750</v>
      </c>
      <c r="Y2652" t="str" cm="1">
        <f t="array" aca="1" ref="Y2652" ca="1">IFERROR(_xlfn.XLOOKUP(COMPROMISOS_2025[[#This Row],[concatenado]],PAA[[#All],[RCP-RUBRO]],PAA[[#All],[Actividad3]],VLOOKUP(COMPROMISOS_2025[[#This Row],[Indicador Principal]],$AC$2:$AD$17,2,0),0),"")</f>
        <v/>
      </c>
    </row>
    <row r="2653" spans="1:25" hidden="1" x14ac:dyDescent="0.25">
      <c r="A2653">
        <v>2194</v>
      </c>
      <c r="B2653" t="s">
        <v>2491</v>
      </c>
      <c r="C2653" t="s">
        <v>1936</v>
      </c>
      <c r="D2653" t="s">
        <v>3575</v>
      </c>
      <c r="F2653">
        <v>405</v>
      </c>
      <c r="G2653">
        <v>65</v>
      </c>
      <c r="H2653" t="s">
        <v>662</v>
      </c>
      <c r="I2653" t="s">
        <v>2271</v>
      </c>
      <c r="J2653">
        <v>711750</v>
      </c>
      <c r="K2653">
        <v>2025</v>
      </c>
      <c r="L2653">
        <v>1003929573</v>
      </c>
      <c r="M2653" t="s">
        <v>4260</v>
      </c>
      <c r="N2653" t="s">
        <v>1688</v>
      </c>
      <c r="O2653" t="s">
        <v>1686</v>
      </c>
      <c r="P2653">
        <v>0</v>
      </c>
      <c r="Q2653">
        <v>711750</v>
      </c>
      <c r="R2653">
        <v>0</v>
      </c>
      <c r="S2653">
        <v>0</v>
      </c>
      <c r="T2653" t="str">
        <f t="shared" si="82"/>
        <v>21942.43.4302.85.0-205128.2.3.3.08.06.</v>
      </c>
      <c r="U2653" t="e" cm="1">
        <f t="array" aca="1" ref="U2653" ca="1">+IF(COMPROMISOS_2025[[#This Row],[P]]="20","41080111",_xlfn.XLOOKUP(COMPROMISOS_2025[[#This Row],[concatenado]],PAA[[#All],[RCP-RUBRO]],PAA[[#All],[INDICADOR]],"",0))</f>
        <v>#NAME?</v>
      </c>
      <c r="V2653" s="144" t="str">
        <f t="shared" si="83"/>
        <v>85</v>
      </c>
      <c r="W2653" s="136">
        <f>+COMPROMISOS_2025[[#This Row],[valor_total]]-COMPROMISOS_2025[[#This Row],[total_cancelado]]</f>
        <v>711750</v>
      </c>
      <c r="X2653" s="136">
        <f>COMPROMISOS_2025[[#This Row],[total_ordenes]]</f>
        <v>711750</v>
      </c>
      <c r="Y2653" t="str" cm="1">
        <f t="array" aca="1" ref="Y2653" ca="1">IFERROR(_xlfn.XLOOKUP(COMPROMISOS_2025[[#This Row],[concatenado]],PAA[[#All],[RCP-RUBRO]],PAA[[#All],[Actividad3]],VLOOKUP(COMPROMISOS_2025[[#This Row],[Indicador Principal]],$AC$2:$AD$17,2,0),0),"")</f>
        <v/>
      </c>
    </row>
    <row r="2654" spans="1:25" hidden="1" x14ac:dyDescent="0.25">
      <c r="A2654">
        <v>2195</v>
      </c>
      <c r="B2654" t="s">
        <v>2491</v>
      </c>
      <c r="C2654" t="s">
        <v>1936</v>
      </c>
      <c r="D2654" t="s">
        <v>3575</v>
      </c>
      <c r="F2654">
        <v>405</v>
      </c>
      <c r="G2654">
        <v>65</v>
      </c>
      <c r="H2654" t="s">
        <v>662</v>
      </c>
      <c r="I2654" t="s">
        <v>2271</v>
      </c>
      <c r="J2654">
        <v>1423500</v>
      </c>
      <c r="K2654">
        <v>2025</v>
      </c>
      <c r="L2654">
        <v>1003933793</v>
      </c>
      <c r="M2654" t="s">
        <v>3983</v>
      </c>
      <c r="N2654" t="s">
        <v>1688</v>
      </c>
      <c r="O2654" t="s">
        <v>1686</v>
      </c>
      <c r="P2654">
        <v>0</v>
      </c>
      <c r="Q2654">
        <v>1423500</v>
      </c>
      <c r="R2654">
        <v>0</v>
      </c>
      <c r="S2654">
        <v>0</v>
      </c>
      <c r="T2654" t="str">
        <f t="shared" si="82"/>
        <v>21952.43.4302.85.0-205128.2.3.3.08.06.</v>
      </c>
      <c r="U2654" t="e" cm="1">
        <f t="array" aca="1" ref="U2654" ca="1">+IF(COMPROMISOS_2025[[#This Row],[P]]="20","41080111",_xlfn.XLOOKUP(COMPROMISOS_2025[[#This Row],[concatenado]],PAA[[#All],[RCP-RUBRO]],PAA[[#All],[INDICADOR]],"",0))</f>
        <v>#NAME?</v>
      </c>
      <c r="V2654" s="144" t="str">
        <f t="shared" si="83"/>
        <v>85</v>
      </c>
      <c r="W2654" s="136">
        <f>+COMPROMISOS_2025[[#This Row],[valor_total]]-COMPROMISOS_2025[[#This Row],[total_cancelado]]</f>
        <v>1423500</v>
      </c>
      <c r="X2654" s="136">
        <f>COMPROMISOS_2025[[#This Row],[total_ordenes]]</f>
        <v>1423500</v>
      </c>
      <c r="Y2654" t="str" cm="1">
        <f t="array" aca="1" ref="Y2654" ca="1">IFERROR(_xlfn.XLOOKUP(COMPROMISOS_2025[[#This Row],[concatenado]],PAA[[#All],[RCP-RUBRO]],PAA[[#All],[Actividad3]],VLOOKUP(COMPROMISOS_2025[[#This Row],[Indicador Principal]],$AC$2:$AD$17,2,0),0),"")</f>
        <v/>
      </c>
    </row>
    <row r="2655" spans="1:25" hidden="1" x14ac:dyDescent="0.25">
      <c r="A2655">
        <v>2196</v>
      </c>
      <c r="B2655" t="s">
        <v>2491</v>
      </c>
      <c r="C2655" t="s">
        <v>1936</v>
      </c>
      <c r="D2655" t="s">
        <v>3575</v>
      </c>
      <c r="F2655">
        <v>405</v>
      </c>
      <c r="G2655">
        <v>65</v>
      </c>
      <c r="H2655" t="s">
        <v>662</v>
      </c>
      <c r="I2655" t="s">
        <v>2271</v>
      </c>
      <c r="J2655">
        <v>711750</v>
      </c>
      <c r="K2655">
        <v>2025</v>
      </c>
      <c r="L2655">
        <v>1003970819</v>
      </c>
      <c r="M2655" t="s">
        <v>4261</v>
      </c>
      <c r="N2655" t="s">
        <v>1688</v>
      </c>
      <c r="O2655" t="s">
        <v>1686</v>
      </c>
      <c r="P2655">
        <v>0</v>
      </c>
      <c r="Q2655">
        <v>711750</v>
      </c>
      <c r="R2655">
        <v>0</v>
      </c>
      <c r="S2655">
        <v>0</v>
      </c>
      <c r="T2655" t="str">
        <f t="shared" si="82"/>
        <v>21962.43.4302.85.0-205128.2.3.3.08.06.</v>
      </c>
      <c r="U2655" t="e" cm="1">
        <f t="array" aca="1" ref="U2655" ca="1">+IF(COMPROMISOS_2025[[#This Row],[P]]="20","41080111",_xlfn.XLOOKUP(COMPROMISOS_2025[[#This Row],[concatenado]],PAA[[#All],[RCP-RUBRO]],PAA[[#All],[INDICADOR]],"",0))</f>
        <v>#NAME?</v>
      </c>
      <c r="V2655" s="144" t="str">
        <f t="shared" si="83"/>
        <v>85</v>
      </c>
      <c r="W2655" s="136">
        <f>+COMPROMISOS_2025[[#This Row],[valor_total]]-COMPROMISOS_2025[[#This Row],[total_cancelado]]</f>
        <v>711750</v>
      </c>
      <c r="X2655" s="136">
        <f>COMPROMISOS_2025[[#This Row],[total_ordenes]]</f>
        <v>711750</v>
      </c>
      <c r="Y2655" t="str" cm="1">
        <f t="array" aca="1" ref="Y2655" ca="1">IFERROR(_xlfn.XLOOKUP(COMPROMISOS_2025[[#This Row],[concatenado]],PAA[[#All],[RCP-RUBRO]],PAA[[#All],[Actividad3]],VLOOKUP(COMPROMISOS_2025[[#This Row],[Indicador Principal]],$AC$2:$AD$17,2,0),0),"")</f>
        <v/>
      </c>
    </row>
    <row r="2656" spans="1:25" hidden="1" x14ac:dyDescent="0.25">
      <c r="A2656">
        <v>2197</v>
      </c>
      <c r="B2656" t="s">
        <v>2491</v>
      </c>
      <c r="C2656" t="s">
        <v>1936</v>
      </c>
      <c r="D2656" t="s">
        <v>3575</v>
      </c>
      <c r="F2656">
        <v>405</v>
      </c>
      <c r="G2656">
        <v>65</v>
      </c>
      <c r="H2656" t="s">
        <v>662</v>
      </c>
      <c r="I2656" t="s">
        <v>2271</v>
      </c>
      <c r="J2656">
        <v>1067625</v>
      </c>
      <c r="K2656">
        <v>2025</v>
      </c>
      <c r="L2656">
        <v>1004010852</v>
      </c>
      <c r="M2656" t="s">
        <v>3984</v>
      </c>
      <c r="N2656" t="s">
        <v>1688</v>
      </c>
      <c r="O2656" t="s">
        <v>1686</v>
      </c>
      <c r="P2656">
        <v>0</v>
      </c>
      <c r="Q2656">
        <v>1067625</v>
      </c>
      <c r="R2656">
        <v>0</v>
      </c>
      <c r="S2656">
        <v>0</v>
      </c>
      <c r="T2656" t="str">
        <f t="shared" si="82"/>
        <v>21972.43.4302.85.0-205128.2.3.3.08.06.</v>
      </c>
      <c r="U2656" t="e" cm="1">
        <f t="array" aca="1" ref="U2656" ca="1">+IF(COMPROMISOS_2025[[#This Row],[P]]="20","41080111",_xlfn.XLOOKUP(COMPROMISOS_2025[[#This Row],[concatenado]],PAA[[#All],[RCP-RUBRO]],PAA[[#All],[INDICADOR]],"",0))</f>
        <v>#NAME?</v>
      </c>
      <c r="V2656" s="144" t="str">
        <f t="shared" si="83"/>
        <v>85</v>
      </c>
      <c r="W2656" s="136">
        <f>+COMPROMISOS_2025[[#This Row],[valor_total]]-COMPROMISOS_2025[[#This Row],[total_cancelado]]</f>
        <v>1067625</v>
      </c>
      <c r="X2656" s="136">
        <f>COMPROMISOS_2025[[#This Row],[total_ordenes]]</f>
        <v>1067625</v>
      </c>
      <c r="Y2656" t="str" cm="1">
        <f t="array" aca="1" ref="Y2656" ca="1">IFERROR(_xlfn.XLOOKUP(COMPROMISOS_2025[[#This Row],[concatenado]],PAA[[#All],[RCP-RUBRO]],PAA[[#All],[Actividad3]],VLOOKUP(COMPROMISOS_2025[[#This Row],[Indicador Principal]],$AC$2:$AD$17,2,0),0),"")</f>
        <v/>
      </c>
    </row>
    <row r="2657" spans="1:25" hidden="1" x14ac:dyDescent="0.25">
      <c r="A2657">
        <v>2198</v>
      </c>
      <c r="B2657" t="s">
        <v>2491</v>
      </c>
      <c r="C2657" t="s">
        <v>1936</v>
      </c>
      <c r="D2657" t="s">
        <v>3575</v>
      </c>
      <c r="F2657">
        <v>405</v>
      </c>
      <c r="G2657">
        <v>65</v>
      </c>
      <c r="H2657" t="s">
        <v>662</v>
      </c>
      <c r="I2657" t="s">
        <v>2271</v>
      </c>
      <c r="J2657">
        <v>1067625</v>
      </c>
      <c r="K2657">
        <v>2025</v>
      </c>
      <c r="L2657">
        <v>1004701471</v>
      </c>
      <c r="M2657" t="s">
        <v>4262</v>
      </c>
      <c r="N2657" t="s">
        <v>1688</v>
      </c>
      <c r="O2657" t="s">
        <v>1686</v>
      </c>
      <c r="P2657">
        <v>0</v>
      </c>
      <c r="Q2657">
        <v>1067625</v>
      </c>
      <c r="R2657">
        <v>0</v>
      </c>
      <c r="S2657">
        <v>0</v>
      </c>
      <c r="T2657" t="str">
        <f t="shared" si="82"/>
        <v>21982.43.4302.85.0-205128.2.3.3.08.06.</v>
      </c>
      <c r="U2657" t="e" cm="1">
        <f t="array" aca="1" ref="U2657" ca="1">+IF(COMPROMISOS_2025[[#This Row],[P]]="20","41080111",_xlfn.XLOOKUP(COMPROMISOS_2025[[#This Row],[concatenado]],PAA[[#All],[RCP-RUBRO]],PAA[[#All],[INDICADOR]],"",0))</f>
        <v>#NAME?</v>
      </c>
      <c r="V2657" s="144" t="str">
        <f t="shared" si="83"/>
        <v>85</v>
      </c>
      <c r="W2657" s="136">
        <f>+COMPROMISOS_2025[[#This Row],[valor_total]]-COMPROMISOS_2025[[#This Row],[total_cancelado]]</f>
        <v>1067625</v>
      </c>
      <c r="X2657" s="136">
        <f>COMPROMISOS_2025[[#This Row],[total_ordenes]]</f>
        <v>1067625</v>
      </c>
      <c r="Y2657" t="str" cm="1">
        <f t="array" aca="1" ref="Y2657" ca="1">IFERROR(_xlfn.XLOOKUP(COMPROMISOS_2025[[#This Row],[concatenado]],PAA[[#All],[RCP-RUBRO]],PAA[[#All],[Actividad3]],VLOOKUP(COMPROMISOS_2025[[#This Row],[Indicador Principal]],$AC$2:$AD$17,2,0),0),"")</f>
        <v/>
      </c>
    </row>
    <row r="2658" spans="1:25" hidden="1" x14ac:dyDescent="0.25">
      <c r="A2658">
        <v>2199</v>
      </c>
      <c r="B2658" t="s">
        <v>2491</v>
      </c>
      <c r="C2658" t="s">
        <v>1936</v>
      </c>
      <c r="D2658" t="s">
        <v>3575</v>
      </c>
      <c r="F2658">
        <v>405</v>
      </c>
      <c r="G2658">
        <v>65</v>
      </c>
      <c r="H2658" t="s">
        <v>662</v>
      </c>
      <c r="I2658" t="s">
        <v>2271</v>
      </c>
      <c r="J2658">
        <v>1423500</v>
      </c>
      <c r="K2658">
        <v>2025</v>
      </c>
      <c r="L2658">
        <v>10047945802</v>
      </c>
      <c r="M2658" t="s">
        <v>4263</v>
      </c>
      <c r="N2658" t="s">
        <v>1688</v>
      </c>
      <c r="O2658" t="s">
        <v>1686</v>
      </c>
      <c r="P2658">
        <v>0</v>
      </c>
      <c r="Q2658">
        <v>1423500</v>
      </c>
      <c r="R2658">
        <v>0</v>
      </c>
      <c r="S2658">
        <v>0</v>
      </c>
      <c r="T2658" t="str">
        <f t="shared" si="82"/>
        <v>21992.43.4302.85.0-205128.2.3.3.08.06.</v>
      </c>
      <c r="U2658" t="e" cm="1">
        <f t="array" aca="1" ref="U2658" ca="1">+IF(COMPROMISOS_2025[[#This Row],[P]]="20","41080111",_xlfn.XLOOKUP(COMPROMISOS_2025[[#This Row],[concatenado]],PAA[[#All],[RCP-RUBRO]],PAA[[#All],[INDICADOR]],"",0))</f>
        <v>#NAME?</v>
      </c>
      <c r="V2658" s="144" t="str">
        <f t="shared" si="83"/>
        <v>85</v>
      </c>
      <c r="W2658" s="136">
        <f>+COMPROMISOS_2025[[#This Row],[valor_total]]-COMPROMISOS_2025[[#This Row],[total_cancelado]]</f>
        <v>1423500</v>
      </c>
      <c r="X2658" s="136">
        <f>COMPROMISOS_2025[[#This Row],[total_ordenes]]</f>
        <v>1423500</v>
      </c>
      <c r="Y2658" t="str" cm="1">
        <f t="array" aca="1" ref="Y2658" ca="1">IFERROR(_xlfn.XLOOKUP(COMPROMISOS_2025[[#This Row],[concatenado]],PAA[[#All],[RCP-RUBRO]],PAA[[#All],[Actividad3]],VLOOKUP(COMPROMISOS_2025[[#This Row],[Indicador Principal]],$AC$2:$AD$17,2,0),0),"")</f>
        <v/>
      </c>
    </row>
    <row r="2659" spans="1:25" hidden="1" x14ac:dyDescent="0.25">
      <c r="A2659">
        <v>2201</v>
      </c>
      <c r="B2659" t="s">
        <v>2491</v>
      </c>
      <c r="C2659" t="s">
        <v>1936</v>
      </c>
      <c r="D2659" t="s">
        <v>3575</v>
      </c>
      <c r="F2659">
        <v>405</v>
      </c>
      <c r="G2659">
        <v>65</v>
      </c>
      <c r="H2659" t="s">
        <v>662</v>
      </c>
      <c r="I2659" t="s">
        <v>2271</v>
      </c>
      <c r="J2659">
        <v>1423500</v>
      </c>
      <c r="K2659">
        <v>2025</v>
      </c>
      <c r="L2659">
        <v>1004912774</v>
      </c>
      <c r="M2659" t="s">
        <v>3605</v>
      </c>
      <c r="N2659" t="s">
        <v>1688</v>
      </c>
      <c r="O2659" t="s">
        <v>1686</v>
      </c>
      <c r="P2659">
        <v>0</v>
      </c>
      <c r="Q2659">
        <v>1423500</v>
      </c>
      <c r="R2659">
        <v>0</v>
      </c>
      <c r="S2659">
        <v>0</v>
      </c>
      <c r="T2659" t="str">
        <f t="shared" si="82"/>
        <v>22012.43.4302.85.0-205128.2.3.3.08.06.</v>
      </c>
      <c r="U2659" t="e" cm="1">
        <f t="array" aca="1" ref="U2659" ca="1">+IF(COMPROMISOS_2025[[#This Row],[P]]="20","41080111",_xlfn.XLOOKUP(COMPROMISOS_2025[[#This Row],[concatenado]],PAA[[#All],[RCP-RUBRO]],PAA[[#All],[INDICADOR]],"",0))</f>
        <v>#NAME?</v>
      </c>
      <c r="V2659" s="144" t="str">
        <f t="shared" si="83"/>
        <v>85</v>
      </c>
      <c r="W2659" s="136">
        <f>+COMPROMISOS_2025[[#This Row],[valor_total]]-COMPROMISOS_2025[[#This Row],[total_cancelado]]</f>
        <v>1423500</v>
      </c>
      <c r="X2659" s="136">
        <f>COMPROMISOS_2025[[#This Row],[total_ordenes]]</f>
        <v>1423500</v>
      </c>
      <c r="Y2659" t="str" cm="1">
        <f t="array" aca="1" ref="Y2659" ca="1">IFERROR(_xlfn.XLOOKUP(COMPROMISOS_2025[[#This Row],[concatenado]],PAA[[#All],[RCP-RUBRO]],PAA[[#All],[Actividad3]],VLOOKUP(COMPROMISOS_2025[[#This Row],[Indicador Principal]],$AC$2:$AD$17,2,0),0),"")</f>
        <v/>
      </c>
    </row>
    <row r="2660" spans="1:25" hidden="1" x14ac:dyDescent="0.25">
      <c r="A2660">
        <v>2202</v>
      </c>
      <c r="B2660" t="s">
        <v>2491</v>
      </c>
      <c r="C2660" t="s">
        <v>1936</v>
      </c>
      <c r="D2660" t="s">
        <v>3575</v>
      </c>
      <c r="F2660">
        <v>405</v>
      </c>
      <c r="G2660">
        <v>65</v>
      </c>
      <c r="H2660" t="s">
        <v>662</v>
      </c>
      <c r="I2660" t="s">
        <v>2271</v>
      </c>
      <c r="J2660">
        <v>711750</v>
      </c>
      <c r="K2660">
        <v>2025</v>
      </c>
      <c r="L2660">
        <v>1005095312</v>
      </c>
      <c r="M2660" t="s">
        <v>4264</v>
      </c>
      <c r="N2660" t="s">
        <v>1688</v>
      </c>
      <c r="O2660" t="s">
        <v>1686</v>
      </c>
      <c r="P2660">
        <v>0</v>
      </c>
      <c r="Q2660">
        <v>711750</v>
      </c>
      <c r="R2660">
        <v>0</v>
      </c>
      <c r="S2660">
        <v>0</v>
      </c>
      <c r="T2660" t="str">
        <f t="shared" si="82"/>
        <v>22022.43.4302.85.0-205128.2.3.3.08.06.</v>
      </c>
      <c r="U2660" t="e" cm="1">
        <f t="array" aca="1" ref="U2660" ca="1">+IF(COMPROMISOS_2025[[#This Row],[P]]="20","41080111",_xlfn.XLOOKUP(COMPROMISOS_2025[[#This Row],[concatenado]],PAA[[#All],[RCP-RUBRO]],PAA[[#All],[INDICADOR]],"",0))</f>
        <v>#NAME?</v>
      </c>
      <c r="V2660" s="144" t="str">
        <f t="shared" si="83"/>
        <v>85</v>
      </c>
      <c r="W2660" s="136">
        <f>+COMPROMISOS_2025[[#This Row],[valor_total]]-COMPROMISOS_2025[[#This Row],[total_cancelado]]</f>
        <v>711750</v>
      </c>
      <c r="X2660" s="136">
        <f>COMPROMISOS_2025[[#This Row],[total_ordenes]]</f>
        <v>711750</v>
      </c>
      <c r="Y2660" t="str" cm="1">
        <f t="array" aca="1" ref="Y2660" ca="1">IFERROR(_xlfn.XLOOKUP(COMPROMISOS_2025[[#This Row],[concatenado]],PAA[[#All],[RCP-RUBRO]],PAA[[#All],[Actividad3]],VLOOKUP(COMPROMISOS_2025[[#This Row],[Indicador Principal]],$AC$2:$AD$17,2,0),0),"")</f>
        <v/>
      </c>
    </row>
    <row r="2661" spans="1:25" hidden="1" x14ac:dyDescent="0.25">
      <c r="A2661">
        <v>2203</v>
      </c>
      <c r="B2661" t="s">
        <v>2491</v>
      </c>
      <c r="C2661" t="s">
        <v>1936</v>
      </c>
      <c r="D2661" t="s">
        <v>3575</v>
      </c>
      <c r="F2661">
        <v>405</v>
      </c>
      <c r="G2661">
        <v>65</v>
      </c>
      <c r="H2661" t="s">
        <v>662</v>
      </c>
      <c r="I2661" t="s">
        <v>2271</v>
      </c>
      <c r="J2661">
        <v>1067625</v>
      </c>
      <c r="K2661">
        <v>2025</v>
      </c>
      <c r="L2661">
        <v>1005334457</v>
      </c>
      <c r="M2661" t="s">
        <v>4265</v>
      </c>
      <c r="N2661" t="s">
        <v>1688</v>
      </c>
      <c r="O2661" t="s">
        <v>1686</v>
      </c>
      <c r="P2661">
        <v>0</v>
      </c>
      <c r="Q2661">
        <v>1067625</v>
      </c>
      <c r="R2661">
        <v>0</v>
      </c>
      <c r="S2661">
        <v>0</v>
      </c>
      <c r="T2661" t="str">
        <f t="shared" si="82"/>
        <v>22032.43.4302.85.0-205128.2.3.3.08.06.</v>
      </c>
      <c r="U2661" t="e" cm="1">
        <f t="array" aca="1" ref="U2661" ca="1">+IF(COMPROMISOS_2025[[#This Row],[P]]="20","41080111",_xlfn.XLOOKUP(COMPROMISOS_2025[[#This Row],[concatenado]],PAA[[#All],[RCP-RUBRO]],PAA[[#All],[INDICADOR]],"",0))</f>
        <v>#NAME?</v>
      </c>
      <c r="V2661" s="144" t="str">
        <f t="shared" si="83"/>
        <v>85</v>
      </c>
      <c r="W2661" s="136">
        <f>+COMPROMISOS_2025[[#This Row],[valor_total]]-COMPROMISOS_2025[[#This Row],[total_cancelado]]</f>
        <v>1067625</v>
      </c>
      <c r="X2661" s="136">
        <f>COMPROMISOS_2025[[#This Row],[total_ordenes]]</f>
        <v>1067625</v>
      </c>
      <c r="Y2661" t="str" cm="1">
        <f t="array" aca="1" ref="Y2661" ca="1">IFERROR(_xlfn.XLOOKUP(COMPROMISOS_2025[[#This Row],[concatenado]],PAA[[#All],[RCP-RUBRO]],PAA[[#All],[Actividad3]],VLOOKUP(COMPROMISOS_2025[[#This Row],[Indicador Principal]],$AC$2:$AD$17,2,0),0),"")</f>
        <v/>
      </c>
    </row>
    <row r="2662" spans="1:25" hidden="1" x14ac:dyDescent="0.25">
      <c r="A2662">
        <v>2204</v>
      </c>
      <c r="B2662" t="s">
        <v>2491</v>
      </c>
      <c r="C2662" t="s">
        <v>1936</v>
      </c>
      <c r="D2662" t="s">
        <v>3575</v>
      </c>
      <c r="F2662">
        <v>405</v>
      </c>
      <c r="G2662">
        <v>65</v>
      </c>
      <c r="H2662" t="s">
        <v>662</v>
      </c>
      <c r="I2662" t="s">
        <v>2271</v>
      </c>
      <c r="J2662">
        <v>1423500</v>
      </c>
      <c r="K2662">
        <v>2025</v>
      </c>
      <c r="L2662">
        <v>1006182134</v>
      </c>
      <c r="M2662" t="s">
        <v>3985</v>
      </c>
      <c r="N2662" t="s">
        <v>1688</v>
      </c>
      <c r="O2662" t="s">
        <v>1686</v>
      </c>
      <c r="P2662">
        <v>0</v>
      </c>
      <c r="Q2662">
        <v>1423500</v>
      </c>
      <c r="R2662">
        <v>0</v>
      </c>
      <c r="S2662">
        <v>0</v>
      </c>
      <c r="T2662" t="str">
        <f t="shared" si="82"/>
        <v>22042.43.4302.85.0-205128.2.3.3.08.06.</v>
      </c>
      <c r="U2662" t="e" cm="1">
        <f t="array" aca="1" ref="U2662" ca="1">+IF(COMPROMISOS_2025[[#This Row],[P]]="20","41080111",_xlfn.XLOOKUP(COMPROMISOS_2025[[#This Row],[concatenado]],PAA[[#All],[RCP-RUBRO]],PAA[[#All],[INDICADOR]],"",0))</f>
        <v>#NAME?</v>
      </c>
      <c r="V2662" s="144" t="str">
        <f t="shared" si="83"/>
        <v>85</v>
      </c>
      <c r="W2662" s="136">
        <f>+COMPROMISOS_2025[[#This Row],[valor_total]]-COMPROMISOS_2025[[#This Row],[total_cancelado]]</f>
        <v>1423500</v>
      </c>
      <c r="X2662" s="136">
        <f>COMPROMISOS_2025[[#This Row],[total_ordenes]]</f>
        <v>1423500</v>
      </c>
      <c r="Y2662" t="str" cm="1">
        <f t="array" aca="1" ref="Y2662" ca="1">IFERROR(_xlfn.XLOOKUP(COMPROMISOS_2025[[#This Row],[concatenado]],PAA[[#All],[RCP-RUBRO]],PAA[[#All],[Actividad3]],VLOOKUP(COMPROMISOS_2025[[#This Row],[Indicador Principal]],$AC$2:$AD$17,2,0),0),"")</f>
        <v/>
      </c>
    </row>
    <row r="2663" spans="1:25" hidden="1" x14ac:dyDescent="0.25">
      <c r="A2663">
        <v>2207</v>
      </c>
      <c r="B2663" t="s">
        <v>2491</v>
      </c>
      <c r="C2663" t="s">
        <v>1936</v>
      </c>
      <c r="D2663" t="s">
        <v>3575</v>
      </c>
      <c r="F2663">
        <v>405</v>
      </c>
      <c r="G2663">
        <v>65</v>
      </c>
      <c r="H2663" t="s">
        <v>662</v>
      </c>
      <c r="I2663" t="s">
        <v>2271</v>
      </c>
      <c r="J2663">
        <v>1067625</v>
      </c>
      <c r="K2663">
        <v>2025</v>
      </c>
      <c r="L2663">
        <v>1006320363</v>
      </c>
      <c r="M2663" t="s">
        <v>4266</v>
      </c>
      <c r="N2663" t="s">
        <v>1688</v>
      </c>
      <c r="O2663" t="s">
        <v>1686</v>
      </c>
      <c r="P2663">
        <v>0</v>
      </c>
      <c r="Q2663">
        <v>1067625</v>
      </c>
      <c r="R2663">
        <v>0</v>
      </c>
      <c r="S2663">
        <v>0</v>
      </c>
      <c r="T2663" t="str">
        <f t="shared" si="82"/>
        <v>22072.43.4302.85.0-205128.2.3.3.08.06.</v>
      </c>
      <c r="U2663" t="e" cm="1">
        <f t="array" aca="1" ref="U2663" ca="1">+IF(COMPROMISOS_2025[[#This Row],[P]]="20","41080111",_xlfn.XLOOKUP(COMPROMISOS_2025[[#This Row],[concatenado]],PAA[[#All],[RCP-RUBRO]],PAA[[#All],[INDICADOR]],"",0))</f>
        <v>#NAME?</v>
      </c>
      <c r="V2663" s="144" t="str">
        <f t="shared" si="83"/>
        <v>85</v>
      </c>
      <c r="W2663" s="136">
        <f>+COMPROMISOS_2025[[#This Row],[valor_total]]-COMPROMISOS_2025[[#This Row],[total_cancelado]]</f>
        <v>1067625</v>
      </c>
      <c r="X2663" s="136">
        <f>COMPROMISOS_2025[[#This Row],[total_ordenes]]</f>
        <v>1067625</v>
      </c>
      <c r="Y2663" t="str" cm="1">
        <f t="array" aca="1" ref="Y2663" ca="1">IFERROR(_xlfn.XLOOKUP(COMPROMISOS_2025[[#This Row],[concatenado]],PAA[[#All],[RCP-RUBRO]],PAA[[#All],[Actividad3]],VLOOKUP(COMPROMISOS_2025[[#This Row],[Indicador Principal]],$AC$2:$AD$17,2,0),0),"")</f>
        <v/>
      </c>
    </row>
    <row r="2664" spans="1:25" hidden="1" x14ac:dyDescent="0.25">
      <c r="A2664">
        <v>2208</v>
      </c>
      <c r="B2664" t="s">
        <v>2491</v>
      </c>
      <c r="C2664" t="s">
        <v>1936</v>
      </c>
      <c r="D2664" t="s">
        <v>3575</v>
      </c>
      <c r="F2664">
        <v>405</v>
      </c>
      <c r="G2664">
        <v>65</v>
      </c>
      <c r="H2664" t="s">
        <v>662</v>
      </c>
      <c r="I2664" t="s">
        <v>2271</v>
      </c>
      <c r="J2664">
        <v>5694000</v>
      </c>
      <c r="K2664">
        <v>2025</v>
      </c>
      <c r="L2664">
        <v>1006491022</v>
      </c>
      <c r="M2664" t="s">
        <v>3986</v>
      </c>
      <c r="N2664" t="s">
        <v>1688</v>
      </c>
      <c r="O2664" t="s">
        <v>1686</v>
      </c>
      <c r="P2664">
        <v>0</v>
      </c>
      <c r="Q2664">
        <v>5694000</v>
      </c>
      <c r="R2664">
        <v>0</v>
      </c>
      <c r="S2664">
        <v>0</v>
      </c>
      <c r="T2664" t="str">
        <f t="shared" si="82"/>
        <v>22082.43.4302.85.0-205128.2.3.3.08.06.</v>
      </c>
      <c r="U2664" t="e" cm="1">
        <f t="array" aca="1" ref="U2664" ca="1">+IF(COMPROMISOS_2025[[#This Row],[P]]="20","41080111",_xlfn.XLOOKUP(COMPROMISOS_2025[[#This Row],[concatenado]],PAA[[#All],[RCP-RUBRO]],PAA[[#All],[INDICADOR]],"",0))</f>
        <v>#NAME?</v>
      </c>
      <c r="V2664" s="144" t="str">
        <f t="shared" si="83"/>
        <v>85</v>
      </c>
      <c r="W2664" s="136">
        <f>+COMPROMISOS_2025[[#This Row],[valor_total]]-COMPROMISOS_2025[[#This Row],[total_cancelado]]</f>
        <v>5694000</v>
      </c>
      <c r="X2664" s="136">
        <f>COMPROMISOS_2025[[#This Row],[total_ordenes]]</f>
        <v>5694000</v>
      </c>
      <c r="Y2664" t="str" cm="1">
        <f t="array" aca="1" ref="Y2664" ca="1">IFERROR(_xlfn.XLOOKUP(COMPROMISOS_2025[[#This Row],[concatenado]],PAA[[#All],[RCP-RUBRO]],PAA[[#All],[Actividad3]],VLOOKUP(COMPROMISOS_2025[[#This Row],[Indicador Principal]],$AC$2:$AD$17,2,0),0),"")</f>
        <v/>
      </c>
    </row>
    <row r="2665" spans="1:25" hidden="1" x14ac:dyDescent="0.25">
      <c r="A2665">
        <v>2209</v>
      </c>
      <c r="B2665" t="s">
        <v>2491</v>
      </c>
      <c r="C2665" t="s">
        <v>1936</v>
      </c>
      <c r="D2665" t="s">
        <v>3575</v>
      </c>
      <c r="F2665">
        <v>405</v>
      </c>
      <c r="G2665">
        <v>65</v>
      </c>
      <c r="H2665" t="s">
        <v>662</v>
      </c>
      <c r="I2665" t="s">
        <v>2271</v>
      </c>
      <c r="J2665">
        <v>1423500</v>
      </c>
      <c r="K2665">
        <v>2025</v>
      </c>
      <c r="L2665">
        <v>1006512612</v>
      </c>
      <c r="M2665" t="s">
        <v>3987</v>
      </c>
      <c r="N2665" t="s">
        <v>1688</v>
      </c>
      <c r="O2665" t="s">
        <v>1686</v>
      </c>
      <c r="P2665">
        <v>0</v>
      </c>
      <c r="Q2665">
        <v>1423500</v>
      </c>
      <c r="R2665">
        <v>0</v>
      </c>
      <c r="S2665">
        <v>0</v>
      </c>
      <c r="T2665" t="str">
        <f t="shared" si="82"/>
        <v>22092.43.4302.85.0-205128.2.3.3.08.06.</v>
      </c>
      <c r="U2665" t="e" cm="1">
        <f t="array" aca="1" ref="U2665" ca="1">+IF(COMPROMISOS_2025[[#This Row],[P]]="20","41080111",_xlfn.XLOOKUP(COMPROMISOS_2025[[#This Row],[concatenado]],PAA[[#All],[RCP-RUBRO]],PAA[[#All],[INDICADOR]],"",0))</f>
        <v>#NAME?</v>
      </c>
      <c r="V2665" s="144" t="str">
        <f t="shared" si="83"/>
        <v>85</v>
      </c>
      <c r="W2665" s="136">
        <f>+COMPROMISOS_2025[[#This Row],[valor_total]]-COMPROMISOS_2025[[#This Row],[total_cancelado]]</f>
        <v>1423500</v>
      </c>
      <c r="X2665" s="136">
        <f>COMPROMISOS_2025[[#This Row],[total_ordenes]]</f>
        <v>1423500</v>
      </c>
      <c r="Y2665" t="str" cm="1">
        <f t="array" aca="1" ref="Y2665" ca="1">IFERROR(_xlfn.XLOOKUP(COMPROMISOS_2025[[#This Row],[concatenado]],PAA[[#All],[RCP-RUBRO]],PAA[[#All],[Actividad3]],VLOOKUP(COMPROMISOS_2025[[#This Row],[Indicador Principal]],$AC$2:$AD$17,2,0),0),"")</f>
        <v/>
      </c>
    </row>
    <row r="2666" spans="1:25" hidden="1" x14ac:dyDescent="0.25">
      <c r="A2666">
        <v>2211</v>
      </c>
      <c r="B2666" t="s">
        <v>2491</v>
      </c>
      <c r="C2666" t="s">
        <v>1936</v>
      </c>
      <c r="D2666" t="s">
        <v>3575</v>
      </c>
      <c r="F2666">
        <v>405</v>
      </c>
      <c r="G2666">
        <v>65</v>
      </c>
      <c r="H2666" t="s">
        <v>662</v>
      </c>
      <c r="I2666" t="s">
        <v>2271</v>
      </c>
      <c r="J2666">
        <v>1423500</v>
      </c>
      <c r="K2666">
        <v>2025</v>
      </c>
      <c r="L2666">
        <v>1007145057</v>
      </c>
      <c r="M2666" t="s">
        <v>4267</v>
      </c>
      <c r="N2666" t="s">
        <v>1688</v>
      </c>
      <c r="O2666" t="s">
        <v>1686</v>
      </c>
      <c r="P2666">
        <v>0</v>
      </c>
      <c r="Q2666">
        <v>1423500</v>
      </c>
      <c r="R2666">
        <v>0</v>
      </c>
      <c r="S2666">
        <v>0</v>
      </c>
      <c r="T2666" t="str">
        <f t="shared" si="82"/>
        <v>22112.43.4302.85.0-205128.2.3.3.08.06.</v>
      </c>
      <c r="U2666" t="e" cm="1">
        <f t="array" aca="1" ref="U2666" ca="1">+IF(COMPROMISOS_2025[[#This Row],[P]]="20","41080111",_xlfn.XLOOKUP(COMPROMISOS_2025[[#This Row],[concatenado]],PAA[[#All],[RCP-RUBRO]],PAA[[#All],[INDICADOR]],"",0))</f>
        <v>#NAME?</v>
      </c>
      <c r="V2666" s="144" t="str">
        <f t="shared" si="83"/>
        <v>85</v>
      </c>
      <c r="W2666" s="136">
        <f>+COMPROMISOS_2025[[#This Row],[valor_total]]-COMPROMISOS_2025[[#This Row],[total_cancelado]]</f>
        <v>1423500</v>
      </c>
      <c r="X2666" s="136">
        <f>COMPROMISOS_2025[[#This Row],[total_ordenes]]</f>
        <v>1423500</v>
      </c>
      <c r="Y2666" t="str" cm="1">
        <f t="array" aca="1" ref="Y2666" ca="1">IFERROR(_xlfn.XLOOKUP(COMPROMISOS_2025[[#This Row],[concatenado]],PAA[[#All],[RCP-RUBRO]],PAA[[#All],[Actividad3]],VLOOKUP(COMPROMISOS_2025[[#This Row],[Indicador Principal]],$AC$2:$AD$17,2,0),0),"")</f>
        <v/>
      </c>
    </row>
    <row r="2667" spans="1:25" hidden="1" x14ac:dyDescent="0.25">
      <c r="A2667">
        <v>2212</v>
      </c>
      <c r="B2667" t="s">
        <v>2491</v>
      </c>
      <c r="C2667" t="s">
        <v>1936</v>
      </c>
      <c r="D2667" t="s">
        <v>3575</v>
      </c>
      <c r="F2667">
        <v>405</v>
      </c>
      <c r="G2667">
        <v>65</v>
      </c>
      <c r="H2667" t="s">
        <v>662</v>
      </c>
      <c r="I2667" t="s">
        <v>2271</v>
      </c>
      <c r="J2667">
        <v>1067625</v>
      </c>
      <c r="K2667">
        <v>2025</v>
      </c>
      <c r="L2667">
        <v>1007218380</v>
      </c>
      <c r="M2667" t="s">
        <v>4268</v>
      </c>
      <c r="N2667" t="s">
        <v>1688</v>
      </c>
      <c r="O2667" t="s">
        <v>1686</v>
      </c>
      <c r="P2667">
        <v>0</v>
      </c>
      <c r="Q2667">
        <v>1067625</v>
      </c>
      <c r="R2667">
        <v>0</v>
      </c>
      <c r="S2667">
        <v>0</v>
      </c>
      <c r="T2667" t="str">
        <f t="shared" si="82"/>
        <v>22122.43.4302.85.0-205128.2.3.3.08.06.</v>
      </c>
      <c r="U2667" t="e" cm="1">
        <f t="array" aca="1" ref="U2667" ca="1">+IF(COMPROMISOS_2025[[#This Row],[P]]="20","41080111",_xlfn.XLOOKUP(COMPROMISOS_2025[[#This Row],[concatenado]],PAA[[#All],[RCP-RUBRO]],PAA[[#All],[INDICADOR]],"",0))</f>
        <v>#NAME?</v>
      </c>
      <c r="V2667" s="144" t="str">
        <f t="shared" si="83"/>
        <v>85</v>
      </c>
      <c r="W2667" s="136">
        <f>+COMPROMISOS_2025[[#This Row],[valor_total]]-COMPROMISOS_2025[[#This Row],[total_cancelado]]</f>
        <v>1067625</v>
      </c>
      <c r="X2667" s="136">
        <f>COMPROMISOS_2025[[#This Row],[total_ordenes]]</f>
        <v>1067625</v>
      </c>
      <c r="Y2667" t="str" cm="1">
        <f t="array" aca="1" ref="Y2667" ca="1">IFERROR(_xlfn.XLOOKUP(COMPROMISOS_2025[[#This Row],[concatenado]],PAA[[#All],[RCP-RUBRO]],PAA[[#All],[Actividad3]],VLOOKUP(COMPROMISOS_2025[[#This Row],[Indicador Principal]],$AC$2:$AD$17,2,0),0),"")</f>
        <v/>
      </c>
    </row>
    <row r="2668" spans="1:25" hidden="1" x14ac:dyDescent="0.25">
      <c r="A2668">
        <v>2214</v>
      </c>
      <c r="B2668" t="s">
        <v>2491</v>
      </c>
      <c r="C2668" t="s">
        <v>1936</v>
      </c>
      <c r="D2668" t="s">
        <v>3575</v>
      </c>
      <c r="F2668">
        <v>405</v>
      </c>
      <c r="G2668">
        <v>65</v>
      </c>
      <c r="H2668" t="s">
        <v>662</v>
      </c>
      <c r="I2668" t="s">
        <v>2271</v>
      </c>
      <c r="J2668">
        <v>2847000</v>
      </c>
      <c r="K2668">
        <v>2025</v>
      </c>
      <c r="L2668">
        <v>1007271880</v>
      </c>
      <c r="M2668" t="s">
        <v>3988</v>
      </c>
      <c r="N2668" t="s">
        <v>1688</v>
      </c>
      <c r="O2668" t="s">
        <v>1686</v>
      </c>
      <c r="P2668">
        <v>0</v>
      </c>
      <c r="Q2668">
        <v>2847000</v>
      </c>
      <c r="R2668">
        <v>0</v>
      </c>
      <c r="S2668">
        <v>0</v>
      </c>
      <c r="T2668" t="str">
        <f t="shared" si="82"/>
        <v>22142.43.4302.85.0-205128.2.3.3.08.06.</v>
      </c>
      <c r="U2668" t="e" cm="1">
        <f t="array" aca="1" ref="U2668" ca="1">+IF(COMPROMISOS_2025[[#This Row],[P]]="20","41080111",_xlfn.XLOOKUP(COMPROMISOS_2025[[#This Row],[concatenado]],PAA[[#All],[RCP-RUBRO]],PAA[[#All],[INDICADOR]],"",0))</f>
        <v>#NAME?</v>
      </c>
      <c r="V2668" s="144" t="str">
        <f t="shared" si="83"/>
        <v>85</v>
      </c>
      <c r="W2668" s="136">
        <f>+COMPROMISOS_2025[[#This Row],[valor_total]]-COMPROMISOS_2025[[#This Row],[total_cancelado]]</f>
        <v>2847000</v>
      </c>
      <c r="X2668" s="136">
        <f>COMPROMISOS_2025[[#This Row],[total_ordenes]]</f>
        <v>2847000</v>
      </c>
      <c r="Y2668" t="str" cm="1">
        <f t="array" aca="1" ref="Y2668" ca="1">IFERROR(_xlfn.XLOOKUP(COMPROMISOS_2025[[#This Row],[concatenado]],PAA[[#All],[RCP-RUBRO]],PAA[[#All],[Actividad3]],VLOOKUP(COMPROMISOS_2025[[#This Row],[Indicador Principal]],$AC$2:$AD$17,2,0),0),"")</f>
        <v/>
      </c>
    </row>
    <row r="2669" spans="1:25" hidden="1" x14ac:dyDescent="0.25">
      <c r="A2669">
        <v>2215</v>
      </c>
      <c r="B2669" t="s">
        <v>2491</v>
      </c>
      <c r="C2669" t="s">
        <v>1936</v>
      </c>
      <c r="D2669" t="s">
        <v>3575</v>
      </c>
      <c r="F2669">
        <v>405</v>
      </c>
      <c r="G2669">
        <v>65</v>
      </c>
      <c r="H2669" t="s">
        <v>662</v>
      </c>
      <c r="I2669" t="s">
        <v>2271</v>
      </c>
      <c r="J2669">
        <v>1423500</v>
      </c>
      <c r="K2669">
        <v>2025</v>
      </c>
      <c r="L2669">
        <v>1007286498</v>
      </c>
      <c r="M2669" t="s">
        <v>3989</v>
      </c>
      <c r="N2669" t="s">
        <v>1688</v>
      </c>
      <c r="O2669" t="s">
        <v>1686</v>
      </c>
      <c r="P2669">
        <v>0</v>
      </c>
      <c r="Q2669">
        <v>1423500</v>
      </c>
      <c r="R2669">
        <v>0</v>
      </c>
      <c r="S2669">
        <v>0</v>
      </c>
      <c r="T2669" t="str">
        <f t="shared" si="82"/>
        <v>22152.43.4302.85.0-205128.2.3.3.08.06.</v>
      </c>
      <c r="U2669" t="e" cm="1">
        <f t="array" aca="1" ref="U2669" ca="1">+IF(COMPROMISOS_2025[[#This Row],[P]]="20","41080111",_xlfn.XLOOKUP(COMPROMISOS_2025[[#This Row],[concatenado]],PAA[[#All],[RCP-RUBRO]],PAA[[#All],[INDICADOR]],"",0))</f>
        <v>#NAME?</v>
      </c>
      <c r="V2669" s="144" t="str">
        <f t="shared" si="83"/>
        <v>85</v>
      </c>
      <c r="W2669" s="136">
        <f>+COMPROMISOS_2025[[#This Row],[valor_total]]-COMPROMISOS_2025[[#This Row],[total_cancelado]]</f>
        <v>1423500</v>
      </c>
      <c r="X2669" s="136">
        <f>COMPROMISOS_2025[[#This Row],[total_ordenes]]</f>
        <v>1423500</v>
      </c>
      <c r="Y2669" t="str" cm="1">
        <f t="array" aca="1" ref="Y2669" ca="1">IFERROR(_xlfn.XLOOKUP(COMPROMISOS_2025[[#This Row],[concatenado]],PAA[[#All],[RCP-RUBRO]],PAA[[#All],[Actividad3]],VLOOKUP(COMPROMISOS_2025[[#This Row],[Indicador Principal]],$AC$2:$AD$17,2,0),0),"")</f>
        <v/>
      </c>
    </row>
    <row r="2670" spans="1:25" hidden="1" x14ac:dyDescent="0.25">
      <c r="A2670">
        <v>2217</v>
      </c>
      <c r="B2670" t="s">
        <v>2491</v>
      </c>
      <c r="C2670" t="s">
        <v>1936</v>
      </c>
      <c r="D2670" t="s">
        <v>3575</v>
      </c>
      <c r="F2670">
        <v>405</v>
      </c>
      <c r="G2670">
        <v>65</v>
      </c>
      <c r="H2670" t="s">
        <v>662</v>
      </c>
      <c r="I2670" t="s">
        <v>2271</v>
      </c>
      <c r="J2670">
        <v>2847000</v>
      </c>
      <c r="K2670">
        <v>2025</v>
      </c>
      <c r="L2670">
        <v>1007374139</v>
      </c>
      <c r="M2670" t="s">
        <v>4169</v>
      </c>
      <c r="N2670" t="s">
        <v>1688</v>
      </c>
      <c r="O2670" t="s">
        <v>1686</v>
      </c>
      <c r="P2670">
        <v>0</v>
      </c>
      <c r="Q2670">
        <v>2847000</v>
      </c>
      <c r="R2670">
        <v>0</v>
      </c>
      <c r="S2670">
        <v>0</v>
      </c>
      <c r="T2670" t="str">
        <f t="shared" si="82"/>
        <v>22172.43.4302.85.0-205128.2.3.3.08.06.</v>
      </c>
      <c r="U2670" t="e" cm="1">
        <f t="array" aca="1" ref="U2670" ca="1">+IF(COMPROMISOS_2025[[#This Row],[P]]="20","41080111",_xlfn.XLOOKUP(COMPROMISOS_2025[[#This Row],[concatenado]],PAA[[#All],[RCP-RUBRO]],PAA[[#All],[INDICADOR]],"",0))</f>
        <v>#NAME?</v>
      </c>
      <c r="V2670" s="144" t="str">
        <f t="shared" si="83"/>
        <v>85</v>
      </c>
      <c r="W2670" s="136">
        <f>+COMPROMISOS_2025[[#This Row],[valor_total]]-COMPROMISOS_2025[[#This Row],[total_cancelado]]</f>
        <v>2847000</v>
      </c>
      <c r="X2670" s="136">
        <f>COMPROMISOS_2025[[#This Row],[total_ordenes]]</f>
        <v>2847000</v>
      </c>
      <c r="Y2670" t="str" cm="1">
        <f t="array" aca="1" ref="Y2670" ca="1">IFERROR(_xlfn.XLOOKUP(COMPROMISOS_2025[[#This Row],[concatenado]],PAA[[#All],[RCP-RUBRO]],PAA[[#All],[Actividad3]],VLOOKUP(COMPROMISOS_2025[[#This Row],[Indicador Principal]],$AC$2:$AD$17,2,0),0),"")</f>
        <v/>
      </c>
    </row>
    <row r="2671" spans="1:25" hidden="1" x14ac:dyDescent="0.25">
      <c r="A2671">
        <v>2218</v>
      </c>
      <c r="B2671" t="s">
        <v>2491</v>
      </c>
      <c r="C2671" t="s">
        <v>1936</v>
      </c>
      <c r="D2671" t="s">
        <v>3575</v>
      </c>
      <c r="F2671">
        <v>405</v>
      </c>
      <c r="G2671">
        <v>65</v>
      </c>
      <c r="H2671" t="s">
        <v>662</v>
      </c>
      <c r="I2671" t="s">
        <v>2271</v>
      </c>
      <c r="J2671">
        <v>711750</v>
      </c>
      <c r="K2671">
        <v>2025</v>
      </c>
      <c r="L2671">
        <v>1007460942</v>
      </c>
      <c r="M2671" t="s">
        <v>3990</v>
      </c>
      <c r="N2671" t="s">
        <v>1688</v>
      </c>
      <c r="O2671" t="s">
        <v>1686</v>
      </c>
      <c r="P2671">
        <v>0</v>
      </c>
      <c r="Q2671">
        <v>711750</v>
      </c>
      <c r="R2671">
        <v>0</v>
      </c>
      <c r="S2671">
        <v>0</v>
      </c>
      <c r="T2671" t="str">
        <f t="shared" si="82"/>
        <v>22182.43.4302.85.0-205128.2.3.3.08.06.</v>
      </c>
      <c r="U2671" t="e" cm="1">
        <f t="array" aca="1" ref="U2671" ca="1">+IF(COMPROMISOS_2025[[#This Row],[P]]="20","41080111",_xlfn.XLOOKUP(COMPROMISOS_2025[[#This Row],[concatenado]],PAA[[#All],[RCP-RUBRO]],PAA[[#All],[INDICADOR]],"",0))</f>
        <v>#NAME?</v>
      </c>
      <c r="V2671" s="144" t="str">
        <f t="shared" si="83"/>
        <v>85</v>
      </c>
      <c r="W2671" s="136">
        <f>+COMPROMISOS_2025[[#This Row],[valor_total]]-COMPROMISOS_2025[[#This Row],[total_cancelado]]</f>
        <v>711750</v>
      </c>
      <c r="X2671" s="136">
        <f>COMPROMISOS_2025[[#This Row],[total_ordenes]]</f>
        <v>711750</v>
      </c>
      <c r="Y2671" t="str" cm="1">
        <f t="array" aca="1" ref="Y2671" ca="1">IFERROR(_xlfn.XLOOKUP(COMPROMISOS_2025[[#This Row],[concatenado]],PAA[[#All],[RCP-RUBRO]],PAA[[#All],[Actividad3]],VLOOKUP(COMPROMISOS_2025[[#This Row],[Indicador Principal]],$AC$2:$AD$17,2,0),0),"")</f>
        <v/>
      </c>
    </row>
    <row r="2672" spans="1:25" hidden="1" x14ac:dyDescent="0.25">
      <c r="A2672">
        <v>2221</v>
      </c>
      <c r="B2672" t="s">
        <v>2491</v>
      </c>
      <c r="C2672" t="s">
        <v>1936</v>
      </c>
      <c r="D2672" t="s">
        <v>3575</v>
      </c>
      <c r="F2672">
        <v>405</v>
      </c>
      <c r="G2672">
        <v>65</v>
      </c>
      <c r="H2672" t="s">
        <v>662</v>
      </c>
      <c r="I2672" t="s">
        <v>2271</v>
      </c>
      <c r="J2672">
        <v>1423500</v>
      </c>
      <c r="K2672">
        <v>2025</v>
      </c>
      <c r="L2672">
        <v>1007518947</v>
      </c>
      <c r="M2672" t="s">
        <v>4170</v>
      </c>
      <c r="N2672" t="s">
        <v>1688</v>
      </c>
      <c r="O2672" t="s">
        <v>1686</v>
      </c>
      <c r="P2672">
        <v>0</v>
      </c>
      <c r="Q2672">
        <v>1423500</v>
      </c>
      <c r="R2672">
        <v>0</v>
      </c>
      <c r="S2672">
        <v>0</v>
      </c>
      <c r="T2672" t="str">
        <f t="shared" si="82"/>
        <v>22212.43.4302.85.0-205128.2.3.3.08.06.</v>
      </c>
      <c r="U2672" t="e" cm="1">
        <f t="array" aca="1" ref="U2672" ca="1">+IF(COMPROMISOS_2025[[#This Row],[P]]="20","41080111",_xlfn.XLOOKUP(COMPROMISOS_2025[[#This Row],[concatenado]],PAA[[#All],[RCP-RUBRO]],PAA[[#All],[INDICADOR]],"",0))</f>
        <v>#NAME?</v>
      </c>
      <c r="V2672" s="144" t="str">
        <f t="shared" si="83"/>
        <v>85</v>
      </c>
      <c r="W2672" s="136">
        <f>+COMPROMISOS_2025[[#This Row],[valor_total]]-COMPROMISOS_2025[[#This Row],[total_cancelado]]</f>
        <v>1423500</v>
      </c>
      <c r="X2672" s="136">
        <f>COMPROMISOS_2025[[#This Row],[total_ordenes]]</f>
        <v>1423500</v>
      </c>
      <c r="Y2672" t="str" cm="1">
        <f t="array" aca="1" ref="Y2672" ca="1">IFERROR(_xlfn.XLOOKUP(COMPROMISOS_2025[[#This Row],[concatenado]],PAA[[#All],[RCP-RUBRO]],PAA[[#All],[Actividad3]],VLOOKUP(COMPROMISOS_2025[[#This Row],[Indicador Principal]],$AC$2:$AD$17,2,0),0),"")</f>
        <v/>
      </c>
    </row>
    <row r="2673" spans="1:25" hidden="1" x14ac:dyDescent="0.25">
      <c r="A2673">
        <v>2223</v>
      </c>
      <c r="B2673" t="s">
        <v>2491</v>
      </c>
      <c r="C2673" t="s">
        <v>1936</v>
      </c>
      <c r="D2673" t="s">
        <v>3575</v>
      </c>
      <c r="F2673">
        <v>405</v>
      </c>
      <c r="G2673">
        <v>65</v>
      </c>
      <c r="H2673" t="s">
        <v>662</v>
      </c>
      <c r="I2673" t="s">
        <v>2271</v>
      </c>
      <c r="J2673">
        <v>1067625</v>
      </c>
      <c r="K2673">
        <v>2025</v>
      </c>
      <c r="L2673">
        <v>1007546362</v>
      </c>
      <c r="M2673" t="s">
        <v>3992</v>
      </c>
      <c r="N2673" t="s">
        <v>1688</v>
      </c>
      <c r="O2673" t="s">
        <v>1686</v>
      </c>
      <c r="P2673">
        <v>0</v>
      </c>
      <c r="Q2673">
        <v>1067625</v>
      </c>
      <c r="R2673">
        <v>0</v>
      </c>
      <c r="S2673">
        <v>0</v>
      </c>
      <c r="T2673" t="str">
        <f t="shared" si="82"/>
        <v>22232.43.4302.85.0-205128.2.3.3.08.06.</v>
      </c>
      <c r="U2673" t="e" cm="1">
        <f t="array" aca="1" ref="U2673" ca="1">+IF(COMPROMISOS_2025[[#This Row],[P]]="20","41080111",_xlfn.XLOOKUP(COMPROMISOS_2025[[#This Row],[concatenado]],PAA[[#All],[RCP-RUBRO]],PAA[[#All],[INDICADOR]],"",0))</f>
        <v>#NAME?</v>
      </c>
      <c r="V2673" s="144" t="str">
        <f t="shared" si="83"/>
        <v>85</v>
      </c>
      <c r="W2673" s="136">
        <f>+COMPROMISOS_2025[[#This Row],[valor_total]]-COMPROMISOS_2025[[#This Row],[total_cancelado]]</f>
        <v>1067625</v>
      </c>
      <c r="X2673" s="136">
        <f>COMPROMISOS_2025[[#This Row],[total_ordenes]]</f>
        <v>1067625</v>
      </c>
      <c r="Y2673" t="str" cm="1">
        <f t="array" aca="1" ref="Y2673" ca="1">IFERROR(_xlfn.XLOOKUP(COMPROMISOS_2025[[#This Row],[concatenado]],PAA[[#All],[RCP-RUBRO]],PAA[[#All],[Actividad3]],VLOOKUP(COMPROMISOS_2025[[#This Row],[Indicador Principal]],$AC$2:$AD$17,2,0),0),"")</f>
        <v/>
      </c>
    </row>
    <row r="2674" spans="1:25" hidden="1" x14ac:dyDescent="0.25">
      <c r="A2674">
        <v>2224</v>
      </c>
      <c r="B2674" t="s">
        <v>2491</v>
      </c>
      <c r="C2674" t="s">
        <v>1936</v>
      </c>
      <c r="D2674" t="s">
        <v>3575</v>
      </c>
      <c r="F2674">
        <v>405</v>
      </c>
      <c r="G2674">
        <v>65</v>
      </c>
      <c r="H2674" t="s">
        <v>662</v>
      </c>
      <c r="I2674" t="s">
        <v>2271</v>
      </c>
      <c r="J2674">
        <v>711750</v>
      </c>
      <c r="K2674">
        <v>2025</v>
      </c>
      <c r="L2674">
        <v>1007626015</v>
      </c>
      <c r="M2674" t="s">
        <v>3993</v>
      </c>
      <c r="N2674" t="s">
        <v>1688</v>
      </c>
      <c r="O2674" t="s">
        <v>1686</v>
      </c>
      <c r="P2674">
        <v>0</v>
      </c>
      <c r="Q2674">
        <v>711750</v>
      </c>
      <c r="R2674">
        <v>0</v>
      </c>
      <c r="S2674">
        <v>0</v>
      </c>
      <c r="T2674" t="str">
        <f t="shared" si="82"/>
        <v>22242.43.4302.85.0-205128.2.3.3.08.06.</v>
      </c>
      <c r="U2674" t="e" cm="1">
        <f t="array" aca="1" ref="U2674" ca="1">+IF(COMPROMISOS_2025[[#This Row],[P]]="20","41080111",_xlfn.XLOOKUP(COMPROMISOS_2025[[#This Row],[concatenado]],PAA[[#All],[RCP-RUBRO]],PAA[[#All],[INDICADOR]],"",0))</f>
        <v>#NAME?</v>
      </c>
      <c r="V2674" s="144" t="str">
        <f t="shared" si="83"/>
        <v>85</v>
      </c>
      <c r="W2674" s="136">
        <f>+COMPROMISOS_2025[[#This Row],[valor_total]]-COMPROMISOS_2025[[#This Row],[total_cancelado]]</f>
        <v>711750</v>
      </c>
      <c r="X2674" s="136">
        <f>COMPROMISOS_2025[[#This Row],[total_ordenes]]</f>
        <v>711750</v>
      </c>
      <c r="Y2674" t="str" cm="1">
        <f t="array" aca="1" ref="Y2674" ca="1">IFERROR(_xlfn.XLOOKUP(COMPROMISOS_2025[[#This Row],[concatenado]],PAA[[#All],[RCP-RUBRO]],PAA[[#All],[Actividad3]],VLOOKUP(COMPROMISOS_2025[[#This Row],[Indicador Principal]],$AC$2:$AD$17,2,0),0),"")</f>
        <v/>
      </c>
    </row>
    <row r="2675" spans="1:25" hidden="1" x14ac:dyDescent="0.25">
      <c r="A2675">
        <v>2225</v>
      </c>
      <c r="B2675" t="s">
        <v>2491</v>
      </c>
      <c r="C2675" t="s">
        <v>1936</v>
      </c>
      <c r="D2675" t="s">
        <v>3575</v>
      </c>
      <c r="F2675">
        <v>405</v>
      </c>
      <c r="G2675">
        <v>65</v>
      </c>
      <c r="H2675" t="s">
        <v>662</v>
      </c>
      <c r="I2675" t="s">
        <v>2271</v>
      </c>
      <c r="J2675">
        <v>1423500</v>
      </c>
      <c r="K2675">
        <v>2025</v>
      </c>
      <c r="L2675">
        <v>1007697785</v>
      </c>
      <c r="M2675" t="s">
        <v>4269</v>
      </c>
      <c r="N2675" t="s">
        <v>1688</v>
      </c>
      <c r="O2675" t="s">
        <v>1686</v>
      </c>
      <c r="P2675">
        <v>0</v>
      </c>
      <c r="Q2675">
        <v>1423500</v>
      </c>
      <c r="R2675">
        <v>0</v>
      </c>
      <c r="S2675">
        <v>0</v>
      </c>
      <c r="T2675" t="str">
        <f t="shared" si="82"/>
        <v>22252.43.4302.85.0-205128.2.3.3.08.06.</v>
      </c>
      <c r="U2675" t="e" cm="1">
        <f t="array" aca="1" ref="U2675" ca="1">+IF(COMPROMISOS_2025[[#This Row],[P]]="20","41080111",_xlfn.XLOOKUP(COMPROMISOS_2025[[#This Row],[concatenado]],PAA[[#All],[RCP-RUBRO]],PAA[[#All],[INDICADOR]],"",0))</f>
        <v>#NAME?</v>
      </c>
      <c r="V2675" s="144" t="str">
        <f t="shared" si="83"/>
        <v>85</v>
      </c>
      <c r="W2675" s="136">
        <f>+COMPROMISOS_2025[[#This Row],[valor_total]]-COMPROMISOS_2025[[#This Row],[total_cancelado]]</f>
        <v>1423500</v>
      </c>
      <c r="X2675" s="136">
        <f>COMPROMISOS_2025[[#This Row],[total_ordenes]]</f>
        <v>1423500</v>
      </c>
      <c r="Y2675" t="str" cm="1">
        <f t="array" aca="1" ref="Y2675" ca="1">IFERROR(_xlfn.XLOOKUP(COMPROMISOS_2025[[#This Row],[concatenado]],PAA[[#All],[RCP-RUBRO]],PAA[[#All],[Actividad3]],VLOOKUP(COMPROMISOS_2025[[#This Row],[Indicador Principal]],$AC$2:$AD$17,2,0),0),"")</f>
        <v/>
      </c>
    </row>
    <row r="2676" spans="1:25" hidden="1" x14ac:dyDescent="0.25">
      <c r="A2676">
        <v>2226</v>
      </c>
      <c r="B2676" t="s">
        <v>2491</v>
      </c>
      <c r="C2676" t="s">
        <v>1936</v>
      </c>
      <c r="D2676" t="s">
        <v>3575</v>
      </c>
      <c r="F2676">
        <v>405</v>
      </c>
      <c r="G2676">
        <v>65</v>
      </c>
      <c r="H2676" t="s">
        <v>662</v>
      </c>
      <c r="I2676" t="s">
        <v>2271</v>
      </c>
      <c r="J2676">
        <v>1067625</v>
      </c>
      <c r="K2676">
        <v>2025</v>
      </c>
      <c r="L2676">
        <v>1007722615</v>
      </c>
      <c r="M2676" t="s">
        <v>4270</v>
      </c>
      <c r="N2676" t="s">
        <v>1688</v>
      </c>
      <c r="O2676" t="s">
        <v>1686</v>
      </c>
      <c r="P2676">
        <v>0</v>
      </c>
      <c r="Q2676">
        <v>1067625</v>
      </c>
      <c r="R2676">
        <v>0</v>
      </c>
      <c r="S2676">
        <v>0</v>
      </c>
      <c r="T2676" t="str">
        <f t="shared" si="82"/>
        <v>22262.43.4302.85.0-205128.2.3.3.08.06.</v>
      </c>
      <c r="U2676" t="e" cm="1">
        <f t="array" aca="1" ref="U2676" ca="1">+IF(COMPROMISOS_2025[[#This Row],[P]]="20","41080111",_xlfn.XLOOKUP(COMPROMISOS_2025[[#This Row],[concatenado]],PAA[[#All],[RCP-RUBRO]],PAA[[#All],[INDICADOR]],"",0))</f>
        <v>#NAME?</v>
      </c>
      <c r="V2676" s="144" t="str">
        <f t="shared" si="83"/>
        <v>85</v>
      </c>
      <c r="W2676" s="136">
        <f>+COMPROMISOS_2025[[#This Row],[valor_total]]-COMPROMISOS_2025[[#This Row],[total_cancelado]]</f>
        <v>1067625</v>
      </c>
      <c r="X2676" s="136">
        <f>COMPROMISOS_2025[[#This Row],[total_ordenes]]</f>
        <v>1067625</v>
      </c>
      <c r="Y2676" t="str" cm="1">
        <f t="array" aca="1" ref="Y2676" ca="1">IFERROR(_xlfn.XLOOKUP(COMPROMISOS_2025[[#This Row],[concatenado]],PAA[[#All],[RCP-RUBRO]],PAA[[#All],[Actividad3]],VLOOKUP(COMPROMISOS_2025[[#This Row],[Indicador Principal]],$AC$2:$AD$17,2,0),0),"")</f>
        <v/>
      </c>
    </row>
    <row r="2677" spans="1:25" hidden="1" x14ac:dyDescent="0.25">
      <c r="A2677">
        <v>2228</v>
      </c>
      <c r="B2677" t="s">
        <v>2491</v>
      </c>
      <c r="C2677" t="s">
        <v>1936</v>
      </c>
      <c r="D2677" t="s">
        <v>3575</v>
      </c>
      <c r="F2677">
        <v>405</v>
      </c>
      <c r="G2677">
        <v>65</v>
      </c>
      <c r="H2677" t="s">
        <v>662</v>
      </c>
      <c r="I2677" t="s">
        <v>2271</v>
      </c>
      <c r="J2677">
        <v>1067625</v>
      </c>
      <c r="K2677">
        <v>2025</v>
      </c>
      <c r="L2677">
        <v>1007898956</v>
      </c>
      <c r="M2677" t="s">
        <v>3994</v>
      </c>
      <c r="N2677" t="s">
        <v>1688</v>
      </c>
      <c r="O2677" t="s">
        <v>1686</v>
      </c>
      <c r="P2677">
        <v>0</v>
      </c>
      <c r="Q2677">
        <v>1067625</v>
      </c>
      <c r="R2677">
        <v>0</v>
      </c>
      <c r="S2677">
        <v>0</v>
      </c>
      <c r="T2677" t="str">
        <f t="shared" si="82"/>
        <v>22282.43.4302.85.0-205128.2.3.3.08.06.</v>
      </c>
      <c r="U2677" t="e" cm="1">
        <f t="array" aca="1" ref="U2677" ca="1">+IF(COMPROMISOS_2025[[#This Row],[P]]="20","41080111",_xlfn.XLOOKUP(COMPROMISOS_2025[[#This Row],[concatenado]],PAA[[#All],[RCP-RUBRO]],PAA[[#All],[INDICADOR]],"",0))</f>
        <v>#NAME?</v>
      </c>
      <c r="V2677" s="144" t="str">
        <f t="shared" si="83"/>
        <v>85</v>
      </c>
      <c r="W2677" s="136">
        <f>+COMPROMISOS_2025[[#This Row],[valor_total]]-COMPROMISOS_2025[[#This Row],[total_cancelado]]</f>
        <v>1067625</v>
      </c>
      <c r="X2677" s="136">
        <f>COMPROMISOS_2025[[#This Row],[total_ordenes]]</f>
        <v>1067625</v>
      </c>
      <c r="Y2677" t="str" cm="1">
        <f t="array" aca="1" ref="Y2677" ca="1">IFERROR(_xlfn.XLOOKUP(COMPROMISOS_2025[[#This Row],[concatenado]],PAA[[#All],[RCP-RUBRO]],PAA[[#All],[Actividad3]],VLOOKUP(COMPROMISOS_2025[[#This Row],[Indicador Principal]],$AC$2:$AD$17,2,0),0),"")</f>
        <v/>
      </c>
    </row>
    <row r="2678" spans="1:25" hidden="1" x14ac:dyDescent="0.25">
      <c r="A2678">
        <v>2229</v>
      </c>
      <c r="B2678" t="s">
        <v>2491</v>
      </c>
      <c r="C2678" t="s">
        <v>1936</v>
      </c>
      <c r="D2678" t="s">
        <v>3575</v>
      </c>
      <c r="F2678">
        <v>405</v>
      </c>
      <c r="G2678">
        <v>65</v>
      </c>
      <c r="H2678" t="s">
        <v>662</v>
      </c>
      <c r="I2678" t="s">
        <v>2271</v>
      </c>
      <c r="J2678">
        <v>1423500</v>
      </c>
      <c r="K2678">
        <v>2025</v>
      </c>
      <c r="L2678">
        <v>1010086502</v>
      </c>
      <c r="M2678" t="s">
        <v>4171</v>
      </c>
      <c r="N2678" t="s">
        <v>1688</v>
      </c>
      <c r="O2678" t="s">
        <v>1686</v>
      </c>
      <c r="P2678">
        <v>0</v>
      </c>
      <c r="Q2678">
        <v>1423500</v>
      </c>
      <c r="R2678">
        <v>0</v>
      </c>
      <c r="S2678">
        <v>0</v>
      </c>
      <c r="T2678" t="str">
        <f t="shared" si="82"/>
        <v>22292.43.4302.85.0-205128.2.3.3.08.06.</v>
      </c>
      <c r="U2678" t="e" cm="1">
        <f t="array" aca="1" ref="U2678" ca="1">+IF(COMPROMISOS_2025[[#This Row],[P]]="20","41080111",_xlfn.XLOOKUP(COMPROMISOS_2025[[#This Row],[concatenado]],PAA[[#All],[RCP-RUBRO]],PAA[[#All],[INDICADOR]],"",0))</f>
        <v>#NAME?</v>
      </c>
      <c r="V2678" s="144" t="str">
        <f t="shared" si="83"/>
        <v>85</v>
      </c>
      <c r="W2678" s="136">
        <f>+COMPROMISOS_2025[[#This Row],[valor_total]]-COMPROMISOS_2025[[#This Row],[total_cancelado]]</f>
        <v>1423500</v>
      </c>
      <c r="X2678" s="136">
        <f>COMPROMISOS_2025[[#This Row],[total_ordenes]]</f>
        <v>1423500</v>
      </c>
      <c r="Y2678" t="str" cm="1">
        <f t="array" aca="1" ref="Y2678" ca="1">IFERROR(_xlfn.XLOOKUP(COMPROMISOS_2025[[#This Row],[concatenado]],PAA[[#All],[RCP-RUBRO]],PAA[[#All],[Actividad3]],VLOOKUP(COMPROMISOS_2025[[#This Row],[Indicador Principal]],$AC$2:$AD$17,2,0),0),"")</f>
        <v/>
      </c>
    </row>
    <row r="2679" spans="1:25" hidden="1" x14ac:dyDescent="0.25">
      <c r="A2679">
        <v>2230</v>
      </c>
      <c r="B2679" t="s">
        <v>2491</v>
      </c>
      <c r="C2679" t="s">
        <v>1936</v>
      </c>
      <c r="D2679" t="s">
        <v>3575</v>
      </c>
      <c r="F2679">
        <v>405</v>
      </c>
      <c r="G2679">
        <v>65</v>
      </c>
      <c r="H2679" t="s">
        <v>662</v>
      </c>
      <c r="I2679" t="s">
        <v>2271</v>
      </c>
      <c r="J2679">
        <v>711750</v>
      </c>
      <c r="K2679">
        <v>2025</v>
      </c>
      <c r="L2679">
        <v>1010099123</v>
      </c>
      <c r="M2679" t="s">
        <v>3995</v>
      </c>
      <c r="N2679" t="s">
        <v>1688</v>
      </c>
      <c r="O2679" t="s">
        <v>1686</v>
      </c>
      <c r="P2679">
        <v>0</v>
      </c>
      <c r="Q2679">
        <v>711750</v>
      </c>
      <c r="R2679">
        <v>0</v>
      </c>
      <c r="S2679">
        <v>0</v>
      </c>
      <c r="T2679" t="str">
        <f t="shared" si="82"/>
        <v>22302.43.4302.85.0-205128.2.3.3.08.06.</v>
      </c>
      <c r="U2679" t="e" cm="1">
        <f t="array" aca="1" ref="U2679" ca="1">+IF(COMPROMISOS_2025[[#This Row],[P]]="20","41080111",_xlfn.XLOOKUP(COMPROMISOS_2025[[#This Row],[concatenado]],PAA[[#All],[RCP-RUBRO]],PAA[[#All],[INDICADOR]],"",0))</f>
        <v>#NAME?</v>
      </c>
      <c r="V2679" s="144" t="str">
        <f t="shared" si="83"/>
        <v>85</v>
      </c>
      <c r="W2679" s="136">
        <f>+COMPROMISOS_2025[[#This Row],[valor_total]]-COMPROMISOS_2025[[#This Row],[total_cancelado]]</f>
        <v>711750</v>
      </c>
      <c r="X2679" s="136">
        <f>COMPROMISOS_2025[[#This Row],[total_ordenes]]</f>
        <v>711750</v>
      </c>
      <c r="Y2679" t="str" cm="1">
        <f t="array" aca="1" ref="Y2679" ca="1">IFERROR(_xlfn.XLOOKUP(COMPROMISOS_2025[[#This Row],[concatenado]],PAA[[#All],[RCP-RUBRO]],PAA[[#All],[Actividad3]],VLOOKUP(COMPROMISOS_2025[[#This Row],[Indicador Principal]],$AC$2:$AD$17,2,0),0),"")</f>
        <v/>
      </c>
    </row>
    <row r="2680" spans="1:25" hidden="1" x14ac:dyDescent="0.25">
      <c r="A2680">
        <v>2231</v>
      </c>
      <c r="B2680" t="s">
        <v>2491</v>
      </c>
      <c r="C2680" t="s">
        <v>1936</v>
      </c>
      <c r="D2680" t="s">
        <v>3575</v>
      </c>
      <c r="F2680">
        <v>405</v>
      </c>
      <c r="G2680">
        <v>65</v>
      </c>
      <c r="H2680" t="s">
        <v>662</v>
      </c>
      <c r="I2680" t="s">
        <v>2271</v>
      </c>
      <c r="J2680">
        <v>5694000</v>
      </c>
      <c r="K2680">
        <v>2025</v>
      </c>
      <c r="L2680">
        <v>1011092922</v>
      </c>
      <c r="M2680" t="s">
        <v>4271</v>
      </c>
      <c r="N2680" t="s">
        <v>1688</v>
      </c>
      <c r="O2680" t="s">
        <v>1686</v>
      </c>
      <c r="P2680">
        <v>0</v>
      </c>
      <c r="Q2680">
        <v>5694000</v>
      </c>
      <c r="R2680">
        <v>0</v>
      </c>
      <c r="S2680">
        <v>0</v>
      </c>
      <c r="T2680" t="str">
        <f t="shared" si="82"/>
        <v>22312.43.4302.85.0-205128.2.3.3.08.06.</v>
      </c>
      <c r="U2680" t="e" cm="1">
        <f t="array" aca="1" ref="U2680" ca="1">+IF(COMPROMISOS_2025[[#This Row],[P]]="20","41080111",_xlfn.XLOOKUP(COMPROMISOS_2025[[#This Row],[concatenado]],PAA[[#All],[RCP-RUBRO]],PAA[[#All],[INDICADOR]],"",0))</f>
        <v>#NAME?</v>
      </c>
      <c r="V2680" s="144" t="str">
        <f t="shared" si="83"/>
        <v>85</v>
      </c>
      <c r="W2680" s="136">
        <f>+COMPROMISOS_2025[[#This Row],[valor_total]]-COMPROMISOS_2025[[#This Row],[total_cancelado]]</f>
        <v>5694000</v>
      </c>
      <c r="X2680" s="136">
        <f>COMPROMISOS_2025[[#This Row],[total_ordenes]]</f>
        <v>5694000</v>
      </c>
      <c r="Y2680" t="str" cm="1">
        <f t="array" aca="1" ref="Y2680" ca="1">IFERROR(_xlfn.XLOOKUP(COMPROMISOS_2025[[#This Row],[concatenado]],PAA[[#All],[RCP-RUBRO]],PAA[[#All],[Actividad3]],VLOOKUP(COMPROMISOS_2025[[#This Row],[Indicador Principal]],$AC$2:$AD$17,2,0),0),"")</f>
        <v/>
      </c>
    </row>
    <row r="2681" spans="1:25" hidden="1" x14ac:dyDescent="0.25">
      <c r="A2681">
        <v>2233</v>
      </c>
      <c r="B2681" t="s">
        <v>2491</v>
      </c>
      <c r="C2681" t="s">
        <v>1936</v>
      </c>
      <c r="D2681" t="s">
        <v>3575</v>
      </c>
      <c r="F2681">
        <v>405</v>
      </c>
      <c r="G2681">
        <v>65</v>
      </c>
      <c r="H2681" t="s">
        <v>662</v>
      </c>
      <c r="I2681" t="s">
        <v>2271</v>
      </c>
      <c r="J2681">
        <v>1423500</v>
      </c>
      <c r="K2681">
        <v>2025</v>
      </c>
      <c r="L2681">
        <v>1011395036</v>
      </c>
      <c r="M2681" t="s">
        <v>4272</v>
      </c>
      <c r="N2681" t="s">
        <v>1688</v>
      </c>
      <c r="O2681" t="s">
        <v>1686</v>
      </c>
      <c r="P2681">
        <v>0</v>
      </c>
      <c r="Q2681">
        <v>1423500</v>
      </c>
      <c r="R2681">
        <v>0</v>
      </c>
      <c r="S2681">
        <v>0</v>
      </c>
      <c r="T2681" t="str">
        <f t="shared" si="82"/>
        <v>22332.43.4302.85.0-205128.2.3.3.08.06.</v>
      </c>
      <c r="U2681" t="e" cm="1">
        <f t="array" aca="1" ref="U2681" ca="1">+IF(COMPROMISOS_2025[[#This Row],[P]]="20","41080111",_xlfn.XLOOKUP(COMPROMISOS_2025[[#This Row],[concatenado]],PAA[[#All],[RCP-RUBRO]],PAA[[#All],[INDICADOR]],"",0))</f>
        <v>#NAME?</v>
      </c>
      <c r="V2681" s="144" t="str">
        <f t="shared" si="83"/>
        <v>85</v>
      </c>
      <c r="W2681" s="136">
        <f>+COMPROMISOS_2025[[#This Row],[valor_total]]-COMPROMISOS_2025[[#This Row],[total_cancelado]]</f>
        <v>1423500</v>
      </c>
      <c r="X2681" s="136">
        <f>COMPROMISOS_2025[[#This Row],[total_ordenes]]</f>
        <v>1423500</v>
      </c>
      <c r="Y2681" t="str" cm="1">
        <f t="array" aca="1" ref="Y2681" ca="1">IFERROR(_xlfn.XLOOKUP(COMPROMISOS_2025[[#This Row],[concatenado]],PAA[[#All],[RCP-RUBRO]],PAA[[#All],[Actividad3]],VLOOKUP(COMPROMISOS_2025[[#This Row],[Indicador Principal]],$AC$2:$AD$17,2,0),0),"")</f>
        <v/>
      </c>
    </row>
    <row r="2682" spans="1:25" hidden="1" x14ac:dyDescent="0.25">
      <c r="A2682">
        <v>2238</v>
      </c>
      <c r="B2682" t="s">
        <v>2491</v>
      </c>
      <c r="C2682" t="s">
        <v>1936</v>
      </c>
      <c r="D2682" t="s">
        <v>3575</v>
      </c>
      <c r="F2682">
        <v>405</v>
      </c>
      <c r="G2682">
        <v>65</v>
      </c>
      <c r="H2682" t="s">
        <v>662</v>
      </c>
      <c r="I2682" t="s">
        <v>2271</v>
      </c>
      <c r="J2682">
        <v>1423500</v>
      </c>
      <c r="K2682">
        <v>2025</v>
      </c>
      <c r="L2682">
        <v>1011510140</v>
      </c>
      <c r="M2682" t="s">
        <v>3997</v>
      </c>
      <c r="N2682" t="s">
        <v>1688</v>
      </c>
      <c r="O2682" t="s">
        <v>1686</v>
      </c>
      <c r="P2682">
        <v>0</v>
      </c>
      <c r="Q2682">
        <v>1423500</v>
      </c>
      <c r="R2682">
        <v>0</v>
      </c>
      <c r="S2682">
        <v>0</v>
      </c>
      <c r="T2682" t="str">
        <f t="shared" si="82"/>
        <v>22382.43.4302.85.0-205128.2.3.3.08.06.</v>
      </c>
      <c r="U2682" t="e" cm="1">
        <f t="array" aca="1" ref="U2682" ca="1">+IF(COMPROMISOS_2025[[#This Row],[P]]="20","41080111",_xlfn.XLOOKUP(COMPROMISOS_2025[[#This Row],[concatenado]],PAA[[#All],[RCP-RUBRO]],PAA[[#All],[INDICADOR]],"",0))</f>
        <v>#NAME?</v>
      </c>
      <c r="V2682" s="144" t="str">
        <f t="shared" si="83"/>
        <v>85</v>
      </c>
      <c r="W2682" s="136">
        <f>+COMPROMISOS_2025[[#This Row],[valor_total]]-COMPROMISOS_2025[[#This Row],[total_cancelado]]</f>
        <v>1423500</v>
      </c>
      <c r="X2682" s="136">
        <f>COMPROMISOS_2025[[#This Row],[total_ordenes]]</f>
        <v>1423500</v>
      </c>
      <c r="Y2682" t="str" cm="1">
        <f t="array" aca="1" ref="Y2682" ca="1">IFERROR(_xlfn.XLOOKUP(COMPROMISOS_2025[[#This Row],[concatenado]],PAA[[#All],[RCP-RUBRO]],PAA[[#All],[Actividad3]],VLOOKUP(COMPROMISOS_2025[[#This Row],[Indicador Principal]],$AC$2:$AD$17,2,0),0),"")</f>
        <v/>
      </c>
    </row>
    <row r="2683" spans="1:25" hidden="1" x14ac:dyDescent="0.25">
      <c r="A2683">
        <v>2239</v>
      </c>
      <c r="B2683" t="s">
        <v>2491</v>
      </c>
      <c r="C2683" t="s">
        <v>1936</v>
      </c>
      <c r="D2683" t="s">
        <v>3575</v>
      </c>
      <c r="F2683">
        <v>405</v>
      </c>
      <c r="G2683">
        <v>65</v>
      </c>
      <c r="H2683" t="s">
        <v>662</v>
      </c>
      <c r="I2683" t="s">
        <v>2271</v>
      </c>
      <c r="J2683">
        <v>1067625</v>
      </c>
      <c r="K2683">
        <v>2025</v>
      </c>
      <c r="L2683">
        <v>1011510616</v>
      </c>
      <c r="M2683" t="s">
        <v>4273</v>
      </c>
      <c r="N2683" t="s">
        <v>1688</v>
      </c>
      <c r="O2683" t="s">
        <v>1686</v>
      </c>
      <c r="P2683">
        <v>0</v>
      </c>
      <c r="Q2683">
        <v>1067625</v>
      </c>
      <c r="R2683">
        <v>0</v>
      </c>
      <c r="S2683">
        <v>0</v>
      </c>
      <c r="T2683" t="str">
        <f t="shared" si="82"/>
        <v>22392.43.4302.85.0-205128.2.3.3.08.06.</v>
      </c>
      <c r="U2683" t="e" cm="1">
        <f t="array" aca="1" ref="U2683" ca="1">+IF(COMPROMISOS_2025[[#This Row],[P]]="20","41080111",_xlfn.XLOOKUP(COMPROMISOS_2025[[#This Row],[concatenado]],PAA[[#All],[RCP-RUBRO]],PAA[[#All],[INDICADOR]],"",0))</f>
        <v>#NAME?</v>
      </c>
      <c r="V2683" s="144" t="str">
        <f t="shared" si="83"/>
        <v>85</v>
      </c>
      <c r="W2683" s="136">
        <f>+COMPROMISOS_2025[[#This Row],[valor_total]]-COMPROMISOS_2025[[#This Row],[total_cancelado]]</f>
        <v>1067625</v>
      </c>
      <c r="X2683" s="136">
        <f>COMPROMISOS_2025[[#This Row],[total_ordenes]]</f>
        <v>1067625</v>
      </c>
      <c r="Y2683" t="str" cm="1">
        <f t="array" aca="1" ref="Y2683" ca="1">IFERROR(_xlfn.XLOOKUP(COMPROMISOS_2025[[#This Row],[concatenado]],PAA[[#All],[RCP-RUBRO]],PAA[[#All],[Actividad3]],VLOOKUP(COMPROMISOS_2025[[#This Row],[Indicador Principal]],$AC$2:$AD$17,2,0),0),"")</f>
        <v/>
      </c>
    </row>
    <row r="2684" spans="1:25" hidden="1" x14ac:dyDescent="0.25">
      <c r="A2684">
        <v>2242</v>
      </c>
      <c r="B2684" t="s">
        <v>2491</v>
      </c>
      <c r="C2684" t="s">
        <v>1936</v>
      </c>
      <c r="D2684" t="s">
        <v>3575</v>
      </c>
      <c r="F2684">
        <v>405</v>
      </c>
      <c r="G2684">
        <v>65</v>
      </c>
      <c r="H2684" t="s">
        <v>662</v>
      </c>
      <c r="I2684" t="s">
        <v>2271</v>
      </c>
      <c r="J2684">
        <v>711750</v>
      </c>
      <c r="K2684">
        <v>2025</v>
      </c>
      <c r="L2684">
        <v>1011513907</v>
      </c>
      <c r="M2684" t="s">
        <v>4274</v>
      </c>
      <c r="N2684" t="s">
        <v>1688</v>
      </c>
      <c r="O2684" t="s">
        <v>1686</v>
      </c>
      <c r="P2684">
        <v>0</v>
      </c>
      <c r="Q2684">
        <v>711750</v>
      </c>
      <c r="R2684">
        <v>0</v>
      </c>
      <c r="S2684">
        <v>0</v>
      </c>
      <c r="T2684" t="str">
        <f t="shared" si="82"/>
        <v>22422.43.4302.85.0-205128.2.3.3.08.06.</v>
      </c>
      <c r="U2684" t="e" cm="1">
        <f t="array" aca="1" ref="U2684" ca="1">+IF(COMPROMISOS_2025[[#This Row],[P]]="20","41080111",_xlfn.XLOOKUP(COMPROMISOS_2025[[#This Row],[concatenado]],PAA[[#All],[RCP-RUBRO]],PAA[[#All],[INDICADOR]],"",0))</f>
        <v>#NAME?</v>
      </c>
      <c r="V2684" s="144" t="str">
        <f t="shared" si="83"/>
        <v>85</v>
      </c>
      <c r="W2684" s="136">
        <f>+COMPROMISOS_2025[[#This Row],[valor_total]]-COMPROMISOS_2025[[#This Row],[total_cancelado]]</f>
        <v>711750</v>
      </c>
      <c r="X2684" s="136">
        <f>COMPROMISOS_2025[[#This Row],[total_ordenes]]</f>
        <v>711750</v>
      </c>
      <c r="Y2684" t="str" cm="1">
        <f t="array" aca="1" ref="Y2684" ca="1">IFERROR(_xlfn.XLOOKUP(COMPROMISOS_2025[[#This Row],[concatenado]],PAA[[#All],[RCP-RUBRO]],PAA[[#All],[Actividad3]],VLOOKUP(COMPROMISOS_2025[[#This Row],[Indicador Principal]],$AC$2:$AD$17,2,0),0),"")</f>
        <v/>
      </c>
    </row>
    <row r="2685" spans="1:25" hidden="1" x14ac:dyDescent="0.25">
      <c r="A2685">
        <v>2244</v>
      </c>
      <c r="B2685" t="s">
        <v>2491</v>
      </c>
      <c r="C2685" t="s">
        <v>1936</v>
      </c>
      <c r="D2685" t="s">
        <v>3575</v>
      </c>
      <c r="F2685">
        <v>405</v>
      </c>
      <c r="G2685">
        <v>65</v>
      </c>
      <c r="H2685" t="s">
        <v>662</v>
      </c>
      <c r="I2685" t="s">
        <v>2271</v>
      </c>
      <c r="J2685">
        <v>1067625</v>
      </c>
      <c r="K2685">
        <v>2025</v>
      </c>
      <c r="L2685">
        <v>10133373143</v>
      </c>
      <c r="M2685" t="s">
        <v>4275</v>
      </c>
      <c r="N2685" t="s">
        <v>1688</v>
      </c>
      <c r="O2685" t="s">
        <v>1686</v>
      </c>
      <c r="P2685">
        <v>0</v>
      </c>
      <c r="Q2685">
        <v>1067625</v>
      </c>
      <c r="R2685">
        <v>0</v>
      </c>
      <c r="S2685">
        <v>0</v>
      </c>
      <c r="T2685" t="str">
        <f t="shared" si="82"/>
        <v>22442.43.4302.85.0-205128.2.3.3.08.06.</v>
      </c>
      <c r="U2685" t="e" cm="1">
        <f t="array" aca="1" ref="U2685" ca="1">+IF(COMPROMISOS_2025[[#This Row],[P]]="20","41080111",_xlfn.XLOOKUP(COMPROMISOS_2025[[#This Row],[concatenado]],PAA[[#All],[RCP-RUBRO]],PAA[[#All],[INDICADOR]],"",0))</f>
        <v>#NAME?</v>
      </c>
      <c r="V2685" s="144" t="str">
        <f t="shared" si="83"/>
        <v>85</v>
      </c>
      <c r="W2685" s="136">
        <f>+COMPROMISOS_2025[[#This Row],[valor_total]]-COMPROMISOS_2025[[#This Row],[total_cancelado]]</f>
        <v>1067625</v>
      </c>
      <c r="X2685" s="136">
        <f>COMPROMISOS_2025[[#This Row],[total_ordenes]]</f>
        <v>1067625</v>
      </c>
      <c r="Y2685" t="str" cm="1">
        <f t="array" aca="1" ref="Y2685" ca="1">IFERROR(_xlfn.XLOOKUP(COMPROMISOS_2025[[#This Row],[concatenado]],PAA[[#All],[RCP-RUBRO]],PAA[[#All],[Actividad3]],VLOOKUP(COMPROMISOS_2025[[#This Row],[Indicador Principal]],$AC$2:$AD$17,2,0),0),"")</f>
        <v/>
      </c>
    </row>
    <row r="2686" spans="1:25" hidden="1" x14ac:dyDescent="0.25">
      <c r="A2686">
        <v>2246</v>
      </c>
      <c r="B2686" t="s">
        <v>2491</v>
      </c>
      <c r="C2686" t="s">
        <v>1936</v>
      </c>
      <c r="D2686" t="s">
        <v>3575</v>
      </c>
      <c r="F2686">
        <v>405</v>
      </c>
      <c r="G2686">
        <v>65</v>
      </c>
      <c r="H2686" t="s">
        <v>662</v>
      </c>
      <c r="I2686" t="s">
        <v>2271</v>
      </c>
      <c r="J2686">
        <v>1423500</v>
      </c>
      <c r="K2686">
        <v>2025</v>
      </c>
      <c r="L2686">
        <v>1013339805</v>
      </c>
      <c r="M2686" t="s">
        <v>4276</v>
      </c>
      <c r="N2686" t="s">
        <v>1688</v>
      </c>
      <c r="O2686" t="s">
        <v>1686</v>
      </c>
      <c r="P2686">
        <v>0</v>
      </c>
      <c r="Q2686">
        <v>1423500</v>
      </c>
      <c r="R2686">
        <v>0</v>
      </c>
      <c r="S2686">
        <v>0</v>
      </c>
      <c r="T2686" t="str">
        <f t="shared" si="82"/>
        <v>22462.43.4302.85.0-205128.2.3.3.08.06.</v>
      </c>
      <c r="U2686" t="e" cm="1">
        <f t="array" aca="1" ref="U2686" ca="1">+IF(COMPROMISOS_2025[[#This Row],[P]]="20","41080111",_xlfn.XLOOKUP(COMPROMISOS_2025[[#This Row],[concatenado]],PAA[[#All],[RCP-RUBRO]],PAA[[#All],[INDICADOR]],"",0))</f>
        <v>#NAME?</v>
      </c>
      <c r="V2686" s="144" t="str">
        <f t="shared" si="83"/>
        <v>85</v>
      </c>
      <c r="W2686" s="136">
        <f>+COMPROMISOS_2025[[#This Row],[valor_total]]-COMPROMISOS_2025[[#This Row],[total_cancelado]]</f>
        <v>1423500</v>
      </c>
      <c r="X2686" s="136">
        <f>COMPROMISOS_2025[[#This Row],[total_ordenes]]</f>
        <v>1423500</v>
      </c>
      <c r="Y2686" t="str" cm="1">
        <f t="array" aca="1" ref="Y2686" ca="1">IFERROR(_xlfn.XLOOKUP(COMPROMISOS_2025[[#This Row],[concatenado]],PAA[[#All],[RCP-RUBRO]],PAA[[#All],[Actividad3]],VLOOKUP(COMPROMISOS_2025[[#This Row],[Indicador Principal]],$AC$2:$AD$17,2,0),0),"")</f>
        <v/>
      </c>
    </row>
    <row r="2687" spans="1:25" hidden="1" x14ac:dyDescent="0.25">
      <c r="A2687">
        <v>2248</v>
      </c>
      <c r="B2687" t="s">
        <v>2491</v>
      </c>
      <c r="C2687" t="s">
        <v>1936</v>
      </c>
      <c r="D2687" t="s">
        <v>3575</v>
      </c>
      <c r="F2687">
        <v>405</v>
      </c>
      <c r="G2687">
        <v>65</v>
      </c>
      <c r="H2687" t="s">
        <v>662</v>
      </c>
      <c r="I2687" t="s">
        <v>2271</v>
      </c>
      <c r="J2687">
        <v>1067625</v>
      </c>
      <c r="K2687">
        <v>2025</v>
      </c>
      <c r="L2687">
        <v>1013457331</v>
      </c>
      <c r="M2687" t="s">
        <v>4277</v>
      </c>
      <c r="N2687" t="s">
        <v>1688</v>
      </c>
      <c r="O2687" t="s">
        <v>1686</v>
      </c>
      <c r="P2687">
        <v>0</v>
      </c>
      <c r="Q2687">
        <v>1067625</v>
      </c>
      <c r="R2687">
        <v>0</v>
      </c>
      <c r="S2687">
        <v>0</v>
      </c>
      <c r="T2687" t="str">
        <f t="shared" si="82"/>
        <v>22482.43.4302.85.0-205128.2.3.3.08.06.</v>
      </c>
      <c r="U2687" t="e" cm="1">
        <f t="array" aca="1" ref="U2687" ca="1">+IF(COMPROMISOS_2025[[#This Row],[P]]="20","41080111",_xlfn.XLOOKUP(COMPROMISOS_2025[[#This Row],[concatenado]],PAA[[#All],[RCP-RUBRO]],PAA[[#All],[INDICADOR]],"",0))</f>
        <v>#NAME?</v>
      </c>
      <c r="V2687" s="144" t="str">
        <f t="shared" si="83"/>
        <v>85</v>
      </c>
      <c r="W2687" s="136">
        <f>+COMPROMISOS_2025[[#This Row],[valor_total]]-COMPROMISOS_2025[[#This Row],[total_cancelado]]</f>
        <v>1067625</v>
      </c>
      <c r="X2687" s="136">
        <f>COMPROMISOS_2025[[#This Row],[total_ordenes]]</f>
        <v>1067625</v>
      </c>
      <c r="Y2687" t="str" cm="1">
        <f t="array" aca="1" ref="Y2687" ca="1">IFERROR(_xlfn.XLOOKUP(COMPROMISOS_2025[[#This Row],[concatenado]],PAA[[#All],[RCP-RUBRO]],PAA[[#All],[Actividad3]],VLOOKUP(COMPROMISOS_2025[[#This Row],[Indicador Principal]],$AC$2:$AD$17,2,0),0),"")</f>
        <v/>
      </c>
    </row>
    <row r="2688" spans="1:25" hidden="1" x14ac:dyDescent="0.25">
      <c r="A2688">
        <v>2250</v>
      </c>
      <c r="B2688" t="s">
        <v>2491</v>
      </c>
      <c r="C2688" t="s">
        <v>1936</v>
      </c>
      <c r="D2688" t="s">
        <v>3575</v>
      </c>
      <c r="F2688">
        <v>405</v>
      </c>
      <c r="G2688">
        <v>65</v>
      </c>
      <c r="H2688" t="s">
        <v>662</v>
      </c>
      <c r="I2688" t="s">
        <v>2271</v>
      </c>
      <c r="J2688">
        <v>1423500</v>
      </c>
      <c r="K2688">
        <v>2025</v>
      </c>
      <c r="L2688">
        <v>1013459357</v>
      </c>
      <c r="M2688" t="s">
        <v>3999</v>
      </c>
      <c r="N2688" t="s">
        <v>1688</v>
      </c>
      <c r="O2688" t="s">
        <v>1686</v>
      </c>
      <c r="P2688">
        <v>0</v>
      </c>
      <c r="Q2688">
        <v>1423500</v>
      </c>
      <c r="R2688">
        <v>0</v>
      </c>
      <c r="S2688">
        <v>0</v>
      </c>
      <c r="T2688" t="str">
        <f t="shared" si="82"/>
        <v>22502.43.4302.85.0-205128.2.3.3.08.06.</v>
      </c>
      <c r="U2688" t="e" cm="1">
        <f t="array" aca="1" ref="U2688" ca="1">+IF(COMPROMISOS_2025[[#This Row],[P]]="20","41080111",_xlfn.XLOOKUP(COMPROMISOS_2025[[#This Row],[concatenado]],PAA[[#All],[RCP-RUBRO]],PAA[[#All],[INDICADOR]],"",0))</f>
        <v>#NAME?</v>
      </c>
      <c r="V2688" s="144" t="str">
        <f t="shared" si="83"/>
        <v>85</v>
      </c>
      <c r="W2688" s="136">
        <f>+COMPROMISOS_2025[[#This Row],[valor_total]]-COMPROMISOS_2025[[#This Row],[total_cancelado]]</f>
        <v>1423500</v>
      </c>
      <c r="X2688" s="136">
        <f>COMPROMISOS_2025[[#This Row],[total_ordenes]]</f>
        <v>1423500</v>
      </c>
      <c r="Y2688" t="str" cm="1">
        <f t="array" aca="1" ref="Y2688" ca="1">IFERROR(_xlfn.XLOOKUP(COMPROMISOS_2025[[#This Row],[concatenado]],PAA[[#All],[RCP-RUBRO]],PAA[[#All],[Actividad3]],VLOOKUP(COMPROMISOS_2025[[#This Row],[Indicador Principal]],$AC$2:$AD$17,2,0),0),"")</f>
        <v/>
      </c>
    </row>
    <row r="2689" spans="1:25" hidden="1" x14ac:dyDescent="0.25">
      <c r="A2689">
        <v>2255</v>
      </c>
      <c r="B2689" t="s">
        <v>2491</v>
      </c>
      <c r="C2689" t="s">
        <v>1936</v>
      </c>
      <c r="D2689" t="s">
        <v>3575</v>
      </c>
      <c r="F2689">
        <v>405</v>
      </c>
      <c r="G2689">
        <v>65</v>
      </c>
      <c r="H2689" t="s">
        <v>662</v>
      </c>
      <c r="I2689" t="s">
        <v>2271</v>
      </c>
      <c r="J2689">
        <v>1423500</v>
      </c>
      <c r="K2689">
        <v>2025</v>
      </c>
      <c r="L2689">
        <v>1014176211</v>
      </c>
      <c r="M2689" t="s">
        <v>4000</v>
      </c>
      <c r="N2689" t="s">
        <v>1688</v>
      </c>
      <c r="O2689" t="s">
        <v>1686</v>
      </c>
      <c r="P2689">
        <v>0</v>
      </c>
      <c r="Q2689">
        <v>1423500</v>
      </c>
      <c r="R2689">
        <v>0</v>
      </c>
      <c r="S2689">
        <v>0</v>
      </c>
      <c r="T2689" t="str">
        <f t="shared" si="82"/>
        <v>22552.43.4302.85.0-205128.2.3.3.08.06.</v>
      </c>
      <c r="U2689" t="e" cm="1">
        <f t="array" aca="1" ref="U2689" ca="1">+IF(COMPROMISOS_2025[[#This Row],[P]]="20","41080111",_xlfn.XLOOKUP(COMPROMISOS_2025[[#This Row],[concatenado]],PAA[[#All],[RCP-RUBRO]],PAA[[#All],[INDICADOR]],"",0))</f>
        <v>#NAME?</v>
      </c>
      <c r="V2689" s="144" t="str">
        <f t="shared" si="83"/>
        <v>85</v>
      </c>
      <c r="W2689" s="136">
        <f>+COMPROMISOS_2025[[#This Row],[valor_total]]-COMPROMISOS_2025[[#This Row],[total_cancelado]]</f>
        <v>1423500</v>
      </c>
      <c r="X2689" s="136">
        <f>COMPROMISOS_2025[[#This Row],[total_ordenes]]</f>
        <v>1423500</v>
      </c>
      <c r="Y2689" t="str" cm="1">
        <f t="array" aca="1" ref="Y2689" ca="1">IFERROR(_xlfn.XLOOKUP(COMPROMISOS_2025[[#This Row],[concatenado]],PAA[[#All],[RCP-RUBRO]],PAA[[#All],[Actividad3]],VLOOKUP(COMPROMISOS_2025[[#This Row],[Indicador Principal]],$AC$2:$AD$17,2,0),0),"")</f>
        <v/>
      </c>
    </row>
    <row r="2690" spans="1:25" hidden="1" x14ac:dyDescent="0.25">
      <c r="A2690">
        <v>2260</v>
      </c>
      <c r="B2690" t="s">
        <v>2491</v>
      </c>
      <c r="C2690" t="s">
        <v>1936</v>
      </c>
      <c r="D2690" t="s">
        <v>3575</v>
      </c>
      <c r="F2690">
        <v>405</v>
      </c>
      <c r="G2690">
        <v>65</v>
      </c>
      <c r="H2690" t="s">
        <v>662</v>
      </c>
      <c r="I2690" t="s">
        <v>2271</v>
      </c>
      <c r="J2690">
        <v>711750</v>
      </c>
      <c r="K2690">
        <v>2025</v>
      </c>
      <c r="L2690">
        <v>1015071682</v>
      </c>
      <c r="M2690" t="s">
        <v>4279</v>
      </c>
      <c r="N2690" t="s">
        <v>1688</v>
      </c>
      <c r="O2690" t="s">
        <v>1686</v>
      </c>
      <c r="P2690">
        <v>0</v>
      </c>
      <c r="Q2690">
        <v>711750</v>
      </c>
      <c r="R2690">
        <v>0</v>
      </c>
      <c r="S2690">
        <v>0</v>
      </c>
      <c r="T2690" t="str">
        <f t="shared" ref="T2690:T2753" si="84">IF(A2690&gt;=0,CONCATENATE(A2690,H2690),"")</f>
        <v>22602.43.4302.85.0-205128.2.3.3.08.06.</v>
      </c>
      <c r="U2690" t="e" cm="1">
        <f t="array" aca="1" ref="U2690" ca="1">+IF(COMPROMISOS_2025[[#This Row],[P]]="20","41080111",_xlfn.XLOOKUP(COMPROMISOS_2025[[#This Row],[concatenado]],PAA[[#All],[RCP-RUBRO]],PAA[[#All],[INDICADOR]],"",0))</f>
        <v>#NAME?</v>
      </c>
      <c r="V2690" s="144" t="str">
        <f t="shared" ref="V2690:V2753" si="85">+MID(H2690,11,2)</f>
        <v>85</v>
      </c>
      <c r="W2690" s="136">
        <f>+COMPROMISOS_2025[[#This Row],[valor_total]]-COMPROMISOS_2025[[#This Row],[total_cancelado]]</f>
        <v>711750</v>
      </c>
      <c r="X2690" s="136">
        <f>COMPROMISOS_2025[[#This Row],[total_ordenes]]</f>
        <v>711750</v>
      </c>
      <c r="Y2690" t="str" cm="1">
        <f t="array" aca="1" ref="Y2690" ca="1">IFERROR(_xlfn.XLOOKUP(COMPROMISOS_2025[[#This Row],[concatenado]],PAA[[#All],[RCP-RUBRO]],PAA[[#All],[Actividad3]],VLOOKUP(COMPROMISOS_2025[[#This Row],[Indicador Principal]],$AC$2:$AD$17,2,0),0),"")</f>
        <v/>
      </c>
    </row>
    <row r="2691" spans="1:25" hidden="1" x14ac:dyDescent="0.25">
      <c r="A2691">
        <v>2264</v>
      </c>
      <c r="B2691" t="s">
        <v>2491</v>
      </c>
      <c r="C2691" t="s">
        <v>1936</v>
      </c>
      <c r="D2691" t="s">
        <v>3575</v>
      </c>
      <c r="F2691">
        <v>405</v>
      </c>
      <c r="G2691">
        <v>65</v>
      </c>
      <c r="H2691" t="s">
        <v>662</v>
      </c>
      <c r="I2691" t="s">
        <v>2271</v>
      </c>
      <c r="J2691">
        <v>1423500</v>
      </c>
      <c r="K2691">
        <v>2025</v>
      </c>
      <c r="L2691">
        <v>1015186711</v>
      </c>
      <c r="M2691" t="s">
        <v>4280</v>
      </c>
      <c r="N2691" t="s">
        <v>1688</v>
      </c>
      <c r="O2691" t="s">
        <v>1686</v>
      </c>
      <c r="P2691">
        <v>0</v>
      </c>
      <c r="Q2691">
        <v>1423500</v>
      </c>
      <c r="R2691">
        <v>0</v>
      </c>
      <c r="S2691">
        <v>0</v>
      </c>
      <c r="T2691" t="str">
        <f t="shared" si="84"/>
        <v>22642.43.4302.85.0-205128.2.3.3.08.06.</v>
      </c>
      <c r="U2691" t="e" cm="1">
        <f t="array" aca="1" ref="U2691" ca="1">+IF(COMPROMISOS_2025[[#This Row],[P]]="20","41080111",_xlfn.XLOOKUP(COMPROMISOS_2025[[#This Row],[concatenado]],PAA[[#All],[RCP-RUBRO]],PAA[[#All],[INDICADOR]],"",0))</f>
        <v>#NAME?</v>
      </c>
      <c r="V2691" s="144" t="str">
        <f t="shared" si="85"/>
        <v>85</v>
      </c>
      <c r="W2691" s="136">
        <f>+COMPROMISOS_2025[[#This Row],[valor_total]]-COMPROMISOS_2025[[#This Row],[total_cancelado]]</f>
        <v>1423500</v>
      </c>
      <c r="X2691" s="136">
        <f>COMPROMISOS_2025[[#This Row],[total_ordenes]]</f>
        <v>1423500</v>
      </c>
      <c r="Y2691" t="str" cm="1">
        <f t="array" aca="1" ref="Y2691" ca="1">IFERROR(_xlfn.XLOOKUP(COMPROMISOS_2025[[#This Row],[concatenado]],PAA[[#All],[RCP-RUBRO]],PAA[[#All],[Actividad3]],VLOOKUP(COMPROMISOS_2025[[#This Row],[Indicador Principal]],$AC$2:$AD$17,2,0),0),"")</f>
        <v/>
      </c>
    </row>
    <row r="2692" spans="1:25" hidden="1" x14ac:dyDescent="0.25">
      <c r="A2692">
        <v>2265</v>
      </c>
      <c r="B2692" t="s">
        <v>2491</v>
      </c>
      <c r="C2692" t="s">
        <v>1936</v>
      </c>
      <c r="D2692" t="s">
        <v>3575</v>
      </c>
      <c r="F2692">
        <v>405</v>
      </c>
      <c r="G2692">
        <v>65</v>
      </c>
      <c r="H2692" t="s">
        <v>662</v>
      </c>
      <c r="I2692" t="s">
        <v>2271</v>
      </c>
      <c r="J2692">
        <v>1423500</v>
      </c>
      <c r="K2692">
        <v>2025</v>
      </c>
      <c r="L2692">
        <v>1017147233</v>
      </c>
      <c r="M2692" t="s">
        <v>4281</v>
      </c>
      <c r="N2692" t="s">
        <v>1688</v>
      </c>
      <c r="O2692" t="s">
        <v>1686</v>
      </c>
      <c r="P2692">
        <v>0</v>
      </c>
      <c r="Q2692">
        <v>1423500</v>
      </c>
      <c r="R2692">
        <v>0</v>
      </c>
      <c r="S2692">
        <v>0</v>
      </c>
      <c r="T2692" t="str">
        <f t="shared" si="84"/>
        <v>22652.43.4302.85.0-205128.2.3.3.08.06.</v>
      </c>
      <c r="U2692" t="e" cm="1">
        <f t="array" aca="1" ref="U2692" ca="1">+IF(COMPROMISOS_2025[[#This Row],[P]]="20","41080111",_xlfn.XLOOKUP(COMPROMISOS_2025[[#This Row],[concatenado]],PAA[[#All],[RCP-RUBRO]],PAA[[#All],[INDICADOR]],"",0))</f>
        <v>#NAME?</v>
      </c>
      <c r="V2692" s="144" t="str">
        <f t="shared" si="85"/>
        <v>85</v>
      </c>
      <c r="W2692" s="136">
        <f>+COMPROMISOS_2025[[#This Row],[valor_total]]-COMPROMISOS_2025[[#This Row],[total_cancelado]]</f>
        <v>1423500</v>
      </c>
      <c r="X2692" s="136">
        <f>COMPROMISOS_2025[[#This Row],[total_ordenes]]</f>
        <v>1423500</v>
      </c>
      <c r="Y2692" t="str" cm="1">
        <f t="array" aca="1" ref="Y2692" ca="1">IFERROR(_xlfn.XLOOKUP(COMPROMISOS_2025[[#This Row],[concatenado]],PAA[[#All],[RCP-RUBRO]],PAA[[#All],[Actividad3]],VLOOKUP(COMPROMISOS_2025[[#This Row],[Indicador Principal]],$AC$2:$AD$17,2,0),0),"")</f>
        <v/>
      </c>
    </row>
    <row r="2693" spans="1:25" hidden="1" x14ac:dyDescent="0.25">
      <c r="A2693">
        <v>2266</v>
      </c>
      <c r="B2693" t="s">
        <v>2491</v>
      </c>
      <c r="C2693" t="s">
        <v>1936</v>
      </c>
      <c r="D2693" t="s">
        <v>3575</v>
      </c>
      <c r="F2693">
        <v>405</v>
      </c>
      <c r="G2693">
        <v>65</v>
      </c>
      <c r="H2693" t="s">
        <v>662</v>
      </c>
      <c r="I2693" t="s">
        <v>2271</v>
      </c>
      <c r="J2693">
        <v>1423500</v>
      </c>
      <c r="K2693">
        <v>2025</v>
      </c>
      <c r="L2693">
        <v>1017156382</v>
      </c>
      <c r="M2693" t="s">
        <v>4002</v>
      </c>
      <c r="N2693" t="s">
        <v>1688</v>
      </c>
      <c r="O2693" t="s">
        <v>1686</v>
      </c>
      <c r="P2693">
        <v>0</v>
      </c>
      <c r="Q2693">
        <v>1423500</v>
      </c>
      <c r="R2693">
        <v>0</v>
      </c>
      <c r="S2693">
        <v>0</v>
      </c>
      <c r="T2693" t="str">
        <f t="shared" si="84"/>
        <v>22662.43.4302.85.0-205128.2.3.3.08.06.</v>
      </c>
      <c r="U2693" t="e" cm="1">
        <f t="array" aca="1" ref="U2693" ca="1">+IF(COMPROMISOS_2025[[#This Row],[P]]="20","41080111",_xlfn.XLOOKUP(COMPROMISOS_2025[[#This Row],[concatenado]],PAA[[#All],[RCP-RUBRO]],PAA[[#All],[INDICADOR]],"",0))</f>
        <v>#NAME?</v>
      </c>
      <c r="V2693" s="144" t="str">
        <f t="shared" si="85"/>
        <v>85</v>
      </c>
      <c r="W2693" s="136">
        <f>+COMPROMISOS_2025[[#This Row],[valor_total]]-COMPROMISOS_2025[[#This Row],[total_cancelado]]</f>
        <v>1423500</v>
      </c>
      <c r="X2693" s="136">
        <f>COMPROMISOS_2025[[#This Row],[total_ordenes]]</f>
        <v>1423500</v>
      </c>
      <c r="Y2693" t="str" cm="1">
        <f t="array" aca="1" ref="Y2693" ca="1">IFERROR(_xlfn.XLOOKUP(COMPROMISOS_2025[[#This Row],[concatenado]],PAA[[#All],[RCP-RUBRO]],PAA[[#All],[Actividad3]],VLOOKUP(COMPROMISOS_2025[[#This Row],[Indicador Principal]],$AC$2:$AD$17,2,0),0),"")</f>
        <v/>
      </c>
    </row>
    <row r="2694" spans="1:25" hidden="1" x14ac:dyDescent="0.25">
      <c r="A2694">
        <v>2267</v>
      </c>
      <c r="B2694" t="s">
        <v>2491</v>
      </c>
      <c r="C2694" t="s">
        <v>1936</v>
      </c>
      <c r="D2694" t="s">
        <v>3575</v>
      </c>
      <c r="F2694">
        <v>405</v>
      </c>
      <c r="G2694">
        <v>65</v>
      </c>
      <c r="H2694" t="s">
        <v>662</v>
      </c>
      <c r="I2694" t="s">
        <v>2271</v>
      </c>
      <c r="J2694">
        <v>711750</v>
      </c>
      <c r="K2694">
        <v>2025</v>
      </c>
      <c r="L2694">
        <v>1017166609</v>
      </c>
      <c r="M2694" t="s">
        <v>4282</v>
      </c>
      <c r="N2694" t="s">
        <v>1688</v>
      </c>
      <c r="O2694" t="s">
        <v>1686</v>
      </c>
      <c r="P2694">
        <v>0</v>
      </c>
      <c r="Q2694">
        <v>711750</v>
      </c>
      <c r="R2694">
        <v>0</v>
      </c>
      <c r="S2694">
        <v>0</v>
      </c>
      <c r="T2694" t="str">
        <f t="shared" si="84"/>
        <v>22672.43.4302.85.0-205128.2.3.3.08.06.</v>
      </c>
      <c r="U2694" t="e" cm="1">
        <f t="array" aca="1" ref="U2694" ca="1">+IF(COMPROMISOS_2025[[#This Row],[P]]="20","41080111",_xlfn.XLOOKUP(COMPROMISOS_2025[[#This Row],[concatenado]],PAA[[#All],[RCP-RUBRO]],PAA[[#All],[INDICADOR]],"",0))</f>
        <v>#NAME?</v>
      </c>
      <c r="V2694" s="144" t="str">
        <f t="shared" si="85"/>
        <v>85</v>
      </c>
      <c r="W2694" s="136">
        <f>+COMPROMISOS_2025[[#This Row],[valor_total]]-COMPROMISOS_2025[[#This Row],[total_cancelado]]</f>
        <v>711750</v>
      </c>
      <c r="X2694" s="136">
        <f>COMPROMISOS_2025[[#This Row],[total_ordenes]]</f>
        <v>711750</v>
      </c>
      <c r="Y2694" t="str" cm="1">
        <f t="array" aca="1" ref="Y2694" ca="1">IFERROR(_xlfn.XLOOKUP(COMPROMISOS_2025[[#This Row],[concatenado]],PAA[[#All],[RCP-RUBRO]],PAA[[#All],[Actividad3]],VLOOKUP(COMPROMISOS_2025[[#This Row],[Indicador Principal]],$AC$2:$AD$17,2,0),0),"")</f>
        <v/>
      </c>
    </row>
    <row r="2695" spans="1:25" hidden="1" x14ac:dyDescent="0.25">
      <c r="A2695">
        <v>2268</v>
      </c>
      <c r="B2695" t="s">
        <v>2491</v>
      </c>
      <c r="C2695" t="s">
        <v>1936</v>
      </c>
      <c r="D2695" t="s">
        <v>3575</v>
      </c>
      <c r="F2695">
        <v>405</v>
      </c>
      <c r="G2695">
        <v>65</v>
      </c>
      <c r="H2695" t="s">
        <v>662</v>
      </c>
      <c r="I2695" t="s">
        <v>2271</v>
      </c>
      <c r="J2695">
        <v>1067625</v>
      </c>
      <c r="K2695">
        <v>2025</v>
      </c>
      <c r="L2695">
        <v>1017172176</v>
      </c>
      <c r="M2695" t="s">
        <v>4283</v>
      </c>
      <c r="N2695" t="s">
        <v>1688</v>
      </c>
      <c r="O2695" t="s">
        <v>1686</v>
      </c>
      <c r="P2695">
        <v>0</v>
      </c>
      <c r="Q2695">
        <v>1067625</v>
      </c>
      <c r="R2695">
        <v>0</v>
      </c>
      <c r="S2695">
        <v>0</v>
      </c>
      <c r="T2695" t="str">
        <f t="shared" si="84"/>
        <v>22682.43.4302.85.0-205128.2.3.3.08.06.</v>
      </c>
      <c r="U2695" t="e" cm="1">
        <f t="array" aca="1" ref="U2695" ca="1">+IF(COMPROMISOS_2025[[#This Row],[P]]="20","41080111",_xlfn.XLOOKUP(COMPROMISOS_2025[[#This Row],[concatenado]],PAA[[#All],[RCP-RUBRO]],PAA[[#All],[INDICADOR]],"",0))</f>
        <v>#NAME?</v>
      </c>
      <c r="V2695" s="144" t="str">
        <f t="shared" si="85"/>
        <v>85</v>
      </c>
      <c r="W2695" s="136">
        <f>+COMPROMISOS_2025[[#This Row],[valor_total]]-COMPROMISOS_2025[[#This Row],[total_cancelado]]</f>
        <v>1067625</v>
      </c>
      <c r="X2695" s="136">
        <f>COMPROMISOS_2025[[#This Row],[total_ordenes]]</f>
        <v>1067625</v>
      </c>
      <c r="Y2695" t="str" cm="1">
        <f t="array" aca="1" ref="Y2695" ca="1">IFERROR(_xlfn.XLOOKUP(COMPROMISOS_2025[[#This Row],[concatenado]],PAA[[#All],[RCP-RUBRO]],PAA[[#All],[Actividad3]],VLOOKUP(COMPROMISOS_2025[[#This Row],[Indicador Principal]],$AC$2:$AD$17,2,0),0),"")</f>
        <v/>
      </c>
    </row>
    <row r="2696" spans="1:25" hidden="1" x14ac:dyDescent="0.25">
      <c r="A2696">
        <v>2270</v>
      </c>
      <c r="B2696" t="s">
        <v>2491</v>
      </c>
      <c r="C2696" t="s">
        <v>1936</v>
      </c>
      <c r="D2696" t="s">
        <v>3575</v>
      </c>
      <c r="F2696">
        <v>405</v>
      </c>
      <c r="G2696">
        <v>65</v>
      </c>
      <c r="H2696" t="s">
        <v>662</v>
      </c>
      <c r="I2696" t="s">
        <v>2271</v>
      </c>
      <c r="J2696">
        <v>1423500</v>
      </c>
      <c r="K2696">
        <v>2025</v>
      </c>
      <c r="L2696">
        <v>1017190005</v>
      </c>
      <c r="M2696" t="s">
        <v>4284</v>
      </c>
      <c r="N2696" t="s">
        <v>1688</v>
      </c>
      <c r="O2696" t="s">
        <v>1686</v>
      </c>
      <c r="P2696">
        <v>0</v>
      </c>
      <c r="Q2696">
        <v>1423500</v>
      </c>
      <c r="R2696">
        <v>0</v>
      </c>
      <c r="S2696">
        <v>0</v>
      </c>
      <c r="T2696" t="str">
        <f t="shared" si="84"/>
        <v>22702.43.4302.85.0-205128.2.3.3.08.06.</v>
      </c>
      <c r="U2696" t="e" cm="1">
        <f t="array" aca="1" ref="U2696" ca="1">+IF(COMPROMISOS_2025[[#This Row],[P]]="20","41080111",_xlfn.XLOOKUP(COMPROMISOS_2025[[#This Row],[concatenado]],PAA[[#All],[RCP-RUBRO]],PAA[[#All],[INDICADOR]],"",0))</f>
        <v>#NAME?</v>
      </c>
      <c r="V2696" s="144" t="str">
        <f t="shared" si="85"/>
        <v>85</v>
      </c>
      <c r="W2696" s="136">
        <f>+COMPROMISOS_2025[[#This Row],[valor_total]]-COMPROMISOS_2025[[#This Row],[total_cancelado]]</f>
        <v>1423500</v>
      </c>
      <c r="X2696" s="136">
        <f>COMPROMISOS_2025[[#This Row],[total_ordenes]]</f>
        <v>1423500</v>
      </c>
      <c r="Y2696" t="str" cm="1">
        <f t="array" aca="1" ref="Y2696" ca="1">IFERROR(_xlfn.XLOOKUP(COMPROMISOS_2025[[#This Row],[concatenado]],PAA[[#All],[RCP-RUBRO]],PAA[[#All],[Actividad3]],VLOOKUP(COMPROMISOS_2025[[#This Row],[Indicador Principal]],$AC$2:$AD$17,2,0),0),"")</f>
        <v/>
      </c>
    </row>
    <row r="2697" spans="1:25" hidden="1" x14ac:dyDescent="0.25">
      <c r="A2697">
        <v>2271</v>
      </c>
      <c r="B2697" t="s">
        <v>2491</v>
      </c>
      <c r="C2697" t="s">
        <v>1936</v>
      </c>
      <c r="D2697" t="s">
        <v>3575</v>
      </c>
      <c r="F2697">
        <v>405</v>
      </c>
      <c r="G2697">
        <v>65</v>
      </c>
      <c r="H2697" t="s">
        <v>662</v>
      </c>
      <c r="I2697" t="s">
        <v>2271</v>
      </c>
      <c r="J2697">
        <v>1423500</v>
      </c>
      <c r="K2697">
        <v>2025</v>
      </c>
      <c r="L2697">
        <v>1017192877</v>
      </c>
      <c r="M2697" t="s">
        <v>4285</v>
      </c>
      <c r="N2697" t="s">
        <v>1688</v>
      </c>
      <c r="O2697" t="s">
        <v>1686</v>
      </c>
      <c r="P2697">
        <v>0</v>
      </c>
      <c r="Q2697">
        <v>1423500</v>
      </c>
      <c r="R2697">
        <v>0</v>
      </c>
      <c r="S2697">
        <v>0</v>
      </c>
      <c r="T2697" t="str">
        <f t="shared" si="84"/>
        <v>22712.43.4302.85.0-205128.2.3.3.08.06.</v>
      </c>
      <c r="U2697" t="e" cm="1">
        <f t="array" aca="1" ref="U2697" ca="1">+IF(COMPROMISOS_2025[[#This Row],[P]]="20","41080111",_xlfn.XLOOKUP(COMPROMISOS_2025[[#This Row],[concatenado]],PAA[[#All],[RCP-RUBRO]],PAA[[#All],[INDICADOR]],"",0))</f>
        <v>#NAME?</v>
      </c>
      <c r="V2697" s="144" t="str">
        <f t="shared" si="85"/>
        <v>85</v>
      </c>
      <c r="W2697" s="136">
        <f>+COMPROMISOS_2025[[#This Row],[valor_total]]-COMPROMISOS_2025[[#This Row],[total_cancelado]]</f>
        <v>1423500</v>
      </c>
      <c r="X2697" s="136">
        <f>COMPROMISOS_2025[[#This Row],[total_ordenes]]</f>
        <v>1423500</v>
      </c>
      <c r="Y2697" t="str" cm="1">
        <f t="array" aca="1" ref="Y2697" ca="1">IFERROR(_xlfn.XLOOKUP(COMPROMISOS_2025[[#This Row],[concatenado]],PAA[[#All],[RCP-RUBRO]],PAA[[#All],[Actividad3]],VLOOKUP(COMPROMISOS_2025[[#This Row],[Indicador Principal]],$AC$2:$AD$17,2,0),0),"")</f>
        <v/>
      </c>
    </row>
    <row r="2698" spans="1:25" hidden="1" x14ac:dyDescent="0.25">
      <c r="A2698">
        <v>2272</v>
      </c>
      <c r="B2698" t="s">
        <v>2491</v>
      </c>
      <c r="C2698" t="s">
        <v>1936</v>
      </c>
      <c r="D2698" t="s">
        <v>3575</v>
      </c>
      <c r="F2698">
        <v>405</v>
      </c>
      <c r="G2698">
        <v>65</v>
      </c>
      <c r="H2698" t="s">
        <v>662</v>
      </c>
      <c r="I2698" t="s">
        <v>2271</v>
      </c>
      <c r="J2698">
        <v>711750</v>
      </c>
      <c r="K2698">
        <v>2025</v>
      </c>
      <c r="L2698">
        <v>1017206217</v>
      </c>
      <c r="M2698" t="s">
        <v>4286</v>
      </c>
      <c r="N2698" t="s">
        <v>1688</v>
      </c>
      <c r="O2698" t="s">
        <v>1686</v>
      </c>
      <c r="P2698">
        <v>0</v>
      </c>
      <c r="Q2698">
        <v>711750</v>
      </c>
      <c r="R2698">
        <v>0</v>
      </c>
      <c r="S2698">
        <v>0</v>
      </c>
      <c r="T2698" t="str">
        <f t="shared" si="84"/>
        <v>22722.43.4302.85.0-205128.2.3.3.08.06.</v>
      </c>
      <c r="U2698" t="e" cm="1">
        <f t="array" aca="1" ref="U2698" ca="1">+IF(COMPROMISOS_2025[[#This Row],[P]]="20","41080111",_xlfn.XLOOKUP(COMPROMISOS_2025[[#This Row],[concatenado]],PAA[[#All],[RCP-RUBRO]],PAA[[#All],[INDICADOR]],"",0))</f>
        <v>#NAME?</v>
      </c>
      <c r="V2698" s="144" t="str">
        <f t="shared" si="85"/>
        <v>85</v>
      </c>
      <c r="W2698" s="136">
        <f>+COMPROMISOS_2025[[#This Row],[valor_total]]-COMPROMISOS_2025[[#This Row],[total_cancelado]]</f>
        <v>711750</v>
      </c>
      <c r="X2698" s="136">
        <f>COMPROMISOS_2025[[#This Row],[total_ordenes]]</f>
        <v>711750</v>
      </c>
      <c r="Y2698" t="str" cm="1">
        <f t="array" aca="1" ref="Y2698" ca="1">IFERROR(_xlfn.XLOOKUP(COMPROMISOS_2025[[#This Row],[concatenado]],PAA[[#All],[RCP-RUBRO]],PAA[[#All],[Actividad3]],VLOOKUP(COMPROMISOS_2025[[#This Row],[Indicador Principal]],$AC$2:$AD$17,2,0),0),"")</f>
        <v/>
      </c>
    </row>
    <row r="2699" spans="1:25" hidden="1" x14ac:dyDescent="0.25">
      <c r="A2699">
        <v>2273</v>
      </c>
      <c r="B2699" t="s">
        <v>2491</v>
      </c>
      <c r="C2699" t="s">
        <v>1936</v>
      </c>
      <c r="D2699" t="s">
        <v>3575</v>
      </c>
      <c r="F2699">
        <v>405</v>
      </c>
      <c r="G2699">
        <v>65</v>
      </c>
      <c r="H2699" t="s">
        <v>662</v>
      </c>
      <c r="I2699" t="s">
        <v>2271</v>
      </c>
      <c r="J2699">
        <v>711750</v>
      </c>
      <c r="K2699">
        <v>2025</v>
      </c>
      <c r="L2699">
        <v>1017207708</v>
      </c>
      <c r="M2699" t="s">
        <v>4287</v>
      </c>
      <c r="N2699" t="s">
        <v>1688</v>
      </c>
      <c r="O2699" t="s">
        <v>1686</v>
      </c>
      <c r="P2699">
        <v>0</v>
      </c>
      <c r="Q2699">
        <v>711750</v>
      </c>
      <c r="R2699">
        <v>0</v>
      </c>
      <c r="S2699">
        <v>0</v>
      </c>
      <c r="T2699" t="str">
        <f t="shared" si="84"/>
        <v>22732.43.4302.85.0-205128.2.3.3.08.06.</v>
      </c>
      <c r="U2699" t="e" cm="1">
        <f t="array" aca="1" ref="U2699" ca="1">+IF(COMPROMISOS_2025[[#This Row],[P]]="20","41080111",_xlfn.XLOOKUP(COMPROMISOS_2025[[#This Row],[concatenado]],PAA[[#All],[RCP-RUBRO]],PAA[[#All],[INDICADOR]],"",0))</f>
        <v>#NAME?</v>
      </c>
      <c r="V2699" s="144" t="str">
        <f t="shared" si="85"/>
        <v>85</v>
      </c>
      <c r="W2699" s="136">
        <f>+COMPROMISOS_2025[[#This Row],[valor_total]]-COMPROMISOS_2025[[#This Row],[total_cancelado]]</f>
        <v>711750</v>
      </c>
      <c r="X2699" s="136">
        <f>COMPROMISOS_2025[[#This Row],[total_ordenes]]</f>
        <v>711750</v>
      </c>
      <c r="Y2699" t="str" cm="1">
        <f t="array" aca="1" ref="Y2699" ca="1">IFERROR(_xlfn.XLOOKUP(COMPROMISOS_2025[[#This Row],[concatenado]],PAA[[#All],[RCP-RUBRO]],PAA[[#All],[Actividad3]],VLOOKUP(COMPROMISOS_2025[[#This Row],[Indicador Principal]],$AC$2:$AD$17,2,0),0),"")</f>
        <v/>
      </c>
    </row>
    <row r="2700" spans="1:25" hidden="1" x14ac:dyDescent="0.25">
      <c r="A2700">
        <v>2276</v>
      </c>
      <c r="B2700" t="s">
        <v>2491</v>
      </c>
      <c r="C2700" t="s">
        <v>1936</v>
      </c>
      <c r="D2700" t="s">
        <v>3575</v>
      </c>
      <c r="F2700">
        <v>405</v>
      </c>
      <c r="G2700">
        <v>65</v>
      </c>
      <c r="H2700" t="s">
        <v>662</v>
      </c>
      <c r="I2700" t="s">
        <v>2271</v>
      </c>
      <c r="J2700">
        <v>2847000</v>
      </c>
      <c r="K2700">
        <v>2025</v>
      </c>
      <c r="L2700">
        <v>1017224075</v>
      </c>
      <c r="M2700" t="s">
        <v>4288</v>
      </c>
      <c r="N2700" t="s">
        <v>1688</v>
      </c>
      <c r="O2700" t="s">
        <v>1686</v>
      </c>
      <c r="P2700">
        <v>0</v>
      </c>
      <c r="Q2700">
        <v>2847000</v>
      </c>
      <c r="R2700">
        <v>0</v>
      </c>
      <c r="S2700">
        <v>0</v>
      </c>
      <c r="T2700" t="str">
        <f t="shared" si="84"/>
        <v>22762.43.4302.85.0-205128.2.3.3.08.06.</v>
      </c>
      <c r="U2700" t="e" cm="1">
        <f t="array" aca="1" ref="U2700" ca="1">+IF(COMPROMISOS_2025[[#This Row],[P]]="20","41080111",_xlfn.XLOOKUP(COMPROMISOS_2025[[#This Row],[concatenado]],PAA[[#All],[RCP-RUBRO]],PAA[[#All],[INDICADOR]],"",0))</f>
        <v>#NAME?</v>
      </c>
      <c r="V2700" s="144" t="str">
        <f t="shared" si="85"/>
        <v>85</v>
      </c>
      <c r="W2700" s="136">
        <f>+COMPROMISOS_2025[[#This Row],[valor_total]]-COMPROMISOS_2025[[#This Row],[total_cancelado]]</f>
        <v>2847000</v>
      </c>
      <c r="X2700" s="136">
        <f>COMPROMISOS_2025[[#This Row],[total_ordenes]]</f>
        <v>2847000</v>
      </c>
      <c r="Y2700" t="str" cm="1">
        <f t="array" aca="1" ref="Y2700" ca="1">IFERROR(_xlfn.XLOOKUP(COMPROMISOS_2025[[#This Row],[concatenado]],PAA[[#All],[RCP-RUBRO]],PAA[[#All],[Actividad3]],VLOOKUP(COMPROMISOS_2025[[#This Row],[Indicador Principal]],$AC$2:$AD$17,2,0),0),"")</f>
        <v/>
      </c>
    </row>
    <row r="2701" spans="1:25" hidden="1" x14ac:dyDescent="0.25">
      <c r="A2701">
        <v>2278</v>
      </c>
      <c r="B2701" t="s">
        <v>2491</v>
      </c>
      <c r="C2701" t="s">
        <v>1936</v>
      </c>
      <c r="D2701" t="s">
        <v>3575</v>
      </c>
      <c r="F2701">
        <v>405</v>
      </c>
      <c r="G2701">
        <v>65</v>
      </c>
      <c r="H2701" t="s">
        <v>662</v>
      </c>
      <c r="I2701" t="s">
        <v>2271</v>
      </c>
      <c r="J2701">
        <v>711750</v>
      </c>
      <c r="K2701">
        <v>2025</v>
      </c>
      <c r="L2701">
        <v>10172313363</v>
      </c>
      <c r="M2701" t="s">
        <v>4289</v>
      </c>
      <c r="N2701" t="s">
        <v>1688</v>
      </c>
      <c r="O2701" t="s">
        <v>1686</v>
      </c>
      <c r="P2701">
        <v>0</v>
      </c>
      <c r="Q2701">
        <v>711750</v>
      </c>
      <c r="R2701">
        <v>0</v>
      </c>
      <c r="S2701">
        <v>0</v>
      </c>
      <c r="T2701" t="str">
        <f t="shared" si="84"/>
        <v>22782.43.4302.85.0-205128.2.3.3.08.06.</v>
      </c>
      <c r="U2701" t="e" cm="1">
        <f t="array" aca="1" ref="U2701" ca="1">+IF(COMPROMISOS_2025[[#This Row],[P]]="20","41080111",_xlfn.XLOOKUP(COMPROMISOS_2025[[#This Row],[concatenado]],PAA[[#All],[RCP-RUBRO]],PAA[[#All],[INDICADOR]],"",0))</f>
        <v>#NAME?</v>
      </c>
      <c r="V2701" s="144" t="str">
        <f t="shared" si="85"/>
        <v>85</v>
      </c>
      <c r="W2701" s="136">
        <f>+COMPROMISOS_2025[[#This Row],[valor_total]]-COMPROMISOS_2025[[#This Row],[total_cancelado]]</f>
        <v>711750</v>
      </c>
      <c r="X2701" s="136">
        <f>COMPROMISOS_2025[[#This Row],[total_ordenes]]</f>
        <v>711750</v>
      </c>
      <c r="Y2701" t="str" cm="1">
        <f t="array" aca="1" ref="Y2701" ca="1">IFERROR(_xlfn.XLOOKUP(COMPROMISOS_2025[[#This Row],[concatenado]],PAA[[#All],[RCP-RUBRO]],PAA[[#All],[Actividad3]],VLOOKUP(COMPROMISOS_2025[[#This Row],[Indicador Principal]],$AC$2:$AD$17,2,0),0),"")</f>
        <v/>
      </c>
    </row>
    <row r="2702" spans="1:25" hidden="1" x14ac:dyDescent="0.25">
      <c r="A2702">
        <v>2279</v>
      </c>
      <c r="B2702" t="s">
        <v>2491</v>
      </c>
      <c r="C2702" t="s">
        <v>1936</v>
      </c>
      <c r="D2702" t="s">
        <v>3575</v>
      </c>
      <c r="F2702">
        <v>405</v>
      </c>
      <c r="G2702">
        <v>65</v>
      </c>
      <c r="H2702" t="s">
        <v>662</v>
      </c>
      <c r="I2702" t="s">
        <v>2271</v>
      </c>
      <c r="J2702">
        <v>711750</v>
      </c>
      <c r="K2702">
        <v>2025</v>
      </c>
      <c r="L2702">
        <v>1017234088</v>
      </c>
      <c r="M2702" t="s">
        <v>4006</v>
      </c>
      <c r="N2702" t="s">
        <v>1688</v>
      </c>
      <c r="O2702" t="s">
        <v>1686</v>
      </c>
      <c r="P2702">
        <v>0</v>
      </c>
      <c r="Q2702">
        <v>711750</v>
      </c>
      <c r="R2702">
        <v>0</v>
      </c>
      <c r="S2702">
        <v>0</v>
      </c>
      <c r="T2702" t="str">
        <f t="shared" si="84"/>
        <v>22792.43.4302.85.0-205128.2.3.3.08.06.</v>
      </c>
      <c r="U2702" t="e" cm="1">
        <f t="array" aca="1" ref="U2702" ca="1">+IF(COMPROMISOS_2025[[#This Row],[P]]="20","41080111",_xlfn.XLOOKUP(COMPROMISOS_2025[[#This Row],[concatenado]],PAA[[#All],[RCP-RUBRO]],PAA[[#All],[INDICADOR]],"",0))</f>
        <v>#NAME?</v>
      </c>
      <c r="V2702" s="144" t="str">
        <f t="shared" si="85"/>
        <v>85</v>
      </c>
      <c r="W2702" s="136">
        <f>+COMPROMISOS_2025[[#This Row],[valor_total]]-COMPROMISOS_2025[[#This Row],[total_cancelado]]</f>
        <v>711750</v>
      </c>
      <c r="X2702" s="136">
        <f>COMPROMISOS_2025[[#This Row],[total_ordenes]]</f>
        <v>711750</v>
      </c>
      <c r="Y2702" t="str" cm="1">
        <f t="array" aca="1" ref="Y2702" ca="1">IFERROR(_xlfn.XLOOKUP(COMPROMISOS_2025[[#This Row],[concatenado]],PAA[[#All],[RCP-RUBRO]],PAA[[#All],[Actividad3]],VLOOKUP(COMPROMISOS_2025[[#This Row],[Indicador Principal]],$AC$2:$AD$17,2,0),0),"")</f>
        <v/>
      </c>
    </row>
    <row r="2703" spans="1:25" hidden="1" x14ac:dyDescent="0.25">
      <c r="A2703">
        <v>2281</v>
      </c>
      <c r="B2703" t="s">
        <v>2491</v>
      </c>
      <c r="C2703" t="s">
        <v>1936</v>
      </c>
      <c r="D2703" t="s">
        <v>3575</v>
      </c>
      <c r="F2703">
        <v>405</v>
      </c>
      <c r="G2703">
        <v>65</v>
      </c>
      <c r="H2703" t="s">
        <v>662</v>
      </c>
      <c r="I2703" t="s">
        <v>2271</v>
      </c>
      <c r="J2703">
        <v>711750</v>
      </c>
      <c r="K2703">
        <v>2025</v>
      </c>
      <c r="L2703">
        <v>1017240227</v>
      </c>
      <c r="M2703" t="s">
        <v>4290</v>
      </c>
      <c r="N2703" t="s">
        <v>1688</v>
      </c>
      <c r="O2703" t="s">
        <v>1686</v>
      </c>
      <c r="P2703">
        <v>0</v>
      </c>
      <c r="Q2703">
        <v>711750</v>
      </c>
      <c r="R2703">
        <v>0</v>
      </c>
      <c r="S2703">
        <v>0</v>
      </c>
      <c r="T2703" t="str">
        <f t="shared" si="84"/>
        <v>22812.43.4302.85.0-205128.2.3.3.08.06.</v>
      </c>
      <c r="U2703" t="e" cm="1">
        <f t="array" aca="1" ref="U2703" ca="1">+IF(COMPROMISOS_2025[[#This Row],[P]]="20","41080111",_xlfn.XLOOKUP(COMPROMISOS_2025[[#This Row],[concatenado]],PAA[[#All],[RCP-RUBRO]],PAA[[#All],[INDICADOR]],"",0))</f>
        <v>#NAME?</v>
      </c>
      <c r="V2703" s="144" t="str">
        <f t="shared" si="85"/>
        <v>85</v>
      </c>
      <c r="W2703" s="136">
        <f>+COMPROMISOS_2025[[#This Row],[valor_total]]-COMPROMISOS_2025[[#This Row],[total_cancelado]]</f>
        <v>711750</v>
      </c>
      <c r="X2703" s="136">
        <f>COMPROMISOS_2025[[#This Row],[total_ordenes]]</f>
        <v>711750</v>
      </c>
      <c r="Y2703" t="str" cm="1">
        <f t="array" aca="1" ref="Y2703" ca="1">IFERROR(_xlfn.XLOOKUP(COMPROMISOS_2025[[#This Row],[concatenado]],PAA[[#All],[RCP-RUBRO]],PAA[[#All],[Actividad3]],VLOOKUP(COMPROMISOS_2025[[#This Row],[Indicador Principal]],$AC$2:$AD$17,2,0),0),"")</f>
        <v/>
      </c>
    </row>
    <row r="2704" spans="1:25" hidden="1" x14ac:dyDescent="0.25">
      <c r="A2704">
        <v>2282</v>
      </c>
      <c r="B2704" t="s">
        <v>2491</v>
      </c>
      <c r="C2704" t="s">
        <v>1936</v>
      </c>
      <c r="D2704" t="s">
        <v>3575</v>
      </c>
      <c r="F2704">
        <v>405</v>
      </c>
      <c r="G2704">
        <v>65</v>
      </c>
      <c r="H2704" t="s">
        <v>662</v>
      </c>
      <c r="I2704" t="s">
        <v>2271</v>
      </c>
      <c r="J2704">
        <v>1067625</v>
      </c>
      <c r="K2704">
        <v>2025</v>
      </c>
      <c r="L2704">
        <v>1017243459</v>
      </c>
      <c r="M2704" t="s">
        <v>3642</v>
      </c>
      <c r="N2704" t="s">
        <v>1688</v>
      </c>
      <c r="O2704" t="s">
        <v>1686</v>
      </c>
      <c r="P2704">
        <v>0</v>
      </c>
      <c r="Q2704">
        <v>1067625</v>
      </c>
      <c r="R2704">
        <v>0</v>
      </c>
      <c r="S2704">
        <v>0</v>
      </c>
      <c r="T2704" t="str">
        <f t="shared" si="84"/>
        <v>22822.43.4302.85.0-205128.2.3.3.08.06.</v>
      </c>
      <c r="U2704" t="e" cm="1">
        <f t="array" aca="1" ref="U2704" ca="1">+IF(COMPROMISOS_2025[[#This Row],[P]]="20","41080111",_xlfn.XLOOKUP(COMPROMISOS_2025[[#This Row],[concatenado]],PAA[[#All],[RCP-RUBRO]],PAA[[#All],[INDICADOR]],"",0))</f>
        <v>#NAME?</v>
      </c>
      <c r="V2704" s="144" t="str">
        <f t="shared" si="85"/>
        <v>85</v>
      </c>
      <c r="W2704" s="136">
        <f>+COMPROMISOS_2025[[#This Row],[valor_total]]-COMPROMISOS_2025[[#This Row],[total_cancelado]]</f>
        <v>1067625</v>
      </c>
      <c r="X2704" s="136">
        <f>COMPROMISOS_2025[[#This Row],[total_ordenes]]</f>
        <v>1067625</v>
      </c>
      <c r="Y2704" t="str" cm="1">
        <f t="array" aca="1" ref="Y2704" ca="1">IFERROR(_xlfn.XLOOKUP(COMPROMISOS_2025[[#This Row],[concatenado]],PAA[[#All],[RCP-RUBRO]],PAA[[#All],[Actividad3]],VLOOKUP(COMPROMISOS_2025[[#This Row],[Indicador Principal]],$AC$2:$AD$17,2,0),0),"")</f>
        <v/>
      </c>
    </row>
    <row r="2705" spans="1:25" hidden="1" x14ac:dyDescent="0.25">
      <c r="A2705">
        <v>2283</v>
      </c>
      <c r="B2705" t="s">
        <v>2491</v>
      </c>
      <c r="C2705" t="s">
        <v>1936</v>
      </c>
      <c r="D2705" t="s">
        <v>3575</v>
      </c>
      <c r="F2705">
        <v>405</v>
      </c>
      <c r="G2705">
        <v>65</v>
      </c>
      <c r="H2705" t="s">
        <v>662</v>
      </c>
      <c r="I2705" t="s">
        <v>2271</v>
      </c>
      <c r="J2705">
        <v>711750</v>
      </c>
      <c r="K2705">
        <v>2025</v>
      </c>
      <c r="L2705">
        <v>1017244454</v>
      </c>
      <c r="M2705" t="s">
        <v>4291</v>
      </c>
      <c r="N2705" t="s">
        <v>1688</v>
      </c>
      <c r="O2705" t="s">
        <v>1686</v>
      </c>
      <c r="P2705">
        <v>0</v>
      </c>
      <c r="Q2705">
        <v>711750</v>
      </c>
      <c r="R2705">
        <v>0</v>
      </c>
      <c r="S2705">
        <v>0</v>
      </c>
      <c r="T2705" t="str">
        <f t="shared" si="84"/>
        <v>22832.43.4302.85.0-205128.2.3.3.08.06.</v>
      </c>
      <c r="U2705" t="e" cm="1">
        <f t="array" aca="1" ref="U2705" ca="1">+IF(COMPROMISOS_2025[[#This Row],[P]]="20","41080111",_xlfn.XLOOKUP(COMPROMISOS_2025[[#This Row],[concatenado]],PAA[[#All],[RCP-RUBRO]],PAA[[#All],[INDICADOR]],"",0))</f>
        <v>#NAME?</v>
      </c>
      <c r="V2705" s="144" t="str">
        <f t="shared" si="85"/>
        <v>85</v>
      </c>
      <c r="W2705" s="136">
        <f>+COMPROMISOS_2025[[#This Row],[valor_total]]-COMPROMISOS_2025[[#This Row],[total_cancelado]]</f>
        <v>711750</v>
      </c>
      <c r="X2705" s="136">
        <f>COMPROMISOS_2025[[#This Row],[total_ordenes]]</f>
        <v>711750</v>
      </c>
      <c r="Y2705" t="str" cm="1">
        <f t="array" aca="1" ref="Y2705" ca="1">IFERROR(_xlfn.XLOOKUP(COMPROMISOS_2025[[#This Row],[concatenado]],PAA[[#All],[RCP-RUBRO]],PAA[[#All],[Actividad3]],VLOOKUP(COMPROMISOS_2025[[#This Row],[Indicador Principal]],$AC$2:$AD$17,2,0),0),"")</f>
        <v/>
      </c>
    </row>
    <row r="2706" spans="1:25" hidden="1" x14ac:dyDescent="0.25">
      <c r="A2706">
        <v>2284</v>
      </c>
      <c r="B2706" t="s">
        <v>2491</v>
      </c>
      <c r="C2706" t="s">
        <v>1936</v>
      </c>
      <c r="D2706" t="s">
        <v>3575</v>
      </c>
      <c r="F2706">
        <v>405</v>
      </c>
      <c r="G2706">
        <v>65</v>
      </c>
      <c r="H2706" t="s">
        <v>662</v>
      </c>
      <c r="I2706" t="s">
        <v>2271</v>
      </c>
      <c r="J2706">
        <v>6405750</v>
      </c>
      <c r="K2706">
        <v>2025</v>
      </c>
      <c r="L2706">
        <v>1017246669</v>
      </c>
      <c r="M2706" t="s">
        <v>4292</v>
      </c>
      <c r="N2706" t="s">
        <v>1688</v>
      </c>
      <c r="O2706" t="s">
        <v>1686</v>
      </c>
      <c r="P2706">
        <v>0</v>
      </c>
      <c r="Q2706">
        <v>6405750</v>
      </c>
      <c r="R2706">
        <v>0</v>
      </c>
      <c r="S2706">
        <v>0</v>
      </c>
      <c r="T2706" t="str">
        <f t="shared" si="84"/>
        <v>22842.43.4302.85.0-205128.2.3.3.08.06.</v>
      </c>
      <c r="U2706" t="e" cm="1">
        <f t="array" aca="1" ref="U2706" ca="1">+IF(COMPROMISOS_2025[[#This Row],[P]]="20","41080111",_xlfn.XLOOKUP(COMPROMISOS_2025[[#This Row],[concatenado]],PAA[[#All],[RCP-RUBRO]],PAA[[#All],[INDICADOR]],"",0))</f>
        <v>#NAME?</v>
      </c>
      <c r="V2706" s="144" t="str">
        <f t="shared" si="85"/>
        <v>85</v>
      </c>
      <c r="W2706" s="136">
        <f>+COMPROMISOS_2025[[#This Row],[valor_total]]-COMPROMISOS_2025[[#This Row],[total_cancelado]]</f>
        <v>6405750</v>
      </c>
      <c r="X2706" s="136">
        <f>COMPROMISOS_2025[[#This Row],[total_ordenes]]</f>
        <v>6405750</v>
      </c>
      <c r="Y2706" t="str" cm="1">
        <f t="array" aca="1" ref="Y2706" ca="1">IFERROR(_xlfn.XLOOKUP(COMPROMISOS_2025[[#This Row],[concatenado]],PAA[[#All],[RCP-RUBRO]],PAA[[#All],[Actividad3]],VLOOKUP(COMPROMISOS_2025[[#This Row],[Indicador Principal]],$AC$2:$AD$17,2,0),0),"")</f>
        <v/>
      </c>
    </row>
    <row r="2707" spans="1:25" hidden="1" x14ac:dyDescent="0.25">
      <c r="A2707">
        <v>2285</v>
      </c>
      <c r="B2707" t="s">
        <v>2491</v>
      </c>
      <c r="C2707" t="s">
        <v>1936</v>
      </c>
      <c r="D2707" t="s">
        <v>3575</v>
      </c>
      <c r="F2707">
        <v>405</v>
      </c>
      <c r="G2707">
        <v>65</v>
      </c>
      <c r="H2707" t="s">
        <v>662</v>
      </c>
      <c r="I2707" t="s">
        <v>2271</v>
      </c>
      <c r="J2707">
        <v>2847000</v>
      </c>
      <c r="K2707">
        <v>2025</v>
      </c>
      <c r="L2707">
        <v>1017247281</v>
      </c>
      <c r="M2707" t="s">
        <v>4007</v>
      </c>
      <c r="N2707" t="s">
        <v>1688</v>
      </c>
      <c r="O2707" t="s">
        <v>1686</v>
      </c>
      <c r="P2707">
        <v>0</v>
      </c>
      <c r="Q2707">
        <v>2847000</v>
      </c>
      <c r="R2707">
        <v>0</v>
      </c>
      <c r="S2707">
        <v>0</v>
      </c>
      <c r="T2707" t="str">
        <f t="shared" si="84"/>
        <v>22852.43.4302.85.0-205128.2.3.3.08.06.</v>
      </c>
      <c r="U2707" t="e" cm="1">
        <f t="array" aca="1" ref="U2707" ca="1">+IF(COMPROMISOS_2025[[#This Row],[P]]="20","41080111",_xlfn.XLOOKUP(COMPROMISOS_2025[[#This Row],[concatenado]],PAA[[#All],[RCP-RUBRO]],PAA[[#All],[INDICADOR]],"",0))</f>
        <v>#NAME?</v>
      </c>
      <c r="V2707" s="144" t="str">
        <f t="shared" si="85"/>
        <v>85</v>
      </c>
      <c r="W2707" s="136">
        <f>+COMPROMISOS_2025[[#This Row],[valor_total]]-COMPROMISOS_2025[[#This Row],[total_cancelado]]</f>
        <v>2847000</v>
      </c>
      <c r="X2707" s="136">
        <f>COMPROMISOS_2025[[#This Row],[total_ordenes]]</f>
        <v>2847000</v>
      </c>
      <c r="Y2707" t="str" cm="1">
        <f t="array" aca="1" ref="Y2707" ca="1">IFERROR(_xlfn.XLOOKUP(COMPROMISOS_2025[[#This Row],[concatenado]],PAA[[#All],[RCP-RUBRO]],PAA[[#All],[Actividad3]],VLOOKUP(COMPROMISOS_2025[[#This Row],[Indicador Principal]],$AC$2:$AD$17,2,0),0),"")</f>
        <v/>
      </c>
    </row>
    <row r="2708" spans="1:25" hidden="1" x14ac:dyDescent="0.25">
      <c r="A2708">
        <v>2286</v>
      </c>
      <c r="B2708" t="s">
        <v>2491</v>
      </c>
      <c r="C2708" t="s">
        <v>1936</v>
      </c>
      <c r="D2708" t="s">
        <v>3575</v>
      </c>
      <c r="F2708">
        <v>405</v>
      </c>
      <c r="G2708">
        <v>65</v>
      </c>
      <c r="H2708" t="s">
        <v>662</v>
      </c>
      <c r="I2708" t="s">
        <v>2271</v>
      </c>
      <c r="J2708">
        <v>711750</v>
      </c>
      <c r="K2708">
        <v>2025</v>
      </c>
      <c r="L2708">
        <v>1017247931</v>
      </c>
      <c r="M2708" t="s">
        <v>4008</v>
      </c>
      <c r="N2708" t="s">
        <v>1688</v>
      </c>
      <c r="O2708" t="s">
        <v>1686</v>
      </c>
      <c r="P2708">
        <v>0</v>
      </c>
      <c r="Q2708">
        <v>711750</v>
      </c>
      <c r="R2708">
        <v>0</v>
      </c>
      <c r="S2708">
        <v>0</v>
      </c>
      <c r="T2708" t="str">
        <f t="shared" si="84"/>
        <v>22862.43.4302.85.0-205128.2.3.3.08.06.</v>
      </c>
      <c r="U2708" t="e" cm="1">
        <f t="array" aca="1" ref="U2708" ca="1">+IF(COMPROMISOS_2025[[#This Row],[P]]="20","41080111",_xlfn.XLOOKUP(COMPROMISOS_2025[[#This Row],[concatenado]],PAA[[#All],[RCP-RUBRO]],PAA[[#All],[INDICADOR]],"",0))</f>
        <v>#NAME?</v>
      </c>
      <c r="V2708" s="144" t="str">
        <f t="shared" si="85"/>
        <v>85</v>
      </c>
      <c r="W2708" s="136">
        <f>+COMPROMISOS_2025[[#This Row],[valor_total]]-COMPROMISOS_2025[[#This Row],[total_cancelado]]</f>
        <v>711750</v>
      </c>
      <c r="X2708" s="136">
        <f>COMPROMISOS_2025[[#This Row],[total_ordenes]]</f>
        <v>711750</v>
      </c>
      <c r="Y2708" t="str" cm="1">
        <f t="array" aca="1" ref="Y2708" ca="1">IFERROR(_xlfn.XLOOKUP(COMPROMISOS_2025[[#This Row],[concatenado]],PAA[[#All],[RCP-RUBRO]],PAA[[#All],[Actividad3]],VLOOKUP(COMPROMISOS_2025[[#This Row],[Indicador Principal]],$AC$2:$AD$17,2,0),0),"")</f>
        <v/>
      </c>
    </row>
    <row r="2709" spans="1:25" hidden="1" x14ac:dyDescent="0.25">
      <c r="A2709">
        <v>2289</v>
      </c>
      <c r="B2709" t="s">
        <v>2491</v>
      </c>
      <c r="C2709" t="s">
        <v>1936</v>
      </c>
      <c r="D2709" t="s">
        <v>3575</v>
      </c>
      <c r="F2709">
        <v>405</v>
      </c>
      <c r="G2709">
        <v>65</v>
      </c>
      <c r="H2709" t="s">
        <v>662</v>
      </c>
      <c r="I2709" t="s">
        <v>2271</v>
      </c>
      <c r="J2709">
        <v>5694000</v>
      </c>
      <c r="K2709">
        <v>2025</v>
      </c>
      <c r="L2709">
        <v>1017268216</v>
      </c>
      <c r="M2709" t="s">
        <v>4009</v>
      </c>
      <c r="N2709" t="s">
        <v>1688</v>
      </c>
      <c r="O2709" t="s">
        <v>1686</v>
      </c>
      <c r="P2709">
        <v>0</v>
      </c>
      <c r="Q2709">
        <v>5694000</v>
      </c>
      <c r="R2709">
        <v>0</v>
      </c>
      <c r="S2709">
        <v>0</v>
      </c>
      <c r="T2709" t="str">
        <f t="shared" si="84"/>
        <v>22892.43.4302.85.0-205128.2.3.3.08.06.</v>
      </c>
      <c r="U2709" t="e" cm="1">
        <f t="array" aca="1" ref="U2709" ca="1">+IF(COMPROMISOS_2025[[#This Row],[P]]="20","41080111",_xlfn.XLOOKUP(COMPROMISOS_2025[[#This Row],[concatenado]],PAA[[#All],[RCP-RUBRO]],PAA[[#All],[INDICADOR]],"",0))</f>
        <v>#NAME?</v>
      </c>
      <c r="V2709" s="144" t="str">
        <f t="shared" si="85"/>
        <v>85</v>
      </c>
      <c r="W2709" s="136">
        <f>+COMPROMISOS_2025[[#This Row],[valor_total]]-COMPROMISOS_2025[[#This Row],[total_cancelado]]</f>
        <v>5694000</v>
      </c>
      <c r="X2709" s="136">
        <f>COMPROMISOS_2025[[#This Row],[total_ordenes]]</f>
        <v>5694000</v>
      </c>
      <c r="Y2709" t="str" cm="1">
        <f t="array" aca="1" ref="Y2709" ca="1">IFERROR(_xlfn.XLOOKUP(COMPROMISOS_2025[[#This Row],[concatenado]],PAA[[#All],[RCP-RUBRO]],PAA[[#All],[Actividad3]],VLOOKUP(COMPROMISOS_2025[[#This Row],[Indicador Principal]],$AC$2:$AD$17,2,0),0),"")</f>
        <v/>
      </c>
    </row>
    <row r="2710" spans="1:25" hidden="1" x14ac:dyDescent="0.25">
      <c r="A2710">
        <v>2290</v>
      </c>
      <c r="B2710" t="s">
        <v>2491</v>
      </c>
      <c r="C2710" t="s">
        <v>1936</v>
      </c>
      <c r="D2710" t="s">
        <v>3575</v>
      </c>
      <c r="F2710">
        <v>405</v>
      </c>
      <c r="G2710">
        <v>65</v>
      </c>
      <c r="H2710" t="s">
        <v>662</v>
      </c>
      <c r="I2710" t="s">
        <v>2271</v>
      </c>
      <c r="J2710">
        <v>1423500</v>
      </c>
      <c r="K2710">
        <v>2025</v>
      </c>
      <c r="L2710">
        <v>1017269674</v>
      </c>
      <c r="M2710" t="s">
        <v>4293</v>
      </c>
      <c r="N2710" t="s">
        <v>1688</v>
      </c>
      <c r="O2710" t="s">
        <v>1686</v>
      </c>
      <c r="P2710">
        <v>0</v>
      </c>
      <c r="Q2710">
        <v>1423500</v>
      </c>
      <c r="R2710">
        <v>0</v>
      </c>
      <c r="S2710">
        <v>0</v>
      </c>
      <c r="T2710" t="str">
        <f t="shared" si="84"/>
        <v>22902.43.4302.85.0-205128.2.3.3.08.06.</v>
      </c>
      <c r="U2710" t="e" cm="1">
        <f t="array" aca="1" ref="U2710" ca="1">+IF(COMPROMISOS_2025[[#This Row],[P]]="20","41080111",_xlfn.XLOOKUP(COMPROMISOS_2025[[#This Row],[concatenado]],PAA[[#All],[RCP-RUBRO]],PAA[[#All],[INDICADOR]],"",0))</f>
        <v>#NAME?</v>
      </c>
      <c r="V2710" s="144" t="str">
        <f t="shared" si="85"/>
        <v>85</v>
      </c>
      <c r="W2710" s="136">
        <f>+COMPROMISOS_2025[[#This Row],[valor_total]]-COMPROMISOS_2025[[#This Row],[total_cancelado]]</f>
        <v>1423500</v>
      </c>
      <c r="X2710" s="136">
        <f>COMPROMISOS_2025[[#This Row],[total_ordenes]]</f>
        <v>1423500</v>
      </c>
      <c r="Y2710" t="str" cm="1">
        <f t="array" aca="1" ref="Y2710" ca="1">IFERROR(_xlfn.XLOOKUP(COMPROMISOS_2025[[#This Row],[concatenado]],PAA[[#All],[RCP-RUBRO]],PAA[[#All],[Actividad3]],VLOOKUP(COMPROMISOS_2025[[#This Row],[Indicador Principal]],$AC$2:$AD$17,2,0),0),"")</f>
        <v/>
      </c>
    </row>
    <row r="2711" spans="1:25" hidden="1" x14ac:dyDescent="0.25">
      <c r="A2711">
        <v>2291</v>
      </c>
      <c r="B2711" t="s">
        <v>2491</v>
      </c>
      <c r="C2711" t="s">
        <v>1936</v>
      </c>
      <c r="D2711" t="s">
        <v>3575</v>
      </c>
      <c r="F2711">
        <v>405</v>
      </c>
      <c r="G2711">
        <v>65</v>
      </c>
      <c r="H2711" t="s">
        <v>662</v>
      </c>
      <c r="I2711" t="s">
        <v>2271</v>
      </c>
      <c r="J2711">
        <v>711750</v>
      </c>
      <c r="K2711">
        <v>2025</v>
      </c>
      <c r="L2711">
        <v>1017269903</v>
      </c>
      <c r="M2711" t="s">
        <v>4294</v>
      </c>
      <c r="N2711" t="s">
        <v>1688</v>
      </c>
      <c r="O2711" t="s">
        <v>1686</v>
      </c>
      <c r="P2711">
        <v>0</v>
      </c>
      <c r="Q2711">
        <v>711750</v>
      </c>
      <c r="R2711">
        <v>0</v>
      </c>
      <c r="S2711">
        <v>0</v>
      </c>
      <c r="T2711" t="str">
        <f t="shared" si="84"/>
        <v>22912.43.4302.85.0-205128.2.3.3.08.06.</v>
      </c>
      <c r="U2711" t="e" cm="1">
        <f t="array" aca="1" ref="U2711" ca="1">+IF(COMPROMISOS_2025[[#This Row],[P]]="20","41080111",_xlfn.XLOOKUP(COMPROMISOS_2025[[#This Row],[concatenado]],PAA[[#All],[RCP-RUBRO]],PAA[[#All],[INDICADOR]],"",0))</f>
        <v>#NAME?</v>
      </c>
      <c r="V2711" s="144" t="str">
        <f t="shared" si="85"/>
        <v>85</v>
      </c>
      <c r="W2711" s="136">
        <f>+COMPROMISOS_2025[[#This Row],[valor_total]]-COMPROMISOS_2025[[#This Row],[total_cancelado]]</f>
        <v>711750</v>
      </c>
      <c r="X2711" s="136">
        <f>COMPROMISOS_2025[[#This Row],[total_ordenes]]</f>
        <v>711750</v>
      </c>
      <c r="Y2711" t="str" cm="1">
        <f t="array" aca="1" ref="Y2711" ca="1">IFERROR(_xlfn.XLOOKUP(COMPROMISOS_2025[[#This Row],[concatenado]],PAA[[#All],[RCP-RUBRO]],PAA[[#All],[Actividad3]],VLOOKUP(COMPROMISOS_2025[[#This Row],[Indicador Principal]],$AC$2:$AD$17,2,0),0),"")</f>
        <v/>
      </c>
    </row>
    <row r="2712" spans="1:25" hidden="1" x14ac:dyDescent="0.25">
      <c r="A2712">
        <v>2292</v>
      </c>
      <c r="B2712" t="s">
        <v>2491</v>
      </c>
      <c r="C2712" t="s">
        <v>1936</v>
      </c>
      <c r="D2712" t="s">
        <v>3575</v>
      </c>
      <c r="F2712">
        <v>405</v>
      </c>
      <c r="G2712">
        <v>65</v>
      </c>
      <c r="H2712" t="s">
        <v>662</v>
      </c>
      <c r="I2712" t="s">
        <v>2271</v>
      </c>
      <c r="J2712">
        <v>711750</v>
      </c>
      <c r="K2712">
        <v>2025</v>
      </c>
      <c r="L2712">
        <v>1017270409</v>
      </c>
      <c r="M2712" t="s">
        <v>4010</v>
      </c>
      <c r="N2712" t="s">
        <v>1688</v>
      </c>
      <c r="O2712" t="s">
        <v>1686</v>
      </c>
      <c r="P2712">
        <v>0</v>
      </c>
      <c r="Q2712">
        <v>711750</v>
      </c>
      <c r="R2712">
        <v>0</v>
      </c>
      <c r="S2712">
        <v>0</v>
      </c>
      <c r="T2712" t="str">
        <f t="shared" si="84"/>
        <v>22922.43.4302.85.0-205128.2.3.3.08.06.</v>
      </c>
      <c r="U2712" t="e" cm="1">
        <f t="array" aca="1" ref="U2712" ca="1">+IF(COMPROMISOS_2025[[#This Row],[P]]="20","41080111",_xlfn.XLOOKUP(COMPROMISOS_2025[[#This Row],[concatenado]],PAA[[#All],[RCP-RUBRO]],PAA[[#All],[INDICADOR]],"",0))</f>
        <v>#NAME?</v>
      </c>
      <c r="V2712" s="144" t="str">
        <f t="shared" si="85"/>
        <v>85</v>
      </c>
      <c r="W2712" s="136">
        <f>+COMPROMISOS_2025[[#This Row],[valor_total]]-COMPROMISOS_2025[[#This Row],[total_cancelado]]</f>
        <v>711750</v>
      </c>
      <c r="X2712" s="136">
        <f>COMPROMISOS_2025[[#This Row],[total_ordenes]]</f>
        <v>711750</v>
      </c>
      <c r="Y2712" t="str" cm="1">
        <f t="array" aca="1" ref="Y2712" ca="1">IFERROR(_xlfn.XLOOKUP(COMPROMISOS_2025[[#This Row],[concatenado]],PAA[[#All],[RCP-RUBRO]],PAA[[#All],[Actividad3]],VLOOKUP(COMPROMISOS_2025[[#This Row],[Indicador Principal]],$AC$2:$AD$17,2,0),0),"")</f>
        <v/>
      </c>
    </row>
    <row r="2713" spans="1:25" hidden="1" x14ac:dyDescent="0.25">
      <c r="A2713">
        <v>2293</v>
      </c>
      <c r="B2713" t="s">
        <v>2491</v>
      </c>
      <c r="C2713" t="s">
        <v>1936</v>
      </c>
      <c r="D2713" t="s">
        <v>3575</v>
      </c>
      <c r="F2713">
        <v>405</v>
      </c>
      <c r="G2713">
        <v>65</v>
      </c>
      <c r="H2713" t="s">
        <v>662</v>
      </c>
      <c r="I2713" t="s">
        <v>2271</v>
      </c>
      <c r="J2713">
        <v>1067625</v>
      </c>
      <c r="K2713">
        <v>2025</v>
      </c>
      <c r="L2713">
        <v>1017272625</v>
      </c>
      <c r="M2713" t="s">
        <v>4012</v>
      </c>
      <c r="N2713" t="s">
        <v>1688</v>
      </c>
      <c r="O2713" t="s">
        <v>1686</v>
      </c>
      <c r="P2713">
        <v>0</v>
      </c>
      <c r="Q2713">
        <v>1067625</v>
      </c>
      <c r="R2713">
        <v>0</v>
      </c>
      <c r="S2713">
        <v>0</v>
      </c>
      <c r="T2713" t="str">
        <f t="shared" si="84"/>
        <v>22932.43.4302.85.0-205128.2.3.3.08.06.</v>
      </c>
      <c r="U2713" t="e" cm="1">
        <f t="array" aca="1" ref="U2713" ca="1">+IF(COMPROMISOS_2025[[#This Row],[P]]="20","41080111",_xlfn.XLOOKUP(COMPROMISOS_2025[[#This Row],[concatenado]],PAA[[#All],[RCP-RUBRO]],PAA[[#All],[INDICADOR]],"",0))</f>
        <v>#NAME?</v>
      </c>
      <c r="V2713" s="144" t="str">
        <f t="shared" si="85"/>
        <v>85</v>
      </c>
      <c r="W2713" s="136">
        <f>+COMPROMISOS_2025[[#This Row],[valor_total]]-COMPROMISOS_2025[[#This Row],[total_cancelado]]</f>
        <v>1067625</v>
      </c>
      <c r="X2713" s="136">
        <f>COMPROMISOS_2025[[#This Row],[total_ordenes]]</f>
        <v>1067625</v>
      </c>
      <c r="Y2713" t="str" cm="1">
        <f t="array" aca="1" ref="Y2713" ca="1">IFERROR(_xlfn.XLOOKUP(COMPROMISOS_2025[[#This Row],[concatenado]],PAA[[#All],[RCP-RUBRO]],PAA[[#All],[Actividad3]],VLOOKUP(COMPROMISOS_2025[[#This Row],[Indicador Principal]],$AC$2:$AD$17,2,0),0),"")</f>
        <v/>
      </c>
    </row>
    <row r="2714" spans="1:25" hidden="1" x14ac:dyDescent="0.25">
      <c r="A2714">
        <v>2295</v>
      </c>
      <c r="B2714" t="s">
        <v>2491</v>
      </c>
      <c r="C2714" t="s">
        <v>1936</v>
      </c>
      <c r="D2714" t="s">
        <v>3575</v>
      </c>
      <c r="F2714">
        <v>405</v>
      </c>
      <c r="G2714">
        <v>65</v>
      </c>
      <c r="H2714" t="s">
        <v>662</v>
      </c>
      <c r="I2714" t="s">
        <v>2271</v>
      </c>
      <c r="J2714">
        <v>1067625</v>
      </c>
      <c r="K2714">
        <v>2025</v>
      </c>
      <c r="L2714">
        <v>1017923607</v>
      </c>
      <c r="M2714" t="s">
        <v>4015</v>
      </c>
      <c r="N2714" t="s">
        <v>1688</v>
      </c>
      <c r="O2714" t="s">
        <v>1686</v>
      </c>
      <c r="P2714">
        <v>0</v>
      </c>
      <c r="Q2714">
        <v>1067625</v>
      </c>
      <c r="R2714">
        <v>0</v>
      </c>
      <c r="S2714">
        <v>0</v>
      </c>
      <c r="T2714" t="str">
        <f t="shared" si="84"/>
        <v>22952.43.4302.85.0-205128.2.3.3.08.06.</v>
      </c>
      <c r="U2714" t="e" cm="1">
        <f t="array" aca="1" ref="U2714" ca="1">+IF(COMPROMISOS_2025[[#This Row],[P]]="20","41080111",_xlfn.XLOOKUP(COMPROMISOS_2025[[#This Row],[concatenado]],PAA[[#All],[RCP-RUBRO]],PAA[[#All],[INDICADOR]],"",0))</f>
        <v>#NAME?</v>
      </c>
      <c r="V2714" s="144" t="str">
        <f t="shared" si="85"/>
        <v>85</v>
      </c>
      <c r="W2714" s="136">
        <f>+COMPROMISOS_2025[[#This Row],[valor_total]]-COMPROMISOS_2025[[#This Row],[total_cancelado]]</f>
        <v>1067625</v>
      </c>
      <c r="X2714" s="136">
        <f>COMPROMISOS_2025[[#This Row],[total_ordenes]]</f>
        <v>1067625</v>
      </c>
      <c r="Y2714" t="str" cm="1">
        <f t="array" aca="1" ref="Y2714" ca="1">IFERROR(_xlfn.XLOOKUP(COMPROMISOS_2025[[#This Row],[concatenado]],PAA[[#All],[RCP-RUBRO]],PAA[[#All],[Actividad3]],VLOOKUP(COMPROMISOS_2025[[#This Row],[Indicador Principal]],$AC$2:$AD$17,2,0),0),"")</f>
        <v/>
      </c>
    </row>
    <row r="2715" spans="1:25" hidden="1" x14ac:dyDescent="0.25">
      <c r="A2715">
        <v>2296</v>
      </c>
      <c r="B2715" t="s">
        <v>2491</v>
      </c>
      <c r="C2715" t="s">
        <v>1936</v>
      </c>
      <c r="D2715" t="s">
        <v>3575</v>
      </c>
      <c r="F2715">
        <v>405</v>
      </c>
      <c r="G2715">
        <v>65</v>
      </c>
      <c r="H2715" t="s">
        <v>662</v>
      </c>
      <c r="I2715" t="s">
        <v>2271</v>
      </c>
      <c r="J2715">
        <v>1067625</v>
      </c>
      <c r="K2715">
        <v>2025</v>
      </c>
      <c r="L2715">
        <v>1017925877</v>
      </c>
      <c r="M2715" t="s">
        <v>4295</v>
      </c>
      <c r="N2715" t="s">
        <v>1688</v>
      </c>
      <c r="O2715" t="s">
        <v>1686</v>
      </c>
      <c r="P2715">
        <v>0</v>
      </c>
      <c r="Q2715">
        <v>1067625</v>
      </c>
      <c r="R2715">
        <v>0</v>
      </c>
      <c r="S2715">
        <v>0</v>
      </c>
      <c r="T2715" t="str">
        <f t="shared" si="84"/>
        <v>22962.43.4302.85.0-205128.2.3.3.08.06.</v>
      </c>
      <c r="U2715" t="e" cm="1">
        <f t="array" aca="1" ref="U2715" ca="1">+IF(COMPROMISOS_2025[[#This Row],[P]]="20","41080111",_xlfn.XLOOKUP(COMPROMISOS_2025[[#This Row],[concatenado]],PAA[[#All],[RCP-RUBRO]],PAA[[#All],[INDICADOR]],"",0))</f>
        <v>#NAME?</v>
      </c>
      <c r="V2715" s="144" t="str">
        <f t="shared" si="85"/>
        <v>85</v>
      </c>
      <c r="W2715" s="136">
        <f>+COMPROMISOS_2025[[#This Row],[valor_total]]-COMPROMISOS_2025[[#This Row],[total_cancelado]]</f>
        <v>1067625</v>
      </c>
      <c r="X2715" s="136">
        <f>COMPROMISOS_2025[[#This Row],[total_ordenes]]</f>
        <v>1067625</v>
      </c>
      <c r="Y2715" t="str" cm="1">
        <f t="array" aca="1" ref="Y2715" ca="1">IFERROR(_xlfn.XLOOKUP(COMPROMISOS_2025[[#This Row],[concatenado]],PAA[[#All],[RCP-RUBRO]],PAA[[#All],[Actividad3]],VLOOKUP(COMPROMISOS_2025[[#This Row],[Indicador Principal]],$AC$2:$AD$17,2,0),0),"")</f>
        <v/>
      </c>
    </row>
    <row r="2716" spans="1:25" hidden="1" x14ac:dyDescent="0.25">
      <c r="A2716">
        <v>2303</v>
      </c>
      <c r="B2716" t="s">
        <v>2491</v>
      </c>
      <c r="C2716" t="s">
        <v>1936</v>
      </c>
      <c r="D2716" t="s">
        <v>3575</v>
      </c>
      <c r="F2716">
        <v>405</v>
      </c>
      <c r="G2716">
        <v>65</v>
      </c>
      <c r="H2716" t="s">
        <v>662</v>
      </c>
      <c r="I2716" t="s">
        <v>2271</v>
      </c>
      <c r="J2716">
        <v>1423500</v>
      </c>
      <c r="K2716">
        <v>2025</v>
      </c>
      <c r="L2716">
        <v>1018225068</v>
      </c>
      <c r="M2716" t="s">
        <v>4016</v>
      </c>
      <c r="N2716" t="s">
        <v>1688</v>
      </c>
      <c r="O2716" t="s">
        <v>1686</v>
      </c>
      <c r="P2716">
        <v>0</v>
      </c>
      <c r="Q2716">
        <v>1423500</v>
      </c>
      <c r="R2716">
        <v>0</v>
      </c>
      <c r="S2716">
        <v>0</v>
      </c>
      <c r="T2716" t="str">
        <f t="shared" si="84"/>
        <v>23032.43.4302.85.0-205128.2.3.3.08.06.</v>
      </c>
      <c r="U2716" t="e" cm="1">
        <f t="array" aca="1" ref="U2716" ca="1">+IF(COMPROMISOS_2025[[#This Row],[P]]="20","41080111",_xlfn.XLOOKUP(COMPROMISOS_2025[[#This Row],[concatenado]],PAA[[#All],[RCP-RUBRO]],PAA[[#All],[INDICADOR]],"",0))</f>
        <v>#NAME?</v>
      </c>
      <c r="V2716" s="144" t="str">
        <f t="shared" si="85"/>
        <v>85</v>
      </c>
      <c r="W2716" s="136">
        <f>+COMPROMISOS_2025[[#This Row],[valor_total]]-COMPROMISOS_2025[[#This Row],[total_cancelado]]</f>
        <v>1423500</v>
      </c>
      <c r="X2716" s="136">
        <f>COMPROMISOS_2025[[#This Row],[total_ordenes]]</f>
        <v>1423500</v>
      </c>
      <c r="Y2716" t="str" cm="1">
        <f t="array" aca="1" ref="Y2716" ca="1">IFERROR(_xlfn.XLOOKUP(COMPROMISOS_2025[[#This Row],[concatenado]],PAA[[#All],[RCP-RUBRO]],PAA[[#All],[Actividad3]],VLOOKUP(COMPROMISOS_2025[[#This Row],[Indicador Principal]],$AC$2:$AD$17,2,0),0),"")</f>
        <v/>
      </c>
    </row>
    <row r="2717" spans="1:25" hidden="1" x14ac:dyDescent="0.25">
      <c r="A2717">
        <v>2304</v>
      </c>
      <c r="B2717" t="s">
        <v>2491</v>
      </c>
      <c r="C2717" t="s">
        <v>1936</v>
      </c>
      <c r="D2717" t="s">
        <v>3575</v>
      </c>
      <c r="F2717">
        <v>405</v>
      </c>
      <c r="G2717">
        <v>65</v>
      </c>
      <c r="H2717" t="s">
        <v>662</v>
      </c>
      <c r="I2717" t="s">
        <v>2271</v>
      </c>
      <c r="J2717">
        <v>1423500</v>
      </c>
      <c r="K2717">
        <v>2025</v>
      </c>
      <c r="L2717">
        <v>1018226620</v>
      </c>
      <c r="M2717" t="s">
        <v>4018</v>
      </c>
      <c r="N2717" t="s">
        <v>1688</v>
      </c>
      <c r="O2717" t="s">
        <v>1686</v>
      </c>
      <c r="P2717">
        <v>0</v>
      </c>
      <c r="Q2717">
        <v>1423500</v>
      </c>
      <c r="R2717">
        <v>0</v>
      </c>
      <c r="S2717">
        <v>0</v>
      </c>
      <c r="T2717" t="str">
        <f t="shared" si="84"/>
        <v>23042.43.4302.85.0-205128.2.3.3.08.06.</v>
      </c>
      <c r="U2717" t="e" cm="1">
        <f t="array" aca="1" ref="U2717" ca="1">+IF(COMPROMISOS_2025[[#This Row],[P]]="20","41080111",_xlfn.XLOOKUP(COMPROMISOS_2025[[#This Row],[concatenado]],PAA[[#All],[RCP-RUBRO]],PAA[[#All],[INDICADOR]],"",0))</f>
        <v>#NAME?</v>
      </c>
      <c r="V2717" s="144" t="str">
        <f t="shared" si="85"/>
        <v>85</v>
      </c>
      <c r="W2717" s="136">
        <f>+COMPROMISOS_2025[[#This Row],[valor_total]]-COMPROMISOS_2025[[#This Row],[total_cancelado]]</f>
        <v>1423500</v>
      </c>
      <c r="X2717" s="136">
        <f>COMPROMISOS_2025[[#This Row],[total_ordenes]]</f>
        <v>1423500</v>
      </c>
      <c r="Y2717" t="str" cm="1">
        <f t="array" aca="1" ref="Y2717" ca="1">IFERROR(_xlfn.XLOOKUP(COMPROMISOS_2025[[#This Row],[concatenado]],PAA[[#All],[RCP-RUBRO]],PAA[[#All],[Actividad3]],VLOOKUP(COMPROMISOS_2025[[#This Row],[Indicador Principal]],$AC$2:$AD$17,2,0),0),"")</f>
        <v/>
      </c>
    </row>
    <row r="2718" spans="1:25" hidden="1" x14ac:dyDescent="0.25">
      <c r="A2718">
        <v>2305</v>
      </c>
      <c r="B2718" t="s">
        <v>2491</v>
      </c>
      <c r="C2718" t="s">
        <v>1936</v>
      </c>
      <c r="D2718" t="s">
        <v>3575</v>
      </c>
      <c r="F2718">
        <v>405</v>
      </c>
      <c r="G2718">
        <v>65</v>
      </c>
      <c r="H2718" t="s">
        <v>662</v>
      </c>
      <c r="I2718" t="s">
        <v>2271</v>
      </c>
      <c r="J2718">
        <v>5694000</v>
      </c>
      <c r="K2718">
        <v>2025</v>
      </c>
      <c r="L2718">
        <v>1018230336</v>
      </c>
      <c r="M2718" t="s">
        <v>4019</v>
      </c>
      <c r="N2718" t="s">
        <v>1688</v>
      </c>
      <c r="O2718" t="s">
        <v>1686</v>
      </c>
      <c r="P2718">
        <v>0</v>
      </c>
      <c r="Q2718">
        <v>5694000</v>
      </c>
      <c r="R2718">
        <v>0</v>
      </c>
      <c r="S2718">
        <v>0</v>
      </c>
      <c r="T2718" t="str">
        <f t="shared" si="84"/>
        <v>23052.43.4302.85.0-205128.2.3.3.08.06.</v>
      </c>
      <c r="U2718" t="e" cm="1">
        <f t="array" aca="1" ref="U2718" ca="1">+IF(COMPROMISOS_2025[[#This Row],[P]]="20","41080111",_xlfn.XLOOKUP(COMPROMISOS_2025[[#This Row],[concatenado]],PAA[[#All],[RCP-RUBRO]],PAA[[#All],[INDICADOR]],"",0))</f>
        <v>#NAME?</v>
      </c>
      <c r="V2718" s="144" t="str">
        <f t="shared" si="85"/>
        <v>85</v>
      </c>
      <c r="W2718" s="136">
        <f>+COMPROMISOS_2025[[#This Row],[valor_total]]-COMPROMISOS_2025[[#This Row],[total_cancelado]]</f>
        <v>5694000</v>
      </c>
      <c r="X2718" s="136">
        <f>COMPROMISOS_2025[[#This Row],[total_ordenes]]</f>
        <v>5694000</v>
      </c>
      <c r="Y2718" t="str" cm="1">
        <f t="array" aca="1" ref="Y2718" ca="1">IFERROR(_xlfn.XLOOKUP(COMPROMISOS_2025[[#This Row],[concatenado]],PAA[[#All],[RCP-RUBRO]],PAA[[#All],[Actividad3]],VLOOKUP(COMPROMISOS_2025[[#This Row],[Indicador Principal]],$AC$2:$AD$17,2,0),0),"")</f>
        <v/>
      </c>
    </row>
    <row r="2719" spans="1:25" hidden="1" x14ac:dyDescent="0.25">
      <c r="A2719">
        <v>2307</v>
      </c>
      <c r="B2719" t="s">
        <v>2491</v>
      </c>
      <c r="C2719" t="s">
        <v>1936</v>
      </c>
      <c r="D2719" t="s">
        <v>3575</v>
      </c>
      <c r="F2719">
        <v>405</v>
      </c>
      <c r="G2719">
        <v>65</v>
      </c>
      <c r="H2719" t="s">
        <v>662</v>
      </c>
      <c r="I2719" t="s">
        <v>2271</v>
      </c>
      <c r="J2719">
        <v>1423500</v>
      </c>
      <c r="K2719">
        <v>2025</v>
      </c>
      <c r="L2719">
        <v>1018237672</v>
      </c>
      <c r="M2719" t="s">
        <v>4296</v>
      </c>
      <c r="N2719" t="s">
        <v>1688</v>
      </c>
      <c r="O2719" t="s">
        <v>1686</v>
      </c>
      <c r="P2719">
        <v>0</v>
      </c>
      <c r="Q2719">
        <v>1423500</v>
      </c>
      <c r="R2719">
        <v>0</v>
      </c>
      <c r="S2719">
        <v>0</v>
      </c>
      <c r="T2719" t="str">
        <f t="shared" si="84"/>
        <v>23072.43.4302.85.0-205128.2.3.3.08.06.</v>
      </c>
      <c r="U2719" t="e" cm="1">
        <f t="array" aca="1" ref="U2719" ca="1">+IF(COMPROMISOS_2025[[#This Row],[P]]="20","41080111",_xlfn.XLOOKUP(COMPROMISOS_2025[[#This Row],[concatenado]],PAA[[#All],[RCP-RUBRO]],PAA[[#All],[INDICADOR]],"",0))</f>
        <v>#NAME?</v>
      </c>
      <c r="V2719" s="144" t="str">
        <f t="shared" si="85"/>
        <v>85</v>
      </c>
      <c r="W2719" s="136">
        <f>+COMPROMISOS_2025[[#This Row],[valor_total]]-COMPROMISOS_2025[[#This Row],[total_cancelado]]</f>
        <v>1423500</v>
      </c>
      <c r="X2719" s="136">
        <f>COMPROMISOS_2025[[#This Row],[total_ordenes]]</f>
        <v>1423500</v>
      </c>
      <c r="Y2719" t="str" cm="1">
        <f t="array" aca="1" ref="Y2719" ca="1">IFERROR(_xlfn.XLOOKUP(COMPROMISOS_2025[[#This Row],[concatenado]],PAA[[#All],[RCP-RUBRO]],PAA[[#All],[Actividad3]],VLOOKUP(COMPROMISOS_2025[[#This Row],[Indicador Principal]],$AC$2:$AD$17,2,0),0),"")</f>
        <v/>
      </c>
    </row>
    <row r="2720" spans="1:25" hidden="1" x14ac:dyDescent="0.25">
      <c r="A2720">
        <v>2312</v>
      </c>
      <c r="B2720" t="s">
        <v>2491</v>
      </c>
      <c r="C2720" t="s">
        <v>1936</v>
      </c>
      <c r="D2720" t="s">
        <v>3575</v>
      </c>
      <c r="F2720">
        <v>405</v>
      </c>
      <c r="G2720">
        <v>65</v>
      </c>
      <c r="H2720" t="s">
        <v>662</v>
      </c>
      <c r="I2720" t="s">
        <v>2271</v>
      </c>
      <c r="J2720">
        <v>711750</v>
      </c>
      <c r="K2720">
        <v>2025</v>
      </c>
      <c r="L2720">
        <v>1018245321</v>
      </c>
      <c r="M2720" t="s">
        <v>4298</v>
      </c>
      <c r="N2720" t="s">
        <v>1688</v>
      </c>
      <c r="O2720" t="s">
        <v>1686</v>
      </c>
      <c r="P2720">
        <v>0</v>
      </c>
      <c r="Q2720">
        <v>711750</v>
      </c>
      <c r="R2720">
        <v>0</v>
      </c>
      <c r="S2720">
        <v>0</v>
      </c>
      <c r="T2720" t="str">
        <f t="shared" si="84"/>
        <v>23122.43.4302.85.0-205128.2.3.3.08.06.</v>
      </c>
      <c r="U2720" t="e" cm="1">
        <f t="array" aca="1" ref="U2720" ca="1">+IF(COMPROMISOS_2025[[#This Row],[P]]="20","41080111",_xlfn.XLOOKUP(COMPROMISOS_2025[[#This Row],[concatenado]],PAA[[#All],[RCP-RUBRO]],PAA[[#All],[INDICADOR]],"",0))</f>
        <v>#NAME?</v>
      </c>
      <c r="V2720" s="144" t="str">
        <f t="shared" si="85"/>
        <v>85</v>
      </c>
      <c r="W2720" s="136">
        <f>+COMPROMISOS_2025[[#This Row],[valor_total]]-COMPROMISOS_2025[[#This Row],[total_cancelado]]</f>
        <v>711750</v>
      </c>
      <c r="X2720" s="136">
        <f>COMPROMISOS_2025[[#This Row],[total_ordenes]]</f>
        <v>711750</v>
      </c>
      <c r="Y2720" t="str" cm="1">
        <f t="array" aca="1" ref="Y2720" ca="1">IFERROR(_xlfn.XLOOKUP(COMPROMISOS_2025[[#This Row],[concatenado]],PAA[[#All],[RCP-RUBRO]],PAA[[#All],[Actividad3]],VLOOKUP(COMPROMISOS_2025[[#This Row],[Indicador Principal]],$AC$2:$AD$17,2,0),0),"")</f>
        <v/>
      </c>
    </row>
    <row r="2721" spans="1:25" hidden="1" x14ac:dyDescent="0.25">
      <c r="A2721">
        <v>2315</v>
      </c>
      <c r="B2721" t="s">
        <v>2491</v>
      </c>
      <c r="C2721" t="s">
        <v>1936</v>
      </c>
      <c r="D2721" t="s">
        <v>3575</v>
      </c>
      <c r="F2721">
        <v>405</v>
      </c>
      <c r="G2721">
        <v>65</v>
      </c>
      <c r="H2721" t="s">
        <v>662</v>
      </c>
      <c r="I2721" t="s">
        <v>2271</v>
      </c>
      <c r="J2721">
        <v>2847000</v>
      </c>
      <c r="K2721">
        <v>2025</v>
      </c>
      <c r="L2721">
        <v>1018419929</v>
      </c>
      <c r="M2721" t="s">
        <v>4299</v>
      </c>
      <c r="N2721" t="s">
        <v>1688</v>
      </c>
      <c r="O2721" t="s">
        <v>1686</v>
      </c>
      <c r="P2721">
        <v>0</v>
      </c>
      <c r="Q2721">
        <v>2847000</v>
      </c>
      <c r="R2721">
        <v>0</v>
      </c>
      <c r="S2721">
        <v>0</v>
      </c>
      <c r="T2721" t="str">
        <f t="shared" si="84"/>
        <v>23152.43.4302.85.0-205128.2.3.3.08.06.</v>
      </c>
      <c r="U2721" t="e" cm="1">
        <f t="array" aca="1" ref="U2721" ca="1">+IF(COMPROMISOS_2025[[#This Row],[P]]="20","41080111",_xlfn.XLOOKUP(COMPROMISOS_2025[[#This Row],[concatenado]],PAA[[#All],[RCP-RUBRO]],PAA[[#All],[INDICADOR]],"",0))</f>
        <v>#NAME?</v>
      </c>
      <c r="V2721" s="144" t="str">
        <f t="shared" si="85"/>
        <v>85</v>
      </c>
      <c r="W2721" s="136">
        <f>+COMPROMISOS_2025[[#This Row],[valor_total]]-COMPROMISOS_2025[[#This Row],[total_cancelado]]</f>
        <v>2847000</v>
      </c>
      <c r="X2721" s="136">
        <f>COMPROMISOS_2025[[#This Row],[total_ordenes]]</f>
        <v>2847000</v>
      </c>
      <c r="Y2721" t="str" cm="1">
        <f t="array" aca="1" ref="Y2721" ca="1">IFERROR(_xlfn.XLOOKUP(COMPROMISOS_2025[[#This Row],[concatenado]],PAA[[#All],[RCP-RUBRO]],PAA[[#All],[Actividad3]],VLOOKUP(COMPROMISOS_2025[[#This Row],[Indicador Principal]],$AC$2:$AD$17,2,0),0),"")</f>
        <v/>
      </c>
    </row>
    <row r="2722" spans="1:25" hidden="1" x14ac:dyDescent="0.25">
      <c r="A2722">
        <v>2316</v>
      </c>
      <c r="B2722" t="s">
        <v>2491</v>
      </c>
      <c r="C2722" t="s">
        <v>1936</v>
      </c>
      <c r="D2722" t="s">
        <v>3575</v>
      </c>
      <c r="F2722">
        <v>405</v>
      </c>
      <c r="G2722">
        <v>65</v>
      </c>
      <c r="H2722" t="s">
        <v>662</v>
      </c>
      <c r="I2722" t="s">
        <v>2271</v>
      </c>
      <c r="J2722">
        <v>2847000</v>
      </c>
      <c r="K2722">
        <v>2025</v>
      </c>
      <c r="L2722">
        <v>1018513690</v>
      </c>
      <c r="M2722" t="s">
        <v>4022</v>
      </c>
      <c r="N2722" t="s">
        <v>1688</v>
      </c>
      <c r="O2722" t="s">
        <v>1686</v>
      </c>
      <c r="P2722">
        <v>0</v>
      </c>
      <c r="Q2722">
        <v>2847000</v>
      </c>
      <c r="R2722">
        <v>0</v>
      </c>
      <c r="S2722">
        <v>0</v>
      </c>
      <c r="T2722" t="str">
        <f t="shared" si="84"/>
        <v>23162.43.4302.85.0-205128.2.3.3.08.06.</v>
      </c>
      <c r="U2722" t="e" cm="1">
        <f t="array" aca="1" ref="U2722" ca="1">+IF(COMPROMISOS_2025[[#This Row],[P]]="20","41080111",_xlfn.XLOOKUP(COMPROMISOS_2025[[#This Row],[concatenado]],PAA[[#All],[RCP-RUBRO]],PAA[[#All],[INDICADOR]],"",0))</f>
        <v>#NAME?</v>
      </c>
      <c r="V2722" s="144" t="str">
        <f t="shared" si="85"/>
        <v>85</v>
      </c>
      <c r="W2722" s="136">
        <f>+COMPROMISOS_2025[[#This Row],[valor_total]]-COMPROMISOS_2025[[#This Row],[total_cancelado]]</f>
        <v>2847000</v>
      </c>
      <c r="X2722" s="136">
        <f>COMPROMISOS_2025[[#This Row],[total_ordenes]]</f>
        <v>2847000</v>
      </c>
      <c r="Y2722" t="str" cm="1">
        <f t="array" aca="1" ref="Y2722" ca="1">IFERROR(_xlfn.XLOOKUP(COMPROMISOS_2025[[#This Row],[concatenado]],PAA[[#All],[RCP-RUBRO]],PAA[[#All],[Actividad3]],VLOOKUP(COMPROMISOS_2025[[#This Row],[Indicador Principal]],$AC$2:$AD$17,2,0),0),"")</f>
        <v/>
      </c>
    </row>
    <row r="2723" spans="1:25" hidden="1" x14ac:dyDescent="0.25">
      <c r="A2723">
        <v>2318</v>
      </c>
      <c r="B2723" t="s">
        <v>2491</v>
      </c>
      <c r="C2723" t="s">
        <v>1936</v>
      </c>
      <c r="D2723" t="s">
        <v>3575</v>
      </c>
      <c r="F2723">
        <v>405</v>
      </c>
      <c r="G2723">
        <v>65</v>
      </c>
      <c r="H2723" t="s">
        <v>662</v>
      </c>
      <c r="I2723" t="s">
        <v>2271</v>
      </c>
      <c r="J2723">
        <v>1423500</v>
      </c>
      <c r="K2723">
        <v>2025</v>
      </c>
      <c r="L2723">
        <v>1019984910</v>
      </c>
      <c r="M2723" t="s">
        <v>4023</v>
      </c>
      <c r="N2723" t="s">
        <v>1688</v>
      </c>
      <c r="O2723" t="s">
        <v>1686</v>
      </c>
      <c r="P2723">
        <v>0</v>
      </c>
      <c r="Q2723">
        <v>1423500</v>
      </c>
      <c r="R2723">
        <v>0</v>
      </c>
      <c r="S2723">
        <v>0</v>
      </c>
      <c r="T2723" t="str">
        <f t="shared" si="84"/>
        <v>23182.43.4302.85.0-205128.2.3.3.08.06.</v>
      </c>
      <c r="U2723" t="e" cm="1">
        <f t="array" aca="1" ref="U2723" ca="1">+IF(COMPROMISOS_2025[[#This Row],[P]]="20","41080111",_xlfn.XLOOKUP(COMPROMISOS_2025[[#This Row],[concatenado]],PAA[[#All],[RCP-RUBRO]],PAA[[#All],[INDICADOR]],"",0))</f>
        <v>#NAME?</v>
      </c>
      <c r="V2723" s="144" t="str">
        <f t="shared" si="85"/>
        <v>85</v>
      </c>
      <c r="W2723" s="136">
        <f>+COMPROMISOS_2025[[#This Row],[valor_total]]-COMPROMISOS_2025[[#This Row],[total_cancelado]]</f>
        <v>1423500</v>
      </c>
      <c r="X2723" s="136">
        <f>COMPROMISOS_2025[[#This Row],[total_ordenes]]</f>
        <v>1423500</v>
      </c>
      <c r="Y2723" t="str" cm="1">
        <f t="array" aca="1" ref="Y2723" ca="1">IFERROR(_xlfn.XLOOKUP(COMPROMISOS_2025[[#This Row],[concatenado]],PAA[[#All],[RCP-RUBRO]],PAA[[#All],[Actividad3]],VLOOKUP(COMPROMISOS_2025[[#This Row],[Indicador Principal]],$AC$2:$AD$17,2,0),0),"")</f>
        <v/>
      </c>
    </row>
    <row r="2724" spans="1:25" hidden="1" x14ac:dyDescent="0.25">
      <c r="A2724">
        <v>2319</v>
      </c>
      <c r="B2724" t="s">
        <v>2491</v>
      </c>
      <c r="C2724" t="s">
        <v>1936</v>
      </c>
      <c r="D2724" t="s">
        <v>3575</v>
      </c>
      <c r="F2724">
        <v>405</v>
      </c>
      <c r="G2724">
        <v>65</v>
      </c>
      <c r="H2724" t="s">
        <v>662</v>
      </c>
      <c r="I2724" t="s">
        <v>2271</v>
      </c>
      <c r="J2724">
        <v>1423500</v>
      </c>
      <c r="K2724">
        <v>2025</v>
      </c>
      <c r="L2724">
        <v>1020104801</v>
      </c>
      <c r="M2724" t="s">
        <v>4025</v>
      </c>
      <c r="N2724" t="s">
        <v>1688</v>
      </c>
      <c r="O2724" t="s">
        <v>1686</v>
      </c>
      <c r="P2724">
        <v>0</v>
      </c>
      <c r="Q2724">
        <v>1423500</v>
      </c>
      <c r="R2724">
        <v>0</v>
      </c>
      <c r="S2724">
        <v>0</v>
      </c>
      <c r="T2724" t="str">
        <f t="shared" si="84"/>
        <v>23192.43.4302.85.0-205128.2.3.3.08.06.</v>
      </c>
      <c r="U2724" t="e" cm="1">
        <f t="array" aca="1" ref="U2724" ca="1">+IF(COMPROMISOS_2025[[#This Row],[P]]="20","41080111",_xlfn.XLOOKUP(COMPROMISOS_2025[[#This Row],[concatenado]],PAA[[#All],[RCP-RUBRO]],PAA[[#All],[INDICADOR]],"",0))</f>
        <v>#NAME?</v>
      </c>
      <c r="V2724" s="144" t="str">
        <f t="shared" si="85"/>
        <v>85</v>
      </c>
      <c r="W2724" s="136">
        <f>+COMPROMISOS_2025[[#This Row],[valor_total]]-COMPROMISOS_2025[[#This Row],[total_cancelado]]</f>
        <v>1423500</v>
      </c>
      <c r="X2724" s="136">
        <f>COMPROMISOS_2025[[#This Row],[total_ordenes]]</f>
        <v>1423500</v>
      </c>
      <c r="Y2724" t="str" cm="1">
        <f t="array" aca="1" ref="Y2724" ca="1">IFERROR(_xlfn.XLOOKUP(COMPROMISOS_2025[[#This Row],[concatenado]],PAA[[#All],[RCP-RUBRO]],PAA[[#All],[Actividad3]],VLOOKUP(COMPROMISOS_2025[[#This Row],[Indicador Principal]],$AC$2:$AD$17,2,0),0),"")</f>
        <v/>
      </c>
    </row>
    <row r="2725" spans="1:25" hidden="1" x14ac:dyDescent="0.25">
      <c r="A2725">
        <v>2320</v>
      </c>
      <c r="B2725" t="s">
        <v>2491</v>
      </c>
      <c r="C2725" t="s">
        <v>1936</v>
      </c>
      <c r="D2725" t="s">
        <v>3575</v>
      </c>
      <c r="F2725">
        <v>405</v>
      </c>
      <c r="G2725">
        <v>65</v>
      </c>
      <c r="H2725" t="s">
        <v>662</v>
      </c>
      <c r="I2725" t="s">
        <v>2271</v>
      </c>
      <c r="J2725">
        <v>1067625</v>
      </c>
      <c r="K2725">
        <v>2025</v>
      </c>
      <c r="L2725">
        <v>1020106175</v>
      </c>
      <c r="M2725" t="s">
        <v>4026</v>
      </c>
      <c r="N2725" t="s">
        <v>1688</v>
      </c>
      <c r="O2725" t="s">
        <v>1686</v>
      </c>
      <c r="P2725">
        <v>0</v>
      </c>
      <c r="Q2725">
        <v>1067625</v>
      </c>
      <c r="R2725">
        <v>0</v>
      </c>
      <c r="S2725">
        <v>0</v>
      </c>
      <c r="T2725" t="str">
        <f t="shared" si="84"/>
        <v>23202.43.4302.85.0-205128.2.3.3.08.06.</v>
      </c>
      <c r="U2725" t="e" cm="1">
        <f t="array" aca="1" ref="U2725" ca="1">+IF(COMPROMISOS_2025[[#This Row],[P]]="20","41080111",_xlfn.XLOOKUP(COMPROMISOS_2025[[#This Row],[concatenado]],PAA[[#All],[RCP-RUBRO]],PAA[[#All],[INDICADOR]],"",0))</f>
        <v>#NAME?</v>
      </c>
      <c r="V2725" s="144" t="str">
        <f t="shared" si="85"/>
        <v>85</v>
      </c>
      <c r="W2725" s="136">
        <f>+COMPROMISOS_2025[[#This Row],[valor_total]]-COMPROMISOS_2025[[#This Row],[total_cancelado]]</f>
        <v>1067625</v>
      </c>
      <c r="X2725" s="136">
        <f>COMPROMISOS_2025[[#This Row],[total_ordenes]]</f>
        <v>1067625</v>
      </c>
      <c r="Y2725" t="str" cm="1">
        <f t="array" aca="1" ref="Y2725" ca="1">IFERROR(_xlfn.XLOOKUP(COMPROMISOS_2025[[#This Row],[concatenado]],PAA[[#All],[RCP-RUBRO]],PAA[[#All],[Actividad3]],VLOOKUP(COMPROMISOS_2025[[#This Row],[Indicador Principal]],$AC$2:$AD$17,2,0),0),"")</f>
        <v/>
      </c>
    </row>
    <row r="2726" spans="1:25" hidden="1" x14ac:dyDescent="0.25">
      <c r="A2726">
        <v>2321</v>
      </c>
      <c r="B2726" t="s">
        <v>2491</v>
      </c>
      <c r="C2726" t="s">
        <v>1936</v>
      </c>
      <c r="D2726" t="s">
        <v>3575</v>
      </c>
      <c r="F2726">
        <v>405</v>
      </c>
      <c r="G2726">
        <v>65</v>
      </c>
      <c r="H2726" t="s">
        <v>662</v>
      </c>
      <c r="I2726" t="s">
        <v>2271</v>
      </c>
      <c r="J2726">
        <v>1067625</v>
      </c>
      <c r="K2726">
        <v>2025</v>
      </c>
      <c r="L2726">
        <v>1020109551</v>
      </c>
      <c r="M2726" t="s">
        <v>4300</v>
      </c>
      <c r="N2726" t="s">
        <v>1688</v>
      </c>
      <c r="O2726" t="s">
        <v>1686</v>
      </c>
      <c r="P2726">
        <v>0</v>
      </c>
      <c r="Q2726">
        <v>1067625</v>
      </c>
      <c r="R2726">
        <v>0</v>
      </c>
      <c r="S2726">
        <v>0</v>
      </c>
      <c r="T2726" t="str">
        <f t="shared" si="84"/>
        <v>23212.43.4302.85.0-205128.2.3.3.08.06.</v>
      </c>
      <c r="U2726" t="e" cm="1">
        <f t="array" aca="1" ref="U2726" ca="1">+IF(COMPROMISOS_2025[[#This Row],[P]]="20","41080111",_xlfn.XLOOKUP(COMPROMISOS_2025[[#This Row],[concatenado]],PAA[[#All],[RCP-RUBRO]],PAA[[#All],[INDICADOR]],"",0))</f>
        <v>#NAME?</v>
      </c>
      <c r="V2726" s="144" t="str">
        <f t="shared" si="85"/>
        <v>85</v>
      </c>
      <c r="W2726" s="136">
        <f>+COMPROMISOS_2025[[#This Row],[valor_total]]-COMPROMISOS_2025[[#This Row],[total_cancelado]]</f>
        <v>1067625</v>
      </c>
      <c r="X2726" s="136">
        <f>COMPROMISOS_2025[[#This Row],[total_ordenes]]</f>
        <v>1067625</v>
      </c>
      <c r="Y2726" t="str" cm="1">
        <f t="array" aca="1" ref="Y2726" ca="1">IFERROR(_xlfn.XLOOKUP(COMPROMISOS_2025[[#This Row],[concatenado]],PAA[[#All],[RCP-RUBRO]],PAA[[#All],[Actividad3]],VLOOKUP(COMPROMISOS_2025[[#This Row],[Indicador Principal]],$AC$2:$AD$17,2,0),0),"")</f>
        <v/>
      </c>
    </row>
    <row r="2727" spans="1:25" hidden="1" x14ac:dyDescent="0.25">
      <c r="A2727">
        <v>2325</v>
      </c>
      <c r="B2727" t="s">
        <v>2491</v>
      </c>
      <c r="C2727" t="s">
        <v>1936</v>
      </c>
      <c r="D2727" t="s">
        <v>3575</v>
      </c>
      <c r="F2727">
        <v>405</v>
      </c>
      <c r="G2727">
        <v>65</v>
      </c>
      <c r="H2727" t="s">
        <v>662</v>
      </c>
      <c r="I2727" t="s">
        <v>2271</v>
      </c>
      <c r="J2727">
        <v>1423500</v>
      </c>
      <c r="K2727">
        <v>2025</v>
      </c>
      <c r="L2727">
        <v>1020115396</v>
      </c>
      <c r="M2727" t="s">
        <v>4027</v>
      </c>
      <c r="N2727" t="s">
        <v>1688</v>
      </c>
      <c r="O2727" t="s">
        <v>1686</v>
      </c>
      <c r="P2727">
        <v>0</v>
      </c>
      <c r="Q2727">
        <v>1423500</v>
      </c>
      <c r="R2727">
        <v>0</v>
      </c>
      <c r="S2727">
        <v>0</v>
      </c>
      <c r="T2727" t="str">
        <f t="shared" si="84"/>
        <v>23252.43.4302.85.0-205128.2.3.3.08.06.</v>
      </c>
      <c r="U2727" t="e" cm="1">
        <f t="array" aca="1" ref="U2727" ca="1">+IF(COMPROMISOS_2025[[#This Row],[P]]="20","41080111",_xlfn.XLOOKUP(COMPROMISOS_2025[[#This Row],[concatenado]],PAA[[#All],[RCP-RUBRO]],PAA[[#All],[INDICADOR]],"",0))</f>
        <v>#NAME?</v>
      </c>
      <c r="V2727" s="144" t="str">
        <f t="shared" si="85"/>
        <v>85</v>
      </c>
      <c r="W2727" s="136">
        <f>+COMPROMISOS_2025[[#This Row],[valor_total]]-COMPROMISOS_2025[[#This Row],[total_cancelado]]</f>
        <v>1423500</v>
      </c>
      <c r="X2727" s="136">
        <f>COMPROMISOS_2025[[#This Row],[total_ordenes]]</f>
        <v>1423500</v>
      </c>
      <c r="Y2727" t="str" cm="1">
        <f t="array" aca="1" ref="Y2727" ca="1">IFERROR(_xlfn.XLOOKUP(COMPROMISOS_2025[[#This Row],[concatenado]],PAA[[#All],[RCP-RUBRO]],PAA[[#All],[Actividad3]],VLOOKUP(COMPROMISOS_2025[[#This Row],[Indicador Principal]],$AC$2:$AD$17,2,0),0),"")</f>
        <v/>
      </c>
    </row>
    <row r="2728" spans="1:25" hidden="1" x14ac:dyDescent="0.25">
      <c r="A2728">
        <v>2329</v>
      </c>
      <c r="B2728" t="s">
        <v>2491</v>
      </c>
      <c r="C2728" t="s">
        <v>1936</v>
      </c>
      <c r="D2728" t="s">
        <v>3575</v>
      </c>
      <c r="F2728">
        <v>405</v>
      </c>
      <c r="G2728">
        <v>65</v>
      </c>
      <c r="H2728" t="s">
        <v>662</v>
      </c>
      <c r="I2728" t="s">
        <v>2271</v>
      </c>
      <c r="J2728">
        <v>1067625</v>
      </c>
      <c r="K2728">
        <v>2025</v>
      </c>
      <c r="L2728">
        <v>1020223807</v>
      </c>
      <c r="M2728" t="s">
        <v>4301</v>
      </c>
      <c r="N2728" t="s">
        <v>1688</v>
      </c>
      <c r="O2728" t="s">
        <v>1686</v>
      </c>
      <c r="P2728">
        <v>0</v>
      </c>
      <c r="Q2728">
        <v>1067625</v>
      </c>
      <c r="R2728">
        <v>0</v>
      </c>
      <c r="S2728">
        <v>0</v>
      </c>
      <c r="T2728" t="str">
        <f t="shared" si="84"/>
        <v>23292.43.4302.85.0-205128.2.3.3.08.06.</v>
      </c>
      <c r="U2728" t="e" cm="1">
        <f t="array" aca="1" ref="U2728" ca="1">+IF(COMPROMISOS_2025[[#This Row],[P]]="20","41080111",_xlfn.XLOOKUP(COMPROMISOS_2025[[#This Row],[concatenado]],PAA[[#All],[RCP-RUBRO]],PAA[[#All],[INDICADOR]],"",0))</f>
        <v>#NAME?</v>
      </c>
      <c r="V2728" s="144" t="str">
        <f t="shared" si="85"/>
        <v>85</v>
      </c>
      <c r="W2728" s="136">
        <f>+COMPROMISOS_2025[[#This Row],[valor_total]]-COMPROMISOS_2025[[#This Row],[total_cancelado]]</f>
        <v>1067625</v>
      </c>
      <c r="X2728" s="136">
        <f>COMPROMISOS_2025[[#This Row],[total_ordenes]]</f>
        <v>1067625</v>
      </c>
      <c r="Y2728" t="str" cm="1">
        <f t="array" aca="1" ref="Y2728" ca="1">IFERROR(_xlfn.XLOOKUP(COMPROMISOS_2025[[#This Row],[concatenado]],PAA[[#All],[RCP-RUBRO]],PAA[[#All],[Actividad3]],VLOOKUP(COMPROMISOS_2025[[#This Row],[Indicador Principal]],$AC$2:$AD$17,2,0),0),"")</f>
        <v/>
      </c>
    </row>
    <row r="2729" spans="1:25" hidden="1" x14ac:dyDescent="0.25">
      <c r="A2729">
        <v>2330</v>
      </c>
      <c r="B2729" t="s">
        <v>2491</v>
      </c>
      <c r="C2729" t="s">
        <v>1936</v>
      </c>
      <c r="D2729" t="s">
        <v>3575</v>
      </c>
      <c r="F2729">
        <v>405</v>
      </c>
      <c r="G2729">
        <v>65</v>
      </c>
      <c r="H2729" t="s">
        <v>662</v>
      </c>
      <c r="I2729" t="s">
        <v>2271</v>
      </c>
      <c r="J2729">
        <v>1423500</v>
      </c>
      <c r="K2729">
        <v>2025</v>
      </c>
      <c r="L2729">
        <v>1020302179</v>
      </c>
      <c r="M2729" t="s">
        <v>4302</v>
      </c>
      <c r="N2729" t="s">
        <v>1688</v>
      </c>
      <c r="O2729" t="s">
        <v>1686</v>
      </c>
      <c r="P2729">
        <v>0</v>
      </c>
      <c r="Q2729">
        <v>1423500</v>
      </c>
      <c r="R2729">
        <v>0</v>
      </c>
      <c r="S2729">
        <v>0</v>
      </c>
      <c r="T2729" t="str">
        <f t="shared" si="84"/>
        <v>23302.43.4302.85.0-205128.2.3.3.08.06.</v>
      </c>
      <c r="U2729" t="e" cm="1">
        <f t="array" aca="1" ref="U2729" ca="1">+IF(COMPROMISOS_2025[[#This Row],[P]]="20","41080111",_xlfn.XLOOKUP(COMPROMISOS_2025[[#This Row],[concatenado]],PAA[[#All],[RCP-RUBRO]],PAA[[#All],[INDICADOR]],"",0))</f>
        <v>#NAME?</v>
      </c>
      <c r="V2729" s="144" t="str">
        <f t="shared" si="85"/>
        <v>85</v>
      </c>
      <c r="W2729" s="136">
        <f>+COMPROMISOS_2025[[#This Row],[valor_total]]-COMPROMISOS_2025[[#This Row],[total_cancelado]]</f>
        <v>1423500</v>
      </c>
      <c r="X2729" s="136">
        <f>COMPROMISOS_2025[[#This Row],[total_ordenes]]</f>
        <v>1423500</v>
      </c>
      <c r="Y2729" t="str" cm="1">
        <f t="array" aca="1" ref="Y2729" ca="1">IFERROR(_xlfn.XLOOKUP(COMPROMISOS_2025[[#This Row],[concatenado]],PAA[[#All],[RCP-RUBRO]],PAA[[#All],[Actividad3]],VLOOKUP(COMPROMISOS_2025[[#This Row],[Indicador Principal]],$AC$2:$AD$17,2,0),0),"")</f>
        <v/>
      </c>
    </row>
    <row r="2730" spans="1:25" hidden="1" x14ac:dyDescent="0.25">
      <c r="A2730">
        <v>2334</v>
      </c>
      <c r="B2730" t="s">
        <v>2491</v>
      </c>
      <c r="C2730" t="s">
        <v>1936</v>
      </c>
      <c r="D2730" t="s">
        <v>3575</v>
      </c>
      <c r="F2730">
        <v>405</v>
      </c>
      <c r="G2730">
        <v>65</v>
      </c>
      <c r="H2730" t="s">
        <v>662</v>
      </c>
      <c r="I2730" t="s">
        <v>2271</v>
      </c>
      <c r="J2730">
        <v>2847000</v>
      </c>
      <c r="K2730">
        <v>2025</v>
      </c>
      <c r="L2730">
        <v>1020399709</v>
      </c>
      <c r="M2730" t="s">
        <v>4303</v>
      </c>
      <c r="N2730" t="s">
        <v>1688</v>
      </c>
      <c r="O2730" t="s">
        <v>1686</v>
      </c>
      <c r="P2730">
        <v>0</v>
      </c>
      <c r="Q2730">
        <v>2847000</v>
      </c>
      <c r="R2730">
        <v>0</v>
      </c>
      <c r="S2730">
        <v>0</v>
      </c>
      <c r="T2730" t="str">
        <f t="shared" si="84"/>
        <v>23342.43.4302.85.0-205128.2.3.3.08.06.</v>
      </c>
      <c r="U2730" t="e" cm="1">
        <f t="array" aca="1" ref="U2730" ca="1">+IF(COMPROMISOS_2025[[#This Row],[P]]="20","41080111",_xlfn.XLOOKUP(COMPROMISOS_2025[[#This Row],[concatenado]],PAA[[#All],[RCP-RUBRO]],PAA[[#All],[INDICADOR]],"",0))</f>
        <v>#NAME?</v>
      </c>
      <c r="V2730" s="144" t="str">
        <f t="shared" si="85"/>
        <v>85</v>
      </c>
      <c r="W2730" s="136">
        <f>+COMPROMISOS_2025[[#This Row],[valor_total]]-COMPROMISOS_2025[[#This Row],[total_cancelado]]</f>
        <v>2847000</v>
      </c>
      <c r="X2730" s="136">
        <f>COMPROMISOS_2025[[#This Row],[total_ordenes]]</f>
        <v>2847000</v>
      </c>
      <c r="Y2730" t="str" cm="1">
        <f t="array" aca="1" ref="Y2730" ca="1">IFERROR(_xlfn.XLOOKUP(COMPROMISOS_2025[[#This Row],[concatenado]],PAA[[#All],[RCP-RUBRO]],PAA[[#All],[Actividad3]],VLOOKUP(COMPROMISOS_2025[[#This Row],[Indicador Principal]],$AC$2:$AD$17,2,0),0),"")</f>
        <v/>
      </c>
    </row>
    <row r="2731" spans="1:25" hidden="1" x14ac:dyDescent="0.25">
      <c r="A2731">
        <v>2336</v>
      </c>
      <c r="B2731" t="s">
        <v>2491</v>
      </c>
      <c r="C2731" t="s">
        <v>1936</v>
      </c>
      <c r="D2731" t="s">
        <v>3575</v>
      </c>
      <c r="F2731">
        <v>405</v>
      </c>
      <c r="G2731">
        <v>65</v>
      </c>
      <c r="H2731" t="s">
        <v>662</v>
      </c>
      <c r="I2731" t="s">
        <v>2271</v>
      </c>
      <c r="J2731">
        <v>1067625</v>
      </c>
      <c r="K2731">
        <v>2025</v>
      </c>
      <c r="L2731">
        <v>1020462194</v>
      </c>
      <c r="M2731" t="s">
        <v>4304</v>
      </c>
      <c r="N2731" t="s">
        <v>1688</v>
      </c>
      <c r="O2731" t="s">
        <v>1686</v>
      </c>
      <c r="P2731">
        <v>0</v>
      </c>
      <c r="Q2731">
        <v>1067625</v>
      </c>
      <c r="R2731">
        <v>0</v>
      </c>
      <c r="S2731">
        <v>0</v>
      </c>
      <c r="T2731" t="str">
        <f t="shared" si="84"/>
        <v>23362.43.4302.85.0-205128.2.3.3.08.06.</v>
      </c>
      <c r="U2731" t="e" cm="1">
        <f t="array" aca="1" ref="U2731" ca="1">+IF(COMPROMISOS_2025[[#This Row],[P]]="20","41080111",_xlfn.XLOOKUP(COMPROMISOS_2025[[#This Row],[concatenado]],PAA[[#All],[RCP-RUBRO]],PAA[[#All],[INDICADOR]],"",0))</f>
        <v>#NAME?</v>
      </c>
      <c r="V2731" s="144" t="str">
        <f t="shared" si="85"/>
        <v>85</v>
      </c>
      <c r="W2731" s="136">
        <f>+COMPROMISOS_2025[[#This Row],[valor_total]]-COMPROMISOS_2025[[#This Row],[total_cancelado]]</f>
        <v>1067625</v>
      </c>
      <c r="X2731" s="136">
        <f>COMPROMISOS_2025[[#This Row],[total_ordenes]]</f>
        <v>1067625</v>
      </c>
      <c r="Y2731" t="str" cm="1">
        <f t="array" aca="1" ref="Y2731" ca="1">IFERROR(_xlfn.XLOOKUP(COMPROMISOS_2025[[#This Row],[concatenado]],PAA[[#All],[RCP-RUBRO]],PAA[[#All],[Actividad3]],VLOOKUP(COMPROMISOS_2025[[#This Row],[Indicador Principal]],$AC$2:$AD$17,2,0),0),"")</f>
        <v/>
      </c>
    </row>
    <row r="2732" spans="1:25" hidden="1" x14ac:dyDescent="0.25">
      <c r="A2732">
        <v>2337</v>
      </c>
      <c r="B2732" t="s">
        <v>2491</v>
      </c>
      <c r="C2732" t="s">
        <v>1936</v>
      </c>
      <c r="D2732" t="s">
        <v>3575</v>
      </c>
      <c r="F2732">
        <v>405</v>
      </c>
      <c r="G2732">
        <v>65</v>
      </c>
      <c r="H2732" t="s">
        <v>662</v>
      </c>
      <c r="I2732" t="s">
        <v>2271</v>
      </c>
      <c r="J2732">
        <v>711750</v>
      </c>
      <c r="K2732">
        <v>2025</v>
      </c>
      <c r="L2732">
        <v>1020464040</v>
      </c>
      <c r="M2732" t="s">
        <v>4305</v>
      </c>
      <c r="N2732" t="s">
        <v>1688</v>
      </c>
      <c r="O2732" t="s">
        <v>1686</v>
      </c>
      <c r="P2732">
        <v>0</v>
      </c>
      <c r="Q2732">
        <v>711750</v>
      </c>
      <c r="R2732">
        <v>0</v>
      </c>
      <c r="S2732">
        <v>0</v>
      </c>
      <c r="T2732" t="str">
        <f t="shared" si="84"/>
        <v>23372.43.4302.85.0-205128.2.3.3.08.06.</v>
      </c>
      <c r="U2732" t="e" cm="1">
        <f t="array" aca="1" ref="U2732" ca="1">+IF(COMPROMISOS_2025[[#This Row],[P]]="20","41080111",_xlfn.XLOOKUP(COMPROMISOS_2025[[#This Row],[concatenado]],PAA[[#All],[RCP-RUBRO]],PAA[[#All],[INDICADOR]],"",0))</f>
        <v>#NAME?</v>
      </c>
      <c r="V2732" s="144" t="str">
        <f t="shared" si="85"/>
        <v>85</v>
      </c>
      <c r="W2732" s="136">
        <f>+COMPROMISOS_2025[[#This Row],[valor_total]]-COMPROMISOS_2025[[#This Row],[total_cancelado]]</f>
        <v>711750</v>
      </c>
      <c r="X2732" s="136">
        <f>COMPROMISOS_2025[[#This Row],[total_ordenes]]</f>
        <v>711750</v>
      </c>
      <c r="Y2732" t="str" cm="1">
        <f t="array" aca="1" ref="Y2732" ca="1">IFERROR(_xlfn.XLOOKUP(COMPROMISOS_2025[[#This Row],[concatenado]],PAA[[#All],[RCP-RUBRO]],PAA[[#All],[Actividad3]],VLOOKUP(COMPROMISOS_2025[[#This Row],[Indicador Principal]],$AC$2:$AD$17,2,0),0),"")</f>
        <v/>
      </c>
    </row>
    <row r="2733" spans="1:25" hidden="1" x14ac:dyDescent="0.25">
      <c r="A2733">
        <v>2338</v>
      </c>
      <c r="B2733" t="s">
        <v>2491</v>
      </c>
      <c r="C2733" t="s">
        <v>1936</v>
      </c>
      <c r="D2733" t="s">
        <v>3575</v>
      </c>
      <c r="F2733">
        <v>405</v>
      </c>
      <c r="G2733">
        <v>65</v>
      </c>
      <c r="H2733" t="s">
        <v>662</v>
      </c>
      <c r="I2733" t="s">
        <v>2271</v>
      </c>
      <c r="J2733">
        <v>1067625</v>
      </c>
      <c r="K2733">
        <v>2025</v>
      </c>
      <c r="L2733">
        <v>1020467552</v>
      </c>
      <c r="M2733" t="s">
        <v>4306</v>
      </c>
      <c r="N2733" t="s">
        <v>1688</v>
      </c>
      <c r="O2733" t="s">
        <v>1686</v>
      </c>
      <c r="P2733">
        <v>0</v>
      </c>
      <c r="Q2733">
        <v>1067625</v>
      </c>
      <c r="R2733">
        <v>0</v>
      </c>
      <c r="S2733">
        <v>0</v>
      </c>
      <c r="T2733" t="str">
        <f t="shared" si="84"/>
        <v>23382.43.4302.85.0-205128.2.3.3.08.06.</v>
      </c>
      <c r="U2733" t="e" cm="1">
        <f t="array" aca="1" ref="U2733" ca="1">+IF(COMPROMISOS_2025[[#This Row],[P]]="20","41080111",_xlfn.XLOOKUP(COMPROMISOS_2025[[#This Row],[concatenado]],PAA[[#All],[RCP-RUBRO]],PAA[[#All],[INDICADOR]],"",0))</f>
        <v>#NAME?</v>
      </c>
      <c r="V2733" s="144" t="str">
        <f t="shared" si="85"/>
        <v>85</v>
      </c>
      <c r="W2733" s="136">
        <f>+COMPROMISOS_2025[[#This Row],[valor_total]]-COMPROMISOS_2025[[#This Row],[total_cancelado]]</f>
        <v>1067625</v>
      </c>
      <c r="X2733" s="136">
        <f>COMPROMISOS_2025[[#This Row],[total_ordenes]]</f>
        <v>1067625</v>
      </c>
      <c r="Y2733" t="str" cm="1">
        <f t="array" aca="1" ref="Y2733" ca="1">IFERROR(_xlfn.XLOOKUP(COMPROMISOS_2025[[#This Row],[concatenado]],PAA[[#All],[RCP-RUBRO]],PAA[[#All],[Actividad3]],VLOOKUP(COMPROMISOS_2025[[#This Row],[Indicador Principal]],$AC$2:$AD$17,2,0),0),"")</f>
        <v/>
      </c>
    </row>
    <row r="2734" spans="1:25" hidden="1" x14ac:dyDescent="0.25">
      <c r="A2734">
        <v>2339</v>
      </c>
      <c r="B2734" t="s">
        <v>2491</v>
      </c>
      <c r="C2734" t="s">
        <v>1936</v>
      </c>
      <c r="D2734" t="s">
        <v>3575</v>
      </c>
      <c r="F2734">
        <v>405</v>
      </c>
      <c r="G2734">
        <v>65</v>
      </c>
      <c r="H2734" t="s">
        <v>662</v>
      </c>
      <c r="I2734" t="s">
        <v>2271</v>
      </c>
      <c r="J2734">
        <v>711750</v>
      </c>
      <c r="K2734">
        <v>2025</v>
      </c>
      <c r="L2734">
        <v>1020473191</v>
      </c>
      <c r="M2734" t="s">
        <v>4307</v>
      </c>
      <c r="N2734" t="s">
        <v>1688</v>
      </c>
      <c r="O2734" t="s">
        <v>1686</v>
      </c>
      <c r="P2734">
        <v>0</v>
      </c>
      <c r="Q2734">
        <v>711750</v>
      </c>
      <c r="R2734">
        <v>0</v>
      </c>
      <c r="S2734">
        <v>0</v>
      </c>
      <c r="T2734" t="str">
        <f t="shared" si="84"/>
        <v>23392.43.4302.85.0-205128.2.3.3.08.06.</v>
      </c>
      <c r="U2734" t="e" cm="1">
        <f t="array" aca="1" ref="U2734" ca="1">+IF(COMPROMISOS_2025[[#This Row],[P]]="20","41080111",_xlfn.XLOOKUP(COMPROMISOS_2025[[#This Row],[concatenado]],PAA[[#All],[RCP-RUBRO]],PAA[[#All],[INDICADOR]],"",0))</f>
        <v>#NAME?</v>
      </c>
      <c r="V2734" s="144" t="str">
        <f t="shared" si="85"/>
        <v>85</v>
      </c>
      <c r="W2734" s="136">
        <f>+COMPROMISOS_2025[[#This Row],[valor_total]]-COMPROMISOS_2025[[#This Row],[total_cancelado]]</f>
        <v>711750</v>
      </c>
      <c r="X2734" s="136">
        <f>COMPROMISOS_2025[[#This Row],[total_ordenes]]</f>
        <v>711750</v>
      </c>
      <c r="Y2734" t="str" cm="1">
        <f t="array" aca="1" ref="Y2734" ca="1">IFERROR(_xlfn.XLOOKUP(COMPROMISOS_2025[[#This Row],[concatenado]],PAA[[#All],[RCP-RUBRO]],PAA[[#All],[Actividad3]],VLOOKUP(COMPROMISOS_2025[[#This Row],[Indicador Principal]],$AC$2:$AD$17,2,0),0),"")</f>
        <v/>
      </c>
    </row>
    <row r="2735" spans="1:25" hidden="1" x14ac:dyDescent="0.25">
      <c r="A2735">
        <v>2340</v>
      </c>
      <c r="B2735" t="s">
        <v>2491</v>
      </c>
      <c r="C2735" t="s">
        <v>1936</v>
      </c>
      <c r="D2735" t="s">
        <v>3575</v>
      </c>
      <c r="F2735">
        <v>405</v>
      </c>
      <c r="G2735">
        <v>65</v>
      </c>
      <c r="H2735" t="s">
        <v>662</v>
      </c>
      <c r="I2735" t="s">
        <v>2271</v>
      </c>
      <c r="J2735">
        <v>1067625</v>
      </c>
      <c r="K2735">
        <v>2025</v>
      </c>
      <c r="L2735">
        <v>1020490926</v>
      </c>
      <c r="M2735" t="s">
        <v>4029</v>
      </c>
      <c r="N2735" t="s">
        <v>1688</v>
      </c>
      <c r="O2735" t="s">
        <v>1686</v>
      </c>
      <c r="P2735">
        <v>0</v>
      </c>
      <c r="Q2735">
        <v>1067625</v>
      </c>
      <c r="R2735">
        <v>0</v>
      </c>
      <c r="S2735">
        <v>0</v>
      </c>
      <c r="T2735" t="str">
        <f t="shared" si="84"/>
        <v>23402.43.4302.85.0-205128.2.3.3.08.06.</v>
      </c>
      <c r="U2735" t="e" cm="1">
        <f t="array" aca="1" ref="U2735" ca="1">+IF(COMPROMISOS_2025[[#This Row],[P]]="20","41080111",_xlfn.XLOOKUP(COMPROMISOS_2025[[#This Row],[concatenado]],PAA[[#All],[RCP-RUBRO]],PAA[[#All],[INDICADOR]],"",0))</f>
        <v>#NAME?</v>
      </c>
      <c r="V2735" s="144" t="str">
        <f t="shared" si="85"/>
        <v>85</v>
      </c>
      <c r="W2735" s="136">
        <f>+COMPROMISOS_2025[[#This Row],[valor_total]]-COMPROMISOS_2025[[#This Row],[total_cancelado]]</f>
        <v>1067625</v>
      </c>
      <c r="X2735" s="136">
        <f>COMPROMISOS_2025[[#This Row],[total_ordenes]]</f>
        <v>1067625</v>
      </c>
      <c r="Y2735" t="str" cm="1">
        <f t="array" aca="1" ref="Y2735" ca="1">IFERROR(_xlfn.XLOOKUP(COMPROMISOS_2025[[#This Row],[concatenado]],PAA[[#All],[RCP-RUBRO]],PAA[[#All],[Actividad3]],VLOOKUP(COMPROMISOS_2025[[#This Row],[Indicador Principal]],$AC$2:$AD$17,2,0),0),"")</f>
        <v/>
      </c>
    </row>
    <row r="2736" spans="1:25" hidden="1" x14ac:dyDescent="0.25">
      <c r="A2736">
        <v>2341</v>
      </c>
      <c r="B2736" t="s">
        <v>2491</v>
      </c>
      <c r="C2736" t="s">
        <v>1936</v>
      </c>
      <c r="D2736" t="s">
        <v>3575</v>
      </c>
      <c r="F2736">
        <v>405</v>
      </c>
      <c r="G2736">
        <v>65</v>
      </c>
      <c r="H2736" t="s">
        <v>662</v>
      </c>
      <c r="I2736" t="s">
        <v>2271</v>
      </c>
      <c r="J2736">
        <v>711750</v>
      </c>
      <c r="K2736">
        <v>2025</v>
      </c>
      <c r="L2736">
        <v>1020731919</v>
      </c>
      <c r="M2736" t="s">
        <v>4308</v>
      </c>
      <c r="N2736" t="s">
        <v>1688</v>
      </c>
      <c r="O2736" t="s">
        <v>1686</v>
      </c>
      <c r="P2736">
        <v>0</v>
      </c>
      <c r="Q2736">
        <v>711750</v>
      </c>
      <c r="R2736">
        <v>0</v>
      </c>
      <c r="S2736">
        <v>0</v>
      </c>
      <c r="T2736" t="str">
        <f t="shared" si="84"/>
        <v>23412.43.4302.85.0-205128.2.3.3.08.06.</v>
      </c>
      <c r="U2736" t="e" cm="1">
        <f t="array" aca="1" ref="U2736" ca="1">+IF(COMPROMISOS_2025[[#This Row],[P]]="20","41080111",_xlfn.XLOOKUP(COMPROMISOS_2025[[#This Row],[concatenado]],PAA[[#All],[RCP-RUBRO]],PAA[[#All],[INDICADOR]],"",0))</f>
        <v>#NAME?</v>
      </c>
      <c r="V2736" s="144" t="str">
        <f t="shared" si="85"/>
        <v>85</v>
      </c>
      <c r="W2736" s="136">
        <f>+COMPROMISOS_2025[[#This Row],[valor_total]]-COMPROMISOS_2025[[#This Row],[total_cancelado]]</f>
        <v>711750</v>
      </c>
      <c r="X2736" s="136">
        <f>COMPROMISOS_2025[[#This Row],[total_ordenes]]</f>
        <v>711750</v>
      </c>
      <c r="Y2736" t="str" cm="1">
        <f t="array" aca="1" ref="Y2736" ca="1">IFERROR(_xlfn.XLOOKUP(COMPROMISOS_2025[[#This Row],[concatenado]],PAA[[#All],[RCP-RUBRO]],PAA[[#All],[Actividad3]],VLOOKUP(COMPROMISOS_2025[[#This Row],[Indicador Principal]],$AC$2:$AD$17,2,0),0),"")</f>
        <v/>
      </c>
    </row>
    <row r="2737" spans="1:25" hidden="1" x14ac:dyDescent="0.25">
      <c r="A2737">
        <v>2346</v>
      </c>
      <c r="B2737" t="s">
        <v>2491</v>
      </c>
      <c r="C2737" t="s">
        <v>1936</v>
      </c>
      <c r="D2737" t="s">
        <v>3575</v>
      </c>
      <c r="F2737">
        <v>405</v>
      </c>
      <c r="G2737">
        <v>65</v>
      </c>
      <c r="H2737" t="s">
        <v>662</v>
      </c>
      <c r="I2737" t="s">
        <v>2271</v>
      </c>
      <c r="J2737">
        <v>1067625</v>
      </c>
      <c r="K2737">
        <v>2025</v>
      </c>
      <c r="L2737">
        <v>1021924359</v>
      </c>
      <c r="M2737" t="s">
        <v>3674</v>
      </c>
      <c r="N2737" t="s">
        <v>1688</v>
      </c>
      <c r="O2737" t="s">
        <v>1686</v>
      </c>
      <c r="P2737">
        <v>0</v>
      </c>
      <c r="Q2737">
        <v>1067625</v>
      </c>
      <c r="R2737">
        <v>0</v>
      </c>
      <c r="S2737">
        <v>0</v>
      </c>
      <c r="T2737" t="str">
        <f t="shared" si="84"/>
        <v>23462.43.4302.85.0-205128.2.3.3.08.06.</v>
      </c>
      <c r="U2737" t="e" cm="1">
        <f t="array" aca="1" ref="U2737" ca="1">+IF(COMPROMISOS_2025[[#This Row],[P]]="20","41080111",_xlfn.XLOOKUP(COMPROMISOS_2025[[#This Row],[concatenado]],PAA[[#All],[RCP-RUBRO]],PAA[[#All],[INDICADOR]],"",0))</f>
        <v>#NAME?</v>
      </c>
      <c r="V2737" s="144" t="str">
        <f t="shared" si="85"/>
        <v>85</v>
      </c>
      <c r="W2737" s="136">
        <f>+COMPROMISOS_2025[[#This Row],[valor_total]]-COMPROMISOS_2025[[#This Row],[total_cancelado]]</f>
        <v>1067625</v>
      </c>
      <c r="X2737" s="136">
        <f>COMPROMISOS_2025[[#This Row],[total_ordenes]]</f>
        <v>1067625</v>
      </c>
      <c r="Y2737" t="str" cm="1">
        <f t="array" aca="1" ref="Y2737" ca="1">IFERROR(_xlfn.XLOOKUP(COMPROMISOS_2025[[#This Row],[concatenado]],PAA[[#All],[RCP-RUBRO]],PAA[[#All],[Actividad3]],VLOOKUP(COMPROMISOS_2025[[#This Row],[Indicador Principal]],$AC$2:$AD$17,2,0),0),"")</f>
        <v/>
      </c>
    </row>
    <row r="2738" spans="1:25" hidden="1" x14ac:dyDescent="0.25">
      <c r="A2738">
        <v>2348</v>
      </c>
      <c r="B2738" t="s">
        <v>2491</v>
      </c>
      <c r="C2738" t="s">
        <v>1936</v>
      </c>
      <c r="D2738" t="s">
        <v>3575</v>
      </c>
      <c r="F2738">
        <v>405</v>
      </c>
      <c r="G2738">
        <v>65</v>
      </c>
      <c r="H2738" t="s">
        <v>662</v>
      </c>
      <c r="I2738" t="s">
        <v>2271</v>
      </c>
      <c r="J2738">
        <v>711750</v>
      </c>
      <c r="K2738">
        <v>2025</v>
      </c>
      <c r="L2738">
        <v>1021927047</v>
      </c>
      <c r="M2738" t="s">
        <v>4310</v>
      </c>
      <c r="N2738" t="s">
        <v>1688</v>
      </c>
      <c r="O2738" t="s">
        <v>1686</v>
      </c>
      <c r="P2738">
        <v>0</v>
      </c>
      <c r="Q2738">
        <v>711750</v>
      </c>
      <c r="R2738">
        <v>0</v>
      </c>
      <c r="S2738">
        <v>0</v>
      </c>
      <c r="T2738" t="str">
        <f t="shared" si="84"/>
        <v>23482.43.4302.85.0-205128.2.3.3.08.06.</v>
      </c>
      <c r="U2738" t="e" cm="1">
        <f t="array" aca="1" ref="U2738" ca="1">+IF(COMPROMISOS_2025[[#This Row],[P]]="20","41080111",_xlfn.XLOOKUP(COMPROMISOS_2025[[#This Row],[concatenado]],PAA[[#All],[RCP-RUBRO]],PAA[[#All],[INDICADOR]],"",0))</f>
        <v>#NAME?</v>
      </c>
      <c r="V2738" s="144" t="str">
        <f t="shared" si="85"/>
        <v>85</v>
      </c>
      <c r="W2738" s="136">
        <f>+COMPROMISOS_2025[[#This Row],[valor_total]]-COMPROMISOS_2025[[#This Row],[total_cancelado]]</f>
        <v>711750</v>
      </c>
      <c r="X2738" s="136">
        <f>COMPROMISOS_2025[[#This Row],[total_ordenes]]</f>
        <v>711750</v>
      </c>
      <c r="Y2738" t="str" cm="1">
        <f t="array" aca="1" ref="Y2738" ca="1">IFERROR(_xlfn.XLOOKUP(COMPROMISOS_2025[[#This Row],[concatenado]],PAA[[#All],[RCP-RUBRO]],PAA[[#All],[Actividad3]],VLOOKUP(COMPROMISOS_2025[[#This Row],[Indicador Principal]],$AC$2:$AD$17,2,0),0),"")</f>
        <v/>
      </c>
    </row>
    <row r="2739" spans="1:25" hidden="1" x14ac:dyDescent="0.25">
      <c r="A2739">
        <v>2349</v>
      </c>
      <c r="B2739" t="s">
        <v>2491</v>
      </c>
      <c r="C2739" t="s">
        <v>1936</v>
      </c>
      <c r="D2739" t="s">
        <v>3575</v>
      </c>
      <c r="F2739">
        <v>405</v>
      </c>
      <c r="G2739">
        <v>65</v>
      </c>
      <c r="H2739" t="s">
        <v>662</v>
      </c>
      <c r="I2739" t="s">
        <v>2271</v>
      </c>
      <c r="J2739">
        <v>1067625</v>
      </c>
      <c r="K2739">
        <v>2025</v>
      </c>
      <c r="L2739">
        <v>1022002744</v>
      </c>
      <c r="M2739" t="s">
        <v>4311</v>
      </c>
      <c r="N2739" t="s">
        <v>1688</v>
      </c>
      <c r="O2739" t="s">
        <v>1686</v>
      </c>
      <c r="P2739">
        <v>0</v>
      </c>
      <c r="Q2739">
        <v>1067625</v>
      </c>
      <c r="R2739">
        <v>0</v>
      </c>
      <c r="S2739">
        <v>0</v>
      </c>
      <c r="T2739" t="str">
        <f t="shared" si="84"/>
        <v>23492.43.4302.85.0-205128.2.3.3.08.06.</v>
      </c>
      <c r="U2739" t="e" cm="1">
        <f t="array" aca="1" ref="U2739" ca="1">+IF(COMPROMISOS_2025[[#This Row],[P]]="20","41080111",_xlfn.XLOOKUP(COMPROMISOS_2025[[#This Row],[concatenado]],PAA[[#All],[RCP-RUBRO]],PAA[[#All],[INDICADOR]],"",0))</f>
        <v>#NAME?</v>
      </c>
      <c r="V2739" s="144" t="str">
        <f t="shared" si="85"/>
        <v>85</v>
      </c>
      <c r="W2739" s="136">
        <f>+COMPROMISOS_2025[[#This Row],[valor_total]]-COMPROMISOS_2025[[#This Row],[total_cancelado]]</f>
        <v>1067625</v>
      </c>
      <c r="X2739" s="136">
        <f>COMPROMISOS_2025[[#This Row],[total_ordenes]]</f>
        <v>1067625</v>
      </c>
      <c r="Y2739" t="str" cm="1">
        <f t="array" aca="1" ref="Y2739" ca="1">IFERROR(_xlfn.XLOOKUP(COMPROMISOS_2025[[#This Row],[concatenado]],PAA[[#All],[RCP-RUBRO]],PAA[[#All],[Actividad3]],VLOOKUP(COMPROMISOS_2025[[#This Row],[Indicador Principal]],$AC$2:$AD$17,2,0),0),"")</f>
        <v/>
      </c>
    </row>
    <row r="2740" spans="1:25" hidden="1" x14ac:dyDescent="0.25">
      <c r="A2740">
        <v>2350</v>
      </c>
      <c r="B2740" t="s">
        <v>2491</v>
      </c>
      <c r="C2740" t="s">
        <v>1936</v>
      </c>
      <c r="D2740" t="s">
        <v>3575</v>
      </c>
      <c r="F2740">
        <v>405</v>
      </c>
      <c r="G2740">
        <v>65</v>
      </c>
      <c r="H2740" t="s">
        <v>662</v>
      </c>
      <c r="I2740" t="s">
        <v>2271</v>
      </c>
      <c r="J2740">
        <v>1067625</v>
      </c>
      <c r="K2740">
        <v>2025</v>
      </c>
      <c r="L2740">
        <v>1022003119</v>
      </c>
      <c r="M2740" t="s">
        <v>4312</v>
      </c>
      <c r="N2740" t="s">
        <v>1688</v>
      </c>
      <c r="O2740" t="s">
        <v>1686</v>
      </c>
      <c r="P2740">
        <v>0</v>
      </c>
      <c r="Q2740">
        <v>1067625</v>
      </c>
      <c r="R2740">
        <v>0</v>
      </c>
      <c r="S2740">
        <v>0</v>
      </c>
      <c r="T2740" t="str">
        <f t="shared" si="84"/>
        <v>23502.43.4302.85.0-205128.2.3.3.08.06.</v>
      </c>
      <c r="U2740" t="e" cm="1">
        <f t="array" aca="1" ref="U2740" ca="1">+IF(COMPROMISOS_2025[[#This Row],[P]]="20","41080111",_xlfn.XLOOKUP(COMPROMISOS_2025[[#This Row],[concatenado]],PAA[[#All],[RCP-RUBRO]],PAA[[#All],[INDICADOR]],"",0))</f>
        <v>#NAME?</v>
      </c>
      <c r="V2740" s="144" t="str">
        <f t="shared" si="85"/>
        <v>85</v>
      </c>
      <c r="W2740" s="136">
        <f>+COMPROMISOS_2025[[#This Row],[valor_total]]-COMPROMISOS_2025[[#This Row],[total_cancelado]]</f>
        <v>1067625</v>
      </c>
      <c r="X2740" s="136">
        <f>COMPROMISOS_2025[[#This Row],[total_ordenes]]</f>
        <v>1067625</v>
      </c>
      <c r="Y2740" t="str" cm="1">
        <f t="array" aca="1" ref="Y2740" ca="1">IFERROR(_xlfn.XLOOKUP(COMPROMISOS_2025[[#This Row],[concatenado]],PAA[[#All],[RCP-RUBRO]],PAA[[#All],[Actividad3]],VLOOKUP(COMPROMISOS_2025[[#This Row],[Indicador Principal]],$AC$2:$AD$17,2,0),0),"")</f>
        <v/>
      </c>
    </row>
    <row r="2741" spans="1:25" hidden="1" x14ac:dyDescent="0.25">
      <c r="A2741">
        <v>2354</v>
      </c>
      <c r="B2741" t="s">
        <v>2491</v>
      </c>
      <c r="C2741" t="s">
        <v>1936</v>
      </c>
      <c r="D2741" t="s">
        <v>3575</v>
      </c>
      <c r="F2741">
        <v>405</v>
      </c>
      <c r="G2741">
        <v>65</v>
      </c>
      <c r="H2741" t="s">
        <v>662</v>
      </c>
      <c r="I2741" t="s">
        <v>2271</v>
      </c>
      <c r="J2741">
        <v>1067625</v>
      </c>
      <c r="K2741">
        <v>2025</v>
      </c>
      <c r="L2741">
        <v>10221538121</v>
      </c>
      <c r="M2741" t="s">
        <v>3679</v>
      </c>
      <c r="N2741" t="s">
        <v>1688</v>
      </c>
      <c r="O2741" t="s">
        <v>1686</v>
      </c>
      <c r="P2741">
        <v>0</v>
      </c>
      <c r="Q2741">
        <v>1067625</v>
      </c>
      <c r="R2741">
        <v>0</v>
      </c>
      <c r="S2741">
        <v>0</v>
      </c>
      <c r="T2741" t="str">
        <f t="shared" si="84"/>
        <v>23542.43.4302.85.0-205128.2.3.3.08.06.</v>
      </c>
      <c r="U2741" t="e" cm="1">
        <f t="array" aca="1" ref="U2741" ca="1">+IF(COMPROMISOS_2025[[#This Row],[P]]="20","41080111",_xlfn.XLOOKUP(COMPROMISOS_2025[[#This Row],[concatenado]],PAA[[#All],[RCP-RUBRO]],PAA[[#All],[INDICADOR]],"",0))</f>
        <v>#NAME?</v>
      </c>
      <c r="V2741" s="144" t="str">
        <f t="shared" si="85"/>
        <v>85</v>
      </c>
      <c r="W2741" s="136">
        <f>+COMPROMISOS_2025[[#This Row],[valor_total]]-COMPROMISOS_2025[[#This Row],[total_cancelado]]</f>
        <v>1067625</v>
      </c>
      <c r="X2741" s="136">
        <f>COMPROMISOS_2025[[#This Row],[total_ordenes]]</f>
        <v>1067625</v>
      </c>
      <c r="Y2741" t="str" cm="1">
        <f t="array" aca="1" ref="Y2741" ca="1">IFERROR(_xlfn.XLOOKUP(COMPROMISOS_2025[[#This Row],[concatenado]],PAA[[#All],[RCP-RUBRO]],PAA[[#All],[Actividad3]],VLOOKUP(COMPROMISOS_2025[[#This Row],[Indicador Principal]],$AC$2:$AD$17,2,0),0),"")</f>
        <v/>
      </c>
    </row>
    <row r="2742" spans="1:25" hidden="1" x14ac:dyDescent="0.25">
      <c r="A2742">
        <v>2355</v>
      </c>
      <c r="B2742" t="s">
        <v>2491</v>
      </c>
      <c r="C2742" t="s">
        <v>1936</v>
      </c>
      <c r="D2742" t="s">
        <v>3575</v>
      </c>
      <c r="F2742">
        <v>405</v>
      </c>
      <c r="G2742">
        <v>65</v>
      </c>
      <c r="H2742" t="s">
        <v>662</v>
      </c>
      <c r="I2742" t="s">
        <v>2271</v>
      </c>
      <c r="J2742">
        <v>2847000</v>
      </c>
      <c r="K2742">
        <v>2025</v>
      </c>
      <c r="L2742">
        <v>1023374722</v>
      </c>
      <c r="M2742" t="s">
        <v>4033</v>
      </c>
      <c r="N2742" t="s">
        <v>1688</v>
      </c>
      <c r="O2742" t="s">
        <v>1686</v>
      </c>
      <c r="P2742">
        <v>0</v>
      </c>
      <c r="Q2742">
        <v>2847000</v>
      </c>
      <c r="R2742">
        <v>0</v>
      </c>
      <c r="S2742">
        <v>0</v>
      </c>
      <c r="T2742" t="str">
        <f t="shared" si="84"/>
        <v>23552.43.4302.85.0-205128.2.3.3.08.06.</v>
      </c>
      <c r="U2742" t="e" cm="1">
        <f t="array" aca="1" ref="U2742" ca="1">+IF(COMPROMISOS_2025[[#This Row],[P]]="20","41080111",_xlfn.XLOOKUP(COMPROMISOS_2025[[#This Row],[concatenado]],PAA[[#All],[RCP-RUBRO]],PAA[[#All],[INDICADOR]],"",0))</f>
        <v>#NAME?</v>
      </c>
      <c r="V2742" s="144" t="str">
        <f t="shared" si="85"/>
        <v>85</v>
      </c>
      <c r="W2742" s="136">
        <f>+COMPROMISOS_2025[[#This Row],[valor_total]]-COMPROMISOS_2025[[#This Row],[total_cancelado]]</f>
        <v>2847000</v>
      </c>
      <c r="X2742" s="136">
        <f>COMPROMISOS_2025[[#This Row],[total_ordenes]]</f>
        <v>2847000</v>
      </c>
      <c r="Y2742" t="str" cm="1">
        <f t="array" aca="1" ref="Y2742" ca="1">IFERROR(_xlfn.XLOOKUP(COMPROMISOS_2025[[#This Row],[concatenado]],PAA[[#All],[RCP-RUBRO]],PAA[[#All],[Actividad3]],VLOOKUP(COMPROMISOS_2025[[#This Row],[Indicador Principal]],$AC$2:$AD$17,2,0),0),"")</f>
        <v/>
      </c>
    </row>
    <row r="2743" spans="1:25" hidden="1" x14ac:dyDescent="0.25">
      <c r="A2743">
        <v>2356</v>
      </c>
      <c r="B2743" t="s">
        <v>2491</v>
      </c>
      <c r="C2743" t="s">
        <v>1936</v>
      </c>
      <c r="D2743" t="s">
        <v>3575</v>
      </c>
      <c r="F2743">
        <v>405</v>
      </c>
      <c r="G2743">
        <v>65</v>
      </c>
      <c r="H2743" t="s">
        <v>662</v>
      </c>
      <c r="I2743" t="s">
        <v>2271</v>
      </c>
      <c r="J2743">
        <v>711750</v>
      </c>
      <c r="K2743">
        <v>2025</v>
      </c>
      <c r="L2743">
        <v>1023385897</v>
      </c>
      <c r="M2743" t="s">
        <v>4313</v>
      </c>
      <c r="N2743" t="s">
        <v>1688</v>
      </c>
      <c r="O2743" t="s">
        <v>1686</v>
      </c>
      <c r="P2743">
        <v>0</v>
      </c>
      <c r="Q2743">
        <v>711750</v>
      </c>
      <c r="R2743">
        <v>0</v>
      </c>
      <c r="S2743">
        <v>0</v>
      </c>
      <c r="T2743" t="str">
        <f t="shared" si="84"/>
        <v>23562.43.4302.85.0-205128.2.3.3.08.06.</v>
      </c>
      <c r="U2743" t="e" cm="1">
        <f t="array" aca="1" ref="U2743" ca="1">+IF(COMPROMISOS_2025[[#This Row],[P]]="20","41080111",_xlfn.XLOOKUP(COMPROMISOS_2025[[#This Row],[concatenado]],PAA[[#All],[RCP-RUBRO]],PAA[[#All],[INDICADOR]],"",0))</f>
        <v>#NAME?</v>
      </c>
      <c r="V2743" s="144" t="str">
        <f t="shared" si="85"/>
        <v>85</v>
      </c>
      <c r="W2743" s="136">
        <f>+COMPROMISOS_2025[[#This Row],[valor_total]]-COMPROMISOS_2025[[#This Row],[total_cancelado]]</f>
        <v>711750</v>
      </c>
      <c r="X2743" s="136">
        <f>COMPROMISOS_2025[[#This Row],[total_ordenes]]</f>
        <v>711750</v>
      </c>
      <c r="Y2743" t="str" cm="1">
        <f t="array" aca="1" ref="Y2743" ca="1">IFERROR(_xlfn.XLOOKUP(COMPROMISOS_2025[[#This Row],[concatenado]],PAA[[#All],[RCP-RUBRO]],PAA[[#All],[Actividad3]],VLOOKUP(COMPROMISOS_2025[[#This Row],[Indicador Principal]],$AC$2:$AD$17,2,0),0),"")</f>
        <v/>
      </c>
    </row>
    <row r="2744" spans="1:25" hidden="1" x14ac:dyDescent="0.25">
      <c r="A2744">
        <v>2359</v>
      </c>
      <c r="B2744" t="s">
        <v>2491</v>
      </c>
      <c r="C2744" t="s">
        <v>1936</v>
      </c>
      <c r="D2744" t="s">
        <v>3575</v>
      </c>
      <c r="F2744">
        <v>405</v>
      </c>
      <c r="G2744">
        <v>65</v>
      </c>
      <c r="H2744" t="s">
        <v>662</v>
      </c>
      <c r="I2744" t="s">
        <v>2271</v>
      </c>
      <c r="J2744">
        <v>711750</v>
      </c>
      <c r="K2744">
        <v>2025</v>
      </c>
      <c r="L2744">
        <v>1023524988</v>
      </c>
      <c r="M2744" t="s">
        <v>4314</v>
      </c>
      <c r="N2744" t="s">
        <v>1688</v>
      </c>
      <c r="O2744" t="s">
        <v>1686</v>
      </c>
      <c r="P2744">
        <v>0</v>
      </c>
      <c r="Q2744">
        <v>711750</v>
      </c>
      <c r="R2744">
        <v>0</v>
      </c>
      <c r="S2744">
        <v>0</v>
      </c>
      <c r="T2744" t="str">
        <f t="shared" si="84"/>
        <v>23592.43.4302.85.0-205128.2.3.3.08.06.</v>
      </c>
      <c r="U2744" t="e" cm="1">
        <f t="array" aca="1" ref="U2744" ca="1">+IF(COMPROMISOS_2025[[#This Row],[P]]="20","41080111",_xlfn.XLOOKUP(COMPROMISOS_2025[[#This Row],[concatenado]],PAA[[#All],[RCP-RUBRO]],PAA[[#All],[INDICADOR]],"",0))</f>
        <v>#NAME?</v>
      </c>
      <c r="V2744" s="144" t="str">
        <f t="shared" si="85"/>
        <v>85</v>
      </c>
      <c r="W2744" s="136">
        <f>+COMPROMISOS_2025[[#This Row],[valor_total]]-COMPROMISOS_2025[[#This Row],[total_cancelado]]</f>
        <v>711750</v>
      </c>
      <c r="X2744" s="136">
        <f>COMPROMISOS_2025[[#This Row],[total_ordenes]]</f>
        <v>711750</v>
      </c>
      <c r="Y2744" t="str" cm="1">
        <f t="array" aca="1" ref="Y2744" ca="1">IFERROR(_xlfn.XLOOKUP(COMPROMISOS_2025[[#This Row],[concatenado]],PAA[[#All],[RCP-RUBRO]],PAA[[#All],[Actividad3]],VLOOKUP(COMPROMISOS_2025[[#This Row],[Indicador Principal]],$AC$2:$AD$17,2,0),0),"")</f>
        <v/>
      </c>
    </row>
    <row r="2745" spans="1:25" hidden="1" x14ac:dyDescent="0.25">
      <c r="A2745">
        <v>2362</v>
      </c>
      <c r="B2745" t="s">
        <v>2491</v>
      </c>
      <c r="C2745" t="s">
        <v>1936</v>
      </c>
      <c r="D2745" t="s">
        <v>3575</v>
      </c>
      <c r="F2745">
        <v>405</v>
      </c>
      <c r="G2745">
        <v>65</v>
      </c>
      <c r="H2745" t="s">
        <v>662</v>
      </c>
      <c r="I2745" t="s">
        <v>2271</v>
      </c>
      <c r="J2745">
        <v>1067625</v>
      </c>
      <c r="K2745">
        <v>2025</v>
      </c>
      <c r="L2745">
        <v>1023625491</v>
      </c>
      <c r="M2745" t="s">
        <v>4035</v>
      </c>
      <c r="N2745" t="s">
        <v>1688</v>
      </c>
      <c r="O2745" t="s">
        <v>1686</v>
      </c>
      <c r="P2745">
        <v>0</v>
      </c>
      <c r="Q2745">
        <v>1067625</v>
      </c>
      <c r="R2745">
        <v>0</v>
      </c>
      <c r="S2745">
        <v>0</v>
      </c>
      <c r="T2745" t="str">
        <f t="shared" si="84"/>
        <v>23622.43.4302.85.0-205128.2.3.3.08.06.</v>
      </c>
      <c r="U2745" t="e" cm="1">
        <f t="array" aca="1" ref="U2745" ca="1">+IF(COMPROMISOS_2025[[#This Row],[P]]="20","41080111",_xlfn.XLOOKUP(COMPROMISOS_2025[[#This Row],[concatenado]],PAA[[#All],[RCP-RUBRO]],PAA[[#All],[INDICADOR]],"",0))</f>
        <v>#NAME?</v>
      </c>
      <c r="V2745" s="144" t="str">
        <f t="shared" si="85"/>
        <v>85</v>
      </c>
      <c r="W2745" s="136">
        <f>+COMPROMISOS_2025[[#This Row],[valor_total]]-COMPROMISOS_2025[[#This Row],[total_cancelado]]</f>
        <v>1067625</v>
      </c>
      <c r="X2745" s="136">
        <f>COMPROMISOS_2025[[#This Row],[total_ordenes]]</f>
        <v>1067625</v>
      </c>
      <c r="Y2745" t="str" cm="1">
        <f t="array" aca="1" ref="Y2745" ca="1">IFERROR(_xlfn.XLOOKUP(COMPROMISOS_2025[[#This Row],[concatenado]],PAA[[#All],[RCP-RUBRO]],PAA[[#All],[Actividad3]],VLOOKUP(COMPROMISOS_2025[[#This Row],[Indicador Principal]],$AC$2:$AD$17,2,0),0),"")</f>
        <v/>
      </c>
    </row>
    <row r="2746" spans="1:25" hidden="1" x14ac:dyDescent="0.25">
      <c r="A2746">
        <v>2364</v>
      </c>
      <c r="B2746" t="s">
        <v>2491</v>
      </c>
      <c r="C2746" t="s">
        <v>1936</v>
      </c>
      <c r="D2746" t="s">
        <v>3575</v>
      </c>
      <c r="F2746">
        <v>405</v>
      </c>
      <c r="G2746">
        <v>65</v>
      </c>
      <c r="H2746" t="s">
        <v>662</v>
      </c>
      <c r="I2746" t="s">
        <v>2271</v>
      </c>
      <c r="J2746">
        <v>1067625</v>
      </c>
      <c r="K2746">
        <v>2025</v>
      </c>
      <c r="L2746">
        <v>1023629914</v>
      </c>
      <c r="M2746" t="s">
        <v>4315</v>
      </c>
      <c r="N2746" t="s">
        <v>1688</v>
      </c>
      <c r="O2746" t="s">
        <v>1686</v>
      </c>
      <c r="P2746">
        <v>0</v>
      </c>
      <c r="Q2746">
        <v>1067625</v>
      </c>
      <c r="R2746">
        <v>0</v>
      </c>
      <c r="S2746">
        <v>0</v>
      </c>
      <c r="T2746" t="str">
        <f t="shared" si="84"/>
        <v>23642.43.4302.85.0-205128.2.3.3.08.06.</v>
      </c>
      <c r="U2746" t="e" cm="1">
        <f t="array" aca="1" ref="U2746" ca="1">+IF(COMPROMISOS_2025[[#This Row],[P]]="20","41080111",_xlfn.XLOOKUP(COMPROMISOS_2025[[#This Row],[concatenado]],PAA[[#All],[RCP-RUBRO]],PAA[[#All],[INDICADOR]],"",0))</f>
        <v>#NAME?</v>
      </c>
      <c r="V2746" s="144" t="str">
        <f t="shared" si="85"/>
        <v>85</v>
      </c>
      <c r="W2746" s="136">
        <f>+COMPROMISOS_2025[[#This Row],[valor_total]]-COMPROMISOS_2025[[#This Row],[total_cancelado]]</f>
        <v>1067625</v>
      </c>
      <c r="X2746" s="136">
        <f>COMPROMISOS_2025[[#This Row],[total_ordenes]]</f>
        <v>1067625</v>
      </c>
      <c r="Y2746" t="str" cm="1">
        <f t="array" aca="1" ref="Y2746" ca="1">IFERROR(_xlfn.XLOOKUP(COMPROMISOS_2025[[#This Row],[concatenado]],PAA[[#All],[RCP-RUBRO]],PAA[[#All],[Actividad3]],VLOOKUP(COMPROMISOS_2025[[#This Row],[Indicador Principal]],$AC$2:$AD$17,2,0),0),"")</f>
        <v/>
      </c>
    </row>
    <row r="2747" spans="1:25" hidden="1" x14ac:dyDescent="0.25">
      <c r="A2747">
        <v>2366</v>
      </c>
      <c r="B2747" t="s">
        <v>2491</v>
      </c>
      <c r="C2747" t="s">
        <v>1936</v>
      </c>
      <c r="D2747" t="s">
        <v>3575</v>
      </c>
      <c r="F2747">
        <v>405</v>
      </c>
      <c r="G2747">
        <v>65</v>
      </c>
      <c r="H2747" t="s">
        <v>662</v>
      </c>
      <c r="I2747" t="s">
        <v>2271</v>
      </c>
      <c r="J2747">
        <v>1423500</v>
      </c>
      <c r="K2747">
        <v>2025</v>
      </c>
      <c r="L2747">
        <v>1023630469</v>
      </c>
      <c r="M2747" t="s">
        <v>4036</v>
      </c>
      <c r="N2747" t="s">
        <v>1688</v>
      </c>
      <c r="O2747" t="s">
        <v>1686</v>
      </c>
      <c r="P2747">
        <v>0</v>
      </c>
      <c r="Q2747">
        <v>1423500</v>
      </c>
      <c r="R2747">
        <v>0</v>
      </c>
      <c r="S2747">
        <v>0</v>
      </c>
      <c r="T2747" t="str">
        <f t="shared" si="84"/>
        <v>23662.43.4302.85.0-205128.2.3.3.08.06.</v>
      </c>
      <c r="U2747" t="e" cm="1">
        <f t="array" aca="1" ref="U2747" ca="1">+IF(COMPROMISOS_2025[[#This Row],[P]]="20","41080111",_xlfn.XLOOKUP(COMPROMISOS_2025[[#This Row],[concatenado]],PAA[[#All],[RCP-RUBRO]],PAA[[#All],[INDICADOR]],"",0))</f>
        <v>#NAME?</v>
      </c>
      <c r="V2747" s="144" t="str">
        <f t="shared" si="85"/>
        <v>85</v>
      </c>
      <c r="W2747" s="136">
        <f>+COMPROMISOS_2025[[#This Row],[valor_total]]-COMPROMISOS_2025[[#This Row],[total_cancelado]]</f>
        <v>1423500</v>
      </c>
      <c r="X2747" s="136">
        <f>COMPROMISOS_2025[[#This Row],[total_ordenes]]</f>
        <v>1423500</v>
      </c>
      <c r="Y2747" t="str" cm="1">
        <f t="array" aca="1" ref="Y2747" ca="1">IFERROR(_xlfn.XLOOKUP(COMPROMISOS_2025[[#This Row],[concatenado]],PAA[[#All],[RCP-RUBRO]],PAA[[#All],[Actividad3]],VLOOKUP(COMPROMISOS_2025[[#This Row],[Indicador Principal]],$AC$2:$AD$17,2,0),0),"")</f>
        <v/>
      </c>
    </row>
    <row r="2748" spans="1:25" hidden="1" x14ac:dyDescent="0.25">
      <c r="A2748">
        <v>2369</v>
      </c>
      <c r="B2748" t="s">
        <v>2491</v>
      </c>
      <c r="C2748" t="s">
        <v>1936</v>
      </c>
      <c r="D2748" t="s">
        <v>3575</v>
      </c>
      <c r="F2748">
        <v>405</v>
      </c>
      <c r="G2748">
        <v>65</v>
      </c>
      <c r="H2748" t="s">
        <v>662</v>
      </c>
      <c r="I2748" t="s">
        <v>2271</v>
      </c>
      <c r="J2748">
        <v>711750</v>
      </c>
      <c r="K2748">
        <v>2025</v>
      </c>
      <c r="L2748">
        <v>1023636382</v>
      </c>
      <c r="M2748" t="s">
        <v>4316</v>
      </c>
      <c r="N2748" t="s">
        <v>1688</v>
      </c>
      <c r="O2748" t="s">
        <v>1686</v>
      </c>
      <c r="P2748">
        <v>0</v>
      </c>
      <c r="Q2748">
        <v>711750</v>
      </c>
      <c r="R2748">
        <v>0</v>
      </c>
      <c r="S2748">
        <v>0</v>
      </c>
      <c r="T2748" t="str">
        <f t="shared" si="84"/>
        <v>23692.43.4302.85.0-205128.2.3.3.08.06.</v>
      </c>
      <c r="U2748" t="e" cm="1">
        <f t="array" aca="1" ref="U2748" ca="1">+IF(COMPROMISOS_2025[[#This Row],[P]]="20","41080111",_xlfn.XLOOKUP(COMPROMISOS_2025[[#This Row],[concatenado]],PAA[[#All],[RCP-RUBRO]],PAA[[#All],[INDICADOR]],"",0))</f>
        <v>#NAME?</v>
      </c>
      <c r="V2748" s="144" t="str">
        <f t="shared" si="85"/>
        <v>85</v>
      </c>
      <c r="W2748" s="136">
        <f>+COMPROMISOS_2025[[#This Row],[valor_total]]-COMPROMISOS_2025[[#This Row],[total_cancelado]]</f>
        <v>711750</v>
      </c>
      <c r="X2748" s="136">
        <f>COMPROMISOS_2025[[#This Row],[total_ordenes]]</f>
        <v>711750</v>
      </c>
      <c r="Y2748" t="str" cm="1">
        <f t="array" aca="1" ref="Y2748" ca="1">IFERROR(_xlfn.XLOOKUP(COMPROMISOS_2025[[#This Row],[concatenado]],PAA[[#All],[RCP-RUBRO]],PAA[[#All],[Actividad3]],VLOOKUP(COMPROMISOS_2025[[#This Row],[Indicador Principal]],$AC$2:$AD$17,2,0),0),"")</f>
        <v/>
      </c>
    </row>
    <row r="2749" spans="1:25" hidden="1" x14ac:dyDescent="0.25">
      <c r="A2749">
        <v>2375</v>
      </c>
      <c r="B2749" t="s">
        <v>2491</v>
      </c>
      <c r="C2749" t="s">
        <v>1936</v>
      </c>
      <c r="D2749" t="s">
        <v>3575</v>
      </c>
      <c r="F2749">
        <v>405</v>
      </c>
      <c r="G2749">
        <v>65</v>
      </c>
      <c r="H2749" t="s">
        <v>662</v>
      </c>
      <c r="I2749" t="s">
        <v>2271</v>
      </c>
      <c r="J2749">
        <v>1067625</v>
      </c>
      <c r="K2749">
        <v>2025</v>
      </c>
      <c r="L2749">
        <v>1025650852</v>
      </c>
      <c r="M2749" t="s">
        <v>4318</v>
      </c>
      <c r="N2749" t="s">
        <v>1688</v>
      </c>
      <c r="O2749" t="s">
        <v>1686</v>
      </c>
      <c r="P2749">
        <v>0</v>
      </c>
      <c r="Q2749">
        <v>1067625</v>
      </c>
      <c r="R2749">
        <v>0</v>
      </c>
      <c r="S2749">
        <v>0</v>
      </c>
      <c r="T2749" t="str">
        <f t="shared" si="84"/>
        <v>23752.43.4302.85.0-205128.2.3.3.08.06.</v>
      </c>
      <c r="U2749" t="e" cm="1">
        <f t="array" aca="1" ref="U2749" ca="1">+IF(COMPROMISOS_2025[[#This Row],[P]]="20","41080111",_xlfn.XLOOKUP(COMPROMISOS_2025[[#This Row],[concatenado]],PAA[[#All],[RCP-RUBRO]],PAA[[#All],[INDICADOR]],"",0))</f>
        <v>#NAME?</v>
      </c>
      <c r="V2749" s="144" t="str">
        <f t="shared" si="85"/>
        <v>85</v>
      </c>
      <c r="W2749" s="136">
        <f>+COMPROMISOS_2025[[#This Row],[valor_total]]-COMPROMISOS_2025[[#This Row],[total_cancelado]]</f>
        <v>1067625</v>
      </c>
      <c r="X2749" s="136">
        <f>COMPROMISOS_2025[[#This Row],[total_ordenes]]</f>
        <v>1067625</v>
      </c>
      <c r="Y2749" t="str" cm="1">
        <f t="array" aca="1" ref="Y2749" ca="1">IFERROR(_xlfn.XLOOKUP(COMPROMISOS_2025[[#This Row],[concatenado]],PAA[[#All],[RCP-RUBRO]],PAA[[#All],[Actividad3]],VLOOKUP(COMPROMISOS_2025[[#This Row],[Indicador Principal]],$AC$2:$AD$17,2,0),0),"")</f>
        <v/>
      </c>
    </row>
    <row r="2750" spans="1:25" hidden="1" x14ac:dyDescent="0.25">
      <c r="A2750">
        <v>2385</v>
      </c>
      <c r="B2750" t="s">
        <v>2491</v>
      </c>
      <c r="C2750" t="s">
        <v>1936</v>
      </c>
      <c r="D2750" t="s">
        <v>3575</v>
      </c>
      <c r="F2750">
        <v>405</v>
      </c>
      <c r="G2750">
        <v>65</v>
      </c>
      <c r="H2750" t="s">
        <v>662</v>
      </c>
      <c r="I2750" t="s">
        <v>2271</v>
      </c>
      <c r="J2750">
        <v>1067625</v>
      </c>
      <c r="K2750">
        <v>2025</v>
      </c>
      <c r="L2750">
        <v>1025881448</v>
      </c>
      <c r="M2750" t="s">
        <v>4039</v>
      </c>
      <c r="N2750" t="s">
        <v>1688</v>
      </c>
      <c r="O2750" t="s">
        <v>1686</v>
      </c>
      <c r="P2750">
        <v>0</v>
      </c>
      <c r="Q2750">
        <v>1067625</v>
      </c>
      <c r="R2750">
        <v>0</v>
      </c>
      <c r="S2750">
        <v>0</v>
      </c>
      <c r="T2750" t="str">
        <f t="shared" si="84"/>
        <v>23852.43.4302.85.0-205128.2.3.3.08.06.</v>
      </c>
      <c r="U2750" t="e" cm="1">
        <f t="array" aca="1" ref="U2750" ca="1">+IF(COMPROMISOS_2025[[#This Row],[P]]="20","41080111",_xlfn.XLOOKUP(COMPROMISOS_2025[[#This Row],[concatenado]],PAA[[#All],[RCP-RUBRO]],PAA[[#All],[INDICADOR]],"",0))</f>
        <v>#NAME?</v>
      </c>
      <c r="V2750" s="144" t="str">
        <f t="shared" si="85"/>
        <v>85</v>
      </c>
      <c r="W2750" s="136">
        <f>+COMPROMISOS_2025[[#This Row],[valor_total]]-COMPROMISOS_2025[[#This Row],[total_cancelado]]</f>
        <v>1067625</v>
      </c>
      <c r="X2750" s="136">
        <f>COMPROMISOS_2025[[#This Row],[total_ordenes]]</f>
        <v>1067625</v>
      </c>
      <c r="Y2750" t="str" cm="1">
        <f t="array" aca="1" ref="Y2750" ca="1">IFERROR(_xlfn.XLOOKUP(COMPROMISOS_2025[[#This Row],[concatenado]],PAA[[#All],[RCP-RUBRO]],PAA[[#All],[Actividad3]],VLOOKUP(COMPROMISOS_2025[[#This Row],[Indicador Principal]],$AC$2:$AD$17,2,0),0),"")</f>
        <v/>
      </c>
    </row>
    <row r="2751" spans="1:25" hidden="1" x14ac:dyDescent="0.25">
      <c r="A2751">
        <v>2386</v>
      </c>
      <c r="B2751" t="s">
        <v>2491</v>
      </c>
      <c r="C2751" t="s">
        <v>1936</v>
      </c>
      <c r="D2751" t="s">
        <v>3575</v>
      </c>
      <c r="F2751">
        <v>405</v>
      </c>
      <c r="G2751">
        <v>65</v>
      </c>
      <c r="H2751" t="s">
        <v>662</v>
      </c>
      <c r="I2751" t="s">
        <v>2271</v>
      </c>
      <c r="J2751">
        <v>2847000</v>
      </c>
      <c r="K2751">
        <v>2025</v>
      </c>
      <c r="L2751">
        <v>1025882497</v>
      </c>
      <c r="M2751" t="s">
        <v>4040</v>
      </c>
      <c r="N2751" t="s">
        <v>1688</v>
      </c>
      <c r="O2751" t="s">
        <v>1686</v>
      </c>
      <c r="P2751">
        <v>0</v>
      </c>
      <c r="Q2751">
        <v>2847000</v>
      </c>
      <c r="R2751">
        <v>0</v>
      </c>
      <c r="S2751">
        <v>0</v>
      </c>
      <c r="T2751" t="str">
        <f t="shared" si="84"/>
        <v>23862.43.4302.85.0-205128.2.3.3.08.06.</v>
      </c>
      <c r="U2751" t="e" cm="1">
        <f t="array" aca="1" ref="U2751" ca="1">+IF(COMPROMISOS_2025[[#This Row],[P]]="20","41080111",_xlfn.XLOOKUP(COMPROMISOS_2025[[#This Row],[concatenado]],PAA[[#All],[RCP-RUBRO]],PAA[[#All],[INDICADOR]],"",0))</f>
        <v>#NAME?</v>
      </c>
      <c r="V2751" s="144" t="str">
        <f t="shared" si="85"/>
        <v>85</v>
      </c>
      <c r="W2751" s="136">
        <f>+COMPROMISOS_2025[[#This Row],[valor_total]]-COMPROMISOS_2025[[#This Row],[total_cancelado]]</f>
        <v>2847000</v>
      </c>
      <c r="X2751" s="136">
        <f>COMPROMISOS_2025[[#This Row],[total_ordenes]]</f>
        <v>2847000</v>
      </c>
      <c r="Y2751" t="str" cm="1">
        <f t="array" aca="1" ref="Y2751" ca="1">IFERROR(_xlfn.XLOOKUP(COMPROMISOS_2025[[#This Row],[concatenado]],PAA[[#All],[RCP-RUBRO]],PAA[[#All],[Actividad3]],VLOOKUP(COMPROMISOS_2025[[#This Row],[Indicador Principal]],$AC$2:$AD$17,2,0),0),"")</f>
        <v/>
      </c>
    </row>
    <row r="2752" spans="1:25" hidden="1" x14ac:dyDescent="0.25">
      <c r="A2752">
        <v>2387</v>
      </c>
      <c r="B2752" t="s">
        <v>2491</v>
      </c>
      <c r="C2752" t="s">
        <v>1936</v>
      </c>
      <c r="D2752" t="s">
        <v>3575</v>
      </c>
      <c r="F2752">
        <v>405</v>
      </c>
      <c r="G2752">
        <v>65</v>
      </c>
      <c r="H2752" t="s">
        <v>662</v>
      </c>
      <c r="I2752" t="s">
        <v>2271</v>
      </c>
      <c r="J2752">
        <v>1423500</v>
      </c>
      <c r="K2752">
        <v>2025</v>
      </c>
      <c r="L2752">
        <v>1025883399</v>
      </c>
      <c r="M2752" t="s">
        <v>4041</v>
      </c>
      <c r="N2752" t="s">
        <v>1688</v>
      </c>
      <c r="O2752" t="s">
        <v>1686</v>
      </c>
      <c r="P2752">
        <v>0</v>
      </c>
      <c r="Q2752">
        <v>1423500</v>
      </c>
      <c r="R2752">
        <v>0</v>
      </c>
      <c r="S2752">
        <v>0</v>
      </c>
      <c r="T2752" t="str">
        <f t="shared" si="84"/>
        <v>23872.43.4302.85.0-205128.2.3.3.08.06.</v>
      </c>
      <c r="U2752" t="e" cm="1">
        <f t="array" aca="1" ref="U2752" ca="1">+IF(COMPROMISOS_2025[[#This Row],[P]]="20","41080111",_xlfn.XLOOKUP(COMPROMISOS_2025[[#This Row],[concatenado]],PAA[[#All],[RCP-RUBRO]],PAA[[#All],[INDICADOR]],"",0))</f>
        <v>#NAME?</v>
      </c>
      <c r="V2752" s="144" t="str">
        <f t="shared" si="85"/>
        <v>85</v>
      </c>
      <c r="W2752" s="136">
        <f>+COMPROMISOS_2025[[#This Row],[valor_total]]-COMPROMISOS_2025[[#This Row],[total_cancelado]]</f>
        <v>1423500</v>
      </c>
      <c r="X2752" s="136">
        <f>COMPROMISOS_2025[[#This Row],[total_ordenes]]</f>
        <v>1423500</v>
      </c>
      <c r="Y2752" t="str" cm="1">
        <f t="array" aca="1" ref="Y2752" ca="1">IFERROR(_xlfn.XLOOKUP(COMPROMISOS_2025[[#This Row],[concatenado]],PAA[[#All],[RCP-RUBRO]],PAA[[#All],[Actividad3]],VLOOKUP(COMPROMISOS_2025[[#This Row],[Indicador Principal]],$AC$2:$AD$17,2,0),0),"")</f>
        <v/>
      </c>
    </row>
    <row r="2753" spans="1:25" hidden="1" x14ac:dyDescent="0.25">
      <c r="A2753">
        <v>2388</v>
      </c>
      <c r="B2753" t="s">
        <v>2491</v>
      </c>
      <c r="C2753" t="s">
        <v>1936</v>
      </c>
      <c r="D2753" t="s">
        <v>3575</v>
      </c>
      <c r="F2753">
        <v>405</v>
      </c>
      <c r="G2753">
        <v>65</v>
      </c>
      <c r="H2753" t="s">
        <v>662</v>
      </c>
      <c r="I2753" t="s">
        <v>2271</v>
      </c>
      <c r="J2753">
        <v>6405750</v>
      </c>
      <c r="K2753">
        <v>2025</v>
      </c>
      <c r="L2753">
        <v>1025885093</v>
      </c>
      <c r="M2753" t="s">
        <v>4320</v>
      </c>
      <c r="N2753" t="s">
        <v>1688</v>
      </c>
      <c r="O2753" t="s">
        <v>1686</v>
      </c>
      <c r="P2753">
        <v>0</v>
      </c>
      <c r="Q2753">
        <v>6405750</v>
      </c>
      <c r="R2753">
        <v>0</v>
      </c>
      <c r="S2753">
        <v>0</v>
      </c>
      <c r="T2753" t="str">
        <f t="shared" si="84"/>
        <v>23882.43.4302.85.0-205128.2.3.3.08.06.</v>
      </c>
      <c r="U2753" t="e" cm="1">
        <f t="array" aca="1" ref="U2753" ca="1">+IF(COMPROMISOS_2025[[#This Row],[P]]="20","41080111",_xlfn.XLOOKUP(COMPROMISOS_2025[[#This Row],[concatenado]],PAA[[#All],[RCP-RUBRO]],PAA[[#All],[INDICADOR]],"",0))</f>
        <v>#NAME?</v>
      </c>
      <c r="V2753" s="144" t="str">
        <f t="shared" si="85"/>
        <v>85</v>
      </c>
      <c r="W2753" s="136">
        <f>+COMPROMISOS_2025[[#This Row],[valor_total]]-COMPROMISOS_2025[[#This Row],[total_cancelado]]</f>
        <v>6405750</v>
      </c>
      <c r="X2753" s="136">
        <f>COMPROMISOS_2025[[#This Row],[total_ordenes]]</f>
        <v>6405750</v>
      </c>
      <c r="Y2753" t="str" cm="1">
        <f t="array" aca="1" ref="Y2753" ca="1">IFERROR(_xlfn.XLOOKUP(COMPROMISOS_2025[[#This Row],[concatenado]],PAA[[#All],[RCP-RUBRO]],PAA[[#All],[Actividad3]],VLOOKUP(COMPROMISOS_2025[[#This Row],[Indicador Principal]],$AC$2:$AD$17,2,0),0),"")</f>
        <v/>
      </c>
    </row>
    <row r="2754" spans="1:25" hidden="1" x14ac:dyDescent="0.25">
      <c r="A2754">
        <v>2389</v>
      </c>
      <c r="B2754" t="s">
        <v>2491</v>
      </c>
      <c r="C2754" t="s">
        <v>1936</v>
      </c>
      <c r="D2754" t="s">
        <v>3575</v>
      </c>
      <c r="F2754">
        <v>405</v>
      </c>
      <c r="G2754">
        <v>65</v>
      </c>
      <c r="H2754" t="s">
        <v>662</v>
      </c>
      <c r="I2754" t="s">
        <v>2271</v>
      </c>
      <c r="J2754">
        <v>1067625</v>
      </c>
      <c r="K2754">
        <v>2025</v>
      </c>
      <c r="L2754">
        <v>1025889869</v>
      </c>
      <c r="M2754" t="s">
        <v>4321</v>
      </c>
      <c r="N2754" t="s">
        <v>1688</v>
      </c>
      <c r="O2754" t="s">
        <v>1686</v>
      </c>
      <c r="P2754">
        <v>0</v>
      </c>
      <c r="Q2754">
        <v>1067625</v>
      </c>
      <c r="R2754">
        <v>0</v>
      </c>
      <c r="S2754">
        <v>0</v>
      </c>
      <c r="T2754" t="str">
        <f t="shared" ref="T2754:T2817" si="86">IF(A2754&gt;=0,CONCATENATE(A2754,H2754),"")</f>
        <v>23892.43.4302.85.0-205128.2.3.3.08.06.</v>
      </c>
      <c r="U2754" t="e" cm="1">
        <f t="array" aca="1" ref="U2754" ca="1">+IF(COMPROMISOS_2025[[#This Row],[P]]="20","41080111",_xlfn.XLOOKUP(COMPROMISOS_2025[[#This Row],[concatenado]],PAA[[#All],[RCP-RUBRO]],PAA[[#All],[INDICADOR]],"",0))</f>
        <v>#NAME?</v>
      </c>
      <c r="V2754" s="144" t="str">
        <f t="shared" ref="V2754:V2817" si="87">+MID(H2754,11,2)</f>
        <v>85</v>
      </c>
      <c r="W2754" s="136">
        <f>+COMPROMISOS_2025[[#This Row],[valor_total]]-COMPROMISOS_2025[[#This Row],[total_cancelado]]</f>
        <v>1067625</v>
      </c>
      <c r="X2754" s="136">
        <f>COMPROMISOS_2025[[#This Row],[total_ordenes]]</f>
        <v>1067625</v>
      </c>
      <c r="Y2754" t="str" cm="1">
        <f t="array" aca="1" ref="Y2754" ca="1">IFERROR(_xlfn.XLOOKUP(COMPROMISOS_2025[[#This Row],[concatenado]],PAA[[#All],[RCP-RUBRO]],PAA[[#All],[Actividad3]],VLOOKUP(COMPROMISOS_2025[[#This Row],[Indicador Principal]],$AC$2:$AD$17,2,0),0),"")</f>
        <v/>
      </c>
    </row>
    <row r="2755" spans="1:25" hidden="1" x14ac:dyDescent="0.25">
      <c r="A2755">
        <v>2395</v>
      </c>
      <c r="B2755" t="s">
        <v>2491</v>
      </c>
      <c r="C2755" t="s">
        <v>1936</v>
      </c>
      <c r="D2755" t="s">
        <v>3575</v>
      </c>
      <c r="F2755">
        <v>405</v>
      </c>
      <c r="G2755">
        <v>65</v>
      </c>
      <c r="H2755" t="s">
        <v>662</v>
      </c>
      <c r="I2755" t="s">
        <v>2271</v>
      </c>
      <c r="J2755">
        <v>711750</v>
      </c>
      <c r="K2755">
        <v>2025</v>
      </c>
      <c r="L2755">
        <v>1026145133</v>
      </c>
      <c r="M2755" t="s">
        <v>4322</v>
      </c>
      <c r="N2755" t="s">
        <v>1688</v>
      </c>
      <c r="O2755" t="s">
        <v>1686</v>
      </c>
      <c r="P2755">
        <v>0</v>
      </c>
      <c r="Q2755">
        <v>711750</v>
      </c>
      <c r="R2755">
        <v>0</v>
      </c>
      <c r="S2755">
        <v>0</v>
      </c>
      <c r="T2755" t="str">
        <f t="shared" si="86"/>
        <v>23952.43.4302.85.0-205128.2.3.3.08.06.</v>
      </c>
      <c r="U2755" t="e" cm="1">
        <f t="array" aca="1" ref="U2755" ca="1">+IF(COMPROMISOS_2025[[#This Row],[P]]="20","41080111",_xlfn.XLOOKUP(COMPROMISOS_2025[[#This Row],[concatenado]],PAA[[#All],[RCP-RUBRO]],PAA[[#All],[INDICADOR]],"",0))</f>
        <v>#NAME?</v>
      </c>
      <c r="V2755" s="144" t="str">
        <f t="shared" si="87"/>
        <v>85</v>
      </c>
      <c r="W2755" s="136">
        <f>+COMPROMISOS_2025[[#This Row],[valor_total]]-COMPROMISOS_2025[[#This Row],[total_cancelado]]</f>
        <v>711750</v>
      </c>
      <c r="X2755" s="136">
        <f>COMPROMISOS_2025[[#This Row],[total_ordenes]]</f>
        <v>711750</v>
      </c>
      <c r="Y2755" t="str" cm="1">
        <f t="array" aca="1" ref="Y2755" ca="1">IFERROR(_xlfn.XLOOKUP(COMPROMISOS_2025[[#This Row],[concatenado]],PAA[[#All],[RCP-RUBRO]],PAA[[#All],[Actividad3]],VLOOKUP(COMPROMISOS_2025[[#This Row],[Indicador Principal]],$AC$2:$AD$17,2,0),0),"")</f>
        <v/>
      </c>
    </row>
    <row r="2756" spans="1:25" hidden="1" x14ac:dyDescent="0.25">
      <c r="A2756">
        <v>2396</v>
      </c>
      <c r="B2756" t="s">
        <v>2491</v>
      </c>
      <c r="C2756" t="s">
        <v>1936</v>
      </c>
      <c r="D2756" t="s">
        <v>3575</v>
      </c>
      <c r="F2756">
        <v>405</v>
      </c>
      <c r="G2756">
        <v>65</v>
      </c>
      <c r="H2756" t="s">
        <v>662</v>
      </c>
      <c r="I2756" t="s">
        <v>2271</v>
      </c>
      <c r="J2756">
        <v>1067625</v>
      </c>
      <c r="K2756">
        <v>2025</v>
      </c>
      <c r="L2756">
        <v>1026158293</v>
      </c>
      <c r="M2756" t="s">
        <v>4323</v>
      </c>
      <c r="N2756" t="s">
        <v>1688</v>
      </c>
      <c r="O2756" t="s">
        <v>1686</v>
      </c>
      <c r="P2756">
        <v>0</v>
      </c>
      <c r="Q2756">
        <v>1067625</v>
      </c>
      <c r="R2756">
        <v>0</v>
      </c>
      <c r="S2756">
        <v>0</v>
      </c>
      <c r="T2756" t="str">
        <f t="shared" si="86"/>
        <v>23962.43.4302.85.0-205128.2.3.3.08.06.</v>
      </c>
      <c r="U2756" t="e" cm="1">
        <f t="array" aca="1" ref="U2756" ca="1">+IF(COMPROMISOS_2025[[#This Row],[P]]="20","41080111",_xlfn.XLOOKUP(COMPROMISOS_2025[[#This Row],[concatenado]],PAA[[#All],[RCP-RUBRO]],PAA[[#All],[INDICADOR]],"",0))</f>
        <v>#NAME?</v>
      </c>
      <c r="V2756" s="144" t="str">
        <f t="shared" si="87"/>
        <v>85</v>
      </c>
      <c r="W2756" s="136">
        <f>+COMPROMISOS_2025[[#This Row],[valor_total]]-COMPROMISOS_2025[[#This Row],[total_cancelado]]</f>
        <v>1067625</v>
      </c>
      <c r="X2756" s="136">
        <f>COMPROMISOS_2025[[#This Row],[total_ordenes]]</f>
        <v>1067625</v>
      </c>
      <c r="Y2756" t="str" cm="1">
        <f t="array" aca="1" ref="Y2756" ca="1">IFERROR(_xlfn.XLOOKUP(COMPROMISOS_2025[[#This Row],[concatenado]],PAA[[#All],[RCP-RUBRO]],PAA[[#All],[Actividad3]],VLOOKUP(COMPROMISOS_2025[[#This Row],[Indicador Principal]],$AC$2:$AD$17,2,0),0),"")</f>
        <v/>
      </c>
    </row>
    <row r="2757" spans="1:25" hidden="1" x14ac:dyDescent="0.25">
      <c r="A2757">
        <v>2397</v>
      </c>
      <c r="B2757" t="s">
        <v>2491</v>
      </c>
      <c r="C2757" t="s">
        <v>1936</v>
      </c>
      <c r="D2757" t="s">
        <v>3575</v>
      </c>
      <c r="F2757">
        <v>405</v>
      </c>
      <c r="G2757">
        <v>65</v>
      </c>
      <c r="H2757" t="s">
        <v>662</v>
      </c>
      <c r="I2757" t="s">
        <v>2271</v>
      </c>
      <c r="J2757">
        <v>711750</v>
      </c>
      <c r="K2757">
        <v>2025</v>
      </c>
      <c r="L2757">
        <v>1027660812</v>
      </c>
      <c r="M2757" t="s">
        <v>3707</v>
      </c>
      <c r="N2757" t="s">
        <v>1688</v>
      </c>
      <c r="O2757" t="s">
        <v>1686</v>
      </c>
      <c r="P2757">
        <v>0</v>
      </c>
      <c r="Q2757">
        <v>711750</v>
      </c>
      <c r="R2757">
        <v>0</v>
      </c>
      <c r="S2757">
        <v>0</v>
      </c>
      <c r="T2757" t="str">
        <f t="shared" si="86"/>
        <v>23972.43.4302.85.0-205128.2.3.3.08.06.</v>
      </c>
      <c r="U2757" t="e" cm="1">
        <f t="array" aca="1" ref="U2757" ca="1">+IF(COMPROMISOS_2025[[#This Row],[P]]="20","41080111",_xlfn.XLOOKUP(COMPROMISOS_2025[[#This Row],[concatenado]],PAA[[#All],[RCP-RUBRO]],PAA[[#All],[INDICADOR]],"",0))</f>
        <v>#NAME?</v>
      </c>
      <c r="V2757" s="144" t="str">
        <f t="shared" si="87"/>
        <v>85</v>
      </c>
      <c r="W2757" s="136">
        <f>+COMPROMISOS_2025[[#This Row],[valor_total]]-COMPROMISOS_2025[[#This Row],[total_cancelado]]</f>
        <v>711750</v>
      </c>
      <c r="X2757" s="136">
        <f>COMPROMISOS_2025[[#This Row],[total_ordenes]]</f>
        <v>711750</v>
      </c>
      <c r="Y2757" t="str" cm="1">
        <f t="array" aca="1" ref="Y2757" ca="1">IFERROR(_xlfn.XLOOKUP(COMPROMISOS_2025[[#This Row],[concatenado]],PAA[[#All],[RCP-RUBRO]],PAA[[#All],[Actividad3]],VLOOKUP(COMPROMISOS_2025[[#This Row],[Indicador Principal]],$AC$2:$AD$17,2,0),0),"")</f>
        <v/>
      </c>
    </row>
    <row r="2758" spans="1:25" hidden="1" x14ac:dyDescent="0.25">
      <c r="A2758">
        <v>2401</v>
      </c>
      <c r="B2758" t="s">
        <v>2491</v>
      </c>
      <c r="C2758" t="s">
        <v>1936</v>
      </c>
      <c r="D2758" t="s">
        <v>3575</v>
      </c>
      <c r="F2758">
        <v>405</v>
      </c>
      <c r="G2758">
        <v>65</v>
      </c>
      <c r="H2758" t="s">
        <v>662</v>
      </c>
      <c r="I2758" t="s">
        <v>2271</v>
      </c>
      <c r="J2758">
        <v>2847000</v>
      </c>
      <c r="K2758">
        <v>2025</v>
      </c>
      <c r="L2758">
        <v>1027740617</v>
      </c>
      <c r="M2758" t="s">
        <v>4324</v>
      </c>
      <c r="N2758" t="s">
        <v>1688</v>
      </c>
      <c r="O2758" t="s">
        <v>1686</v>
      </c>
      <c r="P2758">
        <v>0</v>
      </c>
      <c r="Q2758">
        <v>2847000</v>
      </c>
      <c r="R2758">
        <v>0</v>
      </c>
      <c r="S2758">
        <v>0</v>
      </c>
      <c r="T2758" t="str">
        <f t="shared" si="86"/>
        <v>24012.43.4302.85.0-205128.2.3.3.08.06.</v>
      </c>
      <c r="U2758" t="e" cm="1">
        <f t="array" aca="1" ref="U2758" ca="1">+IF(COMPROMISOS_2025[[#This Row],[P]]="20","41080111",_xlfn.XLOOKUP(COMPROMISOS_2025[[#This Row],[concatenado]],PAA[[#All],[RCP-RUBRO]],PAA[[#All],[INDICADOR]],"",0))</f>
        <v>#NAME?</v>
      </c>
      <c r="V2758" s="144" t="str">
        <f t="shared" si="87"/>
        <v>85</v>
      </c>
      <c r="W2758" s="136">
        <f>+COMPROMISOS_2025[[#This Row],[valor_total]]-COMPROMISOS_2025[[#This Row],[total_cancelado]]</f>
        <v>2847000</v>
      </c>
      <c r="X2758" s="136">
        <f>COMPROMISOS_2025[[#This Row],[total_ordenes]]</f>
        <v>2847000</v>
      </c>
      <c r="Y2758" t="str" cm="1">
        <f t="array" aca="1" ref="Y2758" ca="1">IFERROR(_xlfn.XLOOKUP(COMPROMISOS_2025[[#This Row],[concatenado]],PAA[[#All],[RCP-RUBRO]],PAA[[#All],[Actividad3]],VLOOKUP(COMPROMISOS_2025[[#This Row],[Indicador Principal]],$AC$2:$AD$17,2,0),0),"")</f>
        <v/>
      </c>
    </row>
    <row r="2759" spans="1:25" hidden="1" x14ac:dyDescent="0.25">
      <c r="A2759">
        <v>2402</v>
      </c>
      <c r="B2759" t="s">
        <v>2491</v>
      </c>
      <c r="C2759" t="s">
        <v>1936</v>
      </c>
      <c r="D2759" t="s">
        <v>3575</v>
      </c>
      <c r="F2759">
        <v>405</v>
      </c>
      <c r="G2759">
        <v>65</v>
      </c>
      <c r="H2759" t="s">
        <v>662</v>
      </c>
      <c r="I2759" t="s">
        <v>2271</v>
      </c>
      <c r="J2759">
        <v>1423500</v>
      </c>
      <c r="K2759">
        <v>2025</v>
      </c>
      <c r="L2759">
        <v>1027802140</v>
      </c>
      <c r="M2759" t="s">
        <v>4325</v>
      </c>
      <c r="N2759" t="s">
        <v>1688</v>
      </c>
      <c r="O2759" t="s">
        <v>1686</v>
      </c>
      <c r="P2759">
        <v>0</v>
      </c>
      <c r="Q2759">
        <v>1423500</v>
      </c>
      <c r="R2759">
        <v>0</v>
      </c>
      <c r="S2759">
        <v>0</v>
      </c>
      <c r="T2759" t="str">
        <f t="shared" si="86"/>
        <v>24022.43.4302.85.0-205128.2.3.3.08.06.</v>
      </c>
      <c r="U2759" t="e" cm="1">
        <f t="array" aca="1" ref="U2759" ca="1">+IF(COMPROMISOS_2025[[#This Row],[P]]="20","41080111",_xlfn.XLOOKUP(COMPROMISOS_2025[[#This Row],[concatenado]],PAA[[#All],[RCP-RUBRO]],PAA[[#All],[INDICADOR]],"",0))</f>
        <v>#NAME?</v>
      </c>
      <c r="V2759" s="144" t="str">
        <f t="shared" si="87"/>
        <v>85</v>
      </c>
      <c r="W2759" s="136">
        <f>+COMPROMISOS_2025[[#This Row],[valor_total]]-COMPROMISOS_2025[[#This Row],[total_cancelado]]</f>
        <v>1423500</v>
      </c>
      <c r="X2759" s="136">
        <f>COMPROMISOS_2025[[#This Row],[total_ordenes]]</f>
        <v>1423500</v>
      </c>
      <c r="Y2759" t="str" cm="1">
        <f t="array" aca="1" ref="Y2759" ca="1">IFERROR(_xlfn.XLOOKUP(COMPROMISOS_2025[[#This Row],[concatenado]],PAA[[#All],[RCP-RUBRO]],PAA[[#All],[Actividad3]],VLOOKUP(COMPROMISOS_2025[[#This Row],[Indicador Principal]],$AC$2:$AD$17,2,0),0),"")</f>
        <v/>
      </c>
    </row>
    <row r="2760" spans="1:25" hidden="1" x14ac:dyDescent="0.25">
      <c r="A2760">
        <v>2404</v>
      </c>
      <c r="B2760" t="s">
        <v>2491</v>
      </c>
      <c r="C2760" t="s">
        <v>1936</v>
      </c>
      <c r="D2760" t="s">
        <v>3575</v>
      </c>
      <c r="F2760">
        <v>405</v>
      </c>
      <c r="G2760">
        <v>65</v>
      </c>
      <c r="H2760" t="s">
        <v>662</v>
      </c>
      <c r="I2760" t="s">
        <v>2271</v>
      </c>
      <c r="J2760">
        <v>711750</v>
      </c>
      <c r="K2760">
        <v>2025</v>
      </c>
      <c r="L2760">
        <v>1027805346</v>
      </c>
      <c r="M2760" t="s">
        <v>4326</v>
      </c>
      <c r="N2760" t="s">
        <v>1688</v>
      </c>
      <c r="O2760" t="s">
        <v>1686</v>
      </c>
      <c r="P2760">
        <v>0</v>
      </c>
      <c r="Q2760">
        <v>711750</v>
      </c>
      <c r="R2760">
        <v>0</v>
      </c>
      <c r="S2760">
        <v>0</v>
      </c>
      <c r="T2760" t="str">
        <f t="shared" si="86"/>
        <v>24042.43.4302.85.0-205128.2.3.3.08.06.</v>
      </c>
      <c r="U2760" t="e" cm="1">
        <f t="array" aca="1" ref="U2760" ca="1">+IF(COMPROMISOS_2025[[#This Row],[P]]="20","41080111",_xlfn.XLOOKUP(COMPROMISOS_2025[[#This Row],[concatenado]],PAA[[#All],[RCP-RUBRO]],PAA[[#All],[INDICADOR]],"",0))</f>
        <v>#NAME?</v>
      </c>
      <c r="V2760" s="144" t="str">
        <f t="shared" si="87"/>
        <v>85</v>
      </c>
      <c r="W2760" s="136">
        <f>+COMPROMISOS_2025[[#This Row],[valor_total]]-COMPROMISOS_2025[[#This Row],[total_cancelado]]</f>
        <v>711750</v>
      </c>
      <c r="X2760" s="136">
        <f>COMPROMISOS_2025[[#This Row],[total_ordenes]]</f>
        <v>711750</v>
      </c>
      <c r="Y2760" t="str" cm="1">
        <f t="array" aca="1" ref="Y2760" ca="1">IFERROR(_xlfn.XLOOKUP(COMPROMISOS_2025[[#This Row],[concatenado]],PAA[[#All],[RCP-RUBRO]],PAA[[#All],[Actividad3]],VLOOKUP(COMPROMISOS_2025[[#This Row],[Indicador Principal]],$AC$2:$AD$17,2,0),0),"")</f>
        <v/>
      </c>
    </row>
    <row r="2761" spans="1:25" hidden="1" x14ac:dyDescent="0.25">
      <c r="A2761">
        <v>2406</v>
      </c>
      <c r="B2761" t="s">
        <v>2491</v>
      </c>
      <c r="C2761" t="s">
        <v>1936</v>
      </c>
      <c r="D2761" t="s">
        <v>3575</v>
      </c>
      <c r="F2761">
        <v>405</v>
      </c>
      <c r="G2761">
        <v>65</v>
      </c>
      <c r="H2761" t="s">
        <v>662</v>
      </c>
      <c r="I2761" t="s">
        <v>2271</v>
      </c>
      <c r="J2761">
        <v>711750</v>
      </c>
      <c r="K2761">
        <v>2025</v>
      </c>
      <c r="L2761">
        <v>1027942953</v>
      </c>
      <c r="M2761" t="s">
        <v>4043</v>
      </c>
      <c r="N2761" t="s">
        <v>1688</v>
      </c>
      <c r="O2761" t="s">
        <v>1686</v>
      </c>
      <c r="P2761">
        <v>0</v>
      </c>
      <c r="Q2761">
        <v>711750</v>
      </c>
      <c r="R2761">
        <v>0</v>
      </c>
      <c r="S2761">
        <v>0</v>
      </c>
      <c r="T2761" t="str">
        <f t="shared" si="86"/>
        <v>24062.43.4302.85.0-205128.2.3.3.08.06.</v>
      </c>
      <c r="U2761" t="e" cm="1">
        <f t="array" aca="1" ref="U2761" ca="1">+IF(COMPROMISOS_2025[[#This Row],[P]]="20","41080111",_xlfn.XLOOKUP(COMPROMISOS_2025[[#This Row],[concatenado]],PAA[[#All],[RCP-RUBRO]],PAA[[#All],[INDICADOR]],"",0))</f>
        <v>#NAME?</v>
      </c>
      <c r="V2761" s="144" t="str">
        <f t="shared" si="87"/>
        <v>85</v>
      </c>
      <c r="W2761" s="136">
        <f>+COMPROMISOS_2025[[#This Row],[valor_total]]-COMPROMISOS_2025[[#This Row],[total_cancelado]]</f>
        <v>711750</v>
      </c>
      <c r="X2761" s="136">
        <f>COMPROMISOS_2025[[#This Row],[total_ordenes]]</f>
        <v>711750</v>
      </c>
      <c r="Y2761" t="str" cm="1">
        <f t="array" aca="1" ref="Y2761" ca="1">IFERROR(_xlfn.XLOOKUP(COMPROMISOS_2025[[#This Row],[concatenado]],PAA[[#All],[RCP-RUBRO]],PAA[[#All],[Actividad3]],VLOOKUP(COMPROMISOS_2025[[#This Row],[Indicador Principal]],$AC$2:$AD$17,2,0),0),"")</f>
        <v/>
      </c>
    </row>
    <row r="2762" spans="1:25" hidden="1" x14ac:dyDescent="0.25">
      <c r="A2762">
        <v>2407</v>
      </c>
      <c r="B2762" t="s">
        <v>2491</v>
      </c>
      <c r="C2762" t="s">
        <v>1936</v>
      </c>
      <c r="D2762" t="s">
        <v>3575</v>
      </c>
      <c r="F2762">
        <v>405</v>
      </c>
      <c r="G2762">
        <v>65</v>
      </c>
      <c r="H2762" t="s">
        <v>662</v>
      </c>
      <c r="I2762" t="s">
        <v>2271</v>
      </c>
      <c r="J2762">
        <v>2847000</v>
      </c>
      <c r="K2762">
        <v>2025</v>
      </c>
      <c r="L2762">
        <v>1027946487</v>
      </c>
      <c r="M2762" t="s">
        <v>3713</v>
      </c>
      <c r="N2762" t="s">
        <v>1688</v>
      </c>
      <c r="O2762" t="s">
        <v>1686</v>
      </c>
      <c r="P2762">
        <v>0</v>
      </c>
      <c r="Q2762">
        <v>2847000</v>
      </c>
      <c r="R2762">
        <v>0</v>
      </c>
      <c r="S2762">
        <v>0</v>
      </c>
      <c r="T2762" t="str">
        <f t="shared" si="86"/>
        <v>24072.43.4302.85.0-205128.2.3.3.08.06.</v>
      </c>
      <c r="U2762" t="e" cm="1">
        <f t="array" aca="1" ref="U2762" ca="1">+IF(COMPROMISOS_2025[[#This Row],[P]]="20","41080111",_xlfn.XLOOKUP(COMPROMISOS_2025[[#This Row],[concatenado]],PAA[[#All],[RCP-RUBRO]],PAA[[#All],[INDICADOR]],"",0))</f>
        <v>#NAME?</v>
      </c>
      <c r="V2762" s="144" t="str">
        <f t="shared" si="87"/>
        <v>85</v>
      </c>
      <c r="W2762" s="136">
        <f>+COMPROMISOS_2025[[#This Row],[valor_total]]-COMPROMISOS_2025[[#This Row],[total_cancelado]]</f>
        <v>2847000</v>
      </c>
      <c r="X2762" s="136">
        <f>COMPROMISOS_2025[[#This Row],[total_ordenes]]</f>
        <v>2847000</v>
      </c>
      <c r="Y2762" t="str" cm="1">
        <f t="array" aca="1" ref="Y2762" ca="1">IFERROR(_xlfn.XLOOKUP(COMPROMISOS_2025[[#This Row],[concatenado]],PAA[[#All],[RCP-RUBRO]],PAA[[#All],[Actividad3]],VLOOKUP(COMPROMISOS_2025[[#This Row],[Indicador Principal]],$AC$2:$AD$17,2,0),0),"")</f>
        <v/>
      </c>
    </row>
    <row r="2763" spans="1:25" hidden="1" x14ac:dyDescent="0.25">
      <c r="A2763">
        <v>2408</v>
      </c>
      <c r="B2763" t="s">
        <v>2491</v>
      </c>
      <c r="C2763" t="s">
        <v>1936</v>
      </c>
      <c r="D2763" t="s">
        <v>3575</v>
      </c>
      <c r="F2763">
        <v>405</v>
      </c>
      <c r="G2763">
        <v>65</v>
      </c>
      <c r="H2763" t="s">
        <v>662</v>
      </c>
      <c r="I2763" t="s">
        <v>2271</v>
      </c>
      <c r="J2763">
        <v>5694000</v>
      </c>
      <c r="K2763">
        <v>2025</v>
      </c>
      <c r="L2763">
        <v>1027947045</v>
      </c>
      <c r="M2763" t="s">
        <v>4327</v>
      </c>
      <c r="N2763" t="s">
        <v>1688</v>
      </c>
      <c r="O2763" t="s">
        <v>1686</v>
      </c>
      <c r="P2763">
        <v>0</v>
      </c>
      <c r="Q2763">
        <v>5694000</v>
      </c>
      <c r="R2763">
        <v>0</v>
      </c>
      <c r="S2763">
        <v>0</v>
      </c>
      <c r="T2763" t="str">
        <f t="shared" si="86"/>
        <v>24082.43.4302.85.0-205128.2.3.3.08.06.</v>
      </c>
      <c r="U2763" t="e" cm="1">
        <f t="array" aca="1" ref="U2763" ca="1">+IF(COMPROMISOS_2025[[#This Row],[P]]="20","41080111",_xlfn.XLOOKUP(COMPROMISOS_2025[[#This Row],[concatenado]],PAA[[#All],[RCP-RUBRO]],PAA[[#All],[INDICADOR]],"",0))</f>
        <v>#NAME?</v>
      </c>
      <c r="V2763" s="144" t="str">
        <f t="shared" si="87"/>
        <v>85</v>
      </c>
      <c r="W2763" s="136">
        <f>+COMPROMISOS_2025[[#This Row],[valor_total]]-COMPROMISOS_2025[[#This Row],[total_cancelado]]</f>
        <v>5694000</v>
      </c>
      <c r="X2763" s="136">
        <f>COMPROMISOS_2025[[#This Row],[total_ordenes]]</f>
        <v>5694000</v>
      </c>
      <c r="Y2763" t="str" cm="1">
        <f t="array" aca="1" ref="Y2763" ca="1">IFERROR(_xlfn.XLOOKUP(COMPROMISOS_2025[[#This Row],[concatenado]],PAA[[#All],[RCP-RUBRO]],PAA[[#All],[Actividad3]],VLOOKUP(COMPROMISOS_2025[[#This Row],[Indicador Principal]],$AC$2:$AD$17,2,0),0),"")</f>
        <v/>
      </c>
    </row>
    <row r="2764" spans="1:25" hidden="1" x14ac:dyDescent="0.25">
      <c r="A2764">
        <v>2413</v>
      </c>
      <c r="B2764" t="s">
        <v>2491</v>
      </c>
      <c r="C2764" t="s">
        <v>1936</v>
      </c>
      <c r="D2764" t="s">
        <v>3575</v>
      </c>
      <c r="F2764">
        <v>405</v>
      </c>
      <c r="G2764">
        <v>65</v>
      </c>
      <c r="H2764" t="s">
        <v>662</v>
      </c>
      <c r="I2764" t="s">
        <v>2271</v>
      </c>
      <c r="J2764">
        <v>1067625</v>
      </c>
      <c r="K2764">
        <v>2025</v>
      </c>
      <c r="L2764">
        <v>1027949936</v>
      </c>
      <c r="M2764" t="s">
        <v>4047</v>
      </c>
      <c r="N2764" t="s">
        <v>1688</v>
      </c>
      <c r="O2764" t="s">
        <v>1686</v>
      </c>
      <c r="P2764">
        <v>0</v>
      </c>
      <c r="Q2764">
        <v>1067625</v>
      </c>
      <c r="R2764">
        <v>0</v>
      </c>
      <c r="S2764">
        <v>0</v>
      </c>
      <c r="T2764" t="str">
        <f t="shared" si="86"/>
        <v>24132.43.4302.85.0-205128.2.3.3.08.06.</v>
      </c>
      <c r="U2764" t="e" cm="1">
        <f t="array" aca="1" ref="U2764" ca="1">+IF(COMPROMISOS_2025[[#This Row],[P]]="20","41080111",_xlfn.XLOOKUP(COMPROMISOS_2025[[#This Row],[concatenado]],PAA[[#All],[RCP-RUBRO]],PAA[[#All],[INDICADOR]],"",0))</f>
        <v>#NAME?</v>
      </c>
      <c r="V2764" s="144" t="str">
        <f t="shared" si="87"/>
        <v>85</v>
      </c>
      <c r="W2764" s="136">
        <f>+COMPROMISOS_2025[[#This Row],[valor_total]]-COMPROMISOS_2025[[#This Row],[total_cancelado]]</f>
        <v>1067625</v>
      </c>
      <c r="X2764" s="136">
        <f>COMPROMISOS_2025[[#This Row],[total_ordenes]]</f>
        <v>1067625</v>
      </c>
      <c r="Y2764" t="str" cm="1">
        <f t="array" aca="1" ref="Y2764" ca="1">IFERROR(_xlfn.XLOOKUP(COMPROMISOS_2025[[#This Row],[concatenado]],PAA[[#All],[RCP-RUBRO]],PAA[[#All],[Actividad3]],VLOOKUP(COMPROMISOS_2025[[#This Row],[Indicador Principal]],$AC$2:$AD$17,2,0),0),"")</f>
        <v/>
      </c>
    </row>
    <row r="2765" spans="1:25" hidden="1" x14ac:dyDescent="0.25">
      <c r="A2765">
        <v>2415</v>
      </c>
      <c r="B2765" t="s">
        <v>2491</v>
      </c>
      <c r="C2765" t="s">
        <v>1936</v>
      </c>
      <c r="D2765" t="s">
        <v>3575</v>
      </c>
      <c r="F2765">
        <v>405</v>
      </c>
      <c r="G2765">
        <v>65</v>
      </c>
      <c r="H2765" t="s">
        <v>662</v>
      </c>
      <c r="I2765" t="s">
        <v>2271</v>
      </c>
      <c r="J2765">
        <v>711750</v>
      </c>
      <c r="K2765">
        <v>2025</v>
      </c>
      <c r="L2765">
        <v>1027950756</v>
      </c>
      <c r="M2765" t="s">
        <v>4048</v>
      </c>
      <c r="N2765" t="s">
        <v>1688</v>
      </c>
      <c r="O2765" t="s">
        <v>1686</v>
      </c>
      <c r="P2765">
        <v>0</v>
      </c>
      <c r="Q2765">
        <v>711750</v>
      </c>
      <c r="R2765">
        <v>0</v>
      </c>
      <c r="S2765">
        <v>0</v>
      </c>
      <c r="T2765" t="str">
        <f t="shared" si="86"/>
        <v>24152.43.4302.85.0-205128.2.3.3.08.06.</v>
      </c>
      <c r="U2765" t="e" cm="1">
        <f t="array" aca="1" ref="U2765" ca="1">+IF(COMPROMISOS_2025[[#This Row],[P]]="20","41080111",_xlfn.XLOOKUP(COMPROMISOS_2025[[#This Row],[concatenado]],PAA[[#All],[RCP-RUBRO]],PAA[[#All],[INDICADOR]],"",0))</f>
        <v>#NAME?</v>
      </c>
      <c r="V2765" s="144" t="str">
        <f t="shared" si="87"/>
        <v>85</v>
      </c>
      <c r="W2765" s="136">
        <f>+COMPROMISOS_2025[[#This Row],[valor_total]]-COMPROMISOS_2025[[#This Row],[total_cancelado]]</f>
        <v>711750</v>
      </c>
      <c r="X2765" s="136">
        <f>COMPROMISOS_2025[[#This Row],[total_ordenes]]</f>
        <v>711750</v>
      </c>
      <c r="Y2765" t="str" cm="1">
        <f t="array" aca="1" ref="Y2765" ca="1">IFERROR(_xlfn.XLOOKUP(COMPROMISOS_2025[[#This Row],[concatenado]],PAA[[#All],[RCP-RUBRO]],PAA[[#All],[Actividad3]],VLOOKUP(COMPROMISOS_2025[[#This Row],[Indicador Principal]],$AC$2:$AD$17,2,0),0),"")</f>
        <v/>
      </c>
    </row>
    <row r="2766" spans="1:25" hidden="1" x14ac:dyDescent="0.25">
      <c r="A2766">
        <v>2421</v>
      </c>
      <c r="B2766" t="s">
        <v>2491</v>
      </c>
      <c r="C2766" t="s">
        <v>1936</v>
      </c>
      <c r="D2766" t="s">
        <v>3575</v>
      </c>
      <c r="F2766">
        <v>405</v>
      </c>
      <c r="G2766">
        <v>65</v>
      </c>
      <c r="H2766" t="s">
        <v>662</v>
      </c>
      <c r="I2766" t="s">
        <v>2271</v>
      </c>
      <c r="J2766">
        <v>711750</v>
      </c>
      <c r="K2766">
        <v>2025</v>
      </c>
      <c r="L2766">
        <v>1027958076</v>
      </c>
      <c r="M2766" t="s">
        <v>4328</v>
      </c>
      <c r="N2766" t="s">
        <v>1688</v>
      </c>
      <c r="O2766" t="s">
        <v>1686</v>
      </c>
      <c r="P2766">
        <v>0</v>
      </c>
      <c r="Q2766">
        <v>711750</v>
      </c>
      <c r="R2766">
        <v>0</v>
      </c>
      <c r="S2766">
        <v>0</v>
      </c>
      <c r="T2766" t="str">
        <f t="shared" si="86"/>
        <v>24212.43.4302.85.0-205128.2.3.3.08.06.</v>
      </c>
      <c r="U2766" t="e" cm="1">
        <f t="array" aca="1" ref="U2766" ca="1">+IF(COMPROMISOS_2025[[#This Row],[P]]="20","41080111",_xlfn.XLOOKUP(COMPROMISOS_2025[[#This Row],[concatenado]],PAA[[#All],[RCP-RUBRO]],PAA[[#All],[INDICADOR]],"",0))</f>
        <v>#NAME?</v>
      </c>
      <c r="V2766" s="144" t="str">
        <f t="shared" si="87"/>
        <v>85</v>
      </c>
      <c r="W2766" s="136">
        <f>+COMPROMISOS_2025[[#This Row],[valor_total]]-COMPROMISOS_2025[[#This Row],[total_cancelado]]</f>
        <v>711750</v>
      </c>
      <c r="X2766" s="136">
        <f>COMPROMISOS_2025[[#This Row],[total_ordenes]]</f>
        <v>711750</v>
      </c>
      <c r="Y2766" t="str" cm="1">
        <f t="array" aca="1" ref="Y2766" ca="1">IFERROR(_xlfn.XLOOKUP(COMPROMISOS_2025[[#This Row],[concatenado]],PAA[[#All],[RCP-RUBRO]],PAA[[#All],[Actividad3]],VLOOKUP(COMPROMISOS_2025[[#This Row],[Indicador Principal]],$AC$2:$AD$17,2,0),0),"")</f>
        <v/>
      </c>
    </row>
    <row r="2767" spans="1:25" hidden="1" x14ac:dyDescent="0.25">
      <c r="A2767">
        <v>2424</v>
      </c>
      <c r="B2767" t="s">
        <v>2491</v>
      </c>
      <c r="C2767" t="s">
        <v>1936</v>
      </c>
      <c r="D2767" t="s">
        <v>3575</v>
      </c>
      <c r="F2767">
        <v>405</v>
      </c>
      <c r="G2767">
        <v>65</v>
      </c>
      <c r="H2767" t="s">
        <v>662</v>
      </c>
      <c r="I2767" t="s">
        <v>2271</v>
      </c>
      <c r="J2767">
        <v>1067625</v>
      </c>
      <c r="K2767">
        <v>2025</v>
      </c>
      <c r="L2767">
        <v>1027963438</v>
      </c>
      <c r="M2767" t="s">
        <v>4329</v>
      </c>
      <c r="N2767" t="s">
        <v>1688</v>
      </c>
      <c r="O2767" t="s">
        <v>1686</v>
      </c>
      <c r="P2767">
        <v>0</v>
      </c>
      <c r="Q2767">
        <v>1067625</v>
      </c>
      <c r="R2767">
        <v>0</v>
      </c>
      <c r="S2767">
        <v>0</v>
      </c>
      <c r="T2767" t="str">
        <f t="shared" si="86"/>
        <v>24242.43.4302.85.0-205128.2.3.3.08.06.</v>
      </c>
      <c r="U2767" t="e" cm="1">
        <f t="array" aca="1" ref="U2767" ca="1">+IF(COMPROMISOS_2025[[#This Row],[P]]="20","41080111",_xlfn.XLOOKUP(COMPROMISOS_2025[[#This Row],[concatenado]],PAA[[#All],[RCP-RUBRO]],PAA[[#All],[INDICADOR]],"",0))</f>
        <v>#NAME?</v>
      </c>
      <c r="V2767" s="144" t="str">
        <f t="shared" si="87"/>
        <v>85</v>
      </c>
      <c r="W2767" s="136">
        <f>+COMPROMISOS_2025[[#This Row],[valor_total]]-COMPROMISOS_2025[[#This Row],[total_cancelado]]</f>
        <v>1067625</v>
      </c>
      <c r="X2767" s="136">
        <f>COMPROMISOS_2025[[#This Row],[total_ordenes]]</f>
        <v>1067625</v>
      </c>
      <c r="Y2767" t="str" cm="1">
        <f t="array" aca="1" ref="Y2767" ca="1">IFERROR(_xlfn.XLOOKUP(COMPROMISOS_2025[[#This Row],[concatenado]],PAA[[#All],[RCP-RUBRO]],PAA[[#All],[Actividad3]],VLOOKUP(COMPROMISOS_2025[[#This Row],[Indicador Principal]],$AC$2:$AD$17,2,0),0),"")</f>
        <v/>
      </c>
    </row>
    <row r="2768" spans="1:25" hidden="1" x14ac:dyDescent="0.25">
      <c r="A2768">
        <v>2425</v>
      </c>
      <c r="B2768" t="s">
        <v>2491</v>
      </c>
      <c r="C2768" t="s">
        <v>1936</v>
      </c>
      <c r="D2768" t="s">
        <v>3575</v>
      </c>
      <c r="F2768">
        <v>405</v>
      </c>
      <c r="G2768">
        <v>65</v>
      </c>
      <c r="H2768" t="s">
        <v>662</v>
      </c>
      <c r="I2768" t="s">
        <v>2271</v>
      </c>
      <c r="J2768">
        <v>1067625</v>
      </c>
      <c r="K2768">
        <v>2025</v>
      </c>
      <c r="L2768">
        <v>1028001738</v>
      </c>
      <c r="M2768" t="s">
        <v>4050</v>
      </c>
      <c r="N2768" t="s">
        <v>1688</v>
      </c>
      <c r="O2768" t="s">
        <v>1686</v>
      </c>
      <c r="P2768">
        <v>0</v>
      </c>
      <c r="Q2768">
        <v>1067625</v>
      </c>
      <c r="R2768">
        <v>0</v>
      </c>
      <c r="S2768">
        <v>0</v>
      </c>
      <c r="T2768" t="str">
        <f t="shared" si="86"/>
        <v>24252.43.4302.85.0-205128.2.3.3.08.06.</v>
      </c>
      <c r="U2768" t="e" cm="1">
        <f t="array" aca="1" ref="U2768" ca="1">+IF(COMPROMISOS_2025[[#This Row],[P]]="20","41080111",_xlfn.XLOOKUP(COMPROMISOS_2025[[#This Row],[concatenado]],PAA[[#All],[RCP-RUBRO]],PAA[[#All],[INDICADOR]],"",0))</f>
        <v>#NAME?</v>
      </c>
      <c r="V2768" s="144" t="str">
        <f t="shared" si="87"/>
        <v>85</v>
      </c>
      <c r="W2768" s="136">
        <f>+COMPROMISOS_2025[[#This Row],[valor_total]]-COMPROMISOS_2025[[#This Row],[total_cancelado]]</f>
        <v>1067625</v>
      </c>
      <c r="X2768" s="136">
        <f>COMPROMISOS_2025[[#This Row],[total_ordenes]]</f>
        <v>1067625</v>
      </c>
      <c r="Y2768" t="str" cm="1">
        <f t="array" aca="1" ref="Y2768" ca="1">IFERROR(_xlfn.XLOOKUP(COMPROMISOS_2025[[#This Row],[concatenado]],PAA[[#All],[RCP-RUBRO]],PAA[[#All],[Actividad3]],VLOOKUP(COMPROMISOS_2025[[#This Row],[Indicador Principal]],$AC$2:$AD$17,2,0),0),"")</f>
        <v/>
      </c>
    </row>
    <row r="2769" spans="1:25" hidden="1" x14ac:dyDescent="0.25">
      <c r="A2769">
        <v>2427</v>
      </c>
      <c r="B2769" t="s">
        <v>2491</v>
      </c>
      <c r="C2769" t="s">
        <v>1936</v>
      </c>
      <c r="D2769" t="s">
        <v>3575</v>
      </c>
      <c r="F2769">
        <v>405</v>
      </c>
      <c r="G2769">
        <v>65</v>
      </c>
      <c r="H2769" t="s">
        <v>662</v>
      </c>
      <c r="I2769" t="s">
        <v>2271</v>
      </c>
      <c r="J2769">
        <v>711750</v>
      </c>
      <c r="K2769">
        <v>2025</v>
      </c>
      <c r="L2769">
        <v>10280137243</v>
      </c>
      <c r="M2769" t="s">
        <v>4051</v>
      </c>
      <c r="N2769" t="s">
        <v>1688</v>
      </c>
      <c r="O2769" t="s">
        <v>1686</v>
      </c>
      <c r="P2769">
        <v>0</v>
      </c>
      <c r="Q2769">
        <v>711750</v>
      </c>
      <c r="R2769">
        <v>0</v>
      </c>
      <c r="S2769">
        <v>0</v>
      </c>
      <c r="T2769" t="str">
        <f t="shared" si="86"/>
        <v>24272.43.4302.85.0-205128.2.3.3.08.06.</v>
      </c>
      <c r="U2769" t="e" cm="1">
        <f t="array" aca="1" ref="U2769" ca="1">+IF(COMPROMISOS_2025[[#This Row],[P]]="20","41080111",_xlfn.XLOOKUP(COMPROMISOS_2025[[#This Row],[concatenado]],PAA[[#All],[RCP-RUBRO]],PAA[[#All],[INDICADOR]],"",0))</f>
        <v>#NAME?</v>
      </c>
      <c r="V2769" s="144" t="str">
        <f t="shared" si="87"/>
        <v>85</v>
      </c>
      <c r="W2769" s="136">
        <f>+COMPROMISOS_2025[[#This Row],[valor_total]]-COMPROMISOS_2025[[#This Row],[total_cancelado]]</f>
        <v>711750</v>
      </c>
      <c r="X2769" s="136">
        <f>COMPROMISOS_2025[[#This Row],[total_ordenes]]</f>
        <v>711750</v>
      </c>
      <c r="Y2769" t="str" cm="1">
        <f t="array" aca="1" ref="Y2769" ca="1">IFERROR(_xlfn.XLOOKUP(COMPROMISOS_2025[[#This Row],[concatenado]],PAA[[#All],[RCP-RUBRO]],PAA[[#All],[Actividad3]],VLOOKUP(COMPROMISOS_2025[[#This Row],[Indicador Principal]],$AC$2:$AD$17,2,0),0),"")</f>
        <v/>
      </c>
    </row>
    <row r="2770" spans="1:25" hidden="1" x14ac:dyDescent="0.25">
      <c r="A2770">
        <v>2428</v>
      </c>
      <c r="B2770" t="s">
        <v>2491</v>
      </c>
      <c r="C2770" t="s">
        <v>1936</v>
      </c>
      <c r="D2770" t="s">
        <v>3575</v>
      </c>
      <c r="F2770">
        <v>405</v>
      </c>
      <c r="G2770">
        <v>65</v>
      </c>
      <c r="H2770" t="s">
        <v>662</v>
      </c>
      <c r="I2770" t="s">
        <v>2271</v>
      </c>
      <c r="J2770">
        <v>2847000</v>
      </c>
      <c r="K2770">
        <v>2025</v>
      </c>
      <c r="L2770">
        <v>1028013832</v>
      </c>
      <c r="M2770" t="s">
        <v>3446</v>
      </c>
      <c r="N2770" t="s">
        <v>1688</v>
      </c>
      <c r="O2770" t="s">
        <v>1686</v>
      </c>
      <c r="P2770">
        <v>0</v>
      </c>
      <c r="Q2770">
        <v>2847000</v>
      </c>
      <c r="R2770">
        <v>0</v>
      </c>
      <c r="S2770">
        <v>0</v>
      </c>
      <c r="T2770" t="str">
        <f t="shared" si="86"/>
        <v>24282.43.4302.85.0-205128.2.3.3.08.06.</v>
      </c>
      <c r="U2770" t="e" cm="1">
        <f t="array" aca="1" ref="U2770" ca="1">+IF(COMPROMISOS_2025[[#This Row],[P]]="20","41080111",_xlfn.XLOOKUP(COMPROMISOS_2025[[#This Row],[concatenado]],PAA[[#All],[RCP-RUBRO]],PAA[[#All],[INDICADOR]],"",0))</f>
        <v>#NAME?</v>
      </c>
      <c r="V2770" s="144" t="str">
        <f t="shared" si="87"/>
        <v>85</v>
      </c>
      <c r="W2770" s="136">
        <f>+COMPROMISOS_2025[[#This Row],[valor_total]]-COMPROMISOS_2025[[#This Row],[total_cancelado]]</f>
        <v>2847000</v>
      </c>
      <c r="X2770" s="136">
        <f>COMPROMISOS_2025[[#This Row],[total_ordenes]]</f>
        <v>2847000</v>
      </c>
      <c r="Y2770" t="str" cm="1">
        <f t="array" aca="1" ref="Y2770" ca="1">IFERROR(_xlfn.XLOOKUP(COMPROMISOS_2025[[#This Row],[concatenado]],PAA[[#All],[RCP-RUBRO]],PAA[[#All],[Actividad3]],VLOOKUP(COMPROMISOS_2025[[#This Row],[Indicador Principal]],$AC$2:$AD$17,2,0),0),"")</f>
        <v/>
      </c>
    </row>
    <row r="2771" spans="1:25" hidden="1" x14ac:dyDescent="0.25">
      <c r="A2771">
        <v>2430</v>
      </c>
      <c r="B2771" t="s">
        <v>2491</v>
      </c>
      <c r="C2771" t="s">
        <v>1936</v>
      </c>
      <c r="D2771" t="s">
        <v>3575</v>
      </c>
      <c r="F2771">
        <v>405</v>
      </c>
      <c r="G2771">
        <v>65</v>
      </c>
      <c r="H2771" t="s">
        <v>662</v>
      </c>
      <c r="I2771" t="s">
        <v>2271</v>
      </c>
      <c r="J2771">
        <v>1423500</v>
      </c>
      <c r="K2771">
        <v>2025</v>
      </c>
      <c r="L2771">
        <v>1028038160</v>
      </c>
      <c r="M2771" t="s">
        <v>4052</v>
      </c>
      <c r="N2771" t="s">
        <v>1688</v>
      </c>
      <c r="O2771" t="s">
        <v>1686</v>
      </c>
      <c r="P2771">
        <v>0</v>
      </c>
      <c r="Q2771">
        <v>1423500</v>
      </c>
      <c r="R2771">
        <v>0</v>
      </c>
      <c r="S2771">
        <v>0</v>
      </c>
      <c r="T2771" t="str">
        <f t="shared" si="86"/>
        <v>24302.43.4302.85.0-205128.2.3.3.08.06.</v>
      </c>
      <c r="U2771" t="e" cm="1">
        <f t="array" aca="1" ref="U2771" ca="1">+IF(COMPROMISOS_2025[[#This Row],[P]]="20","41080111",_xlfn.XLOOKUP(COMPROMISOS_2025[[#This Row],[concatenado]],PAA[[#All],[RCP-RUBRO]],PAA[[#All],[INDICADOR]],"",0))</f>
        <v>#NAME?</v>
      </c>
      <c r="V2771" s="144" t="str">
        <f t="shared" si="87"/>
        <v>85</v>
      </c>
      <c r="W2771" s="136">
        <f>+COMPROMISOS_2025[[#This Row],[valor_total]]-COMPROMISOS_2025[[#This Row],[total_cancelado]]</f>
        <v>1423500</v>
      </c>
      <c r="X2771" s="136">
        <f>COMPROMISOS_2025[[#This Row],[total_ordenes]]</f>
        <v>1423500</v>
      </c>
      <c r="Y2771" t="str" cm="1">
        <f t="array" aca="1" ref="Y2771" ca="1">IFERROR(_xlfn.XLOOKUP(COMPROMISOS_2025[[#This Row],[concatenado]],PAA[[#All],[RCP-RUBRO]],PAA[[#All],[Actividad3]],VLOOKUP(COMPROMISOS_2025[[#This Row],[Indicador Principal]],$AC$2:$AD$17,2,0),0),"")</f>
        <v/>
      </c>
    </row>
    <row r="2772" spans="1:25" hidden="1" x14ac:dyDescent="0.25">
      <c r="A2772">
        <v>2431</v>
      </c>
      <c r="B2772" t="s">
        <v>2491</v>
      </c>
      <c r="C2772" t="s">
        <v>1936</v>
      </c>
      <c r="D2772" t="s">
        <v>3575</v>
      </c>
      <c r="F2772">
        <v>405</v>
      </c>
      <c r="G2772">
        <v>65</v>
      </c>
      <c r="H2772" t="s">
        <v>662</v>
      </c>
      <c r="I2772" t="s">
        <v>2271</v>
      </c>
      <c r="J2772">
        <v>1423500</v>
      </c>
      <c r="K2772">
        <v>2025</v>
      </c>
      <c r="L2772">
        <v>1029140649</v>
      </c>
      <c r="M2772" t="s">
        <v>4053</v>
      </c>
      <c r="N2772" t="s">
        <v>1688</v>
      </c>
      <c r="O2772" t="s">
        <v>1686</v>
      </c>
      <c r="P2772">
        <v>0</v>
      </c>
      <c r="Q2772">
        <v>1423500</v>
      </c>
      <c r="R2772">
        <v>0</v>
      </c>
      <c r="S2772">
        <v>0</v>
      </c>
      <c r="T2772" t="str">
        <f t="shared" si="86"/>
        <v>24312.43.4302.85.0-205128.2.3.3.08.06.</v>
      </c>
      <c r="U2772" t="e" cm="1">
        <f t="array" aca="1" ref="U2772" ca="1">+IF(COMPROMISOS_2025[[#This Row],[P]]="20","41080111",_xlfn.XLOOKUP(COMPROMISOS_2025[[#This Row],[concatenado]],PAA[[#All],[RCP-RUBRO]],PAA[[#All],[INDICADOR]],"",0))</f>
        <v>#NAME?</v>
      </c>
      <c r="V2772" s="144" t="str">
        <f t="shared" si="87"/>
        <v>85</v>
      </c>
      <c r="W2772" s="136">
        <f>+COMPROMISOS_2025[[#This Row],[valor_total]]-COMPROMISOS_2025[[#This Row],[total_cancelado]]</f>
        <v>1423500</v>
      </c>
      <c r="X2772" s="136">
        <f>COMPROMISOS_2025[[#This Row],[total_ordenes]]</f>
        <v>1423500</v>
      </c>
      <c r="Y2772" t="str" cm="1">
        <f t="array" aca="1" ref="Y2772" ca="1">IFERROR(_xlfn.XLOOKUP(COMPROMISOS_2025[[#This Row],[concatenado]],PAA[[#All],[RCP-RUBRO]],PAA[[#All],[Actividad3]],VLOOKUP(COMPROMISOS_2025[[#This Row],[Indicador Principal]],$AC$2:$AD$17,2,0),0),"")</f>
        <v/>
      </c>
    </row>
    <row r="2773" spans="1:25" hidden="1" x14ac:dyDescent="0.25">
      <c r="A2773">
        <v>2434</v>
      </c>
      <c r="B2773" t="s">
        <v>2491</v>
      </c>
      <c r="C2773" t="s">
        <v>1936</v>
      </c>
      <c r="D2773" t="s">
        <v>3575</v>
      </c>
      <c r="F2773">
        <v>405</v>
      </c>
      <c r="G2773">
        <v>65</v>
      </c>
      <c r="H2773" t="s">
        <v>662</v>
      </c>
      <c r="I2773" t="s">
        <v>2271</v>
      </c>
      <c r="J2773">
        <v>711750</v>
      </c>
      <c r="K2773">
        <v>2025</v>
      </c>
      <c r="L2773">
        <v>1030240900</v>
      </c>
      <c r="M2773" t="s">
        <v>4330</v>
      </c>
      <c r="N2773" t="s">
        <v>1688</v>
      </c>
      <c r="O2773" t="s">
        <v>1686</v>
      </c>
      <c r="P2773">
        <v>0</v>
      </c>
      <c r="Q2773">
        <v>711750</v>
      </c>
      <c r="R2773">
        <v>0</v>
      </c>
      <c r="S2773">
        <v>0</v>
      </c>
      <c r="T2773" t="str">
        <f t="shared" si="86"/>
        <v>24342.43.4302.85.0-205128.2.3.3.08.06.</v>
      </c>
      <c r="U2773" t="e" cm="1">
        <f t="array" aca="1" ref="U2773" ca="1">+IF(COMPROMISOS_2025[[#This Row],[P]]="20","41080111",_xlfn.XLOOKUP(COMPROMISOS_2025[[#This Row],[concatenado]],PAA[[#All],[RCP-RUBRO]],PAA[[#All],[INDICADOR]],"",0))</f>
        <v>#NAME?</v>
      </c>
      <c r="V2773" s="144" t="str">
        <f t="shared" si="87"/>
        <v>85</v>
      </c>
      <c r="W2773" s="136">
        <f>+COMPROMISOS_2025[[#This Row],[valor_total]]-COMPROMISOS_2025[[#This Row],[total_cancelado]]</f>
        <v>711750</v>
      </c>
      <c r="X2773" s="136">
        <f>COMPROMISOS_2025[[#This Row],[total_ordenes]]</f>
        <v>711750</v>
      </c>
      <c r="Y2773" t="str" cm="1">
        <f t="array" aca="1" ref="Y2773" ca="1">IFERROR(_xlfn.XLOOKUP(COMPROMISOS_2025[[#This Row],[concatenado]],PAA[[#All],[RCP-RUBRO]],PAA[[#All],[Actividad3]],VLOOKUP(COMPROMISOS_2025[[#This Row],[Indicador Principal]],$AC$2:$AD$17,2,0),0),"")</f>
        <v/>
      </c>
    </row>
    <row r="2774" spans="1:25" hidden="1" x14ac:dyDescent="0.25">
      <c r="A2774">
        <v>2435</v>
      </c>
      <c r="B2774" t="s">
        <v>2491</v>
      </c>
      <c r="C2774" t="s">
        <v>1936</v>
      </c>
      <c r="D2774" t="s">
        <v>3575</v>
      </c>
      <c r="F2774">
        <v>405</v>
      </c>
      <c r="G2774">
        <v>65</v>
      </c>
      <c r="H2774" t="s">
        <v>662</v>
      </c>
      <c r="I2774" t="s">
        <v>2271</v>
      </c>
      <c r="J2774">
        <v>1423500</v>
      </c>
      <c r="K2774">
        <v>2025</v>
      </c>
      <c r="L2774">
        <v>1031650720</v>
      </c>
      <c r="M2774" t="s">
        <v>4054</v>
      </c>
      <c r="N2774" t="s">
        <v>1688</v>
      </c>
      <c r="O2774" t="s">
        <v>1686</v>
      </c>
      <c r="P2774">
        <v>0</v>
      </c>
      <c r="Q2774">
        <v>1423500</v>
      </c>
      <c r="R2774">
        <v>0</v>
      </c>
      <c r="S2774">
        <v>0</v>
      </c>
      <c r="T2774" t="str">
        <f t="shared" si="86"/>
        <v>24352.43.4302.85.0-205128.2.3.3.08.06.</v>
      </c>
      <c r="U2774" t="e" cm="1">
        <f t="array" aca="1" ref="U2774" ca="1">+IF(COMPROMISOS_2025[[#This Row],[P]]="20","41080111",_xlfn.XLOOKUP(COMPROMISOS_2025[[#This Row],[concatenado]],PAA[[#All],[RCP-RUBRO]],PAA[[#All],[INDICADOR]],"",0))</f>
        <v>#NAME?</v>
      </c>
      <c r="V2774" s="144" t="str">
        <f t="shared" si="87"/>
        <v>85</v>
      </c>
      <c r="W2774" s="136">
        <f>+COMPROMISOS_2025[[#This Row],[valor_total]]-COMPROMISOS_2025[[#This Row],[total_cancelado]]</f>
        <v>1423500</v>
      </c>
      <c r="X2774" s="136">
        <f>COMPROMISOS_2025[[#This Row],[total_ordenes]]</f>
        <v>1423500</v>
      </c>
      <c r="Y2774" t="str" cm="1">
        <f t="array" aca="1" ref="Y2774" ca="1">IFERROR(_xlfn.XLOOKUP(COMPROMISOS_2025[[#This Row],[concatenado]],PAA[[#All],[RCP-RUBRO]],PAA[[#All],[Actividad3]],VLOOKUP(COMPROMISOS_2025[[#This Row],[Indicador Principal]],$AC$2:$AD$17,2,0),0),"")</f>
        <v/>
      </c>
    </row>
    <row r="2775" spans="1:25" hidden="1" x14ac:dyDescent="0.25">
      <c r="A2775">
        <v>2440</v>
      </c>
      <c r="B2775" t="s">
        <v>2491</v>
      </c>
      <c r="C2775" t="s">
        <v>1936</v>
      </c>
      <c r="D2775" t="s">
        <v>3575</v>
      </c>
      <c r="F2775">
        <v>405</v>
      </c>
      <c r="G2775">
        <v>65</v>
      </c>
      <c r="H2775" t="s">
        <v>662</v>
      </c>
      <c r="I2775" t="s">
        <v>2271</v>
      </c>
      <c r="J2775">
        <v>1067625</v>
      </c>
      <c r="K2775">
        <v>2025</v>
      </c>
      <c r="L2775">
        <v>1032011013</v>
      </c>
      <c r="M2775" t="s">
        <v>3734</v>
      </c>
      <c r="N2775" t="s">
        <v>1688</v>
      </c>
      <c r="O2775" t="s">
        <v>1686</v>
      </c>
      <c r="P2775">
        <v>0</v>
      </c>
      <c r="Q2775">
        <v>1067625</v>
      </c>
      <c r="R2775">
        <v>0</v>
      </c>
      <c r="S2775">
        <v>0</v>
      </c>
      <c r="T2775" t="str">
        <f t="shared" si="86"/>
        <v>24402.43.4302.85.0-205128.2.3.3.08.06.</v>
      </c>
      <c r="U2775" t="e" cm="1">
        <f t="array" aca="1" ref="U2775" ca="1">+IF(COMPROMISOS_2025[[#This Row],[P]]="20","41080111",_xlfn.XLOOKUP(COMPROMISOS_2025[[#This Row],[concatenado]],PAA[[#All],[RCP-RUBRO]],PAA[[#All],[INDICADOR]],"",0))</f>
        <v>#NAME?</v>
      </c>
      <c r="V2775" s="144" t="str">
        <f t="shared" si="87"/>
        <v>85</v>
      </c>
      <c r="W2775" s="136">
        <f>+COMPROMISOS_2025[[#This Row],[valor_total]]-COMPROMISOS_2025[[#This Row],[total_cancelado]]</f>
        <v>1067625</v>
      </c>
      <c r="X2775" s="136">
        <f>COMPROMISOS_2025[[#This Row],[total_ordenes]]</f>
        <v>1067625</v>
      </c>
      <c r="Y2775" t="str" cm="1">
        <f t="array" aca="1" ref="Y2775" ca="1">IFERROR(_xlfn.XLOOKUP(COMPROMISOS_2025[[#This Row],[concatenado]],PAA[[#All],[RCP-RUBRO]],PAA[[#All],[Actividad3]],VLOOKUP(COMPROMISOS_2025[[#This Row],[Indicador Principal]],$AC$2:$AD$17,2,0),0),"")</f>
        <v/>
      </c>
    </row>
    <row r="2776" spans="1:25" hidden="1" x14ac:dyDescent="0.25">
      <c r="A2776">
        <v>2441</v>
      </c>
      <c r="B2776" t="s">
        <v>2491</v>
      </c>
      <c r="C2776" t="s">
        <v>1936</v>
      </c>
      <c r="D2776" t="s">
        <v>3575</v>
      </c>
      <c r="F2776">
        <v>405</v>
      </c>
      <c r="G2776">
        <v>65</v>
      </c>
      <c r="H2776" t="s">
        <v>662</v>
      </c>
      <c r="I2776" t="s">
        <v>2271</v>
      </c>
      <c r="J2776">
        <v>1067625</v>
      </c>
      <c r="K2776">
        <v>2025</v>
      </c>
      <c r="L2776">
        <v>1032011253</v>
      </c>
      <c r="M2776" t="s">
        <v>4331</v>
      </c>
      <c r="N2776" t="s">
        <v>1688</v>
      </c>
      <c r="O2776" t="s">
        <v>1686</v>
      </c>
      <c r="P2776">
        <v>0</v>
      </c>
      <c r="Q2776">
        <v>1067625</v>
      </c>
      <c r="R2776">
        <v>0</v>
      </c>
      <c r="S2776">
        <v>0</v>
      </c>
      <c r="T2776" t="str">
        <f t="shared" si="86"/>
        <v>24412.43.4302.85.0-205128.2.3.3.08.06.</v>
      </c>
      <c r="U2776" t="e" cm="1">
        <f t="array" aca="1" ref="U2776" ca="1">+IF(COMPROMISOS_2025[[#This Row],[P]]="20","41080111",_xlfn.XLOOKUP(COMPROMISOS_2025[[#This Row],[concatenado]],PAA[[#All],[RCP-RUBRO]],PAA[[#All],[INDICADOR]],"",0))</f>
        <v>#NAME?</v>
      </c>
      <c r="V2776" s="144" t="str">
        <f t="shared" si="87"/>
        <v>85</v>
      </c>
      <c r="W2776" s="136">
        <f>+COMPROMISOS_2025[[#This Row],[valor_total]]-COMPROMISOS_2025[[#This Row],[total_cancelado]]</f>
        <v>1067625</v>
      </c>
      <c r="X2776" s="136">
        <f>COMPROMISOS_2025[[#This Row],[total_ordenes]]</f>
        <v>1067625</v>
      </c>
      <c r="Y2776" t="str" cm="1">
        <f t="array" aca="1" ref="Y2776" ca="1">IFERROR(_xlfn.XLOOKUP(COMPROMISOS_2025[[#This Row],[concatenado]],PAA[[#All],[RCP-RUBRO]],PAA[[#All],[Actividad3]],VLOOKUP(COMPROMISOS_2025[[#This Row],[Indicador Principal]],$AC$2:$AD$17,2,0),0),"")</f>
        <v/>
      </c>
    </row>
    <row r="2777" spans="1:25" hidden="1" x14ac:dyDescent="0.25">
      <c r="A2777">
        <v>2442</v>
      </c>
      <c r="B2777" t="s">
        <v>2491</v>
      </c>
      <c r="C2777" t="s">
        <v>1936</v>
      </c>
      <c r="D2777" t="s">
        <v>3575</v>
      </c>
      <c r="F2777">
        <v>405</v>
      </c>
      <c r="G2777">
        <v>65</v>
      </c>
      <c r="H2777" t="s">
        <v>662</v>
      </c>
      <c r="I2777" t="s">
        <v>2271</v>
      </c>
      <c r="J2777">
        <v>1067625</v>
      </c>
      <c r="K2777">
        <v>2025</v>
      </c>
      <c r="L2777">
        <v>1032011525</v>
      </c>
      <c r="M2777" t="s">
        <v>4332</v>
      </c>
      <c r="N2777" t="s">
        <v>1688</v>
      </c>
      <c r="O2777" t="s">
        <v>1686</v>
      </c>
      <c r="P2777">
        <v>0</v>
      </c>
      <c r="Q2777">
        <v>1067625</v>
      </c>
      <c r="R2777">
        <v>0</v>
      </c>
      <c r="S2777">
        <v>0</v>
      </c>
      <c r="T2777" t="str">
        <f t="shared" si="86"/>
        <v>24422.43.4302.85.0-205128.2.3.3.08.06.</v>
      </c>
      <c r="U2777" t="e" cm="1">
        <f t="array" aca="1" ref="U2777" ca="1">+IF(COMPROMISOS_2025[[#This Row],[P]]="20","41080111",_xlfn.XLOOKUP(COMPROMISOS_2025[[#This Row],[concatenado]],PAA[[#All],[RCP-RUBRO]],PAA[[#All],[INDICADOR]],"",0))</f>
        <v>#NAME?</v>
      </c>
      <c r="V2777" s="144" t="str">
        <f t="shared" si="87"/>
        <v>85</v>
      </c>
      <c r="W2777" s="136">
        <f>+COMPROMISOS_2025[[#This Row],[valor_total]]-COMPROMISOS_2025[[#This Row],[total_cancelado]]</f>
        <v>1067625</v>
      </c>
      <c r="X2777" s="136">
        <f>COMPROMISOS_2025[[#This Row],[total_ordenes]]</f>
        <v>1067625</v>
      </c>
      <c r="Y2777" t="str" cm="1">
        <f t="array" aca="1" ref="Y2777" ca="1">IFERROR(_xlfn.XLOOKUP(COMPROMISOS_2025[[#This Row],[concatenado]],PAA[[#All],[RCP-RUBRO]],PAA[[#All],[Actividad3]],VLOOKUP(COMPROMISOS_2025[[#This Row],[Indicador Principal]],$AC$2:$AD$17,2,0),0),"")</f>
        <v/>
      </c>
    </row>
    <row r="2778" spans="1:25" hidden="1" x14ac:dyDescent="0.25">
      <c r="A2778">
        <v>2445</v>
      </c>
      <c r="B2778" t="s">
        <v>2491</v>
      </c>
      <c r="C2778" t="s">
        <v>1936</v>
      </c>
      <c r="D2778" t="s">
        <v>3575</v>
      </c>
      <c r="F2778">
        <v>405</v>
      </c>
      <c r="G2778">
        <v>65</v>
      </c>
      <c r="H2778" t="s">
        <v>662</v>
      </c>
      <c r="I2778" t="s">
        <v>2271</v>
      </c>
      <c r="J2778">
        <v>1423500</v>
      </c>
      <c r="K2778">
        <v>2025</v>
      </c>
      <c r="L2778">
        <v>1032099259</v>
      </c>
      <c r="M2778" t="s">
        <v>4333</v>
      </c>
      <c r="N2778" t="s">
        <v>1688</v>
      </c>
      <c r="O2778" t="s">
        <v>1686</v>
      </c>
      <c r="P2778">
        <v>0</v>
      </c>
      <c r="Q2778">
        <v>1423500</v>
      </c>
      <c r="R2778">
        <v>0</v>
      </c>
      <c r="S2778">
        <v>0</v>
      </c>
      <c r="T2778" t="str">
        <f t="shared" si="86"/>
        <v>24452.43.4302.85.0-205128.2.3.3.08.06.</v>
      </c>
      <c r="U2778" t="e" cm="1">
        <f t="array" aca="1" ref="U2778" ca="1">+IF(COMPROMISOS_2025[[#This Row],[P]]="20","41080111",_xlfn.XLOOKUP(COMPROMISOS_2025[[#This Row],[concatenado]],PAA[[#All],[RCP-RUBRO]],PAA[[#All],[INDICADOR]],"",0))</f>
        <v>#NAME?</v>
      </c>
      <c r="V2778" s="144" t="str">
        <f t="shared" si="87"/>
        <v>85</v>
      </c>
      <c r="W2778" s="136">
        <f>+COMPROMISOS_2025[[#This Row],[valor_total]]-COMPROMISOS_2025[[#This Row],[total_cancelado]]</f>
        <v>1423500</v>
      </c>
      <c r="X2778" s="136">
        <f>COMPROMISOS_2025[[#This Row],[total_ordenes]]</f>
        <v>1423500</v>
      </c>
      <c r="Y2778" t="str" cm="1">
        <f t="array" aca="1" ref="Y2778" ca="1">IFERROR(_xlfn.XLOOKUP(COMPROMISOS_2025[[#This Row],[concatenado]],PAA[[#All],[RCP-RUBRO]],PAA[[#All],[Actividad3]],VLOOKUP(COMPROMISOS_2025[[#This Row],[Indicador Principal]],$AC$2:$AD$17,2,0),0),"")</f>
        <v/>
      </c>
    </row>
    <row r="2779" spans="1:25" hidden="1" x14ac:dyDescent="0.25">
      <c r="A2779">
        <v>2446</v>
      </c>
      <c r="B2779" t="s">
        <v>2491</v>
      </c>
      <c r="C2779" t="s">
        <v>1936</v>
      </c>
      <c r="D2779" t="s">
        <v>3575</v>
      </c>
      <c r="F2779">
        <v>405</v>
      </c>
      <c r="G2779">
        <v>65</v>
      </c>
      <c r="H2779" t="s">
        <v>662</v>
      </c>
      <c r="I2779" t="s">
        <v>2271</v>
      </c>
      <c r="J2779">
        <v>1067625</v>
      </c>
      <c r="K2779">
        <v>2025</v>
      </c>
      <c r="L2779">
        <v>1032177898</v>
      </c>
      <c r="M2779" t="s">
        <v>4056</v>
      </c>
      <c r="N2779" t="s">
        <v>1688</v>
      </c>
      <c r="O2779" t="s">
        <v>1686</v>
      </c>
      <c r="P2779">
        <v>0</v>
      </c>
      <c r="Q2779">
        <v>1067625</v>
      </c>
      <c r="R2779">
        <v>0</v>
      </c>
      <c r="S2779">
        <v>0</v>
      </c>
      <c r="T2779" t="str">
        <f t="shared" si="86"/>
        <v>24462.43.4302.85.0-205128.2.3.3.08.06.</v>
      </c>
      <c r="U2779" t="e" cm="1">
        <f t="array" aca="1" ref="U2779" ca="1">+IF(COMPROMISOS_2025[[#This Row],[P]]="20","41080111",_xlfn.XLOOKUP(COMPROMISOS_2025[[#This Row],[concatenado]],PAA[[#All],[RCP-RUBRO]],PAA[[#All],[INDICADOR]],"",0))</f>
        <v>#NAME?</v>
      </c>
      <c r="V2779" s="144" t="str">
        <f t="shared" si="87"/>
        <v>85</v>
      </c>
      <c r="W2779" s="136">
        <f>+COMPROMISOS_2025[[#This Row],[valor_total]]-COMPROMISOS_2025[[#This Row],[total_cancelado]]</f>
        <v>1067625</v>
      </c>
      <c r="X2779" s="136">
        <f>COMPROMISOS_2025[[#This Row],[total_ordenes]]</f>
        <v>1067625</v>
      </c>
      <c r="Y2779" t="str" cm="1">
        <f t="array" aca="1" ref="Y2779" ca="1">IFERROR(_xlfn.XLOOKUP(COMPROMISOS_2025[[#This Row],[concatenado]],PAA[[#All],[RCP-RUBRO]],PAA[[#All],[Actividad3]],VLOOKUP(COMPROMISOS_2025[[#This Row],[Indicador Principal]],$AC$2:$AD$17,2,0),0),"")</f>
        <v/>
      </c>
    </row>
    <row r="2780" spans="1:25" hidden="1" x14ac:dyDescent="0.25">
      <c r="A2780">
        <v>2447</v>
      </c>
      <c r="B2780" t="s">
        <v>2491</v>
      </c>
      <c r="C2780" t="s">
        <v>1936</v>
      </c>
      <c r="D2780" t="s">
        <v>3575</v>
      </c>
      <c r="F2780">
        <v>405</v>
      </c>
      <c r="G2780">
        <v>65</v>
      </c>
      <c r="H2780" t="s">
        <v>662</v>
      </c>
      <c r="I2780" t="s">
        <v>2271</v>
      </c>
      <c r="J2780">
        <v>711750</v>
      </c>
      <c r="K2780">
        <v>2025</v>
      </c>
      <c r="L2780">
        <v>1032178455</v>
      </c>
      <c r="M2780" t="s">
        <v>4057</v>
      </c>
      <c r="N2780" t="s">
        <v>1688</v>
      </c>
      <c r="O2780" t="s">
        <v>1686</v>
      </c>
      <c r="P2780">
        <v>0</v>
      </c>
      <c r="Q2780">
        <v>711750</v>
      </c>
      <c r="R2780">
        <v>0</v>
      </c>
      <c r="S2780">
        <v>0</v>
      </c>
      <c r="T2780" t="str">
        <f t="shared" si="86"/>
        <v>24472.43.4302.85.0-205128.2.3.3.08.06.</v>
      </c>
      <c r="U2780" t="e" cm="1">
        <f t="array" aca="1" ref="U2780" ca="1">+IF(COMPROMISOS_2025[[#This Row],[P]]="20","41080111",_xlfn.XLOOKUP(COMPROMISOS_2025[[#This Row],[concatenado]],PAA[[#All],[RCP-RUBRO]],PAA[[#All],[INDICADOR]],"",0))</f>
        <v>#NAME?</v>
      </c>
      <c r="V2780" s="144" t="str">
        <f t="shared" si="87"/>
        <v>85</v>
      </c>
      <c r="W2780" s="136">
        <f>+COMPROMISOS_2025[[#This Row],[valor_total]]-COMPROMISOS_2025[[#This Row],[total_cancelado]]</f>
        <v>711750</v>
      </c>
      <c r="X2780" s="136">
        <f>COMPROMISOS_2025[[#This Row],[total_ordenes]]</f>
        <v>711750</v>
      </c>
      <c r="Y2780" t="str" cm="1">
        <f t="array" aca="1" ref="Y2780" ca="1">IFERROR(_xlfn.XLOOKUP(COMPROMISOS_2025[[#This Row],[concatenado]],PAA[[#All],[RCP-RUBRO]],PAA[[#All],[Actividad3]],VLOOKUP(COMPROMISOS_2025[[#This Row],[Indicador Principal]],$AC$2:$AD$17,2,0),0),"")</f>
        <v/>
      </c>
    </row>
    <row r="2781" spans="1:25" hidden="1" x14ac:dyDescent="0.25">
      <c r="A2781">
        <v>2449</v>
      </c>
      <c r="B2781" t="s">
        <v>2491</v>
      </c>
      <c r="C2781" t="s">
        <v>1936</v>
      </c>
      <c r="D2781" t="s">
        <v>3575</v>
      </c>
      <c r="F2781">
        <v>405</v>
      </c>
      <c r="G2781">
        <v>65</v>
      </c>
      <c r="H2781" t="s">
        <v>662</v>
      </c>
      <c r="I2781" t="s">
        <v>2271</v>
      </c>
      <c r="J2781">
        <v>711750</v>
      </c>
      <c r="K2781">
        <v>2025</v>
      </c>
      <c r="L2781">
        <v>1032183392</v>
      </c>
      <c r="M2781" t="s">
        <v>4334</v>
      </c>
      <c r="N2781" t="s">
        <v>1688</v>
      </c>
      <c r="O2781" t="s">
        <v>1686</v>
      </c>
      <c r="P2781">
        <v>0</v>
      </c>
      <c r="Q2781">
        <v>711750</v>
      </c>
      <c r="R2781">
        <v>0</v>
      </c>
      <c r="S2781">
        <v>0</v>
      </c>
      <c r="T2781" t="str">
        <f t="shared" si="86"/>
        <v>24492.43.4302.85.0-205128.2.3.3.08.06.</v>
      </c>
      <c r="U2781" t="e" cm="1">
        <f t="array" aca="1" ref="U2781" ca="1">+IF(COMPROMISOS_2025[[#This Row],[P]]="20","41080111",_xlfn.XLOOKUP(COMPROMISOS_2025[[#This Row],[concatenado]],PAA[[#All],[RCP-RUBRO]],PAA[[#All],[INDICADOR]],"",0))</f>
        <v>#NAME?</v>
      </c>
      <c r="V2781" s="144" t="str">
        <f t="shared" si="87"/>
        <v>85</v>
      </c>
      <c r="W2781" s="136">
        <f>+COMPROMISOS_2025[[#This Row],[valor_total]]-COMPROMISOS_2025[[#This Row],[total_cancelado]]</f>
        <v>711750</v>
      </c>
      <c r="X2781" s="136">
        <f>COMPROMISOS_2025[[#This Row],[total_ordenes]]</f>
        <v>711750</v>
      </c>
      <c r="Y2781" t="str" cm="1">
        <f t="array" aca="1" ref="Y2781" ca="1">IFERROR(_xlfn.XLOOKUP(COMPROMISOS_2025[[#This Row],[concatenado]],PAA[[#All],[RCP-RUBRO]],PAA[[#All],[Actividad3]],VLOOKUP(COMPROMISOS_2025[[#This Row],[Indicador Principal]],$AC$2:$AD$17,2,0),0),"")</f>
        <v/>
      </c>
    </row>
    <row r="2782" spans="1:25" hidden="1" x14ac:dyDescent="0.25">
      <c r="A2782">
        <v>2452</v>
      </c>
      <c r="B2782" t="s">
        <v>2491</v>
      </c>
      <c r="C2782" t="s">
        <v>1936</v>
      </c>
      <c r="D2782" t="s">
        <v>3575</v>
      </c>
      <c r="F2782">
        <v>405</v>
      </c>
      <c r="G2782">
        <v>65</v>
      </c>
      <c r="H2782" t="s">
        <v>662</v>
      </c>
      <c r="I2782" t="s">
        <v>2271</v>
      </c>
      <c r="J2782">
        <v>711750</v>
      </c>
      <c r="K2782">
        <v>2025</v>
      </c>
      <c r="L2782">
        <v>1032500480</v>
      </c>
      <c r="M2782" t="s">
        <v>4335</v>
      </c>
      <c r="N2782" t="s">
        <v>1688</v>
      </c>
      <c r="O2782" t="s">
        <v>1686</v>
      </c>
      <c r="P2782">
        <v>0</v>
      </c>
      <c r="Q2782">
        <v>711750</v>
      </c>
      <c r="R2782">
        <v>0</v>
      </c>
      <c r="S2782">
        <v>0</v>
      </c>
      <c r="T2782" t="str">
        <f t="shared" si="86"/>
        <v>24522.43.4302.85.0-205128.2.3.3.08.06.</v>
      </c>
      <c r="U2782" t="e" cm="1">
        <f t="array" aca="1" ref="U2782" ca="1">+IF(COMPROMISOS_2025[[#This Row],[P]]="20","41080111",_xlfn.XLOOKUP(COMPROMISOS_2025[[#This Row],[concatenado]],PAA[[#All],[RCP-RUBRO]],PAA[[#All],[INDICADOR]],"",0))</f>
        <v>#NAME?</v>
      </c>
      <c r="V2782" s="144" t="str">
        <f t="shared" si="87"/>
        <v>85</v>
      </c>
      <c r="W2782" s="136">
        <f>+COMPROMISOS_2025[[#This Row],[valor_total]]-COMPROMISOS_2025[[#This Row],[total_cancelado]]</f>
        <v>711750</v>
      </c>
      <c r="X2782" s="136">
        <f>COMPROMISOS_2025[[#This Row],[total_ordenes]]</f>
        <v>711750</v>
      </c>
      <c r="Y2782" t="str" cm="1">
        <f t="array" aca="1" ref="Y2782" ca="1">IFERROR(_xlfn.XLOOKUP(COMPROMISOS_2025[[#This Row],[concatenado]],PAA[[#All],[RCP-RUBRO]],PAA[[#All],[Actividad3]],VLOOKUP(COMPROMISOS_2025[[#This Row],[Indicador Principal]],$AC$2:$AD$17,2,0),0),"")</f>
        <v/>
      </c>
    </row>
    <row r="2783" spans="1:25" hidden="1" x14ac:dyDescent="0.25">
      <c r="A2783">
        <v>2454</v>
      </c>
      <c r="B2783" t="s">
        <v>2491</v>
      </c>
      <c r="C2783" t="s">
        <v>1936</v>
      </c>
      <c r="D2783" t="s">
        <v>3575</v>
      </c>
      <c r="F2783">
        <v>405</v>
      </c>
      <c r="G2783">
        <v>65</v>
      </c>
      <c r="H2783" t="s">
        <v>662</v>
      </c>
      <c r="I2783" t="s">
        <v>2271</v>
      </c>
      <c r="J2783">
        <v>1067625</v>
      </c>
      <c r="K2783">
        <v>2025</v>
      </c>
      <c r="L2783">
        <v>10331799147</v>
      </c>
      <c r="M2783" t="s">
        <v>4336</v>
      </c>
      <c r="N2783" t="s">
        <v>1688</v>
      </c>
      <c r="O2783" t="s">
        <v>1686</v>
      </c>
      <c r="P2783">
        <v>0</v>
      </c>
      <c r="Q2783">
        <v>1067625</v>
      </c>
      <c r="R2783">
        <v>0</v>
      </c>
      <c r="S2783">
        <v>0</v>
      </c>
      <c r="T2783" t="str">
        <f t="shared" si="86"/>
        <v>24542.43.4302.85.0-205128.2.3.3.08.06.</v>
      </c>
      <c r="U2783" t="e" cm="1">
        <f t="array" aca="1" ref="U2783" ca="1">+IF(COMPROMISOS_2025[[#This Row],[P]]="20","41080111",_xlfn.XLOOKUP(COMPROMISOS_2025[[#This Row],[concatenado]],PAA[[#All],[RCP-RUBRO]],PAA[[#All],[INDICADOR]],"",0))</f>
        <v>#NAME?</v>
      </c>
      <c r="V2783" s="144" t="str">
        <f t="shared" si="87"/>
        <v>85</v>
      </c>
      <c r="W2783" s="136">
        <f>+COMPROMISOS_2025[[#This Row],[valor_total]]-COMPROMISOS_2025[[#This Row],[total_cancelado]]</f>
        <v>1067625</v>
      </c>
      <c r="X2783" s="136">
        <f>COMPROMISOS_2025[[#This Row],[total_ordenes]]</f>
        <v>1067625</v>
      </c>
      <c r="Y2783" t="str" cm="1">
        <f t="array" aca="1" ref="Y2783" ca="1">IFERROR(_xlfn.XLOOKUP(COMPROMISOS_2025[[#This Row],[concatenado]],PAA[[#All],[RCP-RUBRO]],PAA[[#All],[Actividad3]],VLOOKUP(COMPROMISOS_2025[[#This Row],[Indicador Principal]],$AC$2:$AD$17,2,0),0),"")</f>
        <v/>
      </c>
    </row>
    <row r="2784" spans="1:25" hidden="1" x14ac:dyDescent="0.25">
      <c r="A2784">
        <v>2458</v>
      </c>
      <c r="B2784" t="s">
        <v>2491</v>
      </c>
      <c r="C2784" t="s">
        <v>1936</v>
      </c>
      <c r="D2784" t="s">
        <v>3575</v>
      </c>
      <c r="F2784">
        <v>405</v>
      </c>
      <c r="G2784">
        <v>65</v>
      </c>
      <c r="H2784" t="s">
        <v>662</v>
      </c>
      <c r="I2784" t="s">
        <v>2271</v>
      </c>
      <c r="J2784">
        <v>1423500</v>
      </c>
      <c r="K2784">
        <v>2025</v>
      </c>
      <c r="L2784">
        <v>1033182657</v>
      </c>
      <c r="M2784" t="s">
        <v>4058</v>
      </c>
      <c r="N2784" t="s">
        <v>1688</v>
      </c>
      <c r="O2784" t="s">
        <v>1686</v>
      </c>
      <c r="P2784">
        <v>0</v>
      </c>
      <c r="Q2784">
        <v>1423500</v>
      </c>
      <c r="R2784">
        <v>0</v>
      </c>
      <c r="S2784">
        <v>0</v>
      </c>
      <c r="T2784" t="str">
        <f t="shared" si="86"/>
        <v>24582.43.4302.85.0-205128.2.3.3.08.06.</v>
      </c>
      <c r="U2784" t="e" cm="1">
        <f t="array" aca="1" ref="U2784" ca="1">+IF(COMPROMISOS_2025[[#This Row],[P]]="20","41080111",_xlfn.XLOOKUP(COMPROMISOS_2025[[#This Row],[concatenado]],PAA[[#All],[RCP-RUBRO]],PAA[[#All],[INDICADOR]],"",0))</f>
        <v>#NAME?</v>
      </c>
      <c r="V2784" s="144" t="str">
        <f t="shared" si="87"/>
        <v>85</v>
      </c>
      <c r="W2784" s="136">
        <f>+COMPROMISOS_2025[[#This Row],[valor_total]]-COMPROMISOS_2025[[#This Row],[total_cancelado]]</f>
        <v>1423500</v>
      </c>
      <c r="X2784" s="136">
        <f>COMPROMISOS_2025[[#This Row],[total_ordenes]]</f>
        <v>1423500</v>
      </c>
      <c r="Y2784" t="str" cm="1">
        <f t="array" aca="1" ref="Y2784" ca="1">IFERROR(_xlfn.XLOOKUP(COMPROMISOS_2025[[#This Row],[concatenado]],PAA[[#All],[RCP-RUBRO]],PAA[[#All],[Actividad3]],VLOOKUP(COMPROMISOS_2025[[#This Row],[Indicador Principal]],$AC$2:$AD$17,2,0),0),"")</f>
        <v/>
      </c>
    </row>
    <row r="2785" spans="1:25" hidden="1" x14ac:dyDescent="0.25">
      <c r="A2785">
        <v>2462</v>
      </c>
      <c r="B2785" t="s">
        <v>2491</v>
      </c>
      <c r="C2785" t="s">
        <v>1936</v>
      </c>
      <c r="D2785" t="s">
        <v>3575</v>
      </c>
      <c r="F2785">
        <v>405</v>
      </c>
      <c r="G2785">
        <v>65</v>
      </c>
      <c r="H2785" t="s">
        <v>662</v>
      </c>
      <c r="I2785" t="s">
        <v>2271</v>
      </c>
      <c r="J2785">
        <v>1423500</v>
      </c>
      <c r="K2785">
        <v>2025</v>
      </c>
      <c r="L2785">
        <v>1033258934</v>
      </c>
      <c r="M2785" t="s">
        <v>4337</v>
      </c>
      <c r="N2785" t="s">
        <v>1688</v>
      </c>
      <c r="O2785" t="s">
        <v>1686</v>
      </c>
      <c r="P2785">
        <v>0</v>
      </c>
      <c r="Q2785">
        <v>1423500</v>
      </c>
      <c r="R2785">
        <v>0</v>
      </c>
      <c r="S2785">
        <v>0</v>
      </c>
      <c r="T2785" t="str">
        <f t="shared" si="86"/>
        <v>24622.43.4302.85.0-205128.2.3.3.08.06.</v>
      </c>
      <c r="U2785" t="e" cm="1">
        <f t="array" aca="1" ref="U2785" ca="1">+IF(COMPROMISOS_2025[[#This Row],[P]]="20","41080111",_xlfn.XLOOKUP(COMPROMISOS_2025[[#This Row],[concatenado]],PAA[[#All],[RCP-RUBRO]],PAA[[#All],[INDICADOR]],"",0))</f>
        <v>#NAME?</v>
      </c>
      <c r="V2785" s="144" t="str">
        <f t="shared" si="87"/>
        <v>85</v>
      </c>
      <c r="W2785" s="136">
        <f>+COMPROMISOS_2025[[#This Row],[valor_total]]-COMPROMISOS_2025[[#This Row],[total_cancelado]]</f>
        <v>1423500</v>
      </c>
      <c r="X2785" s="136">
        <f>COMPROMISOS_2025[[#This Row],[total_ordenes]]</f>
        <v>1423500</v>
      </c>
      <c r="Y2785" t="str" cm="1">
        <f t="array" aca="1" ref="Y2785" ca="1">IFERROR(_xlfn.XLOOKUP(COMPROMISOS_2025[[#This Row],[concatenado]],PAA[[#All],[RCP-RUBRO]],PAA[[#All],[Actividad3]],VLOOKUP(COMPROMISOS_2025[[#This Row],[Indicador Principal]],$AC$2:$AD$17,2,0),0),"")</f>
        <v/>
      </c>
    </row>
    <row r="2786" spans="1:25" hidden="1" x14ac:dyDescent="0.25">
      <c r="A2786">
        <v>2463</v>
      </c>
      <c r="B2786" t="s">
        <v>2491</v>
      </c>
      <c r="C2786" t="s">
        <v>1936</v>
      </c>
      <c r="D2786" t="s">
        <v>3575</v>
      </c>
      <c r="F2786">
        <v>405</v>
      </c>
      <c r="G2786">
        <v>65</v>
      </c>
      <c r="H2786" t="s">
        <v>662</v>
      </c>
      <c r="I2786" t="s">
        <v>2271</v>
      </c>
      <c r="J2786">
        <v>1423500</v>
      </c>
      <c r="K2786">
        <v>2025</v>
      </c>
      <c r="L2786">
        <v>1033260221</v>
      </c>
      <c r="M2786" t="s">
        <v>4059</v>
      </c>
      <c r="N2786" t="s">
        <v>1688</v>
      </c>
      <c r="O2786" t="s">
        <v>1686</v>
      </c>
      <c r="P2786">
        <v>0</v>
      </c>
      <c r="Q2786">
        <v>1423500</v>
      </c>
      <c r="R2786">
        <v>0</v>
      </c>
      <c r="S2786">
        <v>0</v>
      </c>
      <c r="T2786" t="str">
        <f t="shared" si="86"/>
        <v>24632.43.4302.85.0-205128.2.3.3.08.06.</v>
      </c>
      <c r="U2786" t="e" cm="1">
        <f t="array" aca="1" ref="U2786" ca="1">+IF(COMPROMISOS_2025[[#This Row],[P]]="20","41080111",_xlfn.XLOOKUP(COMPROMISOS_2025[[#This Row],[concatenado]],PAA[[#All],[RCP-RUBRO]],PAA[[#All],[INDICADOR]],"",0))</f>
        <v>#NAME?</v>
      </c>
      <c r="V2786" s="144" t="str">
        <f t="shared" si="87"/>
        <v>85</v>
      </c>
      <c r="W2786" s="136">
        <f>+COMPROMISOS_2025[[#This Row],[valor_total]]-COMPROMISOS_2025[[#This Row],[total_cancelado]]</f>
        <v>1423500</v>
      </c>
      <c r="X2786" s="136">
        <f>COMPROMISOS_2025[[#This Row],[total_ordenes]]</f>
        <v>1423500</v>
      </c>
      <c r="Y2786" t="str" cm="1">
        <f t="array" aca="1" ref="Y2786" ca="1">IFERROR(_xlfn.XLOOKUP(COMPROMISOS_2025[[#This Row],[concatenado]],PAA[[#All],[RCP-RUBRO]],PAA[[#All],[Actividad3]],VLOOKUP(COMPROMISOS_2025[[#This Row],[Indicador Principal]],$AC$2:$AD$17,2,0),0),"")</f>
        <v/>
      </c>
    </row>
    <row r="2787" spans="1:25" hidden="1" x14ac:dyDescent="0.25">
      <c r="A2787">
        <v>2464</v>
      </c>
      <c r="B2787" t="s">
        <v>2491</v>
      </c>
      <c r="C2787" t="s">
        <v>1936</v>
      </c>
      <c r="D2787" t="s">
        <v>3575</v>
      </c>
      <c r="F2787">
        <v>405</v>
      </c>
      <c r="G2787">
        <v>65</v>
      </c>
      <c r="H2787" t="s">
        <v>662</v>
      </c>
      <c r="I2787" t="s">
        <v>2271</v>
      </c>
      <c r="J2787">
        <v>711750</v>
      </c>
      <c r="K2787">
        <v>2025</v>
      </c>
      <c r="L2787">
        <v>1033338792</v>
      </c>
      <c r="M2787" t="s">
        <v>4338</v>
      </c>
      <c r="N2787" t="s">
        <v>1688</v>
      </c>
      <c r="O2787" t="s">
        <v>1686</v>
      </c>
      <c r="P2787">
        <v>0</v>
      </c>
      <c r="Q2787">
        <v>711750</v>
      </c>
      <c r="R2787">
        <v>0</v>
      </c>
      <c r="S2787">
        <v>0</v>
      </c>
      <c r="T2787" t="str">
        <f t="shared" si="86"/>
        <v>24642.43.4302.85.0-205128.2.3.3.08.06.</v>
      </c>
      <c r="U2787" t="e" cm="1">
        <f t="array" aca="1" ref="U2787" ca="1">+IF(COMPROMISOS_2025[[#This Row],[P]]="20","41080111",_xlfn.XLOOKUP(COMPROMISOS_2025[[#This Row],[concatenado]],PAA[[#All],[RCP-RUBRO]],PAA[[#All],[INDICADOR]],"",0))</f>
        <v>#NAME?</v>
      </c>
      <c r="V2787" s="144" t="str">
        <f t="shared" si="87"/>
        <v>85</v>
      </c>
      <c r="W2787" s="136">
        <f>+COMPROMISOS_2025[[#This Row],[valor_total]]-COMPROMISOS_2025[[#This Row],[total_cancelado]]</f>
        <v>711750</v>
      </c>
      <c r="X2787" s="136">
        <f>COMPROMISOS_2025[[#This Row],[total_ordenes]]</f>
        <v>711750</v>
      </c>
      <c r="Y2787" t="str" cm="1">
        <f t="array" aca="1" ref="Y2787" ca="1">IFERROR(_xlfn.XLOOKUP(COMPROMISOS_2025[[#This Row],[concatenado]],PAA[[#All],[RCP-RUBRO]],PAA[[#All],[Actividad3]],VLOOKUP(COMPROMISOS_2025[[#This Row],[Indicador Principal]],$AC$2:$AD$17,2,0),0),"")</f>
        <v/>
      </c>
    </row>
    <row r="2788" spans="1:25" hidden="1" x14ac:dyDescent="0.25">
      <c r="A2788">
        <v>2465</v>
      </c>
      <c r="B2788" t="s">
        <v>2491</v>
      </c>
      <c r="C2788" t="s">
        <v>1936</v>
      </c>
      <c r="D2788" t="s">
        <v>3575</v>
      </c>
      <c r="F2788">
        <v>405</v>
      </c>
      <c r="G2788">
        <v>65</v>
      </c>
      <c r="H2788" t="s">
        <v>662</v>
      </c>
      <c r="I2788" t="s">
        <v>2271</v>
      </c>
      <c r="J2788">
        <v>1067625</v>
      </c>
      <c r="K2788">
        <v>2025</v>
      </c>
      <c r="L2788">
        <v>1033489811</v>
      </c>
      <c r="M2788" t="s">
        <v>4340</v>
      </c>
      <c r="N2788" t="s">
        <v>1688</v>
      </c>
      <c r="O2788" t="s">
        <v>1686</v>
      </c>
      <c r="P2788">
        <v>0</v>
      </c>
      <c r="Q2788">
        <v>1067625</v>
      </c>
      <c r="R2788">
        <v>0</v>
      </c>
      <c r="S2788">
        <v>0</v>
      </c>
      <c r="T2788" t="str">
        <f t="shared" si="86"/>
        <v>24652.43.4302.85.0-205128.2.3.3.08.06.</v>
      </c>
      <c r="U2788" t="e" cm="1">
        <f t="array" aca="1" ref="U2788" ca="1">+IF(COMPROMISOS_2025[[#This Row],[P]]="20","41080111",_xlfn.XLOOKUP(COMPROMISOS_2025[[#This Row],[concatenado]],PAA[[#All],[RCP-RUBRO]],PAA[[#All],[INDICADOR]],"",0))</f>
        <v>#NAME?</v>
      </c>
      <c r="V2788" s="144" t="str">
        <f t="shared" si="87"/>
        <v>85</v>
      </c>
      <c r="W2788" s="136">
        <f>+COMPROMISOS_2025[[#This Row],[valor_total]]-COMPROMISOS_2025[[#This Row],[total_cancelado]]</f>
        <v>1067625</v>
      </c>
      <c r="X2788" s="136">
        <f>COMPROMISOS_2025[[#This Row],[total_ordenes]]</f>
        <v>1067625</v>
      </c>
      <c r="Y2788" t="str" cm="1">
        <f t="array" aca="1" ref="Y2788" ca="1">IFERROR(_xlfn.XLOOKUP(COMPROMISOS_2025[[#This Row],[concatenado]],PAA[[#All],[RCP-RUBRO]],PAA[[#All],[Actividad3]],VLOOKUP(COMPROMISOS_2025[[#This Row],[Indicador Principal]],$AC$2:$AD$17,2,0),0),"")</f>
        <v/>
      </c>
    </row>
    <row r="2789" spans="1:25" hidden="1" x14ac:dyDescent="0.25">
      <c r="A2789">
        <v>2467</v>
      </c>
      <c r="B2789" t="s">
        <v>2491</v>
      </c>
      <c r="C2789" t="s">
        <v>1936</v>
      </c>
      <c r="D2789" t="s">
        <v>3575</v>
      </c>
      <c r="F2789">
        <v>405</v>
      </c>
      <c r="G2789">
        <v>65</v>
      </c>
      <c r="H2789" t="s">
        <v>662</v>
      </c>
      <c r="I2789" t="s">
        <v>2271</v>
      </c>
      <c r="J2789">
        <v>1423500</v>
      </c>
      <c r="K2789">
        <v>2025</v>
      </c>
      <c r="L2789">
        <v>1034668204</v>
      </c>
      <c r="M2789" t="s">
        <v>4341</v>
      </c>
      <c r="N2789" t="s">
        <v>1688</v>
      </c>
      <c r="O2789" t="s">
        <v>1686</v>
      </c>
      <c r="P2789">
        <v>0</v>
      </c>
      <c r="Q2789">
        <v>1423500</v>
      </c>
      <c r="R2789">
        <v>0</v>
      </c>
      <c r="S2789">
        <v>0</v>
      </c>
      <c r="T2789" t="str">
        <f t="shared" si="86"/>
        <v>24672.43.4302.85.0-205128.2.3.3.08.06.</v>
      </c>
      <c r="U2789" t="e" cm="1">
        <f t="array" aca="1" ref="U2789" ca="1">+IF(COMPROMISOS_2025[[#This Row],[P]]="20","41080111",_xlfn.XLOOKUP(COMPROMISOS_2025[[#This Row],[concatenado]],PAA[[#All],[RCP-RUBRO]],PAA[[#All],[INDICADOR]],"",0))</f>
        <v>#NAME?</v>
      </c>
      <c r="V2789" s="144" t="str">
        <f t="shared" si="87"/>
        <v>85</v>
      </c>
      <c r="W2789" s="136">
        <f>+COMPROMISOS_2025[[#This Row],[valor_total]]-COMPROMISOS_2025[[#This Row],[total_cancelado]]</f>
        <v>1423500</v>
      </c>
      <c r="X2789" s="136">
        <f>COMPROMISOS_2025[[#This Row],[total_ordenes]]</f>
        <v>1423500</v>
      </c>
      <c r="Y2789" t="str" cm="1">
        <f t="array" aca="1" ref="Y2789" ca="1">IFERROR(_xlfn.XLOOKUP(COMPROMISOS_2025[[#This Row],[concatenado]],PAA[[#All],[RCP-RUBRO]],PAA[[#All],[Actividad3]],VLOOKUP(COMPROMISOS_2025[[#This Row],[Indicador Principal]],$AC$2:$AD$17,2,0),0),"")</f>
        <v/>
      </c>
    </row>
    <row r="2790" spans="1:25" hidden="1" x14ac:dyDescent="0.25">
      <c r="A2790">
        <v>2468</v>
      </c>
      <c r="B2790" t="s">
        <v>2491</v>
      </c>
      <c r="C2790" t="s">
        <v>1936</v>
      </c>
      <c r="D2790" t="s">
        <v>3575</v>
      </c>
      <c r="F2790">
        <v>405</v>
      </c>
      <c r="G2790">
        <v>65</v>
      </c>
      <c r="H2790" t="s">
        <v>662</v>
      </c>
      <c r="I2790" t="s">
        <v>2271</v>
      </c>
      <c r="J2790">
        <v>711750</v>
      </c>
      <c r="K2790">
        <v>2025</v>
      </c>
      <c r="L2790">
        <v>1034917651</v>
      </c>
      <c r="M2790" t="s">
        <v>4174</v>
      </c>
      <c r="N2790" t="s">
        <v>1688</v>
      </c>
      <c r="O2790" t="s">
        <v>1686</v>
      </c>
      <c r="P2790">
        <v>0</v>
      </c>
      <c r="Q2790">
        <v>711750</v>
      </c>
      <c r="R2790">
        <v>0</v>
      </c>
      <c r="S2790">
        <v>0</v>
      </c>
      <c r="T2790" t="str">
        <f t="shared" si="86"/>
        <v>24682.43.4302.85.0-205128.2.3.3.08.06.</v>
      </c>
      <c r="U2790" t="e" cm="1">
        <f t="array" aca="1" ref="U2790" ca="1">+IF(COMPROMISOS_2025[[#This Row],[P]]="20","41080111",_xlfn.XLOOKUP(COMPROMISOS_2025[[#This Row],[concatenado]],PAA[[#All],[RCP-RUBRO]],PAA[[#All],[INDICADOR]],"",0))</f>
        <v>#NAME?</v>
      </c>
      <c r="V2790" s="144" t="str">
        <f t="shared" si="87"/>
        <v>85</v>
      </c>
      <c r="W2790" s="136">
        <f>+COMPROMISOS_2025[[#This Row],[valor_total]]-COMPROMISOS_2025[[#This Row],[total_cancelado]]</f>
        <v>711750</v>
      </c>
      <c r="X2790" s="136">
        <f>COMPROMISOS_2025[[#This Row],[total_ordenes]]</f>
        <v>711750</v>
      </c>
      <c r="Y2790" t="str" cm="1">
        <f t="array" aca="1" ref="Y2790" ca="1">IFERROR(_xlfn.XLOOKUP(COMPROMISOS_2025[[#This Row],[concatenado]],PAA[[#All],[RCP-RUBRO]],PAA[[#All],[Actividad3]],VLOOKUP(COMPROMISOS_2025[[#This Row],[Indicador Principal]],$AC$2:$AD$17,2,0),0),"")</f>
        <v/>
      </c>
    </row>
    <row r="2791" spans="1:25" hidden="1" x14ac:dyDescent="0.25">
      <c r="A2791">
        <v>2470</v>
      </c>
      <c r="B2791" t="s">
        <v>2491</v>
      </c>
      <c r="C2791" t="s">
        <v>1936</v>
      </c>
      <c r="D2791" t="s">
        <v>3575</v>
      </c>
      <c r="F2791">
        <v>405</v>
      </c>
      <c r="G2791">
        <v>65</v>
      </c>
      <c r="H2791" t="s">
        <v>662</v>
      </c>
      <c r="I2791" t="s">
        <v>2271</v>
      </c>
      <c r="J2791">
        <v>2847000</v>
      </c>
      <c r="K2791">
        <v>2025</v>
      </c>
      <c r="L2791">
        <v>1034986454</v>
      </c>
      <c r="M2791" t="s">
        <v>4342</v>
      </c>
      <c r="N2791" t="s">
        <v>1688</v>
      </c>
      <c r="O2791" t="s">
        <v>1686</v>
      </c>
      <c r="P2791">
        <v>0</v>
      </c>
      <c r="Q2791">
        <v>2847000</v>
      </c>
      <c r="R2791">
        <v>0</v>
      </c>
      <c r="S2791">
        <v>0</v>
      </c>
      <c r="T2791" t="str">
        <f t="shared" si="86"/>
        <v>24702.43.4302.85.0-205128.2.3.3.08.06.</v>
      </c>
      <c r="U2791" t="e" cm="1">
        <f t="array" aca="1" ref="U2791" ca="1">+IF(COMPROMISOS_2025[[#This Row],[P]]="20","41080111",_xlfn.XLOOKUP(COMPROMISOS_2025[[#This Row],[concatenado]],PAA[[#All],[RCP-RUBRO]],PAA[[#All],[INDICADOR]],"",0))</f>
        <v>#NAME?</v>
      </c>
      <c r="V2791" s="144" t="str">
        <f t="shared" si="87"/>
        <v>85</v>
      </c>
      <c r="W2791" s="136">
        <f>+COMPROMISOS_2025[[#This Row],[valor_total]]-COMPROMISOS_2025[[#This Row],[total_cancelado]]</f>
        <v>2847000</v>
      </c>
      <c r="X2791" s="136">
        <f>COMPROMISOS_2025[[#This Row],[total_ordenes]]</f>
        <v>2847000</v>
      </c>
      <c r="Y2791" t="str" cm="1">
        <f t="array" aca="1" ref="Y2791" ca="1">IFERROR(_xlfn.XLOOKUP(COMPROMISOS_2025[[#This Row],[concatenado]],PAA[[#All],[RCP-RUBRO]],PAA[[#All],[Actividad3]],VLOOKUP(COMPROMISOS_2025[[#This Row],[Indicador Principal]],$AC$2:$AD$17,2,0),0),"")</f>
        <v/>
      </c>
    </row>
    <row r="2792" spans="1:25" hidden="1" x14ac:dyDescent="0.25">
      <c r="A2792">
        <v>2471</v>
      </c>
      <c r="B2792" t="s">
        <v>2491</v>
      </c>
      <c r="C2792" t="s">
        <v>1936</v>
      </c>
      <c r="D2792" t="s">
        <v>3575</v>
      </c>
      <c r="F2792">
        <v>405</v>
      </c>
      <c r="G2792">
        <v>65</v>
      </c>
      <c r="H2792" t="s">
        <v>662</v>
      </c>
      <c r="I2792" t="s">
        <v>2271</v>
      </c>
      <c r="J2792">
        <v>1067625</v>
      </c>
      <c r="K2792">
        <v>2025</v>
      </c>
      <c r="L2792">
        <v>1034986751</v>
      </c>
      <c r="M2792" t="s">
        <v>4343</v>
      </c>
      <c r="N2792" t="s">
        <v>1688</v>
      </c>
      <c r="O2792" t="s">
        <v>1686</v>
      </c>
      <c r="P2792">
        <v>0</v>
      </c>
      <c r="Q2792">
        <v>1067625</v>
      </c>
      <c r="R2792">
        <v>0</v>
      </c>
      <c r="S2792">
        <v>0</v>
      </c>
      <c r="T2792" t="str">
        <f t="shared" si="86"/>
        <v>24712.43.4302.85.0-205128.2.3.3.08.06.</v>
      </c>
      <c r="U2792" t="e" cm="1">
        <f t="array" aca="1" ref="U2792" ca="1">+IF(COMPROMISOS_2025[[#This Row],[P]]="20","41080111",_xlfn.XLOOKUP(COMPROMISOS_2025[[#This Row],[concatenado]],PAA[[#All],[RCP-RUBRO]],PAA[[#All],[INDICADOR]],"",0))</f>
        <v>#NAME?</v>
      </c>
      <c r="V2792" s="144" t="str">
        <f t="shared" si="87"/>
        <v>85</v>
      </c>
      <c r="W2792" s="136">
        <f>+COMPROMISOS_2025[[#This Row],[valor_total]]-COMPROMISOS_2025[[#This Row],[total_cancelado]]</f>
        <v>1067625</v>
      </c>
      <c r="X2792" s="136">
        <f>COMPROMISOS_2025[[#This Row],[total_ordenes]]</f>
        <v>1067625</v>
      </c>
      <c r="Y2792" t="str" cm="1">
        <f t="array" aca="1" ref="Y2792" ca="1">IFERROR(_xlfn.XLOOKUP(COMPROMISOS_2025[[#This Row],[concatenado]],PAA[[#All],[RCP-RUBRO]],PAA[[#All],[Actividad3]],VLOOKUP(COMPROMISOS_2025[[#This Row],[Indicador Principal]],$AC$2:$AD$17,2,0),0),"")</f>
        <v/>
      </c>
    </row>
    <row r="2793" spans="1:25" hidden="1" x14ac:dyDescent="0.25">
      <c r="A2793">
        <v>2472</v>
      </c>
      <c r="B2793" t="s">
        <v>2491</v>
      </c>
      <c r="C2793" t="s">
        <v>1936</v>
      </c>
      <c r="D2793" t="s">
        <v>3575</v>
      </c>
      <c r="F2793">
        <v>405</v>
      </c>
      <c r="G2793">
        <v>65</v>
      </c>
      <c r="H2793" t="s">
        <v>662</v>
      </c>
      <c r="I2793" t="s">
        <v>2271</v>
      </c>
      <c r="J2793">
        <v>1067625</v>
      </c>
      <c r="K2793">
        <v>2025</v>
      </c>
      <c r="L2793">
        <v>1034987017</v>
      </c>
      <c r="M2793" t="s">
        <v>4062</v>
      </c>
      <c r="N2793" t="s">
        <v>1688</v>
      </c>
      <c r="O2793" t="s">
        <v>1686</v>
      </c>
      <c r="P2793">
        <v>0</v>
      </c>
      <c r="Q2793">
        <v>1067625</v>
      </c>
      <c r="R2793">
        <v>0</v>
      </c>
      <c r="S2793">
        <v>0</v>
      </c>
      <c r="T2793" t="str">
        <f t="shared" si="86"/>
        <v>24722.43.4302.85.0-205128.2.3.3.08.06.</v>
      </c>
      <c r="U2793" t="e" cm="1">
        <f t="array" aca="1" ref="U2793" ca="1">+IF(COMPROMISOS_2025[[#This Row],[P]]="20","41080111",_xlfn.XLOOKUP(COMPROMISOS_2025[[#This Row],[concatenado]],PAA[[#All],[RCP-RUBRO]],PAA[[#All],[INDICADOR]],"",0))</f>
        <v>#NAME?</v>
      </c>
      <c r="V2793" s="144" t="str">
        <f t="shared" si="87"/>
        <v>85</v>
      </c>
      <c r="W2793" s="136">
        <f>+COMPROMISOS_2025[[#This Row],[valor_total]]-COMPROMISOS_2025[[#This Row],[total_cancelado]]</f>
        <v>1067625</v>
      </c>
      <c r="X2793" s="136">
        <f>COMPROMISOS_2025[[#This Row],[total_ordenes]]</f>
        <v>1067625</v>
      </c>
      <c r="Y2793" t="str" cm="1">
        <f t="array" aca="1" ref="Y2793" ca="1">IFERROR(_xlfn.XLOOKUP(COMPROMISOS_2025[[#This Row],[concatenado]],PAA[[#All],[RCP-RUBRO]],PAA[[#All],[Actividad3]],VLOOKUP(COMPROMISOS_2025[[#This Row],[Indicador Principal]],$AC$2:$AD$17,2,0),0),"")</f>
        <v/>
      </c>
    </row>
    <row r="2794" spans="1:25" hidden="1" x14ac:dyDescent="0.25">
      <c r="A2794">
        <v>2478</v>
      </c>
      <c r="B2794" t="s">
        <v>2491</v>
      </c>
      <c r="C2794" t="s">
        <v>1936</v>
      </c>
      <c r="D2794" t="s">
        <v>3575</v>
      </c>
      <c r="F2794">
        <v>405</v>
      </c>
      <c r="G2794">
        <v>65</v>
      </c>
      <c r="H2794" t="s">
        <v>662</v>
      </c>
      <c r="I2794" t="s">
        <v>2271</v>
      </c>
      <c r="J2794">
        <v>1423500</v>
      </c>
      <c r="K2794">
        <v>2025</v>
      </c>
      <c r="L2794">
        <v>1034990951</v>
      </c>
      <c r="M2794" t="s">
        <v>4344</v>
      </c>
      <c r="N2794" t="s">
        <v>1688</v>
      </c>
      <c r="O2794" t="s">
        <v>1686</v>
      </c>
      <c r="P2794">
        <v>0</v>
      </c>
      <c r="Q2794">
        <v>1423500</v>
      </c>
      <c r="R2794">
        <v>0</v>
      </c>
      <c r="S2794">
        <v>0</v>
      </c>
      <c r="T2794" t="str">
        <f t="shared" si="86"/>
        <v>24782.43.4302.85.0-205128.2.3.3.08.06.</v>
      </c>
      <c r="U2794" t="e" cm="1">
        <f t="array" aca="1" ref="U2794" ca="1">+IF(COMPROMISOS_2025[[#This Row],[P]]="20","41080111",_xlfn.XLOOKUP(COMPROMISOS_2025[[#This Row],[concatenado]],PAA[[#All],[RCP-RUBRO]],PAA[[#All],[INDICADOR]],"",0))</f>
        <v>#NAME?</v>
      </c>
      <c r="V2794" s="144" t="str">
        <f t="shared" si="87"/>
        <v>85</v>
      </c>
      <c r="W2794" s="136">
        <f>+COMPROMISOS_2025[[#This Row],[valor_total]]-COMPROMISOS_2025[[#This Row],[total_cancelado]]</f>
        <v>1423500</v>
      </c>
      <c r="X2794" s="136">
        <f>COMPROMISOS_2025[[#This Row],[total_ordenes]]</f>
        <v>1423500</v>
      </c>
      <c r="Y2794" t="str" cm="1">
        <f t="array" aca="1" ref="Y2794" ca="1">IFERROR(_xlfn.XLOOKUP(COMPROMISOS_2025[[#This Row],[concatenado]],PAA[[#All],[RCP-RUBRO]],PAA[[#All],[Actividad3]],VLOOKUP(COMPROMISOS_2025[[#This Row],[Indicador Principal]],$AC$2:$AD$17,2,0),0),"")</f>
        <v/>
      </c>
    </row>
    <row r="2795" spans="1:25" hidden="1" x14ac:dyDescent="0.25">
      <c r="A2795">
        <v>2482</v>
      </c>
      <c r="B2795" t="s">
        <v>2491</v>
      </c>
      <c r="C2795" t="s">
        <v>1936</v>
      </c>
      <c r="D2795" t="s">
        <v>3575</v>
      </c>
      <c r="F2795">
        <v>405</v>
      </c>
      <c r="G2795">
        <v>65</v>
      </c>
      <c r="H2795" t="s">
        <v>662</v>
      </c>
      <c r="I2795" t="s">
        <v>2271</v>
      </c>
      <c r="J2795">
        <v>711750</v>
      </c>
      <c r="K2795">
        <v>2025</v>
      </c>
      <c r="L2795">
        <v>1034994208</v>
      </c>
      <c r="M2795" t="s">
        <v>4345</v>
      </c>
      <c r="N2795" t="s">
        <v>1688</v>
      </c>
      <c r="O2795" t="s">
        <v>1686</v>
      </c>
      <c r="P2795">
        <v>0</v>
      </c>
      <c r="Q2795">
        <v>711750</v>
      </c>
      <c r="R2795">
        <v>0</v>
      </c>
      <c r="S2795">
        <v>0</v>
      </c>
      <c r="T2795" t="str">
        <f t="shared" si="86"/>
        <v>24822.43.4302.85.0-205128.2.3.3.08.06.</v>
      </c>
      <c r="U2795" t="e" cm="1">
        <f t="array" aca="1" ref="U2795" ca="1">+IF(COMPROMISOS_2025[[#This Row],[P]]="20","41080111",_xlfn.XLOOKUP(COMPROMISOS_2025[[#This Row],[concatenado]],PAA[[#All],[RCP-RUBRO]],PAA[[#All],[INDICADOR]],"",0))</f>
        <v>#NAME?</v>
      </c>
      <c r="V2795" s="144" t="str">
        <f t="shared" si="87"/>
        <v>85</v>
      </c>
      <c r="W2795" s="136">
        <f>+COMPROMISOS_2025[[#This Row],[valor_total]]-COMPROMISOS_2025[[#This Row],[total_cancelado]]</f>
        <v>711750</v>
      </c>
      <c r="X2795" s="136">
        <f>COMPROMISOS_2025[[#This Row],[total_ordenes]]</f>
        <v>711750</v>
      </c>
      <c r="Y2795" t="str" cm="1">
        <f t="array" aca="1" ref="Y2795" ca="1">IFERROR(_xlfn.XLOOKUP(COMPROMISOS_2025[[#This Row],[concatenado]],PAA[[#All],[RCP-RUBRO]],PAA[[#All],[Actividad3]],VLOOKUP(COMPROMISOS_2025[[#This Row],[Indicador Principal]],$AC$2:$AD$17,2,0),0),"")</f>
        <v/>
      </c>
    </row>
    <row r="2796" spans="1:25" hidden="1" x14ac:dyDescent="0.25">
      <c r="A2796">
        <v>2488</v>
      </c>
      <c r="B2796" t="s">
        <v>2491</v>
      </c>
      <c r="C2796" t="s">
        <v>1936</v>
      </c>
      <c r="D2796" t="s">
        <v>3575</v>
      </c>
      <c r="F2796">
        <v>405</v>
      </c>
      <c r="G2796">
        <v>65</v>
      </c>
      <c r="H2796" t="s">
        <v>662</v>
      </c>
      <c r="I2796" t="s">
        <v>2271</v>
      </c>
      <c r="J2796">
        <v>711750</v>
      </c>
      <c r="K2796">
        <v>2025</v>
      </c>
      <c r="L2796">
        <v>1035231952</v>
      </c>
      <c r="M2796" t="s">
        <v>4346</v>
      </c>
      <c r="N2796" t="s">
        <v>1688</v>
      </c>
      <c r="O2796" t="s">
        <v>1686</v>
      </c>
      <c r="P2796">
        <v>0</v>
      </c>
      <c r="Q2796">
        <v>711750</v>
      </c>
      <c r="R2796">
        <v>0</v>
      </c>
      <c r="S2796">
        <v>0</v>
      </c>
      <c r="T2796" t="str">
        <f t="shared" si="86"/>
        <v>24882.43.4302.85.0-205128.2.3.3.08.06.</v>
      </c>
      <c r="U2796" t="e" cm="1">
        <f t="array" aca="1" ref="U2796" ca="1">+IF(COMPROMISOS_2025[[#This Row],[P]]="20","41080111",_xlfn.XLOOKUP(COMPROMISOS_2025[[#This Row],[concatenado]],PAA[[#All],[RCP-RUBRO]],PAA[[#All],[INDICADOR]],"",0))</f>
        <v>#NAME?</v>
      </c>
      <c r="V2796" s="144" t="str">
        <f t="shared" si="87"/>
        <v>85</v>
      </c>
      <c r="W2796" s="136">
        <f>+COMPROMISOS_2025[[#This Row],[valor_total]]-COMPROMISOS_2025[[#This Row],[total_cancelado]]</f>
        <v>711750</v>
      </c>
      <c r="X2796" s="136">
        <f>COMPROMISOS_2025[[#This Row],[total_ordenes]]</f>
        <v>711750</v>
      </c>
      <c r="Y2796" t="str" cm="1">
        <f t="array" aca="1" ref="Y2796" ca="1">IFERROR(_xlfn.XLOOKUP(COMPROMISOS_2025[[#This Row],[concatenado]],PAA[[#All],[RCP-RUBRO]],PAA[[#All],[Actividad3]],VLOOKUP(COMPROMISOS_2025[[#This Row],[Indicador Principal]],$AC$2:$AD$17,2,0),0),"")</f>
        <v/>
      </c>
    </row>
    <row r="2797" spans="1:25" hidden="1" x14ac:dyDescent="0.25">
      <c r="A2797">
        <v>2490</v>
      </c>
      <c r="B2797" t="s">
        <v>2491</v>
      </c>
      <c r="C2797" t="s">
        <v>1936</v>
      </c>
      <c r="D2797" t="s">
        <v>3575</v>
      </c>
      <c r="F2797">
        <v>405</v>
      </c>
      <c r="G2797">
        <v>65</v>
      </c>
      <c r="H2797" t="s">
        <v>662</v>
      </c>
      <c r="I2797" t="s">
        <v>2271</v>
      </c>
      <c r="J2797">
        <v>1423500</v>
      </c>
      <c r="K2797">
        <v>2025</v>
      </c>
      <c r="L2797">
        <v>1035390018</v>
      </c>
      <c r="M2797" t="s">
        <v>4175</v>
      </c>
      <c r="N2797" t="s">
        <v>1688</v>
      </c>
      <c r="O2797" t="s">
        <v>1686</v>
      </c>
      <c r="P2797">
        <v>0</v>
      </c>
      <c r="Q2797">
        <v>1423500</v>
      </c>
      <c r="R2797">
        <v>0</v>
      </c>
      <c r="S2797">
        <v>0</v>
      </c>
      <c r="T2797" t="str">
        <f t="shared" si="86"/>
        <v>24902.43.4302.85.0-205128.2.3.3.08.06.</v>
      </c>
      <c r="U2797" t="e" cm="1">
        <f t="array" aca="1" ref="U2797" ca="1">+IF(COMPROMISOS_2025[[#This Row],[P]]="20","41080111",_xlfn.XLOOKUP(COMPROMISOS_2025[[#This Row],[concatenado]],PAA[[#All],[RCP-RUBRO]],PAA[[#All],[INDICADOR]],"",0))</f>
        <v>#NAME?</v>
      </c>
      <c r="V2797" s="144" t="str">
        <f t="shared" si="87"/>
        <v>85</v>
      </c>
      <c r="W2797" s="136">
        <f>+COMPROMISOS_2025[[#This Row],[valor_total]]-COMPROMISOS_2025[[#This Row],[total_cancelado]]</f>
        <v>1423500</v>
      </c>
      <c r="X2797" s="136">
        <f>COMPROMISOS_2025[[#This Row],[total_ordenes]]</f>
        <v>1423500</v>
      </c>
      <c r="Y2797" t="str" cm="1">
        <f t="array" aca="1" ref="Y2797" ca="1">IFERROR(_xlfn.XLOOKUP(COMPROMISOS_2025[[#This Row],[concatenado]],PAA[[#All],[RCP-RUBRO]],PAA[[#All],[Actividad3]],VLOOKUP(COMPROMISOS_2025[[#This Row],[Indicador Principal]],$AC$2:$AD$17,2,0),0),"")</f>
        <v/>
      </c>
    </row>
    <row r="2798" spans="1:25" hidden="1" x14ac:dyDescent="0.25">
      <c r="A2798">
        <v>2491</v>
      </c>
      <c r="B2798" t="s">
        <v>2491</v>
      </c>
      <c r="C2798" t="s">
        <v>1936</v>
      </c>
      <c r="D2798" t="s">
        <v>3575</v>
      </c>
      <c r="F2798">
        <v>405</v>
      </c>
      <c r="G2798">
        <v>65</v>
      </c>
      <c r="H2798" t="s">
        <v>662</v>
      </c>
      <c r="I2798" t="s">
        <v>2271</v>
      </c>
      <c r="J2798">
        <v>1423500</v>
      </c>
      <c r="K2798">
        <v>2025</v>
      </c>
      <c r="L2798">
        <v>1035416125</v>
      </c>
      <c r="M2798" t="s">
        <v>4347</v>
      </c>
      <c r="N2798" t="s">
        <v>1688</v>
      </c>
      <c r="O2798" t="s">
        <v>1686</v>
      </c>
      <c r="P2798">
        <v>0</v>
      </c>
      <c r="Q2798">
        <v>1423500</v>
      </c>
      <c r="R2798">
        <v>0</v>
      </c>
      <c r="S2798">
        <v>0</v>
      </c>
      <c r="T2798" t="str">
        <f t="shared" si="86"/>
        <v>24912.43.4302.85.0-205128.2.3.3.08.06.</v>
      </c>
      <c r="U2798" t="e" cm="1">
        <f t="array" aca="1" ref="U2798" ca="1">+IF(COMPROMISOS_2025[[#This Row],[P]]="20","41080111",_xlfn.XLOOKUP(COMPROMISOS_2025[[#This Row],[concatenado]],PAA[[#All],[RCP-RUBRO]],PAA[[#All],[INDICADOR]],"",0))</f>
        <v>#NAME?</v>
      </c>
      <c r="V2798" s="144" t="str">
        <f t="shared" si="87"/>
        <v>85</v>
      </c>
      <c r="W2798" s="136">
        <f>+COMPROMISOS_2025[[#This Row],[valor_total]]-COMPROMISOS_2025[[#This Row],[total_cancelado]]</f>
        <v>1423500</v>
      </c>
      <c r="X2798" s="136">
        <f>COMPROMISOS_2025[[#This Row],[total_ordenes]]</f>
        <v>1423500</v>
      </c>
      <c r="Y2798" t="str" cm="1">
        <f t="array" aca="1" ref="Y2798" ca="1">IFERROR(_xlfn.XLOOKUP(COMPROMISOS_2025[[#This Row],[concatenado]],PAA[[#All],[RCP-RUBRO]],PAA[[#All],[Actividad3]],VLOOKUP(COMPROMISOS_2025[[#This Row],[Indicador Principal]],$AC$2:$AD$17,2,0),0),"")</f>
        <v/>
      </c>
    </row>
    <row r="2799" spans="1:25" hidden="1" x14ac:dyDescent="0.25">
      <c r="A2799">
        <v>2495</v>
      </c>
      <c r="B2799" t="s">
        <v>2491</v>
      </c>
      <c r="C2799" t="s">
        <v>1936</v>
      </c>
      <c r="D2799" t="s">
        <v>3575</v>
      </c>
      <c r="F2799">
        <v>405</v>
      </c>
      <c r="G2799">
        <v>65</v>
      </c>
      <c r="H2799" t="s">
        <v>662</v>
      </c>
      <c r="I2799" t="s">
        <v>2271</v>
      </c>
      <c r="J2799">
        <v>711750</v>
      </c>
      <c r="K2799">
        <v>2025</v>
      </c>
      <c r="L2799">
        <v>1035434483</v>
      </c>
      <c r="M2799" t="s">
        <v>4348</v>
      </c>
      <c r="N2799" t="s">
        <v>1688</v>
      </c>
      <c r="O2799" t="s">
        <v>1686</v>
      </c>
      <c r="P2799">
        <v>0</v>
      </c>
      <c r="Q2799">
        <v>711750</v>
      </c>
      <c r="R2799">
        <v>0</v>
      </c>
      <c r="S2799">
        <v>0</v>
      </c>
      <c r="T2799" t="str">
        <f t="shared" si="86"/>
        <v>24952.43.4302.85.0-205128.2.3.3.08.06.</v>
      </c>
      <c r="U2799" t="e" cm="1">
        <f t="array" aca="1" ref="U2799" ca="1">+IF(COMPROMISOS_2025[[#This Row],[P]]="20","41080111",_xlfn.XLOOKUP(COMPROMISOS_2025[[#This Row],[concatenado]],PAA[[#All],[RCP-RUBRO]],PAA[[#All],[INDICADOR]],"",0))</f>
        <v>#NAME?</v>
      </c>
      <c r="V2799" s="144" t="str">
        <f t="shared" si="87"/>
        <v>85</v>
      </c>
      <c r="W2799" s="136">
        <f>+COMPROMISOS_2025[[#This Row],[valor_total]]-COMPROMISOS_2025[[#This Row],[total_cancelado]]</f>
        <v>711750</v>
      </c>
      <c r="X2799" s="136">
        <f>COMPROMISOS_2025[[#This Row],[total_ordenes]]</f>
        <v>711750</v>
      </c>
      <c r="Y2799" t="str" cm="1">
        <f t="array" aca="1" ref="Y2799" ca="1">IFERROR(_xlfn.XLOOKUP(COMPROMISOS_2025[[#This Row],[concatenado]],PAA[[#All],[RCP-RUBRO]],PAA[[#All],[Actividad3]],VLOOKUP(COMPROMISOS_2025[[#This Row],[Indicador Principal]],$AC$2:$AD$17,2,0),0),"")</f>
        <v/>
      </c>
    </row>
    <row r="2800" spans="1:25" hidden="1" x14ac:dyDescent="0.25">
      <c r="A2800">
        <v>2497</v>
      </c>
      <c r="B2800" t="s">
        <v>2491</v>
      </c>
      <c r="C2800" t="s">
        <v>1936</v>
      </c>
      <c r="D2800" t="s">
        <v>3575</v>
      </c>
      <c r="F2800">
        <v>405</v>
      </c>
      <c r="G2800">
        <v>65</v>
      </c>
      <c r="H2800" t="s">
        <v>662</v>
      </c>
      <c r="I2800" t="s">
        <v>2271</v>
      </c>
      <c r="J2800">
        <v>1067625</v>
      </c>
      <c r="K2800">
        <v>2025</v>
      </c>
      <c r="L2800">
        <v>1035550604</v>
      </c>
      <c r="M2800" t="s">
        <v>4349</v>
      </c>
      <c r="N2800" t="s">
        <v>1688</v>
      </c>
      <c r="O2800" t="s">
        <v>1686</v>
      </c>
      <c r="P2800">
        <v>0</v>
      </c>
      <c r="Q2800">
        <v>1067625</v>
      </c>
      <c r="R2800">
        <v>0</v>
      </c>
      <c r="S2800">
        <v>0</v>
      </c>
      <c r="T2800" t="str">
        <f t="shared" si="86"/>
        <v>24972.43.4302.85.0-205128.2.3.3.08.06.</v>
      </c>
      <c r="U2800" t="e" cm="1">
        <f t="array" aca="1" ref="U2800" ca="1">+IF(COMPROMISOS_2025[[#This Row],[P]]="20","41080111",_xlfn.XLOOKUP(COMPROMISOS_2025[[#This Row],[concatenado]],PAA[[#All],[RCP-RUBRO]],PAA[[#All],[INDICADOR]],"",0))</f>
        <v>#NAME?</v>
      </c>
      <c r="V2800" s="144" t="str">
        <f t="shared" si="87"/>
        <v>85</v>
      </c>
      <c r="W2800" s="136">
        <f>+COMPROMISOS_2025[[#This Row],[valor_total]]-COMPROMISOS_2025[[#This Row],[total_cancelado]]</f>
        <v>1067625</v>
      </c>
      <c r="X2800" s="136">
        <f>COMPROMISOS_2025[[#This Row],[total_ordenes]]</f>
        <v>1067625</v>
      </c>
      <c r="Y2800" t="str" cm="1">
        <f t="array" aca="1" ref="Y2800" ca="1">IFERROR(_xlfn.XLOOKUP(COMPROMISOS_2025[[#This Row],[concatenado]],PAA[[#All],[RCP-RUBRO]],PAA[[#All],[Actividad3]],VLOOKUP(COMPROMISOS_2025[[#This Row],[Indicador Principal]],$AC$2:$AD$17,2,0),0),"")</f>
        <v/>
      </c>
    </row>
    <row r="2801" spans="1:25" hidden="1" x14ac:dyDescent="0.25">
      <c r="A2801">
        <v>2498</v>
      </c>
      <c r="B2801" t="s">
        <v>2491</v>
      </c>
      <c r="C2801" t="s">
        <v>1936</v>
      </c>
      <c r="D2801" t="s">
        <v>3575</v>
      </c>
      <c r="F2801">
        <v>405</v>
      </c>
      <c r="G2801">
        <v>65</v>
      </c>
      <c r="H2801" t="s">
        <v>662</v>
      </c>
      <c r="I2801" t="s">
        <v>2271</v>
      </c>
      <c r="J2801">
        <v>1067625</v>
      </c>
      <c r="K2801">
        <v>2025</v>
      </c>
      <c r="L2801">
        <v>1035642460</v>
      </c>
      <c r="M2801" t="s">
        <v>4064</v>
      </c>
      <c r="N2801" t="s">
        <v>1688</v>
      </c>
      <c r="O2801" t="s">
        <v>1686</v>
      </c>
      <c r="P2801">
        <v>0</v>
      </c>
      <c r="Q2801">
        <v>1067625</v>
      </c>
      <c r="R2801">
        <v>0</v>
      </c>
      <c r="S2801">
        <v>0</v>
      </c>
      <c r="T2801" t="str">
        <f t="shared" si="86"/>
        <v>24982.43.4302.85.0-205128.2.3.3.08.06.</v>
      </c>
      <c r="U2801" t="e" cm="1">
        <f t="array" aca="1" ref="U2801" ca="1">+IF(COMPROMISOS_2025[[#This Row],[P]]="20","41080111",_xlfn.XLOOKUP(COMPROMISOS_2025[[#This Row],[concatenado]],PAA[[#All],[RCP-RUBRO]],PAA[[#All],[INDICADOR]],"",0))</f>
        <v>#NAME?</v>
      </c>
      <c r="V2801" s="144" t="str">
        <f t="shared" si="87"/>
        <v>85</v>
      </c>
      <c r="W2801" s="136">
        <f>+COMPROMISOS_2025[[#This Row],[valor_total]]-COMPROMISOS_2025[[#This Row],[total_cancelado]]</f>
        <v>1067625</v>
      </c>
      <c r="X2801" s="136">
        <f>COMPROMISOS_2025[[#This Row],[total_ordenes]]</f>
        <v>1067625</v>
      </c>
      <c r="Y2801" t="str" cm="1">
        <f t="array" aca="1" ref="Y2801" ca="1">IFERROR(_xlfn.XLOOKUP(COMPROMISOS_2025[[#This Row],[concatenado]],PAA[[#All],[RCP-RUBRO]],PAA[[#All],[Actividad3]],VLOOKUP(COMPROMISOS_2025[[#This Row],[Indicador Principal]],$AC$2:$AD$17,2,0),0),"")</f>
        <v/>
      </c>
    </row>
    <row r="2802" spans="1:25" hidden="1" x14ac:dyDescent="0.25">
      <c r="A2802">
        <v>2500</v>
      </c>
      <c r="B2802" t="s">
        <v>2491</v>
      </c>
      <c r="C2802" t="s">
        <v>1936</v>
      </c>
      <c r="D2802" t="s">
        <v>3575</v>
      </c>
      <c r="F2802">
        <v>405</v>
      </c>
      <c r="G2802">
        <v>65</v>
      </c>
      <c r="H2802" t="s">
        <v>662</v>
      </c>
      <c r="I2802" t="s">
        <v>2271</v>
      </c>
      <c r="J2802">
        <v>2847000</v>
      </c>
      <c r="K2802">
        <v>2025</v>
      </c>
      <c r="L2802">
        <v>1035874571</v>
      </c>
      <c r="M2802" t="s">
        <v>4350</v>
      </c>
      <c r="N2802" t="s">
        <v>1688</v>
      </c>
      <c r="O2802" t="s">
        <v>1686</v>
      </c>
      <c r="P2802">
        <v>0</v>
      </c>
      <c r="Q2802">
        <v>2847000</v>
      </c>
      <c r="R2802">
        <v>0</v>
      </c>
      <c r="S2802">
        <v>0</v>
      </c>
      <c r="T2802" t="str">
        <f t="shared" si="86"/>
        <v>25002.43.4302.85.0-205128.2.3.3.08.06.</v>
      </c>
      <c r="U2802" t="e" cm="1">
        <f t="array" aca="1" ref="U2802" ca="1">+IF(COMPROMISOS_2025[[#This Row],[P]]="20","41080111",_xlfn.XLOOKUP(COMPROMISOS_2025[[#This Row],[concatenado]],PAA[[#All],[RCP-RUBRO]],PAA[[#All],[INDICADOR]],"",0))</f>
        <v>#NAME?</v>
      </c>
      <c r="V2802" s="144" t="str">
        <f t="shared" si="87"/>
        <v>85</v>
      </c>
      <c r="W2802" s="136">
        <f>+COMPROMISOS_2025[[#This Row],[valor_total]]-COMPROMISOS_2025[[#This Row],[total_cancelado]]</f>
        <v>2847000</v>
      </c>
      <c r="X2802" s="136">
        <f>COMPROMISOS_2025[[#This Row],[total_ordenes]]</f>
        <v>2847000</v>
      </c>
      <c r="Y2802" t="str" cm="1">
        <f t="array" aca="1" ref="Y2802" ca="1">IFERROR(_xlfn.XLOOKUP(COMPROMISOS_2025[[#This Row],[concatenado]],PAA[[#All],[RCP-RUBRO]],PAA[[#All],[Actividad3]],VLOOKUP(COMPROMISOS_2025[[#This Row],[Indicador Principal]],$AC$2:$AD$17,2,0),0),"")</f>
        <v/>
      </c>
    </row>
    <row r="2803" spans="1:25" hidden="1" x14ac:dyDescent="0.25">
      <c r="A2803">
        <v>2501</v>
      </c>
      <c r="B2803" t="s">
        <v>2491</v>
      </c>
      <c r="C2803" t="s">
        <v>1936</v>
      </c>
      <c r="D2803" t="s">
        <v>3575</v>
      </c>
      <c r="F2803">
        <v>405</v>
      </c>
      <c r="G2803">
        <v>65</v>
      </c>
      <c r="H2803" t="s">
        <v>662</v>
      </c>
      <c r="I2803" t="s">
        <v>2271</v>
      </c>
      <c r="J2803">
        <v>1423500</v>
      </c>
      <c r="K2803">
        <v>2025</v>
      </c>
      <c r="L2803">
        <v>1035875140</v>
      </c>
      <c r="M2803" t="s">
        <v>4351</v>
      </c>
      <c r="N2803" t="s">
        <v>1688</v>
      </c>
      <c r="O2803" t="s">
        <v>1686</v>
      </c>
      <c r="P2803">
        <v>0</v>
      </c>
      <c r="Q2803">
        <v>1423500</v>
      </c>
      <c r="R2803">
        <v>0</v>
      </c>
      <c r="S2803">
        <v>0</v>
      </c>
      <c r="T2803" t="str">
        <f t="shared" si="86"/>
        <v>25012.43.4302.85.0-205128.2.3.3.08.06.</v>
      </c>
      <c r="U2803" t="e" cm="1">
        <f t="array" aca="1" ref="U2803" ca="1">+IF(COMPROMISOS_2025[[#This Row],[P]]="20","41080111",_xlfn.XLOOKUP(COMPROMISOS_2025[[#This Row],[concatenado]],PAA[[#All],[RCP-RUBRO]],PAA[[#All],[INDICADOR]],"",0))</f>
        <v>#NAME?</v>
      </c>
      <c r="V2803" s="144" t="str">
        <f t="shared" si="87"/>
        <v>85</v>
      </c>
      <c r="W2803" s="136">
        <f>+COMPROMISOS_2025[[#This Row],[valor_total]]-COMPROMISOS_2025[[#This Row],[total_cancelado]]</f>
        <v>1423500</v>
      </c>
      <c r="X2803" s="136">
        <f>COMPROMISOS_2025[[#This Row],[total_ordenes]]</f>
        <v>1423500</v>
      </c>
      <c r="Y2803" t="str" cm="1">
        <f t="array" aca="1" ref="Y2803" ca="1">IFERROR(_xlfn.XLOOKUP(COMPROMISOS_2025[[#This Row],[concatenado]],PAA[[#All],[RCP-RUBRO]],PAA[[#All],[Actividad3]],VLOOKUP(COMPROMISOS_2025[[#This Row],[Indicador Principal]],$AC$2:$AD$17,2,0),0),"")</f>
        <v/>
      </c>
    </row>
    <row r="2804" spans="1:25" hidden="1" x14ac:dyDescent="0.25">
      <c r="A2804">
        <v>2502</v>
      </c>
      <c r="B2804" t="s">
        <v>2491</v>
      </c>
      <c r="C2804" t="s">
        <v>1936</v>
      </c>
      <c r="D2804" t="s">
        <v>3575</v>
      </c>
      <c r="F2804">
        <v>405</v>
      </c>
      <c r="G2804">
        <v>65</v>
      </c>
      <c r="H2804" t="s">
        <v>662</v>
      </c>
      <c r="I2804" t="s">
        <v>2271</v>
      </c>
      <c r="J2804">
        <v>1067625</v>
      </c>
      <c r="K2804">
        <v>2025</v>
      </c>
      <c r="L2804">
        <v>1035878289</v>
      </c>
      <c r="M2804" t="s">
        <v>4065</v>
      </c>
      <c r="N2804" t="s">
        <v>1688</v>
      </c>
      <c r="O2804" t="s">
        <v>1686</v>
      </c>
      <c r="P2804">
        <v>0</v>
      </c>
      <c r="Q2804">
        <v>1067625</v>
      </c>
      <c r="R2804">
        <v>0</v>
      </c>
      <c r="S2804">
        <v>0</v>
      </c>
      <c r="T2804" t="str">
        <f t="shared" si="86"/>
        <v>25022.43.4302.85.0-205128.2.3.3.08.06.</v>
      </c>
      <c r="U2804" t="e" cm="1">
        <f t="array" aca="1" ref="U2804" ca="1">+IF(COMPROMISOS_2025[[#This Row],[P]]="20","41080111",_xlfn.XLOOKUP(COMPROMISOS_2025[[#This Row],[concatenado]],PAA[[#All],[RCP-RUBRO]],PAA[[#All],[INDICADOR]],"",0))</f>
        <v>#NAME?</v>
      </c>
      <c r="V2804" s="144" t="str">
        <f t="shared" si="87"/>
        <v>85</v>
      </c>
      <c r="W2804" s="136">
        <f>+COMPROMISOS_2025[[#This Row],[valor_total]]-COMPROMISOS_2025[[#This Row],[total_cancelado]]</f>
        <v>1067625</v>
      </c>
      <c r="X2804" s="136">
        <f>COMPROMISOS_2025[[#This Row],[total_ordenes]]</f>
        <v>1067625</v>
      </c>
      <c r="Y2804" t="str" cm="1">
        <f t="array" aca="1" ref="Y2804" ca="1">IFERROR(_xlfn.XLOOKUP(COMPROMISOS_2025[[#This Row],[concatenado]],PAA[[#All],[RCP-RUBRO]],PAA[[#All],[Actividad3]],VLOOKUP(COMPROMISOS_2025[[#This Row],[Indicador Principal]],$AC$2:$AD$17,2,0),0),"")</f>
        <v/>
      </c>
    </row>
    <row r="2805" spans="1:25" hidden="1" x14ac:dyDescent="0.25">
      <c r="A2805">
        <v>2506</v>
      </c>
      <c r="B2805" t="s">
        <v>2491</v>
      </c>
      <c r="C2805" t="s">
        <v>1936</v>
      </c>
      <c r="D2805" t="s">
        <v>3575</v>
      </c>
      <c r="F2805">
        <v>405</v>
      </c>
      <c r="G2805">
        <v>65</v>
      </c>
      <c r="H2805" t="s">
        <v>662</v>
      </c>
      <c r="I2805" t="s">
        <v>2271</v>
      </c>
      <c r="J2805">
        <v>2847000</v>
      </c>
      <c r="K2805">
        <v>2025</v>
      </c>
      <c r="L2805">
        <v>1035975429</v>
      </c>
      <c r="M2805" t="s">
        <v>4067</v>
      </c>
      <c r="N2805" t="s">
        <v>1688</v>
      </c>
      <c r="O2805" t="s">
        <v>1686</v>
      </c>
      <c r="P2805">
        <v>0</v>
      </c>
      <c r="Q2805">
        <v>2847000</v>
      </c>
      <c r="R2805">
        <v>0</v>
      </c>
      <c r="S2805">
        <v>0</v>
      </c>
      <c r="T2805" t="str">
        <f t="shared" si="86"/>
        <v>25062.43.4302.85.0-205128.2.3.3.08.06.</v>
      </c>
      <c r="U2805" t="e" cm="1">
        <f t="array" aca="1" ref="U2805" ca="1">+IF(COMPROMISOS_2025[[#This Row],[P]]="20","41080111",_xlfn.XLOOKUP(COMPROMISOS_2025[[#This Row],[concatenado]],PAA[[#All],[RCP-RUBRO]],PAA[[#All],[INDICADOR]],"",0))</f>
        <v>#NAME?</v>
      </c>
      <c r="V2805" s="144" t="str">
        <f t="shared" si="87"/>
        <v>85</v>
      </c>
      <c r="W2805" s="136">
        <f>+COMPROMISOS_2025[[#This Row],[valor_total]]-COMPROMISOS_2025[[#This Row],[total_cancelado]]</f>
        <v>2847000</v>
      </c>
      <c r="X2805" s="136">
        <f>COMPROMISOS_2025[[#This Row],[total_ordenes]]</f>
        <v>2847000</v>
      </c>
      <c r="Y2805" t="str" cm="1">
        <f t="array" aca="1" ref="Y2805" ca="1">IFERROR(_xlfn.XLOOKUP(COMPROMISOS_2025[[#This Row],[concatenado]],PAA[[#All],[RCP-RUBRO]],PAA[[#All],[Actividad3]],VLOOKUP(COMPROMISOS_2025[[#This Row],[Indicador Principal]],$AC$2:$AD$17,2,0),0),"")</f>
        <v/>
      </c>
    </row>
    <row r="2806" spans="1:25" hidden="1" x14ac:dyDescent="0.25">
      <c r="A2806">
        <v>2511</v>
      </c>
      <c r="B2806" t="s">
        <v>2491</v>
      </c>
      <c r="C2806" t="s">
        <v>1936</v>
      </c>
      <c r="D2806" t="s">
        <v>3575</v>
      </c>
      <c r="F2806">
        <v>405</v>
      </c>
      <c r="G2806">
        <v>65</v>
      </c>
      <c r="H2806" t="s">
        <v>662</v>
      </c>
      <c r="I2806" t="s">
        <v>2271</v>
      </c>
      <c r="J2806">
        <v>2847000</v>
      </c>
      <c r="K2806">
        <v>2025</v>
      </c>
      <c r="L2806">
        <v>1036252405</v>
      </c>
      <c r="M2806" t="s">
        <v>4068</v>
      </c>
      <c r="N2806" t="s">
        <v>1688</v>
      </c>
      <c r="O2806" t="s">
        <v>1686</v>
      </c>
      <c r="P2806">
        <v>0</v>
      </c>
      <c r="Q2806">
        <v>2847000</v>
      </c>
      <c r="R2806">
        <v>0</v>
      </c>
      <c r="S2806">
        <v>0</v>
      </c>
      <c r="T2806" t="str">
        <f t="shared" si="86"/>
        <v>25112.43.4302.85.0-205128.2.3.3.08.06.</v>
      </c>
      <c r="U2806" t="e" cm="1">
        <f t="array" aca="1" ref="U2806" ca="1">+IF(COMPROMISOS_2025[[#This Row],[P]]="20","41080111",_xlfn.XLOOKUP(COMPROMISOS_2025[[#This Row],[concatenado]],PAA[[#All],[RCP-RUBRO]],PAA[[#All],[INDICADOR]],"",0))</f>
        <v>#NAME?</v>
      </c>
      <c r="V2806" s="144" t="str">
        <f t="shared" si="87"/>
        <v>85</v>
      </c>
      <c r="W2806" s="136">
        <f>+COMPROMISOS_2025[[#This Row],[valor_total]]-COMPROMISOS_2025[[#This Row],[total_cancelado]]</f>
        <v>2847000</v>
      </c>
      <c r="X2806" s="136">
        <f>COMPROMISOS_2025[[#This Row],[total_ordenes]]</f>
        <v>2847000</v>
      </c>
      <c r="Y2806" t="str" cm="1">
        <f t="array" aca="1" ref="Y2806" ca="1">IFERROR(_xlfn.XLOOKUP(COMPROMISOS_2025[[#This Row],[concatenado]],PAA[[#All],[RCP-RUBRO]],PAA[[#All],[Actividad3]],VLOOKUP(COMPROMISOS_2025[[#This Row],[Indicador Principal]],$AC$2:$AD$17,2,0),0),"")</f>
        <v/>
      </c>
    </row>
    <row r="2807" spans="1:25" hidden="1" x14ac:dyDescent="0.25">
      <c r="A2807">
        <v>2512</v>
      </c>
      <c r="B2807" t="s">
        <v>2491</v>
      </c>
      <c r="C2807" t="s">
        <v>1936</v>
      </c>
      <c r="D2807" t="s">
        <v>3575</v>
      </c>
      <c r="F2807">
        <v>405</v>
      </c>
      <c r="G2807">
        <v>65</v>
      </c>
      <c r="H2807" t="s">
        <v>662</v>
      </c>
      <c r="I2807" t="s">
        <v>2271</v>
      </c>
      <c r="J2807">
        <v>2847000</v>
      </c>
      <c r="K2807">
        <v>2025</v>
      </c>
      <c r="L2807">
        <v>1036252769</v>
      </c>
      <c r="M2807" t="s">
        <v>4353</v>
      </c>
      <c r="N2807" t="s">
        <v>1688</v>
      </c>
      <c r="O2807" t="s">
        <v>1686</v>
      </c>
      <c r="P2807">
        <v>0</v>
      </c>
      <c r="Q2807">
        <v>2847000</v>
      </c>
      <c r="R2807">
        <v>0</v>
      </c>
      <c r="S2807">
        <v>0</v>
      </c>
      <c r="T2807" t="str">
        <f t="shared" si="86"/>
        <v>25122.43.4302.85.0-205128.2.3.3.08.06.</v>
      </c>
      <c r="U2807" t="e" cm="1">
        <f t="array" aca="1" ref="U2807" ca="1">+IF(COMPROMISOS_2025[[#This Row],[P]]="20","41080111",_xlfn.XLOOKUP(COMPROMISOS_2025[[#This Row],[concatenado]],PAA[[#All],[RCP-RUBRO]],PAA[[#All],[INDICADOR]],"",0))</f>
        <v>#NAME?</v>
      </c>
      <c r="V2807" s="144" t="str">
        <f t="shared" si="87"/>
        <v>85</v>
      </c>
      <c r="W2807" s="136">
        <f>+COMPROMISOS_2025[[#This Row],[valor_total]]-COMPROMISOS_2025[[#This Row],[total_cancelado]]</f>
        <v>2847000</v>
      </c>
      <c r="X2807" s="136">
        <f>COMPROMISOS_2025[[#This Row],[total_ordenes]]</f>
        <v>2847000</v>
      </c>
      <c r="Y2807" t="str" cm="1">
        <f t="array" aca="1" ref="Y2807" ca="1">IFERROR(_xlfn.XLOOKUP(COMPROMISOS_2025[[#This Row],[concatenado]],PAA[[#All],[RCP-RUBRO]],PAA[[#All],[Actividad3]],VLOOKUP(COMPROMISOS_2025[[#This Row],[Indicador Principal]],$AC$2:$AD$17,2,0),0),"")</f>
        <v/>
      </c>
    </row>
    <row r="2808" spans="1:25" hidden="1" x14ac:dyDescent="0.25">
      <c r="A2808">
        <v>2518</v>
      </c>
      <c r="B2808" t="s">
        <v>2491</v>
      </c>
      <c r="C2808" t="s">
        <v>1936</v>
      </c>
      <c r="D2808" t="s">
        <v>3575</v>
      </c>
      <c r="F2808">
        <v>405</v>
      </c>
      <c r="G2808">
        <v>65</v>
      </c>
      <c r="H2808" t="s">
        <v>662</v>
      </c>
      <c r="I2808" t="s">
        <v>2271</v>
      </c>
      <c r="J2808">
        <v>2847000</v>
      </c>
      <c r="K2808">
        <v>2025</v>
      </c>
      <c r="L2808">
        <v>1036402172</v>
      </c>
      <c r="M2808" t="s">
        <v>4070</v>
      </c>
      <c r="N2808" t="s">
        <v>1688</v>
      </c>
      <c r="O2808" t="s">
        <v>1686</v>
      </c>
      <c r="P2808">
        <v>0</v>
      </c>
      <c r="Q2808">
        <v>2847000</v>
      </c>
      <c r="R2808">
        <v>0</v>
      </c>
      <c r="S2808">
        <v>0</v>
      </c>
      <c r="T2808" t="str">
        <f t="shared" si="86"/>
        <v>25182.43.4302.85.0-205128.2.3.3.08.06.</v>
      </c>
      <c r="U2808" t="e" cm="1">
        <f t="array" aca="1" ref="U2808" ca="1">+IF(COMPROMISOS_2025[[#This Row],[P]]="20","41080111",_xlfn.XLOOKUP(COMPROMISOS_2025[[#This Row],[concatenado]],PAA[[#All],[RCP-RUBRO]],PAA[[#All],[INDICADOR]],"",0))</f>
        <v>#NAME?</v>
      </c>
      <c r="V2808" s="144" t="str">
        <f t="shared" si="87"/>
        <v>85</v>
      </c>
      <c r="W2808" s="136">
        <f>+COMPROMISOS_2025[[#This Row],[valor_total]]-COMPROMISOS_2025[[#This Row],[total_cancelado]]</f>
        <v>2847000</v>
      </c>
      <c r="X2808" s="136">
        <f>COMPROMISOS_2025[[#This Row],[total_ordenes]]</f>
        <v>2847000</v>
      </c>
      <c r="Y2808" t="str" cm="1">
        <f t="array" aca="1" ref="Y2808" ca="1">IFERROR(_xlfn.XLOOKUP(COMPROMISOS_2025[[#This Row],[concatenado]],PAA[[#All],[RCP-RUBRO]],PAA[[#All],[Actividad3]],VLOOKUP(COMPROMISOS_2025[[#This Row],[Indicador Principal]],$AC$2:$AD$17,2,0),0),"")</f>
        <v/>
      </c>
    </row>
    <row r="2809" spans="1:25" hidden="1" x14ac:dyDescent="0.25">
      <c r="A2809">
        <v>2520</v>
      </c>
      <c r="B2809" t="s">
        <v>2491</v>
      </c>
      <c r="C2809" t="s">
        <v>1936</v>
      </c>
      <c r="D2809" t="s">
        <v>3575</v>
      </c>
      <c r="F2809">
        <v>405</v>
      </c>
      <c r="G2809">
        <v>65</v>
      </c>
      <c r="H2809" t="s">
        <v>662</v>
      </c>
      <c r="I2809" t="s">
        <v>2271</v>
      </c>
      <c r="J2809">
        <v>4270500</v>
      </c>
      <c r="K2809">
        <v>2025</v>
      </c>
      <c r="L2809">
        <v>1036404180</v>
      </c>
      <c r="M2809" t="s">
        <v>4354</v>
      </c>
      <c r="N2809" t="s">
        <v>1688</v>
      </c>
      <c r="O2809" t="s">
        <v>1686</v>
      </c>
      <c r="P2809">
        <v>0</v>
      </c>
      <c r="Q2809">
        <v>4270500</v>
      </c>
      <c r="R2809">
        <v>0</v>
      </c>
      <c r="S2809">
        <v>0</v>
      </c>
      <c r="T2809" t="str">
        <f t="shared" si="86"/>
        <v>25202.43.4302.85.0-205128.2.3.3.08.06.</v>
      </c>
      <c r="U2809" t="e" cm="1">
        <f t="array" aca="1" ref="U2809" ca="1">+IF(COMPROMISOS_2025[[#This Row],[P]]="20","41080111",_xlfn.XLOOKUP(COMPROMISOS_2025[[#This Row],[concatenado]],PAA[[#All],[RCP-RUBRO]],PAA[[#All],[INDICADOR]],"",0))</f>
        <v>#NAME?</v>
      </c>
      <c r="V2809" s="144" t="str">
        <f t="shared" si="87"/>
        <v>85</v>
      </c>
      <c r="W2809" s="136">
        <f>+COMPROMISOS_2025[[#This Row],[valor_total]]-COMPROMISOS_2025[[#This Row],[total_cancelado]]</f>
        <v>4270500</v>
      </c>
      <c r="X2809" s="136">
        <f>COMPROMISOS_2025[[#This Row],[total_ordenes]]</f>
        <v>4270500</v>
      </c>
      <c r="Y2809" t="str" cm="1">
        <f t="array" aca="1" ref="Y2809" ca="1">IFERROR(_xlfn.XLOOKUP(COMPROMISOS_2025[[#This Row],[concatenado]],PAA[[#All],[RCP-RUBRO]],PAA[[#All],[Actividad3]],VLOOKUP(COMPROMISOS_2025[[#This Row],[Indicador Principal]],$AC$2:$AD$17,2,0),0),"")</f>
        <v/>
      </c>
    </row>
    <row r="2810" spans="1:25" hidden="1" x14ac:dyDescent="0.25">
      <c r="A2810">
        <v>2521</v>
      </c>
      <c r="B2810" t="s">
        <v>2491</v>
      </c>
      <c r="C2810" t="s">
        <v>1936</v>
      </c>
      <c r="D2810" t="s">
        <v>3575</v>
      </c>
      <c r="F2810">
        <v>405</v>
      </c>
      <c r="G2810">
        <v>65</v>
      </c>
      <c r="H2810" t="s">
        <v>662</v>
      </c>
      <c r="I2810" t="s">
        <v>2271</v>
      </c>
      <c r="J2810">
        <v>1423500</v>
      </c>
      <c r="K2810">
        <v>2025</v>
      </c>
      <c r="L2810">
        <v>1036449496</v>
      </c>
      <c r="M2810" t="s">
        <v>4071</v>
      </c>
      <c r="N2810" t="s">
        <v>1688</v>
      </c>
      <c r="O2810" t="s">
        <v>1686</v>
      </c>
      <c r="P2810">
        <v>0</v>
      </c>
      <c r="Q2810">
        <v>1423500</v>
      </c>
      <c r="R2810">
        <v>0</v>
      </c>
      <c r="S2810">
        <v>0</v>
      </c>
      <c r="T2810" t="str">
        <f t="shared" si="86"/>
        <v>25212.43.4302.85.0-205128.2.3.3.08.06.</v>
      </c>
      <c r="U2810" t="e" cm="1">
        <f t="array" aca="1" ref="U2810" ca="1">+IF(COMPROMISOS_2025[[#This Row],[P]]="20","41080111",_xlfn.XLOOKUP(COMPROMISOS_2025[[#This Row],[concatenado]],PAA[[#All],[RCP-RUBRO]],PAA[[#All],[INDICADOR]],"",0))</f>
        <v>#NAME?</v>
      </c>
      <c r="V2810" s="144" t="str">
        <f t="shared" si="87"/>
        <v>85</v>
      </c>
      <c r="W2810" s="136">
        <f>+COMPROMISOS_2025[[#This Row],[valor_total]]-COMPROMISOS_2025[[#This Row],[total_cancelado]]</f>
        <v>1423500</v>
      </c>
      <c r="X2810" s="136">
        <f>COMPROMISOS_2025[[#This Row],[total_ordenes]]</f>
        <v>1423500</v>
      </c>
      <c r="Y2810" t="str" cm="1">
        <f t="array" aca="1" ref="Y2810" ca="1">IFERROR(_xlfn.XLOOKUP(COMPROMISOS_2025[[#This Row],[concatenado]],PAA[[#All],[RCP-RUBRO]],PAA[[#All],[Actividad3]],VLOOKUP(COMPROMISOS_2025[[#This Row],[Indicador Principal]],$AC$2:$AD$17,2,0),0),"")</f>
        <v/>
      </c>
    </row>
    <row r="2811" spans="1:25" hidden="1" x14ac:dyDescent="0.25">
      <c r="A2811">
        <v>2523</v>
      </c>
      <c r="B2811" t="s">
        <v>2491</v>
      </c>
      <c r="C2811" t="s">
        <v>1936</v>
      </c>
      <c r="D2811" t="s">
        <v>3575</v>
      </c>
      <c r="F2811">
        <v>405</v>
      </c>
      <c r="G2811">
        <v>65</v>
      </c>
      <c r="H2811" t="s">
        <v>662</v>
      </c>
      <c r="I2811" t="s">
        <v>2271</v>
      </c>
      <c r="J2811">
        <v>2847000</v>
      </c>
      <c r="K2811">
        <v>2025</v>
      </c>
      <c r="L2811">
        <v>1036518152</v>
      </c>
      <c r="M2811" t="s">
        <v>4355</v>
      </c>
      <c r="N2811" t="s">
        <v>1688</v>
      </c>
      <c r="O2811" t="s">
        <v>1686</v>
      </c>
      <c r="P2811">
        <v>0</v>
      </c>
      <c r="Q2811">
        <v>2847000</v>
      </c>
      <c r="R2811">
        <v>0</v>
      </c>
      <c r="S2811">
        <v>0</v>
      </c>
      <c r="T2811" t="str">
        <f t="shared" si="86"/>
        <v>25232.43.4302.85.0-205128.2.3.3.08.06.</v>
      </c>
      <c r="U2811" t="e" cm="1">
        <f t="array" aca="1" ref="U2811" ca="1">+IF(COMPROMISOS_2025[[#This Row],[P]]="20","41080111",_xlfn.XLOOKUP(COMPROMISOS_2025[[#This Row],[concatenado]],PAA[[#All],[RCP-RUBRO]],PAA[[#All],[INDICADOR]],"",0))</f>
        <v>#NAME?</v>
      </c>
      <c r="V2811" s="144" t="str">
        <f t="shared" si="87"/>
        <v>85</v>
      </c>
      <c r="W2811" s="136">
        <f>+COMPROMISOS_2025[[#This Row],[valor_total]]-COMPROMISOS_2025[[#This Row],[total_cancelado]]</f>
        <v>2847000</v>
      </c>
      <c r="X2811" s="136">
        <f>COMPROMISOS_2025[[#This Row],[total_ordenes]]</f>
        <v>2847000</v>
      </c>
      <c r="Y2811" t="str" cm="1">
        <f t="array" aca="1" ref="Y2811" ca="1">IFERROR(_xlfn.XLOOKUP(COMPROMISOS_2025[[#This Row],[concatenado]],PAA[[#All],[RCP-RUBRO]],PAA[[#All],[Actividad3]],VLOOKUP(COMPROMISOS_2025[[#This Row],[Indicador Principal]],$AC$2:$AD$17,2,0),0),"")</f>
        <v/>
      </c>
    </row>
    <row r="2812" spans="1:25" hidden="1" x14ac:dyDescent="0.25">
      <c r="A2812">
        <v>2524</v>
      </c>
      <c r="B2812" t="s">
        <v>2491</v>
      </c>
      <c r="C2812" t="s">
        <v>1936</v>
      </c>
      <c r="D2812" t="s">
        <v>3575</v>
      </c>
      <c r="F2812">
        <v>405</v>
      </c>
      <c r="G2812">
        <v>65</v>
      </c>
      <c r="H2812" t="s">
        <v>662</v>
      </c>
      <c r="I2812" t="s">
        <v>2271</v>
      </c>
      <c r="J2812">
        <v>5694000</v>
      </c>
      <c r="K2812">
        <v>2025</v>
      </c>
      <c r="L2812">
        <v>1036598467</v>
      </c>
      <c r="M2812" t="s">
        <v>4356</v>
      </c>
      <c r="N2812" t="s">
        <v>1688</v>
      </c>
      <c r="O2812" t="s">
        <v>1686</v>
      </c>
      <c r="P2812">
        <v>0</v>
      </c>
      <c r="Q2812">
        <v>5694000</v>
      </c>
      <c r="R2812">
        <v>0</v>
      </c>
      <c r="S2812">
        <v>0</v>
      </c>
      <c r="T2812" t="str">
        <f t="shared" si="86"/>
        <v>25242.43.4302.85.0-205128.2.3.3.08.06.</v>
      </c>
      <c r="U2812" t="e" cm="1">
        <f t="array" aca="1" ref="U2812" ca="1">+IF(COMPROMISOS_2025[[#This Row],[P]]="20","41080111",_xlfn.XLOOKUP(COMPROMISOS_2025[[#This Row],[concatenado]],PAA[[#All],[RCP-RUBRO]],PAA[[#All],[INDICADOR]],"",0))</f>
        <v>#NAME?</v>
      </c>
      <c r="V2812" s="144" t="str">
        <f t="shared" si="87"/>
        <v>85</v>
      </c>
      <c r="W2812" s="136">
        <f>+COMPROMISOS_2025[[#This Row],[valor_total]]-COMPROMISOS_2025[[#This Row],[total_cancelado]]</f>
        <v>5694000</v>
      </c>
      <c r="X2812" s="136">
        <f>COMPROMISOS_2025[[#This Row],[total_ordenes]]</f>
        <v>5694000</v>
      </c>
      <c r="Y2812" t="str" cm="1">
        <f t="array" aca="1" ref="Y2812" ca="1">IFERROR(_xlfn.XLOOKUP(COMPROMISOS_2025[[#This Row],[concatenado]],PAA[[#All],[RCP-RUBRO]],PAA[[#All],[Actividad3]],VLOOKUP(COMPROMISOS_2025[[#This Row],[Indicador Principal]],$AC$2:$AD$17,2,0),0),"")</f>
        <v/>
      </c>
    </row>
    <row r="2813" spans="1:25" hidden="1" x14ac:dyDescent="0.25">
      <c r="A2813">
        <v>2526</v>
      </c>
      <c r="B2813" t="s">
        <v>2491</v>
      </c>
      <c r="C2813" t="s">
        <v>1936</v>
      </c>
      <c r="D2813" t="s">
        <v>3575</v>
      </c>
      <c r="F2813">
        <v>405</v>
      </c>
      <c r="G2813">
        <v>65</v>
      </c>
      <c r="H2813" t="s">
        <v>662</v>
      </c>
      <c r="I2813" t="s">
        <v>2271</v>
      </c>
      <c r="J2813">
        <v>1423500</v>
      </c>
      <c r="K2813">
        <v>2025</v>
      </c>
      <c r="L2813">
        <v>1036641811</v>
      </c>
      <c r="M2813" t="s">
        <v>4357</v>
      </c>
      <c r="N2813" t="s">
        <v>1688</v>
      </c>
      <c r="O2813" t="s">
        <v>1686</v>
      </c>
      <c r="P2813">
        <v>0</v>
      </c>
      <c r="Q2813">
        <v>1423500</v>
      </c>
      <c r="R2813">
        <v>0</v>
      </c>
      <c r="S2813">
        <v>0</v>
      </c>
      <c r="T2813" t="str">
        <f t="shared" si="86"/>
        <v>25262.43.4302.85.0-205128.2.3.3.08.06.</v>
      </c>
      <c r="U2813" t="e" cm="1">
        <f t="array" aca="1" ref="U2813" ca="1">+IF(COMPROMISOS_2025[[#This Row],[P]]="20","41080111",_xlfn.XLOOKUP(COMPROMISOS_2025[[#This Row],[concatenado]],PAA[[#All],[RCP-RUBRO]],PAA[[#All],[INDICADOR]],"",0))</f>
        <v>#NAME?</v>
      </c>
      <c r="V2813" s="144" t="str">
        <f t="shared" si="87"/>
        <v>85</v>
      </c>
      <c r="W2813" s="136">
        <f>+COMPROMISOS_2025[[#This Row],[valor_total]]-COMPROMISOS_2025[[#This Row],[total_cancelado]]</f>
        <v>1423500</v>
      </c>
      <c r="X2813" s="136">
        <f>COMPROMISOS_2025[[#This Row],[total_ordenes]]</f>
        <v>1423500</v>
      </c>
      <c r="Y2813" t="str" cm="1">
        <f t="array" aca="1" ref="Y2813" ca="1">IFERROR(_xlfn.XLOOKUP(COMPROMISOS_2025[[#This Row],[concatenado]],PAA[[#All],[RCP-RUBRO]],PAA[[#All],[Actividad3]],VLOOKUP(COMPROMISOS_2025[[#This Row],[Indicador Principal]],$AC$2:$AD$17,2,0),0),"")</f>
        <v/>
      </c>
    </row>
    <row r="2814" spans="1:25" hidden="1" x14ac:dyDescent="0.25">
      <c r="A2814">
        <v>2527</v>
      </c>
      <c r="B2814" t="s">
        <v>2491</v>
      </c>
      <c r="C2814" t="s">
        <v>1936</v>
      </c>
      <c r="D2814" t="s">
        <v>3575</v>
      </c>
      <c r="F2814">
        <v>405</v>
      </c>
      <c r="G2814">
        <v>65</v>
      </c>
      <c r="H2814" t="s">
        <v>662</v>
      </c>
      <c r="I2814" t="s">
        <v>2271</v>
      </c>
      <c r="J2814">
        <v>1423500</v>
      </c>
      <c r="K2814">
        <v>2025</v>
      </c>
      <c r="L2814">
        <v>1036650619</v>
      </c>
      <c r="M2814" t="s">
        <v>4358</v>
      </c>
      <c r="N2814" t="s">
        <v>1688</v>
      </c>
      <c r="O2814" t="s">
        <v>1686</v>
      </c>
      <c r="P2814">
        <v>0</v>
      </c>
      <c r="Q2814">
        <v>1423500</v>
      </c>
      <c r="R2814">
        <v>0</v>
      </c>
      <c r="S2814">
        <v>0</v>
      </c>
      <c r="T2814" t="str">
        <f t="shared" si="86"/>
        <v>25272.43.4302.85.0-205128.2.3.3.08.06.</v>
      </c>
      <c r="U2814" t="e" cm="1">
        <f t="array" aca="1" ref="U2814" ca="1">+IF(COMPROMISOS_2025[[#This Row],[P]]="20","41080111",_xlfn.XLOOKUP(COMPROMISOS_2025[[#This Row],[concatenado]],PAA[[#All],[RCP-RUBRO]],PAA[[#All],[INDICADOR]],"",0))</f>
        <v>#NAME?</v>
      </c>
      <c r="V2814" s="144" t="str">
        <f t="shared" si="87"/>
        <v>85</v>
      </c>
      <c r="W2814" s="136">
        <f>+COMPROMISOS_2025[[#This Row],[valor_total]]-COMPROMISOS_2025[[#This Row],[total_cancelado]]</f>
        <v>1423500</v>
      </c>
      <c r="X2814" s="136">
        <f>COMPROMISOS_2025[[#This Row],[total_ordenes]]</f>
        <v>1423500</v>
      </c>
      <c r="Y2814" t="str" cm="1">
        <f t="array" aca="1" ref="Y2814" ca="1">IFERROR(_xlfn.XLOOKUP(COMPROMISOS_2025[[#This Row],[concatenado]],PAA[[#All],[RCP-RUBRO]],PAA[[#All],[Actividad3]],VLOOKUP(COMPROMISOS_2025[[#This Row],[Indicador Principal]],$AC$2:$AD$17,2,0),0),"")</f>
        <v/>
      </c>
    </row>
    <row r="2815" spans="1:25" hidden="1" x14ac:dyDescent="0.25">
      <c r="A2815">
        <v>2528</v>
      </c>
      <c r="B2815" t="s">
        <v>2491</v>
      </c>
      <c r="C2815" t="s">
        <v>1936</v>
      </c>
      <c r="D2815" t="s">
        <v>3575</v>
      </c>
      <c r="F2815">
        <v>405</v>
      </c>
      <c r="G2815">
        <v>65</v>
      </c>
      <c r="H2815" t="s">
        <v>662</v>
      </c>
      <c r="I2815" t="s">
        <v>2271</v>
      </c>
      <c r="J2815">
        <v>728028</v>
      </c>
      <c r="K2815">
        <v>2025</v>
      </c>
      <c r="L2815">
        <v>1036660005</v>
      </c>
      <c r="M2815" t="s">
        <v>3783</v>
      </c>
      <c r="N2815" t="s">
        <v>1688</v>
      </c>
      <c r="O2815" t="s">
        <v>1686</v>
      </c>
      <c r="P2815">
        <v>0</v>
      </c>
      <c r="Q2815">
        <v>728028</v>
      </c>
      <c r="R2815">
        <v>0</v>
      </c>
      <c r="S2815">
        <v>0</v>
      </c>
      <c r="T2815" t="str">
        <f t="shared" si="86"/>
        <v>25282.43.4302.85.0-205128.2.3.3.08.06.</v>
      </c>
      <c r="U2815" t="e" cm="1">
        <f t="array" aca="1" ref="U2815" ca="1">+IF(COMPROMISOS_2025[[#This Row],[P]]="20","41080111",_xlfn.XLOOKUP(COMPROMISOS_2025[[#This Row],[concatenado]],PAA[[#All],[RCP-RUBRO]],PAA[[#All],[INDICADOR]],"",0))</f>
        <v>#NAME?</v>
      </c>
      <c r="V2815" s="144" t="str">
        <f t="shared" si="87"/>
        <v>85</v>
      </c>
      <c r="W2815" s="136">
        <f>+COMPROMISOS_2025[[#This Row],[valor_total]]-COMPROMISOS_2025[[#This Row],[total_cancelado]]</f>
        <v>728028</v>
      </c>
      <c r="X2815" s="136">
        <f>COMPROMISOS_2025[[#This Row],[total_ordenes]]</f>
        <v>728028</v>
      </c>
      <c r="Y2815" t="str" cm="1">
        <f t="array" aca="1" ref="Y2815" ca="1">IFERROR(_xlfn.XLOOKUP(COMPROMISOS_2025[[#This Row],[concatenado]],PAA[[#All],[RCP-RUBRO]],PAA[[#All],[Actividad3]],VLOOKUP(COMPROMISOS_2025[[#This Row],[Indicador Principal]],$AC$2:$AD$17,2,0),0),"")</f>
        <v/>
      </c>
    </row>
    <row r="2816" spans="1:25" hidden="1" x14ac:dyDescent="0.25">
      <c r="A2816">
        <v>2530</v>
      </c>
      <c r="B2816" t="s">
        <v>2491</v>
      </c>
      <c r="C2816" t="s">
        <v>1936</v>
      </c>
      <c r="D2816" t="s">
        <v>3575</v>
      </c>
      <c r="F2816">
        <v>405</v>
      </c>
      <c r="G2816">
        <v>65</v>
      </c>
      <c r="H2816" t="s">
        <v>662</v>
      </c>
      <c r="I2816" t="s">
        <v>2271</v>
      </c>
      <c r="J2816">
        <v>1423500</v>
      </c>
      <c r="K2816">
        <v>2025</v>
      </c>
      <c r="L2816">
        <v>1036664029</v>
      </c>
      <c r="M2816" t="s">
        <v>4359</v>
      </c>
      <c r="N2816" t="s">
        <v>1688</v>
      </c>
      <c r="O2816" t="s">
        <v>1686</v>
      </c>
      <c r="P2816">
        <v>0</v>
      </c>
      <c r="Q2816">
        <v>1423500</v>
      </c>
      <c r="R2816">
        <v>0</v>
      </c>
      <c r="S2816">
        <v>0</v>
      </c>
      <c r="T2816" t="str">
        <f t="shared" si="86"/>
        <v>25302.43.4302.85.0-205128.2.3.3.08.06.</v>
      </c>
      <c r="U2816" t="e" cm="1">
        <f t="array" aca="1" ref="U2816" ca="1">+IF(COMPROMISOS_2025[[#This Row],[P]]="20","41080111",_xlfn.XLOOKUP(COMPROMISOS_2025[[#This Row],[concatenado]],PAA[[#All],[RCP-RUBRO]],PAA[[#All],[INDICADOR]],"",0))</f>
        <v>#NAME?</v>
      </c>
      <c r="V2816" s="144" t="str">
        <f t="shared" si="87"/>
        <v>85</v>
      </c>
      <c r="W2816" s="136">
        <f>+COMPROMISOS_2025[[#This Row],[valor_total]]-COMPROMISOS_2025[[#This Row],[total_cancelado]]</f>
        <v>1423500</v>
      </c>
      <c r="X2816" s="136">
        <f>COMPROMISOS_2025[[#This Row],[total_ordenes]]</f>
        <v>1423500</v>
      </c>
      <c r="Y2816" t="str" cm="1">
        <f t="array" aca="1" ref="Y2816" ca="1">IFERROR(_xlfn.XLOOKUP(COMPROMISOS_2025[[#This Row],[concatenado]],PAA[[#All],[RCP-RUBRO]],PAA[[#All],[Actividad3]],VLOOKUP(COMPROMISOS_2025[[#This Row],[Indicador Principal]],$AC$2:$AD$17,2,0),0),"")</f>
        <v/>
      </c>
    </row>
    <row r="2817" spans="1:25" hidden="1" x14ac:dyDescent="0.25">
      <c r="A2817">
        <v>2531</v>
      </c>
      <c r="B2817" t="s">
        <v>2491</v>
      </c>
      <c r="C2817" t="s">
        <v>1936</v>
      </c>
      <c r="D2817" t="s">
        <v>3575</v>
      </c>
      <c r="F2817">
        <v>405</v>
      </c>
      <c r="G2817">
        <v>65</v>
      </c>
      <c r="H2817" t="s">
        <v>662</v>
      </c>
      <c r="I2817" t="s">
        <v>2271</v>
      </c>
      <c r="J2817">
        <v>711750</v>
      </c>
      <c r="K2817">
        <v>2025</v>
      </c>
      <c r="L2817">
        <v>1036668035</v>
      </c>
      <c r="M2817" t="s">
        <v>4360</v>
      </c>
      <c r="N2817" t="s">
        <v>1688</v>
      </c>
      <c r="O2817" t="s">
        <v>1686</v>
      </c>
      <c r="P2817">
        <v>0</v>
      </c>
      <c r="Q2817">
        <v>711750</v>
      </c>
      <c r="R2817">
        <v>0</v>
      </c>
      <c r="S2817">
        <v>0</v>
      </c>
      <c r="T2817" t="str">
        <f t="shared" si="86"/>
        <v>25312.43.4302.85.0-205128.2.3.3.08.06.</v>
      </c>
      <c r="U2817" t="e" cm="1">
        <f t="array" aca="1" ref="U2817" ca="1">+IF(COMPROMISOS_2025[[#This Row],[P]]="20","41080111",_xlfn.XLOOKUP(COMPROMISOS_2025[[#This Row],[concatenado]],PAA[[#All],[RCP-RUBRO]],PAA[[#All],[INDICADOR]],"",0))</f>
        <v>#NAME?</v>
      </c>
      <c r="V2817" s="144" t="str">
        <f t="shared" si="87"/>
        <v>85</v>
      </c>
      <c r="W2817" s="136">
        <f>+COMPROMISOS_2025[[#This Row],[valor_total]]-COMPROMISOS_2025[[#This Row],[total_cancelado]]</f>
        <v>711750</v>
      </c>
      <c r="X2817" s="136">
        <f>COMPROMISOS_2025[[#This Row],[total_ordenes]]</f>
        <v>711750</v>
      </c>
      <c r="Y2817" t="str" cm="1">
        <f t="array" aca="1" ref="Y2817" ca="1">IFERROR(_xlfn.XLOOKUP(COMPROMISOS_2025[[#This Row],[concatenado]],PAA[[#All],[RCP-RUBRO]],PAA[[#All],[Actividad3]],VLOOKUP(COMPROMISOS_2025[[#This Row],[Indicador Principal]],$AC$2:$AD$17,2,0),0),"")</f>
        <v/>
      </c>
    </row>
    <row r="2818" spans="1:25" hidden="1" x14ac:dyDescent="0.25">
      <c r="A2818">
        <v>2532</v>
      </c>
      <c r="B2818" t="s">
        <v>2491</v>
      </c>
      <c r="C2818" t="s">
        <v>1936</v>
      </c>
      <c r="D2818" t="s">
        <v>3575</v>
      </c>
      <c r="F2818">
        <v>405</v>
      </c>
      <c r="G2818">
        <v>65</v>
      </c>
      <c r="H2818" t="s">
        <v>662</v>
      </c>
      <c r="I2818" t="s">
        <v>2271</v>
      </c>
      <c r="J2818">
        <v>5694000</v>
      </c>
      <c r="K2818">
        <v>2025</v>
      </c>
      <c r="L2818">
        <v>1036671246</v>
      </c>
      <c r="M2818" t="s">
        <v>4361</v>
      </c>
      <c r="N2818" t="s">
        <v>1688</v>
      </c>
      <c r="O2818" t="s">
        <v>1686</v>
      </c>
      <c r="P2818">
        <v>0</v>
      </c>
      <c r="Q2818">
        <v>5694000</v>
      </c>
      <c r="R2818">
        <v>0</v>
      </c>
      <c r="S2818">
        <v>0</v>
      </c>
      <c r="T2818" t="str">
        <f t="shared" ref="T2818:T2881" si="88">IF(A2818&gt;=0,CONCATENATE(A2818,H2818),"")</f>
        <v>25322.43.4302.85.0-205128.2.3.3.08.06.</v>
      </c>
      <c r="U2818" t="e" cm="1">
        <f t="array" aca="1" ref="U2818" ca="1">+IF(COMPROMISOS_2025[[#This Row],[P]]="20","41080111",_xlfn.XLOOKUP(COMPROMISOS_2025[[#This Row],[concatenado]],PAA[[#All],[RCP-RUBRO]],PAA[[#All],[INDICADOR]],"",0))</f>
        <v>#NAME?</v>
      </c>
      <c r="V2818" s="144" t="str">
        <f t="shared" ref="V2818:V2881" si="89">+MID(H2818,11,2)</f>
        <v>85</v>
      </c>
      <c r="W2818" s="136">
        <f>+COMPROMISOS_2025[[#This Row],[valor_total]]-COMPROMISOS_2025[[#This Row],[total_cancelado]]</f>
        <v>5694000</v>
      </c>
      <c r="X2818" s="136">
        <f>COMPROMISOS_2025[[#This Row],[total_ordenes]]</f>
        <v>5694000</v>
      </c>
      <c r="Y2818" t="str" cm="1">
        <f t="array" aca="1" ref="Y2818" ca="1">IFERROR(_xlfn.XLOOKUP(COMPROMISOS_2025[[#This Row],[concatenado]],PAA[[#All],[RCP-RUBRO]],PAA[[#All],[Actividad3]],VLOOKUP(COMPROMISOS_2025[[#This Row],[Indicador Principal]],$AC$2:$AD$17,2,0),0),"")</f>
        <v/>
      </c>
    </row>
    <row r="2819" spans="1:25" hidden="1" x14ac:dyDescent="0.25">
      <c r="A2819">
        <v>2533</v>
      </c>
      <c r="B2819" t="s">
        <v>2491</v>
      </c>
      <c r="C2819" t="s">
        <v>1936</v>
      </c>
      <c r="D2819" t="s">
        <v>3575</v>
      </c>
      <c r="F2819">
        <v>405</v>
      </c>
      <c r="G2819">
        <v>65</v>
      </c>
      <c r="H2819" t="s">
        <v>662</v>
      </c>
      <c r="I2819" t="s">
        <v>2271</v>
      </c>
      <c r="J2819">
        <v>711750</v>
      </c>
      <c r="K2819">
        <v>2025</v>
      </c>
      <c r="L2819">
        <v>1036671884</v>
      </c>
      <c r="M2819" t="s">
        <v>4074</v>
      </c>
      <c r="N2819" t="s">
        <v>1688</v>
      </c>
      <c r="O2819" t="s">
        <v>1686</v>
      </c>
      <c r="P2819">
        <v>0</v>
      </c>
      <c r="Q2819">
        <v>711750</v>
      </c>
      <c r="R2819">
        <v>0</v>
      </c>
      <c r="S2819">
        <v>0</v>
      </c>
      <c r="T2819" t="str">
        <f t="shared" si="88"/>
        <v>25332.43.4302.85.0-205128.2.3.3.08.06.</v>
      </c>
      <c r="U2819" t="e" cm="1">
        <f t="array" aca="1" ref="U2819" ca="1">+IF(COMPROMISOS_2025[[#This Row],[P]]="20","41080111",_xlfn.XLOOKUP(COMPROMISOS_2025[[#This Row],[concatenado]],PAA[[#All],[RCP-RUBRO]],PAA[[#All],[INDICADOR]],"",0))</f>
        <v>#NAME?</v>
      </c>
      <c r="V2819" s="144" t="str">
        <f t="shared" si="89"/>
        <v>85</v>
      </c>
      <c r="W2819" s="136">
        <f>+COMPROMISOS_2025[[#This Row],[valor_total]]-COMPROMISOS_2025[[#This Row],[total_cancelado]]</f>
        <v>711750</v>
      </c>
      <c r="X2819" s="136">
        <f>COMPROMISOS_2025[[#This Row],[total_ordenes]]</f>
        <v>711750</v>
      </c>
      <c r="Y2819" t="str" cm="1">
        <f t="array" aca="1" ref="Y2819" ca="1">IFERROR(_xlfn.XLOOKUP(COMPROMISOS_2025[[#This Row],[concatenado]],PAA[[#All],[RCP-RUBRO]],PAA[[#All],[Actividad3]],VLOOKUP(COMPROMISOS_2025[[#This Row],[Indicador Principal]],$AC$2:$AD$17,2,0),0),"")</f>
        <v/>
      </c>
    </row>
    <row r="2820" spans="1:25" hidden="1" x14ac:dyDescent="0.25">
      <c r="A2820">
        <v>2534</v>
      </c>
      <c r="B2820" t="s">
        <v>2491</v>
      </c>
      <c r="C2820" t="s">
        <v>1936</v>
      </c>
      <c r="D2820" t="s">
        <v>3575</v>
      </c>
      <c r="F2820">
        <v>405</v>
      </c>
      <c r="G2820">
        <v>65</v>
      </c>
      <c r="H2820" t="s">
        <v>662</v>
      </c>
      <c r="I2820" t="s">
        <v>2271</v>
      </c>
      <c r="J2820">
        <v>5694000</v>
      </c>
      <c r="K2820">
        <v>2025</v>
      </c>
      <c r="L2820">
        <v>1036673006</v>
      </c>
      <c r="M2820" t="s">
        <v>4362</v>
      </c>
      <c r="N2820" t="s">
        <v>1688</v>
      </c>
      <c r="O2820" t="s">
        <v>1686</v>
      </c>
      <c r="P2820">
        <v>0</v>
      </c>
      <c r="Q2820">
        <v>5694000</v>
      </c>
      <c r="R2820">
        <v>0</v>
      </c>
      <c r="S2820">
        <v>0</v>
      </c>
      <c r="T2820" t="str">
        <f t="shared" si="88"/>
        <v>25342.43.4302.85.0-205128.2.3.3.08.06.</v>
      </c>
      <c r="U2820" t="e" cm="1">
        <f t="array" aca="1" ref="U2820" ca="1">+IF(COMPROMISOS_2025[[#This Row],[P]]="20","41080111",_xlfn.XLOOKUP(COMPROMISOS_2025[[#This Row],[concatenado]],PAA[[#All],[RCP-RUBRO]],PAA[[#All],[INDICADOR]],"",0))</f>
        <v>#NAME?</v>
      </c>
      <c r="V2820" s="144" t="str">
        <f t="shared" si="89"/>
        <v>85</v>
      </c>
      <c r="W2820" s="136">
        <f>+COMPROMISOS_2025[[#This Row],[valor_total]]-COMPROMISOS_2025[[#This Row],[total_cancelado]]</f>
        <v>5694000</v>
      </c>
      <c r="X2820" s="136">
        <f>COMPROMISOS_2025[[#This Row],[total_ordenes]]</f>
        <v>5694000</v>
      </c>
      <c r="Y2820" t="str" cm="1">
        <f t="array" aca="1" ref="Y2820" ca="1">IFERROR(_xlfn.XLOOKUP(COMPROMISOS_2025[[#This Row],[concatenado]],PAA[[#All],[RCP-RUBRO]],PAA[[#All],[Actividad3]],VLOOKUP(COMPROMISOS_2025[[#This Row],[Indicador Principal]],$AC$2:$AD$17,2,0),0),"")</f>
        <v/>
      </c>
    </row>
    <row r="2821" spans="1:25" hidden="1" x14ac:dyDescent="0.25">
      <c r="A2821">
        <v>2535</v>
      </c>
      <c r="B2821" t="s">
        <v>2491</v>
      </c>
      <c r="C2821" t="s">
        <v>1936</v>
      </c>
      <c r="D2821" t="s">
        <v>3575</v>
      </c>
      <c r="F2821">
        <v>405</v>
      </c>
      <c r="G2821">
        <v>65</v>
      </c>
      <c r="H2821" t="s">
        <v>662</v>
      </c>
      <c r="I2821" t="s">
        <v>2271</v>
      </c>
      <c r="J2821">
        <v>711750</v>
      </c>
      <c r="K2821">
        <v>2025</v>
      </c>
      <c r="L2821">
        <v>1036675816</v>
      </c>
      <c r="M2821" t="s">
        <v>4363</v>
      </c>
      <c r="N2821" t="s">
        <v>1688</v>
      </c>
      <c r="O2821" t="s">
        <v>1686</v>
      </c>
      <c r="P2821">
        <v>0</v>
      </c>
      <c r="Q2821">
        <v>711750</v>
      </c>
      <c r="R2821">
        <v>0</v>
      </c>
      <c r="S2821">
        <v>0</v>
      </c>
      <c r="T2821" t="str">
        <f t="shared" si="88"/>
        <v>25352.43.4302.85.0-205128.2.3.3.08.06.</v>
      </c>
      <c r="U2821" t="e" cm="1">
        <f t="array" aca="1" ref="U2821" ca="1">+IF(COMPROMISOS_2025[[#This Row],[P]]="20","41080111",_xlfn.XLOOKUP(COMPROMISOS_2025[[#This Row],[concatenado]],PAA[[#All],[RCP-RUBRO]],PAA[[#All],[INDICADOR]],"",0))</f>
        <v>#NAME?</v>
      </c>
      <c r="V2821" s="144" t="str">
        <f t="shared" si="89"/>
        <v>85</v>
      </c>
      <c r="W2821" s="136">
        <f>+COMPROMISOS_2025[[#This Row],[valor_total]]-COMPROMISOS_2025[[#This Row],[total_cancelado]]</f>
        <v>711750</v>
      </c>
      <c r="X2821" s="136">
        <f>COMPROMISOS_2025[[#This Row],[total_ordenes]]</f>
        <v>711750</v>
      </c>
      <c r="Y2821" t="str" cm="1">
        <f t="array" aca="1" ref="Y2821" ca="1">IFERROR(_xlfn.XLOOKUP(COMPROMISOS_2025[[#This Row],[concatenado]],PAA[[#All],[RCP-RUBRO]],PAA[[#All],[Actividad3]],VLOOKUP(COMPROMISOS_2025[[#This Row],[Indicador Principal]],$AC$2:$AD$17,2,0),0),"")</f>
        <v/>
      </c>
    </row>
    <row r="2822" spans="1:25" hidden="1" x14ac:dyDescent="0.25">
      <c r="A2822">
        <v>2536</v>
      </c>
      <c r="B2822" t="s">
        <v>2491</v>
      </c>
      <c r="C2822" t="s">
        <v>1936</v>
      </c>
      <c r="D2822" t="s">
        <v>3575</v>
      </c>
      <c r="F2822">
        <v>405</v>
      </c>
      <c r="G2822">
        <v>65</v>
      </c>
      <c r="H2822" t="s">
        <v>662</v>
      </c>
      <c r="I2822" t="s">
        <v>2271</v>
      </c>
      <c r="J2822">
        <v>711750</v>
      </c>
      <c r="K2822">
        <v>2025</v>
      </c>
      <c r="L2822">
        <v>1036677849</v>
      </c>
      <c r="M2822" t="s">
        <v>4364</v>
      </c>
      <c r="N2822" t="s">
        <v>1688</v>
      </c>
      <c r="O2822" t="s">
        <v>1686</v>
      </c>
      <c r="P2822">
        <v>0</v>
      </c>
      <c r="Q2822">
        <v>711750</v>
      </c>
      <c r="R2822">
        <v>0</v>
      </c>
      <c r="S2822">
        <v>0</v>
      </c>
      <c r="T2822" t="str">
        <f t="shared" si="88"/>
        <v>25362.43.4302.85.0-205128.2.3.3.08.06.</v>
      </c>
      <c r="U2822" t="e" cm="1">
        <f t="array" aca="1" ref="U2822" ca="1">+IF(COMPROMISOS_2025[[#This Row],[P]]="20","41080111",_xlfn.XLOOKUP(COMPROMISOS_2025[[#This Row],[concatenado]],PAA[[#All],[RCP-RUBRO]],PAA[[#All],[INDICADOR]],"",0))</f>
        <v>#NAME?</v>
      </c>
      <c r="V2822" s="144" t="str">
        <f t="shared" si="89"/>
        <v>85</v>
      </c>
      <c r="W2822" s="136">
        <f>+COMPROMISOS_2025[[#This Row],[valor_total]]-COMPROMISOS_2025[[#This Row],[total_cancelado]]</f>
        <v>711750</v>
      </c>
      <c r="X2822" s="136">
        <f>COMPROMISOS_2025[[#This Row],[total_ordenes]]</f>
        <v>711750</v>
      </c>
      <c r="Y2822" t="str" cm="1">
        <f t="array" aca="1" ref="Y2822" ca="1">IFERROR(_xlfn.XLOOKUP(COMPROMISOS_2025[[#This Row],[concatenado]],PAA[[#All],[RCP-RUBRO]],PAA[[#All],[Actividad3]],VLOOKUP(COMPROMISOS_2025[[#This Row],[Indicador Principal]],$AC$2:$AD$17,2,0),0),"")</f>
        <v/>
      </c>
    </row>
    <row r="2823" spans="1:25" hidden="1" x14ac:dyDescent="0.25">
      <c r="A2823">
        <v>2537</v>
      </c>
      <c r="B2823" t="s">
        <v>2491</v>
      </c>
      <c r="C2823" t="s">
        <v>1936</v>
      </c>
      <c r="D2823" t="s">
        <v>3575</v>
      </c>
      <c r="F2823">
        <v>405</v>
      </c>
      <c r="G2823">
        <v>65</v>
      </c>
      <c r="H2823" t="s">
        <v>662</v>
      </c>
      <c r="I2823" t="s">
        <v>2271</v>
      </c>
      <c r="J2823">
        <v>711750</v>
      </c>
      <c r="K2823">
        <v>2025</v>
      </c>
      <c r="L2823">
        <v>10366860575</v>
      </c>
      <c r="M2823" t="s">
        <v>3213</v>
      </c>
      <c r="N2823" t="s">
        <v>1688</v>
      </c>
      <c r="O2823" t="s">
        <v>1686</v>
      </c>
      <c r="P2823">
        <v>0</v>
      </c>
      <c r="Q2823">
        <v>711750</v>
      </c>
      <c r="R2823">
        <v>0</v>
      </c>
      <c r="S2823">
        <v>0</v>
      </c>
      <c r="T2823" t="str">
        <f t="shared" si="88"/>
        <v>25372.43.4302.85.0-205128.2.3.3.08.06.</v>
      </c>
      <c r="U2823" t="e" cm="1">
        <f t="array" aca="1" ref="U2823" ca="1">+IF(COMPROMISOS_2025[[#This Row],[P]]="20","41080111",_xlfn.XLOOKUP(COMPROMISOS_2025[[#This Row],[concatenado]],PAA[[#All],[RCP-RUBRO]],PAA[[#All],[INDICADOR]],"",0))</f>
        <v>#NAME?</v>
      </c>
      <c r="V2823" s="144" t="str">
        <f t="shared" si="89"/>
        <v>85</v>
      </c>
      <c r="W2823" s="136">
        <f>+COMPROMISOS_2025[[#This Row],[valor_total]]-COMPROMISOS_2025[[#This Row],[total_cancelado]]</f>
        <v>711750</v>
      </c>
      <c r="X2823" s="136">
        <f>COMPROMISOS_2025[[#This Row],[total_ordenes]]</f>
        <v>711750</v>
      </c>
      <c r="Y2823" t="str" cm="1">
        <f t="array" aca="1" ref="Y2823" ca="1">IFERROR(_xlfn.XLOOKUP(COMPROMISOS_2025[[#This Row],[concatenado]],PAA[[#All],[RCP-RUBRO]],PAA[[#All],[Actividad3]],VLOOKUP(COMPROMISOS_2025[[#This Row],[Indicador Principal]],$AC$2:$AD$17,2,0),0),"")</f>
        <v/>
      </c>
    </row>
    <row r="2824" spans="1:25" hidden="1" x14ac:dyDescent="0.25">
      <c r="A2824">
        <v>2538</v>
      </c>
      <c r="B2824" t="s">
        <v>2491</v>
      </c>
      <c r="C2824" t="s">
        <v>1936</v>
      </c>
      <c r="D2824" t="s">
        <v>3575</v>
      </c>
      <c r="F2824">
        <v>405</v>
      </c>
      <c r="G2824">
        <v>65</v>
      </c>
      <c r="H2824" t="s">
        <v>662</v>
      </c>
      <c r="I2824" t="s">
        <v>2271</v>
      </c>
      <c r="J2824">
        <v>1067625</v>
      </c>
      <c r="K2824">
        <v>2025</v>
      </c>
      <c r="L2824">
        <v>1036686632</v>
      </c>
      <c r="M2824" t="s">
        <v>4365</v>
      </c>
      <c r="N2824" t="s">
        <v>1688</v>
      </c>
      <c r="O2824" t="s">
        <v>1686</v>
      </c>
      <c r="P2824">
        <v>0</v>
      </c>
      <c r="Q2824">
        <v>1067625</v>
      </c>
      <c r="R2824">
        <v>0</v>
      </c>
      <c r="S2824">
        <v>0</v>
      </c>
      <c r="T2824" t="str">
        <f t="shared" si="88"/>
        <v>25382.43.4302.85.0-205128.2.3.3.08.06.</v>
      </c>
      <c r="U2824" t="e" cm="1">
        <f t="array" aca="1" ref="U2824" ca="1">+IF(COMPROMISOS_2025[[#This Row],[P]]="20","41080111",_xlfn.XLOOKUP(COMPROMISOS_2025[[#This Row],[concatenado]],PAA[[#All],[RCP-RUBRO]],PAA[[#All],[INDICADOR]],"",0))</f>
        <v>#NAME?</v>
      </c>
      <c r="V2824" s="144" t="str">
        <f t="shared" si="89"/>
        <v>85</v>
      </c>
      <c r="W2824" s="136">
        <f>+COMPROMISOS_2025[[#This Row],[valor_total]]-COMPROMISOS_2025[[#This Row],[total_cancelado]]</f>
        <v>1067625</v>
      </c>
      <c r="X2824" s="136">
        <f>COMPROMISOS_2025[[#This Row],[total_ordenes]]</f>
        <v>1067625</v>
      </c>
      <c r="Y2824" t="str" cm="1">
        <f t="array" aca="1" ref="Y2824" ca="1">IFERROR(_xlfn.XLOOKUP(COMPROMISOS_2025[[#This Row],[concatenado]],PAA[[#All],[RCP-RUBRO]],PAA[[#All],[Actividad3]],VLOOKUP(COMPROMISOS_2025[[#This Row],[Indicador Principal]],$AC$2:$AD$17,2,0),0),"")</f>
        <v/>
      </c>
    </row>
    <row r="2825" spans="1:25" hidden="1" x14ac:dyDescent="0.25">
      <c r="A2825">
        <v>2539</v>
      </c>
      <c r="B2825" t="s">
        <v>2491</v>
      </c>
      <c r="C2825" t="s">
        <v>1936</v>
      </c>
      <c r="D2825" t="s">
        <v>3575</v>
      </c>
      <c r="F2825">
        <v>405</v>
      </c>
      <c r="G2825">
        <v>65</v>
      </c>
      <c r="H2825" t="s">
        <v>662</v>
      </c>
      <c r="I2825" t="s">
        <v>2271</v>
      </c>
      <c r="J2825">
        <v>711750</v>
      </c>
      <c r="K2825">
        <v>2025</v>
      </c>
      <c r="L2825">
        <v>1036688567</v>
      </c>
      <c r="M2825" t="s">
        <v>4366</v>
      </c>
      <c r="N2825" t="s">
        <v>1688</v>
      </c>
      <c r="O2825" t="s">
        <v>1686</v>
      </c>
      <c r="P2825">
        <v>0</v>
      </c>
      <c r="Q2825">
        <v>711750</v>
      </c>
      <c r="R2825">
        <v>0</v>
      </c>
      <c r="S2825">
        <v>0</v>
      </c>
      <c r="T2825" t="str">
        <f t="shared" si="88"/>
        <v>25392.43.4302.85.0-205128.2.3.3.08.06.</v>
      </c>
      <c r="U2825" t="e" cm="1">
        <f t="array" aca="1" ref="U2825" ca="1">+IF(COMPROMISOS_2025[[#This Row],[P]]="20","41080111",_xlfn.XLOOKUP(COMPROMISOS_2025[[#This Row],[concatenado]],PAA[[#All],[RCP-RUBRO]],PAA[[#All],[INDICADOR]],"",0))</f>
        <v>#NAME?</v>
      </c>
      <c r="V2825" s="144" t="str">
        <f t="shared" si="89"/>
        <v>85</v>
      </c>
      <c r="W2825" s="136">
        <f>+COMPROMISOS_2025[[#This Row],[valor_total]]-COMPROMISOS_2025[[#This Row],[total_cancelado]]</f>
        <v>711750</v>
      </c>
      <c r="X2825" s="136">
        <f>COMPROMISOS_2025[[#This Row],[total_ordenes]]</f>
        <v>711750</v>
      </c>
      <c r="Y2825" t="str" cm="1">
        <f t="array" aca="1" ref="Y2825" ca="1">IFERROR(_xlfn.XLOOKUP(COMPROMISOS_2025[[#This Row],[concatenado]],PAA[[#All],[RCP-RUBRO]],PAA[[#All],[Actividad3]],VLOOKUP(COMPROMISOS_2025[[#This Row],[Indicador Principal]],$AC$2:$AD$17,2,0),0),"")</f>
        <v/>
      </c>
    </row>
    <row r="2826" spans="1:25" hidden="1" x14ac:dyDescent="0.25">
      <c r="A2826">
        <v>2540</v>
      </c>
      <c r="B2826" t="s">
        <v>2491</v>
      </c>
      <c r="C2826" t="s">
        <v>1936</v>
      </c>
      <c r="D2826" t="s">
        <v>3575</v>
      </c>
      <c r="F2826">
        <v>405</v>
      </c>
      <c r="G2826">
        <v>65</v>
      </c>
      <c r="H2826" t="s">
        <v>662</v>
      </c>
      <c r="I2826" t="s">
        <v>2271</v>
      </c>
      <c r="J2826">
        <v>1067625</v>
      </c>
      <c r="K2826">
        <v>2025</v>
      </c>
      <c r="L2826">
        <v>1036778236</v>
      </c>
      <c r="M2826" t="s">
        <v>4367</v>
      </c>
      <c r="N2826" t="s">
        <v>1688</v>
      </c>
      <c r="O2826" t="s">
        <v>1686</v>
      </c>
      <c r="P2826">
        <v>0</v>
      </c>
      <c r="Q2826">
        <v>1067625</v>
      </c>
      <c r="R2826">
        <v>0</v>
      </c>
      <c r="S2826">
        <v>0</v>
      </c>
      <c r="T2826" t="str">
        <f t="shared" si="88"/>
        <v>25402.43.4302.85.0-205128.2.3.3.08.06.</v>
      </c>
      <c r="U2826" t="e" cm="1">
        <f t="array" aca="1" ref="U2826" ca="1">+IF(COMPROMISOS_2025[[#This Row],[P]]="20","41080111",_xlfn.XLOOKUP(COMPROMISOS_2025[[#This Row],[concatenado]],PAA[[#All],[RCP-RUBRO]],PAA[[#All],[INDICADOR]],"",0))</f>
        <v>#NAME?</v>
      </c>
      <c r="V2826" s="144" t="str">
        <f t="shared" si="89"/>
        <v>85</v>
      </c>
      <c r="W2826" s="136">
        <f>+COMPROMISOS_2025[[#This Row],[valor_total]]-COMPROMISOS_2025[[#This Row],[total_cancelado]]</f>
        <v>1067625</v>
      </c>
      <c r="X2826" s="136">
        <f>COMPROMISOS_2025[[#This Row],[total_ordenes]]</f>
        <v>1067625</v>
      </c>
      <c r="Y2826" t="str" cm="1">
        <f t="array" aca="1" ref="Y2826" ca="1">IFERROR(_xlfn.XLOOKUP(COMPROMISOS_2025[[#This Row],[concatenado]],PAA[[#All],[RCP-RUBRO]],PAA[[#All],[Actividad3]],VLOOKUP(COMPROMISOS_2025[[#This Row],[Indicador Principal]],$AC$2:$AD$17,2,0),0),"")</f>
        <v/>
      </c>
    </row>
    <row r="2827" spans="1:25" hidden="1" x14ac:dyDescent="0.25">
      <c r="A2827">
        <v>2543</v>
      </c>
      <c r="B2827" t="s">
        <v>2491</v>
      </c>
      <c r="C2827" t="s">
        <v>1936</v>
      </c>
      <c r="D2827" t="s">
        <v>3575</v>
      </c>
      <c r="F2827">
        <v>405</v>
      </c>
      <c r="G2827">
        <v>65</v>
      </c>
      <c r="H2827" t="s">
        <v>662</v>
      </c>
      <c r="I2827" t="s">
        <v>2271</v>
      </c>
      <c r="J2827">
        <v>2847000</v>
      </c>
      <c r="K2827">
        <v>2025</v>
      </c>
      <c r="L2827">
        <v>1036939815</v>
      </c>
      <c r="M2827" t="s">
        <v>3787</v>
      </c>
      <c r="N2827" t="s">
        <v>1688</v>
      </c>
      <c r="O2827" t="s">
        <v>1686</v>
      </c>
      <c r="P2827">
        <v>0</v>
      </c>
      <c r="Q2827">
        <v>2847000</v>
      </c>
      <c r="R2827">
        <v>0</v>
      </c>
      <c r="S2827">
        <v>0</v>
      </c>
      <c r="T2827" t="str">
        <f t="shared" si="88"/>
        <v>25432.43.4302.85.0-205128.2.3.3.08.06.</v>
      </c>
      <c r="U2827" t="e" cm="1">
        <f t="array" aca="1" ref="U2827" ca="1">+IF(COMPROMISOS_2025[[#This Row],[P]]="20","41080111",_xlfn.XLOOKUP(COMPROMISOS_2025[[#This Row],[concatenado]],PAA[[#All],[RCP-RUBRO]],PAA[[#All],[INDICADOR]],"",0))</f>
        <v>#NAME?</v>
      </c>
      <c r="V2827" s="144" t="str">
        <f t="shared" si="89"/>
        <v>85</v>
      </c>
      <c r="W2827" s="136">
        <f>+COMPROMISOS_2025[[#This Row],[valor_total]]-COMPROMISOS_2025[[#This Row],[total_cancelado]]</f>
        <v>2847000</v>
      </c>
      <c r="X2827" s="136">
        <f>COMPROMISOS_2025[[#This Row],[total_ordenes]]</f>
        <v>2847000</v>
      </c>
      <c r="Y2827" t="str" cm="1">
        <f t="array" aca="1" ref="Y2827" ca="1">IFERROR(_xlfn.XLOOKUP(COMPROMISOS_2025[[#This Row],[concatenado]],PAA[[#All],[RCP-RUBRO]],PAA[[#All],[Actividad3]],VLOOKUP(COMPROMISOS_2025[[#This Row],[Indicador Principal]],$AC$2:$AD$17,2,0),0),"")</f>
        <v/>
      </c>
    </row>
    <row r="2828" spans="1:25" hidden="1" x14ac:dyDescent="0.25">
      <c r="A2828">
        <v>2545</v>
      </c>
      <c r="B2828" t="s">
        <v>2491</v>
      </c>
      <c r="C2828" t="s">
        <v>1936</v>
      </c>
      <c r="D2828" t="s">
        <v>3575</v>
      </c>
      <c r="F2828">
        <v>405</v>
      </c>
      <c r="G2828">
        <v>65</v>
      </c>
      <c r="H2828" t="s">
        <v>662</v>
      </c>
      <c r="I2828" t="s">
        <v>2271</v>
      </c>
      <c r="J2828">
        <v>711750</v>
      </c>
      <c r="K2828">
        <v>2025</v>
      </c>
      <c r="L2828">
        <v>1036955838</v>
      </c>
      <c r="M2828" t="s">
        <v>4076</v>
      </c>
      <c r="N2828" t="s">
        <v>1688</v>
      </c>
      <c r="O2828" t="s">
        <v>1686</v>
      </c>
      <c r="P2828">
        <v>0</v>
      </c>
      <c r="Q2828">
        <v>711750</v>
      </c>
      <c r="R2828">
        <v>0</v>
      </c>
      <c r="S2828">
        <v>0</v>
      </c>
      <c r="T2828" t="str">
        <f t="shared" si="88"/>
        <v>25452.43.4302.85.0-205128.2.3.3.08.06.</v>
      </c>
      <c r="U2828" t="e" cm="1">
        <f t="array" aca="1" ref="U2828" ca="1">+IF(COMPROMISOS_2025[[#This Row],[P]]="20","41080111",_xlfn.XLOOKUP(COMPROMISOS_2025[[#This Row],[concatenado]],PAA[[#All],[RCP-RUBRO]],PAA[[#All],[INDICADOR]],"",0))</f>
        <v>#NAME?</v>
      </c>
      <c r="V2828" s="144" t="str">
        <f t="shared" si="89"/>
        <v>85</v>
      </c>
      <c r="W2828" s="136">
        <f>+COMPROMISOS_2025[[#This Row],[valor_total]]-COMPROMISOS_2025[[#This Row],[total_cancelado]]</f>
        <v>711750</v>
      </c>
      <c r="X2828" s="136">
        <f>COMPROMISOS_2025[[#This Row],[total_ordenes]]</f>
        <v>711750</v>
      </c>
      <c r="Y2828" t="str" cm="1">
        <f t="array" aca="1" ref="Y2828" ca="1">IFERROR(_xlfn.XLOOKUP(COMPROMISOS_2025[[#This Row],[concatenado]],PAA[[#All],[RCP-RUBRO]],PAA[[#All],[Actividad3]],VLOOKUP(COMPROMISOS_2025[[#This Row],[Indicador Principal]],$AC$2:$AD$17,2,0),0),"")</f>
        <v/>
      </c>
    </row>
    <row r="2829" spans="1:25" hidden="1" x14ac:dyDescent="0.25">
      <c r="A2829">
        <v>2546</v>
      </c>
      <c r="B2829" t="s">
        <v>2491</v>
      </c>
      <c r="C2829" t="s">
        <v>1936</v>
      </c>
      <c r="D2829" t="s">
        <v>3575</v>
      </c>
      <c r="F2829">
        <v>405</v>
      </c>
      <c r="G2829">
        <v>65</v>
      </c>
      <c r="H2829" t="s">
        <v>662</v>
      </c>
      <c r="I2829" t="s">
        <v>2271</v>
      </c>
      <c r="J2829">
        <v>1423500</v>
      </c>
      <c r="K2829">
        <v>2025</v>
      </c>
      <c r="L2829">
        <v>1036960412</v>
      </c>
      <c r="M2829" t="s">
        <v>4077</v>
      </c>
      <c r="N2829" t="s">
        <v>1688</v>
      </c>
      <c r="O2829" t="s">
        <v>1686</v>
      </c>
      <c r="P2829">
        <v>0</v>
      </c>
      <c r="Q2829">
        <v>1423500</v>
      </c>
      <c r="R2829">
        <v>0</v>
      </c>
      <c r="S2829">
        <v>0</v>
      </c>
      <c r="T2829" t="str">
        <f t="shared" si="88"/>
        <v>25462.43.4302.85.0-205128.2.3.3.08.06.</v>
      </c>
      <c r="U2829" t="e" cm="1">
        <f t="array" aca="1" ref="U2829" ca="1">+IF(COMPROMISOS_2025[[#This Row],[P]]="20","41080111",_xlfn.XLOOKUP(COMPROMISOS_2025[[#This Row],[concatenado]],PAA[[#All],[RCP-RUBRO]],PAA[[#All],[INDICADOR]],"",0))</f>
        <v>#NAME?</v>
      </c>
      <c r="V2829" s="144" t="str">
        <f t="shared" si="89"/>
        <v>85</v>
      </c>
      <c r="W2829" s="136">
        <f>+COMPROMISOS_2025[[#This Row],[valor_total]]-COMPROMISOS_2025[[#This Row],[total_cancelado]]</f>
        <v>1423500</v>
      </c>
      <c r="X2829" s="136">
        <f>COMPROMISOS_2025[[#This Row],[total_ordenes]]</f>
        <v>1423500</v>
      </c>
      <c r="Y2829" t="str" cm="1">
        <f t="array" aca="1" ref="Y2829" ca="1">IFERROR(_xlfn.XLOOKUP(COMPROMISOS_2025[[#This Row],[concatenado]],PAA[[#All],[RCP-RUBRO]],PAA[[#All],[Actividad3]],VLOOKUP(COMPROMISOS_2025[[#This Row],[Indicador Principal]],$AC$2:$AD$17,2,0),0),"")</f>
        <v/>
      </c>
    </row>
    <row r="2830" spans="1:25" hidden="1" x14ac:dyDescent="0.25">
      <c r="A2830">
        <v>2548</v>
      </c>
      <c r="B2830" t="s">
        <v>2491</v>
      </c>
      <c r="C2830" t="s">
        <v>1936</v>
      </c>
      <c r="D2830" t="s">
        <v>3575</v>
      </c>
      <c r="F2830">
        <v>405</v>
      </c>
      <c r="G2830">
        <v>65</v>
      </c>
      <c r="H2830" t="s">
        <v>662</v>
      </c>
      <c r="I2830" t="s">
        <v>2271</v>
      </c>
      <c r="J2830">
        <v>2847000</v>
      </c>
      <c r="K2830">
        <v>2025</v>
      </c>
      <c r="L2830">
        <v>1036961818</v>
      </c>
      <c r="M2830" t="s">
        <v>4369</v>
      </c>
      <c r="N2830" t="s">
        <v>1688</v>
      </c>
      <c r="O2830" t="s">
        <v>1686</v>
      </c>
      <c r="P2830">
        <v>0</v>
      </c>
      <c r="Q2830">
        <v>2847000</v>
      </c>
      <c r="R2830">
        <v>0</v>
      </c>
      <c r="S2830">
        <v>0</v>
      </c>
      <c r="T2830" t="str">
        <f t="shared" si="88"/>
        <v>25482.43.4302.85.0-205128.2.3.3.08.06.</v>
      </c>
      <c r="U2830" t="e" cm="1">
        <f t="array" aca="1" ref="U2830" ca="1">+IF(COMPROMISOS_2025[[#This Row],[P]]="20","41080111",_xlfn.XLOOKUP(COMPROMISOS_2025[[#This Row],[concatenado]],PAA[[#All],[RCP-RUBRO]],PAA[[#All],[INDICADOR]],"",0))</f>
        <v>#NAME?</v>
      </c>
      <c r="V2830" s="144" t="str">
        <f t="shared" si="89"/>
        <v>85</v>
      </c>
      <c r="W2830" s="136">
        <f>+COMPROMISOS_2025[[#This Row],[valor_total]]-COMPROMISOS_2025[[#This Row],[total_cancelado]]</f>
        <v>2847000</v>
      </c>
      <c r="X2830" s="136">
        <f>COMPROMISOS_2025[[#This Row],[total_ordenes]]</f>
        <v>2847000</v>
      </c>
      <c r="Y2830" t="str" cm="1">
        <f t="array" aca="1" ref="Y2830" ca="1">IFERROR(_xlfn.XLOOKUP(COMPROMISOS_2025[[#This Row],[concatenado]],PAA[[#All],[RCP-RUBRO]],PAA[[#All],[Actividad3]],VLOOKUP(COMPROMISOS_2025[[#This Row],[Indicador Principal]],$AC$2:$AD$17,2,0),0),"")</f>
        <v/>
      </c>
    </row>
    <row r="2831" spans="1:25" hidden="1" x14ac:dyDescent="0.25">
      <c r="A2831">
        <v>2549</v>
      </c>
      <c r="B2831" t="s">
        <v>2491</v>
      </c>
      <c r="C2831" t="s">
        <v>1936</v>
      </c>
      <c r="D2831" t="s">
        <v>3575</v>
      </c>
      <c r="F2831">
        <v>405</v>
      </c>
      <c r="G2831">
        <v>65</v>
      </c>
      <c r="H2831" t="s">
        <v>662</v>
      </c>
      <c r="I2831" t="s">
        <v>2271</v>
      </c>
      <c r="J2831">
        <v>1423500</v>
      </c>
      <c r="K2831">
        <v>2025</v>
      </c>
      <c r="L2831">
        <v>1037119329</v>
      </c>
      <c r="M2831" t="s">
        <v>4370</v>
      </c>
      <c r="N2831" t="s">
        <v>1688</v>
      </c>
      <c r="O2831" t="s">
        <v>1686</v>
      </c>
      <c r="P2831">
        <v>0</v>
      </c>
      <c r="Q2831">
        <v>1423500</v>
      </c>
      <c r="R2831">
        <v>0</v>
      </c>
      <c r="S2831">
        <v>0</v>
      </c>
      <c r="T2831" t="str">
        <f t="shared" si="88"/>
        <v>25492.43.4302.85.0-205128.2.3.3.08.06.</v>
      </c>
      <c r="U2831" t="e" cm="1">
        <f t="array" aca="1" ref="U2831" ca="1">+IF(COMPROMISOS_2025[[#This Row],[P]]="20","41080111",_xlfn.XLOOKUP(COMPROMISOS_2025[[#This Row],[concatenado]],PAA[[#All],[RCP-RUBRO]],PAA[[#All],[INDICADOR]],"",0))</f>
        <v>#NAME?</v>
      </c>
      <c r="V2831" s="144" t="str">
        <f t="shared" si="89"/>
        <v>85</v>
      </c>
      <c r="W2831" s="136">
        <f>+COMPROMISOS_2025[[#This Row],[valor_total]]-COMPROMISOS_2025[[#This Row],[total_cancelado]]</f>
        <v>1423500</v>
      </c>
      <c r="X2831" s="136">
        <f>COMPROMISOS_2025[[#This Row],[total_ordenes]]</f>
        <v>1423500</v>
      </c>
      <c r="Y2831" t="str" cm="1">
        <f t="array" aca="1" ref="Y2831" ca="1">IFERROR(_xlfn.XLOOKUP(COMPROMISOS_2025[[#This Row],[concatenado]],PAA[[#All],[RCP-RUBRO]],PAA[[#All],[Actividad3]],VLOOKUP(COMPROMISOS_2025[[#This Row],[Indicador Principal]],$AC$2:$AD$17,2,0),0),"")</f>
        <v/>
      </c>
    </row>
    <row r="2832" spans="1:25" hidden="1" x14ac:dyDescent="0.25">
      <c r="A2832">
        <v>2550</v>
      </c>
      <c r="B2832" t="s">
        <v>2491</v>
      </c>
      <c r="C2832" t="s">
        <v>1936</v>
      </c>
      <c r="D2832" t="s">
        <v>3575</v>
      </c>
      <c r="F2832">
        <v>405</v>
      </c>
      <c r="G2832">
        <v>65</v>
      </c>
      <c r="H2832" t="s">
        <v>662</v>
      </c>
      <c r="I2832" t="s">
        <v>2271</v>
      </c>
      <c r="J2832">
        <v>1067625</v>
      </c>
      <c r="K2832">
        <v>2025</v>
      </c>
      <c r="L2832">
        <v>1037121565</v>
      </c>
      <c r="M2832" t="s">
        <v>4079</v>
      </c>
      <c r="N2832" t="s">
        <v>1688</v>
      </c>
      <c r="O2832" t="s">
        <v>1686</v>
      </c>
      <c r="P2832">
        <v>0</v>
      </c>
      <c r="Q2832">
        <v>1067625</v>
      </c>
      <c r="R2832">
        <v>0</v>
      </c>
      <c r="S2832">
        <v>0</v>
      </c>
      <c r="T2832" t="str">
        <f t="shared" si="88"/>
        <v>25502.43.4302.85.0-205128.2.3.3.08.06.</v>
      </c>
      <c r="U2832" t="e" cm="1">
        <f t="array" aca="1" ref="U2832" ca="1">+IF(COMPROMISOS_2025[[#This Row],[P]]="20","41080111",_xlfn.XLOOKUP(COMPROMISOS_2025[[#This Row],[concatenado]],PAA[[#All],[RCP-RUBRO]],PAA[[#All],[INDICADOR]],"",0))</f>
        <v>#NAME?</v>
      </c>
      <c r="V2832" s="144" t="str">
        <f t="shared" si="89"/>
        <v>85</v>
      </c>
      <c r="W2832" s="136">
        <f>+COMPROMISOS_2025[[#This Row],[valor_total]]-COMPROMISOS_2025[[#This Row],[total_cancelado]]</f>
        <v>1067625</v>
      </c>
      <c r="X2832" s="136">
        <f>COMPROMISOS_2025[[#This Row],[total_ordenes]]</f>
        <v>1067625</v>
      </c>
      <c r="Y2832" t="str" cm="1">
        <f t="array" aca="1" ref="Y2832" ca="1">IFERROR(_xlfn.XLOOKUP(COMPROMISOS_2025[[#This Row],[concatenado]],PAA[[#All],[RCP-RUBRO]],PAA[[#All],[Actividad3]],VLOOKUP(COMPROMISOS_2025[[#This Row],[Indicador Principal]],$AC$2:$AD$17,2,0),0),"")</f>
        <v/>
      </c>
    </row>
    <row r="2833" spans="1:25" hidden="1" x14ac:dyDescent="0.25">
      <c r="A2833">
        <v>2554</v>
      </c>
      <c r="B2833" t="s">
        <v>2491</v>
      </c>
      <c r="C2833" t="s">
        <v>1936</v>
      </c>
      <c r="D2833" t="s">
        <v>3575</v>
      </c>
      <c r="F2833">
        <v>405</v>
      </c>
      <c r="G2833">
        <v>65</v>
      </c>
      <c r="H2833" t="s">
        <v>662</v>
      </c>
      <c r="I2833" t="s">
        <v>2271</v>
      </c>
      <c r="J2833">
        <v>1423500</v>
      </c>
      <c r="K2833">
        <v>2025</v>
      </c>
      <c r="L2833">
        <v>1037238390</v>
      </c>
      <c r="M2833" t="s">
        <v>3793</v>
      </c>
      <c r="N2833" t="s">
        <v>1688</v>
      </c>
      <c r="O2833" t="s">
        <v>1686</v>
      </c>
      <c r="P2833">
        <v>0</v>
      </c>
      <c r="Q2833">
        <v>1423500</v>
      </c>
      <c r="R2833">
        <v>0</v>
      </c>
      <c r="S2833">
        <v>0</v>
      </c>
      <c r="T2833" t="str">
        <f t="shared" si="88"/>
        <v>25542.43.4302.85.0-205128.2.3.3.08.06.</v>
      </c>
      <c r="U2833" t="e" cm="1">
        <f t="array" aca="1" ref="U2833" ca="1">+IF(COMPROMISOS_2025[[#This Row],[P]]="20","41080111",_xlfn.XLOOKUP(COMPROMISOS_2025[[#This Row],[concatenado]],PAA[[#All],[RCP-RUBRO]],PAA[[#All],[INDICADOR]],"",0))</f>
        <v>#NAME?</v>
      </c>
      <c r="V2833" s="144" t="str">
        <f t="shared" si="89"/>
        <v>85</v>
      </c>
      <c r="W2833" s="136">
        <f>+COMPROMISOS_2025[[#This Row],[valor_total]]-COMPROMISOS_2025[[#This Row],[total_cancelado]]</f>
        <v>1423500</v>
      </c>
      <c r="X2833" s="136">
        <f>COMPROMISOS_2025[[#This Row],[total_ordenes]]</f>
        <v>1423500</v>
      </c>
      <c r="Y2833" t="str" cm="1">
        <f t="array" aca="1" ref="Y2833" ca="1">IFERROR(_xlfn.XLOOKUP(COMPROMISOS_2025[[#This Row],[concatenado]],PAA[[#All],[RCP-RUBRO]],PAA[[#All],[Actividad3]],VLOOKUP(COMPROMISOS_2025[[#This Row],[Indicador Principal]],$AC$2:$AD$17,2,0),0),"")</f>
        <v/>
      </c>
    </row>
    <row r="2834" spans="1:25" hidden="1" x14ac:dyDescent="0.25">
      <c r="A2834">
        <v>2555</v>
      </c>
      <c r="B2834" t="s">
        <v>2491</v>
      </c>
      <c r="C2834" t="s">
        <v>1936</v>
      </c>
      <c r="D2834" t="s">
        <v>3575</v>
      </c>
      <c r="F2834">
        <v>405</v>
      </c>
      <c r="G2834">
        <v>65</v>
      </c>
      <c r="H2834" t="s">
        <v>662</v>
      </c>
      <c r="I2834" t="s">
        <v>2271</v>
      </c>
      <c r="J2834">
        <v>1067625</v>
      </c>
      <c r="K2834">
        <v>2025</v>
      </c>
      <c r="L2834">
        <v>1037469368</v>
      </c>
      <c r="M2834" t="s">
        <v>3794</v>
      </c>
      <c r="N2834" t="s">
        <v>1688</v>
      </c>
      <c r="O2834" t="s">
        <v>1686</v>
      </c>
      <c r="P2834">
        <v>0</v>
      </c>
      <c r="Q2834">
        <v>1067625</v>
      </c>
      <c r="R2834">
        <v>0</v>
      </c>
      <c r="S2834">
        <v>0</v>
      </c>
      <c r="T2834" t="str">
        <f t="shared" si="88"/>
        <v>25552.43.4302.85.0-205128.2.3.3.08.06.</v>
      </c>
      <c r="U2834" t="e" cm="1">
        <f t="array" aca="1" ref="U2834" ca="1">+IF(COMPROMISOS_2025[[#This Row],[P]]="20","41080111",_xlfn.XLOOKUP(COMPROMISOS_2025[[#This Row],[concatenado]],PAA[[#All],[RCP-RUBRO]],PAA[[#All],[INDICADOR]],"",0))</f>
        <v>#NAME?</v>
      </c>
      <c r="V2834" s="144" t="str">
        <f t="shared" si="89"/>
        <v>85</v>
      </c>
      <c r="W2834" s="136">
        <f>+COMPROMISOS_2025[[#This Row],[valor_total]]-COMPROMISOS_2025[[#This Row],[total_cancelado]]</f>
        <v>1067625</v>
      </c>
      <c r="X2834" s="136">
        <f>COMPROMISOS_2025[[#This Row],[total_ordenes]]</f>
        <v>1067625</v>
      </c>
      <c r="Y2834" t="str" cm="1">
        <f t="array" aca="1" ref="Y2834" ca="1">IFERROR(_xlfn.XLOOKUP(COMPROMISOS_2025[[#This Row],[concatenado]],PAA[[#All],[RCP-RUBRO]],PAA[[#All],[Actividad3]],VLOOKUP(COMPROMISOS_2025[[#This Row],[Indicador Principal]],$AC$2:$AD$17,2,0),0),"")</f>
        <v/>
      </c>
    </row>
    <row r="2835" spans="1:25" hidden="1" x14ac:dyDescent="0.25">
      <c r="A2835">
        <v>2558</v>
      </c>
      <c r="B2835" t="s">
        <v>2491</v>
      </c>
      <c r="C2835" t="s">
        <v>1936</v>
      </c>
      <c r="D2835" t="s">
        <v>3575</v>
      </c>
      <c r="F2835">
        <v>405</v>
      </c>
      <c r="G2835">
        <v>65</v>
      </c>
      <c r="H2835" t="s">
        <v>662</v>
      </c>
      <c r="I2835" t="s">
        <v>2271</v>
      </c>
      <c r="J2835">
        <v>2847000</v>
      </c>
      <c r="K2835">
        <v>2025</v>
      </c>
      <c r="L2835">
        <v>1037603014</v>
      </c>
      <c r="M2835" t="s">
        <v>4371</v>
      </c>
      <c r="N2835" t="s">
        <v>1688</v>
      </c>
      <c r="O2835" t="s">
        <v>1686</v>
      </c>
      <c r="P2835">
        <v>0</v>
      </c>
      <c r="Q2835">
        <v>2847000</v>
      </c>
      <c r="R2835">
        <v>0</v>
      </c>
      <c r="S2835">
        <v>0</v>
      </c>
      <c r="T2835" t="str">
        <f t="shared" si="88"/>
        <v>25582.43.4302.85.0-205128.2.3.3.08.06.</v>
      </c>
      <c r="U2835" t="e" cm="1">
        <f t="array" aca="1" ref="U2835" ca="1">+IF(COMPROMISOS_2025[[#This Row],[P]]="20","41080111",_xlfn.XLOOKUP(COMPROMISOS_2025[[#This Row],[concatenado]],PAA[[#All],[RCP-RUBRO]],PAA[[#All],[INDICADOR]],"",0))</f>
        <v>#NAME?</v>
      </c>
      <c r="V2835" s="144" t="str">
        <f t="shared" si="89"/>
        <v>85</v>
      </c>
      <c r="W2835" s="136">
        <f>+COMPROMISOS_2025[[#This Row],[valor_total]]-COMPROMISOS_2025[[#This Row],[total_cancelado]]</f>
        <v>2847000</v>
      </c>
      <c r="X2835" s="136">
        <f>COMPROMISOS_2025[[#This Row],[total_ordenes]]</f>
        <v>2847000</v>
      </c>
      <c r="Y2835" t="str" cm="1">
        <f t="array" aca="1" ref="Y2835" ca="1">IFERROR(_xlfn.XLOOKUP(COMPROMISOS_2025[[#This Row],[concatenado]],PAA[[#All],[RCP-RUBRO]],PAA[[#All],[Actividad3]],VLOOKUP(COMPROMISOS_2025[[#This Row],[Indicador Principal]],$AC$2:$AD$17,2,0),0),"")</f>
        <v/>
      </c>
    </row>
    <row r="2836" spans="1:25" hidden="1" x14ac:dyDescent="0.25">
      <c r="A2836">
        <v>2559</v>
      </c>
      <c r="B2836" t="s">
        <v>2491</v>
      </c>
      <c r="C2836" t="s">
        <v>1936</v>
      </c>
      <c r="D2836" t="s">
        <v>3575</v>
      </c>
      <c r="F2836">
        <v>405</v>
      </c>
      <c r="G2836">
        <v>65</v>
      </c>
      <c r="H2836" t="s">
        <v>662</v>
      </c>
      <c r="I2836" t="s">
        <v>2271</v>
      </c>
      <c r="J2836">
        <v>2847000</v>
      </c>
      <c r="K2836">
        <v>2025</v>
      </c>
      <c r="L2836">
        <v>1037606904</v>
      </c>
      <c r="M2836" t="s">
        <v>4372</v>
      </c>
      <c r="N2836" t="s">
        <v>1688</v>
      </c>
      <c r="O2836" t="s">
        <v>1686</v>
      </c>
      <c r="P2836">
        <v>0</v>
      </c>
      <c r="Q2836">
        <v>2847000</v>
      </c>
      <c r="R2836">
        <v>0</v>
      </c>
      <c r="S2836">
        <v>0</v>
      </c>
      <c r="T2836" t="str">
        <f t="shared" si="88"/>
        <v>25592.43.4302.85.0-205128.2.3.3.08.06.</v>
      </c>
      <c r="U2836" t="e" cm="1">
        <f t="array" aca="1" ref="U2836" ca="1">+IF(COMPROMISOS_2025[[#This Row],[P]]="20","41080111",_xlfn.XLOOKUP(COMPROMISOS_2025[[#This Row],[concatenado]],PAA[[#All],[RCP-RUBRO]],PAA[[#All],[INDICADOR]],"",0))</f>
        <v>#NAME?</v>
      </c>
      <c r="V2836" s="144" t="str">
        <f t="shared" si="89"/>
        <v>85</v>
      </c>
      <c r="W2836" s="136">
        <f>+COMPROMISOS_2025[[#This Row],[valor_total]]-COMPROMISOS_2025[[#This Row],[total_cancelado]]</f>
        <v>2847000</v>
      </c>
      <c r="X2836" s="136">
        <f>COMPROMISOS_2025[[#This Row],[total_ordenes]]</f>
        <v>2847000</v>
      </c>
      <c r="Y2836" t="str" cm="1">
        <f t="array" aca="1" ref="Y2836" ca="1">IFERROR(_xlfn.XLOOKUP(COMPROMISOS_2025[[#This Row],[concatenado]],PAA[[#All],[RCP-RUBRO]],PAA[[#All],[Actividad3]],VLOOKUP(COMPROMISOS_2025[[#This Row],[Indicador Principal]],$AC$2:$AD$17,2,0),0),"")</f>
        <v/>
      </c>
    </row>
    <row r="2837" spans="1:25" hidden="1" x14ac:dyDescent="0.25">
      <c r="A2837">
        <v>2561</v>
      </c>
      <c r="B2837" t="s">
        <v>2491</v>
      </c>
      <c r="C2837" t="s">
        <v>1936</v>
      </c>
      <c r="D2837" t="s">
        <v>3575</v>
      </c>
      <c r="F2837">
        <v>405</v>
      </c>
      <c r="G2837">
        <v>65</v>
      </c>
      <c r="H2837" t="s">
        <v>662</v>
      </c>
      <c r="I2837" t="s">
        <v>2271</v>
      </c>
      <c r="J2837">
        <v>1423500</v>
      </c>
      <c r="K2837">
        <v>2025</v>
      </c>
      <c r="L2837">
        <v>10376172137</v>
      </c>
      <c r="M2837" t="s">
        <v>3410</v>
      </c>
      <c r="N2837" t="s">
        <v>1688</v>
      </c>
      <c r="O2837" t="s">
        <v>1686</v>
      </c>
      <c r="P2837">
        <v>0</v>
      </c>
      <c r="Q2837">
        <v>1423500</v>
      </c>
      <c r="R2837">
        <v>0</v>
      </c>
      <c r="S2837">
        <v>0</v>
      </c>
      <c r="T2837" t="str">
        <f t="shared" si="88"/>
        <v>25612.43.4302.85.0-205128.2.3.3.08.06.</v>
      </c>
      <c r="U2837" t="e" cm="1">
        <f t="array" aca="1" ref="U2837" ca="1">+IF(COMPROMISOS_2025[[#This Row],[P]]="20","41080111",_xlfn.XLOOKUP(COMPROMISOS_2025[[#This Row],[concatenado]],PAA[[#All],[RCP-RUBRO]],PAA[[#All],[INDICADOR]],"",0))</f>
        <v>#NAME?</v>
      </c>
      <c r="V2837" s="144" t="str">
        <f t="shared" si="89"/>
        <v>85</v>
      </c>
      <c r="W2837" s="136">
        <f>+COMPROMISOS_2025[[#This Row],[valor_total]]-COMPROMISOS_2025[[#This Row],[total_cancelado]]</f>
        <v>1423500</v>
      </c>
      <c r="X2837" s="136">
        <f>COMPROMISOS_2025[[#This Row],[total_ordenes]]</f>
        <v>1423500</v>
      </c>
      <c r="Y2837" t="str" cm="1">
        <f t="array" aca="1" ref="Y2837" ca="1">IFERROR(_xlfn.XLOOKUP(COMPROMISOS_2025[[#This Row],[concatenado]],PAA[[#All],[RCP-RUBRO]],PAA[[#All],[Actividad3]],VLOOKUP(COMPROMISOS_2025[[#This Row],[Indicador Principal]],$AC$2:$AD$17,2,0),0),"")</f>
        <v/>
      </c>
    </row>
    <row r="2838" spans="1:25" hidden="1" x14ac:dyDescent="0.25">
      <c r="A2838">
        <v>2563</v>
      </c>
      <c r="B2838" t="s">
        <v>2491</v>
      </c>
      <c r="C2838" t="s">
        <v>1936</v>
      </c>
      <c r="D2838" t="s">
        <v>3575</v>
      </c>
      <c r="F2838">
        <v>405</v>
      </c>
      <c r="G2838">
        <v>65</v>
      </c>
      <c r="H2838" t="s">
        <v>662</v>
      </c>
      <c r="I2838" t="s">
        <v>2271</v>
      </c>
      <c r="J2838">
        <v>1423500</v>
      </c>
      <c r="K2838">
        <v>2025</v>
      </c>
      <c r="L2838">
        <v>1037626311</v>
      </c>
      <c r="M2838" t="s">
        <v>4373</v>
      </c>
      <c r="N2838" t="s">
        <v>1688</v>
      </c>
      <c r="O2838" t="s">
        <v>1686</v>
      </c>
      <c r="P2838">
        <v>0</v>
      </c>
      <c r="Q2838">
        <v>1423500</v>
      </c>
      <c r="R2838">
        <v>0</v>
      </c>
      <c r="S2838">
        <v>0</v>
      </c>
      <c r="T2838" t="str">
        <f t="shared" si="88"/>
        <v>25632.43.4302.85.0-205128.2.3.3.08.06.</v>
      </c>
      <c r="U2838" t="e" cm="1">
        <f t="array" aca="1" ref="U2838" ca="1">+IF(COMPROMISOS_2025[[#This Row],[P]]="20","41080111",_xlfn.XLOOKUP(COMPROMISOS_2025[[#This Row],[concatenado]],PAA[[#All],[RCP-RUBRO]],PAA[[#All],[INDICADOR]],"",0))</f>
        <v>#NAME?</v>
      </c>
      <c r="V2838" s="144" t="str">
        <f t="shared" si="89"/>
        <v>85</v>
      </c>
      <c r="W2838" s="136">
        <f>+COMPROMISOS_2025[[#This Row],[valor_total]]-COMPROMISOS_2025[[#This Row],[total_cancelado]]</f>
        <v>1423500</v>
      </c>
      <c r="X2838" s="136">
        <f>COMPROMISOS_2025[[#This Row],[total_ordenes]]</f>
        <v>1423500</v>
      </c>
      <c r="Y2838" t="str" cm="1">
        <f t="array" aca="1" ref="Y2838" ca="1">IFERROR(_xlfn.XLOOKUP(COMPROMISOS_2025[[#This Row],[concatenado]],PAA[[#All],[RCP-RUBRO]],PAA[[#All],[Actividad3]],VLOOKUP(COMPROMISOS_2025[[#This Row],[Indicador Principal]],$AC$2:$AD$17,2,0),0),"")</f>
        <v/>
      </c>
    </row>
    <row r="2839" spans="1:25" hidden="1" x14ac:dyDescent="0.25">
      <c r="A2839">
        <v>2564</v>
      </c>
      <c r="B2839" t="s">
        <v>2491</v>
      </c>
      <c r="C2839" t="s">
        <v>1936</v>
      </c>
      <c r="D2839" t="s">
        <v>3575</v>
      </c>
      <c r="F2839">
        <v>405</v>
      </c>
      <c r="G2839">
        <v>65</v>
      </c>
      <c r="H2839" t="s">
        <v>662</v>
      </c>
      <c r="I2839" t="s">
        <v>2271</v>
      </c>
      <c r="J2839">
        <v>4270500</v>
      </c>
      <c r="K2839">
        <v>2025</v>
      </c>
      <c r="L2839">
        <v>1037630984</v>
      </c>
      <c r="M2839" t="s">
        <v>4082</v>
      </c>
      <c r="N2839" t="s">
        <v>1688</v>
      </c>
      <c r="O2839" t="s">
        <v>1686</v>
      </c>
      <c r="P2839">
        <v>0</v>
      </c>
      <c r="Q2839">
        <v>4270500</v>
      </c>
      <c r="R2839">
        <v>0</v>
      </c>
      <c r="S2839">
        <v>0</v>
      </c>
      <c r="T2839" t="str">
        <f t="shared" si="88"/>
        <v>25642.43.4302.85.0-205128.2.3.3.08.06.</v>
      </c>
      <c r="U2839" t="e" cm="1">
        <f t="array" aca="1" ref="U2839" ca="1">+IF(COMPROMISOS_2025[[#This Row],[P]]="20","41080111",_xlfn.XLOOKUP(COMPROMISOS_2025[[#This Row],[concatenado]],PAA[[#All],[RCP-RUBRO]],PAA[[#All],[INDICADOR]],"",0))</f>
        <v>#NAME?</v>
      </c>
      <c r="V2839" s="144" t="str">
        <f t="shared" si="89"/>
        <v>85</v>
      </c>
      <c r="W2839" s="136">
        <f>+COMPROMISOS_2025[[#This Row],[valor_total]]-COMPROMISOS_2025[[#This Row],[total_cancelado]]</f>
        <v>4270500</v>
      </c>
      <c r="X2839" s="136">
        <f>COMPROMISOS_2025[[#This Row],[total_ordenes]]</f>
        <v>4270500</v>
      </c>
      <c r="Y2839" t="str" cm="1">
        <f t="array" aca="1" ref="Y2839" ca="1">IFERROR(_xlfn.XLOOKUP(COMPROMISOS_2025[[#This Row],[concatenado]],PAA[[#All],[RCP-RUBRO]],PAA[[#All],[Actividad3]],VLOOKUP(COMPROMISOS_2025[[#This Row],[Indicador Principal]],$AC$2:$AD$17,2,0),0),"")</f>
        <v/>
      </c>
    </row>
    <row r="2840" spans="1:25" hidden="1" x14ac:dyDescent="0.25">
      <c r="A2840">
        <v>2565</v>
      </c>
      <c r="B2840" t="s">
        <v>2491</v>
      </c>
      <c r="C2840" t="s">
        <v>1936</v>
      </c>
      <c r="D2840" t="s">
        <v>3575</v>
      </c>
      <c r="F2840">
        <v>405</v>
      </c>
      <c r="G2840">
        <v>65</v>
      </c>
      <c r="H2840" t="s">
        <v>662</v>
      </c>
      <c r="I2840" t="s">
        <v>2271</v>
      </c>
      <c r="J2840">
        <v>1423500</v>
      </c>
      <c r="K2840">
        <v>2025</v>
      </c>
      <c r="L2840">
        <v>1037632903</v>
      </c>
      <c r="M2840" t="s">
        <v>4374</v>
      </c>
      <c r="N2840" t="s">
        <v>1688</v>
      </c>
      <c r="O2840" t="s">
        <v>1686</v>
      </c>
      <c r="P2840">
        <v>0</v>
      </c>
      <c r="Q2840">
        <v>1423500</v>
      </c>
      <c r="R2840">
        <v>0</v>
      </c>
      <c r="S2840">
        <v>0</v>
      </c>
      <c r="T2840" t="str">
        <f t="shared" si="88"/>
        <v>25652.43.4302.85.0-205128.2.3.3.08.06.</v>
      </c>
      <c r="U2840" t="e" cm="1">
        <f t="array" aca="1" ref="U2840" ca="1">+IF(COMPROMISOS_2025[[#This Row],[P]]="20","41080111",_xlfn.XLOOKUP(COMPROMISOS_2025[[#This Row],[concatenado]],PAA[[#All],[RCP-RUBRO]],PAA[[#All],[INDICADOR]],"",0))</f>
        <v>#NAME?</v>
      </c>
      <c r="V2840" s="144" t="str">
        <f t="shared" si="89"/>
        <v>85</v>
      </c>
      <c r="W2840" s="136">
        <f>+COMPROMISOS_2025[[#This Row],[valor_total]]-COMPROMISOS_2025[[#This Row],[total_cancelado]]</f>
        <v>1423500</v>
      </c>
      <c r="X2840" s="136">
        <f>COMPROMISOS_2025[[#This Row],[total_ordenes]]</f>
        <v>1423500</v>
      </c>
      <c r="Y2840" t="str" cm="1">
        <f t="array" aca="1" ref="Y2840" ca="1">IFERROR(_xlfn.XLOOKUP(COMPROMISOS_2025[[#This Row],[concatenado]],PAA[[#All],[RCP-RUBRO]],PAA[[#All],[Actividad3]],VLOOKUP(COMPROMISOS_2025[[#This Row],[Indicador Principal]],$AC$2:$AD$17,2,0),0),"")</f>
        <v/>
      </c>
    </row>
    <row r="2841" spans="1:25" hidden="1" x14ac:dyDescent="0.25">
      <c r="A2841">
        <v>2566</v>
      </c>
      <c r="B2841" t="s">
        <v>2491</v>
      </c>
      <c r="C2841" t="s">
        <v>1936</v>
      </c>
      <c r="D2841" t="s">
        <v>3575</v>
      </c>
      <c r="F2841">
        <v>405</v>
      </c>
      <c r="G2841">
        <v>65</v>
      </c>
      <c r="H2841" t="s">
        <v>662</v>
      </c>
      <c r="I2841" t="s">
        <v>2271</v>
      </c>
      <c r="J2841">
        <v>1423500</v>
      </c>
      <c r="K2841">
        <v>2025</v>
      </c>
      <c r="L2841">
        <v>1037635055</v>
      </c>
      <c r="M2841" t="s">
        <v>4375</v>
      </c>
      <c r="N2841" t="s">
        <v>1688</v>
      </c>
      <c r="O2841" t="s">
        <v>1686</v>
      </c>
      <c r="P2841">
        <v>0</v>
      </c>
      <c r="Q2841">
        <v>1423500</v>
      </c>
      <c r="R2841">
        <v>0</v>
      </c>
      <c r="S2841">
        <v>0</v>
      </c>
      <c r="T2841" t="str">
        <f t="shared" si="88"/>
        <v>25662.43.4302.85.0-205128.2.3.3.08.06.</v>
      </c>
      <c r="U2841" t="e" cm="1">
        <f t="array" aca="1" ref="U2841" ca="1">+IF(COMPROMISOS_2025[[#This Row],[P]]="20","41080111",_xlfn.XLOOKUP(COMPROMISOS_2025[[#This Row],[concatenado]],PAA[[#All],[RCP-RUBRO]],PAA[[#All],[INDICADOR]],"",0))</f>
        <v>#NAME?</v>
      </c>
      <c r="V2841" s="144" t="str">
        <f t="shared" si="89"/>
        <v>85</v>
      </c>
      <c r="W2841" s="136">
        <f>+COMPROMISOS_2025[[#This Row],[valor_total]]-COMPROMISOS_2025[[#This Row],[total_cancelado]]</f>
        <v>1423500</v>
      </c>
      <c r="X2841" s="136">
        <f>COMPROMISOS_2025[[#This Row],[total_ordenes]]</f>
        <v>1423500</v>
      </c>
      <c r="Y2841" t="str" cm="1">
        <f t="array" aca="1" ref="Y2841" ca="1">IFERROR(_xlfn.XLOOKUP(COMPROMISOS_2025[[#This Row],[concatenado]],PAA[[#All],[RCP-RUBRO]],PAA[[#All],[Actividad3]],VLOOKUP(COMPROMISOS_2025[[#This Row],[Indicador Principal]],$AC$2:$AD$17,2,0),0),"")</f>
        <v/>
      </c>
    </row>
    <row r="2842" spans="1:25" hidden="1" x14ac:dyDescent="0.25">
      <c r="A2842">
        <v>2567</v>
      </c>
      <c r="B2842" t="s">
        <v>2491</v>
      </c>
      <c r="C2842" t="s">
        <v>1936</v>
      </c>
      <c r="D2842" t="s">
        <v>3575</v>
      </c>
      <c r="F2842">
        <v>405</v>
      </c>
      <c r="G2842">
        <v>65</v>
      </c>
      <c r="H2842" t="s">
        <v>662</v>
      </c>
      <c r="I2842" t="s">
        <v>2271</v>
      </c>
      <c r="J2842">
        <v>1423500</v>
      </c>
      <c r="K2842">
        <v>2025</v>
      </c>
      <c r="L2842">
        <v>1037636014</v>
      </c>
      <c r="M2842" t="s">
        <v>4376</v>
      </c>
      <c r="N2842" t="s">
        <v>1688</v>
      </c>
      <c r="O2842" t="s">
        <v>1686</v>
      </c>
      <c r="P2842">
        <v>0</v>
      </c>
      <c r="Q2842">
        <v>1423500</v>
      </c>
      <c r="R2842">
        <v>0</v>
      </c>
      <c r="S2842">
        <v>0</v>
      </c>
      <c r="T2842" t="str">
        <f t="shared" si="88"/>
        <v>25672.43.4302.85.0-205128.2.3.3.08.06.</v>
      </c>
      <c r="U2842" t="e" cm="1">
        <f t="array" aca="1" ref="U2842" ca="1">+IF(COMPROMISOS_2025[[#This Row],[P]]="20","41080111",_xlfn.XLOOKUP(COMPROMISOS_2025[[#This Row],[concatenado]],PAA[[#All],[RCP-RUBRO]],PAA[[#All],[INDICADOR]],"",0))</f>
        <v>#NAME?</v>
      </c>
      <c r="V2842" s="144" t="str">
        <f t="shared" si="89"/>
        <v>85</v>
      </c>
      <c r="W2842" s="136">
        <f>+COMPROMISOS_2025[[#This Row],[valor_total]]-COMPROMISOS_2025[[#This Row],[total_cancelado]]</f>
        <v>1423500</v>
      </c>
      <c r="X2842" s="136">
        <f>COMPROMISOS_2025[[#This Row],[total_ordenes]]</f>
        <v>1423500</v>
      </c>
      <c r="Y2842" t="str" cm="1">
        <f t="array" aca="1" ref="Y2842" ca="1">IFERROR(_xlfn.XLOOKUP(COMPROMISOS_2025[[#This Row],[concatenado]],PAA[[#All],[RCP-RUBRO]],PAA[[#All],[Actividad3]],VLOOKUP(COMPROMISOS_2025[[#This Row],[Indicador Principal]],$AC$2:$AD$17,2,0),0),"")</f>
        <v/>
      </c>
    </row>
    <row r="2843" spans="1:25" hidden="1" x14ac:dyDescent="0.25">
      <c r="A2843">
        <v>2568</v>
      </c>
      <c r="B2843" t="s">
        <v>2491</v>
      </c>
      <c r="C2843" t="s">
        <v>1936</v>
      </c>
      <c r="D2843" t="s">
        <v>3575</v>
      </c>
      <c r="F2843">
        <v>405</v>
      </c>
      <c r="G2843">
        <v>65</v>
      </c>
      <c r="H2843" t="s">
        <v>662</v>
      </c>
      <c r="I2843" t="s">
        <v>2271</v>
      </c>
      <c r="J2843">
        <v>1423500</v>
      </c>
      <c r="K2843">
        <v>2025</v>
      </c>
      <c r="L2843">
        <v>10376395405</v>
      </c>
      <c r="M2843" t="s">
        <v>4377</v>
      </c>
      <c r="N2843" t="s">
        <v>1688</v>
      </c>
      <c r="O2843" t="s">
        <v>1686</v>
      </c>
      <c r="P2843">
        <v>0</v>
      </c>
      <c r="Q2843">
        <v>1423500</v>
      </c>
      <c r="R2843">
        <v>0</v>
      </c>
      <c r="S2843">
        <v>0</v>
      </c>
      <c r="T2843" t="str">
        <f t="shared" si="88"/>
        <v>25682.43.4302.85.0-205128.2.3.3.08.06.</v>
      </c>
      <c r="U2843" t="e" cm="1">
        <f t="array" aca="1" ref="U2843" ca="1">+IF(COMPROMISOS_2025[[#This Row],[P]]="20","41080111",_xlfn.XLOOKUP(COMPROMISOS_2025[[#This Row],[concatenado]],PAA[[#All],[RCP-RUBRO]],PAA[[#All],[INDICADOR]],"",0))</f>
        <v>#NAME?</v>
      </c>
      <c r="V2843" s="144" t="str">
        <f t="shared" si="89"/>
        <v>85</v>
      </c>
      <c r="W2843" s="136">
        <f>+COMPROMISOS_2025[[#This Row],[valor_total]]-COMPROMISOS_2025[[#This Row],[total_cancelado]]</f>
        <v>1423500</v>
      </c>
      <c r="X2843" s="136">
        <f>COMPROMISOS_2025[[#This Row],[total_ordenes]]</f>
        <v>1423500</v>
      </c>
      <c r="Y2843" t="str" cm="1">
        <f t="array" aca="1" ref="Y2843" ca="1">IFERROR(_xlfn.XLOOKUP(COMPROMISOS_2025[[#This Row],[concatenado]],PAA[[#All],[RCP-RUBRO]],PAA[[#All],[Actividad3]],VLOOKUP(COMPROMISOS_2025[[#This Row],[Indicador Principal]],$AC$2:$AD$17,2,0),0),"")</f>
        <v/>
      </c>
    </row>
    <row r="2844" spans="1:25" hidden="1" x14ac:dyDescent="0.25">
      <c r="A2844">
        <v>2569</v>
      </c>
      <c r="B2844" t="s">
        <v>2491</v>
      </c>
      <c r="C2844" t="s">
        <v>1936</v>
      </c>
      <c r="D2844" t="s">
        <v>3575</v>
      </c>
      <c r="F2844">
        <v>405</v>
      </c>
      <c r="G2844">
        <v>65</v>
      </c>
      <c r="H2844" t="s">
        <v>662</v>
      </c>
      <c r="I2844" t="s">
        <v>2271</v>
      </c>
      <c r="J2844">
        <v>1423500</v>
      </c>
      <c r="K2844">
        <v>2025</v>
      </c>
      <c r="L2844">
        <v>1037642400</v>
      </c>
      <c r="M2844" t="s">
        <v>4378</v>
      </c>
      <c r="N2844" t="s">
        <v>1688</v>
      </c>
      <c r="O2844" t="s">
        <v>1686</v>
      </c>
      <c r="P2844">
        <v>0</v>
      </c>
      <c r="Q2844">
        <v>1423500</v>
      </c>
      <c r="R2844">
        <v>0</v>
      </c>
      <c r="S2844">
        <v>0</v>
      </c>
      <c r="T2844" t="str">
        <f t="shared" si="88"/>
        <v>25692.43.4302.85.0-205128.2.3.3.08.06.</v>
      </c>
      <c r="U2844" t="e" cm="1">
        <f t="array" aca="1" ref="U2844" ca="1">+IF(COMPROMISOS_2025[[#This Row],[P]]="20","41080111",_xlfn.XLOOKUP(COMPROMISOS_2025[[#This Row],[concatenado]],PAA[[#All],[RCP-RUBRO]],PAA[[#All],[INDICADOR]],"",0))</f>
        <v>#NAME?</v>
      </c>
      <c r="V2844" s="144" t="str">
        <f t="shared" si="89"/>
        <v>85</v>
      </c>
      <c r="W2844" s="136">
        <f>+COMPROMISOS_2025[[#This Row],[valor_total]]-COMPROMISOS_2025[[#This Row],[total_cancelado]]</f>
        <v>1423500</v>
      </c>
      <c r="X2844" s="136">
        <f>COMPROMISOS_2025[[#This Row],[total_ordenes]]</f>
        <v>1423500</v>
      </c>
      <c r="Y2844" t="str" cm="1">
        <f t="array" aca="1" ref="Y2844" ca="1">IFERROR(_xlfn.XLOOKUP(COMPROMISOS_2025[[#This Row],[concatenado]],PAA[[#All],[RCP-RUBRO]],PAA[[#All],[Actividad3]],VLOOKUP(COMPROMISOS_2025[[#This Row],[Indicador Principal]],$AC$2:$AD$17,2,0),0),"")</f>
        <v/>
      </c>
    </row>
    <row r="2845" spans="1:25" hidden="1" x14ac:dyDescent="0.25">
      <c r="A2845">
        <v>2570</v>
      </c>
      <c r="B2845" t="s">
        <v>2491</v>
      </c>
      <c r="C2845" t="s">
        <v>1936</v>
      </c>
      <c r="D2845" t="s">
        <v>3575</v>
      </c>
      <c r="F2845">
        <v>405</v>
      </c>
      <c r="G2845">
        <v>65</v>
      </c>
      <c r="H2845" t="s">
        <v>662</v>
      </c>
      <c r="I2845" t="s">
        <v>2271</v>
      </c>
      <c r="J2845">
        <v>711750</v>
      </c>
      <c r="K2845">
        <v>2025</v>
      </c>
      <c r="L2845">
        <v>1037643238</v>
      </c>
      <c r="M2845" t="s">
        <v>4083</v>
      </c>
      <c r="N2845" t="s">
        <v>1688</v>
      </c>
      <c r="O2845" t="s">
        <v>1686</v>
      </c>
      <c r="P2845">
        <v>0</v>
      </c>
      <c r="Q2845">
        <v>711750</v>
      </c>
      <c r="R2845">
        <v>0</v>
      </c>
      <c r="S2845">
        <v>0</v>
      </c>
      <c r="T2845" t="str">
        <f t="shared" si="88"/>
        <v>25702.43.4302.85.0-205128.2.3.3.08.06.</v>
      </c>
      <c r="U2845" t="e" cm="1">
        <f t="array" aca="1" ref="U2845" ca="1">+IF(COMPROMISOS_2025[[#This Row],[P]]="20","41080111",_xlfn.XLOOKUP(COMPROMISOS_2025[[#This Row],[concatenado]],PAA[[#All],[RCP-RUBRO]],PAA[[#All],[INDICADOR]],"",0))</f>
        <v>#NAME?</v>
      </c>
      <c r="V2845" s="144" t="str">
        <f t="shared" si="89"/>
        <v>85</v>
      </c>
      <c r="W2845" s="136">
        <f>+COMPROMISOS_2025[[#This Row],[valor_total]]-COMPROMISOS_2025[[#This Row],[total_cancelado]]</f>
        <v>711750</v>
      </c>
      <c r="X2845" s="136">
        <f>COMPROMISOS_2025[[#This Row],[total_ordenes]]</f>
        <v>711750</v>
      </c>
      <c r="Y2845" t="str" cm="1">
        <f t="array" aca="1" ref="Y2845" ca="1">IFERROR(_xlfn.XLOOKUP(COMPROMISOS_2025[[#This Row],[concatenado]],PAA[[#All],[RCP-RUBRO]],PAA[[#All],[Actividad3]],VLOOKUP(COMPROMISOS_2025[[#This Row],[Indicador Principal]],$AC$2:$AD$17,2,0),0),"")</f>
        <v/>
      </c>
    </row>
    <row r="2846" spans="1:25" hidden="1" x14ac:dyDescent="0.25">
      <c r="A2846">
        <v>2571</v>
      </c>
      <c r="B2846" t="s">
        <v>2491</v>
      </c>
      <c r="C2846" t="s">
        <v>1936</v>
      </c>
      <c r="D2846" t="s">
        <v>3575</v>
      </c>
      <c r="F2846">
        <v>405</v>
      </c>
      <c r="G2846">
        <v>65</v>
      </c>
      <c r="H2846" t="s">
        <v>662</v>
      </c>
      <c r="I2846" t="s">
        <v>2271</v>
      </c>
      <c r="J2846">
        <v>1423500</v>
      </c>
      <c r="K2846">
        <v>2025</v>
      </c>
      <c r="L2846">
        <v>1037643922</v>
      </c>
      <c r="M2846" t="s">
        <v>4084</v>
      </c>
      <c r="N2846" t="s">
        <v>1688</v>
      </c>
      <c r="O2846" t="s">
        <v>1686</v>
      </c>
      <c r="P2846">
        <v>0</v>
      </c>
      <c r="Q2846">
        <v>1423500</v>
      </c>
      <c r="R2846">
        <v>0</v>
      </c>
      <c r="S2846">
        <v>0</v>
      </c>
      <c r="T2846" t="str">
        <f t="shared" si="88"/>
        <v>25712.43.4302.85.0-205128.2.3.3.08.06.</v>
      </c>
      <c r="U2846" t="e" cm="1">
        <f t="array" aca="1" ref="U2846" ca="1">+IF(COMPROMISOS_2025[[#This Row],[P]]="20","41080111",_xlfn.XLOOKUP(COMPROMISOS_2025[[#This Row],[concatenado]],PAA[[#All],[RCP-RUBRO]],PAA[[#All],[INDICADOR]],"",0))</f>
        <v>#NAME?</v>
      </c>
      <c r="V2846" s="144" t="str">
        <f t="shared" si="89"/>
        <v>85</v>
      </c>
      <c r="W2846" s="136">
        <f>+COMPROMISOS_2025[[#This Row],[valor_total]]-COMPROMISOS_2025[[#This Row],[total_cancelado]]</f>
        <v>1423500</v>
      </c>
      <c r="X2846" s="136">
        <f>COMPROMISOS_2025[[#This Row],[total_ordenes]]</f>
        <v>1423500</v>
      </c>
      <c r="Y2846" t="str" cm="1">
        <f t="array" aca="1" ref="Y2846" ca="1">IFERROR(_xlfn.XLOOKUP(COMPROMISOS_2025[[#This Row],[concatenado]],PAA[[#All],[RCP-RUBRO]],PAA[[#All],[Actividad3]],VLOOKUP(COMPROMISOS_2025[[#This Row],[Indicador Principal]],$AC$2:$AD$17,2,0),0),"")</f>
        <v/>
      </c>
    </row>
    <row r="2847" spans="1:25" hidden="1" x14ac:dyDescent="0.25">
      <c r="A2847">
        <v>2572</v>
      </c>
      <c r="B2847" t="s">
        <v>2491</v>
      </c>
      <c r="C2847" t="s">
        <v>1936</v>
      </c>
      <c r="D2847" t="s">
        <v>3575</v>
      </c>
      <c r="F2847">
        <v>405</v>
      </c>
      <c r="G2847">
        <v>65</v>
      </c>
      <c r="H2847" t="s">
        <v>662</v>
      </c>
      <c r="I2847" t="s">
        <v>2271</v>
      </c>
      <c r="J2847">
        <v>5694000</v>
      </c>
      <c r="K2847">
        <v>2025</v>
      </c>
      <c r="L2847">
        <v>1037658644</v>
      </c>
      <c r="M2847" t="s">
        <v>4379</v>
      </c>
      <c r="N2847" t="s">
        <v>1688</v>
      </c>
      <c r="O2847" t="s">
        <v>1686</v>
      </c>
      <c r="P2847">
        <v>0</v>
      </c>
      <c r="Q2847">
        <v>5694000</v>
      </c>
      <c r="R2847">
        <v>0</v>
      </c>
      <c r="S2847">
        <v>0</v>
      </c>
      <c r="T2847" t="str">
        <f t="shared" si="88"/>
        <v>25722.43.4302.85.0-205128.2.3.3.08.06.</v>
      </c>
      <c r="U2847" t="e" cm="1">
        <f t="array" aca="1" ref="U2847" ca="1">+IF(COMPROMISOS_2025[[#This Row],[P]]="20","41080111",_xlfn.XLOOKUP(COMPROMISOS_2025[[#This Row],[concatenado]],PAA[[#All],[RCP-RUBRO]],PAA[[#All],[INDICADOR]],"",0))</f>
        <v>#NAME?</v>
      </c>
      <c r="V2847" s="144" t="str">
        <f t="shared" si="89"/>
        <v>85</v>
      </c>
      <c r="W2847" s="136">
        <f>+COMPROMISOS_2025[[#This Row],[valor_total]]-COMPROMISOS_2025[[#This Row],[total_cancelado]]</f>
        <v>5694000</v>
      </c>
      <c r="X2847" s="136">
        <f>COMPROMISOS_2025[[#This Row],[total_ordenes]]</f>
        <v>5694000</v>
      </c>
      <c r="Y2847" t="str" cm="1">
        <f t="array" aca="1" ref="Y2847" ca="1">IFERROR(_xlfn.XLOOKUP(COMPROMISOS_2025[[#This Row],[concatenado]],PAA[[#All],[RCP-RUBRO]],PAA[[#All],[Actividad3]],VLOOKUP(COMPROMISOS_2025[[#This Row],[Indicador Principal]],$AC$2:$AD$17,2,0),0),"")</f>
        <v/>
      </c>
    </row>
    <row r="2848" spans="1:25" hidden="1" x14ac:dyDescent="0.25">
      <c r="A2848">
        <v>2573</v>
      </c>
      <c r="B2848" t="s">
        <v>2491</v>
      </c>
      <c r="C2848" t="s">
        <v>1936</v>
      </c>
      <c r="D2848" t="s">
        <v>3575</v>
      </c>
      <c r="F2848">
        <v>405</v>
      </c>
      <c r="G2848">
        <v>65</v>
      </c>
      <c r="H2848" t="s">
        <v>662</v>
      </c>
      <c r="I2848" t="s">
        <v>2271</v>
      </c>
      <c r="J2848">
        <v>1067625</v>
      </c>
      <c r="K2848">
        <v>2025</v>
      </c>
      <c r="L2848">
        <v>1037661366</v>
      </c>
      <c r="M2848" t="s">
        <v>4380</v>
      </c>
      <c r="N2848" t="s">
        <v>1688</v>
      </c>
      <c r="O2848" t="s">
        <v>1686</v>
      </c>
      <c r="P2848">
        <v>0</v>
      </c>
      <c r="Q2848">
        <v>1067625</v>
      </c>
      <c r="R2848">
        <v>0</v>
      </c>
      <c r="S2848">
        <v>0</v>
      </c>
      <c r="T2848" t="str">
        <f t="shared" si="88"/>
        <v>25732.43.4302.85.0-205128.2.3.3.08.06.</v>
      </c>
      <c r="U2848" t="e" cm="1">
        <f t="array" aca="1" ref="U2848" ca="1">+IF(COMPROMISOS_2025[[#This Row],[P]]="20","41080111",_xlfn.XLOOKUP(COMPROMISOS_2025[[#This Row],[concatenado]],PAA[[#All],[RCP-RUBRO]],PAA[[#All],[INDICADOR]],"",0))</f>
        <v>#NAME?</v>
      </c>
      <c r="V2848" s="144" t="str">
        <f t="shared" si="89"/>
        <v>85</v>
      </c>
      <c r="W2848" s="136">
        <f>+COMPROMISOS_2025[[#This Row],[valor_total]]-COMPROMISOS_2025[[#This Row],[total_cancelado]]</f>
        <v>1067625</v>
      </c>
      <c r="X2848" s="136">
        <f>COMPROMISOS_2025[[#This Row],[total_ordenes]]</f>
        <v>1067625</v>
      </c>
      <c r="Y2848" t="str" cm="1">
        <f t="array" aca="1" ref="Y2848" ca="1">IFERROR(_xlfn.XLOOKUP(COMPROMISOS_2025[[#This Row],[concatenado]],PAA[[#All],[RCP-RUBRO]],PAA[[#All],[Actividad3]],VLOOKUP(COMPROMISOS_2025[[#This Row],[Indicador Principal]],$AC$2:$AD$17,2,0),0),"")</f>
        <v/>
      </c>
    </row>
    <row r="2849" spans="1:25" hidden="1" x14ac:dyDescent="0.25">
      <c r="A2849">
        <v>2574</v>
      </c>
      <c r="B2849" t="s">
        <v>2491</v>
      </c>
      <c r="C2849" t="s">
        <v>1936</v>
      </c>
      <c r="D2849" t="s">
        <v>3575</v>
      </c>
      <c r="F2849">
        <v>405</v>
      </c>
      <c r="G2849">
        <v>65</v>
      </c>
      <c r="H2849" t="s">
        <v>662</v>
      </c>
      <c r="I2849" t="s">
        <v>2271</v>
      </c>
      <c r="J2849">
        <v>711750</v>
      </c>
      <c r="K2849">
        <v>2025</v>
      </c>
      <c r="L2849">
        <v>1037665946</v>
      </c>
      <c r="M2849" t="s">
        <v>4381</v>
      </c>
      <c r="N2849" t="s">
        <v>1688</v>
      </c>
      <c r="O2849" t="s">
        <v>1686</v>
      </c>
      <c r="P2849">
        <v>0</v>
      </c>
      <c r="Q2849">
        <v>711750</v>
      </c>
      <c r="R2849">
        <v>0</v>
      </c>
      <c r="S2849">
        <v>0</v>
      </c>
      <c r="T2849" t="str">
        <f t="shared" si="88"/>
        <v>25742.43.4302.85.0-205128.2.3.3.08.06.</v>
      </c>
      <c r="U2849" t="e" cm="1">
        <f t="array" aca="1" ref="U2849" ca="1">+IF(COMPROMISOS_2025[[#This Row],[P]]="20","41080111",_xlfn.XLOOKUP(COMPROMISOS_2025[[#This Row],[concatenado]],PAA[[#All],[RCP-RUBRO]],PAA[[#All],[INDICADOR]],"",0))</f>
        <v>#NAME?</v>
      </c>
      <c r="V2849" s="144" t="str">
        <f t="shared" si="89"/>
        <v>85</v>
      </c>
      <c r="W2849" s="136">
        <f>+COMPROMISOS_2025[[#This Row],[valor_total]]-COMPROMISOS_2025[[#This Row],[total_cancelado]]</f>
        <v>711750</v>
      </c>
      <c r="X2849" s="136">
        <f>COMPROMISOS_2025[[#This Row],[total_ordenes]]</f>
        <v>711750</v>
      </c>
      <c r="Y2849" t="str" cm="1">
        <f t="array" aca="1" ref="Y2849" ca="1">IFERROR(_xlfn.XLOOKUP(COMPROMISOS_2025[[#This Row],[concatenado]],PAA[[#All],[RCP-RUBRO]],PAA[[#All],[Actividad3]],VLOOKUP(COMPROMISOS_2025[[#This Row],[Indicador Principal]],$AC$2:$AD$17,2,0),0),"")</f>
        <v/>
      </c>
    </row>
    <row r="2850" spans="1:25" hidden="1" x14ac:dyDescent="0.25">
      <c r="A2850">
        <v>2575</v>
      </c>
      <c r="B2850" t="s">
        <v>2491</v>
      </c>
      <c r="C2850" t="s">
        <v>1936</v>
      </c>
      <c r="D2850" t="s">
        <v>3575</v>
      </c>
      <c r="F2850">
        <v>405</v>
      </c>
      <c r="G2850">
        <v>65</v>
      </c>
      <c r="H2850" t="s">
        <v>662</v>
      </c>
      <c r="I2850" t="s">
        <v>2271</v>
      </c>
      <c r="J2850">
        <v>1423500</v>
      </c>
      <c r="K2850">
        <v>2025</v>
      </c>
      <c r="L2850">
        <v>1037666430</v>
      </c>
      <c r="M2850" t="s">
        <v>4085</v>
      </c>
      <c r="N2850" t="s">
        <v>1688</v>
      </c>
      <c r="O2850" t="s">
        <v>1686</v>
      </c>
      <c r="P2850">
        <v>0</v>
      </c>
      <c r="Q2850">
        <v>1423500</v>
      </c>
      <c r="R2850">
        <v>0</v>
      </c>
      <c r="S2850">
        <v>0</v>
      </c>
      <c r="T2850" t="str">
        <f t="shared" si="88"/>
        <v>25752.43.4302.85.0-205128.2.3.3.08.06.</v>
      </c>
      <c r="U2850" t="e" cm="1">
        <f t="array" aca="1" ref="U2850" ca="1">+IF(COMPROMISOS_2025[[#This Row],[P]]="20","41080111",_xlfn.XLOOKUP(COMPROMISOS_2025[[#This Row],[concatenado]],PAA[[#All],[RCP-RUBRO]],PAA[[#All],[INDICADOR]],"",0))</f>
        <v>#NAME?</v>
      </c>
      <c r="V2850" s="144" t="str">
        <f t="shared" si="89"/>
        <v>85</v>
      </c>
      <c r="W2850" s="136">
        <f>+COMPROMISOS_2025[[#This Row],[valor_total]]-COMPROMISOS_2025[[#This Row],[total_cancelado]]</f>
        <v>1423500</v>
      </c>
      <c r="X2850" s="136">
        <f>COMPROMISOS_2025[[#This Row],[total_ordenes]]</f>
        <v>1423500</v>
      </c>
      <c r="Y2850" t="str" cm="1">
        <f t="array" aca="1" ref="Y2850" ca="1">IFERROR(_xlfn.XLOOKUP(COMPROMISOS_2025[[#This Row],[concatenado]],PAA[[#All],[RCP-RUBRO]],PAA[[#All],[Actividad3]],VLOOKUP(COMPROMISOS_2025[[#This Row],[Indicador Principal]],$AC$2:$AD$17,2,0),0),"")</f>
        <v/>
      </c>
    </row>
    <row r="2851" spans="1:25" hidden="1" x14ac:dyDescent="0.25">
      <c r="A2851">
        <v>2576</v>
      </c>
      <c r="B2851" t="s">
        <v>2491</v>
      </c>
      <c r="C2851" t="s">
        <v>1936</v>
      </c>
      <c r="D2851" t="s">
        <v>3575</v>
      </c>
      <c r="F2851">
        <v>405</v>
      </c>
      <c r="G2851">
        <v>65</v>
      </c>
      <c r="H2851" t="s">
        <v>662</v>
      </c>
      <c r="I2851" t="s">
        <v>2271</v>
      </c>
      <c r="J2851">
        <v>2847000</v>
      </c>
      <c r="K2851">
        <v>2025</v>
      </c>
      <c r="L2851">
        <v>1037667511</v>
      </c>
      <c r="M2851" t="s">
        <v>3799</v>
      </c>
      <c r="N2851" t="s">
        <v>1688</v>
      </c>
      <c r="O2851" t="s">
        <v>1686</v>
      </c>
      <c r="P2851">
        <v>0</v>
      </c>
      <c r="Q2851">
        <v>2847000</v>
      </c>
      <c r="R2851">
        <v>0</v>
      </c>
      <c r="S2851">
        <v>0</v>
      </c>
      <c r="T2851" t="str">
        <f t="shared" si="88"/>
        <v>25762.43.4302.85.0-205128.2.3.3.08.06.</v>
      </c>
      <c r="U2851" t="e" cm="1">
        <f t="array" aca="1" ref="U2851" ca="1">+IF(COMPROMISOS_2025[[#This Row],[P]]="20","41080111",_xlfn.XLOOKUP(COMPROMISOS_2025[[#This Row],[concatenado]],PAA[[#All],[RCP-RUBRO]],PAA[[#All],[INDICADOR]],"",0))</f>
        <v>#NAME?</v>
      </c>
      <c r="V2851" s="144" t="str">
        <f t="shared" si="89"/>
        <v>85</v>
      </c>
      <c r="W2851" s="136">
        <f>+COMPROMISOS_2025[[#This Row],[valor_total]]-COMPROMISOS_2025[[#This Row],[total_cancelado]]</f>
        <v>2847000</v>
      </c>
      <c r="X2851" s="136">
        <f>COMPROMISOS_2025[[#This Row],[total_ordenes]]</f>
        <v>2847000</v>
      </c>
      <c r="Y2851" t="str" cm="1">
        <f t="array" aca="1" ref="Y2851" ca="1">IFERROR(_xlfn.XLOOKUP(COMPROMISOS_2025[[#This Row],[concatenado]],PAA[[#All],[RCP-RUBRO]],PAA[[#All],[Actividad3]],VLOOKUP(COMPROMISOS_2025[[#This Row],[Indicador Principal]],$AC$2:$AD$17,2,0),0),"")</f>
        <v/>
      </c>
    </row>
    <row r="2852" spans="1:25" hidden="1" x14ac:dyDescent="0.25">
      <c r="A2852">
        <v>2577</v>
      </c>
      <c r="B2852" t="s">
        <v>2491</v>
      </c>
      <c r="C2852" t="s">
        <v>1936</v>
      </c>
      <c r="D2852" t="s">
        <v>3575</v>
      </c>
      <c r="F2852">
        <v>405</v>
      </c>
      <c r="G2852">
        <v>65</v>
      </c>
      <c r="H2852" t="s">
        <v>662</v>
      </c>
      <c r="I2852" t="s">
        <v>2271</v>
      </c>
      <c r="J2852">
        <v>711750</v>
      </c>
      <c r="K2852">
        <v>2025</v>
      </c>
      <c r="L2852">
        <v>1037667906</v>
      </c>
      <c r="M2852" t="s">
        <v>4086</v>
      </c>
      <c r="N2852" t="s">
        <v>1688</v>
      </c>
      <c r="O2852" t="s">
        <v>1686</v>
      </c>
      <c r="P2852">
        <v>0</v>
      </c>
      <c r="Q2852">
        <v>711750</v>
      </c>
      <c r="R2852">
        <v>0</v>
      </c>
      <c r="S2852">
        <v>0</v>
      </c>
      <c r="T2852" t="str">
        <f t="shared" si="88"/>
        <v>25772.43.4302.85.0-205128.2.3.3.08.06.</v>
      </c>
      <c r="U2852" t="e" cm="1">
        <f t="array" aca="1" ref="U2852" ca="1">+IF(COMPROMISOS_2025[[#This Row],[P]]="20","41080111",_xlfn.XLOOKUP(COMPROMISOS_2025[[#This Row],[concatenado]],PAA[[#All],[RCP-RUBRO]],PAA[[#All],[INDICADOR]],"",0))</f>
        <v>#NAME?</v>
      </c>
      <c r="V2852" s="144" t="str">
        <f t="shared" si="89"/>
        <v>85</v>
      </c>
      <c r="W2852" s="136">
        <f>+COMPROMISOS_2025[[#This Row],[valor_total]]-COMPROMISOS_2025[[#This Row],[total_cancelado]]</f>
        <v>711750</v>
      </c>
      <c r="X2852" s="136">
        <f>COMPROMISOS_2025[[#This Row],[total_ordenes]]</f>
        <v>711750</v>
      </c>
      <c r="Y2852" t="str" cm="1">
        <f t="array" aca="1" ref="Y2852" ca="1">IFERROR(_xlfn.XLOOKUP(COMPROMISOS_2025[[#This Row],[concatenado]],PAA[[#All],[RCP-RUBRO]],PAA[[#All],[Actividad3]],VLOOKUP(COMPROMISOS_2025[[#This Row],[Indicador Principal]],$AC$2:$AD$17,2,0),0),"")</f>
        <v/>
      </c>
    </row>
    <row r="2853" spans="1:25" hidden="1" x14ac:dyDescent="0.25">
      <c r="A2853">
        <v>2578</v>
      </c>
      <c r="B2853" t="s">
        <v>2491</v>
      </c>
      <c r="C2853" t="s">
        <v>1936</v>
      </c>
      <c r="D2853" t="s">
        <v>3575</v>
      </c>
      <c r="F2853">
        <v>405</v>
      </c>
      <c r="G2853">
        <v>65</v>
      </c>
      <c r="H2853" t="s">
        <v>662</v>
      </c>
      <c r="I2853" t="s">
        <v>2271</v>
      </c>
      <c r="J2853">
        <v>1423500</v>
      </c>
      <c r="K2853">
        <v>2025</v>
      </c>
      <c r="L2853">
        <v>1037668563</v>
      </c>
      <c r="M2853" t="s">
        <v>4087</v>
      </c>
      <c r="N2853" t="s">
        <v>1688</v>
      </c>
      <c r="O2853" t="s">
        <v>1686</v>
      </c>
      <c r="P2853">
        <v>0</v>
      </c>
      <c r="Q2853">
        <v>1423500</v>
      </c>
      <c r="R2853">
        <v>0</v>
      </c>
      <c r="S2853">
        <v>0</v>
      </c>
      <c r="T2853" t="str">
        <f t="shared" si="88"/>
        <v>25782.43.4302.85.0-205128.2.3.3.08.06.</v>
      </c>
      <c r="U2853" t="e" cm="1">
        <f t="array" aca="1" ref="U2853" ca="1">+IF(COMPROMISOS_2025[[#This Row],[P]]="20","41080111",_xlfn.XLOOKUP(COMPROMISOS_2025[[#This Row],[concatenado]],PAA[[#All],[RCP-RUBRO]],PAA[[#All],[INDICADOR]],"",0))</f>
        <v>#NAME?</v>
      </c>
      <c r="V2853" s="144" t="str">
        <f t="shared" si="89"/>
        <v>85</v>
      </c>
      <c r="W2853" s="136">
        <f>+COMPROMISOS_2025[[#This Row],[valor_total]]-COMPROMISOS_2025[[#This Row],[total_cancelado]]</f>
        <v>1423500</v>
      </c>
      <c r="X2853" s="136">
        <f>COMPROMISOS_2025[[#This Row],[total_ordenes]]</f>
        <v>1423500</v>
      </c>
      <c r="Y2853" t="str" cm="1">
        <f t="array" aca="1" ref="Y2853" ca="1">IFERROR(_xlfn.XLOOKUP(COMPROMISOS_2025[[#This Row],[concatenado]],PAA[[#All],[RCP-RUBRO]],PAA[[#All],[Actividad3]],VLOOKUP(COMPROMISOS_2025[[#This Row],[Indicador Principal]],$AC$2:$AD$17,2,0),0),"")</f>
        <v/>
      </c>
    </row>
    <row r="2854" spans="1:25" hidden="1" x14ac:dyDescent="0.25">
      <c r="A2854">
        <v>2579</v>
      </c>
      <c r="B2854" t="s">
        <v>2491</v>
      </c>
      <c r="C2854" t="s">
        <v>1936</v>
      </c>
      <c r="D2854" t="s">
        <v>3575</v>
      </c>
      <c r="F2854">
        <v>405</v>
      </c>
      <c r="G2854">
        <v>65</v>
      </c>
      <c r="H2854" t="s">
        <v>662</v>
      </c>
      <c r="I2854" t="s">
        <v>2271</v>
      </c>
      <c r="J2854">
        <v>711750</v>
      </c>
      <c r="K2854">
        <v>2025</v>
      </c>
      <c r="L2854">
        <v>1037672105</v>
      </c>
      <c r="M2854" t="s">
        <v>4382</v>
      </c>
      <c r="N2854" t="s">
        <v>1688</v>
      </c>
      <c r="O2854" t="s">
        <v>1686</v>
      </c>
      <c r="P2854">
        <v>0</v>
      </c>
      <c r="Q2854">
        <v>711750</v>
      </c>
      <c r="R2854">
        <v>0</v>
      </c>
      <c r="S2854">
        <v>0</v>
      </c>
      <c r="T2854" t="str">
        <f t="shared" si="88"/>
        <v>25792.43.4302.85.0-205128.2.3.3.08.06.</v>
      </c>
      <c r="U2854" t="e" cm="1">
        <f t="array" aca="1" ref="U2854" ca="1">+IF(COMPROMISOS_2025[[#This Row],[P]]="20","41080111",_xlfn.XLOOKUP(COMPROMISOS_2025[[#This Row],[concatenado]],PAA[[#All],[RCP-RUBRO]],PAA[[#All],[INDICADOR]],"",0))</f>
        <v>#NAME?</v>
      </c>
      <c r="V2854" s="144" t="str">
        <f t="shared" si="89"/>
        <v>85</v>
      </c>
      <c r="W2854" s="136">
        <f>+COMPROMISOS_2025[[#This Row],[valor_total]]-COMPROMISOS_2025[[#This Row],[total_cancelado]]</f>
        <v>711750</v>
      </c>
      <c r="X2854" s="136">
        <f>COMPROMISOS_2025[[#This Row],[total_ordenes]]</f>
        <v>711750</v>
      </c>
      <c r="Y2854" t="str" cm="1">
        <f t="array" aca="1" ref="Y2854" ca="1">IFERROR(_xlfn.XLOOKUP(COMPROMISOS_2025[[#This Row],[concatenado]],PAA[[#All],[RCP-RUBRO]],PAA[[#All],[Actividad3]],VLOOKUP(COMPROMISOS_2025[[#This Row],[Indicador Principal]],$AC$2:$AD$17,2,0),0),"")</f>
        <v/>
      </c>
    </row>
    <row r="2855" spans="1:25" hidden="1" x14ac:dyDescent="0.25">
      <c r="A2855">
        <v>2581</v>
      </c>
      <c r="B2855" t="s">
        <v>2491</v>
      </c>
      <c r="C2855" t="s">
        <v>1936</v>
      </c>
      <c r="D2855" t="s">
        <v>3575</v>
      </c>
      <c r="F2855">
        <v>405</v>
      </c>
      <c r="G2855">
        <v>65</v>
      </c>
      <c r="H2855" t="s">
        <v>662</v>
      </c>
      <c r="I2855" t="s">
        <v>2271</v>
      </c>
      <c r="J2855">
        <v>711750</v>
      </c>
      <c r="K2855">
        <v>2025</v>
      </c>
      <c r="L2855">
        <v>1038095452</v>
      </c>
      <c r="M2855" t="s">
        <v>4383</v>
      </c>
      <c r="N2855" t="s">
        <v>1688</v>
      </c>
      <c r="O2855" t="s">
        <v>1686</v>
      </c>
      <c r="P2855">
        <v>0</v>
      </c>
      <c r="Q2855">
        <v>711750</v>
      </c>
      <c r="R2855">
        <v>0</v>
      </c>
      <c r="S2855">
        <v>0</v>
      </c>
      <c r="T2855" t="str">
        <f t="shared" si="88"/>
        <v>25812.43.4302.85.0-205128.2.3.3.08.06.</v>
      </c>
      <c r="U2855" t="e" cm="1">
        <f t="array" aca="1" ref="U2855" ca="1">+IF(COMPROMISOS_2025[[#This Row],[P]]="20","41080111",_xlfn.XLOOKUP(COMPROMISOS_2025[[#This Row],[concatenado]],PAA[[#All],[RCP-RUBRO]],PAA[[#All],[INDICADOR]],"",0))</f>
        <v>#NAME?</v>
      </c>
      <c r="V2855" s="144" t="str">
        <f t="shared" si="89"/>
        <v>85</v>
      </c>
      <c r="W2855" s="136">
        <f>+COMPROMISOS_2025[[#This Row],[valor_total]]-COMPROMISOS_2025[[#This Row],[total_cancelado]]</f>
        <v>711750</v>
      </c>
      <c r="X2855" s="136">
        <f>COMPROMISOS_2025[[#This Row],[total_ordenes]]</f>
        <v>711750</v>
      </c>
      <c r="Y2855" t="str" cm="1">
        <f t="array" aca="1" ref="Y2855" ca="1">IFERROR(_xlfn.XLOOKUP(COMPROMISOS_2025[[#This Row],[concatenado]],PAA[[#All],[RCP-RUBRO]],PAA[[#All],[Actividad3]],VLOOKUP(COMPROMISOS_2025[[#This Row],[Indicador Principal]],$AC$2:$AD$17,2,0),0),"")</f>
        <v/>
      </c>
    </row>
    <row r="2856" spans="1:25" hidden="1" x14ac:dyDescent="0.25">
      <c r="A2856">
        <v>2582</v>
      </c>
      <c r="B2856" t="s">
        <v>2491</v>
      </c>
      <c r="C2856" t="s">
        <v>1936</v>
      </c>
      <c r="D2856" t="s">
        <v>3575</v>
      </c>
      <c r="F2856">
        <v>405</v>
      </c>
      <c r="G2856">
        <v>65</v>
      </c>
      <c r="H2856" t="s">
        <v>662</v>
      </c>
      <c r="I2856" t="s">
        <v>2271</v>
      </c>
      <c r="J2856">
        <v>711750</v>
      </c>
      <c r="K2856">
        <v>2025</v>
      </c>
      <c r="L2856">
        <v>1038122320</v>
      </c>
      <c r="M2856" t="s">
        <v>4384</v>
      </c>
      <c r="N2856" t="s">
        <v>1688</v>
      </c>
      <c r="O2856" t="s">
        <v>1686</v>
      </c>
      <c r="P2856">
        <v>0</v>
      </c>
      <c r="Q2856">
        <v>711750</v>
      </c>
      <c r="R2856">
        <v>0</v>
      </c>
      <c r="S2856">
        <v>0</v>
      </c>
      <c r="T2856" t="str">
        <f t="shared" si="88"/>
        <v>25822.43.4302.85.0-205128.2.3.3.08.06.</v>
      </c>
      <c r="U2856" t="e" cm="1">
        <f t="array" aca="1" ref="U2856" ca="1">+IF(COMPROMISOS_2025[[#This Row],[P]]="20","41080111",_xlfn.XLOOKUP(COMPROMISOS_2025[[#This Row],[concatenado]],PAA[[#All],[RCP-RUBRO]],PAA[[#All],[INDICADOR]],"",0))</f>
        <v>#NAME?</v>
      </c>
      <c r="V2856" s="144" t="str">
        <f t="shared" si="89"/>
        <v>85</v>
      </c>
      <c r="W2856" s="136">
        <f>+COMPROMISOS_2025[[#This Row],[valor_total]]-COMPROMISOS_2025[[#This Row],[total_cancelado]]</f>
        <v>711750</v>
      </c>
      <c r="X2856" s="136">
        <f>COMPROMISOS_2025[[#This Row],[total_ordenes]]</f>
        <v>711750</v>
      </c>
      <c r="Y2856" t="str" cm="1">
        <f t="array" aca="1" ref="Y2856" ca="1">IFERROR(_xlfn.XLOOKUP(COMPROMISOS_2025[[#This Row],[concatenado]],PAA[[#All],[RCP-RUBRO]],PAA[[#All],[Actividad3]],VLOOKUP(COMPROMISOS_2025[[#This Row],[Indicador Principal]],$AC$2:$AD$17,2,0),0),"")</f>
        <v/>
      </c>
    </row>
    <row r="2857" spans="1:25" hidden="1" x14ac:dyDescent="0.25">
      <c r="A2857">
        <v>2583</v>
      </c>
      <c r="B2857" t="s">
        <v>2491</v>
      </c>
      <c r="C2857" t="s">
        <v>1936</v>
      </c>
      <c r="D2857" t="s">
        <v>3575</v>
      </c>
      <c r="F2857">
        <v>405</v>
      </c>
      <c r="G2857">
        <v>65</v>
      </c>
      <c r="H2857" t="s">
        <v>662</v>
      </c>
      <c r="I2857" t="s">
        <v>2271</v>
      </c>
      <c r="J2857">
        <v>711750</v>
      </c>
      <c r="K2857">
        <v>2025</v>
      </c>
      <c r="L2857">
        <v>1038262764</v>
      </c>
      <c r="M2857" t="s">
        <v>4385</v>
      </c>
      <c r="N2857" t="s">
        <v>1688</v>
      </c>
      <c r="O2857" t="s">
        <v>1686</v>
      </c>
      <c r="P2857">
        <v>0</v>
      </c>
      <c r="Q2857">
        <v>711750</v>
      </c>
      <c r="R2857">
        <v>0</v>
      </c>
      <c r="S2857">
        <v>0</v>
      </c>
      <c r="T2857" t="str">
        <f t="shared" si="88"/>
        <v>25832.43.4302.85.0-205128.2.3.3.08.06.</v>
      </c>
      <c r="U2857" t="e" cm="1">
        <f t="array" aca="1" ref="U2857" ca="1">+IF(COMPROMISOS_2025[[#This Row],[P]]="20","41080111",_xlfn.XLOOKUP(COMPROMISOS_2025[[#This Row],[concatenado]],PAA[[#All],[RCP-RUBRO]],PAA[[#All],[INDICADOR]],"",0))</f>
        <v>#NAME?</v>
      </c>
      <c r="V2857" s="144" t="str">
        <f t="shared" si="89"/>
        <v>85</v>
      </c>
      <c r="W2857" s="136">
        <f>+COMPROMISOS_2025[[#This Row],[valor_total]]-COMPROMISOS_2025[[#This Row],[total_cancelado]]</f>
        <v>711750</v>
      </c>
      <c r="X2857" s="136">
        <f>COMPROMISOS_2025[[#This Row],[total_ordenes]]</f>
        <v>711750</v>
      </c>
      <c r="Y2857" t="str" cm="1">
        <f t="array" aca="1" ref="Y2857" ca="1">IFERROR(_xlfn.XLOOKUP(COMPROMISOS_2025[[#This Row],[concatenado]],PAA[[#All],[RCP-RUBRO]],PAA[[#All],[Actividad3]],VLOOKUP(COMPROMISOS_2025[[#This Row],[Indicador Principal]],$AC$2:$AD$17,2,0),0),"")</f>
        <v/>
      </c>
    </row>
    <row r="2858" spans="1:25" hidden="1" x14ac:dyDescent="0.25">
      <c r="A2858">
        <v>2586</v>
      </c>
      <c r="B2858" t="s">
        <v>2491</v>
      </c>
      <c r="C2858" t="s">
        <v>1936</v>
      </c>
      <c r="D2858" t="s">
        <v>3575</v>
      </c>
      <c r="F2858">
        <v>405</v>
      </c>
      <c r="G2858">
        <v>65</v>
      </c>
      <c r="H2858" t="s">
        <v>662</v>
      </c>
      <c r="I2858" t="s">
        <v>2271</v>
      </c>
      <c r="J2858">
        <v>1423500</v>
      </c>
      <c r="K2858">
        <v>2025</v>
      </c>
      <c r="L2858">
        <v>1038407424</v>
      </c>
      <c r="M2858" t="s">
        <v>4088</v>
      </c>
      <c r="N2858" t="s">
        <v>1688</v>
      </c>
      <c r="O2858" t="s">
        <v>1686</v>
      </c>
      <c r="P2858">
        <v>0</v>
      </c>
      <c r="Q2858">
        <v>1423500</v>
      </c>
      <c r="R2858">
        <v>0</v>
      </c>
      <c r="S2858">
        <v>0</v>
      </c>
      <c r="T2858" t="str">
        <f t="shared" si="88"/>
        <v>25862.43.4302.85.0-205128.2.3.3.08.06.</v>
      </c>
      <c r="U2858" t="e" cm="1">
        <f t="array" aca="1" ref="U2858" ca="1">+IF(COMPROMISOS_2025[[#This Row],[P]]="20","41080111",_xlfn.XLOOKUP(COMPROMISOS_2025[[#This Row],[concatenado]],PAA[[#All],[RCP-RUBRO]],PAA[[#All],[INDICADOR]],"",0))</f>
        <v>#NAME?</v>
      </c>
      <c r="V2858" s="144" t="str">
        <f t="shared" si="89"/>
        <v>85</v>
      </c>
      <c r="W2858" s="136">
        <f>+COMPROMISOS_2025[[#This Row],[valor_total]]-COMPROMISOS_2025[[#This Row],[total_cancelado]]</f>
        <v>1423500</v>
      </c>
      <c r="X2858" s="136">
        <f>COMPROMISOS_2025[[#This Row],[total_ordenes]]</f>
        <v>1423500</v>
      </c>
      <c r="Y2858" t="str" cm="1">
        <f t="array" aca="1" ref="Y2858" ca="1">IFERROR(_xlfn.XLOOKUP(COMPROMISOS_2025[[#This Row],[concatenado]],PAA[[#All],[RCP-RUBRO]],PAA[[#All],[Actividad3]],VLOOKUP(COMPROMISOS_2025[[#This Row],[Indicador Principal]],$AC$2:$AD$17,2,0),0),"")</f>
        <v/>
      </c>
    </row>
    <row r="2859" spans="1:25" hidden="1" x14ac:dyDescent="0.25">
      <c r="A2859">
        <v>2588</v>
      </c>
      <c r="B2859" t="s">
        <v>2491</v>
      </c>
      <c r="C2859" t="s">
        <v>1936</v>
      </c>
      <c r="D2859" t="s">
        <v>3575</v>
      </c>
      <c r="F2859">
        <v>405</v>
      </c>
      <c r="G2859">
        <v>65</v>
      </c>
      <c r="H2859" t="s">
        <v>662</v>
      </c>
      <c r="I2859" t="s">
        <v>2271</v>
      </c>
      <c r="J2859">
        <v>1423500</v>
      </c>
      <c r="K2859">
        <v>2025</v>
      </c>
      <c r="L2859">
        <v>1038417807</v>
      </c>
      <c r="M2859" t="s">
        <v>4089</v>
      </c>
      <c r="N2859" t="s">
        <v>1688</v>
      </c>
      <c r="O2859" t="s">
        <v>1686</v>
      </c>
      <c r="P2859">
        <v>0</v>
      </c>
      <c r="Q2859">
        <v>1423500</v>
      </c>
      <c r="R2859">
        <v>0</v>
      </c>
      <c r="S2859">
        <v>0</v>
      </c>
      <c r="T2859" t="str">
        <f t="shared" si="88"/>
        <v>25882.43.4302.85.0-205128.2.3.3.08.06.</v>
      </c>
      <c r="U2859" t="e" cm="1">
        <f t="array" aca="1" ref="U2859" ca="1">+IF(COMPROMISOS_2025[[#This Row],[P]]="20","41080111",_xlfn.XLOOKUP(COMPROMISOS_2025[[#This Row],[concatenado]],PAA[[#All],[RCP-RUBRO]],PAA[[#All],[INDICADOR]],"",0))</f>
        <v>#NAME?</v>
      </c>
      <c r="V2859" s="144" t="str">
        <f t="shared" si="89"/>
        <v>85</v>
      </c>
      <c r="W2859" s="136">
        <f>+COMPROMISOS_2025[[#This Row],[valor_total]]-COMPROMISOS_2025[[#This Row],[total_cancelado]]</f>
        <v>1423500</v>
      </c>
      <c r="X2859" s="136">
        <f>COMPROMISOS_2025[[#This Row],[total_ordenes]]</f>
        <v>1423500</v>
      </c>
      <c r="Y2859" t="str" cm="1">
        <f t="array" aca="1" ref="Y2859" ca="1">IFERROR(_xlfn.XLOOKUP(COMPROMISOS_2025[[#This Row],[concatenado]],PAA[[#All],[RCP-RUBRO]],PAA[[#All],[Actividad3]],VLOOKUP(COMPROMISOS_2025[[#This Row],[Indicador Principal]],$AC$2:$AD$17,2,0),0),"")</f>
        <v/>
      </c>
    </row>
    <row r="2860" spans="1:25" hidden="1" x14ac:dyDescent="0.25">
      <c r="A2860">
        <v>2589</v>
      </c>
      <c r="B2860" t="s">
        <v>2491</v>
      </c>
      <c r="C2860" t="s">
        <v>1936</v>
      </c>
      <c r="D2860" t="s">
        <v>3575</v>
      </c>
      <c r="F2860">
        <v>405</v>
      </c>
      <c r="G2860">
        <v>65</v>
      </c>
      <c r="H2860" t="s">
        <v>662</v>
      </c>
      <c r="I2860" t="s">
        <v>2271</v>
      </c>
      <c r="J2860">
        <v>1423500</v>
      </c>
      <c r="K2860">
        <v>2025</v>
      </c>
      <c r="L2860">
        <v>1038646867</v>
      </c>
      <c r="M2860" t="s">
        <v>4386</v>
      </c>
      <c r="N2860" t="s">
        <v>1688</v>
      </c>
      <c r="O2860" t="s">
        <v>1686</v>
      </c>
      <c r="P2860">
        <v>0</v>
      </c>
      <c r="Q2860">
        <v>1423500</v>
      </c>
      <c r="R2860">
        <v>0</v>
      </c>
      <c r="S2860">
        <v>0</v>
      </c>
      <c r="T2860" t="str">
        <f t="shared" si="88"/>
        <v>25892.43.4302.85.0-205128.2.3.3.08.06.</v>
      </c>
      <c r="U2860" t="e" cm="1">
        <f t="array" aca="1" ref="U2860" ca="1">+IF(COMPROMISOS_2025[[#This Row],[P]]="20","41080111",_xlfn.XLOOKUP(COMPROMISOS_2025[[#This Row],[concatenado]],PAA[[#All],[RCP-RUBRO]],PAA[[#All],[INDICADOR]],"",0))</f>
        <v>#NAME?</v>
      </c>
      <c r="V2860" s="144" t="str">
        <f t="shared" si="89"/>
        <v>85</v>
      </c>
      <c r="W2860" s="136">
        <f>+COMPROMISOS_2025[[#This Row],[valor_total]]-COMPROMISOS_2025[[#This Row],[total_cancelado]]</f>
        <v>1423500</v>
      </c>
      <c r="X2860" s="136">
        <f>COMPROMISOS_2025[[#This Row],[total_ordenes]]</f>
        <v>1423500</v>
      </c>
      <c r="Y2860" t="str" cm="1">
        <f t="array" aca="1" ref="Y2860" ca="1">IFERROR(_xlfn.XLOOKUP(COMPROMISOS_2025[[#This Row],[concatenado]],PAA[[#All],[RCP-RUBRO]],PAA[[#All],[Actividad3]],VLOOKUP(COMPROMISOS_2025[[#This Row],[Indicador Principal]],$AC$2:$AD$17,2,0),0),"")</f>
        <v/>
      </c>
    </row>
    <row r="2861" spans="1:25" hidden="1" x14ac:dyDescent="0.25">
      <c r="A2861">
        <v>2591</v>
      </c>
      <c r="B2861" t="s">
        <v>2491</v>
      </c>
      <c r="C2861" t="s">
        <v>1936</v>
      </c>
      <c r="D2861" t="s">
        <v>3575</v>
      </c>
      <c r="F2861">
        <v>405</v>
      </c>
      <c r="G2861">
        <v>65</v>
      </c>
      <c r="H2861" t="s">
        <v>662</v>
      </c>
      <c r="I2861" t="s">
        <v>2271</v>
      </c>
      <c r="J2861">
        <v>1423500</v>
      </c>
      <c r="K2861">
        <v>2025</v>
      </c>
      <c r="L2861">
        <v>1038796699</v>
      </c>
      <c r="M2861" t="s">
        <v>4387</v>
      </c>
      <c r="N2861" t="s">
        <v>1688</v>
      </c>
      <c r="O2861" t="s">
        <v>1686</v>
      </c>
      <c r="P2861">
        <v>0</v>
      </c>
      <c r="Q2861">
        <v>1423500</v>
      </c>
      <c r="R2861">
        <v>0</v>
      </c>
      <c r="S2861">
        <v>0</v>
      </c>
      <c r="T2861" t="str">
        <f t="shared" si="88"/>
        <v>25912.43.4302.85.0-205128.2.3.3.08.06.</v>
      </c>
      <c r="U2861" t="e" cm="1">
        <f t="array" aca="1" ref="U2861" ca="1">+IF(COMPROMISOS_2025[[#This Row],[P]]="20","41080111",_xlfn.XLOOKUP(COMPROMISOS_2025[[#This Row],[concatenado]],PAA[[#All],[RCP-RUBRO]],PAA[[#All],[INDICADOR]],"",0))</f>
        <v>#NAME?</v>
      </c>
      <c r="V2861" s="144" t="str">
        <f t="shared" si="89"/>
        <v>85</v>
      </c>
      <c r="W2861" s="136">
        <f>+COMPROMISOS_2025[[#This Row],[valor_total]]-COMPROMISOS_2025[[#This Row],[total_cancelado]]</f>
        <v>1423500</v>
      </c>
      <c r="X2861" s="136">
        <f>COMPROMISOS_2025[[#This Row],[total_ordenes]]</f>
        <v>1423500</v>
      </c>
      <c r="Y2861" t="str" cm="1">
        <f t="array" aca="1" ref="Y2861" ca="1">IFERROR(_xlfn.XLOOKUP(COMPROMISOS_2025[[#This Row],[concatenado]],PAA[[#All],[RCP-RUBRO]],PAA[[#All],[Actividad3]],VLOOKUP(COMPROMISOS_2025[[#This Row],[Indicador Principal]],$AC$2:$AD$17,2,0),0),"")</f>
        <v/>
      </c>
    </row>
    <row r="2862" spans="1:25" hidden="1" x14ac:dyDescent="0.25">
      <c r="A2862">
        <v>2592</v>
      </c>
      <c r="B2862" t="s">
        <v>2491</v>
      </c>
      <c r="C2862" t="s">
        <v>1936</v>
      </c>
      <c r="D2862" t="s">
        <v>3575</v>
      </c>
      <c r="F2862">
        <v>405</v>
      </c>
      <c r="G2862">
        <v>65</v>
      </c>
      <c r="H2862" t="s">
        <v>662</v>
      </c>
      <c r="I2862" t="s">
        <v>2271</v>
      </c>
      <c r="J2862">
        <v>2847000</v>
      </c>
      <c r="K2862">
        <v>2025</v>
      </c>
      <c r="L2862">
        <v>1038800625</v>
      </c>
      <c r="M2862" t="s">
        <v>3805</v>
      </c>
      <c r="N2862" t="s">
        <v>1688</v>
      </c>
      <c r="O2862" t="s">
        <v>1686</v>
      </c>
      <c r="P2862">
        <v>0</v>
      </c>
      <c r="Q2862">
        <v>2847000</v>
      </c>
      <c r="R2862">
        <v>0</v>
      </c>
      <c r="S2862">
        <v>0</v>
      </c>
      <c r="T2862" t="str">
        <f t="shared" si="88"/>
        <v>25922.43.4302.85.0-205128.2.3.3.08.06.</v>
      </c>
      <c r="U2862" t="e" cm="1">
        <f t="array" aca="1" ref="U2862" ca="1">+IF(COMPROMISOS_2025[[#This Row],[P]]="20","41080111",_xlfn.XLOOKUP(COMPROMISOS_2025[[#This Row],[concatenado]],PAA[[#All],[RCP-RUBRO]],PAA[[#All],[INDICADOR]],"",0))</f>
        <v>#NAME?</v>
      </c>
      <c r="V2862" s="144" t="str">
        <f t="shared" si="89"/>
        <v>85</v>
      </c>
      <c r="W2862" s="136">
        <f>+COMPROMISOS_2025[[#This Row],[valor_total]]-COMPROMISOS_2025[[#This Row],[total_cancelado]]</f>
        <v>2847000</v>
      </c>
      <c r="X2862" s="136">
        <f>COMPROMISOS_2025[[#This Row],[total_ordenes]]</f>
        <v>2847000</v>
      </c>
      <c r="Y2862" t="str" cm="1">
        <f t="array" aca="1" ref="Y2862" ca="1">IFERROR(_xlfn.XLOOKUP(COMPROMISOS_2025[[#This Row],[concatenado]],PAA[[#All],[RCP-RUBRO]],PAA[[#All],[Actividad3]],VLOOKUP(COMPROMISOS_2025[[#This Row],[Indicador Principal]],$AC$2:$AD$17,2,0),0),"")</f>
        <v/>
      </c>
    </row>
    <row r="2863" spans="1:25" hidden="1" x14ac:dyDescent="0.25">
      <c r="A2863">
        <v>2593</v>
      </c>
      <c r="B2863" t="s">
        <v>2491</v>
      </c>
      <c r="C2863" t="s">
        <v>1936</v>
      </c>
      <c r="D2863" t="s">
        <v>3575</v>
      </c>
      <c r="F2863">
        <v>405</v>
      </c>
      <c r="G2863">
        <v>65</v>
      </c>
      <c r="H2863" t="s">
        <v>662</v>
      </c>
      <c r="I2863" t="s">
        <v>2271</v>
      </c>
      <c r="J2863">
        <v>1423500</v>
      </c>
      <c r="K2863">
        <v>2025</v>
      </c>
      <c r="L2863">
        <v>1038802466</v>
      </c>
      <c r="M2863" t="s">
        <v>4090</v>
      </c>
      <c r="N2863" t="s">
        <v>1688</v>
      </c>
      <c r="O2863" t="s">
        <v>1686</v>
      </c>
      <c r="P2863">
        <v>0</v>
      </c>
      <c r="Q2863">
        <v>1423500</v>
      </c>
      <c r="R2863">
        <v>0</v>
      </c>
      <c r="S2863">
        <v>0</v>
      </c>
      <c r="T2863" t="str">
        <f t="shared" si="88"/>
        <v>25932.43.4302.85.0-205128.2.3.3.08.06.</v>
      </c>
      <c r="U2863" t="e" cm="1">
        <f t="array" aca="1" ref="U2863" ca="1">+IF(COMPROMISOS_2025[[#This Row],[P]]="20","41080111",_xlfn.XLOOKUP(COMPROMISOS_2025[[#This Row],[concatenado]],PAA[[#All],[RCP-RUBRO]],PAA[[#All],[INDICADOR]],"",0))</f>
        <v>#NAME?</v>
      </c>
      <c r="V2863" s="144" t="str">
        <f t="shared" si="89"/>
        <v>85</v>
      </c>
      <c r="W2863" s="136">
        <f>+COMPROMISOS_2025[[#This Row],[valor_total]]-COMPROMISOS_2025[[#This Row],[total_cancelado]]</f>
        <v>1423500</v>
      </c>
      <c r="X2863" s="136">
        <f>COMPROMISOS_2025[[#This Row],[total_ordenes]]</f>
        <v>1423500</v>
      </c>
      <c r="Y2863" t="str" cm="1">
        <f t="array" aca="1" ref="Y2863" ca="1">IFERROR(_xlfn.XLOOKUP(COMPROMISOS_2025[[#This Row],[concatenado]],PAA[[#All],[RCP-RUBRO]],PAA[[#All],[Actividad3]],VLOOKUP(COMPROMISOS_2025[[#This Row],[Indicador Principal]],$AC$2:$AD$17,2,0),0),"")</f>
        <v/>
      </c>
    </row>
    <row r="2864" spans="1:25" hidden="1" x14ac:dyDescent="0.25">
      <c r="A2864">
        <v>2594</v>
      </c>
      <c r="B2864" t="s">
        <v>2491</v>
      </c>
      <c r="C2864" t="s">
        <v>1936</v>
      </c>
      <c r="D2864" t="s">
        <v>3575</v>
      </c>
      <c r="F2864">
        <v>405</v>
      </c>
      <c r="G2864">
        <v>65</v>
      </c>
      <c r="H2864" t="s">
        <v>662</v>
      </c>
      <c r="I2864" t="s">
        <v>2271</v>
      </c>
      <c r="J2864">
        <v>2847000</v>
      </c>
      <c r="K2864">
        <v>2025</v>
      </c>
      <c r="L2864">
        <v>1038803612</v>
      </c>
      <c r="M2864" t="s">
        <v>4176</v>
      </c>
      <c r="N2864" t="s">
        <v>1688</v>
      </c>
      <c r="O2864" t="s">
        <v>1686</v>
      </c>
      <c r="P2864">
        <v>0</v>
      </c>
      <c r="Q2864">
        <v>2847000</v>
      </c>
      <c r="R2864">
        <v>0</v>
      </c>
      <c r="S2864">
        <v>0</v>
      </c>
      <c r="T2864" t="str">
        <f t="shared" si="88"/>
        <v>25942.43.4302.85.0-205128.2.3.3.08.06.</v>
      </c>
      <c r="U2864" t="e" cm="1">
        <f t="array" aca="1" ref="U2864" ca="1">+IF(COMPROMISOS_2025[[#This Row],[P]]="20","41080111",_xlfn.XLOOKUP(COMPROMISOS_2025[[#This Row],[concatenado]],PAA[[#All],[RCP-RUBRO]],PAA[[#All],[INDICADOR]],"",0))</f>
        <v>#NAME?</v>
      </c>
      <c r="V2864" s="144" t="str">
        <f t="shared" si="89"/>
        <v>85</v>
      </c>
      <c r="W2864" s="136">
        <f>+COMPROMISOS_2025[[#This Row],[valor_total]]-COMPROMISOS_2025[[#This Row],[total_cancelado]]</f>
        <v>2847000</v>
      </c>
      <c r="X2864" s="136">
        <f>COMPROMISOS_2025[[#This Row],[total_ordenes]]</f>
        <v>2847000</v>
      </c>
      <c r="Y2864" t="str" cm="1">
        <f t="array" aca="1" ref="Y2864" ca="1">IFERROR(_xlfn.XLOOKUP(COMPROMISOS_2025[[#This Row],[concatenado]],PAA[[#All],[RCP-RUBRO]],PAA[[#All],[Actividad3]],VLOOKUP(COMPROMISOS_2025[[#This Row],[Indicador Principal]],$AC$2:$AD$17,2,0),0),"")</f>
        <v/>
      </c>
    </row>
    <row r="2865" spans="1:25" hidden="1" x14ac:dyDescent="0.25">
      <c r="A2865">
        <v>2595</v>
      </c>
      <c r="B2865" t="s">
        <v>2491</v>
      </c>
      <c r="C2865" t="s">
        <v>1936</v>
      </c>
      <c r="D2865" t="s">
        <v>3575</v>
      </c>
      <c r="F2865">
        <v>405</v>
      </c>
      <c r="G2865">
        <v>65</v>
      </c>
      <c r="H2865" t="s">
        <v>662</v>
      </c>
      <c r="I2865" t="s">
        <v>2271</v>
      </c>
      <c r="J2865">
        <v>1067625</v>
      </c>
      <c r="K2865">
        <v>2025</v>
      </c>
      <c r="L2865">
        <v>1038808520</v>
      </c>
      <c r="M2865" t="s">
        <v>3806</v>
      </c>
      <c r="N2865" t="s">
        <v>1688</v>
      </c>
      <c r="O2865" t="s">
        <v>1686</v>
      </c>
      <c r="P2865">
        <v>0</v>
      </c>
      <c r="Q2865">
        <v>1067625</v>
      </c>
      <c r="R2865">
        <v>0</v>
      </c>
      <c r="S2865">
        <v>0</v>
      </c>
      <c r="T2865" t="str">
        <f t="shared" si="88"/>
        <v>25952.43.4302.85.0-205128.2.3.3.08.06.</v>
      </c>
      <c r="U2865" t="e" cm="1">
        <f t="array" aca="1" ref="U2865" ca="1">+IF(COMPROMISOS_2025[[#This Row],[P]]="20","41080111",_xlfn.XLOOKUP(COMPROMISOS_2025[[#This Row],[concatenado]],PAA[[#All],[RCP-RUBRO]],PAA[[#All],[INDICADOR]],"",0))</f>
        <v>#NAME?</v>
      </c>
      <c r="V2865" s="144" t="str">
        <f t="shared" si="89"/>
        <v>85</v>
      </c>
      <c r="W2865" s="136">
        <f>+COMPROMISOS_2025[[#This Row],[valor_total]]-COMPROMISOS_2025[[#This Row],[total_cancelado]]</f>
        <v>1067625</v>
      </c>
      <c r="X2865" s="136">
        <f>COMPROMISOS_2025[[#This Row],[total_ordenes]]</f>
        <v>1067625</v>
      </c>
      <c r="Y2865" t="str" cm="1">
        <f t="array" aca="1" ref="Y2865" ca="1">IFERROR(_xlfn.XLOOKUP(COMPROMISOS_2025[[#This Row],[concatenado]],PAA[[#All],[RCP-RUBRO]],PAA[[#All],[Actividad3]],VLOOKUP(COMPROMISOS_2025[[#This Row],[Indicador Principal]],$AC$2:$AD$17,2,0),0),"")</f>
        <v/>
      </c>
    </row>
    <row r="2866" spans="1:25" hidden="1" x14ac:dyDescent="0.25">
      <c r="A2866">
        <v>2597</v>
      </c>
      <c r="B2866" t="s">
        <v>2491</v>
      </c>
      <c r="C2866" t="s">
        <v>1936</v>
      </c>
      <c r="D2866" t="s">
        <v>3575</v>
      </c>
      <c r="F2866">
        <v>405</v>
      </c>
      <c r="G2866">
        <v>65</v>
      </c>
      <c r="H2866" t="s">
        <v>662</v>
      </c>
      <c r="I2866" t="s">
        <v>2271</v>
      </c>
      <c r="J2866">
        <v>1423500</v>
      </c>
      <c r="K2866">
        <v>2025</v>
      </c>
      <c r="L2866">
        <v>1038821086</v>
      </c>
      <c r="M2866" t="s">
        <v>4093</v>
      </c>
      <c r="N2866" t="s">
        <v>1688</v>
      </c>
      <c r="O2866" t="s">
        <v>1686</v>
      </c>
      <c r="P2866">
        <v>0</v>
      </c>
      <c r="Q2866">
        <v>1423500</v>
      </c>
      <c r="R2866">
        <v>0</v>
      </c>
      <c r="S2866">
        <v>0</v>
      </c>
      <c r="T2866" t="str">
        <f t="shared" si="88"/>
        <v>25972.43.4302.85.0-205128.2.3.3.08.06.</v>
      </c>
      <c r="U2866" t="e" cm="1">
        <f t="array" aca="1" ref="U2866" ca="1">+IF(COMPROMISOS_2025[[#This Row],[P]]="20","41080111",_xlfn.XLOOKUP(COMPROMISOS_2025[[#This Row],[concatenado]],PAA[[#All],[RCP-RUBRO]],PAA[[#All],[INDICADOR]],"",0))</f>
        <v>#NAME?</v>
      </c>
      <c r="V2866" s="144" t="str">
        <f t="shared" si="89"/>
        <v>85</v>
      </c>
      <c r="W2866" s="136">
        <f>+COMPROMISOS_2025[[#This Row],[valor_total]]-COMPROMISOS_2025[[#This Row],[total_cancelado]]</f>
        <v>1423500</v>
      </c>
      <c r="X2866" s="136">
        <f>COMPROMISOS_2025[[#This Row],[total_ordenes]]</f>
        <v>1423500</v>
      </c>
      <c r="Y2866" t="str" cm="1">
        <f t="array" aca="1" ref="Y2866" ca="1">IFERROR(_xlfn.XLOOKUP(COMPROMISOS_2025[[#This Row],[concatenado]],PAA[[#All],[RCP-RUBRO]],PAA[[#All],[Actividad3]],VLOOKUP(COMPROMISOS_2025[[#This Row],[Indicador Principal]],$AC$2:$AD$17,2,0),0),"")</f>
        <v/>
      </c>
    </row>
    <row r="2867" spans="1:25" hidden="1" x14ac:dyDescent="0.25">
      <c r="A2867">
        <v>2598</v>
      </c>
      <c r="B2867" t="s">
        <v>2491</v>
      </c>
      <c r="C2867" t="s">
        <v>1936</v>
      </c>
      <c r="D2867" t="s">
        <v>3575</v>
      </c>
      <c r="F2867">
        <v>405</v>
      </c>
      <c r="G2867">
        <v>65</v>
      </c>
      <c r="H2867" t="s">
        <v>662</v>
      </c>
      <c r="I2867" t="s">
        <v>2271</v>
      </c>
      <c r="J2867">
        <v>1067625</v>
      </c>
      <c r="K2867">
        <v>2025</v>
      </c>
      <c r="L2867">
        <v>1038821295</v>
      </c>
      <c r="M2867" t="s">
        <v>4388</v>
      </c>
      <c r="N2867" t="s">
        <v>1688</v>
      </c>
      <c r="O2867" t="s">
        <v>1686</v>
      </c>
      <c r="P2867">
        <v>0</v>
      </c>
      <c r="Q2867">
        <v>1067625</v>
      </c>
      <c r="R2867">
        <v>0</v>
      </c>
      <c r="S2867">
        <v>0</v>
      </c>
      <c r="T2867" t="str">
        <f t="shared" si="88"/>
        <v>25982.43.4302.85.0-205128.2.3.3.08.06.</v>
      </c>
      <c r="U2867" t="e" cm="1">
        <f t="array" aca="1" ref="U2867" ca="1">+IF(COMPROMISOS_2025[[#This Row],[P]]="20","41080111",_xlfn.XLOOKUP(COMPROMISOS_2025[[#This Row],[concatenado]],PAA[[#All],[RCP-RUBRO]],PAA[[#All],[INDICADOR]],"",0))</f>
        <v>#NAME?</v>
      </c>
      <c r="V2867" s="144" t="str">
        <f t="shared" si="89"/>
        <v>85</v>
      </c>
      <c r="W2867" s="136">
        <f>+COMPROMISOS_2025[[#This Row],[valor_total]]-COMPROMISOS_2025[[#This Row],[total_cancelado]]</f>
        <v>1067625</v>
      </c>
      <c r="X2867" s="136">
        <f>COMPROMISOS_2025[[#This Row],[total_ordenes]]</f>
        <v>1067625</v>
      </c>
      <c r="Y2867" t="str" cm="1">
        <f t="array" aca="1" ref="Y2867" ca="1">IFERROR(_xlfn.XLOOKUP(COMPROMISOS_2025[[#This Row],[concatenado]],PAA[[#All],[RCP-RUBRO]],PAA[[#All],[Actividad3]],VLOOKUP(COMPROMISOS_2025[[#This Row],[Indicador Principal]],$AC$2:$AD$17,2,0),0),"")</f>
        <v/>
      </c>
    </row>
    <row r="2868" spans="1:25" hidden="1" x14ac:dyDescent="0.25">
      <c r="A2868">
        <v>2599</v>
      </c>
      <c r="B2868" t="s">
        <v>2491</v>
      </c>
      <c r="C2868" t="s">
        <v>1936</v>
      </c>
      <c r="D2868" t="s">
        <v>3575</v>
      </c>
      <c r="F2868">
        <v>405</v>
      </c>
      <c r="G2868">
        <v>65</v>
      </c>
      <c r="H2868" t="s">
        <v>662</v>
      </c>
      <c r="I2868" t="s">
        <v>2271</v>
      </c>
      <c r="J2868">
        <v>2847000</v>
      </c>
      <c r="K2868">
        <v>2025</v>
      </c>
      <c r="L2868">
        <v>1038822618</v>
      </c>
      <c r="M2868" t="s">
        <v>4094</v>
      </c>
      <c r="N2868" t="s">
        <v>1688</v>
      </c>
      <c r="O2868" t="s">
        <v>1686</v>
      </c>
      <c r="P2868">
        <v>0</v>
      </c>
      <c r="Q2868">
        <v>2847000</v>
      </c>
      <c r="R2868">
        <v>0</v>
      </c>
      <c r="S2868">
        <v>0</v>
      </c>
      <c r="T2868" t="str">
        <f t="shared" si="88"/>
        <v>25992.43.4302.85.0-205128.2.3.3.08.06.</v>
      </c>
      <c r="U2868" t="e" cm="1">
        <f t="array" aca="1" ref="U2868" ca="1">+IF(COMPROMISOS_2025[[#This Row],[P]]="20","41080111",_xlfn.XLOOKUP(COMPROMISOS_2025[[#This Row],[concatenado]],PAA[[#All],[RCP-RUBRO]],PAA[[#All],[INDICADOR]],"",0))</f>
        <v>#NAME?</v>
      </c>
      <c r="V2868" s="144" t="str">
        <f t="shared" si="89"/>
        <v>85</v>
      </c>
      <c r="W2868" s="136">
        <f>+COMPROMISOS_2025[[#This Row],[valor_total]]-COMPROMISOS_2025[[#This Row],[total_cancelado]]</f>
        <v>2847000</v>
      </c>
      <c r="X2868" s="136">
        <f>COMPROMISOS_2025[[#This Row],[total_ordenes]]</f>
        <v>2847000</v>
      </c>
      <c r="Y2868" t="str" cm="1">
        <f t="array" aca="1" ref="Y2868" ca="1">IFERROR(_xlfn.XLOOKUP(COMPROMISOS_2025[[#This Row],[concatenado]],PAA[[#All],[RCP-RUBRO]],PAA[[#All],[Actividad3]],VLOOKUP(COMPROMISOS_2025[[#This Row],[Indicador Principal]],$AC$2:$AD$17,2,0),0),"")</f>
        <v/>
      </c>
    </row>
    <row r="2869" spans="1:25" hidden="1" x14ac:dyDescent="0.25">
      <c r="A2869">
        <v>2600</v>
      </c>
      <c r="B2869" t="s">
        <v>2491</v>
      </c>
      <c r="C2869" t="s">
        <v>1936</v>
      </c>
      <c r="D2869" t="s">
        <v>3575</v>
      </c>
      <c r="F2869">
        <v>405</v>
      </c>
      <c r="G2869">
        <v>65</v>
      </c>
      <c r="H2869" t="s">
        <v>662</v>
      </c>
      <c r="I2869" t="s">
        <v>2271</v>
      </c>
      <c r="J2869">
        <v>1423500</v>
      </c>
      <c r="K2869">
        <v>2025</v>
      </c>
      <c r="L2869">
        <v>1038866478</v>
      </c>
      <c r="M2869" t="s">
        <v>4389</v>
      </c>
      <c r="N2869" t="s">
        <v>1688</v>
      </c>
      <c r="O2869" t="s">
        <v>1686</v>
      </c>
      <c r="P2869">
        <v>0</v>
      </c>
      <c r="Q2869">
        <v>1423500</v>
      </c>
      <c r="R2869">
        <v>0</v>
      </c>
      <c r="S2869">
        <v>0</v>
      </c>
      <c r="T2869" t="str">
        <f t="shared" si="88"/>
        <v>26002.43.4302.85.0-205128.2.3.3.08.06.</v>
      </c>
      <c r="U2869" t="e" cm="1">
        <f t="array" aca="1" ref="U2869" ca="1">+IF(COMPROMISOS_2025[[#This Row],[P]]="20","41080111",_xlfn.XLOOKUP(COMPROMISOS_2025[[#This Row],[concatenado]],PAA[[#All],[RCP-RUBRO]],PAA[[#All],[INDICADOR]],"",0))</f>
        <v>#NAME?</v>
      </c>
      <c r="V2869" s="144" t="str">
        <f t="shared" si="89"/>
        <v>85</v>
      </c>
      <c r="W2869" s="136">
        <f>+COMPROMISOS_2025[[#This Row],[valor_total]]-COMPROMISOS_2025[[#This Row],[total_cancelado]]</f>
        <v>1423500</v>
      </c>
      <c r="X2869" s="136">
        <f>COMPROMISOS_2025[[#This Row],[total_ordenes]]</f>
        <v>1423500</v>
      </c>
      <c r="Y2869" t="str" cm="1">
        <f t="array" aca="1" ref="Y2869" ca="1">IFERROR(_xlfn.XLOOKUP(COMPROMISOS_2025[[#This Row],[concatenado]],PAA[[#All],[RCP-RUBRO]],PAA[[#All],[Actividad3]],VLOOKUP(COMPROMISOS_2025[[#This Row],[Indicador Principal]],$AC$2:$AD$17,2,0),0),"")</f>
        <v/>
      </c>
    </row>
    <row r="2870" spans="1:25" hidden="1" x14ac:dyDescent="0.25">
      <c r="A2870">
        <v>2602</v>
      </c>
      <c r="B2870" t="s">
        <v>2491</v>
      </c>
      <c r="C2870" t="s">
        <v>1936</v>
      </c>
      <c r="D2870" t="s">
        <v>3575</v>
      </c>
      <c r="F2870">
        <v>405</v>
      </c>
      <c r="G2870">
        <v>65</v>
      </c>
      <c r="H2870" t="s">
        <v>662</v>
      </c>
      <c r="I2870" t="s">
        <v>2271</v>
      </c>
      <c r="J2870">
        <v>2847000</v>
      </c>
      <c r="K2870">
        <v>2025</v>
      </c>
      <c r="L2870">
        <v>1038868015</v>
      </c>
      <c r="M2870" t="s">
        <v>4390</v>
      </c>
      <c r="N2870" t="s">
        <v>1688</v>
      </c>
      <c r="O2870" t="s">
        <v>1686</v>
      </c>
      <c r="P2870">
        <v>0</v>
      </c>
      <c r="Q2870">
        <v>2847000</v>
      </c>
      <c r="R2870">
        <v>0</v>
      </c>
      <c r="S2870">
        <v>0</v>
      </c>
      <c r="T2870" t="str">
        <f t="shared" si="88"/>
        <v>26022.43.4302.85.0-205128.2.3.3.08.06.</v>
      </c>
      <c r="U2870" t="e" cm="1">
        <f t="array" aca="1" ref="U2870" ca="1">+IF(COMPROMISOS_2025[[#This Row],[P]]="20","41080111",_xlfn.XLOOKUP(COMPROMISOS_2025[[#This Row],[concatenado]],PAA[[#All],[RCP-RUBRO]],PAA[[#All],[INDICADOR]],"",0))</f>
        <v>#NAME?</v>
      </c>
      <c r="V2870" s="144" t="str">
        <f t="shared" si="89"/>
        <v>85</v>
      </c>
      <c r="W2870" s="136">
        <f>+COMPROMISOS_2025[[#This Row],[valor_total]]-COMPROMISOS_2025[[#This Row],[total_cancelado]]</f>
        <v>2847000</v>
      </c>
      <c r="X2870" s="136">
        <f>COMPROMISOS_2025[[#This Row],[total_ordenes]]</f>
        <v>2847000</v>
      </c>
      <c r="Y2870" t="str" cm="1">
        <f t="array" aca="1" ref="Y2870" ca="1">IFERROR(_xlfn.XLOOKUP(COMPROMISOS_2025[[#This Row],[concatenado]],PAA[[#All],[RCP-RUBRO]],PAA[[#All],[Actividad3]],VLOOKUP(COMPROMISOS_2025[[#This Row],[Indicador Principal]],$AC$2:$AD$17,2,0),0),"")</f>
        <v/>
      </c>
    </row>
    <row r="2871" spans="1:25" hidden="1" x14ac:dyDescent="0.25">
      <c r="A2871">
        <v>2604</v>
      </c>
      <c r="B2871" t="s">
        <v>2491</v>
      </c>
      <c r="C2871" t="s">
        <v>1936</v>
      </c>
      <c r="D2871" t="s">
        <v>3575</v>
      </c>
      <c r="F2871">
        <v>405</v>
      </c>
      <c r="G2871">
        <v>65</v>
      </c>
      <c r="H2871" t="s">
        <v>662</v>
      </c>
      <c r="I2871" t="s">
        <v>2271</v>
      </c>
      <c r="J2871">
        <v>1423500</v>
      </c>
      <c r="K2871">
        <v>2025</v>
      </c>
      <c r="L2871">
        <v>1038926502</v>
      </c>
      <c r="M2871" t="s">
        <v>3810</v>
      </c>
      <c r="N2871" t="s">
        <v>1688</v>
      </c>
      <c r="O2871" t="s">
        <v>1686</v>
      </c>
      <c r="P2871">
        <v>0</v>
      </c>
      <c r="Q2871">
        <v>1423500</v>
      </c>
      <c r="R2871">
        <v>0</v>
      </c>
      <c r="S2871">
        <v>0</v>
      </c>
      <c r="T2871" t="str">
        <f t="shared" si="88"/>
        <v>26042.43.4302.85.0-205128.2.3.3.08.06.</v>
      </c>
      <c r="U2871" t="e" cm="1">
        <f t="array" aca="1" ref="U2871" ca="1">+IF(COMPROMISOS_2025[[#This Row],[P]]="20","41080111",_xlfn.XLOOKUP(COMPROMISOS_2025[[#This Row],[concatenado]],PAA[[#All],[RCP-RUBRO]],PAA[[#All],[INDICADOR]],"",0))</f>
        <v>#NAME?</v>
      </c>
      <c r="V2871" s="144" t="str">
        <f t="shared" si="89"/>
        <v>85</v>
      </c>
      <c r="W2871" s="136">
        <f>+COMPROMISOS_2025[[#This Row],[valor_total]]-COMPROMISOS_2025[[#This Row],[total_cancelado]]</f>
        <v>1423500</v>
      </c>
      <c r="X2871" s="136">
        <f>COMPROMISOS_2025[[#This Row],[total_ordenes]]</f>
        <v>1423500</v>
      </c>
      <c r="Y2871" t="str" cm="1">
        <f t="array" aca="1" ref="Y2871" ca="1">IFERROR(_xlfn.XLOOKUP(COMPROMISOS_2025[[#This Row],[concatenado]],PAA[[#All],[RCP-RUBRO]],PAA[[#All],[Actividad3]],VLOOKUP(COMPROMISOS_2025[[#This Row],[Indicador Principal]],$AC$2:$AD$17,2,0),0),"")</f>
        <v/>
      </c>
    </row>
    <row r="2872" spans="1:25" hidden="1" x14ac:dyDescent="0.25">
      <c r="A2872">
        <v>2606</v>
      </c>
      <c r="B2872" t="s">
        <v>2491</v>
      </c>
      <c r="C2872" t="s">
        <v>1936</v>
      </c>
      <c r="D2872" t="s">
        <v>3575</v>
      </c>
      <c r="F2872">
        <v>405</v>
      </c>
      <c r="G2872">
        <v>65</v>
      </c>
      <c r="H2872" t="s">
        <v>662</v>
      </c>
      <c r="I2872" t="s">
        <v>2271</v>
      </c>
      <c r="J2872">
        <v>1423500</v>
      </c>
      <c r="K2872">
        <v>2025</v>
      </c>
      <c r="L2872">
        <v>1039451497</v>
      </c>
      <c r="M2872" t="s">
        <v>4391</v>
      </c>
      <c r="N2872" t="s">
        <v>1688</v>
      </c>
      <c r="O2872" t="s">
        <v>1686</v>
      </c>
      <c r="P2872">
        <v>0</v>
      </c>
      <c r="Q2872">
        <v>1423500</v>
      </c>
      <c r="R2872">
        <v>0</v>
      </c>
      <c r="S2872">
        <v>0</v>
      </c>
      <c r="T2872" t="str">
        <f t="shared" si="88"/>
        <v>26062.43.4302.85.0-205128.2.3.3.08.06.</v>
      </c>
      <c r="U2872" t="e" cm="1">
        <f t="array" aca="1" ref="U2872" ca="1">+IF(COMPROMISOS_2025[[#This Row],[P]]="20","41080111",_xlfn.XLOOKUP(COMPROMISOS_2025[[#This Row],[concatenado]],PAA[[#All],[RCP-RUBRO]],PAA[[#All],[INDICADOR]],"",0))</f>
        <v>#NAME?</v>
      </c>
      <c r="V2872" s="144" t="str">
        <f t="shared" si="89"/>
        <v>85</v>
      </c>
      <c r="W2872" s="136">
        <f>+COMPROMISOS_2025[[#This Row],[valor_total]]-COMPROMISOS_2025[[#This Row],[total_cancelado]]</f>
        <v>1423500</v>
      </c>
      <c r="X2872" s="136">
        <f>COMPROMISOS_2025[[#This Row],[total_ordenes]]</f>
        <v>1423500</v>
      </c>
      <c r="Y2872" t="str" cm="1">
        <f t="array" aca="1" ref="Y2872" ca="1">IFERROR(_xlfn.XLOOKUP(COMPROMISOS_2025[[#This Row],[concatenado]],PAA[[#All],[RCP-RUBRO]],PAA[[#All],[Actividad3]],VLOOKUP(COMPROMISOS_2025[[#This Row],[Indicador Principal]],$AC$2:$AD$17,2,0),0),"")</f>
        <v/>
      </c>
    </row>
    <row r="2873" spans="1:25" hidden="1" x14ac:dyDescent="0.25">
      <c r="A2873">
        <v>2607</v>
      </c>
      <c r="B2873" t="s">
        <v>2491</v>
      </c>
      <c r="C2873" t="s">
        <v>1936</v>
      </c>
      <c r="D2873" t="s">
        <v>3575</v>
      </c>
      <c r="F2873">
        <v>405</v>
      </c>
      <c r="G2873">
        <v>65</v>
      </c>
      <c r="H2873" t="s">
        <v>662</v>
      </c>
      <c r="I2873" t="s">
        <v>2271</v>
      </c>
      <c r="J2873">
        <v>711750</v>
      </c>
      <c r="K2873">
        <v>2025</v>
      </c>
      <c r="L2873">
        <v>1039463012</v>
      </c>
      <c r="M2873" t="s">
        <v>4095</v>
      </c>
      <c r="N2873" t="s">
        <v>1688</v>
      </c>
      <c r="O2873" t="s">
        <v>1686</v>
      </c>
      <c r="P2873">
        <v>0</v>
      </c>
      <c r="Q2873">
        <v>711750</v>
      </c>
      <c r="R2873">
        <v>0</v>
      </c>
      <c r="S2873">
        <v>0</v>
      </c>
      <c r="T2873" t="str">
        <f t="shared" si="88"/>
        <v>26072.43.4302.85.0-205128.2.3.3.08.06.</v>
      </c>
      <c r="U2873" t="e" cm="1">
        <f t="array" aca="1" ref="U2873" ca="1">+IF(COMPROMISOS_2025[[#This Row],[P]]="20","41080111",_xlfn.XLOOKUP(COMPROMISOS_2025[[#This Row],[concatenado]],PAA[[#All],[RCP-RUBRO]],PAA[[#All],[INDICADOR]],"",0))</f>
        <v>#NAME?</v>
      </c>
      <c r="V2873" s="144" t="str">
        <f t="shared" si="89"/>
        <v>85</v>
      </c>
      <c r="W2873" s="136">
        <f>+COMPROMISOS_2025[[#This Row],[valor_total]]-COMPROMISOS_2025[[#This Row],[total_cancelado]]</f>
        <v>711750</v>
      </c>
      <c r="X2873" s="136">
        <f>COMPROMISOS_2025[[#This Row],[total_ordenes]]</f>
        <v>711750</v>
      </c>
      <c r="Y2873" t="str" cm="1">
        <f t="array" aca="1" ref="Y2873" ca="1">IFERROR(_xlfn.XLOOKUP(COMPROMISOS_2025[[#This Row],[concatenado]],PAA[[#All],[RCP-RUBRO]],PAA[[#All],[Actividad3]],VLOOKUP(COMPROMISOS_2025[[#This Row],[Indicador Principal]],$AC$2:$AD$17,2,0),0),"")</f>
        <v/>
      </c>
    </row>
    <row r="2874" spans="1:25" hidden="1" x14ac:dyDescent="0.25">
      <c r="A2874">
        <v>2608</v>
      </c>
      <c r="B2874" t="s">
        <v>2491</v>
      </c>
      <c r="C2874" t="s">
        <v>1936</v>
      </c>
      <c r="D2874" t="s">
        <v>3575</v>
      </c>
      <c r="F2874">
        <v>405</v>
      </c>
      <c r="G2874">
        <v>65</v>
      </c>
      <c r="H2874" t="s">
        <v>662</v>
      </c>
      <c r="I2874" t="s">
        <v>2271</v>
      </c>
      <c r="J2874">
        <v>711750</v>
      </c>
      <c r="K2874">
        <v>2025</v>
      </c>
      <c r="L2874">
        <v>1039464250</v>
      </c>
      <c r="M2874" t="s">
        <v>4096</v>
      </c>
      <c r="N2874" t="s">
        <v>1688</v>
      </c>
      <c r="O2874" t="s">
        <v>1686</v>
      </c>
      <c r="P2874">
        <v>0</v>
      </c>
      <c r="Q2874">
        <v>711750</v>
      </c>
      <c r="R2874">
        <v>0</v>
      </c>
      <c r="S2874">
        <v>0</v>
      </c>
      <c r="T2874" t="str">
        <f t="shared" si="88"/>
        <v>26082.43.4302.85.0-205128.2.3.3.08.06.</v>
      </c>
      <c r="U2874" t="e" cm="1">
        <f t="array" aca="1" ref="U2874" ca="1">+IF(COMPROMISOS_2025[[#This Row],[P]]="20","41080111",_xlfn.XLOOKUP(COMPROMISOS_2025[[#This Row],[concatenado]],PAA[[#All],[RCP-RUBRO]],PAA[[#All],[INDICADOR]],"",0))</f>
        <v>#NAME?</v>
      </c>
      <c r="V2874" s="144" t="str">
        <f t="shared" si="89"/>
        <v>85</v>
      </c>
      <c r="W2874" s="136">
        <f>+COMPROMISOS_2025[[#This Row],[valor_total]]-COMPROMISOS_2025[[#This Row],[total_cancelado]]</f>
        <v>711750</v>
      </c>
      <c r="X2874" s="136">
        <f>COMPROMISOS_2025[[#This Row],[total_ordenes]]</f>
        <v>711750</v>
      </c>
      <c r="Y2874" t="str" cm="1">
        <f t="array" aca="1" ref="Y2874" ca="1">IFERROR(_xlfn.XLOOKUP(COMPROMISOS_2025[[#This Row],[concatenado]],PAA[[#All],[RCP-RUBRO]],PAA[[#All],[Actividad3]],VLOOKUP(COMPROMISOS_2025[[#This Row],[Indicador Principal]],$AC$2:$AD$17,2,0),0),"")</f>
        <v/>
      </c>
    </row>
    <row r="2875" spans="1:25" hidden="1" x14ac:dyDescent="0.25">
      <c r="A2875">
        <v>2610</v>
      </c>
      <c r="B2875" t="s">
        <v>2491</v>
      </c>
      <c r="C2875" t="s">
        <v>1936</v>
      </c>
      <c r="D2875" t="s">
        <v>3575</v>
      </c>
      <c r="F2875">
        <v>405</v>
      </c>
      <c r="G2875">
        <v>65</v>
      </c>
      <c r="H2875" t="s">
        <v>662</v>
      </c>
      <c r="I2875" t="s">
        <v>2271</v>
      </c>
      <c r="J2875">
        <v>2847000</v>
      </c>
      <c r="K2875">
        <v>2025</v>
      </c>
      <c r="L2875">
        <v>1039472052</v>
      </c>
      <c r="M2875" t="s">
        <v>3087</v>
      </c>
      <c r="N2875" t="s">
        <v>1688</v>
      </c>
      <c r="O2875" t="s">
        <v>1686</v>
      </c>
      <c r="P2875">
        <v>0</v>
      </c>
      <c r="Q2875">
        <v>2847000</v>
      </c>
      <c r="R2875">
        <v>0</v>
      </c>
      <c r="S2875">
        <v>0</v>
      </c>
      <c r="T2875" t="str">
        <f t="shared" si="88"/>
        <v>26102.43.4302.85.0-205128.2.3.3.08.06.</v>
      </c>
      <c r="U2875" t="e" cm="1">
        <f t="array" aca="1" ref="U2875" ca="1">+IF(COMPROMISOS_2025[[#This Row],[P]]="20","41080111",_xlfn.XLOOKUP(COMPROMISOS_2025[[#This Row],[concatenado]],PAA[[#All],[RCP-RUBRO]],PAA[[#All],[INDICADOR]],"",0))</f>
        <v>#NAME?</v>
      </c>
      <c r="V2875" s="144" t="str">
        <f t="shared" si="89"/>
        <v>85</v>
      </c>
      <c r="W2875" s="136">
        <f>+COMPROMISOS_2025[[#This Row],[valor_total]]-COMPROMISOS_2025[[#This Row],[total_cancelado]]</f>
        <v>2847000</v>
      </c>
      <c r="X2875" s="136">
        <f>COMPROMISOS_2025[[#This Row],[total_ordenes]]</f>
        <v>2847000</v>
      </c>
      <c r="Y2875" t="str" cm="1">
        <f t="array" aca="1" ref="Y2875" ca="1">IFERROR(_xlfn.XLOOKUP(COMPROMISOS_2025[[#This Row],[concatenado]],PAA[[#All],[RCP-RUBRO]],PAA[[#All],[Actividad3]],VLOOKUP(COMPROMISOS_2025[[#This Row],[Indicador Principal]],$AC$2:$AD$17,2,0),0),"")</f>
        <v/>
      </c>
    </row>
    <row r="2876" spans="1:25" hidden="1" x14ac:dyDescent="0.25">
      <c r="A2876">
        <v>2611</v>
      </c>
      <c r="B2876" t="s">
        <v>2491</v>
      </c>
      <c r="C2876" t="s">
        <v>1936</v>
      </c>
      <c r="D2876" t="s">
        <v>3575</v>
      </c>
      <c r="F2876">
        <v>405</v>
      </c>
      <c r="G2876">
        <v>65</v>
      </c>
      <c r="H2876" t="s">
        <v>662</v>
      </c>
      <c r="I2876" t="s">
        <v>2271</v>
      </c>
      <c r="J2876">
        <v>1423500</v>
      </c>
      <c r="K2876">
        <v>2025</v>
      </c>
      <c r="L2876">
        <v>1039472465</v>
      </c>
      <c r="M2876" t="s">
        <v>4392</v>
      </c>
      <c r="N2876" t="s">
        <v>1688</v>
      </c>
      <c r="O2876" t="s">
        <v>1686</v>
      </c>
      <c r="P2876">
        <v>0</v>
      </c>
      <c r="Q2876">
        <v>1423500</v>
      </c>
      <c r="R2876">
        <v>0</v>
      </c>
      <c r="S2876">
        <v>0</v>
      </c>
      <c r="T2876" t="str">
        <f t="shared" si="88"/>
        <v>26112.43.4302.85.0-205128.2.3.3.08.06.</v>
      </c>
      <c r="U2876" t="e" cm="1">
        <f t="array" aca="1" ref="U2876" ca="1">+IF(COMPROMISOS_2025[[#This Row],[P]]="20","41080111",_xlfn.XLOOKUP(COMPROMISOS_2025[[#This Row],[concatenado]],PAA[[#All],[RCP-RUBRO]],PAA[[#All],[INDICADOR]],"",0))</f>
        <v>#NAME?</v>
      </c>
      <c r="V2876" s="144" t="str">
        <f t="shared" si="89"/>
        <v>85</v>
      </c>
      <c r="W2876" s="136">
        <f>+COMPROMISOS_2025[[#This Row],[valor_total]]-COMPROMISOS_2025[[#This Row],[total_cancelado]]</f>
        <v>1423500</v>
      </c>
      <c r="X2876" s="136">
        <f>COMPROMISOS_2025[[#This Row],[total_ordenes]]</f>
        <v>1423500</v>
      </c>
      <c r="Y2876" t="str" cm="1">
        <f t="array" aca="1" ref="Y2876" ca="1">IFERROR(_xlfn.XLOOKUP(COMPROMISOS_2025[[#This Row],[concatenado]],PAA[[#All],[RCP-RUBRO]],PAA[[#All],[Actividad3]],VLOOKUP(COMPROMISOS_2025[[#This Row],[Indicador Principal]],$AC$2:$AD$17,2,0),0),"")</f>
        <v/>
      </c>
    </row>
    <row r="2877" spans="1:25" hidden="1" x14ac:dyDescent="0.25">
      <c r="A2877">
        <v>2612</v>
      </c>
      <c r="B2877" t="s">
        <v>2491</v>
      </c>
      <c r="C2877" t="s">
        <v>1936</v>
      </c>
      <c r="D2877" t="s">
        <v>3575</v>
      </c>
      <c r="F2877">
        <v>405</v>
      </c>
      <c r="G2877">
        <v>65</v>
      </c>
      <c r="H2877" t="s">
        <v>662</v>
      </c>
      <c r="I2877" t="s">
        <v>2271</v>
      </c>
      <c r="J2877">
        <v>1423500</v>
      </c>
      <c r="K2877">
        <v>2025</v>
      </c>
      <c r="L2877">
        <v>1039624862</v>
      </c>
      <c r="M2877" t="s">
        <v>4394</v>
      </c>
      <c r="N2877" t="s">
        <v>1688</v>
      </c>
      <c r="O2877" t="s">
        <v>1686</v>
      </c>
      <c r="P2877">
        <v>0</v>
      </c>
      <c r="Q2877">
        <v>1423500</v>
      </c>
      <c r="R2877">
        <v>0</v>
      </c>
      <c r="S2877">
        <v>0</v>
      </c>
      <c r="T2877" t="str">
        <f t="shared" si="88"/>
        <v>26122.43.4302.85.0-205128.2.3.3.08.06.</v>
      </c>
      <c r="U2877" t="e" cm="1">
        <f t="array" aca="1" ref="U2877" ca="1">+IF(COMPROMISOS_2025[[#This Row],[P]]="20","41080111",_xlfn.XLOOKUP(COMPROMISOS_2025[[#This Row],[concatenado]],PAA[[#All],[RCP-RUBRO]],PAA[[#All],[INDICADOR]],"",0))</f>
        <v>#NAME?</v>
      </c>
      <c r="V2877" s="144" t="str">
        <f t="shared" si="89"/>
        <v>85</v>
      </c>
      <c r="W2877" s="136">
        <f>+COMPROMISOS_2025[[#This Row],[valor_total]]-COMPROMISOS_2025[[#This Row],[total_cancelado]]</f>
        <v>1423500</v>
      </c>
      <c r="X2877" s="136">
        <f>COMPROMISOS_2025[[#This Row],[total_ordenes]]</f>
        <v>1423500</v>
      </c>
      <c r="Y2877" t="str" cm="1">
        <f t="array" aca="1" ref="Y2877" ca="1">IFERROR(_xlfn.XLOOKUP(COMPROMISOS_2025[[#This Row],[concatenado]],PAA[[#All],[RCP-RUBRO]],PAA[[#All],[Actividad3]],VLOOKUP(COMPROMISOS_2025[[#This Row],[Indicador Principal]],$AC$2:$AD$17,2,0),0),"")</f>
        <v/>
      </c>
    </row>
    <row r="2878" spans="1:25" hidden="1" x14ac:dyDescent="0.25">
      <c r="A2878">
        <v>2613</v>
      </c>
      <c r="B2878" t="s">
        <v>2491</v>
      </c>
      <c r="C2878" t="s">
        <v>1936</v>
      </c>
      <c r="D2878" t="s">
        <v>3575</v>
      </c>
      <c r="F2878">
        <v>405</v>
      </c>
      <c r="G2878">
        <v>65</v>
      </c>
      <c r="H2878" t="s">
        <v>662</v>
      </c>
      <c r="I2878" t="s">
        <v>2271</v>
      </c>
      <c r="J2878">
        <v>1067625</v>
      </c>
      <c r="K2878">
        <v>2025</v>
      </c>
      <c r="L2878">
        <v>1039625135</v>
      </c>
      <c r="M2878" t="s">
        <v>4395</v>
      </c>
      <c r="N2878" t="s">
        <v>1688</v>
      </c>
      <c r="O2878" t="s">
        <v>1686</v>
      </c>
      <c r="P2878">
        <v>0</v>
      </c>
      <c r="Q2878">
        <v>1067625</v>
      </c>
      <c r="R2878">
        <v>0</v>
      </c>
      <c r="S2878">
        <v>0</v>
      </c>
      <c r="T2878" t="str">
        <f t="shared" si="88"/>
        <v>26132.43.4302.85.0-205128.2.3.3.08.06.</v>
      </c>
      <c r="U2878" t="e" cm="1">
        <f t="array" aca="1" ref="U2878" ca="1">+IF(COMPROMISOS_2025[[#This Row],[P]]="20","41080111",_xlfn.XLOOKUP(COMPROMISOS_2025[[#This Row],[concatenado]],PAA[[#All],[RCP-RUBRO]],PAA[[#All],[INDICADOR]],"",0))</f>
        <v>#NAME?</v>
      </c>
      <c r="V2878" s="144" t="str">
        <f t="shared" si="89"/>
        <v>85</v>
      </c>
      <c r="W2878" s="136">
        <f>+COMPROMISOS_2025[[#This Row],[valor_total]]-COMPROMISOS_2025[[#This Row],[total_cancelado]]</f>
        <v>1067625</v>
      </c>
      <c r="X2878" s="136">
        <f>COMPROMISOS_2025[[#This Row],[total_ordenes]]</f>
        <v>1067625</v>
      </c>
      <c r="Y2878" t="str" cm="1">
        <f t="array" aca="1" ref="Y2878" ca="1">IFERROR(_xlfn.XLOOKUP(COMPROMISOS_2025[[#This Row],[concatenado]],PAA[[#All],[RCP-RUBRO]],PAA[[#All],[Actividad3]],VLOOKUP(COMPROMISOS_2025[[#This Row],[Indicador Principal]],$AC$2:$AD$17,2,0),0),"")</f>
        <v/>
      </c>
    </row>
    <row r="2879" spans="1:25" hidden="1" x14ac:dyDescent="0.25">
      <c r="A2879">
        <v>2614</v>
      </c>
      <c r="B2879" t="s">
        <v>2491</v>
      </c>
      <c r="C2879" t="s">
        <v>1936</v>
      </c>
      <c r="D2879" t="s">
        <v>3575</v>
      </c>
      <c r="F2879">
        <v>405</v>
      </c>
      <c r="G2879">
        <v>65</v>
      </c>
      <c r="H2879" t="s">
        <v>662</v>
      </c>
      <c r="I2879" t="s">
        <v>2271</v>
      </c>
      <c r="J2879">
        <v>1423500</v>
      </c>
      <c r="K2879">
        <v>2025</v>
      </c>
      <c r="L2879">
        <v>1040030720</v>
      </c>
      <c r="M2879" t="s">
        <v>4396</v>
      </c>
      <c r="N2879" t="s">
        <v>1688</v>
      </c>
      <c r="O2879" t="s">
        <v>1686</v>
      </c>
      <c r="P2879">
        <v>0</v>
      </c>
      <c r="Q2879">
        <v>1423500</v>
      </c>
      <c r="R2879">
        <v>0</v>
      </c>
      <c r="S2879">
        <v>0</v>
      </c>
      <c r="T2879" t="str">
        <f t="shared" si="88"/>
        <v>26142.43.4302.85.0-205128.2.3.3.08.06.</v>
      </c>
      <c r="U2879" t="e" cm="1">
        <f t="array" aca="1" ref="U2879" ca="1">+IF(COMPROMISOS_2025[[#This Row],[P]]="20","41080111",_xlfn.XLOOKUP(COMPROMISOS_2025[[#This Row],[concatenado]],PAA[[#All],[RCP-RUBRO]],PAA[[#All],[INDICADOR]],"",0))</f>
        <v>#NAME?</v>
      </c>
      <c r="V2879" s="144" t="str">
        <f t="shared" si="89"/>
        <v>85</v>
      </c>
      <c r="W2879" s="136">
        <f>+COMPROMISOS_2025[[#This Row],[valor_total]]-COMPROMISOS_2025[[#This Row],[total_cancelado]]</f>
        <v>1423500</v>
      </c>
      <c r="X2879" s="136">
        <f>COMPROMISOS_2025[[#This Row],[total_ordenes]]</f>
        <v>1423500</v>
      </c>
      <c r="Y2879" t="str" cm="1">
        <f t="array" aca="1" ref="Y2879" ca="1">IFERROR(_xlfn.XLOOKUP(COMPROMISOS_2025[[#This Row],[concatenado]],PAA[[#All],[RCP-RUBRO]],PAA[[#All],[Actividad3]],VLOOKUP(COMPROMISOS_2025[[#This Row],[Indicador Principal]],$AC$2:$AD$17,2,0),0),"")</f>
        <v/>
      </c>
    </row>
    <row r="2880" spans="1:25" hidden="1" x14ac:dyDescent="0.25">
      <c r="A2880">
        <v>2617</v>
      </c>
      <c r="B2880" t="s">
        <v>2491</v>
      </c>
      <c r="C2880" t="s">
        <v>1936</v>
      </c>
      <c r="D2880" t="s">
        <v>3575</v>
      </c>
      <c r="F2880">
        <v>405</v>
      </c>
      <c r="G2880">
        <v>65</v>
      </c>
      <c r="H2880" t="s">
        <v>662</v>
      </c>
      <c r="I2880" t="s">
        <v>2271</v>
      </c>
      <c r="J2880">
        <v>2847000</v>
      </c>
      <c r="K2880">
        <v>2025</v>
      </c>
      <c r="L2880">
        <v>1040041570</v>
      </c>
      <c r="M2880" t="s">
        <v>4397</v>
      </c>
      <c r="N2880" t="s">
        <v>1688</v>
      </c>
      <c r="O2880" t="s">
        <v>1686</v>
      </c>
      <c r="P2880">
        <v>0</v>
      </c>
      <c r="Q2880">
        <v>2847000</v>
      </c>
      <c r="R2880">
        <v>0</v>
      </c>
      <c r="S2880">
        <v>0</v>
      </c>
      <c r="T2880" t="str">
        <f t="shared" si="88"/>
        <v>26172.43.4302.85.0-205128.2.3.3.08.06.</v>
      </c>
      <c r="U2880" t="e" cm="1">
        <f t="array" aca="1" ref="U2880" ca="1">+IF(COMPROMISOS_2025[[#This Row],[P]]="20","41080111",_xlfn.XLOOKUP(COMPROMISOS_2025[[#This Row],[concatenado]],PAA[[#All],[RCP-RUBRO]],PAA[[#All],[INDICADOR]],"",0))</f>
        <v>#NAME?</v>
      </c>
      <c r="V2880" s="144" t="str">
        <f t="shared" si="89"/>
        <v>85</v>
      </c>
      <c r="W2880" s="136">
        <f>+COMPROMISOS_2025[[#This Row],[valor_total]]-COMPROMISOS_2025[[#This Row],[total_cancelado]]</f>
        <v>2847000</v>
      </c>
      <c r="X2880" s="136">
        <f>COMPROMISOS_2025[[#This Row],[total_ordenes]]</f>
        <v>2847000</v>
      </c>
      <c r="Y2880" t="str" cm="1">
        <f t="array" aca="1" ref="Y2880" ca="1">IFERROR(_xlfn.XLOOKUP(COMPROMISOS_2025[[#This Row],[concatenado]],PAA[[#All],[RCP-RUBRO]],PAA[[#All],[Actividad3]],VLOOKUP(COMPROMISOS_2025[[#This Row],[Indicador Principal]],$AC$2:$AD$17,2,0),0),"")</f>
        <v/>
      </c>
    </row>
    <row r="2881" spans="1:25" hidden="1" x14ac:dyDescent="0.25">
      <c r="A2881">
        <v>2618</v>
      </c>
      <c r="B2881" t="s">
        <v>2491</v>
      </c>
      <c r="C2881" t="s">
        <v>1936</v>
      </c>
      <c r="D2881" t="s">
        <v>3575</v>
      </c>
      <c r="F2881">
        <v>405</v>
      </c>
      <c r="G2881">
        <v>65</v>
      </c>
      <c r="H2881" t="s">
        <v>662</v>
      </c>
      <c r="I2881" t="s">
        <v>2271</v>
      </c>
      <c r="J2881">
        <v>1423500</v>
      </c>
      <c r="K2881">
        <v>2025</v>
      </c>
      <c r="L2881">
        <v>1040043051</v>
      </c>
      <c r="M2881" t="s">
        <v>4398</v>
      </c>
      <c r="N2881" t="s">
        <v>1688</v>
      </c>
      <c r="O2881" t="s">
        <v>1686</v>
      </c>
      <c r="P2881">
        <v>0</v>
      </c>
      <c r="Q2881">
        <v>1423500</v>
      </c>
      <c r="R2881">
        <v>0</v>
      </c>
      <c r="S2881">
        <v>0</v>
      </c>
      <c r="T2881" t="str">
        <f t="shared" si="88"/>
        <v>26182.43.4302.85.0-205128.2.3.3.08.06.</v>
      </c>
      <c r="U2881" t="e" cm="1">
        <f t="array" aca="1" ref="U2881" ca="1">+IF(COMPROMISOS_2025[[#This Row],[P]]="20","41080111",_xlfn.XLOOKUP(COMPROMISOS_2025[[#This Row],[concatenado]],PAA[[#All],[RCP-RUBRO]],PAA[[#All],[INDICADOR]],"",0))</f>
        <v>#NAME?</v>
      </c>
      <c r="V2881" s="144" t="str">
        <f t="shared" si="89"/>
        <v>85</v>
      </c>
      <c r="W2881" s="136">
        <f>+COMPROMISOS_2025[[#This Row],[valor_total]]-COMPROMISOS_2025[[#This Row],[total_cancelado]]</f>
        <v>1423500</v>
      </c>
      <c r="X2881" s="136">
        <f>COMPROMISOS_2025[[#This Row],[total_ordenes]]</f>
        <v>1423500</v>
      </c>
      <c r="Y2881" t="str" cm="1">
        <f t="array" aca="1" ref="Y2881" ca="1">IFERROR(_xlfn.XLOOKUP(COMPROMISOS_2025[[#This Row],[concatenado]],PAA[[#All],[RCP-RUBRO]],PAA[[#All],[Actividad3]],VLOOKUP(COMPROMISOS_2025[[#This Row],[Indicador Principal]],$AC$2:$AD$17,2,0),0),"")</f>
        <v/>
      </c>
    </row>
    <row r="2882" spans="1:25" hidden="1" x14ac:dyDescent="0.25">
      <c r="A2882">
        <v>2619</v>
      </c>
      <c r="B2882" t="s">
        <v>2491</v>
      </c>
      <c r="C2882" t="s">
        <v>1936</v>
      </c>
      <c r="D2882" t="s">
        <v>3575</v>
      </c>
      <c r="F2882">
        <v>405</v>
      </c>
      <c r="G2882">
        <v>65</v>
      </c>
      <c r="H2882" t="s">
        <v>662</v>
      </c>
      <c r="I2882" t="s">
        <v>2271</v>
      </c>
      <c r="J2882">
        <v>1423500</v>
      </c>
      <c r="K2882">
        <v>2025</v>
      </c>
      <c r="L2882">
        <v>1040045226</v>
      </c>
      <c r="M2882" t="s">
        <v>4399</v>
      </c>
      <c r="N2882" t="s">
        <v>1688</v>
      </c>
      <c r="O2882" t="s">
        <v>1686</v>
      </c>
      <c r="P2882">
        <v>0</v>
      </c>
      <c r="Q2882">
        <v>1423500</v>
      </c>
      <c r="R2882">
        <v>0</v>
      </c>
      <c r="S2882">
        <v>0</v>
      </c>
      <c r="T2882" t="str">
        <f t="shared" ref="T2882:T2945" si="90">IF(A2882&gt;=0,CONCATENATE(A2882,H2882),"")</f>
        <v>26192.43.4302.85.0-205128.2.3.3.08.06.</v>
      </c>
      <c r="U2882" t="e" cm="1">
        <f t="array" aca="1" ref="U2882" ca="1">+IF(COMPROMISOS_2025[[#This Row],[P]]="20","41080111",_xlfn.XLOOKUP(COMPROMISOS_2025[[#This Row],[concatenado]],PAA[[#All],[RCP-RUBRO]],PAA[[#All],[INDICADOR]],"",0))</f>
        <v>#NAME?</v>
      </c>
      <c r="V2882" s="144" t="str">
        <f t="shared" ref="V2882:V2945" si="91">+MID(H2882,11,2)</f>
        <v>85</v>
      </c>
      <c r="W2882" s="136">
        <f>+COMPROMISOS_2025[[#This Row],[valor_total]]-COMPROMISOS_2025[[#This Row],[total_cancelado]]</f>
        <v>1423500</v>
      </c>
      <c r="X2882" s="136">
        <f>COMPROMISOS_2025[[#This Row],[total_ordenes]]</f>
        <v>1423500</v>
      </c>
      <c r="Y2882" t="str" cm="1">
        <f t="array" aca="1" ref="Y2882" ca="1">IFERROR(_xlfn.XLOOKUP(COMPROMISOS_2025[[#This Row],[concatenado]],PAA[[#All],[RCP-RUBRO]],PAA[[#All],[Actividad3]],VLOOKUP(COMPROMISOS_2025[[#This Row],[Indicador Principal]],$AC$2:$AD$17,2,0),0),"")</f>
        <v/>
      </c>
    </row>
    <row r="2883" spans="1:25" hidden="1" x14ac:dyDescent="0.25">
      <c r="A2883">
        <v>2621</v>
      </c>
      <c r="B2883" t="s">
        <v>2491</v>
      </c>
      <c r="C2883" t="s">
        <v>1936</v>
      </c>
      <c r="D2883" t="s">
        <v>3575</v>
      </c>
      <c r="F2883">
        <v>405</v>
      </c>
      <c r="G2883">
        <v>65</v>
      </c>
      <c r="H2883" t="s">
        <v>662</v>
      </c>
      <c r="I2883" t="s">
        <v>2271</v>
      </c>
      <c r="J2883">
        <v>1423500</v>
      </c>
      <c r="K2883">
        <v>2025</v>
      </c>
      <c r="L2883">
        <v>1040182080</v>
      </c>
      <c r="M2883" t="s">
        <v>4097</v>
      </c>
      <c r="N2883" t="s">
        <v>1688</v>
      </c>
      <c r="O2883" t="s">
        <v>1686</v>
      </c>
      <c r="P2883">
        <v>0</v>
      </c>
      <c r="Q2883">
        <v>1423500</v>
      </c>
      <c r="R2883">
        <v>0</v>
      </c>
      <c r="S2883">
        <v>0</v>
      </c>
      <c r="T2883" t="str">
        <f t="shared" si="90"/>
        <v>26212.43.4302.85.0-205128.2.3.3.08.06.</v>
      </c>
      <c r="U2883" t="e" cm="1">
        <f t="array" aca="1" ref="U2883" ca="1">+IF(COMPROMISOS_2025[[#This Row],[P]]="20","41080111",_xlfn.XLOOKUP(COMPROMISOS_2025[[#This Row],[concatenado]],PAA[[#All],[RCP-RUBRO]],PAA[[#All],[INDICADOR]],"",0))</f>
        <v>#NAME?</v>
      </c>
      <c r="V2883" s="144" t="str">
        <f t="shared" si="91"/>
        <v>85</v>
      </c>
      <c r="W2883" s="136">
        <f>+COMPROMISOS_2025[[#This Row],[valor_total]]-COMPROMISOS_2025[[#This Row],[total_cancelado]]</f>
        <v>1423500</v>
      </c>
      <c r="X2883" s="136">
        <f>COMPROMISOS_2025[[#This Row],[total_ordenes]]</f>
        <v>1423500</v>
      </c>
      <c r="Y2883" t="str" cm="1">
        <f t="array" aca="1" ref="Y2883" ca="1">IFERROR(_xlfn.XLOOKUP(COMPROMISOS_2025[[#This Row],[concatenado]],PAA[[#All],[RCP-RUBRO]],PAA[[#All],[Actividad3]],VLOOKUP(COMPROMISOS_2025[[#This Row],[Indicador Principal]],$AC$2:$AD$17,2,0),0),"")</f>
        <v/>
      </c>
    </row>
    <row r="2884" spans="1:25" hidden="1" x14ac:dyDescent="0.25">
      <c r="A2884">
        <v>2622</v>
      </c>
      <c r="B2884" t="s">
        <v>2491</v>
      </c>
      <c r="C2884" t="s">
        <v>1936</v>
      </c>
      <c r="D2884" t="s">
        <v>3575</v>
      </c>
      <c r="F2884">
        <v>405</v>
      </c>
      <c r="G2884">
        <v>65</v>
      </c>
      <c r="H2884" t="s">
        <v>662</v>
      </c>
      <c r="I2884" t="s">
        <v>2271</v>
      </c>
      <c r="J2884">
        <v>2847000</v>
      </c>
      <c r="K2884">
        <v>2025</v>
      </c>
      <c r="L2884">
        <v>1040183108</v>
      </c>
      <c r="M2884" t="s">
        <v>4401</v>
      </c>
      <c r="N2884" t="s">
        <v>1688</v>
      </c>
      <c r="O2884" t="s">
        <v>1686</v>
      </c>
      <c r="P2884">
        <v>0</v>
      </c>
      <c r="Q2884">
        <v>2847000</v>
      </c>
      <c r="R2884">
        <v>0</v>
      </c>
      <c r="S2884">
        <v>0</v>
      </c>
      <c r="T2884" t="str">
        <f t="shared" si="90"/>
        <v>26222.43.4302.85.0-205128.2.3.3.08.06.</v>
      </c>
      <c r="U2884" t="e" cm="1">
        <f t="array" aca="1" ref="U2884" ca="1">+IF(COMPROMISOS_2025[[#This Row],[P]]="20","41080111",_xlfn.XLOOKUP(COMPROMISOS_2025[[#This Row],[concatenado]],PAA[[#All],[RCP-RUBRO]],PAA[[#All],[INDICADOR]],"",0))</f>
        <v>#NAME?</v>
      </c>
      <c r="V2884" s="144" t="str">
        <f t="shared" si="91"/>
        <v>85</v>
      </c>
      <c r="W2884" s="136">
        <f>+COMPROMISOS_2025[[#This Row],[valor_total]]-COMPROMISOS_2025[[#This Row],[total_cancelado]]</f>
        <v>2847000</v>
      </c>
      <c r="X2884" s="136">
        <f>COMPROMISOS_2025[[#This Row],[total_ordenes]]</f>
        <v>2847000</v>
      </c>
      <c r="Y2884" t="str" cm="1">
        <f t="array" aca="1" ref="Y2884" ca="1">IFERROR(_xlfn.XLOOKUP(COMPROMISOS_2025[[#This Row],[concatenado]],PAA[[#All],[RCP-RUBRO]],PAA[[#All],[Actividad3]],VLOOKUP(COMPROMISOS_2025[[#This Row],[Indicador Principal]],$AC$2:$AD$17,2,0),0),"")</f>
        <v/>
      </c>
    </row>
    <row r="2885" spans="1:25" hidden="1" x14ac:dyDescent="0.25">
      <c r="A2885">
        <v>2623</v>
      </c>
      <c r="B2885" t="s">
        <v>2491</v>
      </c>
      <c r="C2885" t="s">
        <v>1936</v>
      </c>
      <c r="D2885" t="s">
        <v>3575</v>
      </c>
      <c r="F2885">
        <v>405</v>
      </c>
      <c r="G2885">
        <v>65</v>
      </c>
      <c r="H2885" t="s">
        <v>662</v>
      </c>
      <c r="I2885" t="s">
        <v>2271</v>
      </c>
      <c r="J2885">
        <v>1423500</v>
      </c>
      <c r="K2885">
        <v>2025</v>
      </c>
      <c r="L2885">
        <v>1040358221</v>
      </c>
      <c r="M2885" t="s">
        <v>4099</v>
      </c>
      <c r="N2885" t="s">
        <v>1688</v>
      </c>
      <c r="O2885" t="s">
        <v>1686</v>
      </c>
      <c r="P2885">
        <v>0</v>
      </c>
      <c r="Q2885">
        <v>1423500</v>
      </c>
      <c r="R2885">
        <v>0</v>
      </c>
      <c r="S2885">
        <v>0</v>
      </c>
      <c r="T2885" t="str">
        <f t="shared" si="90"/>
        <v>26232.43.4302.85.0-205128.2.3.3.08.06.</v>
      </c>
      <c r="U2885" t="e" cm="1">
        <f t="array" aca="1" ref="U2885" ca="1">+IF(COMPROMISOS_2025[[#This Row],[P]]="20","41080111",_xlfn.XLOOKUP(COMPROMISOS_2025[[#This Row],[concatenado]],PAA[[#All],[RCP-RUBRO]],PAA[[#All],[INDICADOR]],"",0))</f>
        <v>#NAME?</v>
      </c>
      <c r="V2885" s="144" t="str">
        <f t="shared" si="91"/>
        <v>85</v>
      </c>
      <c r="W2885" s="136">
        <f>+COMPROMISOS_2025[[#This Row],[valor_total]]-COMPROMISOS_2025[[#This Row],[total_cancelado]]</f>
        <v>1423500</v>
      </c>
      <c r="X2885" s="136">
        <f>COMPROMISOS_2025[[#This Row],[total_ordenes]]</f>
        <v>1423500</v>
      </c>
      <c r="Y2885" t="str" cm="1">
        <f t="array" aca="1" ref="Y2885" ca="1">IFERROR(_xlfn.XLOOKUP(COMPROMISOS_2025[[#This Row],[concatenado]],PAA[[#All],[RCP-RUBRO]],PAA[[#All],[Actividad3]],VLOOKUP(COMPROMISOS_2025[[#This Row],[Indicador Principal]],$AC$2:$AD$17,2,0),0),"")</f>
        <v/>
      </c>
    </row>
    <row r="2886" spans="1:25" hidden="1" x14ac:dyDescent="0.25">
      <c r="A2886">
        <v>2627</v>
      </c>
      <c r="B2886" t="s">
        <v>2491</v>
      </c>
      <c r="C2886" t="s">
        <v>1936</v>
      </c>
      <c r="D2886" t="s">
        <v>3575</v>
      </c>
      <c r="F2886">
        <v>405</v>
      </c>
      <c r="G2886">
        <v>65</v>
      </c>
      <c r="H2886" t="s">
        <v>662</v>
      </c>
      <c r="I2886" t="s">
        <v>2271</v>
      </c>
      <c r="J2886">
        <v>1423500</v>
      </c>
      <c r="K2886">
        <v>2025</v>
      </c>
      <c r="L2886">
        <v>1040368045</v>
      </c>
      <c r="M2886" t="s">
        <v>4402</v>
      </c>
      <c r="N2886" t="s">
        <v>1688</v>
      </c>
      <c r="O2886" t="s">
        <v>1686</v>
      </c>
      <c r="P2886">
        <v>0</v>
      </c>
      <c r="Q2886">
        <v>1423500</v>
      </c>
      <c r="R2886">
        <v>0</v>
      </c>
      <c r="S2886">
        <v>0</v>
      </c>
      <c r="T2886" t="str">
        <f t="shared" si="90"/>
        <v>26272.43.4302.85.0-205128.2.3.3.08.06.</v>
      </c>
      <c r="U2886" t="e" cm="1">
        <f t="array" aca="1" ref="U2886" ca="1">+IF(COMPROMISOS_2025[[#This Row],[P]]="20","41080111",_xlfn.XLOOKUP(COMPROMISOS_2025[[#This Row],[concatenado]],PAA[[#All],[RCP-RUBRO]],PAA[[#All],[INDICADOR]],"",0))</f>
        <v>#NAME?</v>
      </c>
      <c r="V2886" s="144" t="str">
        <f t="shared" si="91"/>
        <v>85</v>
      </c>
      <c r="W2886" s="136">
        <f>+COMPROMISOS_2025[[#This Row],[valor_total]]-COMPROMISOS_2025[[#This Row],[total_cancelado]]</f>
        <v>1423500</v>
      </c>
      <c r="X2886" s="136">
        <f>COMPROMISOS_2025[[#This Row],[total_ordenes]]</f>
        <v>1423500</v>
      </c>
      <c r="Y2886" t="str" cm="1">
        <f t="array" aca="1" ref="Y2886" ca="1">IFERROR(_xlfn.XLOOKUP(COMPROMISOS_2025[[#This Row],[concatenado]],PAA[[#All],[RCP-RUBRO]],PAA[[#All],[Actividad3]],VLOOKUP(COMPROMISOS_2025[[#This Row],[Indicador Principal]],$AC$2:$AD$17,2,0),0),"")</f>
        <v/>
      </c>
    </row>
    <row r="2887" spans="1:25" hidden="1" x14ac:dyDescent="0.25">
      <c r="A2887">
        <v>2628</v>
      </c>
      <c r="B2887" t="s">
        <v>2491</v>
      </c>
      <c r="C2887" t="s">
        <v>1936</v>
      </c>
      <c r="D2887" t="s">
        <v>3575</v>
      </c>
      <c r="F2887">
        <v>405</v>
      </c>
      <c r="G2887">
        <v>65</v>
      </c>
      <c r="H2887" t="s">
        <v>662</v>
      </c>
      <c r="I2887" t="s">
        <v>2271</v>
      </c>
      <c r="J2887">
        <v>1423500</v>
      </c>
      <c r="K2887">
        <v>2025</v>
      </c>
      <c r="L2887">
        <v>1040368312</v>
      </c>
      <c r="M2887" t="s">
        <v>3819</v>
      </c>
      <c r="N2887" t="s">
        <v>1688</v>
      </c>
      <c r="O2887" t="s">
        <v>1686</v>
      </c>
      <c r="P2887">
        <v>0</v>
      </c>
      <c r="Q2887">
        <v>1423500</v>
      </c>
      <c r="R2887">
        <v>0</v>
      </c>
      <c r="S2887">
        <v>0</v>
      </c>
      <c r="T2887" t="str">
        <f t="shared" si="90"/>
        <v>26282.43.4302.85.0-205128.2.3.3.08.06.</v>
      </c>
      <c r="U2887" t="e" cm="1">
        <f t="array" aca="1" ref="U2887" ca="1">+IF(COMPROMISOS_2025[[#This Row],[P]]="20","41080111",_xlfn.XLOOKUP(COMPROMISOS_2025[[#This Row],[concatenado]],PAA[[#All],[RCP-RUBRO]],PAA[[#All],[INDICADOR]],"",0))</f>
        <v>#NAME?</v>
      </c>
      <c r="V2887" s="144" t="str">
        <f t="shared" si="91"/>
        <v>85</v>
      </c>
      <c r="W2887" s="136">
        <f>+COMPROMISOS_2025[[#This Row],[valor_total]]-COMPROMISOS_2025[[#This Row],[total_cancelado]]</f>
        <v>1423500</v>
      </c>
      <c r="X2887" s="136">
        <f>COMPROMISOS_2025[[#This Row],[total_ordenes]]</f>
        <v>1423500</v>
      </c>
      <c r="Y2887" t="str" cm="1">
        <f t="array" aca="1" ref="Y2887" ca="1">IFERROR(_xlfn.XLOOKUP(COMPROMISOS_2025[[#This Row],[concatenado]],PAA[[#All],[RCP-RUBRO]],PAA[[#All],[Actividad3]],VLOOKUP(COMPROMISOS_2025[[#This Row],[Indicador Principal]],$AC$2:$AD$17,2,0),0),"")</f>
        <v/>
      </c>
    </row>
    <row r="2888" spans="1:25" hidden="1" x14ac:dyDescent="0.25">
      <c r="A2888">
        <v>2630</v>
      </c>
      <c r="B2888" t="s">
        <v>2491</v>
      </c>
      <c r="C2888" t="s">
        <v>1936</v>
      </c>
      <c r="D2888" t="s">
        <v>3575</v>
      </c>
      <c r="F2888">
        <v>405</v>
      </c>
      <c r="G2888">
        <v>65</v>
      </c>
      <c r="H2888" t="s">
        <v>662</v>
      </c>
      <c r="I2888" t="s">
        <v>2271</v>
      </c>
      <c r="J2888">
        <v>711750</v>
      </c>
      <c r="K2888">
        <v>2025</v>
      </c>
      <c r="L2888">
        <v>1040506785</v>
      </c>
      <c r="M2888" t="s">
        <v>4101</v>
      </c>
      <c r="N2888" t="s">
        <v>1688</v>
      </c>
      <c r="O2888" t="s">
        <v>1686</v>
      </c>
      <c r="P2888">
        <v>0</v>
      </c>
      <c r="Q2888">
        <v>711750</v>
      </c>
      <c r="R2888">
        <v>0</v>
      </c>
      <c r="S2888">
        <v>0</v>
      </c>
      <c r="T2888" t="str">
        <f t="shared" si="90"/>
        <v>26302.43.4302.85.0-205128.2.3.3.08.06.</v>
      </c>
      <c r="U2888" t="e" cm="1">
        <f t="array" aca="1" ref="U2888" ca="1">+IF(COMPROMISOS_2025[[#This Row],[P]]="20","41080111",_xlfn.XLOOKUP(COMPROMISOS_2025[[#This Row],[concatenado]],PAA[[#All],[RCP-RUBRO]],PAA[[#All],[INDICADOR]],"",0))</f>
        <v>#NAME?</v>
      </c>
      <c r="V2888" s="144" t="str">
        <f t="shared" si="91"/>
        <v>85</v>
      </c>
      <c r="W2888" s="136">
        <f>+COMPROMISOS_2025[[#This Row],[valor_total]]-COMPROMISOS_2025[[#This Row],[total_cancelado]]</f>
        <v>711750</v>
      </c>
      <c r="X2888" s="136">
        <f>COMPROMISOS_2025[[#This Row],[total_ordenes]]</f>
        <v>711750</v>
      </c>
      <c r="Y2888" t="str" cm="1">
        <f t="array" aca="1" ref="Y2888" ca="1">IFERROR(_xlfn.XLOOKUP(COMPROMISOS_2025[[#This Row],[concatenado]],PAA[[#All],[RCP-RUBRO]],PAA[[#All],[Actividad3]],VLOOKUP(COMPROMISOS_2025[[#This Row],[Indicador Principal]],$AC$2:$AD$17,2,0),0),"")</f>
        <v/>
      </c>
    </row>
    <row r="2889" spans="1:25" hidden="1" x14ac:dyDescent="0.25">
      <c r="A2889">
        <v>2631</v>
      </c>
      <c r="B2889" t="s">
        <v>2491</v>
      </c>
      <c r="C2889" t="s">
        <v>1936</v>
      </c>
      <c r="D2889" t="s">
        <v>3575</v>
      </c>
      <c r="F2889">
        <v>405</v>
      </c>
      <c r="G2889">
        <v>65</v>
      </c>
      <c r="H2889" t="s">
        <v>662</v>
      </c>
      <c r="I2889" t="s">
        <v>2271</v>
      </c>
      <c r="J2889">
        <v>1067625</v>
      </c>
      <c r="K2889">
        <v>2025</v>
      </c>
      <c r="L2889">
        <v>1040571699</v>
      </c>
      <c r="M2889" t="s">
        <v>4403</v>
      </c>
      <c r="N2889" t="s">
        <v>1688</v>
      </c>
      <c r="O2889" t="s">
        <v>1686</v>
      </c>
      <c r="P2889">
        <v>0</v>
      </c>
      <c r="Q2889">
        <v>1067625</v>
      </c>
      <c r="R2889">
        <v>0</v>
      </c>
      <c r="S2889">
        <v>0</v>
      </c>
      <c r="T2889" t="str">
        <f t="shared" si="90"/>
        <v>26312.43.4302.85.0-205128.2.3.3.08.06.</v>
      </c>
      <c r="U2889" t="e" cm="1">
        <f t="array" aca="1" ref="U2889" ca="1">+IF(COMPROMISOS_2025[[#This Row],[P]]="20","41080111",_xlfn.XLOOKUP(COMPROMISOS_2025[[#This Row],[concatenado]],PAA[[#All],[RCP-RUBRO]],PAA[[#All],[INDICADOR]],"",0))</f>
        <v>#NAME?</v>
      </c>
      <c r="V2889" s="144" t="str">
        <f t="shared" si="91"/>
        <v>85</v>
      </c>
      <c r="W2889" s="136">
        <f>+COMPROMISOS_2025[[#This Row],[valor_total]]-COMPROMISOS_2025[[#This Row],[total_cancelado]]</f>
        <v>1067625</v>
      </c>
      <c r="X2889" s="136">
        <f>COMPROMISOS_2025[[#This Row],[total_ordenes]]</f>
        <v>1067625</v>
      </c>
      <c r="Y2889" t="str" cm="1">
        <f t="array" aca="1" ref="Y2889" ca="1">IFERROR(_xlfn.XLOOKUP(COMPROMISOS_2025[[#This Row],[concatenado]],PAA[[#All],[RCP-RUBRO]],PAA[[#All],[Actividad3]],VLOOKUP(COMPROMISOS_2025[[#This Row],[Indicador Principal]],$AC$2:$AD$17,2,0),0),"")</f>
        <v/>
      </c>
    </row>
    <row r="2890" spans="1:25" hidden="1" x14ac:dyDescent="0.25">
      <c r="A2890">
        <v>2634</v>
      </c>
      <c r="B2890" t="s">
        <v>2491</v>
      </c>
      <c r="C2890" t="s">
        <v>1936</v>
      </c>
      <c r="D2890" t="s">
        <v>3575</v>
      </c>
      <c r="F2890">
        <v>405</v>
      </c>
      <c r="G2890">
        <v>65</v>
      </c>
      <c r="H2890" t="s">
        <v>662</v>
      </c>
      <c r="I2890" t="s">
        <v>2271</v>
      </c>
      <c r="J2890">
        <v>711750</v>
      </c>
      <c r="K2890">
        <v>2025</v>
      </c>
      <c r="L2890">
        <v>1040752849</v>
      </c>
      <c r="M2890" t="s">
        <v>4404</v>
      </c>
      <c r="N2890" t="s">
        <v>1688</v>
      </c>
      <c r="O2890" t="s">
        <v>1686</v>
      </c>
      <c r="P2890">
        <v>0</v>
      </c>
      <c r="Q2890">
        <v>711750</v>
      </c>
      <c r="R2890">
        <v>0</v>
      </c>
      <c r="S2890">
        <v>0</v>
      </c>
      <c r="T2890" t="str">
        <f t="shared" si="90"/>
        <v>26342.43.4302.85.0-205128.2.3.3.08.06.</v>
      </c>
      <c r="U2890" t="e" cm="1">
        <f t="array" aca="1" ref="U2890" ca="1">+IF(COMPROMISOS_2025[[#This Row],[P]]="20","41080111",_xlfn.XLOOKUP(COMPROMISOS_2025[[#This Row],[concatenado]],PAA[[#All],[RCP-RUBRO]],PAA[[#All],[INDICADOR]],"",0))</f>
        <v>#NAME?</v>
      </c>
      <c r="V2890" s="144" t="str">
        <f t="shared" si="91"/>
        <v>85</v>
      </c>
      <c r="W2890" s="136">
        <f>+COMPROMISOS_2025[[#This Row],[valor_total]]-COMPROMISOS_2025[[#This Row],[total_cancelado]]</f>
        <v>711750</v>
      </c>
      <c r="X2890" s="136">
        <f>COMPROMISOS_2025[[#This Row],[total_ordenes]]</f>
        <v>711750</v>
      </c>
      <c r="Y2890" t="str" cm="1">
        <f t="array" aca="1" ref="Y2890" ca="1">IFERROR(_xlfn.XLOOKUP(COMPROMISOS_2025[[#This Row],[concatenado]],PAA[[#All],[RCP-RUBRO]],PAA[[#All],[Actividad3]],VLOOKUP(COMPROMISOS_2025[[#This Row],[Indicador Principal]],$AC$2:$AD$17,2,0),0),"")</f>
        <v/>
      </c>
    </row>
    <row r="2891" spans="1:25" hidden="1" x14ac:dyDescent="0.25">
      <c r="A2891">
        <v>2635</v>
      </c>
      <c r="B2891" t="s">
        <v>2491</v>
      </c>
      <c r="C2891" t="s">
        <v>1936</v>
      </c>
      <c r="D2891" t="s">
        <v>3575</v>
      </c>
      <c r="F2891">
        <v>405</v>
      </c>
      <c r="G2891">
        <v>65</v>
      </c>
      <c r="H2891" t="s">
        <v>662</v>
      </c>
      <c r="I2891" t="s">
        <v>2271</v>
      </c>
      <c r="J2891">
        <v>2847000</v>
      </c>
      <c r="K2891">
        <v>2025</v>
      </c>
      <c r="L2891">
        <v>1040871903</v>
      </c>
      <c r="M2891" t="s">
        <v>4405</v>
      </c>
      <c r="N2891" t="s">
        <v>1688</v>
      </c>
      <c r="O2891" t="s">
        <v>1686</v>
      </c>
      <c r="P2891">
        <v>0</v>
      </c>
      <c r="Q2891">
        <v>2847000</v>
      </c>
      <c r="R2891">
        <v>0</v>
      </c>
      <c r="S2891">
        <v>0</v>
      </c>
      <c r="T2891" t="str">
        <f t="shared" si="90"/>
        <v>26352.43.4302.85.0-205128.2.3.3.08.06.</v>
      </c>
      <c r="U2891" t="e" cm="1">
        <f t="array" aca="1" ref="U2891" ca="1">+IF(COMPROMISOS_2025[[#This Row],[P]]="20","41080111",_xlfn.XLOOKUP(COMPROMISOS_2025[[#This Row],[concatenado]],PAA[[#All],[RCP-RUBRO]],PAA[[#All],[INDICADOR]],"",0))</f>
        <v>#NAME?</v>
      </c>
      <c r="V2891" s="144" t="str">
        <f t="shared" si="91"/>
        <v>85</v>
      </c>
      <c r="W2891" s="136">
        <f>+COMPROMISOS_2025[[#This Row],[valor_total]]-COMPROMISOS_2025[[#This Row],[total_cancelado]]</f>
        <v>2847000</v>
      </c>
      <c r="X2891" s="136">
        <f>COMPROMISOS_2025[[#This Row],[total_ordenes]]</f>
        <v>2847000</v>
      </c>
      <c r="Y2891" t="str" cm="1">
        <f t="array" aca="1" ref="Y2891" ca="1">IFERROR(_xlfn.XLOOKUP(COMPROMISOS_2025[[#This Row],[concatenado]],PAA[[#All],[RCP-RUBRO]],PAA[[#All],[Actividad3]],VLOOKUP(COMPROMISOS_2025[[#This Row],[Indicador Principal]],$AC$2:$AD$17,2,0),0),"")</f>
        <v/>
      </c>
    </row>
    <row r="2892" spans="1:25" hidden="1" x14ac:dyDescent="0.25">
      <c r="A2892">
        <v>2636</v>
      </c>
      <c r="B2892" t="s">
        <v>2491</v>
      </c>
      <c r="C2892" t="s">
        <v>1936</v>
      </c>
      <c r="D2892" t="s">
        <v>3575</v>
      </c>
      <c r="F2892">
        <v>405</v>
      </c>
      <c r="G2892">
        <v>65</v>
      </c>
      <c r="H2892" t="s">
        <v>662</v>
      </c>
      <c r="I2892" t="s">
        <v>2271</v>
      </c>
      <c r="J2892">
        <v>1067625</v>
      </c>
      <c r="K2892">
        <v>2025</v>
      </c>
      <c r="L2892">
        <v>1040872930</v>
      </c>
      <c r="M2892" t="s">
        <v>4102</v>
      </c>
      <c r="N2892" t="s">
        <v>1688</v>
      </c>
      <c r="O2892" t="s">
        <v>1686</v>
      </c>
      <c r="P2892">
        <v>0</v>
      </c>
      <c r="Q2892">
        <v>1067625</v>
      </c>
      <c r="R2892">
        <v>0</v>
      </c>
      <c r="S2892">
        <v>0</v>
      </c>
      <c r="T2892" t="str">
        <f t="shared" si="90"/>
        <v>26362.43.4302.85.0-205128.2.3.3.08.06.</v>
      </c>
      <c r="U2892" t="e" cm="1">
        <f t="array" aca="1" ref="U2892" ca="1">+IF(COMPROMISOS_2025[[#This Row],[P]]="20","41080111",_xlfn.XLOOKUP(COMPROMISOS_2025[[#This Row],[concatenado]],PAA[[#All],[RCP-RUBRO]],PAA[[#All],[INDICADOR]],"",0))</f>
        <v>#NAME?</v>
      </c>
      <c r="V2892" s="144" t="str">
        <f t="shared" si="91"/>
        <v>85</v>
      </c>
      <c r="W2892" s="136">
        <f>+COMPROMISOS_2025[[#This Row],[valor_total]]-COMPROMISOS_2025[[#This Row],[total_cancelado]]</f>
        <v>1067625</v>
      </c>
      <c r="X2892" s="136">
        <f>COMPROMISOS_2025[[#This Row],[total_ordenes]]</f>
        <v>1067625</v>
      </c>
      <c r="Y2892" t="str" cm="1">
        <f t="array" aca="1" ref="Y2892" ca="1">IFERROR(_xlfn.XLOOKUP(COMPROMISOS_2025[[#This Row],[concatenado]],PAA[[#All],[RCP-RUBRO]],PAA[[#All],[Actividad3]],VLOOKUP(COMPROMISOS_2025[[#This Row],[Indicador Principal]],$AC$2:$AD$17,2,0),0),"")</f>
        <v/>
      </c>
    </row>
    <row r="2893" spans="1:25" hidden="1" x14ac:dyDescent="0.25">
      <c r="A2893">
        <v>2638</v>
      </c>
      <c r="B2893" t="s">
        <v>2491</v>
      </c>
      <c r="C2893" t="s">
        <v>1936</v>
      </c>
      <c r="D2893" t="s">
        <v>3575</v>
      </c>
      <c r="F2893">
        <v>405</v>
      </c>
      <c r="G2893">
        <v>65</v>
      </c>
      <c r="H2893" t="s">
        <v>662</v>
      </c>
      <c r="I2893" t="s">
        <v>2271</v>
      </c>
      <c r="J2893">
        <v>2847000</v>
      </c>
      <c r="K2893">
        <v>2025</v>
      </c>
      <c r="L2893">
        <v>1040874350</v>
      </c>
      <c r="M2893" t="s">
        <v>4406</v>
      </c>
      <c r="N2893" t="s">
        <v>1688</v>
      </c>
      <c r="O2893" t="s">
        <v>1686</v>
      </c>
      <c r="P2893">
        <v>0</v>
      </c>
      <c r="Q2893">
        <v>2847000</v>
      </c>
      <c r="R2893">
        <v>0</v>
      </c>
      <c r="S2893">
        <v>0</v>
      </c>
      <c r="T2893" t="str">
        <f t="shared" si="90"/>
        <v>26382.43.4302.85.0-205128.2.3.3.08.06.</v>
      </c>
      <c r="U2893" t="e" cm="1">
        <f t="array" aca="1" ref="U2893" ca="1">+IF(COMPROMISOS_2025[[#This Row],[P]]="20","41080111",_xlfn.XLOOKUP(COMPROMISOS_2025[[#This Row],[concatenado]],PAA[[#All],[RCP-RUBRO]],PAA[[#All],[INDICADOR]],"",0))</f>
        <v>#NAME?</v>
      </c>
      <c r="V2893" s="144" t="str">
        <f t="shared" si="91"/>
        <v>85</v>
      </c>
      <c r="W2893" s="136">
        <f>+COMPROMISOS_2025[[#This Row],[valor_total]]-COMPROMISOS_2025[[#This Row],[total_cancelado]]</f>
        <v>2847000</v>
      </c>
      <c r="X2893" s="136">
        <f>COMPROMISOS_2025[[#This Row],[total_ordenes]]</f>
        <v>2847000</v>
      </c>
      <c r="Y2893" t="str" cm="1">
        <f t="array" aca="1" ref="Y2893" ca="1">IFERROR(_xlfn.XLOOKUP(COMPROMISOS_2025[[#This Row],[concatenado]],PAA[[#All],[RCP-RUBRO]],PAA[[#All],[Actividad3]],VLOOKUP(COMPROMISOS_2025[[#This Row],[Indicador Principal]],$AC$2:$AD$17,2,0),0),"")</f>
        <v/>
      </c>
    </row>
    <row r="2894" spans="1:25" hidden="1" x14ac:dyDescent="0.25">
      <c r="A2894">
        <v>2639</v>
      </c>
      <c r="B2894" t="s">
        <v>2491</v>
      </c>
      <c r="C2894" t="s">
        <v>1936</v>
      </c>
      <c r="D2894" t="s">
        <v>3575</v>
      </c>
      <c r="F2894">
        <v>405</v>
      </c>
      <c r="G2894">
        <v>65</v>
      </c>
      <c r="H2894" t="s">
        <v>662</v>
      </c>
      <c r="I2894" t="s">
        <v>2271</v>
      </c>
      <c r="J2894">
        <v>4270500</v>
      </c>
      <c r="K2894">
        <v>2025</v>
      </c>
      <c r="L2894">
        <v>1040878283</v>
      </c>
      <c r="M2894" t="s">
        <v>4104</v>
      </c>
      <c r="N2894" t="s">
        <v>1688</v>
      </c>
      <c r="O2894" t="s">
        <v>1686</v>
      </c>
      <c r="P2894">
        <v>0</v>
      </c>
      <c r="Q2894">
        <v>4270500</v>
      </c>
      <c r="R2894">
        <v>0</v>
      </c>
      <c r="S2894">
        <v>0</v>
      </c>
      <c r="T2894" t="str">
        <f t="shared" si="90"/>
        <v>26392.43.4302.85.0-205128.2.3.3.08.06.</v>
      </c>
      <c r="U2894" t="e" cm="1">
        <f t="array" aca="1" ref="U2894" ca="1">+IF(COMPROMISOS_2025[[#This Row],[P]]="20","41080111",_xlfn.XLOOKUP(COMPROMISOS_2025[[#This Row],[concatenado]],PAA[[#All],[RCP-RUBRO]],PAA[[#All],[INDICADOR]],"",0))</f>
        <v>#NAME?</v>
      </c>
      <c r="V2894" s="144" t="str">
        <f t="shared" si="91"/>
        <v>85</v>
      </c>
      <c r="W2894" s="136">
        <f>+COMPROMISOS_2025[[#This Row],[valor_total]]-COMPROMISOS_2025[[#This Row],[total_cancelado]]</f>
        <v>4270500</v>
      </c>
      <c r="X2894" s="136">
        <f>COMPROMISOS_2025[[#This Row],[total_ordenes]]</f>
        <v>4270500</v>
      </c>
      <c r="Y2894" t="str" cm="1">
        <f t="array" aca="1" ref="Y2894" ca="1">IFERROR(_xlfn.XLOOKUP(COMPROMISOS_2025[[#This Row],[concatenado]],PAA[[#All],[RCP-RUBRO]],PAA[[#All],[Actividad3]],VLOOKUP(COMPROMISOS_2025[[#This Row],[Indicador Principal]],$AC$2:$AD$17,2,0),0),"")</f>
        <v/>
      </c>
    </row>
    <row r="2895" spans="1:25" hidden="1" x14ac:dyDescent="0.25">
      <c r="A2895">
        <v>2642</v>
      </c>
      <c r="B2895" t="s">
        <v>2491</v>
      </c>
      <c r="C2895" t="s">
        <v>1936</v>
      </c>
      <c r="D2895" t="s">
        <v>3575</v>
      </c>
      <c r="F2895">
        <v>405</v>
      </c>
      <c r="G2895">
        <v>65</v>
      </c>
      <c r="H2895" t="s">
        <v>662</v>
      </c>
      <c r="I2895" t="s">
        <v>2271</v>
      </c>
      <c r="J2895">
        <v>711750</v>
      </c>
      <c r="K2895">
        <v>2025</v>
      </c>
      <c r="L2895">
        <v>1041267837</v>
      </c>
      <c r="M2895" t="s">
        <v>4407</v>
      </c>
      <c r="N2895" t="s">
        <v>1688</v>
      </c>
      <c r="O2895" t="s">
        <v>1686</v>
      </c>
      <c r="P2895">
        <v>0</v>
      </c>
      <c r="Q2895">
        <v>711750</v>
      </c>
      <c r="R2895">
        <v>0</v>
      </c>
      <c r="S2895">
        <v>0</v>
      </c>
      <c r="T2895" t="str">
        <f t="shared" si="90"/>
        <v>26422.43.4302.85.0-205128.2.3.3.08.06.</v>
      </c>
      <c r="U2895" t="e" cm="1">
        <f t="array" aca="1" ref="U2895" ca="1">+IF(COMPROMISOS_2025[[#This Row],[P]]="20","41080111",_xlfn.XLOOKUP(COMPROMISOS_2025[[#This Row],[concatenado]],PAA[[#All],[RCP-RUBRO]],PAA[[#All],[INDICADOR]],"",0))</f>
        <v>#NAME?</v>
      </c>
      <c r="V2895" s="144" t="str">
        <f t="shared" si="91"/>
        <v>85</v>
      </c>
      <c r="W2895" s="136">
        <f>+COMPROMISOS_2025[[#This Row],[valor_total]]-COMPROMISOS_2025[[#This Row],[total_cancelado]]</f>
        <v>711750</v>
      </c>
      <c r="X2895" s="136">
        <f>COMPROMISOS_2025[[#This Row],[total_ordenes]]</f>
        <v>711750</v>
      </c>
      <c r="Y2895" t="str" cm="1">
        <f t="array" aca="1" ref="Y2895" ca="1">IFERROR(_xlfn.XLOOKUP(COMPROMISOS_2025[[#This Row],[concatenado]],PAA[[#All],[RCP-RUBRO]],PAA[[#All],[Actividad3]],VLOOKUP(COMPROMISOS_2025[[#This Row],[Indicador Principal]],$AC$2:$AD$17,2,0),0),"")</f>
        <v/>
      </c>
    </row>
    <row r="2896" spans="1:25" hidden="1" x14ac:dyDescent="0.25">
      <c r="A2896">
        <v>2644</v>
      </c>
      <c r="B2896" t="s">
        <v>2491</v>
      </c>
      <c r="C2896" t="s">
        <v>1936</v>
      </c>
      <c r="D2896" t="s">
        <v>3575</v>
      </c>
      <c r="F2896">
        <v>405</v>
      </c>
      <c r="G2896">
        <v>65</v>
      </c>
      <c r="H2896" t="s">
        <v>662</v>
      </c>
      <c r="I2896" t="s">
        <v>2271</v>
      </c>
      <c r="J2896">
        <v>1067625</v>
      </c>
      <c r="K2896">
        <v>2025</v>
      </c>
      <c r="L2896">
        <v>1041533751</v>
      </c>
      <c r="M2896" t="s">
        <v>4408</v>
      </c>
      <c r="N2896" t="s">
        <v>1688</v>
      </c>
      <c r="O2896" t="s">
        <v>1686</v>
      </c>
      <c r="P2896">
        <v>0</v>
      </c>
      <c r="Q2896">
        <v>1067625</v>
      </c>
      <c r="R2896">
        <v>0</v>
      </c>
      <c r="S2896">
        <v>0</v>
      </c>
      <c r="T2896" t="str">
        <f t="shared" si="90"/>
        <v>26442.43.4302.85.0-205128.2.3.3.08.06.</v>
      </c>
      <c r="U2896" t="e" cm="1">
        <f t="array" aca="1" ref="U2896" ca="1">+IF(COMPROMISOS_2025[[#This Row],[P]]="20","41080111",_xlfn.XLOOKUP(COMPROMISOS_2025[[#This Row],[concatenado]],PAA[[#All],[RCP-RUBRO]],PAA[[#All],[INDICADOR]],"",0))</f>
        <v>#NAME?</v>
      </c>
      <c r="V2896" s="144" t="str">
        <f t="shared" si="91"/>
        <v>85</v>
      </c>
      <c r="W2896" s="136">
        <f>+COMPROMISOS_2025[[#This Row],[valor_total]]-COMPROMISOS_2025[[#This Row],[total_cancelado]]</f>
        <v>1067625</v>
      </c>
      <c r="X2896" s="136">
        <f>COMPROMISOS_2025[[#This Row],[total_ordenes]]</f>
        <v>1067625</v>
      </c>
      <c r="Y2896" t="str" cm="1">
        <f t="array" aca="1" ref="Y2896" ca="1">IFERROR(_xlfn.XLOOKUP(COMPROMISOS_2025[[#This Row],[concatenado]],PAA[[#All],[RCP-RUBRO]],PAA[[#All],[Actividad3]],VLOOKUP(COMPROMISOS_2025[[#This Row],[Indicador Principal]],$AC$2:$AD$17,2,0),0),"")</f>
        <v/>
      </c>
    </row>
    <row r="2897" spans="1:25" hidden="1" x14ac:dyDescent="0.25">
      <c r="A2897">
        <v>2646</v>
      </c>
      <c r="B2897" t="s">
        <v>2491</v>
      </c>
      <c r="C2897" t="s">
        <v>1936</v>
      </c>
      <c r="D2897" t="s">
        <v>3575</v>
      </c>
      <c r="F2897">
        <v>405</v>
      </c>
      <c r="G2897">
        <v>65</v>
      </c>
      <c r="H2897" t="s">
        <v>662</v>
      </c>
      <c r="I2897" t="s">
        <v>2271</v>
      </c>
      <c r="J2897">
        <v>711750</v>
      </c>
      <c r="K2897">
        <v>2025</v>
      </c>
      <c r="L2897">
        <v>1042580428</v>
      </c>
      <c r="M2897" t="s">
        <v>4409</v>
      </c>
      <c r="N2897" t="s">
        <v>1688</v>
      </c>
      <c r="O2897" t="s">
        <v>1686</v>
      </c>
      <c r="P2897">
        <v>0</v>
      </c>
      <c r="Q2897">
        <v>711750</v>
      </c>
      <c r="R2897">
        <v>0</v>
      </c>
      <c r="S2897">
        <v>0</v>
      </c>
      <c r="T2897" t="str">
        <f t="shared" si="90"/>
        <v>26462.43.4302.85.0-205128.2.3.3.08.06.</v>
      </c>
      <c r="U2897" t="e" cm="1">
        <f t="array" aca="1" ref="U2897" ca="1">+IF(COMPROMISOS_2025[[#This Row],[P]]="20","41080111",_xlfn.XLOOKUP(COMPROMISOS_2025[[#This Row],[concatenado]],PAA[[#All],[RCP-RUBRO]],PAA[[#All],[INDICADOR]],"",0))</f>
        <v>#NAME?</v>
      </c>
      <c r="V2897" s="144" t="str">
        <f t="shared" si="91"/>
        <v>85</v>
      </c>
      <c r="W2897" s="136">
        <f>+COMPROMISOS_2025[[#This Row],[valor_total]]-COMPROMISOS_2025[[#This Row],[total_cancelado]]</f>
        <v>711750</v>
      </c>
      <c r="X2897" s="136">
        <f>COMPROMISOS_2025[[#This Row],[total_ordenes]]</f>
        <v>711750</v>
      </c>
      <c r="Y2897" t="str" cm="1">
        <f t="array" aca="1" ref="Y2897" ca="1">IFERROR(_xlfn.XLOOKUP(COMPROMISOS_2025[[#This Row],[concatenado]],PAA[[#All],[RCP-RUBRO]],PAA[[#All],[Actividad3]],VLOOKUP(COMPROMISOS_2025[[#This Row],[Indicador Principal]],$AC$2:$AD$17,2,0),0),"")</f>
        <v/>
      </c>
    </row>
    <row r="2898" spans="1:25" hidden="1" x14ac:dyDescent="0.25">
      <c r="A2898">
        <v>2648</v>
      </c>
      <c r="B2898" t="s">
        <v>2491</v>
      </c>
      <c r="C2898" t="s">
        <v>1936</v>
      </c>
      <c r="D2898" t="s">
        <v>3575</v>
      </c>
      <c r="F2898">
        <v>405</v>
      </c>
      <c r="G2898">
        <v>65</v>
      </c>
      <c r="H2898" t="s">
        <v>662</v>
      </c>
      <c r="I2898" t="s">
        <v>2271</v>
      </c>
      <c r="J2898">
        <v>2847000</v>
      </c>
      <c r="K2898">
        <v>2025</v>
      </c>
      <c r="L2898">
        <v>1042854683</v>
      </c>
      <c r="M2898" t="s">
        <v>4410</v>
      </c>
      <c r="N2898" t="s">
        <v>1688</v>
      </c>
      <c r="O2898" t="s">
        <v>1686</v>
      </c>
      <c r="P2898">
        <v>0</v>
      </c>
      <c r="Q2898">
        <v>2847000</v>
      </c>
      <c r="R2898">
        <v>0</v>
      </c>
      <c r="S2898">
        <v>0</v>
      </c>
      <c r="T2898" t="str">
        <f t="shared" si="90"/>
        <v>26482.43.4302.85.0-205128.2.3.3.08.06.</v>
      </c>
      <c r="U2898" t="e" cm="1">
        <f t="array" aca="1" ref="U2898" ca="1">+IF(COMPROMISOS_2025[[#This Row],[P]]="20","41080111",_xlfn.XLOOKUP(COMPROMISOS_2025[[#This Row],[concatenado]],PAA[[#All],[RCP-RUBRO]],PAA[[#All],[INDICADOR]],"",0))</f>
        <v>#NAME?</v>
      </c>
      <c r="V2898" s="144" t="str">
        <f t="shared" si="91"/>
        <v>85</v>
      </c>
      <c r="W2898" s="136">
        <f>+COMPROMISOS_2025[[#This Row],[valor_total]]-COMPROMISOS_2025[[#This Row],[total_cancelado]]</f>
        <v>2847000</v>
      </c>
      <c r="X2898" s="136">
        <f>COMPROMISOS_2025[[#This Row],[total_ordenes]]</f>
        <v>2847000</v>
      </c>
      <c r="Y2898" t="str" cm="1">
        <f t="array" aca="1" ref="Y2898" ca="1">IFERROR(_xlfn.XLOOKUP(COMPROMISOS_2025[[#This Row],[concatenado]],PAA[[#All],[RCP-RUBRO]],PAA[[#All],[Actividad3]],VLOOKUP(COMPROMISOS_2025[[#This Row],[Indicador Principal]],$AC$2:$AD$17,2,0),0),"")</f>
        <v/>
      </c>
    </row>
    <row r="2899" spans="1:25" hidden="1" x14ac:dyDescent="0.25">
      <c r="A2899">
        <v>2649</v>
      </c>
      <c r="B2899" t="s">
        <v>2491</v>
      </c>
      <c r="C2899" t="s">
        <v>1936</v>
      </c>
      <c r="D2899" t="s">
        <v>3575</v>
      </c>
      <c r="F2899">
        <v>405</v>
      </c>
      <c r="G2899">
        <v>65</v>
      </c>
      <c r="H2899" t="s">
        <v>662</v>
      </c>
      <c r="I2899" t="s">
        <v>2271</v>
      </c>
      <c r="J2899">
        <v>711750</v>
      </c>
      <c r="K2899">
        <v>2025</v>
      </c>
      <c r="L2899">
        <v>1043464209</v>
      </c>
      <c r="M2899" t="s">
        <v>4411</v>
      </c>
      <c r="N2899" t="s">
        <v>1688</v>
      </c>
      <c r="O2899" t="s">
        <v>1686</v>
      </c>
      <c r="P2899">
        <v>0</v>
      </c>
      <c r="Q2899">
        <v>711750</v>
      </c>
      <c r="R2899">
        <v>0</v>
      </c>
      <c r="S2899">
        <v>0</v>
      </c>
      <c r="T2899" t="str">
        <f t="shared" si="90"/>
        <v>26492.43.4302.85.0-205128.2.3.3.08.06.</v>
      </c>
      <c r="U2899" t="e" cm="1">
        <f t="array" aca="1" ref="U2899" ca="1">+IF(COMPROMISOS_2025[[#This Row],[P]]="20","41080111",_xlfn.XLOOKUP(COMPROMISOS_2025[[#This Row],[concatenado]],PAA[[#All],[RCP-RUBRO]],PAA[[#All],[INDICADOR]],"",0))</f>
        <v>#NAME?</v>
      </c>
      <c r="V2899" s="144" t="str">
        <f t="shared" si="91"/>
        <v>85</v>
      </c>
      <c r="W2899" s="136">
        <f>+COMPROMISOS_2025[[#This Row],[valor_total]]-COMPROMISOS_2025[[#This Row],[total_cancelado]]</f>
        <v>711750</v>
      </c>
      <c r="X2899" s="136">
        <f>COMPROMISOS_2025[[#This Row],[total_ordenes]]</f>
        <v>711750</v>
      </c>
      <c r="Y2899" t="str" cm="1">
        <f t="array" aca="1" ref="Y2899" ca="1">IFERROR(_xlfn.XLOOKUP(COMPROMISOS_2025[[#This Row],[concatenado]],PAA[[#All],[RCP-RUBRO]],PAA[[#All],[Actividad3]],VLOOKUP(COMPROMISOS_2025[[#This Row],[Indicador Principal]],$AC$2:$AD$17,2,0),0),"")</f>
        <v/>
      </c>
    </row>
    <row r="2900" spans="1:25" hidden="1" x14ac:dyDescent="0.25">
      <c r="A2900">
        <v>2651</v>
      </c>
      <c r="B2900" t="s">
        <v>2491</v>
      </c>
      <c r="C2900" t="s">
        <v>1936</v>
      </c>
      <c r="D2900" t="s">
        <v>3575</v>
      </c>
      <c r="F2900">
        <v>405</v>
      </c>
      <c r="G2900">
        <v>65</v>
      </c>
      <c r="H2900" t="s">
        <v>662</v>
      </c>
      <c r="I2900" t="s">
        <v>2271</v>
      </c>
      <c r="J2900">
        <v>1067625</v>
      </c>
      <c r="K2900">
        <v>2025</v>
      </c>
      <c r="L2900">
        <v>1043669865</v>
      </c>
      <c r="M2900" t="s">
        <v>4412</v>
      </c>
      <c r="N2900" t="s">
        <v>1688</v>
      </c>
      <c r="O2900" t="s">
        <v>1686</v>
      </c>
      <c r="P2900">
        <v>0</v>
      </c>
      <c r="Q2900">
        <v>1067625</v>
      </c>
      <c r="R2900">
        <v>0</v>
      </c>
      <c r="S2900">
        <v>0</v>
      </c>
      <c r="T2900" t="str">
        <f t="shared" si="90"/>
        <v>26512.43.4302.85.0-205128.2.3.3.08.06.</v>
      </c>
      <c r="U2900" t="e" cm="1">
        <f t="array" aca="1" ref="U2900" ca="1">+IF(COMPROMISOS_2025[[#This Row],[P]]="20","41080111",_xlfn.XLOOKUP(COMPROMISOS_2025[[#This Row],[concatenado]],PAA[[#All],[RCP-RUBRO]],PAA[[#All],[INDICADOR]],"",0))</f>
        <v>#NAME?</v>
      </c>
      <c r="V2900" s="144" t="str">
        <f t="shared" si="91"/>
        <v>85</v>
      </c>
      <c r="W2900" s="136">
        <f>+COMPROMISOS_2025[[#This Row],[valor_total]]-COMPROMISOS_2025[[#This Row],[total_cancelado]]</f>
        <v>1067625</v>
      </c>
      <c r="X2900" s="136">
        <f>COMPROMISOS_2025[[#This Row],[total_ordenes]]</f>
        <v>1067625</v>
      </c>
      <c r="Y2900" t="str" cm="1">
        <f t="array" aca="1" ref="Y2900" ca="1">IFERROR(_xlfn.XLOOKUP(COMPROMISOS_2025[[#This Row],[concatenado]],PAA[[#All],[RCP-RUBRO]],PAA[[#All],[Actividad3]],VLOOKUP(COMPROMISOS_2025[[#This Row],[Indicador Principal]],$AC$2:$AD$17,2,0),0),"")</f>
        <v/>
      </c>
    </row>
    <row r="2901" spans="1:25" hidden="1" x14ac:dyDescent="0.25">
      <c r="A2901">
        <v>2652</v>
      </c>
      <c r="B2901" t="s">
        <v>2491</v>
      </c>
      <c r="C2901" t="s">
        <v>1936</v>
      </c>
      <c r="D2901" t="s">
        <v>3575</v>
      </c>
      <c r="F2901">
        <v>405</v>
      </c>
      <c r="G2901">
        <v>65</v>
      </c>
      <c r="H2901" t="s">
        <v>662</v>
      </c>
      <c r="I2901" t="s">
        <v>2271</v>
      </c>
      <c r="J2901">
        <v>1423500</v>
      </c>
      <c r="K2901">
        <v>2025</v>
      </c>
      <c r="L2901">
        <v>1044210266</v>
      </c>
      <c r="M2901" t="s">
        <v>4107</v>
      </c>
      <c r="N2901" t="s">
        <v>1688</v>
      </c>
      <c r="O2901" t="s">
        <v>1686</v>
      </c>
      <c r="P2901">
        <v>0</v>
      </c>
      <c r="Q2901">
        <v>1423500</v>
      </c>
      <c r="R2901">
        <v>0</v>
      </c>
      <c r="S2901">
        <v>0</v>
      </c>
      <c r="T2901" t="str">
        <f t="shared" si="90"/>
        <v>26522.43.4302.85.0-205128.2.3.3.08.06.</v>
      </c>
      <c r="U2901" t="e" cm="1">
        <f t="array" aca="1" ref="U2901" ca="1">+IF(COMPROMISOS_2025[[#This Row],[P]]="20","41080111",_xlfn.XLOOKUP(COMPROMISOS_2025[[#This Row],[concatenado]],PAA[[#All],[RCP-RUBRO]],PAA[[#All],[INDICADOR]],"",0))</f>
        <v>#NAME?</v>
      </c>
      <c r="V2901" s="144" t="str">
        <f t="shared" si="91"/>
        <v>85</v>
      </c>
      <c r="W2901" s="136">
        <f>+COMPROMISOS_2025[[#This Row],[valor_total]]-COMPROMISOS_2025[[#This Row],[total_cancelado]]</f>
        <v>1423500</v>
      </c>
      <c r="X2901" s="136">
        <f>COMPROMISOS_2025[[#This Row],[total_ordenes]]</f>
        <v>1423500</v>
      </c>
      <c r="Y2901" t="str" cm="1">
        <f t="array" aca="1" ref="Y2901" ca="1">IFERROR(_xlfn.XLOOKUP(COMPROMISOS_2025[[#This Row],[concatenado]],PAA[[#All],[RCP-RUBRO]],PAA[[#All],[Actividad3]],VLOOKUP(COMPROMISOS_2025[[#This Row],[Indicador Principal]],$AC$2:$AD$17,2,0),0),"")</f>
        <v/>
      </c>
    </row>
    <row r="2902" spans="1:25" hidden="1" x14ac:dyDescent="0.25">
      <c r="A2902">
        <v>2655</v>
      </c>
      <c r="B2902" t="s">
        <v>2491</v>
      </c>
      <c r="C2902" t="s">
        <v>1936</v>
      </c>
      <c r="D2902" t="s">
        <v>3575</v>
      </c>
      <c r="F2902">
        <v>405</v>
      </c>
      <c r="G2902">
        <v>65</v>
      </c>
      <c r="H2902" t="s">
        <v>662</v>
      </c>
      <c r="I2902" t="s">
        <v>2271</v>
      </c>
      <c r="J2902">
        <v>1067625</v>
      </c>
      <c r="K2902">
        <v>2025</v>
      </c>
      <c r="L2902">
        <v>1044986905</v>
      </c>
      <c r="M2902" t="s">
        <v>3832</v>
      </c>
      <c r="N2902" t="s">
        <v>1688</v>
      </c>
      <c r="O2902" t="s">
        <v>1686</v>
      </c>
      <c r="P2902">
        <v>0</v>
      </c>
      <c r="Q2902">
        <v>1067625</v>
      </c>
      <c r="R2902">
        <v>0</v>
      </c>
      <c r="S2902">
        <v>0</v>
      </c>
      <c r="T2902" t="str">
        <f t="shared" si="90"/>
        <v>26552.43.4302.85.0-205128.2.3.3.08.06.</v>
      </c>
      <c r="U2902" t="e" cm="1">
        <f t="array" aca="1" ref="U2902" ca="1">+IF(COMPROMISOS_2025[[#This Row],[P]]="20","41080111",_xlfn.XLOOKUP(COMPROMISOS_2025[[#This Row],[concatenado]],PAA[[#All],[RCP-RUBRO]],PAA[[#All],[INDICADOR]],"",0))</f>
        <v>#NAME?</v>
      </c>
      <c r="V2902" s="144" t="str">
        <f t="shared" si="91"/>
        <v>85</v>
      </c>
      <c r="W2902" s="136">
        <f>+COMPROMISOS_2025[[#This Row],[valor_total]]-COMPROMISOS_2025[[#This Row],[total_cancelado]]</f>
        <v>1067625</v>
      </c>
      <c r="X2902" s="136">
        <f>COMPROMISOS_2025[[#This Row],[total_ordenes]]</f>
        <v>1067625</v>
      </c>
      <c r="Y2902" t="str" cm="1">
        <f t="array" aca="1" ref="Y2902" ca="1">IFERROR(_xlfn.XLOOKUP(COMPROMISOS_2025[[#This Row],[concatenado]],PAA[[#All],[RCP-RUBRO]],PAA[[#All],[Actividad3]],VLOOKUP(COMPROMISOS_2025[[#This Row],[Indicador Principal]],$AC$2:$AD$17,2,0),0),"")</f>
        <v/>
      </c>
    </row>
    <row r="2903" spans="1:25" hidden="1" x14ac:dyDescent="0.25">
      <c r="A2903">
        <v>2658</v>
      </c>
      <c r="B2903" t="s">
        <v>2491</v>
      </c>
      <c r="C2903" t="s">
        <v>1936</v>
      </c>
      <c r="D2903" t="s">
        <v>3575</v>
      </c>
      <c r="F2903">
        <v>405</v>
      </c>
      <c r="G2903">
        <v>65</v>
      </c>
      <c r="H2903" t="s">
        <v>662</v>
      </c>
      <c r="I2903" t="s">
        <v>2271</v>
      </c>
      <c r="J2903">
        <v>1067625</v>
      </c>
      <c r="K2903">
        <v>2025</v>
      </c>
      <c r="L2903">
        <v>1045489879</v>
      </c>
      <c r="M2903" t="s">
        <v>4109</v>
      </c>
      <c r="N2903" t="s">
        <v>1688</v>
      </c>
      <c r="O2903" t="s">
        <v>1686</v>
      </c>
      <c r="P2903">
        <v>0</v>
      </c>
      <c r="Q2903">
        <v>1067625</v>
      </c>
      <c r="R2903">
        <v>0</v>
      </c>
      <c r="S2903">
        <v>0</v>
      </c>
      <c r="T2903" t="str">
        <f t="shared" si="90"/>
        <v>26582.43.4302.85.0-205128.2.3.3.08.06.</v>
      </c>
      <c r="U2903" t="e" cm="1">
        <f t="array" aca="1" ref="U2903" ca="1">+IF(COMPROMISOS_2025[[#This Row],[P]]="20","41080111",_xlfn.XLOOKUP(COMPROMISOS_2025[[#This Row],[concatenado]],PAA[[#All],[RCP-RUBRO]],PAA[[#All],[INDICADOR]],"",0))</f>
        <v>#NAME?</v>
      </c>
      <c r="V2903" s="144" t="str">
        <f t="shared" si="91"/>
        <v>85</v>
      </c>
      <c r="W2903" s="136">
        <f>+COMPROMISOS_2025[[#This Row],[valor_total]]-COMPROMISOS_2025[[#This Row],[total_cancelado]]</f>
        <v>1067625</v>
      </c>
      <c r="X2903" s="136">
        <f>COMPROMISOS_2025[[#This Row],[total_ordenes]]</f>
        <v>1067625</v>
      </c>
      <c r="Y2903" t="str" cm="1">
        <f t="array" aca="1" ref="Y2903" ca="1">IFERROR(_xlfn.XLOOKUP(COMPROMISOS_2025[[#This Row],[concatenado]],PAA[[#All],[RCP-RUBRO]],PAA[[#All],[Actividad3]],VLOOKUP(COMPROMISOS_2025[[#This Row],[Indicador Principal]],$AC$2:$AD$17,2,0),0),"")</f>
        <v/>
      </c>
    </row>
    <row r="2904" spans="1:25" hidden="1" x14ac:dyDescent="0.25">
      <c r="A2904">
        <v>2662</v>
      </c>
      <c r="B2904" t="s">
        <v>2491</v>
      </c>
      <c r="C2904" t="s">
        <v>1936</v>
      </c>
      <c r="D2904" t="s">
        <v>3575</v>
      </c>
      <c r="F2904">
        <v>405</v>
      </c>
      <c r="G2904">
        <v>65</v>
      </c>
      <c r="H2904" t="s">
        <v>662</v>
      </c>
      <c r="I2904" t="s">
        <v>2271</v>
      </c>
      <c r="J2904">
        <v>711750</v>
      </c>
      <c r="K2904">
        <v>2025</v>
      </c>
      <c r="L2904">
        <v>1045506612</v>
      </c>
      <c r="M2904" t="s">
        <v>4177</v>
      </c>
      <c r="N2904" t="s">
        <v>1688</v>
      </c>
      <c r="O2904" t="s">
        <v>1686</v>
      </c>
      <c r="P2904">
        <v>0</v>
      </c>
      <c r="Q2904">
        <v>711750</v>
      </c>
      <c r="R2904">
        <v>0</v>
      </c>
      <c r="S2904">
        <v>0</v>
      </c>
      <c r="T2904" t="str">
        <f t="shared" si="90"/>
        <v>26622.43.4302.85.0-205128.2.3.3.08.06.</v>
      </c>
      <c r="U2904" t="e" cm="1">
        <f t="array" aca="1" ref="U2904" ca="1">+IF(COMPROMISOS_2025[[#This Row],[P]]="20","41080111",_xlfn.XLOOKUP(COMPROMISOS_2025[[#This Row],[concatenado]],PAA[[#All],[RCP-RUBRO]],PAA[[#All],[INDICADOR]],"",0))</f>
        <v>#NAME?</v>
      </c>
      <c r="V2904" s="144" t="str">
        <f t="shared" si="91"/>
        <v>85</v>
      </c>
      <c r="W2904" s="136">
        <f>+COMPROMISOS_2025[[#This Row],[valor_total]]-COMPROMISOS_2025[[#This Row],[total_cancelado]]</f>
        <v>711750</v>
      </c>
      <c r="X2904" s="136">
        <f>COMPROMISOS_2025[[#This Row],[total_ordenes]]</f>
        <v>711750</v>
      </c>
      <c r="Y2904" t="str" cm="1">
        <f t="array" aca="1" ref="Y2904" ca="1">IFERROR(_xlfn.XLOOKUP(COMPROMISOS_2025[[#This Row],[concatenado]],PAA[[#All],[RCP-RUBRO]],PAA[[#All],[Actividad3]],VLOOKUP(COMPROMISOS_2025[[#This Row],[Indicador Principal]],$AC$2:$AD$17,2,0),0),"")</f>
        <v/>
      </c>
    </row>
    <row r="2905" spans="1:25" hidden="1" x14ac:dyDescent="0.25">
      <c r="A2905">
        <v>2663</v>
      </c>
      <c r="B2905" t="s">
        <v>2491</v>
      </c>
      <c r="C2905" t="s">
        <v>1936</v>
      </c>
      <c r="D2905" t="s">
        <v>3575</v>
      </c>
      <c r="F2905">
        <v>405</v>
      </c>
      <c r="G2905">
        <v>65</v>
      </c>
      <c r="H2905" t="s">
        <v>662</v>
      </c>
      <c r="I2905" t="s">
        <v>2271</v>
      </c>
      <c r="J2905">
        <v>1423500</v>
      </c>
      <c r="K2905">
        <v>2025</v>
      </c>
      <c r="L2905">
        <v>1045522082</v>
      </c>
      <c r="M2905" t="s">
        <v>4110</v>
      </c>
      <c r="N2905" t="s">
        <v>1688</v>
      </c>
      <c r="O2905" t="s">
        <v>1686</v>
      </c>
      <c r="P2905">
        <v>0</v>
      </c>
      <c r="Q2905">
        <v>1423500</v>
      </c>
      <c r="R2905">
        <v>0</v>
      </c>
      <c r="S2905">
        <v>0</v>
      </c>
      <c r="T2905" t="str">
        <f t="shared" si="90"/>
        <v>26632.43.4302.85.0-205128.2.3.3.08.06.</v>
      </c>
      <c r="U2905" t="e" cm="1">
        <f t="array" aca="1" ref="U2905" ca="1">+IF(COMPROMISOS_2025[[#This Row],[P]]="20","41080111",_xlfn.XLOOKUP(COMPROMISOS_2025[[#This Row],[concatenado]],PAA[[#All],[RCP-RUBRO]],PAA[[#All],[INDICADOR]],"",0))</f>
        <v>#NAME?</v>
      </c>
      <c r="V2905" s="144" t="str">
        <f t="shared" si="91"/>
        <v>85</v>
      </c>
      <c r="W2905" s="136">
        <f>+COMPROMISOS_2025[[#This Row],[valor_total]]-COMPROMISOS_2025[[#This Row],[total_cancelado]]</f>
        <v>1423500</v>
      </c>
      <c r="X2905" s="136">
        <f>COMPROMISOS_2025[[#This Row],[total_ordenes]]</f>
        <v>1423500</v>
      </c>
      <c r="Y2905" t="str" cm="1">
        <f t="array" aca="1" ref="Y2905" ca="1">IFERROR(_xlfn.XLOOKUP(COMPROMISOS_2025[[#This Row],[concatenado]],PAA[[#All],[RCP-RUBRO]],PAA[[#All],[Actividad3]],VLOOKUP(COMPROMISOS_2025[[#This Row],[Indicador Principal]],$AC$2:$AD$17,2,0),0),"")</f>
        <v/>
      </c>
    </row>
    <row r="2906" spans="1:25" hidden="1" x14ac:dyDescent="0.25">
      <c r="A2906">
        <v>2666</v>
      </c>
      <c r="B2906" t="s">
        <v>2491</v>
      </c>
      <c r="C2906" t="s">
        <v>1936</v>
      </c>
      <c r="D2906" t="s">
        <v>3575</v>
      </c>
      <c r="F2906">
        <v>405</v>
      </c>
      <c r="G2906">
        <v>65</v>
      </c>
      <c r="H2906" t="s">
        <v>662</v>
      </c>
      <c r="I2906" t="s">
        <v>2271</v>
      </c>
      <c r="J2906">
        <v>1423500</v>
      </c>
      <c r="K2906">
        <v>2025</v>
      </c>
      <c r="L2906">
        <v>1045524540</v>
      </c>
      <c r="M2906" t="s">
        <v>4111</v>
      </c>
      <c r="N2906" t="s">
        <v>1688</v>
      </c>
      <c r="O2906" t="s">
        <v>1686</v>
      </c>
      <c r="P2906">
        <v>0</v>
      </c>
      <c r="Q2906">
        <v>1423500</v>
      </c>
      <c r="R2906">
        <v>0</v>
      </c>
      <c r="S2906">
        <v>0</v>
      </c>
      <c r="T2906" t="str">
        <f t="shared" si="90"/>
        <v>26662.43.4302.85.0-205128.2.3.3.08.06.</v>
      </c>
      <c r="U2906" t="e" cm="1">
        <f t="array" aca="1" ref="U2906" ca="1">+IF(COMPROMISOS_2025[[#This Row],[P]]="20","41080111",_xlfn.XLOOKUP(COMPROMISOS_2025[[#This Row],[concatenado]],PAA[[#All],[RCP-RUBRO]],PAA[[#All],[INDICADOR]],"",0))</f>
        <v>#NAME?</v>
      </c>
      <c r="V2906" s="144" t="str">
        <f t="shared" si="91"/>
        <v>85</v>
      </c>
      <c r="W2906" s="136">
        <f>+COMPROMISOS_2025[[#This Row],[valor_total]]-COMPROMISOS_2025[[#This Row],[total_cancelado]]</f>
        <v>1423500</v>
      </c>
      <c r="X2906" s="136">
        <f>COMPROMISOS_2025[[#This Row],[total_ordenes]]</f>
        <v>1423500</v>
      </c>
      <c r="Y2906" t="str" cm="1">
        <f t="array" aca="1" ref="Y2906" ca="1">IFERROR(_xlfn.XLOOKUP(COMPROMISOS_2025[[#This Row],[concatenado]],PAA[[#All],[RCP-RUBRO]],PAA[[#All],[Actividad3]],VLOOKUP(COMPROMISOS_2025[[#This Row],[Indicador Principal]],$AC$2:$AD$17,2,0),0),"")</f>
        <v/>
      </c>
    </row>
    <row r="2907" spans="1:25" hidden="1" x14ac:dyDescent="0.25">
      <c r="A2907">
        <v>2667</v>
      </c>
      <c r="B2907" t="s">
        <v>2491</v>
      </c>
      <c r="C2907" t="s">
        <v>1936</v>
      </c>
      <c r="D2907" t="s">
        <v>3575</v>
      </c>
      <c r="F2907">
        <v>405</v>
      </c>
      <c r="G2907">
        <v>65</v>
      </c>
      <c r="H2907" t="s">
        <v>662</v>
      </c>
      <c r="I2907" t="s">
        <v>2271</v>
      </c>
      <c r="J2907">
        <v>2847000</v>
      </c>
      <c r="K2907">
        <v>2025</v>
      </c>
      <c r="L2907">
        <v>1045524599</v>
      </c>
      <c r="M2907" t="s">
        <v>4112</v>
      </c>
      <c r="N2907" t="s">
        <v>1688</v>
      </c>
      <c r="O2907" t="s">
        <v>1686</v>
      </c>
      <c r="P2907">
        <v>0</v>
      </c>
      <c r="Q2907">
        <v>2847000</v>
      </c>
      <c r="R2907">
        <v>0</v>
      </c>
      <c r="S2907">
        <v>0</v>
      </c>
      <c r="T2907" t="str">
        <f t="shared" si="90"/>
        <v>26672.43.4302.85.0-205128.2.3.3.08.06.</v>
      </c>
      <c r="U2907" t="e" cm="1">
        <f t="array" aca="1" ref="U2907" ca="1">+IF(COMPROMISOS_2025[[#This Row],[P]]="20","41080111",_xlfn.XLOOKUP(COMPROMISOS_2025[[#This Row],[concatenado]],PAA[[#All],[RCP-RUBRO]],PAA[[#All],[INDICADOR]],"",0))</f>
        <v>#NAME?</v>
      </c>
      <c r="V2907" s="144" t="str">
        <f t="shared" si="91"/>
        <v>85</v>
      </c>
      <c r="W2907" s="136">
        <f>+COMPROMISOS_2025[[#This Row],[valor_total]]-COMPROMISOS_2025[[#This Row],[total_cancelado]]</f>
        <v>2847000</v>
      </c>
      <c r="X2907" s="136">
        <f>COMPROMISOS_2025[[#This Row],[total_ordenes]]</f>
        <v>2847000</v>
      </c>
      <c r="Y2907" t="str" cm="1">
        <f t="array" aca="1" ref="Y2907" ca="1">IFERROR(_xlfn.XLOOKUP(COMPROMISOS_2025[[#This Row],[concatenado]],PAA[[#All],[RCP-RUBRO]],PAA[[#All],[Actividad3]],VLOOKUP(COMPROMISOS_2025[[#This Row],[Indicador Principal]],$AC$2:$AD$17,2,0),0),"")</f>
        <v/>
      </c>
    </row>
    <row r="2908" spans="1:25" hidden="1" x14ac:dyDescent="0.25">
      <c r="A2908">
        <v>2669</v>
      </c>
      <c r="B2908" t="s">
        <v>2491</v>
      </c>
      <c r="C2908" t="s">
        <v>1936</v>
      </c>
      <c r="D2908" t="s">
        <v>3575</v>
      </c>
      <c r="F2908">
        <v>405</v>
      </c>
      <c r="G2908">
        <v>65</v>
      </c>
      <c r="H2908" t="s">
        <v>662</v>
      </c>
      <c r="I2908" t="s">
        <v>2271</v>
      </c>
      <c r="J2908">
        <v>1067625</v>
      </c>
      <c r="K2908">
        <v>2025</v>
      </c>
      <c r="L2908">
        <v>1045606438</v>
      </c>
      <c r="M2908" t="s">
        <v>4114</v>
      </c>
      <c r="N2908" t="s">
        <v>1688</v>
      </c>
      <c r="O2908" t="s">
        <v>1686</v>
      </c>
      <c r="P2908">
        <v>0</v>
      </c>
      <c r="Q2908">
        <v>1067625</v>
      </c>
      <c r="R2908">
        <v>0</v>
      </c>
      <c r="S2908">
        <v>0</v>
      </c>
      <c r="T2908" t="str">
        <f t="shared" si="90"/>
        <v>26692.43.4302.85.0-205128.2.3.3.08.06.</v>
      </c>
      <c r="U2908" t="e" cm="1">
        <f t="array" aca="1" ref="U2908" ca="1">+IF(COMPROMISOS_2025[[#This Row],[P]]="20","41080111",_xlfn.XLOOKUP(COMPROMISOS_2025[[#This Row],[concatenado]],PAA[[#All],[RCP-RUBRO]],PAA[[#All],[INDICADOR]],"",0))</f>
        <v>#NAME?</v>
      </c>
      <c r="V2908" s="144" t="str">
        <f t="shared" si="91"/>
        <v>85</v>
      </c>
      <c r="W2908" s="136">
        <f>+COMPROMISOS_2025[[#This Row],[valor_total]]-COMPROMISOS_2025[[#This Row],[total_cancelado]]</f>
        <v>1067625</v>
      </c>
      <c r="X2908" s="136">
        <f>COMPROMISOS_2025[[#This Row],[total_ordenes]]</f>
        <v>1067625</v>
      </c>
      <c r="Y2908" t="str" cm="1">
        <f t="array" aca="1" ref="Y2908" ca="1">IFERROR(_xlfn.XLOOKUP(COMPROMISOS_2025[[#This Row],[concatenado]],PAA[[#All],[RCP-RUBRO]],PAA[[#All],[Actividad3]],VLOOKUP(COMPROMISOS_2025[[#This Row],[Indicador Principal]],$AC$2:$AD$17,2,0),0),"")</f>
        <v/>
      </c>
    </row>
    <row r="2909" spans="1:25" hidden="1" x14ac:dyDescent="0.25">
      <c r="A2909">
        <v>2670</v>
      </c>
      <c r="B2909" t="s">
        <v>2491</v>
      </c>
      <c r="C2909" t="s">
        <v>1936</v>
      </c>
      <c r="D2909" t="s">
        <v>3575</v>
      </c>
      <c r="F2909">
        <v>405</v>
      </c>
      <c r="G2909">
        <v>65</v>
      </c>
      <c r="H2909" t="s">
        <v>662</v>
      </c>
      <c r="I2909" t="s">
        <v>2271</v>
      </c>
      <c r="J2909">
        <v>1067625</v>
      </c>
      <c r="K2909">
        <v>2025</v>
      </c>
      <c r="L2909">
        <v>1045745758</v>
      </c>
      <c r="M2909" t="s">
        <v>4115</v>
      </c>
      <c r="N2909" t="s">
        <v>1688</v>
      </c>
      <c r="O2909" t="s">
        <v>1686</v>
      </c>
      <c r="P2909">
        <v>0</v>
      </c>
      <c r="Q2909">
        <v>1067625</v>
      </c>
      <c r="R2909">
        <v>0</v>
      </c>
      <c r="S2909">
        <v>0</v>
      </c>
      <c r="T2909" t="str">
        <f t="shared" si="90"/>
        <v>26702.43.4302.85.0-205128.2.3.3.08.06.</v>
      </c>
      <c r="U2909" t="e" cm="1">
        <f t="array" aca="1" ref="U2909" ca="1">+IF(COMPROMISOS_2025[[#This Row],[P]]="20","41080111",_xlfn.XLOOKUP(COMPROMISOS_2025[[#This Row],[concatenado]],PAA[[#All],[RCP-RUBRO]],PAA[[#All],[INDICADOR]],"",0))</f>
        <v>#NAME?</v>
      </c>
      <c r="V2909" s="144" t="str">
        <f t="shared" si="91"/>
        <v>85</v>
      </c>
      <c r="W2909" s="136">
        <f>+COMPROMISOS_2025[[#This Row],[valor_total]]-COMPROMISOS_2025[[#This Row],[total_cancelado]]</f>
        <v>1067625</v>
      </c>
      <c r="X2909" s="136">
        <f>COMPROMISOS_2025[[#This Row],[total_ordenes]]</f>
        <v>1067625</v>
      </c>
      <c r="Y2909" t="str" cm="1">
        <f t="array" aca="1" ref="Y2909" ca="1">IFERROR(_xlfn.XLOOKUP(COMPROMISOS_2025[[#This Row],[concatenado]],PAA[[#All],[RCP-RUBRO]],PAA[[#All],[Actividad3]],VLOOKUP(COMPROMISOS_2025[[#This Row],[Indicador Principal]],$AC$2:$AD$17,2,0),0),"")</f>
        <v/>
      </c>
    </row>
    <row r="2910" spans="1:25" hidden="1" x14ac:dyDescent="0.25">
      <c r="A2910">
        <v>2671</v>
      </c>
      <c r="B2910" t="s">
        <v>2491</v>
      </c>
      <c r="C2910" t="s">
        <v>1936</v>
      </c>
      <c r="D2910" t="s">
        <v>3575</v>
      </c>
      <c r="F2910">
        <v>405</v>
      </c>
      <c r="G2910">
        <v>65</v>
      </c>
      <c r="H2910" t="s">
        <v>662</v>
      </c>
      <c r="I2910" t="s">
        <v>2271</v>
      </c>
      <c r="J2910">
        <v>1067625</v>
      </c>
      <c r="K2910">
        <v>2025</v>
      </c>
      <c r="L2910">
        <v>1046527204</v>
      </c>
      <c r="M2910" t="s">
        <v>3841</v>
      </c>
      <c r="N2910" t="s">
        <v>1688</v>
      </c>
      <c r="O2910" t="s">
        <v>1686</v>
      </c>
      <c r="P2910">
        <v>0</v>
      </c>
      <c r="Q2910">
        <v>1067625</v>
      </c>
      <c r="R2910">
        <v>0</v>
      </c>
      <c r="S2910">
        <v>0</v>
      </c>
      <c r="T2910" t="str">
        <f t="shared" si="90"/>
        <v>26712.43.4302.85.0-205128.2.3.3.08.06.</v>
      </c>
      <c r="U2910" t="e" cm="1">
        <f t="array" aca="1" ref="U2910" ca="1">+IF(COMPROMISOS_2025[[#This Row],[P]]="20","41080111",_xlfn.XLOOKUP(COMPROMISOS_2025[[#This Row],[concatenado]],PAA[[#All],[RCP-RUBRO]],PAA[[#All],[INDICADOR]],"",0))</f>
        <v>#NAME?</v>
      </c>
      <c r="V2910" s="144" t="str">
        <f t="shared" si="91"/>
        <v>85</v>
      </c>
      <c r="W2910" s="136">
        <f>+COMPROMISOS_2025[[#This Row],[valor_total]]-COMPROMISOS_2025[[#This Row],[total_cancelado]]</f>
        <v>1067625</v>
      </c>
      <c r="X2910" s="136">
        <f>COMPROMISOS_2025[[#This Row],[total_ordenes]]</f>
        <v>1067625</v>
      </c>
      <c r="Y2910" t="str" cm="1">
        <f t="array" aca="1" ref="Y2910" ca="1">IFERROR(_xlfn.XLOOKUP(COMPROMISOS_2025[[#This Row],[concatenado]],PAA[[#All],[RCP-RUBRO]],PAA[[#All],[Actividad3]],VLOOKUP(COMPROMISOS_2025[[#This Row],[Indicador Principal]],$AC$2:$AD$17,2,0),0),"")</f>
        <v/>
      </c>
    </row>
    <row r="2911" spans="1:25" hidden="1" x14ac:dyDescent="0.25">
      <c r="A2911">
        <v>2677</v>
      </c>
      <c r="B2911" t="s">
        <v>2491</v>
      </c>
      <c r="C2911" t="s">
        <v>1936</v>
      </c>
      <c r="D2911" t="s">
        <v>3575</v>
      </c>
      <c r="F2911">
        <v>405</v>
      </c>
      <c r="G2911">
        <v>65</v>
      </c>
      <c r="H2911" t="s">
        <v>662</v>
      </c>
      <c r="I2911" t="s">
        <v>2271</v>
      </c>
      <c r="J2911">
        <v>711750</v>
      </c>
      <c r="K2911">
        <v>2025</v>
      </c>
      <c r="L2911">
        <v>1046667569</v>
      </c>
      <c r="M2911" t="s">
        <v>4414</v>
      </c>
      <c r="N2911" t="s">
        <v>1688</v>
      </c>
      <c r="O2911" t="s">
        <v>1686</v>
      </c>
      <c r="P2911">
        <v>0</v>
      </c>
      <c r="Q2911">
        <v>711750</v>
      </c>
      <c r="R2911">
        <v>0</v>
      </c>
      <c r="S2911">
        <v>0</v>
      </c>
      <c r="T2911" t="str">
        <f t="shared" si="90"/>
        <v>26772.43.4302.85.0-205128.2.3.3.08.06.</v>
      </c>
      <c r="U2911" t="e" cm="1">
        <f t="array" aca="1" ref="U2911" ca="1">+IF(COMPROMISOS_2025[[#This Row],[P]]="20","41080111",_xlfn.XLOOKUP(COMPROMISOS_2025[[#This Row],[concatenado]],PAA[[#All],[RCP-RUBRO]],PAA[[#All],[INDICADOR]],"",0))</f>
        <v>#NAME?</v>
      </c>
      <c r="V2911" s="144" t="str">
        <f t="shared" si="91"/>
        <v>85</v>
      </c>
      <c r="W2911" s="136">
        <f>+COMPROMISOS_2025[[#This Row],[valor_total]]-COMPROMISOS_2025[[#This Row],[total_cancelado]]</f>
        <v>711750</v>
      </c>
      <c r="X2911" s="136">
        <f>COMPROMISOS_2025[[#This Row],[total_ordenes]]</f>
        <v>711750</v>
      </c>
      <c r="Y2911" t="str" cm="1">
        <f t="array" aca="1" ref="Y2911" ca="1">IFERROR(_xlfn.XLOOKUP(COMPROMISOS_2025[[#This Row],[concatenado]],PAA[[#All],[RCP-RUBRO]],PAA[[#All],[Actividad3]],VLOOKUP(COMPROMISOS_2025[[#This Row],[Indicador Principal]],$AC$2:$AD$17,2,0),0),"")</f>
        <v/>
      </c>
    </row>
    <row r="2912" spans="1:25" hidden="1" x14ac:dyDescent="0.25">
      <c r="A2912">
        <v>2679</v>
      </c>
      <c r="B2912" t="s">
        <v>2491</v>
      </c>
      <c r="C2912" t="s">
        <v>1936</v>
      </c>
      <c r="D2912" t="s">
        <v>3575</v>
      </c>
      <c r="F2912">
        <v>405</v>
      </c>
      <c r="G2912">
        <v>65</v>
      </c>
      <c r="H2912" t="s">
        <v>662</v>
      </c>
      <c r="I2912" t="s">
        <v>2271</v>
      </c>
      <c r="J2912">
        <v>1423500</v>
      </c>
      <c r="K2912">
        <v>2025</v>
      </c>
      <c r="L2912">
        <v>1052021033</v>
      </c>
      <c r="M2912" t="s">
        <v>4416</v>
      </c>
      <c r="N2912" t="s">
        <v>1688</v>
      </c>
      <c r="O2912" t="s">
        <v>1686</v>
      </c>
      <c r="P2912">
        <v>0</v>
      </c>
      <c r="Q2912">
        <v>1423500</v>
      </c>
      <c r="R2912">
        <v>0</v>
      </c>
      <c r="S2912">
        <v>0</v>
      </c>
      <c r="T2912" t="str">
        <f t="shared" si="90"/>
        <v>26792.43.4302.85.0-205128.2.3.3.08.06.</v>
      </c>
      <c r="U2912" t="e" cm="1">
        <f t="array" aca="1" ref="U2912" ca="1">+IF(COMPROMISOS_2025[[#This Row],[P]]="20","41080111",_xlfn.XLOOKUP(COMPROMISOS_2025[[#This Row],[concatenado]],PAA[[#All],[RCP-RUBRO]],PAA[[#All],[INDICADOR]],"",0))</f>
        <v>#NAME?</v>
      </c>
      <c r="V2912" s="144" t="str">
        <f t="shared" si="91"/>
        <v>85</v>
      </c>
      <c r="W2912" s="136">
        <f>+COMPROMISOS_2025[[#This Row],[valor_total]]-COMPROMISOS_2025[[#This Row],[total_cancelado]]</f>
        <v>1423500</v>
      </c>
      <c r="X2912" s="136">
        <f>COMPROMISOS_2025[[#This Row],[total_ordenes]]</f>
        <v>1423500</v>
      </c>
      <c r="Y2912" t="str" cm="1">
        <f t="array" aca="1" ref="Y2912" ca="1">IFERROR(_xlfn.XLOOKUP(COMPROMISOS_2025[[#This Row],[concatenado]],PAA[[#All],[RCP-RUBRO]],PAA[[#All],[Actividad3]],VLOOKUP(COMPROMISOS_2025[[#This Row],[Indicador Principal]],$AC$2:$AD$17,2,0),0),"")</f>
        <v/>
      </c>
    </row>
    <row r="2913" spans="1:25" hidden="1" x14ac:dyDescent="0.25">
      <c r="A2913">
        <v>2680</v>
      </c>
      <c r="B2913" t="s">
        <v>2491</v>
      </c>
      <c r="C2913" t="s">
        <v>1936</v>
      </c>
      <c r="D2913" t="s">
        <v>3575</v>
      </c>
      <c r="F2913">
        <v>405</v>
      </c>
      <c r="G2913">
        <v>65</v>
      </c>
      <c r="H2913" t="s">
        <v>662</v>
      </c>
      <c r="I2913" t="s">
        <v>2271</v>
      </c>
      <c r="J2913">
        <v>1067625</v>
      </c>
      <c r="K2913">
        <v>2025</v>
      </c>
      <c r="L2913">
        <v>1054856974</v>
      </c>
      <c r="M2913" t="s">
        <v>4117</v>
      </c>
      <c r="N2913" t="s">
        <v>1688</v>
      </c>
      <c r="O2913" t="s">
        <v>1686</v>
      </c>
      <c r="P2913">
        <v>0</v>
      </c>
      <c r="Q2913">
        <v>1067625</v>
      </c>
      <c r="R2913">
        <v>0</v>
      </c>
      <c r="S2913">
        <v>0</v>
      </c>
      <c r="T2913" t="str">
        <f t="shared" si="90"/>
        <v>26802.43.4302.85.0-205128.2.3.3.08.06.</v>
      </c>
      <c r="U2913" t="e" cm="1">
        <f t="array" aca="1" ref="U2913" ca="1">+IF(COMPROMISOS_2025[[#This Row],[P]]="20","41080111",_xlfn.XLOOKUP(COMPROMISOS_2025[[#This Row],[concatenado]],PAA[[#All],[RCP-RUBRO]],PAA[[#All],[INDICADOR]],"",0))</f>
        <v>#NAME?</v>
      </c>
      <c r="V2913" s="144" t="str">
        <f t="shared" si="91"/>
        <v>85</v>
      </c>
      <c r="W2913" s="136">
        <f>+COMPROMISOS_2025[[#This Row],[valor_total]]-COMPROMISOS_2025[[#This Row],[total_cancelado]]</f>
        <v>1067625</v>
      </c>
      <c r="X2913" s="136">
        <f>COMPROMISOS_2025[[#This Row],[total_ordenes]]</f>
        <v>1067625</v>
      </c>
      <c r="Y2913" t="str" cm="1">
        <f t="array" aca="1" ref="Y2913" ca="1">IFERROR(_xlfn.XLOOKUP(COMPROMISOS_2025[[#This Row],[concatenado]],PAA[[#All],[RCP-RUBRO]],PAA[[#All],[Actividad3]],VLOOKUP(COMPROMISOS_2025[[#This Row],[Indicador Principal]],$AC$2:$AD$17,2,0),0),"")</f>
        <v/>
      </c>
    </row>
    <row r="2914" spans="1:25" hidden="1" x14ac:dyDescent="0.25">
      <c r="A2914">
        <v>2681</v>
      </c>
      <c r="B2914" t="s">
        <v>2491</v>
      </c>
      <c r="C2914" t="s">
        <v>1936</v>
      </c>
      <c r="D2914" t="s">
        <v>3575</v>
      </c>
      <c r="F2914">
        <v>405</v>
      </c>
      <c r="G2914">
        <v>65</v>
      </c>
      <c r="H2914" t="s">
        <v>662</v>
      </c>
      <c r="I2914" t="s">
        <v>2271</v>
      </c>
      <c r="J2914">
        <v>6405750</v>
      </c>
      <c r="K2914">
        <v>2025</v>
      </c>
      <c r="L2914">
        <v>1055358288</v>
      </c>
      <c r="M2914" t="s">
        <v>4417</v>
      </c>
      <c r="N2914" t="s">
        <v>1688</v>
      </c>
      <c r="O2914" t="s">
        <v>1686</v>
      </c>
      <c r="P2914">
        <v>0</v>
      </c>
      <c r="Q2914">
        <v>6405750</v>
      </c>
      <c r="R2914">
        <v>0</v>
      </c>
      <c r="S2914">
        <v>0</v>
      </c>
      <c r="T2914" t="str">
        <f t="shared" si="90"/>
        <v>26812.43.4302.85.0-205128.2.3.3.08.06.</v>
      </c>
      <c r="U2914" t="e" cm="1">
        <f t="array" aca="1" ref="U2914" ca="1">+IF(COMPROMISOS_2025[[#This Row],[P]]="20","41080111",_xlfn.XLOOKUP(COMPROMISOS_2025[[#This Row],[concatenado]],PAA[[#All],[RCP-RUBRO]],PAA[[#All],[INDICADOR]],"",0))</f>
        <v>#NAME?</v>
      </c>
      <c r="V2914" s="144" t="str">
        <f t="shared" si="91"/>
        <v>85</v>
      </c>
      <c r="W2914" s="136">
        <f>+COMPROMISOS_2025[[#This Row],[valor_total]]-COMPROMISOS_2025[[#This Row],[total_cancelado]]</f>
        <v>6405750</v>
      </c>
      <c r="X2914" s="136">
        <f>COMPROMISOS_2025[[#This Row],[total_ordenes]]</f>
        <v>6405750</v>
      </c>
      <c r="Y2914" t="str" cm="1">
        <f t="array" aca="1" ref="Y2914" ca="1">IFERROR(_xlfn.XLOOKUP(COMPROMISOS_2025[[#This Row],[concatenado]],PAA[[#All],[RCP-RUBRO]],PAA[[#All],[Actividad3]],VLOOKUP(COMPROMISOS_2025[[#This Row],[Indicador Principal]],$AC$2:$AD$17,2,0),0),"")</f>
        <v/>
      </c>
    </row>
    <row r="2915" spans="1:25" hidden="1" x14ac:dyDescent="0.25">
      <c r="A2915">
        <v>2683</v>
      </c>
      <c r="B2915" t="s">
        <v>2491</v>
      </c>
      <c r="C2915" t="s">
        <v>1936</v>
      </c>
      <c r="D2915" t="s">
        <v>3575</v>
      </c>
      <c r="F2915">
        <v>405</v>
      </c>
      <c r="G2915">
        <v>65</v>
      </c>
      <c r="H2915" t="s">
        <v>662</v>
      </c>
      <c r="I2915" t="s">
        <v>2271</v>
      </c>
      <c r="J2915">
        <v>711750</v>
      </c>
      <c r="K2915">
        <v>2025</v>
      </c>
      <c r="L2915">
        <v>1061210984</v>
      </c>
      <c r="M2915" t="s">
        <v>4418</v>
      </c>
      <c r="N2915" t="s">
        <v>1688</v>
      </c>
      <c r="O2915" t="s">
        <v>1686</v>
      </c>
      <c r="P2915">
        <v>0</v>
      </c>
      <c r="Q2915">
        <v>711750</v>
      </c>
      <c r="R2915">
        <v>0</v>
      </c>
      <c r="S2915">
        <v>0</v>
      </c>
      <c r="T2915" t="str">
        <f t="shared" si="90"/>
        <v>26832.43.4302.85.0-205128.2.3.3.08.06.</v>
      </c>
      <c r="U2915" t="e" cm="1">
        <f t="array" aca="1" ref="U2915" ca="1">+IF(COMPROMISOS_2025[[#This Row],[P]]="20","41080111",_xlfn.XLOOKUP(COMPROMISOS_2025[[#This Row],[concatenado]],PAA[[#All],[RCP-RUBRO]],PAA[[#All],[INDICADOR]],"",0))</f>
        <v>#NAME?</v>
      </c>
      <c r="V2915" s="144" t="str">
        <f t="shared" si="91"/>
        <v>85</v>
      </c>
      <c r="W2915" s="136">
        <f>+COMPROMISOS_2025[[#This Row],[valor_total]]-COMPROMISOS_2025[[#This Row],[total_cancelado]]</f>
        <v>711750</v>
      </c>
      <c r="X2915" s="136">
        <f>COMPROMISOS_2025[[#This Row],[total_ordenes]]</f>
        <v>711750</v>
      </c>
      <c r="Y2915" t="str" cm="1">
        <f t="array" aca="1" ref="Y2915" ca="1">IFERROR(_xlfn.XLOOKUP(COMPROMISOS_2025[[#This Row],[concatenado]],PAA[[#All],[RCP-RUBRO]],PAA[[#All],[Actividad3]],VLOOKUP(COMPROMISOS_2025[[#This Row],[Indicador Principal]],$AC$2:$AD$17,2,0),0),"")</f>
        <v/>
      </c>
    </row>
    <row r="2916" spans="1:25" hidden="1" x14ac:dyDescent="0.25">
      <c r="A2916">
        <v>2684</v>
      </c>
      <c r="B2916" t="s">
        <v>2491</v>
      </c>
      <c r="C2916" t="s">
        <v>1936</v>
      </c>
      <c r="D2916" t="s">
        <v>3575</v>
      </c>
      <c r="F2916">
        <v>405</v>
      </c>
      <c r="G2916">
        <v>65</v>
      </c>
      <c r="H2916" t="s">
        <v>662</v>
      </c>
      <c r="I2916" t="s">
        <v>2271</v>
      </c>
      <c r="J2916">
        <v>711750</v>
      </c>
      <c r="K2916">
        <v>2025</v>
      </c>
      <c r="L2916">
        <v>1062297714</v>
      </c>
      <c r="M2916" t="s">
        <v>4419</v>
      </c>
      <c r="N2916" t="s">
        <v>1688</v>
      </c>
      <c r="O2916" t="s">
        <v>1686</v>
      </c>
      <c r="P2916">
        <v>0</v>
      </c>
      <c r="Q2916">
        <v>711750</v>
      </c>
      <c r="R2916">
        <v>0</v>
      </c>
      <c r="S2916">
        <v>0</v>
      </c>
      <c r="T2916" t="str">
        <f t="shared" si="90"/>
        <v>26842.43.4302.85.0-205128.2.3.3.08.06.</v>
      </c>
      <c r="U2916" t="e" cm="1">
        <f t="array" aca="1" ref="U2916" ca="1">+IF(COMPROMISOS_2025[[#This Row],[P]]="20","41080111",_xlfn.XLOOKUP(COMPROMISOS_2025[[#This Row],[concatenado]],PAA[[#All],[RCP-RUBRO]],PAA[[#All],[INDICADOR]],"",0))</f>
        <v>#NAME?</v>
      </c>
      <c r="V2916" s="144" t="str">
        <f t="shared" si="91"/>
        <v>85</v>
      </c>
      <c r="W2916" s="136">
        <f>+COMPROMISOS_2025[[#This Row],[valor_total]]-COMPROMISOS_2025[[#This Row],[total_cancelado]]</f>
        <v>711750</v>
      </c>
      <c r="X2916" s="136">
        <f>COMPROMISOS_2025[[#This Row],[total_ordenes]]</f>
        <v>711750</v>
      </c>
      <c r="Y2916" t="str" cm="1">
        <f t="array" aca="1" ref="Y2916" ca="1">IFERROR(_xlfn.XLOOKUP(COMPROMISOS_2025[[#This Row],[concatenado]],PAA[[#All],[RCP-RUBRO]],PAA[[#All],[Actividad3]],VLOOKUP(COMPROMISOS_2025[[#This Row],[Indicador Principal]],$AC$2:$AD$17,2,0),0),"")</f>
        <v/>
      </c>
    </row>
    <row r="2917" spans="1:25" hidden="1" x14ac:dyDescent="0.25">
      <c r="A2917">
        <v>2689</v>
      </c>
      <c r="B2917" t="s">
        <v>2491</v>
      </c>
      <c r="C2917" t="s">
        <v>1936</v>
      </c>
      <c r="D2917" t="s">
        <v>3575</v>
      </c>
      <c r="F2917">
        <v>405</v>
      </c>
      <c r="G2917">
        <v>65</v>
      </c>
      <c r="H2917" t="s">
        <v>662</v>
      </c>
      <c r="I2917" t="s">
        <v>2271</v>
      </c>
      <c r="J2917">
        <v>711750</v>
      </c>
      <c r="K2917">
        <v>2025</v>
      </c>
      <c r="L2917">
        <v>1065587890</v>
      </c>
      <c r="M2917" t="s">
        <v>4420</v>
      </c>
      <c r="N2917" t="s">
        <v>1688</v>
      </c>
      <c r="O2917" t="s">
        <v>1686</v>
      </c>
      <c r="P2917">
        <v>0</v>
      </c>
      <c r="Q2917">
        <v>711750</v>
      </c>
      <c r="R2917">
        <v>0</v>
      </c>
      <c r="S2917">
        <v>0</v>
      </c>
      <c r="T2917" t="str">
        <f t="shared" si="90"/>
        <v>26892.43.4302.85.0-205128.2.3.3.08.06.</v>
      </c>
      <c r="U2917" t="e" cm="1">
        <f t="array" aca="1" ref="U2917" ca="1">+IF(COMPROMISOS_2025[[#This Row],[P]]="20","41080111",_xlfn.XLOOKUP(COMPROMISOS_2025[[#This Row],[concatenado]],PAA[[#All],[RCP-RUBRO]],PAA[[#All],[INDICADOR]],"",0))</f>
        <v>#NAME?</v>
      </c>
      <c r="V2917" s="144" t="str">
        <f t="shared" si="91"/>
        <v>85</v>
      </c>
      <c r="W2917" s="136">
        <f>+COMPROMISOS_2025[[#This Row],[valor_total]]-COMPROMISOS_2025[[#This Row],[total_cancelado]]</f>
        <v>711750</v>
      </c>
      <c r="X2917" s="136">
        <f>COMPROMISOS_2025[[#This Row],[total_ordenes]]</f>
        <v>711750</v>
      </c>
      <c r="Y2917" t="str" cm="1">
        <f t="array" aca="1" ref="Y2917" ca="1">IFERROR(_xlfn.XLOOKUP(COMPROMISOS_2025[[#This Row],[concatenado]],PAA[[#All],[RCP-RUBRO]],PAA[[#All],[Actividad3]],VLOOKUP(COMPROMISOS_2025[[#This Row],[Indicador Principal]],$AC$2:$AD$17,2,0),0),"")</f>
        <v/>
      </c>
    </row>
    <row r="2918" spans="1:25" hidden="1" x14ac:dyDescent="0.25">
      <c r="A2918">
        <v>2690</v>
      </c>
      <c r="B2918" t="s">
        <v>2491</v>
      </c>
      <c r="C2918" t="s">
        <v>1936</v>
      </c>
      <c r="D2918" t="s">
        <v>3575</v>
      </c>
      <c r="F2918">
        <v>405</v>
      </c>
      <c r="G2918">
        <v>65</v>
      </c>
      <c r="H2918" t="s">
        <v>662</v>
      </c>
      <c r="I2918" t="s">
        <v>2271</v>
      </c>
      <c r="J2918">
        <v>1423500</v>
      </c>
      <c r="K2918">
        <v>2025</v>
      </c>
      <c r="L2918">
        <v>1065602964</v>
      </c>
      <c r="M2918" t="s">
        <v>4421</v>
      </c>
      <c r="N2918" t="s">
        <v>1688</v>
      </c>
      <c r="O2918" t="s">
        <v>1686</v>
      </c>
      <c r="P2918">
        <v>0</v>
      </c>
      <c r="Q2918">
        <v>1423500</v>
      </c>
      <c r="R2918">
        <v>0</v>
      </c>
      <c r="S2918">
        <v>0</v>
      </c>
      <c r="T2918" t="str">
        <f t="shared" si="90"/>
        <v>26902.43.4302.85.0-205128.2.3.3.08.06.</v>
      </c>
      <c r="U2918" t="e" cm="1">
        <f t="array" aca="1" ref="U2918" ca="1">+IF(COMPROMISOS_2025[[#This Row],[P]]="20","41080111",_xlfn.XLOOKUP(COMPROMISOS_2025[[#This Row],[concatenado]],PAA[[#All],[RCP-RUBRO]],PAA[[#All],[INDICADOR]],"",0))</f>
        <v>#NAME?</v>
      </c>
      <c r="V2918" s="144" t="str">
        <f t="shared" si="91"/>
        <v>85</v>
      </c>
      <c r="W2918" s="136">
        <f>+COMPROMISOS_2025[[#This Row],[valor_total]]-COMPROMISOS_2025[[#This Row],[total_cancelado]]</f>
        <v>1423500</v>
      </c>
      <c r="X2918" s="136">
        <f>COMPROMISOS_2025[[#This Row],[total_ordenes]]</f>
        <v>1423500</v>
      </c>
      <c r="Y2918" t="str" cm="1">
        <f t="array" aca="1" ref="Y2918" ca="1">IFERROR(_xlfn.XLOOKUP(COMPROMISOS_2025[[#This Row],[concatenado]],PAA[[#All],[RCP-RUBRO]],PAA[[#All],[Actividad3]],VLOOKUP(COMPROMISOS_2025[[#This Row],[Indicador Principal]],$AC$2:$AD$17,2,0),0),"")</f>
        <v/>
      </c>
    </row>
    <row r="2919" spans="1:25" hidden="1" x14ac:dyDescent="0.25">
      <c r="A2919">
        <v>2693</v>
      </c>
      <c r="B2919" t="s">
        <v>2491</v>
      </c>
      <c r="C2919" t="s">
        <v>1936</v>
      </c>
      <c r="D2919" t="s">
        <v>3575</v>
      </c>
      <c r="F2919">
        <v>405</v>
      </c>
      <c r="G2919">
        <v>65</v>
      </c>
      <c r="H2919" t="s">
        <v>662</v>
      </c>
      <c r="I2919" t="s">
        <v>2271</v>
      </c>
      <c r="J2919">
        <v>1067625</v>
      </c>
      <c r="K2919">
        <v>2025</v>
      </c>
      <c r="L2919">
        <v>1073970917</v>
      </c>
      <c r="M2919" t="s">
        <v>3855</v>
      </c>
      <c r="N2919" t="s">
        <v>1688</v>
      </c>
      <c r="O2919" t="s">
        <v>1686</v>
      </c>
      <c r="P2919">
        <v>0</v>
      </c>
      <c r="Q2919">
        <v>1067625</v>
      </c>
      <c r="R2919">
        <v>0</v>
      </c>
      <c r="S2919">
        <v>0</v>
      </c>
      <c r="T2919" t="str">
        <f t="shared" si="90"/>
        <v>26932.43.4302.85.0-205128.2.3.3.08.06.</v>
      </c>
      <c r="U2919" t="e" cm="1">
        <f t="array" aca="1" ref="U2919" ca="1">+IF(COMPROMISOS_2025[[#This Row],[P]]="20","41080111",_xlfn.XLOOKUP(COMPROMISOS_2025[[#This Row],[concatenado]],PAA[[#All],[RCP-RUBRO]],PAA[[#All],[INDICADOR]],"",0))</f>
        <v>#NAME?</v>
      </c>
      <c r="V2919" s="144" t="str">
        <f t="shared" si="91"/>
        <v>85</v>
      </c>
      <c r="W2919" s="136">
        <f>+COMPROMISOS_2025[[#This Row],[valor_total]]-COMPROMISOS_2025[[#This Row],[total_cancelado]]</f>
        <v>1067625</v>
      </c>
      <c r="X2919" s="136">
        <f>COMPROMISOS_2025[[#This Row],[total_ordenes]]</f>
        <v>1067625</v>
      </c>
      <c r="Y2919" t="str" cm="1">
        <f t="array" aca="1" ref="Y2919" ca="1">IFERROR(_xlfn.XLOOKUP(COMPROMISOS_2025[[#This Row],[concatenado]],PAA[[#All],[RCP-RUBRO]],PAA[[#All],[Actividad3]],VLOOKUP(COMPROMISOS_2025[[#This Row],[Indicador Principal]],$AC$2:$AD$17,2,0),0),"")</f>
        <v/>
      </c>
    </row>
    <row r="2920" spans="1:25" hidden="1" x14ac:dyDescent="0.25">
      <c r="A2920">
        <v>2694</v>
      </c>
      <c r="B2920" t="s">
        <v>2491</v>
      </c>
      <c r="C2920" t="s">
        <v>1936</v>
      </c>
      <c r="D2920" t="s">
        <v>3575</v>
      </c>
      <c r="F2920">
        <v>405</v>
      </c>
      <c r="G2920">
        <v>65</v>
      </c>
      <c r="H2920" t="s">
        <v>662</v>
      </c>
      <c r="I2920" t="s">
        <v>2271</v>
      </c>
      <c r="J2920">
        <v>711750</v>
      </c>
      <c r="K2920">
        <v>2025</v>
      </c>
      <c r="L2920">
        <v>1076328149</v>
      </c>
      <c r="M2920" t="s">
        <v>4422</v>
      </c>
      <c r="N2920" t="s">
        <v>1688</v>
      </c>
      <c r="O2920" t="s">
        <v>1686</v>
      </c>
      <c r="P2920">
        <v>0</v>
      </c>
      <c r="Q2920">
        <v>711750</v>
      </c>
      <c r="R2920">
        <v>0</v>
      </c>
      <c r="S2920">
        <v>0</v>
      </c>
      <c r="T2920" t="str">
        <f t="shared" si="90"/>
        <v>26942.43.4302.85.0-205128.2.3.3.08.06.</v>
      </c>
      <c r="U2920" t="e" cm="1">
        <f t="array" aca="1" ref="U2920" ca="1">+IF(COMPROMISOS_2025[[#This Row],[P]]="20","41080111",_xlfn.XLOOKUP(COMPROMISOS_2025[[#This Row],[concatenado]],PAA[[#All],[RCP-RUBRO]],PAA[[#All],[INDICADOR]],"",0))</f>
        <v>#NAME?</v>
      </c>
      <c r="V2920" s="144" t="str">
        <f t="shared" si="91"/>
        <v>85</v>
      </c>
      <c r="W2920" s="136">
        <f>+COMPROMISOS_2025[[#This Row],[valor_total]]-COMPROMISOS_2025[[#This Row],[total_cancelado]]</f>
        <v>711750</v>
      </c>
      <c r="X2920" s="136">
        <f>COMPROMISOS_2025[[#This Row],[total_ordenes]]</f>
        <v>711750</v>
      </c>
      <c r="Y2920" t="str" cm="1">
        <f t="array" aca="1" ref="Y2920" ca="1">IFERROR(_xlfn.XLOOKUP(COMPROMISOS_2025[[#This Row],[concatenado]],PAA[[#All],[RCP-RUBRO]],PAA[[#All],[Actividad3]],VLOOKUP(COMPROMISOS_2025[[#This Row],[Indicador Principal]],$AC$2:$AD$17,2,0),0),"")</f>
        <v/>
      </c>
    </row>
    <row r="2921" spans="1:25" hidden="1" x14ac:dyDescent="0.25">
      <c r="A2921">
        <v>2695</v>
      </c>
      <c r="B2921" t="s">
        <v>2491</v>
      </c>
      <c r="C2921" t="s">
        <v>1936</v>
      </c>
      <c r="D2921" t="s">
        <v>3575</v>
      </c>
      <c r="F2921">
        <v>405</v>
      </c>
      <c r="G2921">
        <v>65</v>
      </c>
      <c r="H2921" t="s">
        <v>662</v>
      </c>
      <c r="I2921" t="s">
        <v>2271</v>
      </c>
      <c r="J2921">
        <v>2847000</v>
      </c>
      <c r="K2921">
        <v>2025</v>
      </c>
      <c r="L2921">
        <v>1076502084</v>
      </c>
      <c r="M2921" t="s">
        <v>4120</v>
      </c>
      <c r="N2921" t="s">
        <v>1688</v>
      </c>
      <c r="O2921" t="s">
        <v>1686</v>
      </c>
      <c r="P2921">
        <v>0</v>
      </c>
      <c r="Q2921">
        <v>2847000</v>
      </c>
      <c r="R2921">
        <v>0</v>
      </c>
      <c r="S2921">
        <v>0</v>
      </c>
      <c r="T2921" t="str">
        <f t="shared" si="90"/>
        <v>26952.43.4302.85.0-205128.2.3.3.08.06.</v>
      </c>
      <c r="U2921" t="e" cm="1">
        <f t="array" aca="1" ref="U2921" ca="1">+IF(COMPROMISOS_2025[[#This Row],[P]]="20","41080111",_xlfn.XLOOKUP(COMPROMISOS_2025[[#This Row],[concatenado]],PAA[[#All],[RCP-RUBRO]],PAA[[#All],[INDICADOR]],"",0))</f>
        <v>#NAME?</v>
      </c>
      <c r="V2921" s="144" t="str">
        <f t="shared" si="91"/>
        <v>85</v>
      </c>
      <c r="W2921" s="136">
        <f>+COMPROMISOS_2025[[#This Row],[valor_total]]-COMPROMISOS_2025[[#This Row],[total_cancelado]]</f>
        <v>2847000</v>
      </c>
      <c r="X2921" s="136">
        <f>COMPROMISOS_2025[[#This Row],[total_ordenes]]</f>
        <v>2847000</v>
      </c>
      <c r="Y2921" t="str" cm="1">
        <f t="array" aca="1" ref="Y2921" ca="1">IFERROR(_xlfn.XLOOKUP(COMPROMISOS_2025[[#This Row],[concatenado]],PAA[[#All],[RCP-RUBRO]],PAA[[#All],[Actividad3]],VLOOKUP(COMPROMISOS_2025[[#This Row],[Indicador Principal]],$AC$2:$AD$17,2,0),0),"")</f>
        <v/>
      </c>
    </row>
    <row r="2922" spans="1:25" hidden="1" x14ac:dyDescent="0.25">
      <c r="A2922">
        <v>2696</v>
      </c>
      <c r="B2922" t="s">
        <v>2491</v>
      </c>
      <c r="C2922" t="s">
        <v>1936</v>
      </c>
      <c r="D2922" t="s">
        <v>3575</v>
      </c>
      <c r="F2922">
        <v>405</v>
      </c>
      <c r="G2922">
        <v>65</v>
      </c>
      <c r="H2922" t="s">
        <v>662</v>
      </c>
      <c r="I2922" t="s">
        <v>2271</v>
      </c>
      <c r="J2922">
        <v>711750</v>
      </c>
      <c r="K2922">
        <v>2025</v>
      </c>
      <c r="L2922">
        <v>1077086041</v>
      </c>
      <c r="M2922" t="s">
        <v>4423</v>
      </c>
      <c r="N2922" t="s">
        <v>1688</v>
      </c>
      <c r="O2922" t="s">
        <v>1686</v>
      </c>
      <c r="P2922">
        <v>0</v>
      </c>
      <c r="Q2922">
        <v>711750</v>
      </c>
      <c r="R2922">
        <v>0</v>
      </c>
      <c r="S2922">
        <v>0</v>
      </c>
      <c r="T2922" t="str">
        <f t="shared" si="90"/>
        <v>26962.43.4302.85.0-205128.2.3.3.08.06.</v>
      </c>
      <c r="U2922" t="e" cm="1">
        <f t="array" aca="1" ref="U2922" ca="1">+IF(COMPROMISOS_2025[[#This Row],[P]]="20","41080111",_xlfn.XLOOKUP(COMPROMISOS_2025[[#This Row],[concatenado]],PAA[[#All],[RCP-RUBRO]],PAA[[#All],[INDICADOR]],"",0))</f>
        <v>#NAME?</v>
      </c>
      <c r="V2922" s="144" t="str">
        <f t="shared" si="91"/>
        <v>85</v>
      </c>
      <c r="W2922" s="136">
        <f>+COMPROMISOS_2025[[#This Row],[valor_total]]-COMPROMISOS_2025[[#This Row],[total_cancelado]]</f>
        <v>711750</v>
      </c>
      <c r="X2922" s="136">
        <f>COMPROMISOS_2025[[#This Row],[total_ordenes]]</f>
        <v>711750</v>
      </c>
      <c r="Y2922" t="str" cm="1">
        <f t="array" aca="1" ref="Y2922" ca="1">IFERROR(_xlfn.XLOOKUP(COMPROMISOS_2025[[#This Row],[concatenado]],PAA[[#All],[RCP-RUBRO]],PAA[[#All],[Actividad3]],VLOOKUP(COMPROMISOS_2025[[#This Row],[Indicador Principal]],$AC$2:$AD$17,2,0),0),"")</f>
        <v/>
      </c>
    </row>
    <row r="2923" spans="1:25" hidden="1" x14ac:dyDescent="0.25">
      <c r="A2923">
        <v>2698</v>
      </c>
      <c r="B2923" t="s">
        <v>2491</v>
      </c>
      <c r="C2923" t="s">
        <v>1936</v>
      </c>
      <c r="D2923" t="s">
        <v>3575</v>
      </c>
      <c r="F2923">
        <v>405</v>
      </c>
      <c r="G2923">
        <v>65</v>
      </c>
      <c r="H2923" t="s">
        <v>662</v>
      </c>
      <c r="I2923" t="s">
        <v>2271</v>
      </c>
      <c r="J2923">
        <v>2847000</v>
      </c>
      <c r="K2923">
        <v>2025</v>
      </c>
      <c r="L2923">
        <v>1077427445</v>
      </c>
      <c r="M2923" t="s">
        <v>4179</v>
      </c>
      <c r="N2923" t="s">
        <v>1688</v>
      </c>
      <c r="O2923" t="s">
        <v>1686</v>
      </c>
      <c r="P2923">
        <v>0</v>
      </c>
      <c r="Q2923">
        <v>2847000</v>
      </c>
      <c r="R2923">
        <v>0</v>
      </c>
      <c r="S2923">
        <v>0</v>
      </c>
      <c r="T2923" t="str">
        <f t="shared" si="90"/>
        <v>26982.43.4302.85.0-205128.2.3.3.08.06.</v>
      </c>
      <c r="U2923" t="e" cm="1">
        <f t="array" aca="1" ref="U2923" ca="1">+IF(COMPROMISOS_2025[[#This Row],[P]]="20","41080111",_xlfn.XLOOKUP(COMPROMISOS_2025[[#This Row],[concatenado]],PAA[[#All],[RCP-RUBRO]],PAA[[#All],[INDICADOR]],"",0))</f>
        <v>#NAME?</v>
      </c>
      <c r="V2923" s="144" t="str">
        <f t="shared" si="91"/>
        <v>85</v>
      </c>
      <c r="W2923" s="136">
        <f>+COMPROMISOS_2025[[#This Row],[valor_total]]-COMPROMISOS_2025[[#This Row],[total_cancelado]]</f>
        <v>2847000</v>
      </c>
      <c r="X2923" s="136">
        <f>COMPROMISOS_2025[[#This Row],[total_ordenes]]</f>
        <v>2847000</v>
      </c>
      <c r="Y2923" t="str" cm="1">
        <f t="array" aca="1" ref="Y2923" ca="1">IFERROR(_xlfn.XLOOKUP(COMPROMISOS_2025[[#This Row],[concatenado]],PAA[[#All],[RCP-RUBRO]],PAA[[#All],[Actividad3]],VLOOKUP(COMPROMISOS_2025[[#This Row],[Indicador Principal]],$AC$2:$AD$17,2,0),0),"")</f>
        <v/>
      </c>
    </row>
    <row r="2924" spans="1:25" hidden="1" x14ac:dyDescent="0.25">
      <c r="A2924">
        <v>2699</v>
      </c>
      <c r="B2924" t="s">
        <v>2491</v>
      </c>
      <c r="C2924" t="s">
        <v>1936</v>
      </c>
      <c r="D2924" t="s">
        <v>3575</v>
      </c>
      <c r="F2924">
        <v>405</v>
      </c>
      <c r="G2924">
        <v>65</v>
      </c>
      <c r="H2924" t="s">
        <v>662</v>
      </c>
      <c r="I2924" t="s">
        <v>2271</v>
      </c>
      <c r="J2924">
        <v>1423500</v>
      </c>
      <c r="K2924">
        <v>2025</v>
      </c>
      <c r="L2924">
        <v>1077437321</v>
      </c>
      <c r="M2924" t="s">
        <v>4121</v>
      </c>
      <c r="N2924" t="s">
        <v>1688</v>
      </c>
      <c r="O2924" t="s">
        <v>1686</v>
      </c>
      <c r="P2924">
        <v>0</v>
      </c>
      <c r="Q2924">
        <v>1423500</v>
      </c>
      <c r="R2924">
        <v>0</v>
      </c>
      <c r="S2924">
        <v>0</v>
      </c>
      <c r="T2924" t="str">
        <f t="shared" si="90"/>
        <v>26992.43.4302.85.0-205128.2.3.3.08.06.</v>
      </c>
      <c r="U2924" t="e" cm="1">
        <f t="array" aca="1" ref="U2924" ca="1">+IF(COMPROMISOS_2025[[#This Row],[P]]="20","41080111",_xlfn.XLOOKUP(COMPROMISOS_2025[[#This Row],[concatenado]],PAA[[#All],[RCP-RUBRO]],PAA[[#All],[INDICADOR]],"",0))</f>
        <v>#NAME?</v>
      </c>
      <c r="V2924" s="144" t="str">
        <f t="shared" si="91"/>
        <v>85</v>
      </c>
      <c r="W2924" s="136">
        <f>+COMPROMISOS_2025[[#This Row],[valor_total]]-COMPROMISOS_2025[[#This Row],[total_cancelado]]</f>
        <v>1423500</v>
      </c>
      <c r="X2924" s="136">
        <f>COMPROMISOS_2025[[#This Row],[total_ordenes]]</f>
        <v>1423500</v>
      </c>
      <c r="Y2924" t="str" cm="1">
        <f t="array" aca="1" ref="Y2924" ca="1">IFERROR(_xlfn.XLOOKUP(COMPROMISOS_2025[[#This Row],[concatenado]],PAA[[#All],[RCP-RUBRO]],PAA[[#All],[Actividad3]],VLOOKUP(COMPROMISOS_2025[[#This Row],[Indicador Principal]],$AC$2:$AD$17,2,0),0),"")</f>
        <v/>
      </c>
    </row>
    <row r="2925" spans="1:25" hidden="1" x14ac:dyDescent="0.25">
      <c r="A2925">
        <v>2701</v>
      </c>
      <c r="B2925" t="s">
        <v>2491</v>
      </c>
      <c r="C2925" t="s">
        <v>1936</v>
      </c>
      <c r="D2925" t="s">
        <v>3575</v>
      </c>
      <c r="F2925">
        <v>405</v>
      </c>
      <c r="G2925">
        <v>65</v>
      </c>
      <c r="H2925" t="s">
        <v>662</v>
      </c>
      <c r="I2925" t="s">
        <v>2271</v>
      </c>
      <c r="J2925">
        <v>1423500</v>
      </c>
      <c r="K2925">
        <v>2025</v>
      </c>
      <c r="L2925">
        <v>1077459205</v>
      </c>
      <c r="M2925" t="s">
        <v>4424</v>
      </c>
      <c r="N2925" t="s">
        <v>1688</v>
      </c>
      <c r="O2925" t="s">
        <v>1686</v>
      </c>
      <c r="P2925">
        <v>0</v>
      </c>
      <c r="Q2925">
        <v>1423500</v>
      </c>
      <c r="R2925">
        <v>0</v>
      </c>
      <c r="S2925">
        <v>0</v>
      </c>
      <c r="T2925" t="str">
        <f t="shared" si="90"/>
        <v>27012.43.4302.85.0-205128.2.3.3.08.06.</v>
      </c>
      <c r="U2925" t="e" cm="1">
        <f t="array" aca="1" ref="U2925" ca="1">+IF(COMPROMISOS_2025[[#This Row],[P]]="20","41080111",_xlfn.XLOOKUP(COMPROMISOS_2025[[#This Row],[concatenado]],PAA[[#All],[RCP-RUBRO]],PAA[[#All],[INDICADOR]],"",0))</f>
        <v>#NAME?</v>
      </c>
      <c r="V2925" s="144" t="str">
        <f t="shared" si="91"/>
        <v>85</v>
      </c>
      <c r="W2925" s="136">
        <f>+COMPROMISOS_2025[[#This Row],[valor_total]]-COMPROMISOS_2025[[#This Row],[total_cancelado]]</f>
        <v>1423500</v>
      </c>
      <c r="X2925" s="136">
        <f>COMPROMISOS_2025[[#This Row],[total_ordenes]]</f>
        <v>1423500</v>
      </c>
      <c r="Y2925" t="str" cm="1">
        <f t="array" aca="1" ref="Y2925" ca="1">IFERROR(_xlfn.XLOOKUP(COMPROMISOS_2025[[#This Row],[concatenado]],PAA[[#All],[RCP-RUBRO]],PAA[[#All],[Actividad3]],VLOOKUP(COMPROMISOS_2025[[#This Row],[Indicador Principal]],$AC$2:$AD$17,2,0),0),"")</f>
        <v/>
      </c>
    </row>
    <row r="2926" spans="1:25" hidden="1" x14ac:dyDescent="0.25">
      <c r="A2926">
        <v>2702</v>
      </c>
      <c r="B2926" t="s">
        <v>2491</v>
      </c>
      <c r="C2926" t="s">
        <v>1936</v>
      </c>
      <c r="D2926" t="s">
        <v>3575</v>
      </c>
      <c r="F2926">
        <v>405</v>
      </c>
      <c r="G2926">
        <v>65</v>
      </c>
      <c r="H2926" t="s">
        <v>662</v>
      </c>
      <c r="I2926" t="s">
        <v>2271</v>
      </c>
      <c r="J2926">
        <v>1423500</v>
      </c>
      <c r="K2926">
        <v>2025</v>
      </c>
      <c r="L2926">
        <v>1077721749</v>
      </c>
      <c r="M2926" t="s">
        <v>4122</v>
      </c>
      <c r="N2926" t="s">
        <v>1688</v>
      </c>
      <c r="O2926" t="s">
        <v>1686</v>
      </c>
      <c r="P2926">
        <v>0</v>
      </c>
      <c r="Q2926">
        <v>1423500</v>
      </c>
      <c r="R2926">
        <v>0</v>
      </c>
      <c r="S2926">
        <v>0</v>
      </c>
      <c r="T2926" t="str">
        <f t="shared" si="90"/>
        <v>27022.43.4302.85.0-205128.2.3.3.08.06.</v>
      </c>
      <c r="U2926" t="e" cm="1">
        <f t="array" aca="1" ref="U2926" ca="1">+IF(COMPROMISOS_2025[[#This Row],[P]]="20","41080111",_xlfn.XLOOKUP(COMPROMISOS_2025[[#This Row],[concatenado]],PAA[[#All],[RCP-RUBRO]],PAA[[#All],[INDICADOR]],"",0))</f>
        <v>#NAME?</v>
      </c>
      <c r="V2926" s="144" t="str">
        <f t="shared" si="91"/>
        <v>85</v>
      </c>
      <c r="W2926" s="136">
        <f>+COMPROMISOS_2025[[#This Row],[valor_total]]-COMPROMISOS_2025[[#This Row],[total_cancelado]]</f>
        <v>1423500</v>
      </c>
      <c r="X2926" s="136">
        <f>COMPROMISOS_2025[[#This Row],[total_ordenes]]</f>
        <v>1423500</v>
      </c>
      <c r="Y2926" t="str" cm="1">
        <f t="array" aca="1" ref="Y2926" ca="1">IFERROR(_xlfn.XLOOKUP(COMPROMISOS_2025[[#This Row],[concatenado]],PAA[[#All],[RCP-RUBRO]],PAA[[#All],[Actividad3]],VLOOKUP(COMPROMISOS_2025[[#This Row],[Indicador Principal]],$AC$2:$AD$17,2,0),0),"")</f>
        <v/>
      </c>
    </row>
    <row r="2927" spans="1:25" hidden="1" x14ac:dyDescent="0.25">
      <c r="A2927">
        <v>2705</v>
      </c>
      <c r="B2927" t="s">
        <v>2491</v>
      </c>
      <c r="C2927" t="s">
        <v>1936</v>
      </c>
      <c r="D2927" t="s">
        <v>3575</v>
      </c>
      <c r="F2927">
        <v>405</v>
      </c>
      <c r="G2927">
        <v>65</v>
      </c>
      <c r="H2927" t="s">
        <v>662</v>
      </c>
      <c r="I2927" t="s">
        <v>2271</v>
      </c>
      <c r="J2927">
        <v>1067625</v>
      </c>
      <c r="K2927">
        <v>2025</v>
      </c>
      <c r="L2927">
        <v>1078576614</v>
      </c>
      <c r="M2927" t="s">
        <v>4123</v>
      </c>
      <c r="N2927" t="s">
        <v>1688</v>
      </c>
      <c r="O2927" t="s">
        <v>1686</v>
      </c>
      <c r="P2927">
        <v>0</v>
      </c>
      <c r="Q2927">
        <v>1067625</v>
      </c>
      <c r="R2927">
        <v>0</v>
      </c>
      <c r="S2927">
        <v>0</v>
      </c>
      <c r="T2927" t="str">
        <f t="shared" si="90"/>
        <v>27052.43.4302.85.0-205128.2.3.3.08.06.</v>
      </c>
      <c r="U2927" t="e" cm="1">
        <f t="array" aca="1" ref="U2927" ca="1">+IF(COMPROMISOS_2025[[#This Row],[P]]="20","41080111",_xlfn.XLOOKUP(COMPROMISOS_2025[[#This Row],[concatenado]],PAA[[#All],[RCP-RUBRO]],PAA[[#All],[INDICADOR]],"",0))</f>
        <v>#NAME?</v>
      </c>
      <c r="V2927" s="144" t="str">
        <f t="shared" si="91"/>
        <v>85</v>
      </c>
      <c r="W2927" s="136">
        <f>+COMPROMISOS_2025[[#This Row],[valor_total]]-COMPROMISOS_2025[[#This Row],[total_cancelado]]</f>
        <v>1067625</v>
      </c>
      <c r="X2927" s="136">
        <f>COMPROMISOS_2025[[#This Row],[total_ordenes]]</f>
        <v>1067625</v>
      </c>
      <c r="Y2927" t="str" cm="1">
        <f t="array" aca="1" ref="Y2927" ca="1">IFERROR(_xlfn.XLOOKUP(COMPROMISOS_2025[[#This Row],[concatenado]],PAA[[#All],[RCP-RUBRO]],PAA[[#All],[Actividad3]],VLOOKUP(COMPROMISOS_2025[[#This Row],[Indicador Principal]],$AC$2:$AD$17,2,0),0),"")</f>
        <v/>
      </c>
    </row>
    <row r="2928" spans="1:25" hidden="1" x14ac:dyDescent="0.25">
      <c r="A2928">
        <v>2706</v>
      </c>
      <c r="B2928" t="s">
        <v>2491</v>
      </c>
      <c r="C2928" t="s">
        <v>1936</v>
      </c>
      <c r="D2928" t="s">
        <v>3575</v>
      </c>
      <c r="F2928">
        <v>405</v>
      </c>
      <c r="G2928">
        <v>65</v>
      </c>
      <c r="H2928" t="s">
        <v>662</v>
      </c>
      <c r="I2928" t="s">
        <v>2271</v>
      </c>
      <c r="J2928">
        <v>1067625</v>
      </c>
      <c r="K2928">
        <v>2025</v>
      </c>
      <c r="L2928">
        <v>1078581228</v>
      </c>
      <c r="M2928" t="s">
        <v>4426</v>
      </c>
      <c r="N2928" t="s">
        <v>1688</v>
      </c>
      <c r="O2928" t="s">
        <v>1686</v>
      </c>
      <c r="P2928">
        <v>0</v>
      </c>
      <c r="Q2928">
        <v>1067625</v>
      </c>
      <c r="R2928">
        <v>0</v>
      </c>
      <c r="S2928">
        <v>0</v>
      </c>
      <c r="T2928" t="str">
        <f t="shared" si="90"/>
        <v>27062.43.4302.85.0-205128.2.3.3.08.06.</v>
      </c>
      <c r="U2928" t="e" cm="1">
        <f t="array" aca="1" ref="U2928" ca="1">+IF(COMPROMISOS_2025[[#This Row],[P]]="20","41080111",_xlfn.XLOOKUP(COMPROMISOS_2025[[#This Row],[concatenado]],PAA[[#All],[RCP-RUBRO]],PAA[[#All],[INDICADOR]],"",0))</f>
        <v>#NAME?</v>
      </c>
      <c r="V2928" s="144" t="str">
        <f t="shared" si="91"/>
        <v>85</v>
      </c>
      <c r="W2928" s="136">
        <f>+COMPROMISOS_2025[[#This Row],[valor_total]]-COMPROMISOS_2025[[#This Row],[total_cancelado]]</f>
        <v>1067625</v>
      </c>
      <c r="X2928" s="136">
        <f>COMPROMISOS_2025[[#This Row],[total_ordenes]]</f>
        <v>1067625</v>
      </c>
      <c r="Y2928" t="str" cm="1">
        <f t="array" aca="1" ref="Y2928" ca="1">IFERROR(_xlfn.XLOOKUP(COMPROMISOS_2025[[#This Row],[concatenado]],PAA[[#All],[RCP-RUBRO]],PAA[[#All],[Actividad3]],VLOOKUP(COMPROMISOS_2025[[#This Row],[Indicador Principal]],$AC$2:$AD$17,2,0),0),"")</f>
        <v/>
      </c>
    </row>
    <row r="2929" spans="1:25" hidden="1" x14ac:dyDescent="0.25">
      <c r="A2929">
        <v>2709</v>
      </c>
      <c r="B2929" t="s">
        <v>2491</v>
      </c>
      <c r="C2929" t="s">
        <v>1936</v>
      </c>
      <c r="D2929" t="s">
        <v>3575</v>
      </c>
      <c r="F2929">
        <v>405</v>
      </c>
      <c r="G2929">
        <v>65</v>
      </c>
      <c r="H2929" t="s">
        <v>662</v>
      </c>
      <c r="I2929" t="s">
        <v>2271</v>
      </c>
      <c r="J2929">
        <v>1423500</v>
      </c>
      <c r="K2929">
        <v>2025</v>
      </c>
      <c r="L2929">
        <v>1085042986</v>
      </c>
      <c r="M2929" t="s">
        <v>4427</v>
      </c>
      <c r="N2929" t="s">
        <v>1688</v>
      </c>
      <c r="O2929" t="s">
        <v>1686</v>
      </c>
      <c r="P2929">
        <v>0</v>
      </c>
      <c r="Q2929">
        <v>1423500</v>
      </c>
      <c r="R2929">
        <v>0</v>
      </c>
      <c r="S2929">
        <v>0</v>
      </c>
      <c r="T2929" t="str">
        <f t="shared" si="90"/>
        <v>27092.43.4302.85.0-205128.2.3.3.08.06.</v>
      </c>
      <c r="U2929" t="e" cm="1">
        <f t="array" aca="1" ref="U2929" ca="1">+IF(COMPROMISOS_2025[[#This Row],[P]]="20","41080111",_xlfn.XLOOKUP(COMPROMISOS_2025[[#This Row],[concatenado]],PAA[[#All],[RCP-RUBRO]],PAA[[#All],[INDICADOR]],"",0))</f>
        <v>#NAME?</v>
      </c>
      <c r="V2929" s="144" t="str">
        <f t="shared" si="91"/>
        <v>85</v>
      </c>
      <c r="W2929" s="136">
        <f>+COMPROMISOS_2025[[#This Row],[valor_total]]-COMPROMISOS_2025[[#This Row],[total_cancelado]]</f>
        <v>1423500</v>
      </c>
      <c r="X2929" s="136">
        <f>COMPROMISOS_2025[[#This Row],[total_ordenes]]</f>
        <v>1423500</v>
      </c>
      <c r="Y2929" t="str" cm="1">
        <f t="array" aca="1" ref="Y2929" ca="1">IFERROR(_xlfn.XLOOKUP(COMPROMISOS_2025[[#This Row],[concatenado]],PAA[[#All],[RCP-RUBRO]],PAA[[#All],[Actividad3]],VLOOKUP(COMPROMISOS_2025[[#This Row],[Indicador Principal]],$AC$2:$AD$17,2,0),0),"")</f>
        <v/>
      </c>
    </row>
    <row r="2930" spans="1:25" hidden="1" x14ac:dyDescent="0.25">
      <c r="A2930">
        <v>2710</v>
      </c>
      <c r="B2930" t="s">
        <v>2491</v>
      </c>
      <c r="C2930" t="s">
        <v>1936</v>
      </c>
      <c r="D2930" t="s">
        <v>3575</v>
      </c>
      <c r="F2930">
        <v>405</v>
      </c>
      <c r="G2930">
        <v>65</v>
      </c>
      <c r="H2930" t="s">
        <v>662</v>
      </c>
      <c r="I2930" t="s">
        <v>2271</v>
      </c>
      <c r="J2930">
        <v>711750</v>
      </c>
      <c r="K2930">
        <v>2025</v>
      </c>
      <c r="L2930">
        <v>1088297953</v>
      </c>
      <c r="M2930" t="s">
        <v>4428</v>
      </c>
      <c r="N2930" t="s">
        <v>1688</v>
      </c>
      <c r="O2930" t="s">
        <v>1686</v>
      </c>
      <c r="P2930">
        <v>0</v>
      </c>
      <c r="Q2930">
        <v>711750</v>
      </c>
      <c r="R2930">
        <v>0</v>
      </c>
      <c r="S2930">
        <v>0</v>
      </c>
      <c r="T2930" t="str">
        <f t="shared" si="90"/>
        <v>27102.43.4302.85.0-205128.2.3.3.08.06.</v>
      </c>
      <c r="U2930" t="e" cm="1">
        <f t="array" aca="1" ref="U2930" ca="1">+IF(COMPROMISOS_2025[[#This Row],[P]]="20","41080111",_xlfn.XLOOKUP(COMPROMISOS_2025[[#This Row],[concatenado]],PAA[[#All],[RCP-RUBRO]],PAA[[#All],[INDICADOR]],"",0))</f>
        <v>#NAME?</v>
      </c>
      <c r="V2930" s="144" t="str">
        <f t="shared" si="91"/>
        <v>85</v>
      </c>
      <c r="W2930" s="136">
        <f>+COMPROMISOS_2025[[#This Row],[valor_total]]-COMPROMISOS_2025[[#This Row],[total_cancelado]]</f>
        <v>711750</v>
      </c>
      <c r="X2930" s="136">
        <f>COMPROMISOS_2025[[#This Row],[total_ordenes]]</f>
        <v>711750</v>
      </c>
      <c r="Y2930" t="str" cm="1">
        <f t="array" aca="1" ref="Y2930" ca="1">IFERROR(_xlfn.XLOOKUP(COMPROMISOS_2025[[#This Row],[concatenado]],PAA[[#All],[RCP-RUBRO]],PAA[[#All],[Actividad3]],VLOOKUP(COMPROMISOS_2025[[#This Row],[Indicador Principal]],$AC$2:$AD$17,2,0),0),"")</f>
        <v/>
      </c>
    </row>
    <row r="2931" spans="1:25" hidden="1" x14ac:dyDescent="0.25">
      <c r="A2931">
        <v>2711</v>
      </c>
      <c r="B2931" t="s">
        <v>2491</v>
      </c>
      <c r="C2931" t="s">
        <v>1936</v>
      </c>
      <c r="D2931" t="s">
        <v>3575</v>
      </c>
      <c r="F2931">
        <v>405</v>
      </c>
      <c r="G2931">
        <v>65</v>
      </c>
      <c r="H2931" t="s">
        <v>662</v>
      </c>
      <c r="I2931" t="s">
        <v>2271</v>
      </c>
      <c r="J2931">
        <v>2847000</v>
      </c>
      <c r="K2931">
        <v>2025</v>
      </c>
      <c r="L2931">
        <v>1088318816</v>
      </c>
      <c r="M2931" t="s">
        <v>4429</v>
      </c>
      <c r="N2931" t="s">
        <v>1688</v>
      </c>
      <c r="O2931" t="s">
        <v>1686</v>
      </c>
      <c r="P2931">
        <v>0</v>
      </c>
      <c r="Q2931">
        <v>2847000</v>
      </c>
      <c r="R2931">
        <v>0</v>
      </c>
      <c r="S2931">
        <v>0</v>
      </c>
      <c r="T2931" t="str">
        <f t="shared" si="90"/>
        <v>27112.43.4302.85.0-205128.2.3.3.08.06.</v>
      </c>
      <c r="U2931" t="e" cm="1">
        <f t="array" aca="1" ref="U2931" ca="1">+IF(COMPROMISOS_2025[[#This Row],[P]]="20","41080111",_xlfn.XLOOKUP(COMPROMISOS_2025[[#This Row],[concatenado]],PAA[[#All],[RCP-RUBRO]],PAA[[#All],[INDICADOR]],"",0))</f>
        <v>#NAME?</v>
      </c>
      <c r="V2931" s="144" t="str">
        <f t="shared" si="91"/>
        <v>85</v>
      </c>
      <c r="W2931" s="136">
        <f>+COMPROMISOS_2025[[#This Row],[valor_total]]-COMPROMISOS_2025[[#This Row],[total_cancelado]]</f>
        <v>2847000</v>
      </c>
      <c r="X2931" s="136">
        <f>COMPROMISOS_2025[[#This Row],[total_ordenes]]</f>
        <v>2847000</v>
      </c>
      <c r="Y2931" t="str" cm="1">
        <f t="array" aca="1" ref="Y2931" ca="1">IFERROR(_xlfn.XLOOKUP(COMPROMISOS_2025[[#This Row],[concatenado]],PAA[[#All],[RCP-RUBRO]],PAA[[#All],[Actividad3]],VLOOKUP(COMPROMISOS_2025[[#This Row],[Indicador Principal]],$AC$2:$AD$17,2,0),0),"")</f>
        <v/>
      </c>
    </row>
    <row r="2932" spans="1:25" hidden="1" x14ac:dyDescent="0.25">
      <c r="A2932">
        <v>2712</v>
      </c>
      <c r="B2932" t="s">
        <v>2491</v>
      </c>
      <c r="C2932" t="s">
        <v>1936</v>
      </c>
      <c r="D2932" t="s">
        <v>3575</v>
      </c>
      <c r="F2932">
        <v>405</v>
      </c>
      <c r="G2932">
        <v>65</v>
      </c>
      <c r="H2932" t="s">
        <v>662</v>
      </c>
      <c r="I2932" t="s">
        <v>2271</v>
      </c>
      <c r="J2932">
        <v>711750</v>
      </c>
      <c r="K2932">
        <v>2025</v>
      </c>
      <c r="L2932">
        <v>1088346322</v>
      </c>
      <c r="M2932" t="s">
        <v>4430</v>
      </c>
      <c r="N2932" t="s">
        <v>1688</v>
      </c>
      <c r="O2932" t="s">
        <v>1686</v>
      </c>
      <c r="P2932">
        <v>0</v>
      </c>
      <c r="Q2932">
        <v>711750</v>
      </c>
      <c r="R2932">
        <v>0</v>
      </c>
      <c r="S2932">
        <v>0</v>
      </c>
      <c r="T2932" t="str">
        <f t="shared" si="90"/>
        <v>27122.43.4302.85.0-205128.2.3.3.08.06.</v>
      </c>
      <c r="U2932" t="e" cm="1">
        <f t="array" aca="1" ref="U2932" ca="1">+IF(COMPROMISOS_2025[[#This Row],[P]]="20","41080111",_xlfn.XLOOKUP(COMPROMISOS_2025[[#This Row],[concatenado]],PAA[[#All],[RCP-RUBRO]],PAA[[#All],[INDICADOR]],"",0))</f>
        <v>#NAME?</v>
      </c>
      <c r="V2932" s="144" t="str">
        <f t="shared" si="91"/>
        <v>85</v>
      </c>
      <c r="W2932" s="136">
        <f>+COMPROMISOS_2025[[#This Row],[valor_total]]-COMPROMISOS_2025[[#This Row],[total_cancelado]]</f>
        <v>711750</v>
      </c>
      <c r="X2932" s="136">
        <f>COMPROMISOS_2025[[#This Row],[total_ordenes]]</f>
        <v>711750</v>
      </c>
      <c r="Y2932" t="str" cm="1">
        <f t="array" aca="1" ref="Y2932" ca="1">IFERROR(_xlfn.XLOOKUP(COMPROMISOS_2025[[#This Row],[concatenado]],PAA[[#All],[RCP-RUBRO]],PAA[[#All],[Actividad3]],VLOOKUP(COMPROMISOS_2025[[#This Row],[Indicador Principal]],$AC$2:$AD$17,2,0),0),"")</f>
        <v/>
      </c>
    </row>
    <row r="2933" spans="1:25" hidden="1" x14ac:dyDescent="0.25">
      <c r="A2933">
        <v>2713</v>
      </c>
      <c r="B2933" t="s">
        <v>2491</v>
      </c>
      <c r="C2933" t="s">
        <v>1936</v>
      </c>
      <c r="D2933" t="s">
        <v>3575</v>
      </c>
      <c r="F2933">
        <v>405</v>
      </c>
      <c r="G2933">
        <v>65</v>
      </c>
      <c r="H2933" t="s">
        <v>662</v>
      </c>
      <c r="I2933" t="s">
        <v>2271</v>
      </c>
      <c r="J2933">
        <v>2847000</v>
      </c>
      <c r="K2933">
        <v>2025</v>
      </c>
      <c r="L2933">
        <v>1091272127</v>
      </c>
      <c r="M2933" t="s">
        <v>4124</v>
      </c>
      <c r="N2933" t="s">
        <v>1688</v>
      </c>
      <c r="O2933" t="s">
        <v>1686</v>
      </c>
      <c r="P2933">
        <v>0</v>
      </c>
      <c r="Q2933">
        <v>2847000</v>
      </c>
      <c r="R2933">
        <v>0</v>
      </c>
      <c r="S2933">
        <v>0</v>
      </c>
      <c r="T2933" t="str">
        <f t="shared" si="90"/>
        <v>27132.43.4302.85.0-205128.2.3.3.08.06.</v>
      </c>
      <c r="U2933" t="e" cm="1">
        <f t="array" aca="1" ref="U2933" ca="1">+IF(COMPROMISOS_2025[[#This Row],[P]]="20","41080111",_xlfn.XLOOKUP(COMPROMISOS_2025[[#This Row],[concatenado]],PAA[[#All],[RCP-RUBRO]],PAA[[#All],[INDICADOR]],"",0))</f>
        <v>#NAME?</v>
      </c>
      <c r="V2933" s="144" t="str">
        <f t="shared" si="91"/>
        <v>85</v>
      </c>
      <c r="W2933" s="136">
        <f>+COMPROMISOS_2025[[#This Row],[valor_total]]-COMPROMISOS_2025[[#This Row],[total_cancelado]]</f>
        <v>2847000</v>
      </c>
      <c r="X2933" s="136">
        <f>COMPROMISOS_2025[[#This Row],[total_ordenes]]</f>
        <v>2847000</v>
      </c>
      <c r="Y2933" t="str" cm="1">
        <f t="array" aca="1" ref="Y2933" ca="1">IFERROR(_xlfn.XLOOKUP(COMPROMISOS_2025[[#This Row],[concatenado]],PAA[[#All],[RCP-RUBRO]],PAA[[#All],[Actividad3]],VLOOKUP(COMPROMISOS_2025[[#This Row],[Indicador Principal]],$AC$2:$AD$17,2,0),0),"")</f>
        <v/>
      </c>
    </row>
    <row r="2934" spans="1:25" hidden="1" x14ac:dyDescent="0.25">
      <c r="A2934">
        <v>2714</v>
      </c>
      <c r="B2934" t="s">
        <v>2491</v>
      </c>
      <c r="C2934" t="s">
        <v>1936</v>
      </c>
      <c r="D2934" t="s">
        <v>3575</v>
      </c>
      <c r="F2934">
        <v>405</v>
      </c>
      <c r="G2934">
        <v>65</v>
      </c>
      <c r="H2934" t="s">
        <v>662</v>
      </c>
      <c r="I2934" t="s">
        <v>2271</v>
      </c>
      <c r="J2934">
        <v>1423500</v>
      </c>
      <c r="K2934">
        <v>2025</v>
      </c>
      <c r="L2934">
        <v>1091977928</v>
      </c>
      <c r="M2934" t="s">
        <v>4125</v>
      </c>
      <c r="N2934" t="s">
        <v>1688</v>
      </c>
      <c r="O2934" t="s">
        <v>1686</v>
      </c>
      <c r="P2934">
        <v>0</v>
      </c>
      <c r="Q2934">
        <v>1423500</v>
      </c>
      <c r="R2934">
        <v>0</v>
      </c>
      <c r="S2934">
        <v>0</v>
      </c>
      <c r="T2934" t="str">
        <f t="shared" si="90"/>
        <v>27142.43.4302.85.0-205128.2.3.3.08.06.</v>
      </c>
      <c r="U2934" t="e" cm="1">
        <f t="array" aca="1" ref="U2934" ca="1">+IF(COMPROMISOS_2025[[#This Row],[P]]="20","41080111",_xlfn.XLOOKUP(COMPROMISOS_2025[[#This Row],[concatenado]],PAA[[#All],[RCP-RUBRO]],PAA[[#All],[INDICADOR]],"",0))</f>
        <v>#NAME?</v>
      </c>
      <c r="V2934" s="144" t="str">
        <f t="shared" si="91"/>
        <v>85</v>
      </c>
      <c r="W2934" s="136">
        <f>+COMPROMISOS_2025[[#This Row],[valor_total]]-COMPROMISOS_2025[[#This Row],[total_cancelado]]</f>
        <v>1423500</v>
      </c>
      <c r="X2934" s="136">
        <f>COMPROMISOS_2025[[#This Row],[total_ordenes]]</f>
        <v>1423500</v>
      </c>
      <c r="Y2934" t="str" cm="1">
        <f t="array" aca="1" ref="Y2934" ca="1">IFERROR(_xlfn.XLOOKUP(COMPROMISOS_2025[[#This Row],[concatenado]],PAA[[#All],[RCP-RUBRO]],PAA[[#All],[Actividad3]],VLOOKUP(COMPROMISOS_2025[[#This Row],[Indicador Principal]],$AC$2:$AD$17,2,0),0),"")</f>
        <v/>
      </c>
    </row>
    <row r="2935" spans="1:25" hidden="1" x14ac:dyDescent="0.25">
      <c r="A2935">
        <v>2715</v>
      </c>
      <c r="B2935" t="s">
        <v>2491</v>
      </c>
      <c r="C2935" t="s">
        <v>1936</v>
      </c>
      <c r="D2935" t="s">
        <v>3575</v>
      </c>
      <c r="F2935">
        <v>405</v>
      </c>
      <c r="G2935">
        <v>65</v>
      </c>
      <c r="H2935" t="s">
        <v>662</v>
      </c>
      <c r="I2935" t="s">
        <v>2271</v>
      </c>
      <c r="J2935">
        <v>1067625</v>
      </c>
      <c r="K2935">
        <v>2025</v>
      </c>
      <c r="L2935">
        <v>1093293366</v>
      </c>
      <c r="M2935" t="s">
        <v>4431</v>
      </c>
      <c r="N2935" t="s">
        <v>1688</v>
      </c>
      <c r="O2935" t="s">
        <v>1686</v>
      </c>
      <c r="P2935">
        <v>0</v>
      </c>
      <c r="Q2935">
        <v>1067625</v>
      </c>
      <c r="R2935">
        <v>0</v>
      </c>
      <c r="S2935">
        <v>0</v>
      </c>
      <c r="T2935" t="str">
        <f t="shared" si="90"/>
        <v>27152.43.4302.85.0-205128.2.3.3.08.06.</v>
      </c>
      <c r="U2935" t="e" cm="1">
        <f t="array" aca="1" ref="U2935" ca="1">+IF(COMPROMISOS_2025[[#This Row],[P]]="20","41080111",_xlfn.XLOOKUP(COMPROMISOS_2025[[#This Row],[concatenado]],PAA[[#All],[RCP-RUBRO]],PAA[[#All],[INDICADOR]],"",0))</f>
        <v>#NAME?</v>
      </c>
      <c r="V2935" s="144" t="str">
        <f t="shared" si="91"/>
        <v>85</v>
      </c>
      <c r="W2935" s="136">
        <f>+COMPROMISOS_2025[[#This Row],[valor_total]]-COMPROMISOS_2025[[#This Row],[total_cancelado]]</f>
        <v>1067625</v>
      </c>
      <c r="X2935" s="136">
        <f>COMPROMISOS_2025[[#This Row],[total_ordenes]]</f>
        <v>1067625</v>
      </c>
      <c r="Y2935" t="str" cm="1">
        <f t="array" aca="1" ref="Y2935" ca="1">IFERROR(_xlfn.XLOOKUP(COMPROMISOS_2025[[#This Row],[concatenado]],PAA[[#All],[RCP-RUBRO]],PAA[[#All],[Actividad3]],VLOOKUP(COMPROMISOS_2025[[#This Row],[Indicador Principal]],$AC$2:$AD$17,2,0),0),"")</f>
        <v/>
      </c>
    </row>
    <row r="2936" spans="1:25" hidden="1" x14ac:dyDescent="0.25">
      <c r="A2936">
        <v>2718</v>
      </c>
      <c r="B2936" t="s">
        <v>2491</v>
      </c>
      <c r="C2936" t="s">
        <v>1936</v>
      </c>
      <c r="D2936" t="s">
        <v>3575</v>
      </c>
      <c r="F2936">
        <v>405</v>
      </c>
      <c r="G2936">
        <v>65</v>
      </c>
      <c r="H2936" t="s">
        <v>662</v>
      </c>
      <c r="I2936" t="s">
        <v>2271</v>
      </c>
      <c r="J2936">
        <v>711750</v>
      </c>
      <c r="K2936">
        <v>2025</v>
      </c>
      <c r="L2936">
        <v>1098409608</v>
      </c>
      <c r="M2936" t="s">
        <v>4126</v>
      </c>
      <c r="N2936" t="s">
        <v>1688</v>
      </c>
      <c r="O2936" t="s">
        <v>1686</v>
      </c>
      <c r="P2936">
        <v>0</v>
      </c>
      <c r="Q2936">
        <v>711750</v>
      </c>
      <c r="R2936">
        <v>0</v>
      </c>
      <c r="S2936">
        <v>0</v>
      </c>
      <c r="T2936" t="str">
        <f t="shared" si="90"/>
        <v>27182.43.4302.85.0-205128.2.3.3.08.06.</v>
      </c>
      <c r="U2936" t="e" cm="1">
        <f t="array" aca="1" ref="U2936" ca="1">+IF(COMPROMISOS_2025[[#This Row],[P]]="20","41080111",_xlfn.XLOOKUP(COMPROMISOS_2025[[#This Row],[concatenado]],PAA[[#All],[RCP-RUBRO]],PAA[[#All],[INDICADOR]],"",0))</f>
        <v>#NAME?</v>
      </c>
      <c r="V2936" s="144" t="str">
        <f t="shared" si="91"/>
        <v>85</v>
      </c>
      <c r="W2936" s="136">
        <f>+COMPROMISOS_2025[[#This Row],[valor_total]]-COMPROMISOS_2025[[#This Row],[total_cancelado]]</f>
        <v>711750</v>
      </c>
      <c r="X2936" s="136">
        <f>COMPROMISOS_2025[[#This Row],[total_ordenes]]</f>
        <v>711750</v>
      </c>
      <c r="Y2936" t="str" cm="1">
        <f t="array" aca="1" ref="Y2936" ca="1">IFERROR(_xlfn.XLOOKUP(COMPROMISOS_2025[[#This Row],[concatenado]],PAA[[#All],[RCP-RUBRO]],PAA[[#All],[Actividad3]],VLOOKUP(COMPROMISOS_2025[[#This Row],[Indicador Principal]],$AC$2:$AD$17,2,0),0),"")</f>
        <v/>
      </c>
    </row>
    <row r="2937" spans="1:25" hidden="1" x14ac:dyDescent="0.25">
      <c r="A2937">
        <v>2719</v>
      </c>
      <c r="B2937" t="s">
        <v>2491</v>
      </c>
      <c r="C2937" t="s">
        <v>1936</v>
      </c>
      <c r="D2937" t="s">
        <v>3575</v>
      </c>
      <c r="F2937">
        <v>405</v>
      </c>
      <c r="G2937">
        <v>65</v>
      </c>
      <c r="H2937" t="s">
        <v>662</v>
      </c>
      <c r="I2937" t="s">
        <v>2271</v>
      </c>
      <c r="J2937">
        <v>1423500</v>
      </c>
      <c r="K2937">
        <v>2025</v>
      </c>
      <c r="L2937">
        <v>1098631750</v>
      </c>
      <c r="M2937" t="s">
        <v>4127</v>
      </c>
      <c r="N2937" t="s">
        <v>1688</v>
      </c>
      <c r="O2937" t="s">
        <v>1686</v>
      </c>
      <c r="P2937">
        <v>0</v>
      </c>
      <c r="Q2937">
        <v>1423500</v>
      </c>
      <c r="R2937">
        <v>0</v>
      </c>
      <c r="S2937">
        <v>0</v>
      </c>
      <c r="T2937" t="str">
        <f t="shared" si="90"/>
        <v>27192.43.4302.85.0-205128.2.3.3.08.06.</v>
      </c>
      <c r="U2937" t="e" cm="1">
        <f t="array" aca="1" ref="U2937" ca="1">+IF(COMPROMISOS_2025[[#This Row],[P]]="20","41080111",_xlfn.XLOOKUP(COMPROMISOS_2025[[#This Row],[concatenado]],PAA[[#All],[RCP-RUBRO]],PAA[[#All],[INDICADOR]],"",0))</f>
        <v>#NAME?</v>
      </c>
      <c r="V2937" s="144" t="str">
        <f t="shared" si="91"/>
        <v>85</v>
      </c>
      <c r="W2937" s="136">
        <f>+COMPROMISOS_2025[[#This Row],[valor_total]]-COMPROMISOS_2025[[#This Row],[total_cancelado]]</f>
        <v>1423500</v>
      </c>
      <c r="X2937" s="136">
        <f>COMPROMISOS_2025[[#This Row],[total_ordenes]]</f>
        <v>1423500</v>
      </c>
      <c r="Y2937" t="str" cm="1">
        <f t="array" aca="1" ref="Y2937" ca="1">IFERROR(_xlfn.XLOOKUP(COMPROMISOS_2025[[#This Row],[concatenado]],PAA[[#All],[RCP-RUBRO]],PAA[[#All],[Actividad3]],VLOOKUP(COMPROMISOS_2025[[#This Row],[Indicador Principal]],$AC$2:$AD$17,2,0),0),"")</f>
        <v/>
      </c>
    </row>
    <row r="2938" spans="1:25" hidden="1" x14ac:dyDescent="0.25">
      <c r="A2938">
        <v>2721</v>
      </c>
      <c r="B2938" t="s">
        <v>2491</v>
      </c>
      <c r="C2938" t="s">
        <v>1936</v>
      </c>
      <c r="D2938" t="s">
        <v>3575</v>
      </c>
      <c r="F2938">
        <v>405</v>
      </c>
      <c r="G2938">
        <v>65</v>
      </c>
      <c r="H2938" t="s">
        <v>662</v>
      </c>
      <c r="I2938" t="s">
        <v>2271</v>
      </c>
      <c r="J2938">
        <v>1067625</v>
      </c>
      <c r="K2938">
        <v>2025</v>
      </c>
      <c r="L2938">
        <v>1098748461</v>
      </c>
      <c r="M2938" t="s">
        <v>4432</v>
      </c>
      <c r="N2938" t="s">
        <v>1688</v>
      </c>
      <c r="O2938" t="s">
        <v>1686</v>
      </c>
      <c r="P2938">
        <v>0</v>
      </c>
      <c r="Q2938">
        <v>1067625</v>
      </c>
      <c r="R2938">
        <v>0</v>
      </c>
      <c r="S2938">
        <v>0</v>
      </c>
      <c r="T2938" t="str">
        <f t="shared" si="90"/>
        <v>27212.43.4302.85.0-205128.2.3.3.08.06.</v>
      </c>
      <c r="U2938" t="e" cm="1">
        <f t="array" aca="1" ref="U2938" ca="1">+IF(COMPROMISOS_2025[[#This Row],[P]]="20","41080111",_xlfn.XLOOKUP(COMPROMISOS_2025[[#This Row],[concatenado]],PAA[[#All],[RCP-RUBRO]],PAA[[#All],[INDICADOR]],"",0))</f>
        <v>#NAME?</v>
      </c>
      <c r="V2938" s="144" t="str">
        <f t="shared" si="91"/>
        <v>85</v>
      </c>
      <c r="W2938" s="136">
        <f>+COMPROMISOS_2025[[#This Row],[valor_total]]-COMPROMISOS_2025[[#This Row],[total_cancelado]]</f>
        <v>1067625</v>
      </c>
      <c r="X2938" s="136">
        <f>COMPROMISOS_2025[[#This Row],[total_ordenes]]</f>
        <v>1067625</v>
      </c>
      <c r="Y2938" t="str" cm="1">
        <f t="array" aca="1" ref="Y2938" ca="1">IFERROR(_xlfn.XLOOKUP(COMPROMISOS_2025[[#This Row],[concatenado]],PAA[[#All],[RCP-RUBRO]],PAA[[#All],[Actividad3]],VLOOKUP(COMPROMISOS_2025[[#This Row],[Indicador Principal]],$AC$2:$AD$17,2,0),0),"")</f>
        <v/>
      </c>
    </row>
    <row r="2939" spans="1:25" hidden="1" x14ac:dyDescent="0.25">
      <c r="A2939">
        <v>2722</v>
      </c>
      <c r="B2939" t="s">
        <v>2491</v>
      </c>
      <c r="C2939" t="s">
        <v>1936</v>
      </c>
      <c r="D2939" t="s">
        <v>3575</v>
      </c>
      <c r="F2939">
        <v>405</v>
      </c>
      <c r="G2939">
        <v>65</v>
      </c>
      <c r="H2939" t="s">
        <v>662</v>
      </c>
      <c r="I2939" t="s">
        <v>2271</v>
      </c>
      <c r="J2939">
        <v>5694000</v>
      </c>
      <c r="K2939">
        <v>2025</v>
      </c>
      <c r="L2939">
        <v>1098773469</v>
      </c>
      <c r="M2939" t="s">
        <v>4433</v>
      </c>
      <c r="N2939" t="s">
        <v>1688</v>
      </c>
      <c r="O2939" t="s">
        <v>1686</v>
      </c>
      <c r="P2939">
        <v>0</v>
      </c>
      <c r="Q2939">
        <v>5694000</v>
      </c>
      <c r="R2939">
        <v>0</v>
      </c>
      <c r="S2939">
        <v>0</v>
      </c>
      <c r="T2939" t="str">
        <f t="shared" si="90"/>
        <v>27222.43.4302.85.0-205128.2.3.3.08.06.</v>
      </c>
      <c r="U2939" t="e" cm="1">
        <f t="array" aca="1" ref="U2939" ca="1">+IF(COMPROMISOS_2025[[#This Row],[P]]="20","41080111",_xlfn.XLOOKUP(COMPROMISOS_2025[[#This Row],[concatenado]],PAA[[#All],[RCP-RUBRO]],PAA[[#All],[INDICADOR]],"",0))</f>
        <v>#NAME?</v>
      </c>
      <c r="V2939" s="144" t="str">
        <f t="shared" si="91"/>
        <v>85</v>
      </c>
      <c r="W2939" s="136">
        <f>+COMPROMISOS_2025[[#This Row],[valor_total]]-COMPROMISOS_2025[[#This Row],[total_cancelado]]</f>
        <v>5694000</v>
      </c>
      <c r="X2939" s="136">
        <f>COMPROMISOS_2025[[#This Row],[total_ordenes]]</f>
        <v>5694000</v>
      </c>
      <c r="Y2939" t="str" cm="1">
        <f t="array" aca="1" ref="Y2939" ca="1">IFERROR(_xlfn.XLOOKUP(COMPROMISOS_2025[[#This Row],[concatenado]],PAA[[#All],[RCP-RUBRO]],PAA[[#All],[Actividad3]],VLOOKUP(COMPROMISOS_2025[[#This Row],[Indicador Principal]],$AC$2:$AD$17,2,0),0),"")</f>
        <v/>
      </c>
    </row>
    <row r="2940" spans="1:25" hidden="1" x14ac:dyDescent="0.25">
      <c r="A2940">
        <v>2724</v>
      </c>
      <c r="B2940" t="s">
        <v>2491</v>
      </c>
      <c r="C2940" t="s">
        <v>1936</v>
      </c>
      <c r="D2940" t="s">
        <v>3575</v>
      </c>
      <c r="F2940">
        <v>405</v>
      </c>
      <c r="G2940">
        <v>65</v>
      </c>
      <c r="H2940" t="s">
        <v>662</v>
      </c>
      <c r="I2940" t="s">
        <v>2271</v>
      </c>
      <c r="J2940">
        <v>1423500</v>
      </c>
      <c r="K2940">
        <v>2025</v>
      </c>
      <c r="L2940">
        <v>1102868933</v>
      </c>
      <c r="M2940" t="s">
        <v>4434</v>
      </c>
      <c r="N2940" t="s">
        <v>1688</v>
      </c>
      <c r="O2940" t="s">
        <v>1686</v>
      </c>
      <c r="P2940">
        <v>0</v>
      </c>
      <c r="Q2940">
        <v>1423500</v>
      </c>
      <c r="R2940">
        <v>0</v>
      </c>
      <c r="S2940">
        <v>0</v>
      </c>
      <c r="T2940" t="str">
        <f t="shared" si="90"/>
        <v>27242.43.4302.85.0-205128.2.3.3.08.06.</v>
      </c>
      <c r="U2940" t="e" cm="1">
        <f t="array" aca="1" ref="U2940" ca="1">+IF(COMPROMISOS_2025[[#This Row],[P]]="20","41080111",_xlfn.XLOOKUP(COMPROMISOS_2025[[#This Row],[concatenado]],PAA[[#All],[RCP-RUBRO]],PAA[[#All],[INDICADOR]],"",0))</f>
        <v>#NAME?</v>
      </c>
      <c r="V2940" s="144" t="str">
        <f t="shared" si="91"/>
        <v>85</v>
      </c>
      <c r="W2940" s="136">
        <f>+COMPROMISOS_2025[[#This Row],[valor_total]]-COMPROMISOS_2025[[#This Row],[total_cancelado]]</f>
        <v>1423500</v>
      </c>
      <c r="X2940" s="136">
        <f>COMPROMISOS_2025[[#This Row],[total_ordenes]]</f>
        <v>1423500</v>
      </c>
      <c r="Y2940" t="str" cm="1">
        <f t="array" aca="1" ref="Y2940" ca="1">IFERROR(_xlfn.XLOOKUP(COMPROMISOS_2025[[#This Row],[concatenado]],PAA[[#All],[RCP-RUBRO]],PAA[[#All],[Actividad3]],VLOOKUP(COMPROMISOS_2025[[#This Row],[Indicador Principal]],$AC$2:$AD$17,2,0),0),"")</f>
        <v/>
      </c>
    </row>
    <row r="2941" spans="1:25" hidden="1" x14ac:dyDescent="0.25">
      <c r="A2941">
        <v>2727</v>
      </c>
      <c r="B2941" t="s">
        <v>2491</v>
      </c>
      <c r="C2941" t="s">
        <v>1936</v>
      </c>
      <c r="D2941" t="s">
        <v>3575</v>
      </c>
      <c r="F2941">
        <v>405</v>
      </c>
      <c r="G2941">
        <v>65</v>
      </c>
      <c r="H2941" t="s">
        <v>662</v>
      </c>
      <c r="I2941" t="s">
        <v>2271</v>
      </c>
      <c r="J2941">
        <v>711750</v>
      </c>
      <c r="K2941">
        <v>2025</v>
      </c>
      <c r="L2941">
        <v>1103746082</v>
      </c>
      <c r="M2941" t="s">
        <v>4435</v>
      </c>
      <c r="N2941" t="s">
        <v>1688</v>
      </c>
      <c r="O2941" t="s">
        <v>1686</v>
      </c>
      <c r="P2941">
        <v>0</v>
      </c>
      <c r="Q2941">
        <v>711750</v>
      </c>
      <c r="R2941">
        <v>0</v>
      </c>
      <c r="S2941">
        <v>0</v>
      </c>
      <c r="T2941" t="str">
        <f t="shared" si="90"/>
        <v>27272.43.4302.85.0-205128.2.3.3.08.06.</v>
      </c>
      <c r="U2941" t="e" cm="1">
        <f t="array" aca="1" ref="U2941" ca="1">+IF(COMPROMISOS_2025[[#This Row],[P]]="20","41080111",_xlfn.XLOOKUP(COMPROMISOS_2025[[#This Row],[concatenado]],PAA[[#All],[RCP-RUBRO]],PAA[[#All],[INDICADOR]],"",0))</f>
        <v>#NAME?</v>
      </c>
      <c r="V2941" s="144" t="str">
        <f t="shared" si="91"/>
        <v>85</v>
      </c>
      <c r="W2941" s="136">
        <f>+COMPROMISOS_2025[[#This Row],[valor_total]]-COMPROMISOS_2025[[#This Row],[total_cancelado]]</f>
        <v>711750</v>
      </c>
      <c r="X2941" s="136">
        <f>COMPROMISOS_2025[[#This Row],[total_ordenes]]</f>
        <v>711750</v>
      </c>
      <c r="Y2941" t="str" cm="1">
        <f t="array" aca="1" ref="Y2941" ca="1">IFERROR(_xlfn.XLOOKUP(COMPROMISOS_2025[[#This Row],[concatenado]],PAA[[#All],[RCP-RUBRO]],PAA[[#All],[Actividad3]],VLOOKUP(COMPROMISOS_2025[[#This Row],[Indicador Principal]],$AC$2:$AD$17,2,0),0),"")</f>
        <v/>
      </c>
    </row>
    <row r="2942" spans="1:25" hidden="1" x14ac:dyDescent="0.25">
      <c r="A2942">
        <v>2730</v>
      </c>
      <c r="B2942" t="s">
        <v>2491</v>
      </c>
      <c r="C2942" t="s">
        <v>1936</v>
      </c>
      <c r="D2942" t="s">
        <v>3575</v>
      </c>
      <c r="F2942">
        <v>405</v>
      </c>
      <c r="G2942">
        <v>65</v>
      </c>
      <c r="H2942" t="s">
        <v>662</v>
      </c>
      <c r="I2942" t="s">
        <v>2271</v>
      </c>
      <c r="J2942">
        <v>711750</v>
      </c>
      <c r="K2942">
        <v>2025</v>
      </c>
      <c r="L2942">
        <v>1105786378</v>
      </c>
      <c r="M2942" t="s">
        <v>4436</v>
      </c>
      <c r="N2942" t="s">
        <v>1688</v>
      </c>
      <c r="O2942" t="s">
        <v>1686</v>
      </c>
      <c r="P2942">
        <v>0</v>
      </c>
      <c r="Q2942">
        <v>711750</v>
      </c>
      <c r="R2942">
        <v>0</v>
      </c>
      <c r="S2942">
        <v>0</v>
      </c>
      <c r="T2942" t="str">
        <f t="shared" si="90"/>
        <v>27302.43.4302.85.0-205128.2.3.3.08.06.</v>
      </c>
      <c r="U2942" t="e" cm="1">
        <f t="array" aca="1" ref="U2942" ca="1">+IF(COMPROMISOS_2025[[#This Row],[P]]="20","41080111",_xlfn.XLOOKUP(COMPROMISOS_2025[[#This Row],[concatenado]],PAA[[#All],[RCP-RUBRO]],PAA[[#All],[INDICADOR]],"",0))</f>
        <v>#NAME?</v>
      </c>
      <c r="V2942" s="144" t="str">
        <f t="shared" si="91"/>
        <v>85</v>
      </c>
      <c r="W2942" s="136">
        <f>+COMPROMISOS_2025[[#This Row],[valor_total]]-COMPROMISOS_2025[[#This Row],[total_cancelado]]</f>
        <v>711750</v>
      </c>
      <c r="X2942" s="136">
        <f>COMPROMISOS_2025[[#This Row],[total_ordenes]]</f>
        <v>711750</v>
      </c>
      <c r="Y2942" t="str" cm="1">
        <f t="array" aca="1" ref="Y2942" ca="1">IFERROR(_xlfn.XLOOKUP(COMPROMISOS_2025[[#This Row],[concatenado]],PAA[[#All],[RCP-RUBRO]],PAA[[#All],[Actividad3]],VLOOKUP(COMPROMISOS_2025[[#This Row],[Indicador Principal]],$AC$2:$AD$17,2,0),0),"")</f>
        <v/>
      </c>
    </row>
    <row r="2943" spans="1:25" hidden="1" x14ac:dyDescent="0.25">
      <c r="A2943">
        <v>2733</v>
      </c>
      <c r="B2943" t="s">
        <v>2491</v>
      </c>
      <c r="C2943" t="s">
        <v>1936</v>
      </c>
      <c r="D2943" t="s">
        <v>3575</v>
      </c>
      <c r="F2943">
        <v>405</v>
      </c>
      <c r="G2943">
        <v>65</v>
      </c>
      <c r="H2943" t="s">
        <v>662</v>
      </c>
      <c r="I2943" t="s">
        <v>2271</v>
      </c>
      <c r="J2943">
        <v>1067625</v>
      </c>
      <c r="K2943">
        <v>2025</v>
      </c>
      <c r="L2943">
        <v>1110364718</v>
      </c>
      <c r="M2943" t="s">
        <v>4437</v>
      </c>
      <c r="N2943" t="s">
        <v>1688</v>
      </c>
      <c r="O2943" t="s">
        <v>1686</v>
      </c>
      <c r="P2943">
        <v>0</v>
      </c>
      <c r="Q2943">
        <v>1067625</v>
      </c>
      <c r="R2943">
        <v>0</v>
      </c>
      <c r="S2943">
        <v>0</v>
      </c>
      <c r="T2943" t="str">
        <f t="shared" si="90"/>
        <v>27332.43.4302.85.0-205128.2.3.3.08.06.</v>
      </c>
      <c r="U2943" t="e" cm="1">
        <f t="array" aca="1" ref="U2943" ca="1">+IF(COMPROMISOS_2025[[#This Row],[P]]="20","41080111",_xlfn.XLOOKUP(COMPROMISOS_2025[[#This Row],[concatenado]],PAA[[#All],[RCP-RUBRO]],PAA[[#All],[INDICADOR]],"",0))</f>
        <v>#NAME?</v>
      </c>
      <c r="V2943" s="144" t="str">
        <f t="shared" si="91"/>
        <v>85</v>
      </c>
      <c r="W2943" s="136">
        <f>+COMPROMISOS_2025[[#This Row],[valor_total]]-COMPROMISOS_2025[[#This Row],[total_cancelado]]</f>
        <v>1067625</v>
      </c>
      <c r="X2943" s="136">
        <f>COMPROMISOS_2025[[#This Row],[total_ordenes]]</f>
        <v>1067625</v>
      </c>
      <c r="Y2943" t="str" cm="1">
        <f t="array" aca="1" ref="Y2943" ca="1">IFERROR(_xlfn.XLOOKUP(COMPROMISOS_2025[[#This Row],[concatenado]],PAA[[#All],[RCP-RUBRO]],PAA[[#All],[Actividad3]],VLOOKUP(COMPROMISOS_2025[[#This Row],[Indicador Principal]],$AC$2:$AD$17,2,0),0),"")</f>
        <v/>
      </c>
    </row>
    <row r="2944" spans="1:25" hidden="1" x14ac:dyDescent="0.25">
      <c r="A2944">
        <v>2734</v>
      </c>
      <c r="B2944" t="s">
        <v>2491</v>
      </c>
      <c r="C2944" t="s">
        <v>1936</v>
      </c>
      <c r="D2944" t="s">
        <v>3575</v>
      </c>
      <c r="F2944">
        <v>405</v>
      </c>
      <c r="G2944">
        <v>65</v>
      </c>
      <c r="H2944" t="s">
        <v>662</v>
      </c>
      <c r="I2944" t="s">
        <v>2271</v>
      </c>
      <c r="J2944">
        <v>2847000</v>
      </c>
      <c r="K2944">
        <v>2025</v>
      </c>
      <c r="L2944">
        <v>1110481474</v>
      </c>
      <c r="M2944" t="s">
        <v>4438</v>
      </c>
      <c r="N2944" t="s">
        <v>1688</v>
      </c>
      <c r="O2944" t="s">
        <v>1686</v>
      </c>
      <c r="P2944">
        <v>0</v>
      </c>
      <c r="Q2944">
        <v>2847000</v>
      </c>
      <c r="R2944">
        <v>0</v>
      </c>
      <c r="S2944">
        <v>0</v>
      </c>
      <c r="T2944" t="str">
        <f t="shared" si="90"/>
        <v>27342.43.4302.85.0-205128.2.3.3.08.06.</v>
      </c>
      <c r="U2944" t="e" cm="1">
        <f t="array" aca="1" ref="U2944" ca="1">+IF(COMPROMISOS_2025[[#This Row],[P]]="20","41080111",_xlfn.XLOOKUP(COMPROMISOS_2025[[#This Row],[concatenado]],PAA[[#All],[RCP-RUBRO]],PAA[[#All],[INDICADOR]],"",0))</f>
        <v>#NAME?</v>
      </c>
      <c r="V2944" s="144" t="str">
        <f t="shared" si="91"/>
        <v>85</v>
      </c>
      <c r="W2944" s="136">
        <f>+COMPROMISOS_2025[[#This Row],[valor_total]]-COMPROMISOS_2025[[#This Row],[total_cancelado]]</f>
        <v>2847000</v>
      </c>
      <c r="X2944" s="136">
        <f>COMPROMISOS_2025[[#This Row],[total_ordenes]]</f>
        <v>2847000</v>
      </c>
      <c r="Y2944" t="str" cm="1">
        <f t="array" aca="1" ref="Y2944" ca="1">IFERROR(_xlfn.XLOOKUP(COMPROMISOS_2025[[#This Row],[concatenado]],PAA[[#All],[RCP-RUBRO]],PAA[[#All],[Actividad3]],VLOOKUP(COMPROMISOS_2025[[#This Row],[Indicador Principal]],$AC$2:$AD$17,2,0),0),"")</f>
        <v/>
      </c>
    </row>
    <row r="2945" spans="1:25" hidden="1" x14ac:dyDescent="0.25">
      <c r="A2945">
        <v>2735</v>
      </c>
      <c r="B2945" t="s">
        <v>2491</v>
      </c>
      <c r="C2945" t="s">
        <v>1936</v>
      </c>
      <c r="D2945" t="s">
        <v>3575</v>
      </c>
      <c r="F2945">
        <v>405</v>
      </c>
      <c r="G2945">
        <v>65</v>
      </c>
      <c r="H2945" t="s">
        <v>662</v>
      </c>
      <c r="I2945" t="s">
        <v>2271</v>
      </c>
      <c r="J2945">
        <v>711750</v>
      </c>
      <c r="K2945">
        <v>2025</v>
      </c>
      <c r="L2945">
        <v>1111677509</v>
      </c>
      <c r="M2945" t="s">
        <v>4439</v>
      </c>
      <c r="N2945" t="s">
        <v>1688</v>
      </c>
      <c r="O2945" t="s">
        <v>1686</v>
      </c>
      <c r="P2945">
        <v>0</v>
      </c>
      <c r="Q2945">
        <v>711750</v>
      </c>
      <c r="R2945">
        <v>0</v>
      </c>
      <c r="S2945">
        <v>0</v>
      </c>
      <c r="T2945" t="str">
        <f t="shared" si="90"/>
        <v>27352.43.4302.85.0-205128.2.3.3.08.06.</v>
      </c>
      <c r="U2945" t="e" cm="1">
        <f t="array" aca="1" ref="U2945" ca="1">+IF(COMPROMISOS_2025[[#This Row],[P]]="20","41080111",_xlfn.XLOOKUP(COMPROMISOS_2025[[#This Row],[concatenado]],PAA[[#All],[RCP-RUBRO]],PAA[[#All],[INDICADOR]],"",0))</f>
        <v>#NAME?</v>
      </c>
      <c r="V2945" s="144" t="str">
        <f t="shared" si="91"/>
        <v>85</v>
      </c>
      <c r="W2945" s="136">
        <f>+COMPROMISOS_2025[[#This Row],[valor_total]]-COMPROMISOS_2025[[#This Row],[total_cancelado]]</f>
        <v>711750</v>
      </c>
      <c r="X2945" s="136">
        <f>COMPROMISOS_2025[[#This Row],[total_ordenes]]</f>
        <v>711750</v>
      </c>
      <c r="Y2945" t="str" cm="1">
        <f t="array" aca="1" ref="Y2945" ca="1">IFERROR(_xlfn.XLOOKUP(COMPROMISOS_2025[[#This Row],[concatenado]],PAA[[#All],[RCP-RUBRO]],PAA[[#All],[Actividad3]],VLOOKUP(COMPROMISOS_2025[[#This Row],[Indicador Principal]],$AC$2:$AD$17,2,0),0),"")</f>
        <v/>
      </c>
    </row>
    <row r="2946" spans="1:25" hidden="1" x14ac:dyDescent="0.25">
      <c r="A2946">
        <v>2736</v>
      </c>
      <c r="B2946" t="s">
        <v>2491</v>
      </c>
      <c r="C2946" t="s">
        <v>1936</v>
      </c>
      <c r="D2946" t="s">
        <v>3575</v>
      </c>
      <c r="F2946">
        <v>405</v>
      </c>
      <c r="G2946">
        <v>65</v>
      </c>
      <c r="H2946" t="s">
        <v>662</v>
      </c>
      <c r="I2946" t="s">
        <v>2271</v>
      </c>
      <c r="J2946">
        <v>711750</v>
      </c>
      <c r="K2946">
        <v>2025</v>
      </c>
      <c r="L2946">
        <v>1113314645</v>
      </c>
      <c r="M2946" t="s">
        <v>4129</v>
      </c>
      <c r="N2946" t="s">
        <v>1688</v>
      </c>
      <c r="O2946" t="s">
        <v>1686</v>
      </c>
      <c r="P2946">
        <v>0</v>
      </c>
      <c r="Q2946">
        <v>711750</v>
      </c>
      <c r="R2946">
        <v>0</v>
      </c>
      <c r="S2946">
        <v>0</v>
      </c>
      <c r="T2946" t="str">
        <f t="shared" ref="T2946:T3009" si="92">IF(A2946&gt;=0,CONCATENATE(A2946,H2946),"")</f>
        <v>27362.43.4302.85.0-205128.2.3.3.08.06.</v>
      </c>
      <c r="U2946" t="e" cm="1">
        <f t="array" aca="1" ref="U2946" ca="1">+IF(COMPROMISOS_2025[[#This Row],[P]]="20","41080111",_xlfn.XLOOKUP(COMPROMISOS_2025[[#This Row],[concatenado]],PAA[[#All],[RCP-RUBRO]],PAA[[#All],[INDICADOR]],"",0))</f>
        <v>#NAME?</v>
      </c>
      <c r="V2946" s="144" t="str">
        <f t="shared" ref="V2946:V3009" si="93">+MID(H2946,11,2)</f>
        <v>85</v>
      </c>
      <c r="W2946" s="136">
        <f>+COMPROMISOS_2025[[#This Row],[valor_total]]-COMPROMISOS_2025[[#This Row],[total_cancelado]]</f>
        <v>711750</v>
      </c>
      <c r="X2946" s="136">
        <f>COMPROMISOS_2025[[#This Row],[total_ordenes]]</f>
        <v>711750</v>
      </c>
      <c r="Y2946" t="str" cm="1">
        <f t="array" aca="1" ref="Y2946" ca="1">IFERROR(_xlfn.XLOOKUP(COMPROMISOS_2025[[#This Row],[concatenado]],PAA[[#All],[RCP-RUBRO]],PAA[[#All],[Actividad3]],VLOOKUP(COMPROMISOS_2025[[#This Row],[Indicador Principal]],$AC$2:$AD$17,2,0),0),"")</f>
        <v/>
      </c>
    </row>
    <row r="2947" spans="1:25" hidden="1" x14ac:dyDescent="0.25">
      <c r="A2947">
        <v>2740</v>
      </c>
      <c r="B2947" t="s">
        <v>2491</v>
      </c>
      <c r="C2947" t="s">
        <v>1936</v>
      </c>
      <c r="D2947" t="s">
        <v>3575</v>
      </c>
      <c r="F2947">
        <v>405</v>
      </c>
      <c r="G2947">
        <v>65</v>
      </c>
      <c r="H2947" t="s">
        <v>662</v>
      </c>
      <c r="I2947" t="s">
        <v>2271</v>
      </c>
      <c r="J2947">
        <v>711750</v>
      </c>
      <c r="K2947">
        <v>2025</v>
      </c>
      <c r="L2947">
        <v>1114092848</v>
      </c>
      <c r="M2947" t="s">
        <v>4130</v>
      </c>
      <c r="N2947" t="s">
        <v>1688</v>
      </c>
      <c r="O2947" t="s">
        <v>1686</v>
      </c>
      <c r="P2947">
        <v>0</v>
      </c>
      <c r="Q2947">
        <v>711750</v>
      </c>
      <c r="R2947">
        <v>0</v>
      </c>
      <c r="S2947">
        <v>0</v>
      </c>
      <c r="T2947" t="str">
        <f t="shared" si="92"/>
        <v>27402.43.4302.85.0-205128.2.3.3.08.06.</v>
      </c>
      <c r="U2947" t="e" cm="1">
        <f t="array" aca="1" ref="U2947" ca="1">+IF(COMPROMISOS_2025[[#This Row],[P]]="20","41080111",_xlfn.XLOOKUP(COMPROMISOS_2025[[#This Row],[concatenado]],PAA[[#All],[RCP-RUBRO]],PAA[[#All],[INDICADOR]],"",0))</f>
        <v>#NAME?</v>
      </c>
      <c r="V2947" s="144" t="str">
        <f t="shared" si="93"/>
        <v>85</v>
      </c>
      <c r="W2947" s="136">
        <f>+COMPROMISOS_2025[[#This Row],[valor_total]]-COMPROMISOS_2025[[#This Row],[total_cancelado]]</f>
        <v>711750</v>
      </c>
      <c r="X2947" s="136">
        <f>COMPROMISOS_2025[[#This Row],[total_ordenes]]</f>
        <v>711750</v>
      </c>
      <c r="Y2947" t="str" cm="1">
        <f t="array" aca="1" ref="Y2947" ca="1">IFERROR(_xlfn.XLOOKUP(COMPROMISOS_2025[[#This Row],[concatenado]],PAA[[#All],[RCP-RUBRO]],PAA[[#All],[Actividad3]],VLOOKUP(COMPROMISOS_2025[[#This Row],[Indicador Principal]],$AC$2:$AD$17,2,0),0),"")</f>
        <v/>
      </c>
    </row>
    <row r="2948" spans="1:25" hidden="1" x14ac:dyDescent="0.25">
      <c r="A2948">
        <v>2743</v>
      </c>
      <c r="B2948" t="s">
        <v>2491</v>
      </c>
      <c r="C2948" t="s">
        <v>1936</v>
      </c>
      <c r="D2948" t="s">
        <v>3575</v>
      </c>
      <c r="F2948">
        <v>405</v>
      </c>
      <c r="G2948">
        <v>65</v>
      </c>
      <c r="H2948" t="s">
        <v>662</v>
      </c>
      <c r="I2948" t="s">
        <v>2271</v>
      </c>
      <c r="J2948">
        <v>711750</v>
      </c>
      <c r="K2948">
        <v>2025</v>
      </c>
      <c r="L2948">
        <v>1115094317</v>
      </c>
      <c r="M2948" t="s">
        <v>4131</v>
      </c>
      <c r="N2948" t="s">
        <v>1688</v>
      </c>
      <c r="O2948" t="s">
        <v>1686</v>
      </c>
      <c r="P2948">
        <v>0</v>
      </c>
      <c r="Q2948">
        <v>711750</v>
      </c>
      <c r="R2948">
        <v>0</v>
      </c>
      <c r="S2948">
        <v>0</v>
      </c>
      <c r="T2948" t="str">
        <f t="shared" si="92"/>
        <v>27432.43.4302.85.0-205128.2.3.3.08.06.</v>
      </c>
      <c r="U2948" t="e" cm="1">
        <f t="array" aca="1" ref="U2948" ca="1">+IF(COMPROMISOS_2025[[#This Row],[P]]="20","41080111",_xlfn.XLOOKUP(COMPROMISOS_2025[[#This Row],[concatenado]],PAA[[#All],[RCP-RUBRO]],PAA[[#All],[INDICADOR]],"",0))</f>
        <v>#NAME?</v>
      </c>
      <c r="V2948" s="144" t="str">
        <f t="shared" si="93"/>
        <v>85</v>
      </c>
      <c r="W2948" s="136">
        <f>+COMPROMISOS_2025[[#This Row],[valor_total]]-COMPROMISOS_2025[[#This Row],[total_cancelado]]</f>
        <v>711750</v>
      </c>
      <c r="X2948" s="136">
        <f>COMPROMISOS_2025[[#This Row],[total_ordenes]]</f>
        <v>711750</v>
      </c>
      <c r="Y2948" t="str" cm="1">
        <f t="array" aca="1" ref="Y2948" ca="1">IFERROR(_xlfn.XLOOKUP(COMPROMISOS_2025[[#This Row],[concatenado]],PAA[[#All],[RCP-RUBRO]],PAA[[#All],[Actividad3]],VLOOKUP(COMPROMISOS_2025[[#This Row],[Indicador Principal]],$AC$2:$AD$17,2,0),0),"")</f>
        <v/>
      </c>
    </row>
    <row r="2949" spans="1:25" hidden="1" x14ac:dyDescent="0.25">
      <c r="A2949">
        <v>2744</v>
      </c>
      <c r="B2949" t="s">
        <v>2491</v>
      </c>
      <c r="C2949" t="s">
        <v>1936</v>
      </c>
      <c r="D2949" t="s">
        <v>3575</v>
      </c>
      <c r="F2949">
        <v>405</v>
      </c>
      <c r="G2949">
        <v>65</v>
      </c>
      <c r="H2949" t="s">
        <v>662</v>
      </c>
      <c r="I2949" t="s">
        <v>2271</v>
      </c>
      <c r="J2949">
        <v>711750</v>
      </c>
      <c r="K2949">
        <v>2025</v>
      </c>
      <c r="L2949">
        <v>1117533562</v>
      </c>
      <c r="M2949" t="s">
        <v>4441</v>
      </c>
      <c r="N2949" t="s">
        <v>1688</v>
      </c>
      <c r="O2949" t="s">
        <v>1686</v>
      </c>
      <c r="P2949">
        <v>0</v>
      </c>
      <c r="Q2949">
        <v>711750</v>
      </c>
      <c r="R2949">
        <v>0</v>
      </c>
      <c r="S2949">
        <v>0</v>
      </c>
      <c r="T2949" t="str">
        <f t="shared" si="92"/>
        <v>27442.43.4302.85.0-205128.2.3.3.08.06.</v>
      </c>
      <c r="U2949" t="e" cm="1">
        <f t="array" aca="1" ref="U2949" ca="1">+IF(COMPROMISOS_2025[[#This Row],[P]]="20","41080111",_xlfn.XLOOKUP(COMPROMISOS_2025[[#This Row],[concatenado]],PAA[[#All],[RCP-RUBRO]],PAA[[#All],[INDICADOR]],"",0))</f>
        <v>#NAME?</v>
      </c>
      <c r="V2949" s="144" t="str">
        <f t="shared" si="93"/>
        <v>85</v>
      </c>
      <c r="W2949" s="136">
        <f>+COMPROMISOS_2025[[#This Row],[valor_total]]-COMPROMISOS_2025[[#This Row],[total_cancelado]]</f>
        <v>711750</v>
      </c>
      <c r="X2949" s="136">
        <f>COMPROMISOS_2025[[#This Row],[total_ordenes]]</f>
        <v>711750</v>
      </c>
      <c r="Y2949" t="str" cm="1">
        <f t="array" aca="1" ref="Y2949" ca="1">IFERROR(_xlfn.XLOOKUP(COMPROMISOS_2025[[#This Row],[concatenado]],PAA[[#All],[RCP-RUBRO]],PAA[[#All],[Actividad3]],VLOOKUP(COMPROMISOS_2025[[#This Row],[Indicador Principal]],$AC$2:$AD$17,2,0),0),"")</f>
        <v/>
      </c>
    </row>
    <row r="2950" spans="1:25" hidden="1" x14ac:dyDescent="0.25">
      <c r="A2950">
        <v>2745</v>
      </c>
      <c r="B2950" t="s">
        <v>2491</v>
      </c>
      <c r="C2950" t="s">
        <v>1936</v>
      </c>
      <c r="D2950" t="s">
        <v>3575</v>
      </c>
      <c r="F2950">
        <v>405</v>
      </c>
      <c r="G2950">
        <v>65</v>
      </c>
      <c r="H2950" t="s">
        <v>662</v>
      </c>
      <c r="I2950" t="s">
        <v>2271</v>
      </c>
      <c r="J2950">
        <v>4270500</v>
      </c>
      <c r="K2950">
        <v>2025</v>
      </c>
      <c r="L2950">
        <v>1121716735</v>
      </c>
      <c r="M2950" t="s">
        <v>4442</v>
      </c>
      <c r="N2950" t="s">
        <v>1688</v>
      </c>
      <c r="O2950" t="s">
        <v>1686</v>
      </c>
      <c r="P2950">
        <v>0</v>
      </c>
      <c r="Q2950">
        <v>4270500</v>
      </c>
      <c r="R2950">
        <v>0</v>
      </c>
      <c r="S2950">
        <v>0</v>
      </c>
      <c r="T2950" t="str">
        <f t="shared" si="92"/>
        <v>27452.43.4302.85.0-205128.2.3.3.08.06.</v>
      </c>
      <c r="U2950" t="e" cm="1">
        <f t="array" aca="1" ref="U2950" ca="1">+IF(COMPROMISOS_2025[[#This Row],[P]]="20","41080111",_xlfn.XLOOKUP(COMPROMISOS_2025[[#This Row],[concatenado]],PAA[[#All],[RCP-RUBRO]],PAA[[#All],[INDICADOR]],"",0))</f>
        <v>#NAME?</v>
      </c>
      <c r="V2950" s="144" t="str">
        <f t="shared" si="93"/>
        <v>85</v>
      </c>
      <c r="W2950" s="136">
        <f>+COMPROMISOS_2025[[#This Row],[valor_total]]-COMPROMISOS_2025[[#This Row],[total_cancelado]]</f>
        <v>4270500</v>
      </c>
      <c r="X2950" s="136">
        <f>COMPROMISOS_2025[[#This Row],[total_ordenes]]</f>
        <v>4270500</v>
      </c>
      <c r="Y2950" t="str" cm="1">
        <f t="array" aca="1" ref="Y2950" ca="1">IFERROR(_xlfn.XLOOKUP(COMPROMISOS_2025[[#This Row],[concatenado]],PAA[[#All],[RCP-RUBRO]],PAA[[#All],[Actividad3]],VLOOKUP(COMPROMISOS_2025[[#This Row],[Indicador Principal]],$AC$2:$AD$17,2,0),0),"")</f>
        <v/>
      </c>
    </row>
    <row r="2951" spans="1:25" hidden="1" x14ac:dyDescent="0.25">
      <c r="A2951">
        <v>2746</v>
      </c>
      <c r="B2951" t="s">
        <v>2491</v>
      </c>
      <c r="C2951" t="s">
        <v>1936</v>
      </c>
      <c r="D2951" t="s">
        <v>3575</v>
      </c>
      <c r="F2951">
        <v>405</v>
      </c>
      <c r="G2951">
        <v>65</v>
      </c>
      <c r="H2951" t="s">
        <v>662</v>
      </c>
      <c r="I2951" t="s">
        <v>2271</v>
      </c>
      <c r="J2951">
        <v>1067625</v>
      </c>
      <c r="K2951">
        <v>2025</v>
      </c>
      <c r="L2951">
        <v>1121929188</v>
      </c>
      <c r="M2951" t="s">
        <v>4443</v>
      </c>
      <c r="N2951" t="s">
        <v>1688</v>
      </c>
      <c r="O2951" t="s">
        <v>1686</v>
      </c>
      <c r="P2951">
        <v>0</v>
      </c>
      <c r="Q2951">
        <v>1067625</v>
      </c>
      <c r="R2951">
        <v>0</v>
      </c>
      <c r="S2951">
        <v>0</v>
      </c>
      <c r="T2951" t="str">
        <f t="shared" si="92"/>
        <v>27462.43.4302.85.0-205128.2.3.3.08.06.</v>
      </c>
      <c r="U2951" t="e" cm="1">
        <f t="array" aca="1" ref="U2951" ca="1">+IF(COMPROMISOS_2025[[#This Row],[P]]="20","41080111",_xlfn.XLOOKUP(COMPROMISOS_2025[[#This Row],[concatenado]],PAA[[#All],[RCP-RUBRO]],PAA[[#All],[INDICADOR]],"",0))</f>
        <v>#NAME?</v>
      </c>
      <c r="V2951" s="144" t="str">
        <f t="shared" si="93"/>
        <v>85</v>
      </c>
      <c r="W2951" s="136">
        <f>+COMPROMISOS_2025[[#This Row],[valor_total]]-COMPROMISOS_2025[[#This Row],[total_cancelado]]</f>
        <v>1067625</v>
      </c>
      <c r="X2951" s="136">
        <f>COMPROMISOS_2025[[#This Row],[total_ordenes]]</f>
        <v>1067625</v>
      </c>
      <c r="Y2951" t="str" cm="1">
        <f t="array" aca="1" ref="Y2951" ca="1">IFERROR(_xlfn.XLOOKUP(COMPROMISOS_2025[[#This Row],[concatenado]],PAA[[#All],[RCP-RUBRO]],PAA[[#All],[Actividad3]],VLOOKUP(COMPROMISOS_2025[[#This Row],[Indicador Principal]],$AC$2:$AD$17,2,0),0),"")</f>
        <v/>
      </c>
    </row>
    <row r="2952" spans="1:25" hidden="1" x14ac:dyDescent="0.25">
      <c r="A2952">
        <v>2748</v>
      </c>
      <c r="B2952" t="s">
        <v>2491</v>
      </c>
      <c r="C2952" t="s">
        <v>1936</v>
      </c>
      <c r="D2952" t="s">
        <v>3575</v>
      </c>
      <c r="F2952">
        <v>405</v>
      </c>
      <c r="G2952">
        <v>65</v>
      </c>
      <c r="H2952" t="s">
        <v>662</v>
      </c>
      <c r="I2952" t="s">
        <v>2271</v>
      </c>
      <c r="J2952">
        <v>711750</v>
      </c>
      <c r="K2952">
        <v>2025</v>
      </c>
      <c r="L2952">
        <v>1122783908</v>
      </c>
      <c r="M2952" t="s">
        <v>4445</v>
      </c>
      <c r="N2952" t="s">
        <v>1688</v>
      </c>
      <c r="O2952" t="s">
        <v>1686</v>
      </c>
      <c r="P2952">
        <v>0</v>
      </c>
      <c r="Q2952">
        <v>711750</v>
      </c>
      <c r="R2952">
        <v>0</v>
      </c>
      <c r="S2952">
        <v>0</v>
      </c>
      <c r="T2952" t="str">
        <f t="shared" si="92"/>
        <v>27482.43.4302.85.0-205128.2.3.3.08.06.</v>
      </c>
      <c r="U2952" t="e" cm="1">
        <f t="array" aca="1" ref="U2952" ca="1">+IF(COMPROMISOS_2025[[#This Row],[P]]="20","41080111",_xlfn.XLOOKUP(COMPROMISOS_2025[[#This Row],[concatenado]],PAA[[#All],[RCP-RUBRO]],PAA[[#All],[INDICADOR]],"",0))</f>
        <v>#NAME?</v>
      </c>
      <c r="V2952" s="144" t="str">
        <f t="shared" si="93"/>
        <v>85</v>
      </c>
      <c r="W2952" s="136">
        <f>+COMPROMISOS_2025[[#This Row],[valor_total]]-COMPROMISOS_2025[[#This Row],[total_cancelado]]</f>
        <v>711750</v>
      </c>
      <c r="X2952" s="136">
        <f>COMPROMISOS_2025[[#This Row],[total_ordenes]]</f>
        <v>711750</v>
      </c>
      <c r="Y2952" t="str" cm="1">
        <f t="array" aca="1" ref="Y2952" ca="1">IFERROR(_xlfn.XLOOKUP(COMPROMISOS_2025[[#This Row],[concatenado]],PAA[[#All],[RCP-RUBRO]],PAA[[#All],[Actividad3]],VLOOKUP(COMPROMISOS_2025[[#This Row],[Indicador Principal]],$AC$2:$AD$17,2,0),0),"")</f>
        <v/>
      </c>
    </row>
    <row r="2953" spans="1:25" hidden="1" x14ac:dyDescent="0.25">
      <c r="A2953">
        <v>2749</v>
      </c>
      <c r="B2953" t="s">
        <v>2491</v>
      </c>
      <c r="C2953" t="s">
        <v>1936</v>
      </c>
      <c r="D2953" t="s">
        <v>3575</v>
      </c>
      <c r="F2953">
        <v>405</v>
      </c>
      <c r="G2953">
        <v>65</v>
      </c>
      <c r="H2953" t="s">
        <v>662</v>
      </c>
      <c r="I2953" t="s">
        <v>2271</v>
      </c>
      <c r="J2953">
        <v>1423500</v>
      </c>
      <c r="K2953">
        <v>2025</v>
      </c>
      <c r="L2953">
        <v>1125786679</v>
      </c>
      <c r="M2953" t="s">
        <v>4446</v>
      </c>
      <c r="N2953" t="s">
        <v>1688</v>
      </c>
      <c r="O2953" t="s">
        <v>1686</v>
      </c>
      <c r="P2953">
        <v>0</v>
      </c>
      <c r="Q2953">
        <v>1423500</v>
      </c>
      <c r="R2953">
        <v>0</v>
      </c>
      <c r="S2953">
        <v>0</v>
      </c>
      <c r="T2953" t="str">
        <f t="shared" si="92"/>
        <v>27492.43.4302.85.0-205128.2.3.3.08.06.</v>
      </c>
      <c r="U2953" t="e" cm="1">
        <f t="array" aca="1" ref="U2953" ca="1">+IF(COMPROMISOS_2025[[#This Row],[P]]="20","41080111",_xlfn.XLOOKUP(COMPROMISOS_2025[[#This Row],[concatenado]],PAA[[#All],[RCP-RUBRO]],PAA[[#All],[INDICADOR]],"",0))</f>
        <v>#NAME?</v>
      </c>
      <c r="V2953" s="144" t="str">
        <f t="shared" si="93"/>
        <v>85</v>
      </c>
      <c r="W2953" s="136">
        <f>+COMPROMISOS_2025[[#This Row],[valor_total]]-COMPROMISOS_2025[[#This Row],[total_cancelado]]</f>
        <v>1423500</v>
      </c>
      <c r="X2953" s="136">
        <f>COMPROMISOS_2025[[#This Row],[total_ordenes]]</f>
        <v>1423500</v>
      </c>
      <c r="Y2953" t="str" cm="1">
        <f t="array" aca="1" ref="Y2953" ca="1">IFERROR(_xlfn.XLOOKUP(COMPROMISOS_2025[[#This Row],[concatenado]],PAA[[#All],[RCP-RUBRO]],PAA[[#All],[Actividad3]],VLOOKUP(COMPROMISOS_2025[[#This Row],[Indicador Principal]],$AC$2:$AD$17,2,0),0),"")</f>
        <v/>
      </c>
    </row>
    <row r="2954" spans="1:25" hidden="1" x14ac:dyDescent="0.25">
      <c r="A2954">
        <v>2750</v>
      </c>
      <c r="B2954" t="s">
        <v>2491</v>
      </c>
      <c r="C2954" t="s">
        <v>1936</v>
      </c>
      <c r="D2954" t="s">
        <v>3575</v>
      </c>
      <c r="F2954">
        <v>405</v>
      </c>
      <c r="G2954">
        <v>65</v>
      </c>
      <c r="H2954" t="s">
        <v>662</v>
      </c>
      <c r="I2954" t="s">
        <v>2271</v>
      </c>
      <c r="J2954">
        <v>1067625</v>
      </c>
      <c r="K2954">
        <v>2025</v>
      </c>
      <c r="L2954">
        <v>1126430818</v>
      </c>
      <c r="M2954" t="s">
        <v>4132</v>
      </c>
      <c r="N2954" t="s">
        <v>1688</v>
      </c>
      <c r="O2954" t="s">
        <v>1686</v>
      </c>
      <c r="P2954">
        <v>0</v>
      </c>
      <c r="Q2954">
        <v>1067625</v>
      </c>
      <c r="R2954">
        <v>0</v>
      </c>
      <c r="S2954">
        <v>0</v>
      </c>
      <c r="T2954" t="str">
        <f t="shared" si="92"/>
        <v>27502.43.4302.85.0-205128.2.3.3.08.06.</v>
      </c>
      <c r="U2954" t="e" cm="1">
        <f t="array" aca="1" ref="U2954" ca="1">+IF(COMPROMISOS_2025[[#This Row],[P]]="20","41080111",_xlfn.XLOOKUP(COMPROMISOS_2025[[#This Row],[concatenado]],PAA[[#All],[RCP-RUBRO]],PAA[[#All],[INDICADOR]],"",0))</f>
        <v>#NAME?</v>
      </c>
      <c r="V2954" s="144" t="str">
        <f t="shared" si="93"/>
        <v>85</v>
      </c>
      <c r="W2954" s="136">
        <f>+COMPROMISOS_2025[[#This Row],[valor_total]]-COMPROMISOS_2025[[#This Row],[total_cancelado]]</f>
        <v>1067625</v>
      </c>
      <c r="X2954" s="136">
        <f>COMPROMISOS_2025[[#This Row],[total_ordenes]]</f>
        <v>1067625</v>
      </c>
      <c r="Y2954" t="str" cm="1">
        <f t="array" aca="1" ref="Y2954" ca="1">IFERROR(_xlfn.XLOOKUP(COMPROMISOS_2025[[#This Row],[concatenado]],PAA[[#All],[RCP-RUBRO]],PAA[[#All],[Actividad3]],VLOOKUP(COMPROMISOS_2025[[#This Row],[Indicador Principal]],$AC$2:$AD$17,2,0),0),"")</f>
        <v/>
      </c>
    </row>
    <row r="2955" spans="1:25" hidden="1" x14ac:dyDescent="0.25">
      <c r="A2955">
        <v>2751</v>
      </c>
      <c r="B2955" t="s">
        <v>2491</v>
      </c>
      <c r="C2955" t="s">
        <v>1936</v>
      </c>
      <c r="D2955" t="s">
        <v>3575</v>
      </c>
      <c r="F2955">
        <v>405</v>
      </c>
      <c r="G2955">
        <v>65</v>
      </c>
      <c r="H2955" t="s">
        <v>662</v>
      </c>
      <c r="I2955" t="s">
        <v>2271</v>
      </c>
      <c r="J2955">
        <v>2847000</v>
      </c>
      <c r="K2955">
        <v>2025</v>
      </c>
      <c r="L2955">
        <v>1126595540</v>
      </c>
      <c r="M2955" t="s">
        <v>4447</v>
      </c>
      <c r="N2955" t="s">
        <v>1688</v>
      </c>
      <c r="O2955" t="s">
        <v>1686</v>
      </c>
      <c r="P2955">
        <v>0</v>
      </c>
      <c r="Q2955">
        <v>2847000</v>
      </c>
      <c r="R2955">
        <v>0</v>
      </c>
      <c r="S2955">
        <v>0</v>
      </c>
      <c r="T2955" t="str">
        <f t="shared" si="92"/>
        <v>27512.43.4302.85.0-205128.2.3.3.08.06.</v>
      </c>
      <c r="U2955" t="e" cm="1">
        <f t="array" aca="1" ref="U2955" ca="1">+IF(COMPROMISOS_2025[[#This Row],[P]]="20","41080111",_xlfn.XLOOKUP(COMPROMISOS_2025[[#This Row],[concatenado]],PAA[[#All],[RCP-RUBRO]],PAA[[#All],[INDICADOR]],"",0))</f>
        <v>#NAME?</v>
      </c>
      <c r="V2955" s="144" t="str">
        <f t="shared" si="93"/>
        <v>85</v>
      </c>
      <c r="W2955" s="136">
        <f>+COMPROMISOS_2025[[#This Row],[valor_total]]-COMPROMISOS_2025[[#This Row],[total_cancelado]]</f>
        <v>2847000</v>
      </c>
      <c r="X2955" s="136">
        <f>COMPROMISOS_2025[[#This Row],[total_ordenes]]</f>
        <v>2847000</v>
      </c>
      <c r="Y2955" t="str" cm="1">
        <f t="array" aca="1" ref="Y2955" ca="1">IFERROR(_xlfn.XLOOKUP(COMPROMISOS_2025[[#This Row],[concatenado]],PAA[[#All],[RCP-RUBRO]],PAA[[#All],[Actividad3]],VLOOKUP(COMPROMISOS_2025[[#This Row],[Indicador Principal]],$AC$2:$AD$17,2,0),0),"")</f>
        <v/>
      </c>
    </row>
    <row r="2956" spans="1:25" hidden="1" x14ac:dyDescent="0.25">
      <c r="A2956">
        <v>2752</v>
      </c>
      <c r="B2956" t="s">
        <v>2491</v>
      </c>
      <c r="C2956" t="s">
        <v>1936</v>
      </c>
      <c r="D2956" t="s">
        <v>3575</v>
      </c>
      <c r="F2956">
        <v>405</v>
      </c>
      <c r="G2956">
        <v>65</v>
      </c>
      <c r="H2956" t="s">
        <v>662</v>
      </c>
      <c r="I2956" t="s">
        <v>2271</v>
      </c>
      <c r="J2956">
        <v>1423500</v>
      </c>
      <c r="K2956">
        <v>2025</v>
      </c>
      <c r="L2956">
        <v>1126595546</v>
      </c>
      <c r="M2956" t="s">
        <v>4133</v>
      </c>
      <c r="N2956" t="s">
        <v>1688</v>
      </c>
      <c r="O2956" t="s">
        <v>1686</v>
      </c>
      <c r="P2956">
        <v>0</v>
      </c>
      <c r="Q2956">
        <v>1423500</v>
      </c>
      <c r="R2956">
        <v>0</v>
      </c>
      <c r="S2956">
        <v>0</v>
      </c>
      <c r="T2956" t="str">
        <f t="shared" si="92"/>
        <v>27522.43.4302.85.0-205128.2.3.3.08.06.</v>
      </c>
      <c r="U2956" t="e" cm="1">
        <f t="array" aca="1" ref="U2956" ca="1">+IF(COMPROMISOS_2025[[#This Row],[P]]="20","41080111",_xlfn.XLOOKUP(COMPROMISOS_2025[[#This Row],[concatenado]],PAA[[#All],[RCP-RUBRO]],PAA[[#All],[INDICADOR]],"",0))</f>
        <v>#NAME?</v>
      </c>
      <c r="V2956" s="144" t="str">
        <f t="shared" si="93"/>
        <v>85</v>
      </c>
      <c r="W2956" s="136">
        <f>+COMPROMISOS_2025[[#This Row],[valor_total]]-COMPROMISOS_2025[[#This Row],[total_cancelado]]</f>
        <v>1423500</v>
      </c>
      <c r="X2956" s="136">
        <f>COMPROMISOS_2025[[#This Row],[total_ordenes]]</f>
        <v>1423500</v>
      </c>
      <c r="Y2956" t="str" cm="1">
        <f t="array" aca="1" ref="Y2956" ca="1">IFERROR(_xlfn.XLOOKUP(COMPROMISOS_2025[[#This Row],[concatenado]],PAA[[#All],[RCP-RUBRO]],PAA[[#All],[Actividad3]],VLOOKUP(COMPROMISOS_2025[[#This Row],[Indicador Principal]],$AC$2:$AD$17,2,0),0),"")</f>
        <v/>
      </c>
    </row>
    <row r="2957" spans="1:25" hidden="1" x14ac:dyDescent="0.25">
      <c r="A2957">
        <v>2753</v>
      </c>
      <c r="B2957" t="s">
        <v>2491</v>
      </c>
      <c r="C2957" t="s">
        <v>1936</v>
      </c>
      <c r="D2957" t="s">
        <v>3575</v>
      </c>
      <c r="F2957">
        <v>405</v>
      </c>
      <c r="G2957">
        <v>65</v>
      </c>
      <c r="H2957" t="s">
        <v>662</v>
      </c>
      <c r="I2957" t="s">
        <v>2271</v>
      </c>
      <c r="J2957">
        <v>2847000</v>
      </c>
      <c r="K2957">
        <v>2025</v>
      </c>
      <c r="L2957">
        <v>1127211581</v>
      </c>
      <c r="M2957" t="s">
        <v>4448</v>
      </c>
      <c r="N2957" t="s">
        <v>1688</v>
      </c>
      <c r="O2957" t="s">
        <v>1686</v>
      </c>
      <c r="P2957">
        <v>0</v>
      </c>
      <c r="Q2957">
        <v>2847000</v>
      </c>
      <c r="R2957">
        <v>0</v>
      </c>
      <c r="S2957">
        <v>0</v>
      </c>
      <c r="T2957" t="str">
        <f t="shared" si="92"/>
        <v>27532.43.4302.85.0-205128.2.3.3.08.06.</v>
      </c>
      <c r="U2957" t="e" cm="1">
        <f t="array" aca="1" ref="U2957" ca="1">+IF(COMPROMISOS_2025[[#This Row],[P]]="20","41080111",_xlfn.XLOOKUP(COMPROMISOS_2025[[#This Row],[concatenado]],PAA[[#All],[RCP-RUBRO]],PAA[[#All],[INDICADOR]],"",0))</f>
        <v>#NAME?</v>
      </c>
      <c r="V2957" s="144" t="str">
        <f t="shared" si="93"/>
        <v>85</v>
      </c>
      <c r="W2957" s="136">
        <f>+COMPROMISOS_2025[[#This Row],[valor_total]]-COMPROMISOS_2025[[#This Row],[total_cancelado]]</f>
        <v>2847000</v>
      </c>
      <c r="X2957" s="136">
        <f>COMPROMISOS_2025[[#This Row],[total_ordenes]]</f>
        <v>2847000</v>
      </c>
      <c r="Y2957" t="str" cm="1">
        <f t="array" aca="1" ref="Y2957" ca="1">IFERROR(_xlfn.XLOOKUP(COMPROMISOS_2025[[#This Row],[concatenado]],PAA[[#All],[RCP-RUBRO]],PAA[[#All],[Actividad3]],VLOOKUP(COMPROMISOS_2025[[#This Row],[Indicador Principal]],$AC$2:$AD$17,2,0),0),"")</f>
        <v/>
      </c>
    </row>
    <row r="2958" spans="1:25" hidden="1" x14ac:dyDescent="0.25">
      <c r="A2958">
        <v>2755</v>
      </c>
      <c r="B2958" t="s">
        <v>2491</v>
      </c>
      <c r="C2958" t="s">
        <v>1936</v>
      </c>
      <c r="D2958" t="s">
        <v>3575</v>
      </c>
      <c r="F2958">
        <v>405</v>
      </c>
      <c r="G2958">
        <v>65</v>
      </c>
      <c r="H2958" t="s">
        <v>662</v>
      </c>
      <c r="I2958" t="s">
        <v>2271</v>
      </c>
      <c r="J2958">
        <v>2847000</v>
      </c>
      <c r="K2958">
        <v>2025</v>
      </c>
      <c r="L2958">
        <v>1127620633</v>
      </c>
      <c r="M2958" t="s">
        <v>4449</v>
      </c>
      <c r="N2958" t="s">
        <v>1688</v>
      </c>
      <c r="O2958" t="s">
        <v>1686</v>
      </c>
      <c r="P2958">
        <v>0</v>
      </c>
      <c r="Q2958">
        <v>2847000</v>
      </c>
      <c r="R2958">
        <v>0</v>
      </c>
      <c r="S2958">
        <v>0</v>
      </c>
      <c r="T2958" t="str">
        <f t="shared" si="92"/>
        <v>27552.43.4302.85.0-205128.2.3.3.08.06.</v>
      </c>
      <c r="U2958" t="e" cm="1">
        <f t="array" aca="1" ref="U2958" ca="1">+IF(COMPROMISOS_2025[[#This Row],[P]]="20","41080111",_xlfn.XLOOKUP(COMPROMISOS_2025[[#This Row],[concatenado]],PAA[[#All],[RCP-RUBRO]],PAA[[#All],[INDICADOR]],"",0))</f>
        <v>#NAME?</v>
      </c>
      <c r="V2958" s="144" t="str">
        <f t="shared" si="93"/>
        <v>85</v>
      </c>
      <c r="W2958" s="136">
        <f>+COMPROMISOS_2025[[#This Row],[valor_total]]-COMPROMISOS_2025[[#This Row],[total_cancelado]]</f>
        <v>2847000</v>
      </c>
      <c r="X2958" s="136">
        <f>COMPROMISOS_2025[[#This Row],[total_ordenes]]</f>
        <v>2847000</v>
      </c>
      <c r="Y2958" t="str" cm="1">
        <f t="array" aca="1" ref="Y2958" ca="1">IFERROR(_xlfn.XLOOKUP(COMPROMISOS_2025[[#This Row],[concatenado]],PAA[[#All],[RCP-RUBRO]],PAA[[#All],[Actividad3]],VLOOKUP(COMPROMISOS_2025[[#This Row],[Indicador Principal]],$AC$2:$AD$17,2,0),0),"")</f>
        <v/>
      </c>
    </row>
    <row r="2959" spans="1:25" hidden="1" x14ac:dyDescent="0.25">
      <c r="A2959">
        <v>2756</v>
      </c>
      <c r="B2959" t="s">
        <v>2491</v>
      </c>
      <c r="C2959" t="s">
        <v>1936</v>
      </c>
      <c r="D2959" t="s">
        <v>3575</v>
      </c>
      <c r="F2959">
        <v>405</v>
      </c>
      <c r="G2959">
        <v>65</v>
      </c>
      <c r="H2959" t="s">
        <v>662</v>
      </c>
      <c r="I2959" t="s">
        <v>2271</v>
      </c>
      <c r="J2959">
        <v>1067625</v>
      </c>
      <c r="K2959">
        <v>2025</v>
      </c>
      <c r="L2959">
        <v>1127946190</v>
      </c>
      <c r="M2959" t="s">
        <v>3879</v>
      </c>
      <c r="N2959" t="s">
        <v>1688</v>
      </c>
      <c r="O2959" t="s">
        <v>1686</v>
      </c>
      <c r="P2959">
        <v>0</v>
      </c>
      <c r="Q2959">
        <v>1067625</v>
      </c>
      <c r="R2959">
        <v>0</v>
      </c>
      <c r="S2959">
        <v>0</v>
      </c>
      <c r="T2959" t="str">
        <f t="shared" si="92"/>
        <v>27562.43.4302.85.0-205128.2.3.3.08.06.</v>
      </c>
      <c r="U2959" t="e" cm="1">
        <f t="array" aca="1" ref="U2959" ca="1">+IF(COMPROMISOS_2025[[#This Row],[P]]="20","41080111",_xlfn.XLOOKUP(COMPROMISOS_2025[[#This Row],[concatenado]],PAA[[#All],[RCP-RUBRO]],PAA[[#All],[INDICADOR]],"",0))</f>
        <v>#NAME?</v>
      </c>
      <c r="V2959" s="144" t="str">
        <f t="shared" si="93"/>
        <v>85</v>
      </c>
      <c r="W2959" s="136">
        <f>+COMPROMISOS_2025[[#This Row],[valor_total]]-COMPROMISOS_2025[[#This Row],[total_cancelado]]</f>
        <v>1067625</v>
      </c>
      <c r="X2959" s="136">
        <f>COMPROMISOS_2025[[#This Row],[total_ordenes]]</f>
        <v>1067625</v>
      </c>
      <c r="Y2959" t="str" cm="1">
        <f t="array" aca="1" ref="Y2959" ca="1">IFERROR(_xlfn.XLOOKUP(COMPROMISOS_2025[[#This Row],[concatenado]],PAA[[#All],[RCP-RUBRO]],PAA[[#All],[Actividad3]],VLOOKUP(COMPROMISOS_2025[[#This Row],[Indicador Principal]],$AC$2:$AD$17,2,0),0),"")</f>
        <v/>
      </c>
    </row>
    <row r="2960" spans="1:25" hidden="1" x14ac:dyDescent="0.25">
      <c r="A2960">
        <v>2757</v>
      </c>
      <c r="B2960" t="s">
        <v>2491</v>
      </c>
      <c r="C2960" t="s">
        <v>1936</v>
      </c>
      <c r="D2960" t="s">
        <v>3575</v>
      </c>
      <c r="F2960">
        <v>405</v>
      </c>
      <c r="G2960">
        <v>65</v>
      </c>
      <c r="H2960" t="s">
        <v>662</v>
      </c>
      <c r="I2960" t="s">
        <v>2271</v>
      </c>
      <c r="J2960">
        <v>2847000</v>
      </c>
      <c r="K2960">
        <v>2025</v>
      </c>
      <c r="L2960">
        <v>1128266790</v>
      </c>
      <c r="M2960" t="s">
        <v>4450</v>
      </c>
      <c r="N2960" t="s">
        <v>1688</v>
      </c>
      <c r="O2960" t="s">
        <v>1686</v>
      </c>
      <c r="P2960">
        <v>0</v>
      </c>
      <c r="Q2960">
        <v>2847000</v>
      </c>
      <c r="R2960">
        <v>0</v>
      </c>
      <c r="S2960">
        <v>0</v>
      </c>
      <c r="T2960" t="str">
        <f t="shared" si="92"/>
        <v>27572.43.4302.85.0-205128.2.3.3.08.06.</v>
      </c>
      <c r="U2960" t="e" cm="1">
        <f t="array" aca="1" ref="U2960" ca="1">+IF(COMPROMISOS_2025[[#This Row],[P]]="20","41080111",_xlfn.XLOOKUP(COMPROMISOS_2025[[#This Row],[concatenado]],PAA[[#All],[RCP-RUBRO]],PAA[[#All],[INDICADOR]],"",0))</f>
        <v>#NAME?</v>
      </c>
      <c r="V2960" s="144" t="str">
        <f t="shared" si="93"/>
        <v>85</v>
      </c>
      <c r="W2960" s="136">
        <f>+COMPROMISOS_2025[[#This Row],[valor_total]]-COMPROMISOS_2025[[#This Row],[total_cancelado]]</f>
        <v>2847000</v>
      </c>
      <c r="X2960" s="136">
        <f>COMPROMISOS_2025[[#This Row],[total_ordenes]]</f>
        <v>2847000</v>
      </c>
      <c r="Y2960" t="str" cm="1">
        <f t="array" aca="1" ref="Y2960" ca="1">IFERROR(_xlfn.XLOOKUP(COMPROMISOS_2025[[#This Row],[concatenado]],PAA[[#All],[RCP-RUBRO]],PAA[[#All],[Actividad3]],VLOOKUP(COMPROMISOS_2025[[#This Row],[Indicador Principal]],$AC$2:$AD$17,2,0),0),"")</f>
        <v/>
      </c>
    </row>
    <row r="2961" spans="1:25" hidden="1" x14ac:dyDescent="0.25">
      <c r="A2961">
        <v>2758</v>
      </c>
      <c r="B2961" t="s">
        <v>2491</v>
      </c>
      <c r="C2961" t="s">
        <v>1936</v>
      </c>
      <c r="D2961" t="s">
        <v>3575</v>
      </c>
      <c r="F2961">
        <v>405</v>
      </c>
      <c r="G2961">
        <v>65</v>
      </c>
      <c r="H2961" t="s">
        <v>662</v>
      </c>
      <c r="I2961" t="s">
        <v>2271</v>
      </c>
      <c r="J2961">
        <v>1423500</v>
      </c>
      <c r="K2961">
        <v>2025</v>
      </c>
      <c r="L2961">
        <v>11282759088</v>
      </c>
      <c r="M2961" t="s">
        <v>4451</v>
      </c>
      <c r="N2961" t="s">
        <v>1688</v>
      </c>
      <c r="O2961" t="s">
        <v>1686</v>
      </c>
      <c r="P2961">
        <v>0</v>
      </c>
      <c r="Q2961">
        <v>1423500</v>
      </c>
      <c r="R2961">
        <v>0</v>
      </c>
      <c r="S2961">
        <v>0</v>
      </c>
      <c r="T2961" t="str">
        <f t="shared" si="92"/>
        <v>27582.43.4302.85.0-205128.2.3.3.08.06.</v>
      </c>
      <c r="U2961" t="e" cm="1">
        <f t="array" aca="1" ref="U2961" ca="1">+IF(COMPROMISOS_2025[[#This Row],[P]]="20","41080111",_xlfn.XLOOKUP(COMPROMISOS_2025[[#This Row],[concatenado]],PAA[[#All],[RCP-RUBRO]],PAA[[#All],[INDICADOR]],"",0))</f>
        <v>#NAME?</v>
      </c>
      <c r="V2961" s="144" t="str">
        <f t="shared" si="93"/>
        <v>85</v>
      </c>
      <c r="W2961" s="136">
        <f>+COMPROMISOS_2025[[#This Row],[valor_total]]-COMPROMISOS_2025[[#This Row],[total_cancelado]]</f>
        <v>1423500</v>
      </c>
      <c r="X2961" s="136">
        <f>COMPROMISOS_2025[[#This Row],[total_ordenes]]</f>
        <v>1423500</v>
      </c>
      <c r="Y2961" t="str" cm="1">
        <f t="array" aca="1" ref="Y2961" ca="1">IFERROR(_xlfn.XLOOKUP(COMPROMISOS_2025[[#This Row],[concatenado]],PAA[[#All],[RCP-RUBRO]],PAA[[#All],[Actividad3]],VLOOKUP(COMPROMISOS_2025[[#This Row],[Indicador Principal]],$AC$2:$AD$17,2,0),0),"")</f>
        <v/>
      </c>
    </row>
    <row r="2962" spans="1:25" hidden="1" x14ac:dyDescent="0.25">
      <c r="A2962">
        <v>2759</v>
      </c>
      <c r="B2962" t="s">
        <v>2491</v>
      </c>
      <c r="C2962" t="s">
        <v>1936</v>
      </c>
      <c r="D2962" t="s">
        <v>3575</v>
      </c>
      <c r="F2962">
        <v>405</v>
      </c>
      <c r="G2962">
        <v>65</v>
      </c>
      <c r="H2962" t="s">
        <v>662</v>
      </c>
      <c r="I2962" t="s">
        <v>2271</v>
      </c>
      <c r="J2962">
        <v>1067625</v>
      </c>
      <c r="K2962">
        <v>2025</v>
      </c>
      <c r="L2962">
        <v>1128276647</v>
      </c>
      <c r="M2962" t="s">
        <v>4452</v>
      </c>
      <c r="N2962" t="s">
        <v>1688</v>
      </c>
      <c r="O2962" t="s">
        <v>1686</v>
      </c>
      <c r="P2962">
        <v>0</v>
      </c>
      <c r="Q2962">
        <v>1067625</v>
      </c>
      <c r="R2962">
        <v>0</v>
      </c>
      <c r="S2962">
        <v>0</v>
      </c>
      <c r="T2962" t="str">
        <f t="shared" si="92"/>
        <v>27592.43.4302.85.0-205128.2.3.3.08.06.</v>
      </c>
      <c r="U2962" t="e" cm="1">
        <f t="array" aca="1" ref="U2962" ca="1">+IF(COMPROMISOS_2025[[#This Row],[P]]="20","41080111",_xlfn.XLOOKUP(COMPROMISOS_2025[[#This Row],[concatenado]],PAA[[#All],[RCP-RUBRO]],PAA[[#All],[INDICADOR]],"",0))</f>
        <v>#NAME?</v>
      </c>
      <c r="V2962" s="144" t="str">
        <f t="shared" si="93"/>
        <v>85</v>
      </c>
      <c r="W2962" s="136">
        <f>+COMPROMISOS_2025[[#This Row],[valor_total]]-COMPROMISOS_2025[[#This Row],[total_cancelado]]</f>
        <v>1067625</v>
      </c>
      <c r="X2962" s="136">
        <f>COMPROMISOS_2025[[#This Row],[total_ordenes]]</f>
        <v>1067625</v>
      </c>
      <c r="Y2962" t="str" cm="1">
        <f t="array" aca="1" ref="Y2962" ca="1">IFERROR(_xlfn.XLOOKUP(COMPROMISOS_2025[[#This Row],[concatenado]],PAA[[#All],[RCP-RUBRO]],PAA[[#All],[Actividad3]],VLOOKUP(COMPROMISOS_2025[[#This Row],[Indicador Principal]],$AC$2:$AD$17,2,0),0),"")</f>
        <v/>
      </c>
    </row>
    <row r="2963" spans="1:25" hidden="1" x14ac:dyDescent="0.25">
      <c r="A2963">
        <v>2761</v>
      </c>
      <c r="B2963" t="s">
        <v>2491</v>
      </c>
      <c r="C2963" t="s">
        <v>1936</v>
      </c>
      <c r="D2963" t="s">
        <v>3575</v>
      </c>
      <c r="F2963">
        <v>405</v>
      </c>
      <c r="G2963">
        <v>65</v>
      </c>
      <c r="H2963" t="s">
        <v>662</v>
      </c>
      <c r="I2963" t="s">
        <v>2271</v>
      </c>
      <c r="J2963">
        <v>1067625</v>
      </c>
      <c r="K2963">
        <v>2025</v>
      </c>
      <c r="L2963">
        <v>1128387853</v>
      </c>
      <c r="M2963" t="s">
        <v>4453</v>
      </c>
      <c r="N2963" t="s">
        <v>1688</v>
      </c>
      <c r="O2963" t="s">
        <v>1686</v>
      </c>
      <c r="P2963">
        <v>0</v>
      </c>
      <c r="Q2963">
        <v>1067625</v>
      </c>
      <c r="R2963">
        <v>0</v>
      </c>
      <c r="S2963">
        <v>0</v>
      </c>
      <c r="T2963" t="str">
        <f t="shared" si="92"/>
        <v>27612.43.4302.85.0-205128.2.3.3.08.06.</v>
      </c>
      <c r="U2963" t="e" cm="1">
        <f t="array" aca="1" ref="U2963" ca="1">+IF(COMPROMISOS_2025[[#This Row],[P]]="20","41080111",_xlfn.XLOOKUP(COMPROMISOS_2025[[#This Row],[concatenado]],PAA[[#All],[RCP-RUBRO]],PAA[[#All],[INDICADOR]],"",0))</f>
        <v>#NAME?</v>
      </c>
      <c r="V2963" s="144" t="str">
        <f t="shared" si="93"/>
        <v>85</v>
      </c>
      <c r="W2963" s="136">
        <f>+COMPROMISOS_2025[[#This Row],[valor_total]]-COMPROMISOS_2025[[#This Row],[total_cancelado]]</f>
        <v>1067625</v>
      </c>
      <c r="X2963" s="136">
        <f>COMPROMISOS_2025[[#This Row],[total_ordenes]]</f>
        <v>1067625</v>
      </c>
      <c r="Y2963" t="str" cm="1">
        <f t="array" aca="1" ref="Y2963" ca="1">IFERROR(_xlfn.XLOOKUP(COMPROMISOS_2025[[#This Row],[concatenado]],PAA[[#All],[RCP-RUBRO]],PAA[[#All],[Actividad3]],VLOOKUP(COMPROMISOS_2025[[#This Row],[Indicador Principal]],$AC$2:$AD$17,2,0),0),"")</f>
        <v/>
      </c>
    </row>
    <row r="2964" spans="1:25" hidden="1" x14ac:dyDescent="0.25">
      <c r="A2964">
        <v>2762</v>
      </c>
      <c r="B2964" t="s">
        <v>2491</v>
      </c>
      <c r="C2964" t="s">
        <v>1936</v>
      </c>
      <c r="D2964" t="s">
        <v>3575</v>
      </c>
      <c r="F2964">
        <v>405</v>
      </c>
      <c r="G2964">
        <v>65</v>
      </c>
      <c r="H2964" t="s">
        <v>662</v>
      </c>
      <c r="I2964" t="s">
        <v>2271</v>
      </c>
      <c r="J2964">
        <v>1423500</v>
      </c>
      <c r="K2964">
        <v>2025</v>
      </c>
      <c r="L2964">
        <v>1128388707</v>
      </c>
      <c r="M2964" t="s">
        <v>4135</v>
      </c>
      <c r="N2964" t="s">
        <v>1688</v>
      </c>
      <c r="O2964" t="s">
        <v>1686</v>
      </c>
      <c r="P2964">
        <v>0</v>
      </c>
      <c r="Q2964">
        <v>1423500</v>
      </c>
      <c r="R2964">
        <v>0</v>
      </c>
      <c r="S2964">
        <v>0</v>
      </c>
      <c r="T2964" t="str">
        <f t="shared" si="92"/>
        <v>27622.43.4302.85.0-205128.2.3.3.08.06.</v>
      </c>
      <c r="U2964" t="e" cm="1">
        <f t="array" aca="1" ref="U2964" ca="1">+IF(COMPROMISOS_2025[[#This Row],[P]]="20","41080111",_xlfn.XLOOKUP(COMPROMISOS_2025[[#This Row],[concatenado]],PAA[[#All],[RCP-RUBRO]],PAA[[#All],[INDICADOR]],"",0))</f>
        <v>#NAME?</v>
      </c>
      <c r="V2964" s="144" t="str">
        <f t="shared" si="93"/>
        <v>85</v>
      </c>
      <c r="W2964" s="136">
        <f>+COMPROMISOS_2025[[#This Row],[valor_total]]-COMPROMISOS_2025[[#This Row],[total_cancelado]]</f>
        <v>1423500</v>
      </c>
      <c r="X2964" s="136">
        <f>COMPROMISOS_2025[[#This Row],[total_ordenes]]</f>
        <v>1423500</v>
      </c>
      <c r="Y2964" t="str" cm="1">
        <f t="array" aca="1" ref="Y2964" ca="1">IFERROR(_xlfn.XLOOKUP(COMPROMISOS_2025[[#This Row],[concatenado]],PAA[[#All],[RCP-RUBRO]],PAA[[#All],[Actividad3]],VLOOKUP(COMPROMISOS_2025[[#This Row],[Indicador Principal]],$AC$2:$AD$17,2,0),0),"")</f>
        <v/>
      </c>
    </row>
    <row r="2965" spans="1:25" hidden="1" x14ac:dyDescent="0.25">
      <c r="A2965">
        <v>2763</v>
      </c>
      <c r="B2965" t="s">
        <v>2491</v>
      </c>
      <c r="C2965" t="s">
        <v>1936</v>
      </c>
      <c r="D2965" t="s">
        <v>3575</v>
      </c>
      <c r="F2965">
        <v>405</v>
      </c>
      <c r="G2965">
        <v>65</v>
      </c>
      <c r="H2965" t="s">
        <v>662</v>
      </c>
      <c r="I2965" t="s">
        <v>2271</v>
      </c>
      <c r="J2965">
        <v>1423500</v>
      </c>
      <c r="K2965">
        <v>2025</v>
      </c>
      <c r="L2965">
        <v>1128403141</v>
      </c>
      <c r="M2965" t="s">
        <v>4454</v>
      </c>
      <c r="N2965" t="s">
        <v>1688</v>
      </c>
      <c r="O2965" t="s">
        <v>1686</v>
      </c>
      <c r="P2965">
        <v>0</v>
      </c>
      <c r="Q2965">
        <v>1423500</v>
      </c>
      <c r="R2965">
        <v>0</v>
      </c>
      <c r="S2965">
        <v>0</v>
      </c>
      <c r="T2965" t="str">
        <f t="shared" si="92"/>
        <v>27632.43.4302.85.0-205128.2.3.3.08.06.</v>
      </c>
      <c r="U2965" t="e" cm="1">
        <f t="array" aca="1" ref="U2965" ca="1">+IF(COMPROMISOS_2025[[#This Row],[P]]="20","41080111",_xlfn.XLOOKUP(COMPROMISOS_2025[[#This Row],[concatenado]],PAA[[#All],[RCP-RUBRO]],PAA[[#All],[INDICADOR]],"",0))</f>
        <v>#NAME?</v>
      </c>
      <c r="V2965" s="144" t="str">
        <f t="shared" si="93"/>
        <v>85</v>
      </c>
      <c r="W2965" s="136">
        <f>+COMPROMISOS_2025[[#This Row],[valor_total]]-COMPROMISOS_2025[[#This Row],[total_cancelado]]</f>
        <v>1423500</v>
      </c>
      <c r="X2965" s="136">
        <f>COMPROMISOS_2025[[#This Row],[total_ordenes]]</f>
        <v>1423500</v>
      </c>
      <c r="Y2965" t="str" cm="1">
        <f t="array" aca="1" ref="Y2965" ca="1">IFERROR(_xlfn.XLOOKUP(COMPROMISOS_2025[[#This Row],[concatenado]],PAA[[#All],[RCP-RUBRO]],PAA[[#All],[Actividad3]],VLOOKUP(COMPROMISOS_2025[[#This Row],[Indicador Principal]],$AC$2:$AD$17,2,0),0),"")</f>
        <v/>
      </c>
    </row>
    <row r="2966" spans="1:25" hidden="1" x14ac:dyDescent="0.25">
      <c r="A2966">
        <v>2764</v>
      </c>
      <c r="B2966" t="s">
        <v>2491</v>
      </c>
      <c r="C2966" t="s">
        <v>1936</v>
      </c>
      <c r="D2966" t="s">
        <v>3575</v>
      </c>
      <c r="F2966">
        <v>405</v>
      </c>
      <c r="G2966">
        <v>65</v>
      </c>
      <c r="H2966" t="s">
        <v>662</v>
      </c>
      <c r="I2966" t="s">
        <v>2271</v>
      </c>
      <c r="J2966">
        <v>1423500</v>
      </c>
      <c r="K2966">
        <v>2025</v>
      </c>
      <c r="L2966">
        <v>1128404285</v>
      </c>
      <c r="M2966" t="s">
        <v>4455</v>
      </c>
      <c r="N2966" t="s">
        <v>1688</v>
      </c>
      <c r="O2966" t="s">
        <v>1686</v>
      </c>
      <c r="P2966">
        <v>0</v>
      </c>
      <c r="Q2966">
        <v>1423500</v>
      </c>
      <c r="R2966">
        <v>0</v>
      </c>
      <c r="S2966">
        <v>0</v>
      </c>
      <c r="T2966" t="str">
        <f t="shared" si="92"/>
        <v>27642.43.4302.85.0-205128.2.3.3.08.06.</v>
      </c>
      <c r="U2966" t="e" cm="1">
        <f t="array" aca="1" ref="U2966" ca="1">+IF(COMPROMISOS_2025[[#This Row],[P]]="20","41080111",_xlfn.XLOOKUP(COMPROMISOS_2025[[#This Row],[concatenado]],PAA[[#All],[RCP-RUBRO]],PAA[[#All],[INDICADOR]],"",0))</f>
        <v>#NAME?</v>
      </c>
      <c r="V2966" s="144" t="str">
        <f t="shared" si="93"/>
        <v>85</v>
      </c>
      <c r="W2966" s="136">
        <f>+COMPROMISOS_2025[[#This Row],[valor_total]]-COMPROMISOS_2025[[#This Row],[total_cancelado]]</f>
        <v>1423500</v>
      </c>
      <c r="X2966" s="136">
        <f>COMPROMISOS_2025[[#This Row],[total_ordenes]]</f>
        <v>1423500</v>
      </c>
      <c r="Y2966" t="str" cm="1">
        <f t="array" aca="1" ref="Y2966" ca="1">IFERROR(_xlfn.XLOOKUP(COMPROMISOS_2025[[#This Row],[concatenado]],PAA[[#All],[RCP-RUBRO]],PAA[[#All],[Actividad3]],VLOOKUP(COMPROMISOS_2025[[#This Row],[Indicador Principal]],$AC$2:$AD$17,2,0),0),"")</f>
        <v/>
      </c>
    </row>
    <row r="2967" spans="1:25" hidden="1" x14ac:dyDescent="0.25">
      <c r="A2967">
        <v>2765</v>
      </c>
      <c r="B2967" t="s">
        <v>2491</v>
      </c>
      <c r="C2967" t="s">
        <v>1936</v>
      </c>
      <c r="D2967" t="s">
        <v>3575</v>
      </c>
      <c r="F2967">
        <v>405</v>
      </c>
      <c r="G2967">
        <v>65</v>
      </c>
      <c r="H2967" t="s">
        <v>662</v>
      </c>
      <c r="I2967" t="s">
        <v>2271</v>
      </c>
      <c r="J2967">
        <v>1423500</v>
      </c>
      <c r="K2967">
        <v>2025</v>
      </c>
      <c r="L2967">
        <v>1128416502</v>
      </c>
      <c r="M2967" t="s">
        <v>4136</v>
      </c>
      <c r="N2967" t="s">
        <v>1688</v>
      </c>
      <c r="O2967" t="s">
        <v>1686</v>
      </c>
      <c r="P2967">
        <v>0</v>
      </c>
      <c r="Q2967">
        <v>1423500</v>
      </c>
      <c r="R2967">
        <v>0</v>
      </c>
      <c r="S2967">
        <v>0</v>
      </c>
      <c r="T2967" t="str">
        <f t="shared" si="92"/>
        <v>27652.43.4302.85.0-205128.2.3.3.08.06.</v>
      </c>
      <c r="U2967" t="e" cm="1">
        <f t="array" aca="1" ref="U2967" ca="1">+IF(COMPROMISOS_2025[[#This Row],[P]]="20","41080111",_xlfn.XLOOKUP(COMPROMISOS_2025[[#This Row],[concatenado]],PAA[[#All],[RCP-RUBRO]],PAA[[#All],[INDICADOR]],"",0))</f>
        <v>#NAME?</v>
      </c>
      <c r="V2967" s="144" t="str">
        <f t="shared" si="93"/>
        <v>85</v>
      </c>
      <c r="W2967" s="136">
        <f>+COMPROMISOS_2025[[#This Row],[valor_total]]-COMPROMISOS_2025[[#This Row],[total_cancelado]]</f>
        <v>1423500</v>
      </c>
      <c r="X2967" s="136">
        <f>COMPROMISOS_2025[[#This Row],[total_ordenes]]</f>
        <v>1423500</v>
      </c>
      <c r="Y2967" t="str" cm="1">
        <f t="array" aca="1" ref="Y2967" ca="1">IFERROR(_xlfn.XLOOKUP(COMPROMISOS_2025[[#This Row],[concatenado]],PAA[[#All],[RCP-RUBRO]],PAA[[#All],[Actividad3]],VLOOKUP(COMPROMISOS_2025[[#This Row],[Indicador Principal]],$AC$2:$AD$17,2,0),0),"")</f>
        <v/>
      </c>
    </row>
    <row r="2968" spans="1:25" hidden="1" x14ac:dyDescent="0.25">
      <c r="A2968">
        <v>2766</v>
      </c>
      <c r="B2968" t="s">
        <v>2491</v>
      </c>
      <c r="C2968" t="s">
        <v>1936</v>
      </c>
      <c r="D2968" t="s">
        <v>3575</v>
      </c>
      <c r="F2968">
        <v>405</v>
      </c>
      <c r="G2968">
        <v>65</v>
      </c>
      <c r="H2968" t="s">
        <v>662</v>
      </c>
      <c r="I2968" t="s">
        <v>2271</v>
      </c>
      <c r="J2968">
        <v>1423500</v>
      </c>
      <c r="K2968">
        <v>2025</v>
      </c>
      <c r="L2968">
        <v>1128422573</v>
      </c>
      <c r="M2968" t="s">
        <v>4456</v>
      </c>
      <c r="N2968" t="s">
        <v>1688</v>
      </c>
      <c r="O2968" t="s">
        <v>1686</v>
      </c>
      <c r="P2968">
        <v>0</v>
      </c>
      <c r="Q2968">
        <v>1423500</v>
      </c>
      <c r="R2968">
        <v>0</v>
      </c>
      <c r="S2968">
        <v>0</v>
      </c>
      <c r="T2968" t="str">
        <f t="shared" si="92"/>
        <v>27662.43.4302.85.0-205128.2.3.3.08.06.</v>
      </c>
      <c r="U2968" t="e" cm="1">
        <f t="array" aca="1" ref="U2968" ca="1">+IF(COMPROMISOS_2025[[#This Row],[P]]="20","41080111",_xlfn.XLOOKUP(COMPROMISOS_2025[[#This Row],[concatenado]],PAA[[#All],[RCP-RUBRO]],PAA[[#All],[INDICADOR]],"",0))</f>
        <v>#NAME?</v>
      </c>
      <c r="V2968" s="144" t="str">
        <f t="shared" si="93"/>
        <v>85</v>
      </c>
      <c r="W2968" s="136">
        <f>+COMPROMISOS_2025[[#This Row],[valor_total]]-COMPROMISOS_2025[[#This Row],[total_cancelado]]</f>
        <v>1423500</v>
      </c>
      <c r="X2968" s="136">
        <f>COMPROMISOS_2025[[#This Row],[total_ordenes]]</f>
        <v>1423500</v>
      </c>
      <c r="Y2968" t="str" cm="1">
        <f t="array" aca="1" ref="Y2968" ca="1">IFERROR(_xlfn.XLOOKUP(COMPROMISOS_2025[[#This Row],[concatenado]],PAA[[#All],[RCP-RUBRO]],PAA[[#All],[Actividad3]],VLOOKUP(COMPROMISOS_2025[[#This Row],[Indicador Principal]],$AC$2:$AD$17,2,0),0),"")</f>
        <v/>
      </c>
    </row>
    <row r="2969" spans="1:25" hidden="1" x14ac:dyDescent="0.25">
      <c r="A2969">
        <v>2767</v>
      </c>
      <c r="B2969" t="s">
        <v>2491</v>
      </c>
      <c r="C2969" t="s">
        <v>1936</v>
      </c>
      <c r="D2969" t="s">
        <v>3575</v>
      </c>
      <c r="F2969">
        <v>405</v>
      </c>
      <c r="G2969">
        <v>65</v>
      </c>
      <c r="H2969" t="s">
        <v>662</v>
      </c>
      <c r="I2969" t="s">
        <v>2271</v>
      </c>
      <c r="J2969">
        <v>711750</v>
      </c>
      <c r="K2969">
        <v>2025</v>
      </c>
      <c r="L2969">
        <v>1128422729</v>
      </c>
      <c r="M2969" t="s">
        <v>4457</v>
      </c>
      <c r="N2969" t="s">
        <v>1688</v>
      </c>
      <c r="O2969" t="s">
        <v>1686</v>
      </c>
      <c r="P2969">
        <v>0</v>
      </c>
      <c r="Q2969">
        <v>711750</v>
      </c>
      <c r="R2969">
        <v>0</v>
      </c>
      <c r="S2969">
        <v>0</v>
      </c>
      <c r="T2969" t="str">
        <f t="shared" si="92"/>
        <v>27672.43.4302.85.0-205128.2.3.3.08.06.</v>
      </c>
      <c r="U2969" t="e" cm="1">
        <f t="array" aca="1" ref="U2969" ca="1">+IF(COMPROMISOS_2025[[#This Row],[P]]="20","41080111",_xlfn.XLOOKUP(COMPROMISOS_2025[[#This Row],[concatenado]],PAA[[#All],[RCP-RUBRO]],PAA[[#All],[INDICADOR]],"",0))</f>
        <v>#NAME?</v>
      </c>
      <c r="V2969" s="144" t="str">
        <f t="shared" si="93"/>
        <v>85</v>
      </c>
      <c r="W2969" s="136">
        <f>+COMPROMISOS_2025[[#This Row],[valor_total]]-COMPROMISOS_2025[[#This Row],[total_cancelado]]</f>
        <v>711750</v>
      </c>
      <c r="X2969" s="136">
        <f>COMPROMISOS_2025[[#This Row],[total_ordenes]]</f>
        <v>711750</v>
      </c>
      <c r="Y2969" t="str" cm="1">
        <f t="array" aca="1" ref="Y2969" ca="1">IFERROR(_xlfn.XLOOKUP(COMPROMISOS_2025[[#This Row],[concatenado]],PAA[[#All],[RCP-RUBRO]],PAA[[#All],[Actividad3]],VLOOKUP(COMPROMISOS_2025[[#This Row],[Indicador Principal]],$AC$2:$AD$17,2,0),0),"")</f>
        <v/>
      </c>
    </row>
    <row r="2970" spans="1:25" hidden="1" x14ac:dyDescent="0.25">
      <c r="A2970">
        <v>2768</v>
      </c>
      <c r="B2970" t="s">
        <v>2491</v>
      </c>
      <c r="C2970" t="s">
        <v>1936</v>
      </c>
      <c r="D2970" t="s">
        <v>3575</v>
      </c>
      <c r="F2970">
        <v>405</v>
      </c>
      <c r="G2970">
        <v>65</v>
      </c>
      <c r="H2970" t="s">
        <v>662</v>
      </c>
      <c r="I2970" t="s">
        <v>2271</v>
      </c>
      <c r="J2970">
        <v>1067625</v>
      </c>
      <c r="K2970">
        <v>2025</v>
      </c>
      <c r="L2970">
        <v>1128431296</v>
      </c>
      <c r="M2970" t="s">
        <v>4458</v>
      </c>
      <c r="N2970" t="s">
        <v>1688</v>
      </c>
      <c r="O2970" t="s">
        <v>1686</v>
      </c>
      <c r="P2970">
        <v>0</v>
      </c>
      <c r="Q2970">
        <v>1067625</v>
      </c>
      <c r="R2970">
        <v>0</v>
      </c>
      <c r="S2970">
        <v>0</v>
      </c>
      <c r="T2970" t="str">
        <f t="shared" si="92"/>
        <v>27682.43.4302.85.0-205128.2.3.3.08.06.</v>
      </c>
      <c r="U2970" t="e" cm="1">
        <f t="array" aca="1" ref="U2970" ca="1">+IF(COMPROMISOS_2025[[#This Row],[P]]="20","41080111",_xlfn.XLOOKUP(COMPROMISOS_2025[[#This Row],[concatenado]],PAA[[#All],[RCP-RUBRO]],PAA[[#All],[INDICADOR]],"",0))</f>
        <v>#NAME?</v>
      </c>
      <c r="V2970" s="144" t="str">
        <f t="shared" si="93"/>
        <v>85</v>
      </c>
      <c r="W2970" s="136">
        <f>+COMPROMISOS_2025[[#This Row],[valor_total]]-COMPROMISOS_2025[[#This Row],[total_cancelado]]</f>
        <v>1067625</v>
      </c>
      <c r="X2970" s="136">
        <f>COMPROMISOS_2025[[#This Row],[total_ordenes]]</f>
        <v>1067625</v>
      </c>
      <c r="Y2970" t="str" cm="1">
        <f t="array" aca="1" ref="Y2970" ca="1">IFERROR(_xlfn.XLOOKUP(COMPROMISOS_2025[[#This Row],[concatenado]],PAA[[#All],[RCP-RUBRO]],PAA[[#All],[Actividad3]],VLOOKUP(COMPROMISOS_2025[[#This Row],[Indicador Principal]],$AC$2:$AD$17,2,0),0),"")</f>
        <v/>
      </c>
    </row>
    <row r="2971" spans="1:25" hidden="1" x14ac:dyDescent="0.25">
      <c r="A2971">
        <v>2769</v>
      </c>
      <c r="B2971" t="s">
        <v>2491</v>
      </c>
      <c r="C2971" t="s">
        <v>1936</v>
      </c>
      <c r="D2971" t="s">
        <v>3575</v>
      </c>
      <c r="F2971">
        <v>405</v>
      </c>
      <c r="G2971">
        <v>65</v>
      </c>
      <c r="H2971" t="s">
        <v>662</v>
      </c>
      <c r="I2971" t="s">
        <v>2271</v>
      </c>
      <c r="J2971">
        <v>711750</v>
      </c>
      <c r="K2971">
        <v>2025</v>
      </c>
      <c r="L2971">
        <v>1128433819</v>
      </c>
      <c r="M2971" t="s">
        <v>4137</v>
      </c>
      <c r="N2971" t="s">
        <v>1688</v>
      </c>
      <c r="O2971" t="s">
        <v>1686</v>
      </c>
      <c r="P2971">
        <v>0</v>
      </c>
      <c r="Q2971">
        <v>711750</v>
      </c>
      <c r="R2971">
        <v>0</v>
      </c>
      <c r="S2971">
        <v>0</v>
      </c>
      <c r="T2971" t="str">
        <f t="shared" si="92"/>
        <v>27692.43.4302.85.0-205128.2.3.3.08.06.</v>
      </c>
      <c r="U2971" t="e" cm="1">
        <f t="array" aca="1" ref="U2971" ca="1">+IF(COMPROMISOS_2025[[#This Row],[P]]="20","41080111",_xlfn.XLOOKUP(COMPROMISOS_2025[[#This Row],[concatenado]],PAA[[#All],[RCP-RUBRO]],PAA[[#All],[INDICADOR]],"",0))</f>
        <v>#NAME?</v>
      </c>
      <c r="V2971" s="144" t="str">
        <f t="shared" si="93"/>
        <v>85</v>
      </c>
      <c r="W2971" s="136">
        <f>+COMPROMISOS_2025[[#This Row],[valor_total]]-COMPROMISOS_2025[[#This Row],[total_cancelado]]</f>
        <v>711750</v>
      </c>
      <c r="X2971" s="136">
        <f>COMPROMISOS_2025[[#This Row],[total_ordenes]]</f>
        <v>711750</v>
      </c>
      <c r="Y2971" t="str" cm="1">
        <f t="array" aca="1" ref="Y2971" ca="1">IFERROR(_xlfn.XLOOKUP(COMPROMISOS_2025[[#This Row],[concatenado]],PAA[[#All],[RCP-RUBRO]],PAA[[#All],[Actividad3]],VLOOKUP(COMPROMISOS_2025[[#This Row],[Indicador Principal]],$AC$2:$AD$17,2,0),0),"")</f>
        <v/>
      </c>
    </row>
    <row r="2972" spans="1:25" hidden="1" x14ac:dyDescent="0.25">
      <c r="A2972">
        <v>2770</v>
      </c>
      <c r="B2972" t="s">
        <v>2491</v>
      </c>
      <c r="C2972" t="s">
        <v>1936</v>
      </c>
      <c r="D2972" t="s">
        <v>3575</v>
      </c>
      <c r="F2972">
        <v>405</v>
      </c>
      <c r="G2972">
        <v>65</v>
      </c>
      <c r="H2972" t="s">
        <v>662</v>
      </c>
      <c r="I2972" t="s">
        <v>2271</v>
      </c>
      <c r="J2972">
        <v>1067625</v>
      </c>
      <c r="K2972">
        <v>2025</v>
      </c>
      <c r="L2972">
        <v>1128436270</v>
      </c>
      <c r="M2972" t="s">
        <v>4138</v>
      </c>
      <c r="N2972" t="s">
        <v>1688</v>
      </c>
      <c r="O2972" t="s">
        <v>1686</v>
      </c>
      <c r="P2972">
        <v>0</v>
      </c>
      <c r="Q2972">
        <v>1067625</v>
      </c>
      <c r="R2972">
        <v>0</v>
      </c>
      <c r="S2972">
        <v>0</v>
      </c>
      <c r="T2972" t="str">
        <f t="shared" si="92"/>
        <v>27702.43.4302.85.0-205128.2.3.3.08.06.</v>
      </c>
      <c r="U2972" t="e" cm="1">
        <f t="array" aca="1" ref="U2972" ca="1">+IF(COMPROMISOS_2025[[#This Row],[P]]="20","41080111",_xlfn.XLOOKUP(COMPROMISOS_2025[[#This Row],[concatenado]],PAA[[#All],[RCP-RUBRO]],PAA[[#All],[INDICADOR]],"",0))</f>
        <v>#NAME?</v>
      </c>
      <c r="V2972" s="144" t="str">
        <f t="shared" si="93"/>
        <v>85</v>
      </c>
      <c r="W2972" s="136">
        <f>+COMPROMISOS_2025[[#This Row],[valor_total]]-COMPROMISOS_2025[[#This Row],[total_cancelado]]</f>
        <v>1067625</v>
      </c>
      <c r="X2972" s="136">
        <f>COMPROMISOS_2025[[#This Row],[total_ordenes]]</f>
        <v>1067625</v>
      </c>
      <c r="Y2972" t="str" cm="1">
        <f t="array" aca="1" ref="Y2972" ca="1">IFERROR(_xlfn.XLOOKUP(COMPROMISOS_2025[[#This Row],[concatenado]],PAA[[#All],[RCP-RUBRO]],PAA[[#All],[Actividad3]],VLOOKUP(COMPROMISOS_2025[[#This Row],[Indicador Principal]],$AC$2:$AD$17,2,0),0),"")</f>
        <v/>
      </c>
    </row>
    <row r="2973" spans="1:25" hidden="1" x14ac:dyDescent="0.25">
      <c r="A2973">
        <v>2771</v>
      </c>
      <c r="B2973" t="s">
        <v>2491</v>
      </c>
      <c r="C2973" t="s">
        <v>1936</v>
      </c>
      <c r="D2973" t="s">
        <v>3575</v>
      </c>
      <c r="F2973">
        <v>405</v>
      </c>
      <c r="G2973">
        <v>65</v>
      </c>
      <c r="H2973" t="s">
        <v>662</v>
      </c>
      <c r="I2973" t="s">
        <v>2271</v>
      </c>
      <c r="J2973">
        <v>711750</v>
      </c>
      <c r="K2973">
        <v>2025</v>
      </c>
      <c r="L2973">
        <v>1128436361</v>
      </c>
      <c r="M2973" t="s">
        <v>4139</v>
      </c>
      <c r="N2973" t="s">
        <v>1688</v>
      </c>
      <c r="O2973" t="s">
        <v>1686</v>
      </c>
      <c r="P2973">
        <v>0</v>
      </c>
      <c r="Q2973">
        <v>711750</v>
      </c>
      <c r="R2973">
        <v>0</v>
      </c>
      <c r="S2973">
        <v>0</v>
      </c>
      <c r="T2973" t="str">
        <f t="shared" si="92"/>
        <v>27712.43.4302.85.0-205128.2.3.3.08.06.</v>
      </c>
      <c r="U2973" t="e" cm="1">
        <f t="array" aca="1" ref="U2973" ca="1">+IF(COMPROMISOS_2025[[#This Row],[P]]="20","41080111",_xlfn.XLOOKUP(COMPROMISOS_2025[[#This Row],[concatenado]],PAA[[#All],[RCP-RUBRO]],PAA[[#All],[INDICADOR]],"",0))</f>
        <v>#NAME?</v>
      </c>
      <c r="V2973" s="144" t="str">
        <f t="shared" si="93"/>
        <v>85</v>
      </c>
      <c r="W2973" s="136">
        <f>+COMPROMISOS_2025[[#This Row],[valor_total]]-COMPROMISOS_2025[[#This Row],[total_cancelado]]</f>
        <v>711750</v>
      </c>
      <c r="X2973" s="136">
        <f>COMPROMISOS_2025[[#This Row],[total_ordenes]]</f>
        <v>711750</v>
      </c>
      <c r="Y2973" t="str" cm="1">
        <f t="array" aca="1" ref="Y2973" ca="1">IFERROR(_xlfn.XLOOKUP(COMPROMISOS_2025[[#This Row],[concatenado]],PAA[[#All],[RCP-RUBRO]],PAA[[#All],[Actividad3]],VLOOKUP(COMPROMISOS_2025[[#This Row],[Indicador Principal]],$AC$2:$AD$17,2,0),0),"")</f>
        <v/>
      </c>
    </row>
    <row r="2974" spans="1:25" hidden="1" x14ac:dyDescent="0.25">
      <c r="A2974">
        <v>2772</v>
      </c>
      <c r="B2974" t="s">
        <v>2491</v>
      </c>
      <c r="C2974" t="s">
        <v>1936</v>
      </c>
      <c r="D2974" t="s">
        <v>3575</v>
      </c>
      <c r="F2974">
        <v>405</v>
      </c>
      <c r="G2974">
        <v>65</v>
      </c>
      <c r="H2974" t="s">
        <v>662</v>
      </c>
      <c r="I2974" t="s">
        <v>2271</v>
      </c>
      <c r="J2974">
        <v>2847000</v>
      </c>
      <c r="K2974">
        <v>2025</v>
      </c>
      <c r="L2974">
        <v>1128458818</v>
      </c>
      <c r="M2974" t="s">
        <v>4140</v>
      </c>
      <c r="N2974" t="s">
        <v>1688</v>
      </c>
      <c r="O2974" t="s">
        <v>1686</v>
      </c>
      <c r="P2974">
        <v>0</v>
      </c>
      <c r="Q2974">
        <v>2847000</v>
      </c>
      <c r="R2974">
        <v>0</v>
      </c>
      <c r="S2974">
        <v>0</v>
      </c>
      <c r="T2974" t="str">
        <f t="shared" si="92"/>
        <v>27722.43.4302.85.0-205128.2.3.3.08.06.</v>
      </c>
      <c r="U2974" t="e" cm="1">
        <f t="array" aca="1" ref="U2974" ca="1">+IF(COMPROMISOS_2025[[#This Row],[P]]="20","41080111",_xlfn.XLOOKUP(COMPROMISOS_2025[[#This Row],[concatenado]],PAA[[#All],[RCP-RUBRO]],PAA[[#All],[INDICADOR]],"",0))</f>
        <v>#NAME?</v>
      </c>
      <c r="V2974" s="144" t="str">
        <f t="shared" si="93"/>
        <v>85</v>
      </c>
      <c r="W2974" s="136">
        <f>+COMPROMISOS_2025[[#This Row],[valor_total]]-COMPROMISOS_2025[[#This Row],[total_cancelado]]</f>
        <v>2847000</v>
      </c>
      <c r="X2974" s="136">
        <f>COMPROMISOS_2025[[#This Row],[total_ordenes]]</f>
        <v>2847000</v>
      </c>
      <c r="Y2974" t="str" cm="1">
        <f t="array" aca="1" ref="Y2974" ca="1">IFERROR(_xlfn.XLOOKUP(COMPROMISOS_2025[[#This Row],[concatenado]],PAA[[#All],[RCP-RUBRO]],PAA[[#All],[Actividad3]],VLOOKUP(COMPROMISOS_2025[[#This Row],[Indicador Principal]],$AC$2:$AD$17,2,0),0),"")</f>
        <v/>
      </c>
    </row>
    <row r="2975" spans="1:25" hidden="1" x14ac:dyDescent="0.25">
      <c r="A2975">
        <v>2773</v>
      </c>
      <c r="B2975" t="s">
        <v>2491</v>
      </c>
      <c r="C2975" t="s">
        <v>1936</v>
      </c>
      <c r="D2975" t="s">
        <v>3575</v>
      </c>
      <c r="F2975">
        <v>405</v>
      </c>
      <c r="G2975">
        <v>65</v>
      </c>
      <c r="H2975" t="s">
        <v>662</v>
      </c>
      <c r="I2975" t="s">
        <v>2271</v>
      </c>
      <c r="J2975">
        <v>1423500</v>
      </c>
      <c r="K2975">
        <v>2025</v>
      </c>
      <c r="L2975">
        <v>1128471723</v>
      </c>
      <c r="M2975" t="s">
        <v>4459</v>
      </c>
      <c r="N2975" t="s">
        <v>1688</v>
      </c>
      <c r="O2975" t="s">
        <v>1686</v>
      </c>
      <c r="P2975">
        <v>0</v>
      </c>
      <c r="Q2975">
        <v>1423500</v>
      </c>
      <c r="R2975">
        <v>0</v>
      </c>
      <c r="S2975">
        <v>0</v>
      </c>
      <c r="T2975" t="str">
        <f t="shared" si="92"/>
        <v>27732.43.4302.85.0-205128.2.3.3.08.06.</v>
      </c>
      <c r="U2975" t="e" cm="1">
        <f t="array" aca="1" ref="U2975" ca="1">+IF(COMPROMISOS_2025[[#This Row],[P]]="20","41080111",_xlfn.XLOOKUP(COMPROMISOS_2025[[#This Row],[concatenado]],PAA[[#All],[RCP-RUBRO]],PAA[[#All],[INDICADOR]],"",0))</f>
        <v>#NAME?</v>
      </c>
      <c r="V2975" s="144" t="str">
        <f t="shared" si="93"/>
        <v>85</v>
      </c>
      <c r="W2975" s="136">
        <f>+COMPROMISOS_2025[[#This Row],[valor_total]]-COMPROMISOS_2025[[#This Row],[total_cancelado]]</f>
        <v>1423500</v>
      </c>
      <c r="X2975" s="136">
        <f>COMPROMISOS_2025[[#This Row],[total_ordenes]]</f>
        <v>1423500</v>
      </c>
      <c r="Y2975" t="str" cm="1">
        <f t="array" aca="1" ref="Y2975" ca="1">IFERROR(_xlfn.XLOOKUP(COMPROMISOS_2025[[#This Row],[concatenado]],PAA[[#All],[RCP-RUBRO]],PAA[[#All],[Actividad3]],VLOOKUP(COMPROMISOS_2025[[#This Row],[Indicador Principal]],$AC$2:$AD$17,2,0),0),"")</f>
        <v/>
      </c>
    </row>
    <row r="2976" spans="1:25" hidden="1" x14ac:dyDescent="0.25">
      <c r="A2976">
        <v>2774</v>
      </c>
      <c r="B2976" t="s">
        <v>2491</v>
      </c>
      <c r="C2976" t="s">
        <v>1936</v>
      </c>
      <c r="D2976" t="s">
        <v>3575</v>
      </c>
      <c r="F2976">
        <v>405</v>
      </c>
      <c r="G2976">
        <v>65</v>
      </c>
      <c r="H2976" t="s">
        <v>662</v>
      </c>
      <c r="I2976" t="s">
        <v>2271</v>
      </c>
      <c r="J2976">
        <v>1423500</v>
      </c>
      <c r="K2976">
        <v>2025</v>
      </c>
      <c r="L2976">
        <v>1129044029</v>
      </c>
      <c r="M2976" t="s">
        <v>4180</v>
      </c>
      <c r="N2976" t="s">
        <v>1688</v>
      </c>
      <c r="O2976" t="s">
        <v>1686</v>
      </c>
      <c r="P2976">
        <v>0</v>
      </c>
      <c r="Q2976">
        <v>1423500</v>
      </c>
      <c r="R2976">
        <v>0</v>
      </c>
      <c r="S2976">
        <v>0</v>
      </c>
      <c r="T2976" t="str">
        <f t="shared" si="92"/>
        <v>27742.43.4302.85.0-205128.2.3.3.08.06.</v>
      </c>
      <c r="U2976" t="e" cm="1">
        <f t="array" aca="1" ref="U2976" ca="1">+IF(COMPROMISOS_2025[[#This Row],[P]]="20","41080111",_xlfn.XLOOKUP(COMPROMISOS_2025[[#This Row],[concatenado]],PAA[[#All],[RCP-RUBRO]],PAA[[#All],[INDICADOR]],"",0))</f>
        <v>#NAME?</v>
      </c>
      <c r="V2976" s="144" t="str">
        <f t="shared" si="93"/>
        <v>85</v>
      </c>
      <c r="W2976" s="136">
        <f>+COMPROMISOS_2025[[#This Row],[valor_total]]-COMPROMISOS_2025[[#This Row],[total_cancelado]]</f>
        <v>1423500</v>
      </c>
      <c r="X2976" s="136">
        <f>COMPROMISOS_2025[[#This Row],[total_ordenes]]</f>
        <v>1423500</v>
      </c>
      <c r="Y2976" t="str" cm="1">
        <f t="array" aca="1" ref="Y2976" ca="1">IFERROR(_xlfn.XLOOKUP(COMPROMISOS_2025[[#This Row],[concatenado]],PAA[[#All],[RCP-RUBRO]],PAA[[#All],[Actividad3]],VLOOKUP(COMPROMISOS_2025[[#This Row],[Indicador Principal]],$AC$2:$AD$17,2,0),0),"")</f>
        <v/>
      </c>
    </row>
    <row r="2977" spans="1:25" hidden="1" x14ac:dyDescent="0.25">
      <c r="A2977">
        <v>2777</v>
      </c>
      <c r="B2977" t="s">
        <v>2491</v>
      </c>
      <c r="C2977" t="s">
        <v>1936</v>
      </c>
      <c r="D2977" t="s">
        <v>3575</v>
      </c>
      <c r="F2977">
        <v>405</v>
      </c>
      <c r="G2977">
        <v>65</v>
      </c>
      <c r="H2977" t="s">
        <v>662</v>
      </c>
      <c r="I2977" t="s">
        <v>2271</v>
      </c>
      <c r="J2977">
        <v>5694000</v>
      </c>
      <c r="K2977">
        <v>2025</v>
      </c>
      <c r="L2977">
        <v>1140880543</v>
      </c>
      <c r="M2977" t="s">
        <v>4460</v>
      </c>
      <c r="N2977" t="s">
        <v>1688</v>
      </c>
      <c r="O2977" t="s">
        <v>1686</v>
      </c>
      <c r="P2977">
        <v>0</v>
      </c>
      <c r="Q2977">
        <v>5694000</v>
      </c>
      <c r="R2977">
        <v>0</v>
      </c>
      <c r="S2977">
        <v>0</v>
      </c>
      <c r="T2977" t="str">
        <f t="shared" si="92"/>
        <v>27772.43.4302.85.0-205128.2.3.3.08.06.</v>
      </c>
      <c r="U2977" t="e" cm="1">
        <f t="array" aca="1" ref="U2977" ca="1">+IF(COMPROMISOS_2025[[#This Row],[P]]="20","41080111",_xlfn.XLOOKUP(COMPROMISOS_2025[[#This Row],[concatenado]],PAA[[#All],[RCP-RUBRO]],PAA[[#All],[INDICADOR]],"",0))</f>
        <v>#NAME?</v>
      </c>
      <c r="V2977" s="144" t="str">
        <f t="shared" si="93"/>
        <v>85</v>
      </c>
      <c r="W2977" s="136">
        <f>+COMPROMISOS_2025[[#This Row],[valor_total]]-COMPROMISOS_2025[[#This Row],[total_cancelado]]</f>
        <v>5694000</v>
      </c>
      <c r="X2977" s="136">
        <f>COMPROMISOS_2025[[#This Row],[total_ordenes]]</f>
        <v>5694000</v>
      </c>
      <c r="Y2977" t="str" cm="1">
        <f t="array" aca="1" ref="Y2977" ca="1">IFERROR(_xlfn.XLOOKUP(COMPROMISOS_2025[[#This Row],[concatenado]],PAA[[#All],[RCP-RUBRO]],PAA[[#All],[Actividad3]],VLOOKUP(COMPROMISOS_2025[[#This Row],[Indicador Principal]],$AC$2:$AD$17,2,0),0),"")</f>
        <v/>
      </c>
    </row>
    <row r="2978" spans="1:25" hidden="1" x14ac:dyDescent="0.25">
      <c r="A2978">
        <v>2778</v>
      </c>
      <c r="B2978" t="s">
        <v>2491</v>
      </c>
      <c r="C2978" t="s">
        <v>1936</v>
      </c>
      <c r="D2978" t="s">
        <v>3575</v>
      </c>
      <c r="F2978">
        <v>405</v>
      </c>
      <c r="G2978">
        <v>65</v>
      </c>
      <c r="H2978" t="s">
        <v>662</v>
      </c>
      <c r="I2978" t="s">
        <v>2271</v>
      </c>
      <c r="J2978">
        <v>711750</v>
      </c>
      <c r="K2978">
        <v>2025</v>
      </c>
      <c r="L2978">
        <v>1141325230</v>
      </c>
      <c r="M2978" t="s">
        <v>4461</v>
      </c>
      <c r="N2978" t="s">
        <v>1688</v>
      </c>
      <c r="O2978" t="s">
        <v>1686</v>
      </c>
      <c r="P2978">
        <v>0</v>
      </c>
      <c r="Q2978">
        <v>711750</v>
      </c>
      <c r="R2978">
        <v>0</v>
      </c>
      <c r="S2978">
        <v>0</v>
      </c>
      <c r="T2978" t="str">
        <f t="shared" si="92"/>
        <v>27782.43.4302.85.0-205128.2.3.3.08.06.</v>
      </c>
      <c r="U2978" t="e" cm="1">
        <f t="array" aca="1" ref="U2978" ca="1">+IF(COMPROMISOS_2025[[#This Row],[P]]="20","41080111",_xlfn.XLOOKUP(COMPROMISOS_2025[[#This Row],[concatenado]],PAA[[#All],[RCP-RUBRO]],PAA[[#All],[INDICADOR]],"",0))</f>
        <v>#NAME?</v>
      </c>
      <c r="V2978" s="144" t="str">
        <f t="shared" si="93"/>
        <v>85</v>
      </c>
      <c r="W2978" s="136">
        <f>+COMPROMISOS_2025[[#This Row],[valor_total]]-COMPROMISOS_2025[[#This Row],[total_cancelado]]</f>
        <v>711750</v>
      </c>
      <c r="X2978" s="136">
        <f>COMPROMISOS_2025[[#This Row],[total_ordenes]]</f>
        <v>711750</v>
      </c>
      <c r="Y2978" t="str" cm="1">
        <f t="array" aca="1" ref="Y2978" ca="1">IFERROR(_xlfn.XLOOKUP(COMPROMISOS_2025[[#This Row],[concatenado]],PAA[[#All],[RCP-RUBRO]],PAA[[#All],[Actividad3]],VLOOKUP(COMPROMISOS_2025[[#This Row],[Indicador Principal]],$AC$2:$AD$17,2,0),0),"")</f>
        <v/>
      </c>
    </row>
    <row r="2979" spans="1:25" hidden="1" x14ac:dyDescent="0.25">
      <c r="A2979">
        <v>2780</v>
      </c>
      <c r="B2979" t="s">
        <v>2491</v>
      </c>
      <c r="C2979" t="s">
        <v>1936</v>
      </c>
      <c r="D2979" t="s">
        <v>3575</v>
      </c>
      <c r="F2979">
        <v>405</v>
      </c>
      <c r="G2979">
        <v>65</v>
      </c>
      <c r="H2979" t="s">
        <v>662</v>
      </c>
      <c r="I2979" t="s">
        <v>2271</v>
      </c>
      <c r="J2979">
        <v>711750</v>
      </c>
      <c r="K2979">
        <v>2025</v>
      </c>
      <c r="L2979">
        <v>1142922660</v>
      </c>
      <c r="M2979" t="s">
        <v>4462</v>
      </c>
      <c r="N2979" t="s">
        <v>1688</v>
      </c>
      <c r="O2979" t="s">
        <v>1686</v>
      </c>
      <c r="P2979">
        <v>0</v>
      </c>
      <c r="Q2979">
        <v>711750</v>
      </c>
      <c r="R2979">
        <v>0</v>
      </c>
      <c r="S2979">
        <v>0</v>
      </c>
      <c r="T2979" t="str">
        <f t="shared" si="92"/>
        <v>27802.43.4302.85.0-205128.2.3.3.08.06.</v>
      </c>
      <c r="U2979" t="e" cm="1">
        <f t="array" aca="1" ref="U2979" ca="1">+IF(COMPROMISOS_2025[[#This Row],[P]]="20","41080111",_xlfn.XLOOKUP(COMPROMISOS_2025[[#This Row],[concatenado]],PAA[[#All],[RCP-RUBRO]],PAA[[#All],[INDICADOR]],"",0))</f>
        <v>#NAME?</v>
      </c>
      <c r="V2979" s="144" t="str">
        <f t="shared" si="93"/>
        <v>85</v>
      </c>
      <c r="W2979" s="136">
        <f>+COMPROMISOS_2025[[#This Row],[valor_total]]-COMPROMISOS_2025[[#This Row],[total_cancelado]]</f>
        <v>711750</v>
      </c>
      <c r="X2979" s="136">
        <f>COMPROMISOS_2025[[#This Row],[total_ordenes]]</f>
        <v>711750</v>
      </c>
      <c r="Y2979" t="str" cm="1">
        <f t="array" aca="1" ref="Y2979" ca="1">IFERROR(_xlfn.XLOOKUP(COMPROMISOS_2025[[#This Row],[concatenado]],PAA[[#All],[RCP-RUBRO]],PAA[[#All],[Actividad3]],VLOOKUP(COMPROMISOS_2025[[#This Row],[Indicador Principal]],$AC$2:$AD$17,2,0),0),"")</f>
        <v/>
      </c>
    </row>
    <row r="2980" spans="1:25" hidden="1" x14ac:dyDescent="0.25">
      <c r="A2980">
        <v>2781</v>
      </c>
      <c r="B2980" t="s">
        <v>2491</v>
      </c>
      <c r="C2980" t="s">
        <v>1936</v>
      </c>
      <c r="D2980" t="s">
        <v>3575</v>
      </c>
      <c r="F2980">
        <v>405</v>
      </c>
      <c r="G2980">
        <v>65</v>
      </c>
      <c r="H2980" t="s">
        <v>662</v>
      </c>
      <c r="I2980" t="s">
        <v>2271</v>
      </c>
      <c r="J2980">
        <v>711750</v>
      </c>
      <c r="K2980">
        <v>2025</v>
      </c>
      <c r="L2980">
        <v>1142924105</v>
      </c>
      <c r="M2980" t="s">
        <v>4463</v>
      </c>
      <c r="N2980" t="s">
        <v>1688</v>
      </c>
      <c r="O2980" t="s">
        <v>1686</v>
      </c>
      <c r="P2980">
        <v>0</v>
      </c>
      <c r="Q2980">
        <v>711750</v>
      </c>
      <c r="R2980">
        <v>0</v>
      </c>
      <c r="S2980">
        <v>0</v>
      </c>
      <c r="T2980" t="str">
        <f t="shared" si="92"/>
        <v>27812.43.4302.85.0-205128.2.3.3.08.06.</v>
      </c>
      <c r="U2980" t="e" cm="1">
        <f t="array" aca="1" ref="U2980" ca="1">+IF(COMPROMISOS_2025[[#This Row],[P]]="20","41080111",_xlfn.XLOOKUP(COMPROMISOS_2025[[#This Row],[concatenado]],PAA[[#All],[RCP-RUBRO]],PAA[[#All],[INDICADOR]],"",0))</f>
        <v>#NAME?</v>
      </c>
      <c r="V2980" s="144" t="str">
        <f t="shared" si="93"/>
        <v>85</v>
      </c>
      <c r="W2980" s="136">
        <f>+COMPROMISOS_2025[[#This Row],[valor_total]]-COMPROMISOS_2025[[#This Row],[total_cancelado]]</f>
        <v>711750</v>
      </c>
      <c r="X2980" s="136">
        <f>COMPROMISOS_2025[[#This Row],[total_ordenes]]</f>
        <v>711750</v>
      </c>
      <c r="Y2980" t="str" cm="1">
        <f t="array" aca="1" ref="Y2980" ca="1">IFERROR(_xlfn.XLOOKUP(COMPROMISOS_2025[[#This Row],[concatenado]],PAA[[#All],[RCP-RUBRO]],PAA[[#All],[Actividad3]],VLOOKUP(COMPROMISOS_2025[[#This Row],[Indicador Principal]],$AC$2:$AD$17,2,0),0),"")</f>
        <v/>
      </c>
    </row>
    <row r="2981" spans="1:25" hidden="1" x14ac:dyDescent="0.25">
      <c r="A2981">
        <v>2783</v>
      </c>
      <c r="B2981" t="s">
        <v>2491</v>
      </c>
      <c r="C2981" t="s">
        <v>1936</v>
      </c>
      <c r="D2981" t="s">
        <v>3575</v>
      </c>
      <c r="F2981">
        <v>405</v>
      </c>
      <c r="G2981">
        <v>65</v>
      </c>
      <c r="H2981" t="s">
        <v>662</v>
      </c>
      <c r="I2981" t="s">
        <v>2271</v>
      </c>
      <c r="J2981">
        <v>1067625</v>
      </c>
      <c r="K2981">
        <v>2025</v>
      </c>
      <c r="L2981">
        <v>1143150941</v>
      </c>
      <c r="M2981" t="s">
        <v>4141</v>
      </c>
      <c r="N2981" t="s">
        <v>1688</v>
      </c>
      <c r="O2981" t="s">
        <v>1686</v>
      </c>
      <c r="P2981">
        <v>0</v>
      </c>
      <c r="Q2981">
        <v>1067625</v>
      </c>
      <c r="R2981">
        <v>0</v>
      </c>
      <c r="S2981">
        <v>0</v>
      </c>
      <c r="T2981" t="str">
        <f t="shared" si="92"/>
        <v>27832.43.4302.85.0-205128.2.3.3.08.06.</v>
      </c>
      <c r="U2981" t="e" cm="1">
        <f t="array" aca="1" ref="U2981" ca="1">+IF(COMPROMISOS_2025[[#This Row],[P]]="20","41080111",_xlfn.XLOOKUP(COMPROMISOS_2025[[#This Row],[concatenado]],PAA[[#All],[RCP-RUBRO]],PAA[[#All],[INDICADOR]],"",0))</f>
        <v>#NAME?</v>
      </c>
      <c r="V2981" s="144" t="str">
        <f t="shared" si="93"/>
        <v>85</v>
      </c>
      <c r="W2981" s="136">
        <f>+COMPROMISOS_2025[[#This Row],[valor_total]]-COMPROMISOS_2025[[#This Row],[total_cancelado]]</f>
        <v>1067625</v>
      </c>
      <c r="X2981" s="136">
        <f>COMPROMISOS_2025[[#This Row],[total_ordenes]]</f>
        <v>1067625</v>
      </c>
      <c r="Y2981" t="str" cm="1">
        <f t="array" aca="1" ref="Y2981" ca="1">IFERROR(_xlfn.XLOOKUP(COMPROMISOS_2025[[#This Row],[concatenado]],PAA[[#All],[RCP-RUBRO]],PAA[[#All],[Actividad3]],VLOOKUP(COMPROMISOS_2025[[#This Row],[Indicador Principal]],$AC$2:$AD$17,2,0),0),"")</f>
        <v/>
      </c>
    </row>
    <row r="2982" spans="1:25" hidden="1" x14ac:dyDescent="0.25">
      <c r="A2982">
        <v>2784</v>
      </c>
      <c r="B2982" t="s">
        <v>2491</v>
      </c>
      <c r="C2982" t="s">
        <v>1936</v>
      </c>
      <c r="D2982" t="s">
        <v>3575</v>
      </c>
      <c r="F2982">
        <v>405</v>
      </c>
      <c r="G2982">
        <v>65</v>
      </c>
      <c r="H2982" t="s">
        <v>662</v>
      </c>
      <c r="I2982" t="s">
        <v>2271</v>
      </c>
      <c r="J2982">
        <v>711750</v>
      </c>
      <c r="K2982">
        <v>2025</v>
      </c>
      <c r="L2982">
        <v>1143351287</v>
      </c>
      <c r="M2982" t="s">
        <v>4464</v>
      </c>
      <c r="N2982" t="s">
        <v>1688</v>
      </c>
      <c r="O2982" t="s">
        <v>1686</v>
      </c>
      <c r="P2982">
        <v>0</v>
      </c>
      <c r="Q2982">
        <v>711750</v>
      </c>
      <c r="R2982">
        <v>0</v>
      </c>
      <c r="S2982">
        <v>0</v>
      </c>
      <c r="T2982" t="str">
        <f t="shared" si="92"/>
        <v>27842.43.4302.85.0-205128.2.3.3.08.06.</v>
      </c>
      <c r="U2982" t="e" cm="1">
        <f t="array" aca="1" ref="U2982" ca="1">+IF(COMPROMISOS_2025[[#This Row],[P]]="20","41080111",_xlfn.XLOOKUP(COMPROMISOS_2025[[#This Row],[concatenado]],PAA[[#All],[RCP-RUBRO]],PAA[[#All],[INDICADOR]],"",0))</f>
        <v>#NAME?</v>
      </c>
      <c r="V2982" s="144" t="str">
        <f t="shared" si="93"/>
        <v>85</v>
      </c>
      <c r="W2982" s="136">
        <f>+COMPROMISOS_2025[[#This Row],[valor_total]]-COMPROMISOS_2025[[#This Row],[total_cancelado]]</f>
        <v>711750</v>
      </c>
      <c r="X2982" s="136">
        <f>COMPROMISOS_2025[[#This Row],[total_ordenes]]</f>
        <v>711750</v>
      </c>
      <c r="Y2982" t="str" cm="1">
        <f t="array" aca="1" ref="Y2982" ca="1">IFERROR(_xlfn.XLOOKUP(COMPROMISOS_2025[[#This Row],[concatenado]],PAA[[#All],[RCP-RUBRO]],PAA[[#All],[Actividad3]],VLOOKUP(COMPROMISOS_2025[[#This Row],[Indicador Principal]],$AC$2:$AD$17,2,0),0),"")</f>
        <v/>
      </c>
    </row>
    <row r="2983" spans="1:25" hidden="1" x14ac:dyDescent="0.25">
      <c r="A2983">
        <v>2785</v>
      </c>
      <c r="B2983" t="s">
        <v>2491</v>
      </c>
      <c r="C2983" t="s">
        <v>1936</v>
      </c>
      <c r="D2983" t="s">
        <v>3575</v>
      </c>
      <c r="F2983">
        <v>405</v>
      </c>
      <c r="G2983">
        <v>65</v>
      </c>
      <c r="H2983" t="s">
        <v>662</v>
      </c>
      <c r="I2983" t="s">
        <v>2271</v>
      </c>
      <c r="J2983">
        <v>4270500</v>
      </c>
      <c r="K2983">
        <v>2025</v>
      </c>
      <c r="L2983">
        <v>1143878021</v>
      </c>
      <c r="M2983" t="s">
        <v>4465</v>
      </c>
      <c r="N2983" t="s">
        <v>1688</v>
      </c>
      <c r="O2983" t="s">
        <v>1686</v>
      </c>
      <c r="P2983">
        <v>0</v>
      </c>
      <c r="Q2983">
        <v>4270500</v>
      </c>
      <c r="R2983">
        <v>0</v>
      </c>
      <c r="S2983">
        <v>0</v>
      </c>
      <c r="T2983" t="str">
        <f t="shared" si="92"/>
        <v>27852.43.4302.85.0-205128.2.3.3.08.06.</v>
      </c>
      <c r="U2983" t="e" cm="1">
        <f t="array" aca="1" ref="U2983" ca="1">+IF(COMPROMISOS_2025[[#This Row],[P]]="20","41080111",_xlfn.XLOOKUP(COMPROMISOS_2025[[#This Row],[concatenado]],PAA[[#All],[RCP-RUBRO]],PAA[[#All],[INDICADOR]],"",0))</f>
        <v>#NAME?</v>
      </c>
      <c r="V2983" s="144" t="str">
        <f t="shared" si="93"/>
        <v>85</v>
      </c>
      <c r="W2983" s="136">
        <f>+COMPROMISOS_2025[[#This Row],[valor_total]]-COMPROMISOS_2025[[#This Row],[total_cancelado]]</f>
        <v>4270500</v>
      </c>
      <c r="X2983" s="136">
        <f>COMPROMISOS_2025[[#This Row],[total_ordenes]]</f>
        <v>4270500</v>
      </c>
      <c r="Y2983" t="str" cm="1">
        <f t="array" aca="1" ref="Y2983" ca="1">IFERROR(_xlfn.XLOOKUP(COMPROMISOS_2025[[#This Row],[concatenado]],PAA[[#All],[RCP-RUBRO]],PAA[[#All],[Actividad3]],VLOOKUP(COMPROMISOS_2025[[#This Row],[Indicador Principal]],$AC$2:$AD$17,2,0),0),"")</f>
        <v/>
      </c>
    </row>
    <row r="2984" spans="1:25" hidden="1" x14ac:dyDescent="0.25">
      <c r="A2984">
        <v>2787</v>
      </c>
      <c r="B2984" t="s">
        <v>2491</v>
      </c>
      <c r="C2984" t="s">
        <v>1936</v>
      </c>
      <c r="D2984" t="s">
        <v>3575</v>
      </c>
      <c r="F2984">
        <v>405</v>
      </c>
      <c r="G2984">
        <v>65</v>
      </c>
      <c r="H2984" t="s">
        <v>662</v>
      </c>
      <c r="I2984" t="s">
        <v>2271</v>
      </c>
      <c r="J2984">
        <v>1423500</v>
      </c>
      <c r="K2984">
        <v>2025</v>
      </c>
      <c r="L2984">
        <v>1146436695</v>
      </c>
      <c r="M2984" t="s">
        <v>4466</v>
      </c>
      <c r="N2984" t="s">
        <v>1688</v>
      </c>
      <c r="O2984" t="s">
        <v>1686</v>
      </c>
      <c r="P2984">
        <v>0</v>
      </c>
      <c r="Q2984">
        <v>1423500</v>
      </c>
      <c r="R2984">
        <v>0</v>
      </c>
      <c r="S2984">
        <v>0</v>
      </c>
      <c r="T2984" t="str">
        <f t="shared" si="92"/>
        <v>27872.43.4302.85.0-205128.2.3.3.08.06.</v>
      </c>
      <c r="U2984" t="e" cm="1">
        <f t="array" aca="1" ref="U2984" ca="1">+IF(COMPROMISOS_2025[[#This Row],[P]]="20","41080111",_xlfn.XLOOKUP(COMPROMISOS_2025[[#This Row],[concatenado]],PAA[[#All],[RCP-RUBRO]],PAA[[#All],[INDICADOR]],"",0))</f>
        <v>#NAME?</v>
      </c>
      <c r="V2984" s="144" t="str">
        <f t="shared" si="93"/>
        <v>85</v>
      </c>
      <c r="W2984" s="136">
        <f>+COMPROMISOS_2025[[#This Row],[valor_total]]-COMPROMISOS_2025[[#This Row],[total_cancelado]]</f>
        <v>1423500</v>
      </c>
      <c r="X2984" s="136">
        <f>COMPROMISOS_2025[[#This Row],[total_ordenes]]</f>
        <v>1423500</v>
      </c>
      <c r="Y2984" t="str" cm="1">
        <f t="array" aca="1" ref="Y2984" ca="1">IFERROR(_xlfn.XLOOKUP(COMPROMISOS_2025[[#This Row],[concatenado]],PAA[[#All],[RCP-RUBRO]],PAA[[#All],[Actividad3]],VLOOKUP(COMPROMISOS_2025[[#This Row],[Indicador Principal]],$AC$2:$AD$17,2,0),0),"")</f>
        <v/>
      </c>
    </row>
    <row r="2985" spans="1:25" hidden="1" x14ac:dyDescent="0.25">
      <c r="A2985">
        <v>2788</v>
      </c>
      <c r="B2985" t="s">
        <v>2491</v>
      </c>
      <c r="C2985" t="s">
        <v>1936</v>
      </c>
      <c r="D2985" t="s">
        <v>3575</v>
      </c>
      <c r="F2985">
        <v>405</v>
      </c>
      <c r="G2985">
        <v>65</v>
      </c>
      <c r="H2985" t="s">
        <v>662</v>
      </c>
      <c r="I2985" t="s">
        <v>2271</v>
      </c>
      <c r="J2985">
        <v>711750</v>
      </c>
      <c r="K2985">
        <v>2025</v>
      </c>
      <c r="L2985">
        <v>1146438661</v>
      </c>
      <c r="M2985" t="s">
        <v>4142</v>
      </c>
      <c r="N2985" t="s">
        <v>1688</v>
      </c>
      <c r="O2985" t="s">
        <v>1686</v>
      </c>
      <c r="P2985">
        <v>0</v>
      </c>
      <c r="Q2985">
        <v>711750</v>
      </c>
      <c r="R2985">
        <v>0</v>
      </c>
      <c r="S2985">
        <v>0</v>
      </c>
      <c r="T2985" t="str">
        <f t="shared" si="92"/>
        <v>27882.43.4302.85.0-205128.2.3.3.08.06.</v>
      </c>
      <c r="U2985" t="e" cm="1">
        <f t="array" aca="1" ref="U2985" ca="1">+IF(COMPROMISOS_2025[[#This Row],[P]]="20","41080111",_xlfn.XLOOKUP(COMPROMISOS_2025[[#This Row],[concatenado]],PAA[[#All],[RCP-RUBRO]],PAA[[#All],[INDICADOR]],"",0))</f>
        <v>#NAME?</v>
      </c>
      <c r="V2985" s="144" t="str">
        <f t="shared" si="93"/>
        <v>85</v>
      </c>
      <c r="W2985" s="136">
        <f>+COMPROMISOS_2025[[#This Row],[valor_total]]-COMPROMISOS_2025[[#This Row],[total_cancelado]]</f>
        <v>711750</v>
      </c>
      <c r="X2985" s="136">
        <f>COMPROMISOS_2025[[#This Row],[total_ordenes]]</f>
        <v>711750</v>
      </c>
      <c r="Y2985" t="str" cm="1">
        <f t="array" aca="1" ref="Y2985" ca="1">IFERROR(_xlfn.XLOOKUP(COMPROMISOS_2025[[#This Row],[concatenado]],PAA[[#All],[RCP-RUBRO]],PAA[[#All],[Actividad3]],VLOOKUP(COMPROMISOS_2025[[#This Row],[Indicador Principal]],$AC$2:$AD$17,2,0),0),"")</f>
        <v/>
      </c>
    </row>
    <row r="2986" spans="1:25" hidden="1" x14ac:dyDescent="0.25">
      <c r="A2986">
        <v>2790</v>
      </c>
      <c r="B2986" t="s">
        <v>2491</v>
      </c>
      <c r="C2986" t="s">
        <v>1936</v>
      </c>
      <c r="D2986" t="s">
        <v>3575</v>
      </c>
      <c r="F2986">
        <v>405</v>
      </c>
      <c r="G2986">
        <v>65</v>
      </c>
      <c r="H2986" t="s">
        <v>662</v>
      </c>
      <c r="I2986" t="s">
        <v>2271</v>
      </c>
      <c r="J2986">
        <v>2847000</v>
      </c>
      <c r="K2986">
        <v>2025</v>
      </c>
      <c r="L2986">
        <v>1152185642</v>
      </c>
      <c r="M2986" t="s">
        <v>4143</v>
      </c>
      <c r="N2986" t="s">
        <v>1688</v>
      </c>
      <c r="O2986" t="s">
        <v>1686</v>
      </c>
      <c r="P2986">
        <v>0</v>
      </c>
      <c r="Q2986">
        <v>2847000</v>
      </c>
      <c r="R2986">
        <v>0</v>
      </c>
      <c r="S2986">
        <v>0</v>
      </c>
      <c r="T2986" t="str">
        <f t="shared" si="92"/>
        <v>27902.43.4302.85.0-205128.2.3.3.08.06.</v>
      </c>
      <c r="U2986" t="e" cm="1">
        <f t="array" aca="1" ref="U2986" ca="1">+IF(COMPROMISOS_2025[[#This Row],[P]]="20","41080111",_xlfn.XLOOKUP(COMPROMISOS_2025[[#This Row],[concatenado]],PAA[[#All],[RCP-RUBRO]],PAA[[#All],[INDICADOR]],"",0))</f>
        <v>#NAME?</v>
      </c>
      <c r="V2986" s="144" t="str">
        <f t="shared" si="93"/>
        <v>85</v>
      </c>
      <c r="W2986" s="136">
        <f>+COMPROMISOS_2025[[#This Row],[valor_total]]-COMPROMISOS_2025[[#This Row],[total_cancelado]]</f>
        <v>2847000</v>
      </c>
      <c r="X2986" s="136">
        <f>COMPROMISOS_2025[[#This Row],[total_ordenes]]</f>
        <v>2847000</v>
      </c>
      <c r="Y2986" t="str" cm="1">
        <f t="array" aca="1" ref="Y2986" ca="1">IFERROR(_xlfn.XLOOKUP(COMPROMISOS_2025[[#This Row],[concatenado]],PAA[[#All],[RCP-RUBRO]],PAA[[#All],[Actividad3]],VLOOKUP(COMPROMISOS_2025[[#This Row],[Indicador Principal]],$AC$2:$AD$17,2,0),0),"")</f>
        <v/>
      </c>
    </row>
    <row r="2987" spans="1:25" hidden="1" x14ac:dyDescent="0.25">
      <c r="A2987">
        <v>2792</v>
      </c>
      <c r="B2987" t="s">
        <v>2491</v>
      </c>
      <c r="C2987" t="s">
        <v>1936</v>
      </c>
      <c r="D2987" t="s">
        <v>3575</v>
      </c>
      <c r="F2987">
        <v>405</v>
      </c>
      <c r="G2987">
        <v>65</v>
      </c>
      <c r="H2987" t="s">
        <v>662</v>
      </c>
      <c r="I2987" t="s">
        <v>2271</v>
      </c>
      <c r="J2987">
        <v>1067625</v>
      </c>
      <c r="K2987">
        <v>2025</v>
      </c>
      <c r="L2987">
        <v>1152188126</v>
      </c>
      <c r="M2987" t="s">
        <v>4468</v>
      </c>
      <c r="N2987" t="s">
        <v>1688</v>
      </c>
      <c r="O2987" t="s">
        <v>1686</v>
      </c>
      <c r="P2987">
        <v>0</v>
      </c>
      <c r="Q2987">
        <v>1067625</v>
      </c>
      <c r="R2987">
        <v>0</v>
      </c>
      <c r="S2987">
        <v>0</v>
      </c>
      <c r="T2987" t="str">
        <f t="shared" si="92"/>
        <v>27922.43.4302.85.0-205128.2.3.3.08.06.</v>
      </c>
      <c r="U2987" t="e" cm="1">
        <f t="array" aca="1" ref="U2987" ca="1">+IF(COMPROMISOS_2025[[#This Row],[P]]="20","41080111",_xlfn.XLOOKUP(COMPROMISOS_2025[[#This Row],[concatenado]],PAA[[#All],[RCP-RUBRO]],PAA[[#All],[INDICADOR]],"",0))</f>
        <v>#NAME?</v>
      </c>
      <c r="V2987" s="144" t="str">
        <f t="shared" si="93"/>
        <v>85</v>
      </c>
      <c r="W2987" s="136">
        <f>+COMPROMISOS_2025[[#This Row],[valor_total]]-COMPROMISOS_2025[[#This Row],[total_cancelado]]</f>
        <v>1067625</v>
      </c>
      <c r="X2987" s="136">
        <f>COMPROMISOS_2025[[#This Row],[total_ordenes]]</f>
        <v>1067625</v>
      </c>
      <c r="Y2987" t="str" cm="1">
        <f t="array" aca="1" ref="Y2987" ca="1">IFERROR(_xlfn.XLOOKUP(COMPROMISOS_2025[[#This Row],[concatenado]],PAA[[#All],[RCP-RUBRO]],PAA[[#All],[Actividad3]],VLOOKUP(COMPROMISOS_2025[[#This Row],[Indicador Principal]],$AC$2:$AD$17,2,0),0),"")</f>
        <v/>
      </c>
    </row>
    <row r="2988" spans="1:25" hidden="1" x14ac:dyDescent="0.25">
      <c r="A2988">
        <v>2797</v>
      </c>
      <c r="B2988" t="s">
        <v>2491</v>
      </c>
      <c r="C2988" t="s">
        <v>1936</v>
      </c>
      <c r="D2988" t="s">
        <v>3575</v>
      </c>
      <c r="F2988">
        <v>405</v>
      </c>
      <c r="G2988">
        <v>65</v>
      </c>
      <c r="H2988" t="s">
        <v>662</v>
      </c>
      <c r="I2988" t="s">
        <v>2271</v>
      </c>
      <c r="J2988">
        <v>2847000</v>
      </c>
      <c r="K2988">
        <v>2025</v>
      </c>
      <c r="L2988">
        <v>1152205610</v>
      </c>
      <c r="M2988" t="s">
        <v>4144</v>
      </c>
      <c r="N2988" t="s">
        <v>1688</v>
      </c>
      <c r="O2988" t="s">
        <v>1686</v>
      </c>
      <c r="P2988">
        <v>0</v>
      </c>
      <c r="Q2988">
        <v>2847000</v>
      </c>
      <c r="R2988">
        <v>0</v>
      </c>
      <c r="S2988">
        <v>0</v>
      </c>
      <c r="T2988" t="str">
        <f t="shared" si="92"/>
        <v>27972.43.4302.85.0-205128.2.3.3.08.06.</v>
      </c>
      <c r="U2988" t="e" cm="1">
        <f t="array" aca="1" ref="U2988" ca="1">+IF(COMPROMISOS_2025[[#This Row],[P]]="20","41080111",_xlfn.XLOOKUP(COMPROMISOS_2025[[#This Row],[concatenado]],PAA[[#All],[RCP-RUBRO]],PAA[[#All],[INDICADOR]],"",0))</f>
        <v>#NAME?</v>
      </c>
      <c r="V2988" s="144" t="str">
        <f t="shared" si="93"/>
        <v>85</v>
      </c>
      <c r="W2988" s="136">
        <f>+COMPROMISOS_2025[[#This Row],[valor_total]]-COMPROMISOS_2025[[#This Row],[total_cancelado]]</f>
        <v>2847000</v>
      </c>
      <c r="X2988" s="136">
        <f>COMPROMISOS_2025[[#This Row],[total_ordenes]]</f>
        <v>2847000</v>
      </c>
      <c r="Y2988" t="str" cm="1">
        <f t="array" aca="1" ref="Y2988" ca="1">IFERROR(_xlfn.XLOOKUP(COMPROMISOS_2025[[#This Row],[concatenado]],PAA[[#All],[RCP-RUBRO]],PAA[[#All],[Actividad3]],VLOOKUP(COMPROMISOS_2025[[#This Row],[Indicador Principal]],$AC$2:$AD$17,2,0),0),"")</f>
        <v/>
      </c>
    </row>
    <row r="2989" spans="1:25" hidden="1" x14ac:dyDescent="0.25">
      <c r="A2989">
        <v>2798</v>
      </c>
      <c r="B2989" t="s">
        <v>2491</v>
      </c>
      <c r="C2989" t="s">
        <v>1936</v>
      </c>
      <c r="D2989" t="s">
        <v>3575</v>
      </c>
      <c r="F2989">
        <v>405</v>
      </c>
      <c r="G2989">
        <v>65</v>
      </c>
      <c r="H2989" t="s">
        <v>662</v>
      </c>
      <c r="I2989" t="s">
        <v>2271</v>
      </c>
      <c r="J2989">
        <v>1423500</v>
      </c>
      <c r="K2989">
        <v>2025</v>
      </c>
      <c r="L2989">
        <v>1152208585</v>
      </c>
      <c r="M2989" t="s">
        <v>4145</v>
      </c>
      <c r="N2989" t="s">
        <v>1688</v>
      </c>
      <c r="O2989" t="s">
        <v>1686</v>
      </c>
      <c r="P2989">
        <v>0</v>
      </c>
      <c r="Q2989">
        <v>1423500</v>
      </c>
      <c r="R2989">
        <v>0</v>
      </c>
      <c r="S2989">
        <v>0</v>
      </c>
      <c r="T2989" t="str">
        <f t="shared" si="92"/>
        <v>27982.43.4302.85.0-205128.2.3.3.08.06.</v>
      </c>
      <c r="U2989" t="e" cm="1">
        <f t="array" aca="1" ref="U2989" ca="1">+IF(COMPROMISOS_2025[[#This Row],[P]]="20","41080111",_xlfn.XLOOKUP(COMPROMISOS_2025[[#This Row],[concatenado]],PAA[[#All],[RCP-RUBRO]],PAA[[#All],[INDICADOR]],"",0))</f>
        <v>#NAME?</v>
      </c>
      <c r="V2989" s="144" t="str">
        <f t="shared" si="93"/>
        <v>85</v>
      </c>
      <c r="W2989" s="136">
        <f>+COMPROMISOS_2025[[#This Row],[valor_total]]-COMPROMISOS_2025[[#This Row],[total_cancelado]]</f>
        <v>1423500</v>
      </c>
      <c r="X2989" s="136">
        <f>COMPROMISOS_2025[[#This Row],[total_ordenes]]</f>
        <v>1423500</v>
      </c>
      <c r="Y2989" t="str" cm="1">
        <f t="array" aca="1" ref="Y2989" ca="1">IFERROR(_xlfn.XLOOKUP(COMPROMISOS_2025[[#This Row],[concatenado]],PAA[[#All],[RCP-RUBRO]],PAA[[#All],[Actividad3]],VLOOKUP(COMPROMISOS_2025[[#This Row],[Indicador Principal]],$AC$2:$AD$17,2,0),0),"")</f>
        <v/>
      </c>
    </row>
    <row r="2990" spans="1:25" hidden="1" x14ac:dyDescent="0.25">
      <c r="A2990">
        <v>2799</v>
      </c>
      <c r="B2990" t="s">
        <v>2491</v>
      </c>
      <c r="C2990" t="s">
        <v>1936</v>
      </c>
      <c r="D2990" t="s">
        <v>3575</v>
      </c>
      <c r="F2990">
        <v>405</v>
      </c>
      <c r="G2990">
        <v>65</v>
      </c>
      <c r="H2990" t="s">
        <v>662</v>
      </c>
      <c r="I2990" t="s">
        <v>2271</v>
      </c>
      <c r="J2990">
        <v>1423500</v>
      </c>
      <c r="K2990">
        <v>2025</v>
      </c>
      <c r="L2990">
        <v>1152211514</v>
      </c>
      <c r="M2990" t="s">
        <v>4146</v>
      </c>
      <c r="N2990" t="s">
        <v>1688</v>
      </c>
      <c r="O2990" t="s">
        <v>1686</v>
      </c>
      <c r="P2990">
        <v>0</v>
      </c>
      <c r="Q2990">
        <v>1423500</v>
      </c>
      <c r="R2990">
        <v>0</v>
      </c>
      <c r="S2990">
        <v>0</v>
      </c>
      <c r="T2990" t="str">
        <f t="shared" si="92"/>
        <v>27992.43.4302.85.0-205128.2.3.3.08.06.</v>
      </c>
      <c r="U2990" t="e" cm="1">
        <f t="array" aca="1" ref="U2990" ca="1">+IF(COMPROMISOS_2025[[#This Row],[P]]="20","41080111",_xlfn.XLOOKUP(COMPROMISOS_2025[[#This Row],[concatenado]],PAA[[#All],[RCP-RUBRO]],PAA[[#All],[INDICADOR]],"",0))</f>
        <v>#NAME?</v>
      </c>
      <c r="V2990" s="144" t="str">
        <f t="shared" si="93"/>
        <v>85</v>
      </c>
      <c r="W2990" s="136">
        <f>+COMPROMISOS_2025[[#This Row],[valor_total]]-COMPROMISOS_2025[[#This Row],[total_cancelado]]</f>
        <v>1423500</v>
      </c>
      <c r="X2990" s="136">
        <f>COMPROMISOS_2025[[#This Row],[total_ordenes]]</f>
        <v>1423500</v>
      </c>
      <c r="Y2990" t="str" cm="1">
        <f t="array" aca="1" ref="Y2990" ca="1">IFERROR(_xlfn.XLOOKUP(COMPROMISOS_2025[[#This Row],[concatenado]],PAA[[#All],[RCP-RUBRO]],PAA[[#All],[Actividad3]],VLOOKUP(COMPROMISOS_2025[[#This Row],[Indicador Principal]],$AC$2:$AD$17,2,0),0),"")</f>
        <v/>
      </c>
    </row>
    <row r="2991" spans="1:25" hidden="1" x14ac:dyDescent="0.25">
      <c r="A2991">
        <v>2800</v>
      </c>
      <c r="B2991" t="s">
        <v>2491</v>
      </c>
      <c r="C2991" t="s">
        <v>1936</v>
      </c>
      <c r="D2991" t="s">
        <v>3575</v>
      </c>
      <c r="F2991">
        <v>405</v>
      </c>
      <c r="G2991">
        <v>65</v>
      </c>
      <c r="H2991" t="s">
        <v>662</v>
      </c>
      <c r="I2991" t="s">
        <v>2271</v>
      </c>
      <c r="J2991">
        <v>2847000</v>
      </c>
      <c r="K2991">
        <v>2025</v>
      </c>
      <c r="L2991">
        <v>1152217727</v>
      </c>
      <c r="M2991" t="s">
        <v>4469</v>
      </c>
      <c r="N2991" t="s">
        <v>1688</v>
      </c>
      <c r="O2991" t="s">
        <v>1686</v>
      </c>
      <c r="P2991">
        <v>0</v>
      </c>
      <c r="Q2991">
        <v>2847000</v>
      </c>
      <c r="R2991">
        <v>0</v>
      </c>
      <c r="S2991">
        <v>0</v>
      </c>
      <c r="T2991" t="str">
        <f t="shared" si="92"/>
        <v>28002.43.4302.85.0-205128.2.3.3.08.06.</v>
      </c>
      <c r="U2991" t="e" cm="1">
        <f t="array" aca="1" ref="U2991" ca="1">+IF(COMPROMISOS_2025[[#This Row],[P]]="20","41080111",_xlfn.XLOOKUP(COMPROMISOS_2025[[#This Row],[concatenado]],PAA[[#All],[RCP-RUBRO]],PAA[[#All],[INDICADOR]],"",0))</f>
        <v>#NAME?</v>
      </c>
      <c r="V2991" s="144" t="str">
        <f t="shared" si="93"/>
        <v>85</v>
      </c>
      <c r="W2991" s="136">
        <f>+COMPROMISOS_2025[[#This Row],[valor_total]]-COMPROMISOS_2025[[#This Row],[total_cancelado]]</f>
        <v>2847000</v>
      </c>
      <c r="X2991" s="136">
        <f>COMPROMISOS_2025[[#This Row],[total_ordenes]]</f>
        <v>2847000</v>
      </c>
      <c r="Y2991" t="str" cm="1">
        <f t="array" aca="1" ref="Y2991" ca="1">IFERROR(_xlfn.XLOOKUP(COMPROMISOS_2025[[#This Row],[concatenado]],PAA[[#All],[RCP-RUBRO]],PAA[[#All],[Actividad3]],VLOOKUP(COMPROMISOS_2025[[#This Row],[Indicador Principal]],$AC$2:$AD$17,2,0),0),"")</f>
        <v/>
      </c>
    </row>
    <row r="2992" spans="1:25" hidden="1" x14ac:dyDescent="0.25">
      <c r="A2992">
        <v>2802</v>
      </c>
      <c r="B2992" t="s">
        <v>2491</v>
      </c>
      <c r="C2992" t="s">
        <v>1936</v>
      </c>
      <c r="D2992" t="s">
        <v>3575</v>
      </c>
      <c r="F2992">
        <v>405</v>
      </c>
      <c r="G2992">
        <v>65</v>
      </c>
      <c r="H2992" t="s">
        <v>662</v>
      </c>
      <c r="I2992" t="s">
        <v>2271</v>
      </c>
      <c r="J2992">
        <v>4270500</v>
      </c>
      <c r="K2992">
        <v>2025</v>
      </c>
      <c r="L2992">
        <v>1152219617</v>
      </c>
      <c r="M2992" t="s">
        <v>4470</v>
      </c>
      <c r="N2992" t="s">
        <v>1688</v>
      </c>
      <c r="O2992" t="s">
        <v>1686</v>
      </c>
      <c r="P2992">
        <v>0</v>
      </c>
      <c r="Q2992">
        <v>4270500</v>
      </c>
      <c r="R2992">
        <v>0</v>
      </c>
      <c r="S2992">
        <v>0</v>
      </c>
      <c r="T2992" t="str">
        <f t="shared" si="92"/>
        <v>28022.43.4302.85.0-205128.2.3.3.08.06.</v>
      </c>
      <c r="U2992" t="e" cm="1">
        <f t="array" aca="1" ref="U2992" ca="1">+IF(COMPROMISOS_2025[[#This Row],[P]]="20","41080111",_xlfn.XLOOKUP(COMPROMISOS_2025[[#This Row],[concatenado]],PAA[[#All],[RCP-RUBRO]],PAA[[#All],[INDICADOR]],"",0))</f>
        <v>#NAME?</v>
      </c>
      <c r="V2992" s="144" t="str">
        <f t="shared" si="93"/>
        <v>85</v>
      </c>
      <c r="W2992" s="136">
        <f>+COMPROMISOS_2025[[#This Row],[valor_total]]-COMPROMISOS_2025[[#This Row],[total_cancelado]]</f>
        <v>4270500</v>
      </c>
      <c r="X2992" s="136">
        <f>COMPROMISOS_2025[[#This Row],[total_ordenes]]</f>
        <v>4270500</v>
      </c>
      <c r="Y2992" t="str" cm="1">
        <f t="array" aca="1" ref="Y2992" ca="1">IFERROR(_xlfn.XLOOKUP(COMPROMISOS_2025[[#This Row],[concatenado]],PAA[[#All],[RCP-RUBRO]],PAA[[#All],[Actividad3]],VLOOKUP(COMPROMISOS_2025[[#This Row],[Indicador Principal]],$AC$2:$AD$17,2,0),0),"")</f>
        <v/>
      </c>
    </row>
    <row r="2993" spans="1:25" hidden="1" x14ac:dyDescent="0.25">
      <c r="A2993">
        <v>2803</v>
      </c>
      <c r="B2993" t="s">
        <v>2491</v>
      </c>
      <c r="C2993" t="s">
        <v>1936</v>
      </c>
      <c r="D2993" t="s">
        <v>3575</v>
      </c>
      <c r="F2993">
        <v>405</v>
      </c>
      <c r="G2993">
        <v>65</v>
      </c>
      <c r="H2993" t="s">
        <v>662</v>
      </c>
      <c r="I2993" t="s">
        <v>2271</v>
      </c>
      <c r="J2993">
        <v>711750</v>
      </c>
      <c r="K2993">
        <v>2025</v>
      </c>
      <c r="L2993">
        <v>1152219916</v>
      </c>
      <c r="M2993" t="s">
        <v>4471</v>
      </c>
      <c r="N2993" t="s">
        <v>1688</v>
      </c>
      <c r="O2993" t="s">
        <v>1686</v>
      </c>
      <c r="P2993">
        <v>0</v>
      </c>
      <c r="Q2993">
        <v>711750</v>
      </c>
      <c r="R2993">
        <v>0</v>
      </c>
      <c r="S2993">
        <v>0</v>
      </c>
      <c r="T2993" t="str">
        <f t="shared" si="92"/>
        <v>28032.43.4302.85.0-205128.2.3.3.08.06.</v>
      </c>
      <c r="U2993" t="e" cm="1">
        <f t="array" aca="1" ref="U2993" ca="1">+IF(COMPROMISOS_2025[[#This Row],[P]]="20","41080111",_xlfn.XLOOKUP(COMPROMISOS_2025[[#This Row],[concatenado]],PAA[[#All],[RCP-RUBRO]],PAA[[#All],[INDICADOR]],"",0))</f>
        <v>#NAME?</v>
      </c>
      <c r="V2993" s="144" t="str">
        <f t="shared" si="93"/>
        <v>85</v>
      </c>
      <c r="W2993" s="136">
        <f>+COMPROMISOS_2025[[#This Row],[valor_total]]-COMPROMISOS_2025[[#This Row],[total_cancelado]]</f>
        <v>711750</v>
      </c>
      <c r="X2993" s="136">
        <f>COMPROMISOS_2025[[#This Row],[total_ordenes]]</f>
        <v>711750</v>
      </c>
      <c r="Y2993" t="str" cm="1">
        <f t="array" aca="1" ref="Y2993" ca="1">IFERROR(_xlfn.XLOOKUP(COMPROMISOS_2025[[#This Row],[concatenado]],PAA[[#All],[RCP-RUBRO]],PAA[[#All],[Actividad3]],VLOOKUP(COMPROMISOS_2025[[#This Row],[Indicador Principal]],$AC$2:$AD$17,2,0),0),"")</f>
        <v/>
      </c>
    </row>
    <row r="2994" spans="1:25" hidden="1" x14ac:dyDescent="0.25">
      <c r="A2994">
        <v>2804</v>
      </c>
      <c r="B2994" t="s">
        <v>2491</v>
      </c>
      <c r="C2994" t="s">
        <v>1936</v>
      </c>
      <c r="D2994" t="s">
        <v>3575</v>
      </c>
      <c r="F2994">
        <v>405</v>
      </c>
      <c r="G2994">
        <v>65</v>
      </c>
      <c r="H2994" t="s">
        <v>662</v>
      </c>
      <c r="I2994" t="s">
        <v>2271</v>
      </c>
      <c r="J2994">
        <v>711750</v>
      </c>
      <c r="K2994">
        <v>2025</v>
      </c>
      <c r="L2994">
        <v>1152222257</v>
      </c>
      <c r="M2994" t="s">
        <v>4147</v>
      </c>
      <c r="N2994" t="s">
        <v>1688</v>
      </c>
      <c r="O2994" t="s">
        <v>1686</v>
      </c>
      <c r="P2994">
        <v>0</v>
      </c>
      <c r="Q2994">
        <v>711750</v>
      </c>
      <c r="R2994">
        <v>0</v>
      </c>
      <c r="S2994">
        <v>0</v>
      </c>
      <c r="T2994" t="str">
        <f t="shared" si="92"/>
        <v>28042.43.4302.85.0-205128.2.3.3.08.06.</v>
      </c>
      <c r="U2994" t="e" cm="1">
        <f t="array" aca="1" ref="U2994" ca="1">+IF(COMPROMISOS_2025[[#This Row],[P]]="20","41080111",_xlfn.XLOOKUP(COMPROMISOS_2025[[#This Row],[concatenado]],PAA[[#All],[RCP-RUBRO]],PAA[[#All],[INDICADOR]],"",0))</f>
        <v>#NAME?</v>
      </c>
      <c r="V2994" s="144" t="str">
        <f t="shared" si="93"/>
        <v>85</v>
      </c>
      <c r="W2994" s="136">
        <f>+COMPROMISOS_2025[[#This Row],[valor_total]]-COMPROMISOS_2025[[#This Row],[total_cancelado]]</f>
        <v>711750</v>
      </c>
      <c r="X2994" s="136">
        <f>COMPROMISOS_2025[[#This Row],[total_ordenes]]</f>
        <v>711750</v>
      </c>
      <c r="Y2994" t="str" cm="1">
        <f t="array" aca="1" ref="Y2994" ca="1">IFERROR(_xlfn.XLOOKUP(COMPROMISOS_2025[[#This Row],[concatenado]],PAA[[#All],[RCP-RUBRO]],PAA[[#All],[Actividad3]],VLOOKUP(COMPROMISOS_2025[[#This Row],[Indicador Principal]],$AC$2:$AD$17,2,0),0),"")</f>
        <v/>
      </c>
    </row>
    <row r="2995" spans="1:25" hidden="1" x14ac:dyDescent="0.25">
      <c r="A2995">
        <v>2805</v>
      </c>
      <c r="B2995" t="s">
        <v>2491</v>
      </c>
      <c r="C2995" t="s">
        <v>1936</v>
      </c>
      <c r="D2995" t="s">
        <v>3575</v>
      </c>
      <c r="F2995">
        <v>405</v>
      </c>
      <c r="G2995">
        <v>65</v>
      </c>
      <c r="H2995" t="s">
        <v>662</v>
      </c>
      <c r="I2995" t="s">
        <v>2271</v>
      </c>
      <c r="J2995">
        <v>711750</v>
      </c>
      <c r="K2995">
        <v>2025</v>
      </c>
      <c r="L2995">
        <v>1152223367</v>
      </c>
      <c r="M2995" t="s">
        <v>4472</v>
      </c>
      <c r="N2995" t="s">
        <v>1688</v>
      </c>
      <c r="O2995" t="s">
        <v>1686</v>
      </c>
      <c r="P2995">
        <v>0</v>
      </c>
      <c r="Q2995">
        <v>711750</v>
      </c>
      <c r="R2995">
        <v>0</v>
      </c>
      <c r="S2995">
        <v>0</v>
      </c>
      <c r="T2995" t="str">
        <f t="shared" si="92"/>
        <v>28052.43.4302.85.0-205128.2.3.3.08.06.</v>
      </c>
      <c r="U2995" t="e" cm="1">
        <f t="array" aca="1" ref="U2995" ca="1">+IF(COMPROMISOS_2025[[#This Row],[P]]="20","41080111",_xlfn.XLOOKUP(COMPROMISOS_2025[[#This Row],[concatenado]],PAA[[#All],[RCP-RUBRO]],PAA[[#All],[INDICADOR]],"",0))</f>
        <v>#NAME?</v>
      </c>
      <c r="V2995" s="144" t="str">
        <f t="shared" si="93"/>
        <v>85</v>
      </c>
      <c r="W2995" s="136">
        <f>+COMPROMISOS_2025[[#This Row],[valor_total]]-COMPROMISOS_2025[[#This Row],[total_cancelado]]</f>
        <v>711750</v>
      </c>
      <c r="X2995" s="136">
        <f>COMPROMISOS_2025[[#This Row],[total_ordenes]]</f>
        <v>711750</v>
      </c>
      <c r="Y2995" t="str" cm="1">
        <f t="array" aca="1" ref="Y2995" ca="1">IFERROR(_xlfn.XLOOKUP(COMPROMISOS_2025[[#This Row],[concatenado]],PAA[[#All],[RCP-RUBRO]],PAA[[#All],[Actividad3]],VLOOKUP(COMPROMISOS_2025[[#This Row],[Indicador Principal]],$AC$2:$AD$17,2,0),0),"")</f>
        <v/>
      </c>
    </row>
    <row r="2996" spans="1:25" hidden="1" x14ac:dyDescent="0.25">
      <c r="A2996">
        <v>2806</v>
      </c>
      <c r="B2996" t="s">
        <v>2491</v>
      </c>
      <c r="C2996" t="s">
        <v>1936</v>
      </c>
      <c r="D2996" t="s">
        <v>3575</v>
      </c>
      <c r="F2996">
        <v>405</v>
      </c>
      <c r="G2996">
        <v>65</v>
      </c>
      <c r="H2996" t="s">
        <v>662</v>
      </c>
      <c r="I2996" t="s">
        <v>2271</v>
      </c>
      <c r="J2996">
        <v>1423500</v>
      </c>
      <c r="K2996">
        <v>2025</v>
      </c>
      <c r="L2996">
        <v>1152434378</v>
      </c>
      <c r="M2996" t="s">
        <v>4148</v>
      </c>
      <c r="N2996" t="s">
        <v>1688</v>
      </c>
      <c r="O2996" t="s">
        <v>1686</v>
      </c>
      <c r="P2996">
        <v>0</v>
      </c>
      <c r="Q2996">
        <v>1423500</v>
      </c>
      <c r="R2996">
        <v>0</v>
      </c>
      <c r="S2996">
        <v>0</v>
      </c>
      <c r="T2996" t="str">
        <f t="shared" si="92"/>
        <v>28062.43.4302.85.0-205128.2.3.3.08.06.</v>
      </c>
      <c r="U2996" t="e" cm="1">
        <f t="array" aca="1" ref="U2996" ca="1">+IF(COMPROMISOS_2025[[#This Row],[P]]="20","41080111",_xlfn.XLOOKUP(COMPROMISOS_2025[[#This Row],[concatenado]],PAA[[#All],[RCP-RUBRO]],PAA[[#All],[INDICADOR]],"",0))</f>
        <v>#NAME?</v>
      </c>
      <c r="V2996" s="144" t="str">
        <f t="shared" si="93"/>
        <v>85</v>
      </c>
      <c r="W2996" s="136">
        <f>+COMPROMISOS_2025[[#This Row],[valor_total]]-COMPROMISOS_2025[[#This Row],[total_cancelado]]</f>
        <v>1423500</v>
      </c>
      <c r="X2996" s="136">
        <f>COMPROMISOS_2025[[#This Row],[total_ordenes]]</f>
        <v>1423500</v>
      </c>
      <c r="Y2996" t="str" cm="1">
        <f t="array" aca="1" ref="Y2996" ca="1">IFERROR(_xlfn.XLOOKUP(COMPROMISOS_2025[[#This Row],[concatenado]],PAA[[#All],[RCP-RUBRO]],PAA[[#All],[Actividad3]],VLOOKUP(COMPROMISOS_2025[[#This Row],[Indicador Principal]],$AC$2:$AD$17,2,0),0),"")</f>
        <v/>
      </c>
    </row>
    <row r="2997" spans="1:25" hidden="1" x14ac:dyDescent="0.25">
      <c r="A2997">
        <v>2807</v>
      </c>
      <c r="B2997" t="s">
        <v>2491</v>
      </c>
      <c r="C2997" t="s">
        <v>1936</v>
      </c>
      <c r="D2997" t="s">
        <v>3575</v>
      </c>
      <c r="F2997">
        <v>405</v>
      </c>
      <c r="G2997">
        <v>65</v>
      </c>
      <c r="H2997" t="s">
        <v>662</v>
      </c>
      <c r="I2997" t="s">
        <v>2271</v>
      </c>
      <c r="J2997">
        <v>711750</v>
      </c>
      <c r="K2997">
        <v>2025</v>
      </c>
      <c r="L2997">
        <v>1152437888</v>
      </c>
      <c r="M2997" t="s">
        <v>4473</v>
      </c>
      <c r="N2997" t="s">
        <v>1688</v>
      </c>
      <c r="O2997" t="s">
        <v>1686</v>
      </c>
      <c r="P2997">
        <v>0</v>
      </c>
      <c r="Q2997">
        <v>711750</v>
      </c>
      <c r="R2997">
        <v>0</v>
      </c>
      <c r="S2997">
        <v>0</v>
      </c>
      <c r="T2997" t="str">
        <f t="shared" si="92"/>
        <v>28072.43.4302.85.0-205128.2.3.3.08.06.</v>
      </c>
      <c r="U2997" t="e" cm="1">
        <f t="array" aca="1" ref="U2997" ca="1">+IF(COMPROMISOS_2025[[#This Row],[P]]="20","41080111",_xlfn.XLOOKUP(COMPROMISOS_2025[[#This Row],[concatenado]],PAA[[#All],[RCP-RUBRO]],PAA[[#All],[INDICADOR]],"",0))</f>
        <v>#NAME?</v>
      </c>
      <c r="V2997" s="144" t="str">
        <f t="shared" si="93"/>
        <v>85</v>
      </c>
      <c r="W2997" s="136">
        <f>+COMPROMISOS_2025[[#This Row],[valor_total]]-COMPROMISOS_2025[[#This Row],[total_cancelado]]</f>
        <v>711750</v>
      </c>
      <c r="X2997" s="136">
        <f>COMPROMISOS_2025[[#This Row],[total_ordenes]]</f>
        <v>711750</v>
      </c>
      <c r="Y2997" t="str" cm="1">
        <f t="array" aca="1" ref="Y2997" ca="1">IFERROR(_xlfn.XLOOKUP(COMPROMISOS_2025[[#This Row],[concatenado]],PAA[[#All],[RCP-RUBRO]],PAA[[#All],[Actividad3]],VLOOKUP(COMPROMISOS_2025[[#This Row],[Indicador Principal]],$AC$2:$AD$17,2,0),0),"")</f>
        <v/>
      </c>
    </row>
    <row r="2998" spans="1:25" hidden="1" x14ac:dyDescent="0.25">
      <c r="A2998">
        <v>2809</v>
      </c>
      <c r="B2998" t="s">
        <v>2491</v>
      </c>
      <c r="C2998" t="s">
        <v>1936</v>
      </c>
      <c r="D2998" t="s">
        <v>3575</v>
      </c>
      <c r="F2998">
        <v>405</v>
      </c>
      <c r="G2998">
        <v>65</v>
      </c>
      <c r="H2998" t="s">
        <v>662</v>
      </c>
      <c r="I2998" t="s">
        <v>2271</v>
      </c>
      <c r="J2998">
        <v>1423500</v>
      </c>
      <c r="K2998">
        <v>2025</v>
      </c>
      <c r="L2998">
        <v>1152451110</v>
      </c>
      <c r="M2998" t="s">
        <v>4474</v>
      </c>
      <c r="N2998" t="s">
        <v>1688</v>
      </c>
      <c r="O2998" t="s">
        <v>1686</v>
      </c>
      <c r="P2998">
        <v>0</v>
      </c>
      <c r="Q2998">
        <v>1423500</v>
      </c>
      <c r="R2998">
        <v>0</v>
      </c>
      <c r="S2998">
        <v>0</v>
      </c>
      <c r="T2998" t="str">
        <f t="shared" si="92"/>
        <v>28092.43.4302.85.0-205128.2.3.3.08.06.</v>
      </c>
      <c r="U2998" t="e" cm="1">
        <f t="array" aca="1" ref="U2998" ca="1">+IF(COMPROMISOS_2025[[#This Row],[P]]="20","41080111",_xlfn.XLOOKUP(COMPROMISOS_2025[[#This Row],[concatenado]],PAA[[#All],[RCP-RUBRO]],PAA[[#All],[INDICADOR]],"",0))</f>
        <v>#NAME?</v>
      </c>
      <c r="V2998" s="144" t="str">
        <f t="shared" si="93"/>
        <v>85</v>
      </c>
      <c r="W2998" s="136">
        <f>+COMPROMISOS_2025[[#This Row],[valor_total]]-COMPROMISOS_2025[[#This Row],[total_cancelado]]</f>
        <v>1423500</v>
      </c>
      <c r="X2998" s="136">
        <f>COMPROMISOS_2025[[#This Row],[total_ordenes]]</f>
        <v>1423500</v>
      </c>
      <c r="Y2998" t="str" cm="1">
        <f t="array" aca="1" ref="Y2998" ca="1">IFERROR(_xlfn.XLOOKUP(COMPROMISOS_2025[[#This Row],[concatenado]],PAA[[#All],[RCP-RUBRO]],PAA[[#All],[Actividad3]],VLOOKUP(COMPROMISOS_2025[[#This Row],[Indicador Principal]],$AC$2:$AD$17,2,0),0),"")</f>
        <v/>
      </c>
    </row>
    <row r="2999" spans="1:25" hidden="1" x14ac:dyDescent="0.25">
      <c r="A2999">
        <v>2810</v>
      </c>
      <c r="B2999" t="s">
        <v>2491</v>
      </c>
      <c r="C2999" t="s">
        <v>1936</v>
      </c>
      <c r="D2999" t="s">
        <v>3575</v>
      </c>
      <c r="F2999">
        <v>405</v>
      </c>
      <c r="G2999">
        <v>65</v>
      </c>
      <c r="H2999" t="s">
        <v>662</v>
      </c>
      <c r="I2999" t="s">
        <v>2271</v>
      </c>
      <c r="J2999">
        <v>1423500</v>
      </c>
      <c r="K2999">
        <v>2025</v>
      </c>
      <c r="L2999">
        <v>1152452785</v>
      </c>
      <c r="M2999" t="s">
        <v>3085</v>
      </c>
      <c r="N2999" t="s">
        <v>1688</v>
      </c>
      <c r="O2999" t="s">
        <v>1686</v>
      </c>
      <c r="P2999">
        <v>0</v>
      </c>
      <c r="Q2999">
        <v>1423500</v>
      </c>
      <c r="R2999">
        <v>0</v>
      </c>
      <c r="S2999">
        <v>0</v>
      </c>
      <c r="T2999" t="str">
        <f t="shared" si="92"/>
        <v>28102.43.4302.85.0-205128.2.3.3.08.06.</v>
      </c>
      <c r="U2999" t="e" cm="1">
        <f t="array" aca="1" ref="U2999" ca="1">+IF(COMPROMISOS_2025[[#This Row],[P]]="20","41080111",_xlfn.XLOOKUP(COMPROMISOS_2025[[#This Row],[concatenado]],PAA[[#All],[RCP-RUBRO]],PAA[[#All],[INDICADOR]],"",0))</f>
        <v>#NAME?</v>
      </c>
      <c r="V2999" s="144" t="str">
        <f t="shared" si="93"/>
        <v>85</v>
      </c>
      <c r="W2999" s="136">
        <f>+COMPROMISOS_2025[[#This Row],[valor_total]]-COMPROMISOS_2025[[#This Row],[total_cancelado]]</f>
        <v>1423500</v>
      </c>
      <c r="X2999" s="136">
        <f>COMPROMISOS_2025[[#This Row],[total_ordenes]]</f>
        <v>1423500</v>
      </c>
      <c r="Y2999" t="str" cm="1">
        <f t="array" aca="1" ref="Y2999" ca="1">IFERROR(_xlfn.XLOOKUP(COMPROMISOS_2025[[#This Row],[concatenado]],PAA[[#All],[RCP-RUBRO]],PAA[[#All],[Actividad3]],VLOOKUP(COMPROMISOS_2025[[#This Row],[Indicador Principal]],$AC$2:$AD$17,2,0),0),"")</f>
        <v/>
      </c>
    </row>
    <row r="3000" spans="1:25" hidden="1" x14ac:dyDescent="0.25">
      <c r="A3000">
        <v>2811</v>
      </c>
      <c r="B3000" t="s">
        <v>2491</v>
      </c>
      <c r="C3000" t="s">
        <v>1936</v>
      </c>
      <c r="D3000" t="s">
        <v>3575</v>
      </c>
      <c r="F3000">
        <v>405</v>
      </c>
      <c r="G3000">
        <v>65</v>
      </c>
      <c r="H3000" t="s">
        <v>662</v>
      </c>
      <c r="I3000" t="s">
        <v>2271</v>
      </c>
      <c r="J3000">
        <v>1423500</v>
      </c>
      <c r="K3000">
        <v>2025</v>
      </c>
      <c r="L3000">
        <v>1152455669</v>
      </c>
      <c r="M3000" t="s">
        <v>4475</v>
      </c>
      <c r="N3000" t="s">
        <v>1688</v>
      </c>
      <c r="O3000" t="s">
        <v>1686</v>
      </c>
      <c r="P3000">
        <v>0</v>
      </c>
      <c r="Q3000">
        <v>1423500</v>
      </c>
      <c r="R3000">
        <v>0</v>
      </c>
      <c r="S3000">
        <v>0</v>
      </c>
      <c r="T3000" t="str">
        <f t="shared" si="92"/>
        <v>28112.43.4302.85.0-205128.2.3.3.08.06.</v>
      </c>
      <c r="U3000" t="e" cm="1">
        <f t="array" aca="1" ref="U3000" ca="1">+IF(COMPROMISOS_2025[[#This Row],[P]]="20","41080111",_xlfn.XLOOKUP(COMPROMISOS_2025[[#This Row],[concatenado]],PAA[[#All],[RCP-RUBRO]],PAA[[#All],[INDICADOR]],"",0))</f>
        <v>#NAME?</v>
      </c>
      <c r="V3000" s="144" t="str">
        <f t="shared" si="93"/>
        <v>85</v>
      </c>
      <c r="W3000" s="136">
        <f>+COMPROMISOS_2025[[#This Row],[valor_total]]-COMPROMISOS_2025[[#This Row],[total_cancelado]]</f>
        <v>1423500</v>
      </c>
      <c r="X3000" s="136">
        <f>COMPROMISOS_2025[[#This Row],[total_ordenes]]</f>
        <v>1423500</v>
      </c>
      <c r="Y3000" t="str" cm="1">
        <f t="array" aca="1" ref="Y3000" ca="1">IFERROR(_xlfn.XLOOKUP(COMPROMISOS_2025[[#This Row],[concatenado]],PAA[[#All],[RCP-RUBRO]],PAA[[#All],[Actividad3]],VLOOKUP(COMPROMISOS_2025[[#This Row],[Indicador Principal]],$AC$2:$AD$17,2,0),0),"")</f>
        <v/>
      </c>
    </row>
    <row r="3001" spans="1:25" hidden="1" x14ac:dyDescent="0.25">
      <c r="A3001">
        <v>2812</v>
      </c>
      <c r="B3001" t="s">
        <v>2491</v>
      </c>
      <c r="C3001" t="s">
        <v>1936</v>
      </c>
      <c r="D3001" t="s">
        <v>3575</v>
      </c>
      <c r="F3001">
        <v>405</v>
      </c>
      <c r="G3001">
        <v>65</v>
      </c>
      <c r="H3001" t="s">
        <v>662</v>
      </c>
      <c r="I3001" t="s">
        <v>2271</v>
      </c>
      <c r="J3001">
        <v>1067625</v>
      </c>
      <c r="K3001">
        <v>2025</v>
      </c>
      <c r="L3001">
        <v>11524677528</v>
      </c>
      <c r="M3001" t="s">
        <v>4476</v>
      </c>
      <c r="N3001" t="s">
        <v>1688</v>
      </c>
      <c r="O3001" t="s">
        <v>1686</v>
      </c>
      <c r="P3001">
        <v>0</v>
      </c>
      <c r="Q3001">
        <v>1067625</v>
      </c>
      <c r="R3001">
        <v>0</v>
      </c>
      <c r="S3001">
        <v>0</v>
      </c>
      <c r="T3001" t="str">
        <f t="shared" si="92"/>
        <v>28122.43.4302.85.0-205128.2.3.3.08.06.</v>
      </c>
      <c r="U3001" t="e" cm="1">
        <f t="array" aca="1" ref="U3001" ca="1">+IF(COMPROMISOS_2025[[#This Row],[P]]="20","41080111",_xlfn.XLOOKUP(COMPROMISOS_2025[[#This Row],[concatenado]],PAA[[#All],[RCP-RUBRO]],PAA[[#All],[INDICADOR]],"",0))</f>
        <v>#NAME?</v>
      </c>
      <c r="V3001" s="144" t="str">
        <f t="shared" si="93"/>
        <v>85</v>
      </c>
      <c r="W3001" s="136">
        <f>+COMPROMISOS_2025[[#This Row],[valor_total]]-COMPROMISOS_2025[[#This Row],[total_cancelado]]</f>
        <v>1067625</v>
      </c>
      <c r="X3001" s="136">
        <f>COMPROMISOS_2025[[#This Row],[total_ordenes]]</f>
        <v>1067625</v>
      </c>
      <c r="Y3001" t="str" cm="1">
        <f t="array" aca="1" ref="Y3001" ca="1">IFERROR(_xlfn.XLOOKUP(COMPROMISOS_2025[[#This Row],[concatenado]],PAA[[#All],[RCP-RUBRO]],PAA[[#All],[Actividad3]],VLOOKUP(COMPROMISOS_2025[[#This Row],[Indicador Principal]],$AC$2:$AD$17,2,0),0),"")</f>
        <v/>
      </c>
    </row>
    <row r="3002" spans="1:25" hidden="1" x14ac:dyDescent="0.25">
      <c r="A3002">
        <v>2813</v>
      </c>
      <c r="B3002" t="s">
        <v>2491</v>
      </c>
      <c r="C3002" t="s">
        <v>1936</v>
      </c>
      <c r="D3002" t="s">
        <v>3575</v>
      </c>
      <c r="F3002">
        <v>405</v>
      </c>
      <c r="G3002">
        <v>65</v>
      </c>
      <c r="H3002" t="s">
        <v>662</v>
      </c>
      <c r="I3002" t="s">
        <v>2271</v>
      </c>
      <c r="J3002">
        <v>2847000</v>
      </c>
      <c r="K3002">
        <v>2025</v>
      </c>
      <c r="L3002">
        <v>1152468812</v>
      </c>
      <c r="M3002" t="s">
        <v>4477</v>
      </c>
      <c r="N3002" t="s">
        <v>1688</v>
      </c>
      <c r="O3002" t="s">
        <v>1686</v>
      </c>
      <c r="P3002">
        <v>0</v>
      </c>
      <c r="Q3002">
        <v>2847000</v>
      </c>
      <c r="R3002">
        <v>0</v>
      </c>
      <c r="S3002">
        <v>0</v>
      </c>
      <c r="T3002" t="str">
        <f t="shared" si="92"/>
        <v>28132.43.4302.85.0-205128.2.3.3.08.06.</v>
      </c>
      <c r="U3002" t="e" cm="1">
        <f t="array" aca="1" ref="U3002" ca="1">+IF(COMPROMISOS_2025[[#This Row],[P]]="20","41080111",_xlfn.XLOOKUP(COMPROMISOS_2025[[#This Row],[concatenado]],PAA[[#All],[RCP-RUBRO]],PAA[[#All],[INDICADOR]],"",0))</f>
        <v>#NAME?</v>
      </c>
      <c r="V3002" s="144" t="str">
        <f t="shared" si="93"/>
        <v>85</v>
      </c>
      <c r="W3002" s="136">
        <f>+COMPROMISOS_2025[[#This Row],[valor_total]]-COMPROMISOS_2025[[#This Row],[total_cancelado]]</f>
        <v>2847000</v>
      </c>
      <c r="X3002" s="136">
        <f>COMPROMISOS_2025[[#This Row],[total_ordenes]]</f>
        <v>2847000</v>
      </c>
      <c r="Y3002" t="str" cm="1">
        <f t="array" aca="1" ref="Y3002" ca="1">IFERROR(_xlfn.XLOOKUP(COMPROMISOS_2025[[#This Row],[concatenado]],PAA[[#All],[RCP-RUBRO]],PAA[[#All],[Actividad3]],VLOOKUP(COMPROMISOS_2025[[#This Row],[Indicador Principal]],$AC$2:$AD$17,2,0),0),"")</f>
        <v/>
      </c>
    </row>
    <row r="3003" spans="1:25" hidden="1" x14ac:dyDescent="0.25">
      <c r="A3003">
        <v>2814</v>
      </c>
      <c r="B3003" t="s">
        <v>2491</v>
      </c>
      <c r="C3003" t="s">
        <v>1936</v>
      </c>
      <c r="D3003" t="s">
        <v>3575</v>
      </c>
      <c r="F3003">
        <v>405</v>
      </c>
      <c r="G3003">
        <v>65</v>
      </c>
      <c r="H3003" t="s">
        <v>662</v>
      </c>
      <c r="I3003" t="s">
        <v>2271</v>
      </c>
      <c r="J3003">
        <v>1067625</v>
      </c>
      <c r="K3003">
        <v>2025</v>
      </c>
      <c r="L3003">
        <v>1152469840</v>
      </c>
      <c r="M3003" t="s">
        <v>4149</v>
      </c>
      <c r="N3003" t="s">
        <v>1688</v>
      </c>
      <c r="O3003" t="s">
        <v>1686</v>
      </c>
      <c r="P3003">
        <v>0</v>
      </c>
      <c r="Q3003">
        <v>1067625</v>
      </c>
      <c r="R3003">
        <v>0</v>
      </c>
      <c r="S3003">
        <v>0</v>
      </c>
      <c r="T3003" t="str">
        <f t="shared" si="92"/>
        <v>28142.43.4302.85.0-205128.2.3.3.08.06.</v>
      </c>
      <c r="U3003" t="e" cm="1">
        <f t="array" aca="1" ref="U3003" ca="1">+IF(COMPROMISOS_2025[[#This Row],[P]]="20","41080111",_xlfn.XLOOKUP(COMPROMISOS_2025[[#This Row],[concatenado]],PAA[[#All],[RCP-RUBRO]],PAA[[#All],[INDICADOR]],"",0))</f>
        <v>#NAME?</v>
      </c>
      <c r="V3003" s="144" t="str">
        <f t="shared" si="93"/>
        <v>85</v>
      </c>
      <c r="W3003" s="136">
        <f>+COMPROMISOS_2025[[#This Row],[valor_total]]-COMPROMISOS_2025[[#This Row],[total_cancelado]]</f>
        <v>1067625</v>
      </c>
      <c r="X3003" s="136">
        <f>COMPROMISOS_2025[[#This Row],[total_ordenes]]</f>
        <v>1067625</v>
      </c>
      <c r="Y3003" t="str" cm="1">
        <f t="array" aca="1" ref="Y3003" ca="1">IFERROR(_xlfn.XLOOKUP(COMPROMISOS_2025[[#This Row],[concatenado]],PAA[[#All],[RCP-RUBRO]],PAA[[#All],[Actividad3]],VLOOKUP(COMPROMISOS_2025[[#This Row],[Indicador Principal]],$AC$2:$AD$17,2,0),0),"")</f>
        <v/>
      </c>
    </row>
    <row r="3004" spans="1:25" hidden="1" x14ac:dyDescent="0.25">
      <c r="A3004">
        <v>2815</v>
      </c>
      <c r="B3004" t="s">
        <v>2491</v>
      </c>
      <c r="C3004" t="s">
        <v>1936</v>
      </c>
      <c r="D3004" t="s">
        <v>3575</v>
      </c>
      <c r="F3004">
        <v>405</v>
      </c>
      <c r="G3004">
        <v>65</v>
      </c>
      <c r="H3004" t="s">
        <v>662</v>
      </c>
      <c r="I3004" t="s">
        <v>2271</v>
      </c>
      <c r="J3004">
        <v>1067625</v>
      </c>
      <c r="K3004">
        <v>2025</v>
      </c>
      <c r="L3004">
        <v>1152470076</v>
      </c>
      <c r="M3004" t="s">
        <v>4478</v>
      </c>
      <c r="N3004" t="s">
        <v>1688</v>
      </c>
      <c r="O3004" t="s">
        <v>1686</v>
      </c>
      <c r="P3004">
        <v>0</v>
      </c>
      <c r="Q3004">
        <v>1067625</v>
      </c>
      <c r="R3004">
        <v>0</v>
      </c>
      <c r="S3004">
        <v>0</v>
      </c>
      <c r="T3004" t="str">
        <f t="shared" si="92"/>
        <v>28152.43.4302.85.0-205128.2.3.3.08.06.</v>
      </c>
      <c r="U3004" t="e" cm="1">
        <f t="array" aca="1" ref="U3004" ca="1">+IF(COMPROMISOS_2025[[#This Row],[P]]="20","41080111",_xlfn.XLOOKUP(COMPROMISOS_2025[[#This Row],[concatenado]],PAA[[#All],[RCP-RUBRO]],PAA[[#All],[INDICADOR]],"",0))</f>
        <v>#NAME?</v>
      </c>
      <c r="V3004" s="144" t="str">
        <f t="shared" si="93"/>
        <v>85</v>
      </c>
      <c r="W3004" s="136">
        <f>+COMPROMISOS_2025[[#This Row],[valor_total]]-COMPROMISOS_2025[[#This Row],[total_cancelado]]</f>
        <v>1067625</v>
      </c>
      <c r="X3004" s="136">
        <f>COMPROMISOS_2025[[#This Row],[total_ordenes]]</f>
        <v>1067625</v>
      </c>
      <c r="Y3004" t="str" cm="1">
        <f t="array" aca="1" ref="Y3004" ca="1">IFERROR(_xlfn.XLOOKUP(COMPROMISOS_2025[[#This Row],[concatenado]],PAA[[#All],[RCP-RUBRO]],PAA[[#All],[Actividad3]],VLOOKUP(COMPROMISOS_2025[[#This Row],[Indicador Principal]],$AC$2:$AD$17,2,0),0),"")</f>
        <v/>
      </c>
    </row>
    <row r="3005" spans="1:25" hidden="1" x14ac:dyDescent="0.25">
      <c r="A3005">
        <v>2816</v>
      </c>
      <c r="B3005" t="s">
        <v>2491</v>
      </c>
      <c r="C3005" t="s">
        <v>1936</v>
      </c>
      <c r="D3005" t="s">
        <v>3575</v>
      </c>
      <c r="F3005">
        <v>405</v>
      </c>
      <c r="G3005">
        <v>65</v>
      </c>
      <c r="H3005" t="s">
        <v>662</v>
      </c>
      <c r="I3005" t="s">
        <v>2271</v>
      </c>
      <c r="J3005">
        <v>1423500</v>
      </c>
      <c r="K3005">
        <v>2025</v>
      </c>
      <c r="L3005">
        <v>1152693447</v>
      </c>
      <c r="M3005" t="s">
        <v>4479</v>
      </c>
      <c r="N3005" t="s">
        <v>1688</v>
      </c>
      <c r="O3005" t="s">
        <v>1686</v>
      </c>
      <c r="P3005">
        <v>0</v>
      </c>
      <c r="Q3005">
        <v>1423500</v>
      </c>
      <c r="R3005">
        <v>0</v>
      </c>
      <c r="S3005">
        <v>0</v>
      </c>
      <c r="T3005" t="str">
        <f t="shared" si="92"/>
        <v>28162.43.4302.85.0-205128.2.3.3.08.06.</v>
      </c>
      <c r="U3005" t="e" cm="1">
        <f t="array" aca="1" ref="U3005" ca="1">+IF(COMPROMISOS_2025[[#This Row],[P]]="20","41080111",_xlfn.XLOOKUP(COMPROMISOS_2025[[#This Row],[concatenado]],PAA[[#All],[RCP-RUBRO]],PAA[[#All],[INDICADOR]],"",0))</f>
        <v>#NAME?</v>
      </c>
      <c r="V3005" s="144" t="str">
        <f t="shared" si="93"/>
        <v>85</v>
      </c>
      <c r="W3005" s="136">
        <f>+COMPROMISOS_2025[[#This Row],[valor_total]]-COMPROMISOS_2025[[#This Row],[total_cancelado]]</f>
        <v>1423500</v>
      </c>
      <c r="X3005" s="136">
        <f>COMPROMISOS_2025[[#This Row],[total_ordenes]]</f>
        <v>1423500</v>
      </c>
      <c r="Y3005" t="str" cm="1">
        <f t="array" aca="1" ref="Y3005" ca="1">IFERROR(_xlfn.XLOOKUP(COMPROMISOS_2025[[#This Row],[concatenado]],PAA[[#All],[RCP-RUBRO]],PAA[[#All],[Actividad3]],VLOOKUP(COMPROMISOS_2025[[#This Row],[Indicador Principal]],$AC$2:$AD$17,2,0),0),"")</f>
        <v/>
      </c>
    </row>
    <row r="3006" spans="1:25" hidden="1" x14ac:dyDescent="0.25">
      <c r="A3006">
        <v>2817</v>
      </c>
      <c r="B3006" t="s">
        <v>2491</v>
      </c>
      <c r="C3006" t="s">
        <v>1936</v>
      </c>
      <c r="D3006" t="s">
        <v>3575</v>
      </c>
      <c r="F3006">
        <v>405</v>
      </c>
      <c r="G3006">
        <v>65</v>
      </c>
      <c r="H3006" t="s">
        <v>662</v>
      </c>
      <c r="I3006" t="s">
        <v>2271</v>
      </c>
      <c r="J3006">
        <v>711750</v>
      </c>
      <c r="K3006">
        <v>2025</v>
      </c>
      <c r="L3006">
        <v>1152695410</v>
      </c>
      <c r="M3006" t="s">
        <v>4480</v>
      </c>
      <c r="N3006" t="s">
        <v>1688</v>
      </c>
      <c r="O3006" t="s">
        <v>1686</v>
      </c>
      <c r="P3006">
        <v>0</v>
      </c>
      <c r="Q3006">
        <v>711750</v>
      </c>
      <c r="R3006">
        <v>0</v>
      </c>
      <c r="S3006">
        <v>0</v>
      </c>
      <c r="T3006" t="str">
        <f t="shared" si="92"/>
        <v>28172.43.4302.85.0-205128.2.3.3.08.06.</v>
      </c>
      <c r="U3006" t="e" cm="1">
        <f t="array" aca="1" ref="U3006" ca="1">+IF(COMPROMISOS_2025[[#This Row],[P]]="20","41080111",_xlfn.XLOOKUP(COMPROMISOS_2025[[#This Row],[concatenado]],PAA[[#All],[RCP-RUBRO]],PAA[[#All],[INDICADOR]],"",0))</f>
        <v>#NAME?</v>
      </c>
      <c r="V3006" s="144" t="str">
        <f t="shared" si="93"/>
        <v>85</v>
      </c>
      <c r="W3006" s="136">
        <f>+COMPROMISOS_2025[[#This Row],[valor_total]]-COMPROMISOS_2025[[#This Row],[total_cancelado]]</f>
        <v>711750</v>
      </c>
      <c r="X3006" s="136">
        <f>COMPROMISOS_2025[[#This Row],[total_ordenes]]</f>
        <v>711750</v>
      </c>
      <c r="Y3006" t="str" cm="1">
        <f t="array" aca="1" ref="Y3006" ca="1">IFERROR(_xlfn.XLOOKUP(COMPROMISOS_2025[[#This Row],[concatenado]],PAA[[#All],[RCP-RUBRO]],PAA[[#All],[Actividad3]],VLOOKUP(COMPROMISOS_2025[[#This Row],[Indicador Principal]],$AC$2:$AD$17,2,0),0),"")</f>
        <v/>
      </c>
    </row>
    <row r="3007" spans="1:25" hidden="1" x14ac:dyDescent="0.25">
      <c r="A3007">
        <v>2818</v>
      </c>
      <c r="B3007" t="s">
        <v>2491</v>
      </c>
      <c r="C3007" t="s">
        <v>1936</v>
      </c>
      <c r="D3007" t="s">
        <v>3575</v>
      </c>
      <c r="F3007">
        <v>405</v>
      </c>
      <c r="G3007">
        <v>65</v>
      </c>
      <c r="H3007" t="s">
        <v>662</v>
      </c>
      <c r="I3007" t="s">
        <v>2271</v>
      </c>
      <c r="J3007">
        <v>2847000</v>
      </c>
      <c r="K3007">
        <v>2025</v>
      </c>
      <c r="L3007">
        <v>1152695433</v>
      </c>
      <c r="M3007" t="s">
        <v>4481</v>
      </c>
      <c r="N3007" t="s">
        <v>1688</v>
      </c>
      <c r="O3007" t="s">
        <v>1686</v>
      </c>
      <c r="P3007">
        <v>0</v>
      </c>
      <c r="Q3007">
        <v>2847000</v>
      </c>
      <c r="R3007">
        <v>0</v>
      </c>
      <c r="S3007">
        <v>0</v>
      </c>
      <c r="T3007" t="str">
        <f t="shared" si="92"/>
        <v>28182.43.4302.85.0-205128.2.3.3.08.06.</v>
      </c>
      <c r="U3007" t="e" cm="1">
        <f t="array" aca="1" ref="U3007" ca="1">+IF(COMPROMISOS_2025[[#This Row],[P]]="20","41080111",_xlfn.XLOOKUP(COMPROMISOS_2025[[#This Row],[concatenado]],PAA[[#All],[RCP-RUBRO]],PAA[[#All],[INDICADOR]],"",0))</f>
        <v>#NAME?</v>
      </c>
      <c r="V3007" s="144" t="str">
        <f t="shared" si="93"/>
        <v>85</v>
      </c>
      <c r="W3007" s="136">
        <f>+COMPROMISOS_2025[[#This Row],[valor_total]]-COMPROMISOS_2025[[#This Row],[total_cancelado]]</f>
        <v>2847000</v>
      </c>
      <c r="X3007" s="136">
        <f>COMPROMISOS_2025[[#This Row],[total_ordenes]]</f>
        <v>2847000</v>
      </c>
      <c r="Y3007" t="str" cm="1">
        <f t="array" aca="1" ref="Y3007" ca="1">IFERROR(_xlfn.XLOOKUP(COMPROMISOS_2025[[#This Row],[concatenado]],PAA[[#All],[RCP-RUBRO]],PAA[[#All],[Actividad3]],VLOOKUP(COMPROMISOS_2025[[#This Row],[Indicador Principal]],$AC$2:$AD$17,2,0),0),"")</f>
        <v/>
      </c>
    </row>
    <row r="3008" spans="1:25" hidden="1" x14ac:dyDescent="0.25">
      <c r="A3008">
        <v>2819</v>
      </c>
      <c r="B3008" t="s">
        <v>2491</v>
      </c>
      <c r="C3008" t="s">
        <v>1936</v>
      </c>
      <c r="D3008" t="s">
        <v>3575</v>
      </c>
      <c r="F3008">
        <v>405</v>
      </c>
      <c r="G3008">
        <v>65</v>
      </c>
      <c r="H3008" t="s">
        <v>662</v>
      </c>
      <c r="I3008" t="s">
        <v>2271</v>
      </c>
      <c r="J3008">
        <v>711750</v>
      </c>
      <c r="K3008">
        <v>2025</v>
      </c>
      <c r="L3008">
        <v>1152703345</v>
      </c>
      <c r="M3008" t="s">
        <v>4482</v>
      </c>
      <c r="N3008" t="s">
        <v>1688</v>
      </c>
      <c r="O3008" t="s">
        <v>1686</v>
      </c>
      <c r="P3008">
        <v>0</v>
      </c>
      <c r="Q3008">
        <v>711750</v>
      </c>
      <c r="R3008">
        <v>0</v>
      </c>
      <c r="S3008">
        <v>0</v>
      </c>
      <c r="T3008" t="str">
        <f t="shared" si="92"/>
        <v>28192.43.4302.85.0-205128.2.3.3.08.06.</v>
      </c>
      <c r="U3008" t="e" cm="1">
        <f t="array" aca="1" ref="U3008" ca="1">+IF(COMPROMISOS_2025[[#This Row],[P]]="20","41080111",_xlfn.XLOOKUP(COMPROMISOS_2025[[#This Row],[concatenado]],PAA[[#All],[RCP-RUBRO]],PAA[[#All],[INDICADOR]],"",0))</f>
        <v>#NAME?</v>
      </c>
      <c r="V3008" s="144" t="str">
        <f t="shared" si="93"/>
        <v>85</v>
      </c>
      <c r="W3008" s="136">
        <f>+COMPROMISOS_2025[[#This Row],[valor_total]]-COMPROMISOS_2025[[#This Row],[total_cancelado]]</f>
        <v>711750</v>
      </c>
      <c r="X3008" s="136">
        <f>COMPROMISOS_2025[[#This Row],[total_ordenes]]</f>
        <v>711750</v>
      </c>
      <c r="Y3008" t="str" cm="1">
        <f t="array" aca="1" ref="Y3008" ca="1">IFERROR(_xlfn.XLOOKUP(COMPROMISOS_2025[[#This Row],[concatenado]],PAA[[#All],[RCP-RUBRO]],PAA[[#All],[Actividad3]],VLOOKUP(COMPROMISOS_2025[[#This Row],[Indicador Principal]],$AC$2:$AD$17,2,0),0),"")</f>
        <v/>
      </c>
    </row>
    <row r="3009" spans="1:25" hidden="1" x14ac:dyDescent="0.25">
      <c r="A3009">
        <v>2820</v>
      </c>
      <c r="B3009" t="s">
        <v>2491</v>
      </c>
      <c r="C3009" t="s">
        <v>1936</v>
      </c>
      <c r="D3009" t="s">
        <v>3575</v>
      </c>
      <c r="F3009">
        <v>405</v>
      </c>
      <c r="G3009">
        <v>65</v>
      </c>
      <c r="H3009" t="s">
        <v>662</v>
      </c>
      <c r="I3009" t="s">
        <v>2271</v>
      </c>
      <c r="J3009">
        <v>711750</v>
      </c>
      <c r="K3009">
        <v>2025</v>
      </c>
      <c r="L3009">
        <v>1152708455</v>
      </c>
      <c r="M3009" t="s">
        <v>4483</v>
      </c>
      <c r="N3009" t="s">
        <v>1688</v>
      </c>
      <c r="O3009" t="s">
        <v>1686</v>
      </c>
      <c r="P3009">
        <v>0</v>
      </c>
      <c r="Q3009">
        <v>711750</v>
      </c>
      <c r="R3009">
        <v>0</v>
      </c>
      <c r="S3009">
        <v>0</v>
      </c>
      <c r="T3009" t="str">
        <f t="shared" si="92"/>
        <v>28202.43.4302.85.0-205128.2.3.3.08.06.</v>
      </c>
      <c r="U3009" t="e" cm="1">
        <f t="array" aca="1" ref="U3009" ca="1">+IF(COMPROMISOS_2025[[#This Row],[P]]="20","41080111",_xlfn.XLOOKUP(COMPROMISOS_2025[[#This Row],[concatenado]],PAA[[#All],[RCP-RUBRO]],PAA[[#All],[INDICADOR]],"",0))</f>
        <v>#NAME?</v>
      </c>
      <c r="V3009" s="144" t="str">
        <f t="shared" si="93"/>
        <v>85</v>
      </c>
      <c r="W3009" s="136">
        <f>+COMPROMISOS_2025[[#This Row],[valor_total]]-COMPROMISOS_2025[[#This Row],[total_cancelado]]</f>
        <v>711750</v>
      </c>
      <c r="X3009" s="136">
        <f>COMPROMISOS_2025[[#This Row],[total_ordenes]]</f>
        <v>711750</v>
      </c>
      <c r="Y3009" t="str" cm="1">
        <f t="array" aca="1" ref="Y3009" ca="1">IFERROR(_xlfn.XLOOKUP(COMPROMISOS_2025[[#This Row],[concatenado]],PAA[[#All],[RCP-RUBRO]],PAA[[#All],[Actividad3]],VLOOKUP(COMPROMISOS_2025[[#This Row],[Indicador Principal]],$AC$2:$AD$17,2,0),0),"")</f>
        <v/>
      </c>
    </row>
    <row r="3010" spans="1:25" hidden="1" x14ac:dyDescent="0.25">
      <c r="A3010">
        <v>2822</v>
      </c>
      <c r="B3010" t="s">
        <v>2491</v>
      </c>
      <c r="C3010" t="s">
        <v>1936</v>
      </c>
      <c r="D3010" t="s">
        <v>3575</v>
      </c>
      <c r="F3010">
        <v>405</v>
      </c>
      <c r="G3010">
        <v>65</v>
      </c>
      <c r="H3010" t="s">
        <v>662</v>
      </c>
      <c r="I3010" t="s">
        <v>2271</v>
      </c>
      <c r="J3010">
        <v>2847000</v>
      </c>
      <c r="K3010">
        <v>2025</v>
      </c>
      <c r="L3010">
        <v>1152713319</v>
      </c>
      <c r="M3010" t="s">
        <v>4484</v>
      </c>
      <c r="N3010" t="s">
        <v>1688</v>
      </c>
      <c r="O3010" t="s">
        <v>1686</v>
      </c>
      <c r="P3010">
        <v>0</v>
      </c>
      <c r="Q3010">
        <v>2847000</v>
      </c>
      <c r="R3010">
        <v>0</v>
      </c>
      <c r="S3010">
        <v>0</v>
      </c>
      <c r="T3010" t="str">
        <f t="shared" ref="T3010:T3073" si="94">IF(A3010&gt;=0,CONCATENATE(A3010,H3010),"")</f>
        <v>28222.43.4302.85.0-205128.2.3.3.08.06.</v>
      </c>
      <c r="U3010" t="e" cm="1">
        <f t="array" aca="1" ref="U3010" ca="1">+IF(COMPROMISOS_2025[[#This Row],[P]]="20","41080111",_xlfn.XLOOKUP(COMPROMISOS_2025[[#This Row],[concatenado]],PAA[[#All],[RCP-RUBRO]],PAA[[#All],[INDICADOR]],"",0))</f>
        <v>#NAME?</v>
      </c>
      <c r="V3010" s="144" t="str">
        <f t="shared" ref="V3010:V3073" si="95">+MID(H3010,11,2)</f>
        <v>85</v>
      </c>
      <c r="W3010" s="136">
        <f>+COMPROMISOS_2025[[#This Row],[valor_total]]-COMPROMISOS_2025[[#This Row],[total_cancelado]]</f>
        <v>2847000</v>
      </c>
      <c r="X3010" s="136">
        <f>COMPROMISOS_2025[[#This Row],[total_ordenes]]</f>
        <v>2847000</v>
      </c>
      <c r="Y3010" t="str" cm="1">
        <f t="array" aca="1" ref="Y3010" ca="1">IFERROR(_xlfn.XLOOKUP(COMPROMISOS_2025[[#This Row],[concatenado]],PAA[[#All],[RCP-RUBRO]],PAA[[#All],[Actividad3]],VLOOKUP(COMPROMISOS_2025[[#This Row],[Indicador Principal]],$AC$2:$AD$17,2,0),0),"")</f>
        <v/>
      </c>
    </row>
    <row r="3011" spans="1:25" hidden="1" x14ac:dyDescent="0.25">
      <c r="A3011">
        <v>2824</v>
      </c>
      <c r="B3011" t="s">
        <v>2491</v>
      </c>
      <c r="C3011" t="s">
        <v>1936</v>
      </c>
      <c r="D3011" t="s">
        <v>3575</v>
      </c>
      <c r="F3011">
        <v>405</v>
      </c>
      <c r="G3011">
        <v>65</v>
      </c>
      <c r="H3011" t="s">
        <v>662</v>
      </c>
      <c r="I3011" t="s">
        <v>2271</v>
      </c>
      <c r="J3011">
        <v>1067625</v>
      </c>
      <c r="K3011">
        <v>2025</v>
      </c>
      <c r="L3011">
        <v>1153465899</v>
      </c>
      <c r="M3011" t="s">
        <v>4485</v>
      </c>
      <c r="N3011" t="s">
        <v>1688</v>
      </c>
      <c r="O3011" t="s">
        <v>1686</v>
      </c>
      <c r="P3011">
        <v>0</v>
      </c>
      <c r="Q3011">
        <v>1067625</v>
      </c>
      <c r="R3011">
        <v>0</v>
      </c>
      <c r="S3011">
        <v>0</v>
      </c>
      <c r="T3011" t="str">
        <f t="shared" si="94"/>
        <v>28242.43.4302.85.0-205128.2.3.3.08.06.</v>
      </c>
      <c r="U3011" t="e" cm="1">
        <f t="array" aca="1" ref="U3011" ca="1">+IF(COMPROMISOS_2025[[#This Row],[P]]="20","41080111",_xlfn.XLOOKUP(COMPROMISOS_2025[[#This Row],[concatenado]],PAA[[#All],[RCP-RUBRO]],PAA[[#All],[INDICADOR]],"",0))</f>
        <v>#NAME?</v>
      </c>
      <c r="V3011" s="144" t="str">
        <f t="shared" si="95"/>
        <v>85</v>
      </c>
      <c r="W3011" s="136">
        <f>+COMPROMISOS_2025[[#This Row],[valor_total]]-COMPROMISOS_2025[[#This Row],[total_cancelado]]</f>
        <v>1067625</v>
      </c>
      <c r="X3011" s="136">
        <f>COMPROMISOS_2025[[#This Row],[total_ordenes]]</f>
        <v>1067625</v>
      </c>
      <c r="Y3011" t="str" cm="1">
        <f t="array" aca="1" ref="Y3011" ca="1">IFERROR(_xlfn.XLOOKUP(COMPROMISOS_2025[[#This Row],[concatenado]],PAA[[#All],[RCP-RUBRO]],PAA[[#All],[Actividad3]],VLOOKUP(COMPROMISOS_2025[[#This Row],[Indicador Principal]],$AC$2:$AD$17,2,0),0),"")</f>
        <v/>
      </c>
    </row>
    <row r="3012" spans="1:25" hidden="1" x14ac:dyDescent="0.25">
      <c r="A3012">
        <v>2827</v>
      </c>
      <c r="B3012" t="s">
        <v>2491</v>
      </c>
      <c r="C3012" t="s">
        <v>1936</v>
      </c>
      <c r="D3012" t="s">
        <v>3575</v>
      </c>
      <c r="F3012">
        <v>405</v>
      </c>
      <c r="G3012">
        <v>65</v>
      </c>
      <c r="H3012" t="s">
        <v>662</v>
      </c>
      <c r="I3012" t="s">
        <v>2271</v>
      </c>
      <c r="J3012">
        <v>711750</v>
      </c>
      <c r="K3012">
        <v>2025</v>
      </c>
      <c r="L3012">
        <v>1192463897</v>
      </c>
      <c r="M3012" t="s">
        <v>4486</v>
      </c>
      <c r="N3012" t="s">
        <v>1688</v>
      </c>
      <c r="O3012" t="s">
        <v>1686</v>
      </c>
      <c r="P3012">
        <v>0</v>
      </c>
      <c r="Q3012">
        <v>711750</v>
      </c>
      <c r="R3012">
        <v>0</v>
      </c>
      <c r="S3012">
        <v>0</v>
      </c>
      <c r="T3012" t="str">
        <f t="shared" si="94"/>
        <v>28272.43.4302.85.0-205128.2.3.3.08.06.</v>
      </c>
      <c r="U3012" t="e" cm="1">
        <f t="array" aca="1" ref="U3012" ca="1">+IF(COMPROMISOS_2025[[#This Row],[P]]="20","41080111",_xlfn.XLOOKUP(COMPROMISOS_2025[[#This Row],[concatenado]],PAA[[#All],[RCP-RUBRO]],PAA[[#All],[INDICADOR]],"",0))</f>
        <v>#NAME?</v>
      </c>
      <c r="V3012" s="144" t="str">
        <f t="shared" si="95"/>
        <v>85</v>
      </c>
      <c r="W3012" s="136">
        <f>+COMPROMISOS_2025[[#This Row],[valor_total]]-COMPROMISOS_2025[[#This Row],[total_cancelado]]</f>
        <v>711750</v>
      </c>
      <c r="X3012" s="136">
        <f>COMPROMISOS_2025[[#This Row],[total_ordenes]]</f>
        <v>711750</v>
      </c>
      <c r="Y3012" t="str" cm="1">
        <f t="array" aca="1" ref="Y3012" ca="1">IFERROR(_xlfn.XLOOKUP(COMPROMISOS_2025[[#This Row],[concatenado]],PAA[[#All],[RCP-RUBRO]],PAA[[#All],[Actividad3]],VLOOKUP(COMPROMISOS_2025[[#This Row],[Indicador Principal]],$AC$2:$AD$17,2,0),0),"")</f>
        <v/>
      </c>
    </row>
    <row r="3013" spans="1:25" hidden="1" x14ac:dyDescent="0.25">
      <c r="A3013">
        <v>2828</v>
      </c>
      <c r="B3013" t="s">
        <v>2491</v>
      </c>
      <c r="C3013" t="s">
        <v>1936</v>
      </c>
      <c r="D3013" t="s">
        <v>3575</v>
      </c>
      <c r="F3013">
        <v>405</v>
      </c>
      <c r="G3013">
        <v>65</v>
      </c>
      <c r="H3013" t="s">
        <v>662</v>
      </c>
      <c r="I3013" t="s">
        <v>2271</v>
      </c>
      <c r="J3013">
        <v>711750</v>
      </c>
      <c r="K3013">
        <v>2025</v>
      </c>
      <c r="L3013">
        <v>1192792247</v>
      </c>
      <c r="M3013" t="s">
        <v>4487</v>
      </c>
      <c r="N3013" t="s">
        <v>1688</v>
      </c>
      <c r="O3013" t="s">
        <v>1686</v>
      </c>
      <c r="P3013">
        <v>0</v>
      </c>
      <c r="Q3013">
        <v>711750</v>
      </c>
      <c r="R3013">
        <v>0</v>
      </c>
      <c r="S3013">
        <v>0</v>
      </c>
      <c r="T3013" t="str">
        <f t="shared" si="94"/>
        <v>28282.43.4302.85.0-205128.2.3.3.08.06.</v>
      </c>
      <c r="U3013" t="e" cm="1">
        <f t="array" aca="1" ref="U3013" ca="1">+IF(COMPROMISOS_2025[[#This Row],[P]]="20","41080111",_xlfn.XLOOKUP(COMPROMISOS_2025[[#This Row],[concatenado]],PAA[[#All],[RCP-RUBRO]],PAA[[#All],[INDICADOR]],"",0))</f>
        <v>#NAME?</v>
      </c>
      <c r="V3013" s="144" t="str">
        <f t="shared" si="95"/>
        <v>85</v>
      </c>
      <c r="W3013" s="136">
        <f>+COMPROMISOS_2025[[#This Row],[valor_total]]-COMPROMISOS_2025[[#This Row],[total_cancelado]]</f>
        <v>711750</v>
      </c>
      <c r="X3013" s="136">
        <f>COMPROMISOS_2025[[#This Row],[total_ordenes]]</f>
        <v>711750</v>
      </c>
      <c r="Y3013" t="str" cm="1">
        <f t="array" aca="1" ref="Y3013" ca="1">IFERROR(_xlfn.XLOOKUP(COMPROMISOS_2025[[#This Row],[concatenado]],PAA[[#All],[RCP-RUBRO]],PAA[[#All],[Actividad3]],VLOOKUP(COMPROMISOS_2025[[#This Row],[Indicador Principal]],$AC$2:$AD$17,2,0),0),"")</f>
        <v/>
      </c>
    </row>
    <row r="3014" spans="1:25" hidden="1" x14ac:dyDescent="0.25">
      <c r="A3014">
        <v>2829</v>
      </c>
      <c r="B3014" t="s">
        <v>2491</v>
      </c>
      <c r="C3014" t="s">
        <v>1936</v>
      </c>
      <c r="D3014" t="s">
        <v>3575</v>
      </c>
      <c r="F3014">
        <v>405</v>
      </c>
      <c r="G3014">
        <v>65</v>
      </c>
      <c r="H3014" t="s">
        <v>662</v>
      </c>
      <c r="I3014" t="s">
        <v>2271</v>
      </c>
      <c r="J3014">
        <v>1423500</v>
      </c>
      <c r="K3014">
        <v>2025</v>
      </c>
      <c r="L3014">
        <v>1193115454</v>
      </c>
      <c r="M3014" t="s">
        <v>4151</v>
      </c>
      <c r="N3014" t="s">
        <v>1688</v>
      </c>
      <c r="O3014" t="s">
        <v>1686</v>
      </c>
      <c r="P3014">
        <v>0</v>
      </c>
      <c r="Q3014">
        <v>1423500</v>
      </c>
      <c r="R3014">
        <v>0</v>
      </c>
      <c r="S3014">
        <v>0</v>
      </c>
      <c r="T3014" t="str">
        <f t="shared" si="94"/>
        <v>28292.43.4302.85.0-205128.2.3.3.08.06.</v>
      </c>
      <c r="U3014" t="e" cm="1">
        <f t="array" aca="1" ref="U3014" ca="1">+IF(COMPROMISOS_2025[[#This Row],[P]]="20","41080111",_xlfn.XLOOKUP(COMPROMISOS_2025[[#This Row],[concatenado]],PAA[[#All],[RCP-RUBRO]],PAA[[#All],[INDICADOR]],"",0))</f>
        <v>#NAME?</v>
      </c>
      <c r="V3014" s="144" t="str">
        <f t="shared" si="95"/>
        <v>85</v>
      </c>
      <c r="W3014" s="136">
        <f>+COMPROMISOS_2025[[#This Row],[valor_total]]-COMPROMISOS_2025[[#This Row],[total_cancelado]]</f>
        <v>1423500</v>
      </c>
      <c r="X3014" s="136">
        <f>COMPROMISOS_2025[[#This Row],[total_ordenes]]</f>
        <v>1423500</v>
      </c>
      <c r="Y3014" t="str" cm="1">
        <f t="array" aca="1" ref="Y3014" ca="1">IFERROR(_xlfn.XLOOKUP(COMPROMISOS_2025[[#This Row],[concatenado]],PAA[[#All],[RCP-RUBRO]],PAA[[#All],[Actividad3]],VLOOKUP(COMPROMISOS_2025[[#This Row],[Indicador Principal]],$AC$2:$AD$17,2,0),0),"")</f>
        <v/>
      </c>
    </row>
    <row r="3015" spans="1:25" hidden="1" x14ac:dyDescent="0.25">
      <c r="A3015">
        <v>2830</v>
      </c>
      <c r="B3015" t="s">
        <v>2491</v>
      </c>
      <c r="C3015" t="s">
        <v>1936</v>
      </c>
      <c r="D3015" t="s">
        <v>3575</v>
      </c>
      <c r="F3015">
        <v>405</v>
      </c>
      <c r="G3015">
        <v>65</v>
      </c>
      <c r="H3015" t="s">
        <v>662</v>
      </c>
      <c r="I3015" t="s">
        <v>2271</v>
      </c>
      <c r="J3015">
        <v>1423500</v>
      </c>
      <c r="K3015">
        <v>2025</v>
      </c>
      <c r="L3015">
        <v>1193142948</v>
      </c>
      <c r="M3015" t="s">
        <v>4153</v>
      </c>
      <c r="N3015" t="s">
        <v>1688</v>
      </c>
      <c r="O3015" t="s">
        <v>1686</v>
      </c>
      <c r="P3015">
        <v>0</v>
      </c>
      <c r="Q3015">
        <v>1423500</v>
      </c>
      <c r="R3015">
        <v>0</v>
      </c>
      <c r="S3015">
        <v>0</v>
      </c>
      <c r="T3015" t="str">
        <f t="shared" si="94"/>
        <v>28302.43.4302.85.0-205128.2.3.3.08.06.</v>
      </c>
      <c r="U3015" t="e" cm="1">
        <f t="array" aca="1" ref="U3015" ca="1">+IF(COMPROMISOS_2025[[#This Row],[P]]="20","41080111",_xlfn.XLOOKUP(COMPROMISOS_2025[[#This Row],[concatenado]],PAA[[#All],[RCP-RUBRO]],PAA[[#All],[INDICADOR]],"",0))</f>
        <v>#NAME?</v>
      </c>
      <c r="V3015" s="144" t="str">
        <f t="shared" si="95"/>
        <v>85</v>
      </c>
      <c r="W3015" s="136">
        <f>+COMPROMISOS_2025[[#This Row],[valor_total]]-COMPROMISOS_2025[[#This Row],[total_cancelado]]</f>
        <v>1423500</v>
      </c>
      <c r="X3015" s="136">
        <f>COMPROMISOS_2025[[#This Row],[total_ordenes]]</f>
        <v>1423500</v>
      </c>
      <c r="Y3015" t="str" cm="1">
        <f t="array" aca="1" ref="Y3015" ca="1">IFERROR(_xlfn.XLOOKUP(COMPROMISOS_2025[[#This Row],[concatenado]],PAA[[#All],[RCP-RUBRO]],PAA[[#All],[Actividad3]],VLOOKUP(COMPROMISOS_2025[[#This Row],[Indicador Principal]],$AC$2:$AD$17,2,0),0),"")</f>
        <v/>
      </c>
    </row>
    <row r="3016" spans="1:25" hidden="1" x14ac:dyDescent="0.25">
      <c r="A3016">
        <v>2832</v>
      </c>
      <c r="B3016" t="s">
        <v>2491</v>
      </c>
      <c r="C3016" t="s">
        <v>1936</v>
      </c>
      <c r="D3016" t="s">
        <v>3575</v>
      </c>
      <c r="F3016">
        <v>405</v>
      </c>
      <c r="G3016">
        <v>65</v>
      </c>
      <c r="H3016" t="s">
        <v>662</v>
      </c>
      <c r="I3016" t="s">
        <v>2271</v>
      </c>
      <c r="J3016">
        <v>1423500</v>
      </c>
      <c r="K3016">
        <v>2025</v>
      </c>
      <c r="L3016">
        <v>1193448358</v>
      </c>
      <c r="M3016" t="s">
        <v>4488</v>
      </c>
      <c r="N3016" t="s">
        <v>1688</v>
      </c>
      <c r="O3016" t="s">
        <v>1686</v>
      </c>
      <c r="P3016">
        <v>0</v>
      </c>
      <c r="Q3016">
        <v>1423500</v>
      </c>
      <c r="R3016">
        <v>0</v>
      </c>
      <c r="S3016">
        <v>0</v>
      </c>
      <c r="T3016" t="str">
        <f t="shared" si="94"/>
        <v>28322.43.4302.85.0-205128.2.3.3.08.06.</v>
      </c>
      <c r="U3016" t="e" cm="1">
        <f t="array" aca="1" ref="U3016" ca="1">+IF(COMPROMISOS_2025[[#This Row],[P]]="20","41080111",_xlfn.XLOOKUP(COMPROMISOS_2025[[#This Row],[concatenado]],PAA[[#All],[RCP-RUBRO]],PAA[[#All],[INDICADOR]],"",0))</f>
        <v>#NAME?</v>
      </c>
      <c r="V3016" s="144" t="str">
        <f t="shared" si="95"/>
        <v>85</v>
      </c>
      <c r="W3016" s="136">
        <f>+COMPROMISOS_2025[[#This Row],[valor_total]]-COMPROMISOS_2025[[#This Row],[total_cancelado]]</f>
        <v>1423500</v>
      </c>
      <c r="X3016" s="136">
        <f>COMPROMISOS_2025[[#This Row],[total_ordenes]]</f>
        <v>1423500</v>
      </c>
      <c r="Y3016" t="str" cm="1">
        <f t="array" aca="1" ref="Y3016" ca="1">IFERROR(_xlfn.XLOOKUP(COMPROMISOS_2025[[#This Row],[concatenado]],PAA[[#All],[RCP-RUBRO]],PAA[[#All],[Actividad3]],VLOOKUP(COMPROMISOS_2025[[#This Row],[Indicador Principal]],$AC$2:$AD$17,2,0),0),"")</f>
        <v/>
      </c>
    </row>
    <row r="3017" spans="1:25" hidden="1" x14ac:dyDescent="0.25">
      <c r="A3017">
        <v>2833</v>
      </c>
      <c r="B3017" t="s">
        <v>2491</v>
      </c>
      <c r="C3017" t="s">
        <v>1936</v>
      </c>
      <c r="D3017" t="s">
        <v>3575</v>
      </c>
      <c r="F3017">
        <v>405</v>
      </c>
      <c r="G3017">
        <v>65</v>
      </c>
      <c r="H3017" t="s">
        <v>662</v>
      </c>
      <c r="I3017" t="s">
        <v>2271</v>
      </c>
      <c r="J3017">
        <v>1067625</v>
      </c>
      <c r="K3017">
        <v>2025</v>
      </c>
      <c r="L3017">
        <v>1193466628</v>
      </c>
      <c r="M3017" t="s">
        <v>4181</v>
      </c>
      <c r="N3017" t="s">
        <v>1688</v>
      </c>
      <c r="O3017" t="s">
        <v>1686</v>
      </c>
      <c r="P3017">
        <v>0</v>
      </c>
      <c r="Q3017">
        <v>1067625</v>
      </c>
      <c r="R3017">
        <v>0</v>
      </c>
      <c r="S3017">
        <v>0</v>
      </c>
      <c r="T3017" t="str">
        <f t="shared" si="94"/>
        <v>28332.43.4302.85.0-205128.2.3.3.08.06.</v>
      </c>
      <c r="U3017" t="e" cm="1">
        <f t="array" aca="1" ref="U3017" ca="1">+IF(COMPROMISOS_2025[[#This Row],[P]]="20","41080111",_xlfn.XLOOKUP(COMPROMISOS_2025[[#This Row],[concatenado]],PAA[[#All],[RCP-RUBRO]],PAA[[#All],[INDICADOR]],"",0))</f>
        <v>#NAME?</v>
      </c>
      <c r="V3017" s="144" t="str">
        <f t="shared" si="95"/>
        <v>85</v>
      </c>
      <c r="W3017" s="136">
        <f>+COMPROMISOS_2025[[#This Row],[valor_total]]-COMPROMISOS_2025[[#This Row],[total_cancelado]]</f>
        <v>1067625</v>
      </c>
      <c r="X3017" s="136">
        <f>COMPROMISOS_2025[[#This Row],[total_ordenes]]</f>
        <v>1067625</v>
      </c>
      <c r="Y3017" t="str" cm="1">
        <f t="array" aca="1" ref="Y3017" ca="1">IFERROR(_xlfn.XLOOKUP(COMPROMISOS_2025[[#This Row],[concatenado]],PAA[[#All],[RCP-RUBRO]],PAA[[#All],[Actividad3]],VLOOKUP(COMPROMISOS_2025[[#This Row],[Indicador Principal]],$AC$2:$AD$17,2,0),0),"")</f>
        <v/>
      </c>
    </row>
    <row r="3018" spans="1:25" hidden="1" x14ac:dyDescent="0.25">
      <c r="A3018">
        <v>2834</v>
      </c>
      <c r="B3018" t="s">
        <v>2491</v>
      </c>
      <c r="C3018" t="s">
        <v>1936</v>
      </c>
      <c r="D3018" t="s">
        <v>3575</v>
      </c>
      <c r="F3018">
        <v>405</v>
      </c>
      <c r="G3018">
        <v>65</v>
      </c>
      <c r="H3018" t="s">
        <v>662</v>
      </c>
      <c r="I3018" t="s">
        <v>2271</v>
      </c>
      <c r="J3018">
        <v>711750</v>
      </c>
      <c r="K3018">
        <v>2025</v>
      </c>
      <c r="L3018">
        <v>1193529525</v>
      </c>
      <c r="M3018" t="s">
        <v>4154</v>
      </c>
      <c r="N3018" t="s">
        <v>1688</v>
      </c>
      <c r="O3018" t="s">
        <v>1686</v>
      </c>
      <c r="P3018">
        <v>0</v>
      </c>
      <c r="Q3018">
        <v>711750</v>
      </c>
      <c r="R3018">
        <v>0</v>
      </c>
      <c r="S3018">
        <v>0</v>
      </c>
      <c r="T3018" t="str">
        <f t="shared" si="94"/>
        <v>28342.43.4302.85.0-205128.2.3.3.08.06.</v>
      </c>
      <c r="U3018" t="e" cm="1">
        <f t="array" aca="1" ref="U3018" ca="1">+IF(COMPROMISOS_2025[[#This Row],[P]]="20","41080111",_xlfn.XLOOKUP(COMPROMISOS_2025[[#This Row],[concatenado]],PAA[[#All],[RCP-RUBRO]],PAA[[#All],[INDICADOR]],"",0))</f>
        <v>#NAME?</v>
      </c>
      <c r="V3018" s="144" t="str">
        <f t="shared" si="95"/>
        <v>85</v>
      </c>
      <c r="W3018" s="136">
        <f>+COMPROMISOS_2025[[#This Row],[valor_total]]-COMPROMISOS_2025[[#This Row],[total_cancelado]]</f>
        <v>711750</v>
      </c>
      <c r="X3018" s="136">
        <f>COMPROMISOS_2025[[#This Row],[total_ordenes]]</f>
        <v>711750</v>
      </c>
      <c r="Y3018" t="str" cm="1">
        <f t="array" aca="1" ref="Y3018" ca="1">IFERROR(_xlfn.XLOOKUP(COMPROMISOS_2025[[#This Row],[concatenado]],PAA[[#All],[RCP-RUBRO]],PAA[[#All],[Actividad3]],VLOOKUP(COMPROMISOS_2025[[#This Row],[Indicador Principal]],$AC$2:$AD$17,2,0),0),"")</f>
        <v/>
      </c>
    </row>
    <row r="3019" spans="1:25" hidden="1" x14ac:dyDescent="0.25">
      <c r="A3019">
        <v>2836</v>
      </c>
      <c r="B3019" t="s">
        <v>2491</v>
      </c>
      <c r="C3019" t="s">
        <v>1936</v>
      </c>
      <c r="D3019" t="s">
        <v>3575</v>
      </c>
      <c r="F3019">
        <v>405</v>
      </c>
      <c r="G3019">
        <v>65</v>
      </c>
      <c r="H3019" t="s">
        <v>662</v>
      </c>
      <c r="I3019" t="s">
        <v>2271</v>
      </c>
      <c r="J3019">
        <v>1067625</v>
      </c>
      <c r="K3019">
        <v>2025</v>
      </c>
      <c r="L3019">
        <v>1214723748</v>
      </c>
      <c r="M3019" t="s">
        <v>4489</v>
      </c>
      <c r="N3019" t="s">
        <v>1688</v>
      </c>
      <c r="O3019" t="s">
        <v>1686</v>
      </c>
      <c r="P3019">
        <v>0</v>
      </c>
      <c r="Q3019">
        <v>1067625</v>
      </c>
      <c r="R3019">
        <v>0</v>
      </c>
      <c r="S3019">
        <v>0</v>
      </c>
      <c r="T3019" t="str">
        <f t="shared" si="94"/>
        <v>28362.43.4302.85.0-205128.2.3.3.08.06.</v>
      </c>
      <c r="U3019" t="e" cm="1">
        <f t="array" aca="1" ref="U3019" ca="1">+IF(COMPROMISOS_2025[[#This Row],[P]]="20","41080111",_xlfn.XLOOKUP(COMPROMISOS_2025[[#This Row],[concatenado]],PAA[[#All],[RCP-RUBRO]],PAA[[#All],[INDICADOR]],"",0))</f>
        <v>#NAME?</v>
      </c>
      <c r="V3019" s="144" t="str">
        <f t="shared" si="95"/>
        <v>85</v>
      </c>
      <c r="W3019" s="136">
        <f>+COMPROMISOS_2025[[#This Row],[valor_total]]-COMPROMISOS_2025[[#This Row],[total_cancelado]]</f>
        <v>1067625</v>
      </c>
      <c r="X3019" s="136">
        <f>COMPROMISOS_2025[[#This Row],[total_ordenes]]</f>
        <v>1067625</v>
      </c>
      <c r="Y3019" t="str" cm="1">
        <f t="array" aca="1" ref="Y3019" ca="1">IFERROR(_xlfn.XLOOKUP(COMPROMISOS_2025[[#This Row],[concatenado]],PAA[[#All],[RCP-RUBRO]],PAA[[#All],[Actividad3]],VLOOKUP(COMPROMISOS_2025[[#This Row],[Indicador Principal]],$AC$2:$AD$17,2,0),0),"")</f>
        <v/>
      </c>
    </row>
    <row r="3020" spans="1:25" hidden="1" x14ac:dyDescent="0.25">
      <c r="A3020">
        <v>2837</v>
      </c>
      <c r="B3020" t="s">
        <v>2491</v>
      </c>
      <c r="C3020" t="s">
        <v>1936</v>
      </c>
      <c r="D3020" t="s">
        <v>3575</v>
      </c>
      <c r="F3020">
        <v>405</v>
      </c>
      <c r="G3020">
        <v>65</v>
      </c>
      <c r="H3020" t="s">
        <v>662</v>
      </c>
      <c r="I3020" t="s">
        <v>2271</v>
      </c>
      <c r="J3020">
        <v>2847000</v>
      </c>
      <c r="K3020">
        <v>2025</v>
      </c>
      <c r="L3020">
        <v>1214738333</v>
      </c>
      <c r="M3020" t="s">
        <v>4157</v>
      </c>
      <c r="N3020" t="s">
        <v>1688</v>
      </c>
      <c r="O3020" t="s">
        <v>1686</v>
      </c>
      <c r="P3020">
        <v>0</v>
      </c>
      <c r="Q3020">
        <v>2847000</v>
      </c>
      <c r="R3020">
        <v>0</v>
      </c>
      <c r="S3020">
        <v>0</v>
      </c>
      <c r="T3020" t="str">
        <f t="shared" si="94"/>
        <v>28372.43.4302.85.0-205128.2.3.3.08.06.</v>
      </c>
      <c r="U3020" t="e" cm="1">
        <f t="array" aca="1" ref="U3020" ca="1">+IF(COMPROMISOS_2025[[#This Row],[P]]="20","41080111",_xlfn.XLOOKUP(COMPROMISOS_2025[[#This Row],[concatenado]],PAA[[#All],[RCP-RUBRO]],PAA[[#All],[INDICADOR]],"",0))</f>
        <v>#NAME?</v>
      </c>
      <c r="V3020" s="144" t="str">
        <f t="shared" si="95"/>
        <v>85</v>
      </c>
      <c r="W3020" s="136">
        <f>+COMPROMISOS_2025[[#This Row],[valor_total]]-COMPROMISOS_2025[[#This Row],[total_cancelado]]</f>
        <v>2847000</v>
      </c>
      <c r="X3020" s="136">
        <f>COMPROMISOS_2025[[#This Row],[total_ordenes]]</f>
        <v>2847000</v>
      </c>
      <c r="Y3020" t="str" cm="1">
        <f t="array" aca="1" ref="Y3020" ca="1">IFERROR(_xlfn.XLOOKUP(COMPROMISOS_2025[[#This Row],[concatenado]],PAA[[#All],[RCP-RUBRO]],PAA[[#All],[Actividad3]],VLOOKUP(COMPROMISOS_2025[[#This Row],[Indicador Principal]],$AC$2:$AD$17,2,0),0),"")</f>
        <v/>
      </c>
    </row>
    <row r="3021" spans="1:25" hidden="1" x14ac:dyDescent="0.25">
      <c r="A3021">
        <v>2838</v>
      </c>
      <c r="B3021" t="s">
        <v>2491</v>
      </c>
      <c r="C3021" t="s">
        <v>1936</v>
      </c>
      <c r="D3021" t="s">
        <v>3575</v>
      </c>
      <c r="F3021">
        <v>405</v>
      </c>
      <c r="G3021">
        <v>65</v>
      </c>
      <c r="H3021" t="s">
        <v>662</v>
      </c>
      <c r="I3021" t="s">
        <v>2271</v>
      </c>
      <c r="J3021">
        <v>1067625</v>
      </c>
      <c r="K3021">
        <v>2025</v>
      </c>
      <c r="L3021">
        <v>1214742899</v>
      </c>
      <c r="M3021" t="s">
        <v>4158</v>
      </c>
      <c r="N3021" t="s">
        <v>1688</v>
      </c>
      <c r="O3021" t="s">
        <v>1686</v>
      </c>
      <c r="P3021">
        <v>0</v>
      </c>
      <c r="Q3021">
        <v>1067625</v>
      </c>
      <c r="R3021">
        <v>0</v>
      </c>
      <c r="S3021">
        <v>0</v>
      </c>
      <c r="T3021" t="str">
        <f t="shared" si="94"/>
        <v>28382.43.4302.85.0-205128.2.3.3.08.06.</v>
      </c>
      <c r="U3021" t="e" cm="1">
        <f t="array" aca="1" ref="U3021" ca="1">+IF(COMPROMISOS_2025[[#This Row],[P]]="20","41080111",_xlfn.XLOOKUP(COMPROMISOS_2025[[#This Row],[concatenado]],PAA[[#All],[RCP-RUBRO]],PAA[[#All],[INDICADOR]],"",0))</f>
        <v>#NAME?</v>
      </c>
      <c r="V3021" s="144" t="str">
        <f t="shared" si="95"/>
        <v>85</v>
      </c>
      <c r="W3021" s="136">
        <f>+COMPROMISOS_2025[[#This Row],[valor_total]]-COMPROMISOS_2025[[#This Row],[total_cancelado]]</f>
        <v>1067625</v>
      </c>
      <c r="X3021" s="136">
        <f>COMPROMISOS_2025[[#This Row],[total_ordenes]]</f>
        <v>1067625</v>
      </c>
      <c r="Y3021" t="str" cm="1">
        <f t="array" aca="1" ref="Y3021" ca="1">IFERROR(_xlfn.XLOOKUP(COMPROMISOS_2025[[#This Row],[concatenado]],PAA[[#All],[RCP-RUBRO]],PAA[[#All],[Actividad3]],VLOOKUP(COMPROMISOS_2025[[#This Row],[Indicador Principal]],$AC$2:$AD$17,2,0),0),"")</f>
        <v/>
      </c>
    </row>
    <row r="3022" spans="1:25" hidden="1" x14ac:dyDescent="0.25">
      <c r="A3022">
        <v>2839</v>
      </c>
      <c r="B3022" t="s">
        <v>2491</v>
      </c>
      <c r="C3022" t="s">
        <v>1936</v>
      </c>
      <c r="D3022" t="s">
        <v>3575</v>
      </c>
      <c r="F3022">
        <v>405</v>
      </c>
      <c r="G3022">
        <v>65</v>
      </c>
      <c r="H3022" t="s">
        <v>662</v>
      </c>
      <c r="I3022" t="s">
        <v>2271</v>
      </c>
      <c r="J3022">
        <v>711750</v>
      </c>
      <c r="K3022">
        <v>2025</v>
      </c>
      <c r="L3022">
        <v>1214745346</v>
      </c>
      <c r="M3022" t="s">
        <v>4490</v>
      </c>
      <c r="N3022" t="s">
        <v>1688</v>
      </c>
      <c r="O3022" t="s">
        <v>1686</v>
      </c>
      <c r="P3022">
        <v>0</v>
      </c>
      <c r="Q3022">
        <v>711750</v>
      </c>
      <c r="R3022">
        <v>0</v>
      </c>
      <c r="S3022">
        <v>0</v>
      </c>
      <c r="T3022" t="str">
        <f t="shared" si="94"/>
        <v>28392.43.4302.85.0-205128.2.3.3.08.06.</v>
      </c>
      <c r="U3022" t="e" cm="1">
        <f t="array" aca="1" ref="U3022" ca="1">+IF(COMPROMISOS_2025[[#This Row],[P]]="20","41080111",_xlfn.XLOOKUP(COMPROMISOS_2025[[#This Row],[concatenado]],PAA[[#All],[RCP-RUBRO]],PAA[[#All],[INDICADOR]],"",0))</f>
        <v>#NAME?</v>
      </c>
      <c r="V3022" s="144" t="str">
        <f t="shared" si="95"/>
        <v>85</v>
      </c>
      <c r="W3022" s="136">
        <f>+COMPROMISOS_2025[[#This Row],[valor_total]]-COMPROMISOS_2025[[#This Row],[total_cancelado]]</f>
        <v>711750</v>
      </c>
      <c r="X3022" s="136">
        <f>COMPROMISOS_2025[[#This Row],[total_ordenes]]</f>
        <v>711750</v>
      </c>
      <c r="Y3022" t="str" cm="1">
        <f t="array" aca="1" ref="Y3022" ca="1">IFERROR(_xlfn.XLOOKUP(COMPROMISOS_2025[[#This Row],[concatenado]],PAA[[#All],[RCP-RUBRO]],PAA[[#All],[Actividad3]],VLOOKUP(COMPROMISOS_2025[[#This Row],[Indicador Principal]],$AC$2:$AD$17,2,0),0),"")</f>
        <v/>
      </c>
    </row>
    <row r="3023" spans="1:25" hidden="1" x14ac:dyDescent="0.25">
      <c r="A3023">
        <v>2840</v>
      </c>
      <c r="B3023" t="s">
        <v>2491</v>
      </c>
      <c r="C3023" t="s">
        <v>1936</v>
      </c>
      <c r="D3023" t="s">
        <v>3575</v>
      </c>
      <c r="F3023">
        <v>405</v>
      </c>
      <c r="G3023">
        <v>65</v>
      </c>
      <c r="H3023" t="s">
        <v>662</v>
      </c>
      <c r="I3023" t="s">
        <v>2271</v>
      </c>
      <c r="J3023">
        <v>711750</v>
      </c>
      <c r="K3023">
        <v>2025</v>
      </c>
      <c r="L3023">
        <v>1214745505</v>
      </c>
      <c r="M3023" t="s">
        <v>4159</v>
      </c>
      <c r="N3023" t="s">
        <v>1688</v>
      </c>
      <c r="O3023" t="s">
        <v>1686</v>
      </c>
      <c r="P3023">
        <v>0</v>
      </c>
      <c r="Q3023">
        <v>711750</v>
      </c>
      <c r="R3023">
        <v>0</v>
      </c>
      <c r="S3023">
        <v>0</v>
      </c>
      <c r="T3023" t="str">
        <f t="shared" si="94"/>
        <v>28402.43.4302.85.0-205128.2.3.3.08.06.</v>
      </c>
      <c r="U3023" t="e" cm="1">
        <f t="array" aca="1" ref="U3023" ca="1">+IF(COMPROMISOS_2025[[#This Row],[P]]="20","41080111",_xlfn.XLOOKUP(COMPROMISOS_2025[[#This Row],[concatenado]],PAA[[#All],[RCP-RUBRO]],PAA[[#All],[INDICADOR]],"",0))</f>
        <v>#NAME?</v>
      </c>
      <c r="V3023" s="144" t="str">
        <f t="shared" si="95"/>
        <v>85</v>
      </c>
      <c r="W3023" s="136">
        <f>+COMPROMISOS_2025[[#This Row],[valor_total]]-COMPROMISOS_2025[[#This Row],[total_cancelado]]</f>
        <v>711750</v>
      </c>
      <c r="X3023" s="136">
        <f>COMPROMISOS_2025[[#This Row],[total_ordenes]]</f>
        <v>711750</v>
      </c>
      <c r="Y3023" t="str" cm="1">
        <f t="array" aca="1" ref="Y3023" ca="1">IFERROR(_xlfn.XLOOKUP(COMPROMISOS_2025[[#This Row],[concatenado]],PAA[[#All],[RCP-RUBRO]],PAA[[#All],[Actividad3]],VLOOKUP(COMPROMISOS_2025[[#This Row],[Indicador Principal]],$AC$2:$AD$17,2,0),0),"")</f>
        <v/>
      </c>
    </row>
    <row r="3024" spans="1:25" hidden="1" x14ac:dyDescent="0.25">
      <c r="A3024">
        <v>2841</v>
      </c>
      <c r="B3024" t="s">
        <v>2491</v>
      </c>
      <c r="C3024" t="s">
        <v>1936</v>
      </c>
      <c r="D3024" t="s">
        <v>3575</v>
      </c>
      <c r="F3024">
        <v>405</v>
      </c>
      <c r="G3024">
        <v>65</v>
      </c>
      <c r="H3024" t="s">
        <v>662</v>
      </c>
      <c r="I3024" t="s">
        <v>2271</v>
      </c>
      <c r="J3024">
        <v>1423500</v>
      </c>
      <c r="K3024">
        <v>2025</v>
      </c>
      <c r="L3024">
        <v>1216714113</v>
      </c>
      <c r="M3024" t="s">
        <v>4491</v>
      </c>
      <c r="N3024" t="s">
        <v>1688</v>
      </c>
      <c r="O3024" t="s">
        <v>1686</v>
      </c>
      <c r="P3024">
        <v>0</v>
      </c>
      <c r="Q3024">
        <v>1423500</v>
      </c>
      <c r="R3024">
        <v>0</v>
      </c>
      <c r="S3024">
        <v>0</v>
      </c>
      <c r="T3024" t="str">
        <f t="shared" si="94"/>
        <v>28412.43.4302.85.0-205128.2.3.3.08.06.</v>
      </c>
      <c r="U3024" t="e" cm="1">
        <f t="array" aca="1" ref="U3024" ca="1">+IF(COMPROMISOS_2025[[#This Row],[P]]="20","41080111",_xlfn.XLOOKUP(COMPROMISOS_2025[[#This Row],[concatenado]],PAA[[#All],[RCP-RUBRO]],PAA[[#All],[INDICADOR]],"",0))</f>
        <v>#NAME?</v>
      </c>
      <c r="V3024" s="144" t="str">
        <f t="shared" si="95"/>
        <v>85</v>
      </c>
      <c r="W3024" s="136">
        <f>+COMPROMISOS_2025[[#This Row],[valor_total]]-COMPROMISOS_2025[[#This Row],[total_cancelado]]</f>
        <v>1423500</v>
      </c>
      <c r="X3024" s="136">
        <f>COMPROMISOS_2025[[#This Row],[total_ordenes]]</f>
        <v>1423500</v>
      </c>
      <c r="Y3024" t="str" cm="1">
        <f t="array" aca="1" ref="Y3024" ca="1">IFERROR(_xlfn.XLOOKUP(COMPROMISOS_2025[[#This Row],[concatenado]],PAA[[#All],[RCP-RUBRO]],PAA[[#All],[Actividad3]],VLOOKUP(COMPROMISOS_2025[[#This Row],[Indicador Principal]],$AC$2:$AD$17,2,0),0),"")</f>
        <v/>
      </c>
    </row>
    <row r="3025" spans="1:25" hidden="1" x14ac:dyDescent="0.25">
      <c r="A3025">
        <v>2842</v>
      </c>
      <c r="B3025" t="s">
        <v>2491</v>
      </c>
      <c r="C3025" t="s">
        <v>1936</v>
      </c>
      <c r="D3025" t="s">
        <v>3575</v>
      </c>
      <c r="F3025">
        <v>405</v>
      </c>
      <c r="G3025">
        <v>65</v>
      </c>
      <c r="H3025" t="s">
        <v>662</v>
      </c>
      <c r="I3025" t="s">
        <v>2271</v>
      </c>
      <c r="J3025">
        <v>1423500</v>
      </c>
      <c r="K3025">
        <v>2025</v>
      </c>
      <c r="L3025">
        <v>1216723047</v>
      </c>
      <c r="M3025" t="s">
        <v>4161</v>
      </c>
      <c r="N3025" t="s">
        <v>1688</v>
      </c>
      <c r="O3025" t="s">
        <v>1686</v>
      </c>
      <c r="P3025">
        <v>0</v>
      </c>
      <c r="Q3025">
        <v>1423500</v>
      </c>
      <c r="R3025">
        <v>0</v>
      </c>
      <c r="S3025">
        <v>0</v>
      </c>
      <c r="T3025" t="str">
        <f t="shared" si="94"/>
        <v>28422.43.4302.85.0-205128.2.3.3.08.06.</v>
      </c>
      <c r="U3025" t="e" cm="1">
        <f t="array" aca="1" ref="U3025" ca="1">+IF(COMPROMISOS_2025[[#This Row],[P]]="20","41080111",_xlfn.XLOOKUP(COMPROMISOS_2025[[#This Row],[concatenado]],PAA[[#All],[RCP-RUBRO]],PAA[[#All],[INDICADOR]],"",0))</f>
        <v>#NAME?</v>
      </c>
      <c r="V3025" s="144" t="str">
        <f t="shared" si="95"/>
        <v>85</v>
      </c>
      <c r="W3025" s="136">
        <f>+COMPROMISOS_2025[[#This Row],[valor_total]]-COMPROMISOS_2025[[#This Row],[total_cancelado]]</f>
        <v>1423500</v>
      </c>
      <c r="X3025" s="136">
        <f>COMPROMISOS_2025[[#This Row],[total_ordenes]]</f>
        <v>1423500</v>
      </c>
      <c r="Y3025" t="str" cm="1">
        <f t="array" aca="1" ref="Y3025" ca="1">IFERROR(_xlfn.XLOOKUP(COMPROMISOS_2025[[#This Row],[concatenado]],PAA[[#All],[RCP-RUBRO]],PAA[[#All],[Actividad3]],VLOOKUP(COMPROMISOS_2025[[#This Row],[Indicador Principal]],$AC$2:$AD$17,2,0),0),"")</f>
        <v/>
      </c>
    </row>
    <row r="3026" spans="1:25" hidden="1" x14ac:dyDescent="0.25">
      <c r="A3026">
        <v>2843</v>
      </c>
      <c r="B3026" t="s">
        <v>2491</v>
      </c>
      <c r="C3026" t="s">
        <v>1936</v>
      </c>
      <c r="D3026" t="s">
        <v>3575</v>
      </c>
      <c r="F3026">
        <v>405</v>
      </c>
      <c r="G3026">
        <v>65</v>
      </c>
      <c r="H3026" t="s">
        <v>662</v>
      </c>
      <c r="I3026" t="s">
        <v>2271</v>
      </c>
      <c r="J3026">
        <v>1423500</v>
      </c>
      <c r="K3026">
        <v>2025</v>
      </c>
      <c r="L3026">
        <v>1216723485</v>
      </c>
      <c r="M3026" t="s">
        <v>4492</v>
      </c>
      <c r="N3026" t="s">
        <v>1688</v>
      </c>
      <c r="O3026" t="s">
        <v>1686</v>
      </c>
      <c r="P3026">
        <v>0</v>
      </c>
      <c r="Q3026">
        <v>1423500</v>
      </c>
      <c r="R3026">
        <v>0</v>
      </c>
      <c r="S3026">
        <v>0</v>
      </c>
      <c r="T3026" t="str">
        <f t="shared" si="94"/>
        <v>28432.43.4302.85.0-205128.2.3.3.08.06.</v>
      </c>
      <c r="U3026" t="e" cm="1">
        <f t="array" aca="1" ref="U3026" ca="1">+IF(COMPROMISOS_2025[[#This Row],[P]]="20","41080111",_xlfn.XLOOKUP(COMPROMISOS_2025[[#This Row],[concatenado]],PAA[[#All],[RCP-RUBRO]],PAA[[#All],[INDICADOR]],"",0))</f>
        <v>#NAME?</v>
      </c>
      <c r="V3026" s="144" t="str">
        <f t="shared" si="95"/>
        <v>85</v>
      </c>
      <c r="W3026" s="136">
        <f>+COMPROMISOS_2025[[#This Row],[valor_total]]-COMPROMISOS_2025[[#This Row],[total_cancelado]]</f>
        <v>1423500</v>
      </c>
      <c r="X3026" s="136">
        <f>COMPROMISOS_2025[[#This Row],[total_ordenes]]</f>
        <v>1423500</v>
      </c>
      <c r="Y3026" t="str" cm="1">
        <f t="array" aca="1" ref="Y3026" ca="1">IFERROR(_xlfn.XLOOKUP(COMPROMISOS_2025[[#This Row],[concatenado]],PAA[[#All],[RCP-RUBRO]],PAA[[#All],[Actividad3]],VLOOKUP(COMPROMISOS_2025[[#This Row],[Indicador Principal]],$AC$2:$AD$17,2,0),0),"")</f>
        <v/>
      </c>
    </row>
    <row r="3027" spans="1:25" hidden="1" x14ac:dyDescent="0.25">
      <c r="A3027">
        <v>2844</v>
      </c>
      <c r="B3027" t="s">
        <v>2491</v>
      </c>
      <c r="C3027" t="s">
        <v>1936</v>
      </c>
      <c r="D3027" t="s">
        <v>3575</v>
      </c>
      <c r="F3027">
        <v>405</v>
      </c>
      <c r="G3027">
        <v>65</v>
      </c>
      <c r="H3027" t="s">
        <v>662</v>
      </c>
      <c r="I3027" t="s">
        <v>2271</v>
      </c>
      <c r="J3027">
        <v>711750</v>
      </c>
      <c r="K3027">
        <v>2025</v>
      </c>
      <c r="L3027">
        <v>1216728943</v>
      </c>
      <c r="M3027" t="s">
        <v>4493</v>
      </c>
      <c r="N3027" t="s">
        <v>1688</v>
      </c>
      <c r="O3027" t="s">
        <v>1686</v>
      </c>
      <c r="P3027">
        <v>0</v>
      </c>
      <c r="Q3027">
        <v>711750</v>
      </c>
      <c r="R3027">
        <v>0</v>
      </c>
      <c r="S3027">
        <v>0</v>
      </c>
      <c r="T3027" t="str">
        <f t="shared" si="94"/>
        <v>28442.43.4302.85.0-205128.2.3.3.08.06.</v>
      </c>
      <c r="U3027" t="e" cm="1">
        <f t="array" aca="1" ref="U3027" ca="1">+IF(COMPROMISOS_2025[[#This Row],[P]]="20","41080111",_xlfn.XLOOKUP(COMPROMISOS_2025[[#This Row],[concatenado]],PAA[[#All],[RCP-RUBRO]],PAA[[#All],[INDICADOR]],"",0))</f>
        <v>#NAME?</v>
      </c>
      <c r="V3027" s="144" t="str">
        <f t="shared" si="95"/>
        <v>85</v>
      </c>
      <c r="W3027" s="136">
        <f>+COMPROMISOS_2025[[#This Row],[valor_total]]-COMPROMISOS_2025[[#This Row],[total_cancelado]]</f>
        <v>711750</v>
      </c>
      <c r="X3027" s="136">
        <f>COMPROMISOS_2025[[#This Row],[total_ordenes]]</f>
        <v>711750</v>
      </c>
      <c r="Y3027" t="str" cm="1">
        <f t="array" aca="1" ref="Y3027" ca="1">IFERROR(_xlfn.XLOOKUP(COMPROMISOS_2025[[#This Row],[concatenado]],PAA[[#All],[RCP-RUBRO]],PAA[[#All],[Actividad3]],VLOOKUP(COMPROMISOS_2025[[#This Row],[Indicador Principal]],$AC$2:$AD$17,2,0),0),"")</f>
        <v/>
      </c>
    </row>
    <row r="3028" spans="1:25" hidden="1" x14ac:dyDescent="0.25">
      <c r="A3028">
        <v>2845</v>
      </c>
      <c r="B3028" t="s">
        <v>2491</v>
      </c>
      <c r="C3028" t="s">
        <v>1936</v>
      </c>
      <c r="D3028" t="s">
        <v>3575</v>
      </c>
      <c r="F3028">
        <v>405</v>
      </c>
      <c r="G3028">
        <v>65</v>
      </c>
      <c r="H3028" t="s">
        <v>662</v>
      </c>
      <c r="I3028" t="s">
        <v>2271</v>
      </c>
      <c r="J3028">
        <v>711750</v>
      </c>
      <c r="K3028">
        <v>2025</v>
      </c>
      <c r="L3028">
        <v>1221975893</v>
      </c>
      <c r="M3028" t="s">
        <v>4162</v>
      </c>
      <c r="N3028" t="s">
        <v>1688</v>
      </c>
      <c r="O3028" t="s">
        <v>1686</v>
      </c>
      <c r="P3028">
        <v>0</v>
      </c>
      <c r="Q3028">
        <v>711750</v>
      </c>
      <c r="R3028">
        <v>0</v>
      </c>
      <c r="S3028">
        <v>0</v>
      </c>
      <c r="T3028" t="str">
        <f t="shared" si="94"/>
        <v>28452.43.4302.85.0-205128.2.3.3.08.06.</v>
      </c>
      <c r="U3028" t="e" cm="1">
        <f t="array" aca="1" ref="U3028" ca="1">+IF(COMPROMISOS_2025[[#This Row],[P]]="20","41080111",_xlfn.XLOOKUP(COMPROMISOS_2025[[#This Row],[concatenado]],PAA[[#All],[RCP-RUBRO]],PAA[[#All],[INDICADOR]],"",0))</f>
        <v>#NAME?</v>
      </c>
      <c r="V3028" s="144" t="str">
        <f t="shared" si="95"/>
        <v>85</v>
      </c>
      <c r="W3028" s="136">
        <f>+COMPROMISOS_2025[[#This Row],[valor_total]]-COMPROMISOS_2025[[#This Row],[total_cancelado]]</f>
        <v>711750</v>
      </c>
      <c r="X3028" s="136">
        <f>COMPROMISOS_2025[[#This Row],[total_ordenes]]</f>
        <v>711750</v>
      </c>
      <c r="Y3028" t="str" cm="1">
        <f t="array" aca="1" ref="Y3028" ca="1">IFERROR(_xlfn.XLOOKUP(COMPROMISOS_2025[[#This Row],[concatenado]],PAA[[#All],[RCP-RUBRO]],PAA[[#All],[Actividad3]],VLOOKUP(COMPROMISOS_2025[[#This Row],[Indicador Principal]],$AC$2:$AD$17,2,0),0),"")</f>
        <v/>
      </c>
    </row>
    <row r="3029" spans="1:25" hidden="1" x14ac:dyDescent="0.25">
      <c r="A3029">
        <v>2846</v>
      </c>
      <c r="B3029" t="s">
        <v>2491</v>
      </c>
      <c r="C3029" t="s">
        <v>1936</v>
      </c>
      <c r="D3029" t="s">
        <v>3575</v>
      </c>
      <c r="F3029">
        <v>405</v>
      </c>
      <c r="G3029">
        <v>65</v>
      </c>
      <c r="H3029" t="s">
        <v>662</v>
      </c>
      <c r="I3029" t="s">
        <v>2271</v>
      </c>
      <c r="J3029">
        <v>711750</v>
      </c>
      <c r="K3029">
        <v>2025</v>
      </c>
      <c r="L3029">
        <v>1234988780</v>
      </c>
      <c r="M3029" t="s">
        <v>4163</v>
      </c>
      <c r="N3029" t="s">
        <v>1688</v>
      </c>
      <c r="O3029" t="s">
        <v>1686</v>
      </c>
      <c r="P3029">
        <v>0</v>
      </c>
      <c r="Q3029">
        <v>711750</v>
      </c>
      <c r="R3029">
        <v>0</v>
      </c>
      <c r="S3029">
        <v>0</v>
      </c>
      <c r="T3029" t="str">
        <f t="shared" si="94"/>
        <v>28462.43.4302.85.0-205128.2.3.3.08.06.</v>
      </c>
      <c r="U3029" t="e" cm="1">
        <f t="array" aca="1" ref="U3029" ca="1">+IF(COMPROMISOS_2025[[#This Row],[P]]="20","41080111",_xlfn.XLOOKUP(COMPROMISOS_2025[[#This Row],[concatenado]],PAA[[#All],[RCP-RUBRO]],PAA[[#All],[INDICADOR]],"",0))</f>
        <v>#NAME?</v>
      </c>
      <c r="V3029" s="144" t="str">
        <f t="shared" si="95"/>
        <v>85</v>
      </c>
      <c r="W3029" s="136">
        <f>+COMPROMISOS_2025[[#This Row],[valor_total]]-COMPROMISOS_2025[[#This Row],[total_cancelado]]</f>
        <v>711750</v>
      </c>
      <c r="X3029" s="136">
        <f>COMPROMISOS_2025[[#This Row],[total_ordenes]]</f>
        <v>711750</v>
      </c>
      <c r="Y3029" t="str" cm="1">
        <f t="array" aca="1" ref="Y3029" ca="1">IFERROR(_xlfn.XLOOKUP(COMPROMISOS_2025[[#This Row],[concatenado]],PAA[[#All],[RCP-RUBRO]],PAA[[#All],[Actividad3]],VLOOKUP(COMPROMISOS_2025[[#This Row],[Indicador Principal]],$AC$2:$AD$17,2,0),0),"")</f>
        <v/>
      </c>
    </row>
    <row r="3030" spans="1:25" hidden="1" x14ac:dyDescent="0.25">
      <c r="A3030">
        <v>2848</v>
      </c>
      <c r="B3030" t="s">
        <v>2491</v>
      </c>
      <c r="C3030" t="s">
        <v>1936</v>
      </c>
      <c r="D3030" t="s">
        <v>3575</v>
      </c>
      <c r="F3030">
        <v>405</v>
      </c>
      <c r="G3030">
        <v>65</v>
      </c>
      <c r="H3030" t="s">
        <v>662</v>
      </c>
      <c r="I3030" t="s">
        <v>2271</v>
      </c>
      <c r="J3030">
        <v>1423500</v>
      </c>
      <c r="K3030">
        <v>2025</v>
      </c>
      <c r="L3030">
        <v>2000019238</v>
      </c>
      <c r="M3030" t="s">
        <v>4494</v>
      </c>
      <c r="N3030" t="s">
        <v>1688</v>
      </c>
      <c r="O3030" t="s">
        <v>1686</v>
      </c>
      <c r="P3030">
        <v>0</v>
      </c>
      <c r="Q3030">
        <v>1423500</v>
      </c>
      <c r="R3030">
        <v>0</v>
      </c>
      <c r="S3030">
        <v>0</v>
      </c>
      <c r="T3030" t="str">
        <f t="shared" si="94"/>
        <v>28482.43.4302.85.0-205128.2.3.3.08.06.</v>
      </c>
      <c r="U3030" t="e" cm="1">
        <f t="array" aca="1" ref="U3030" ca="1">+IF(COMPROMISOS_2025[[#This Row],[P]]="20","41080111",_xlfn.XLOOKUP(COMPROMISOS_2025[[#This Row],[concatenado]],PAA[[#All],[RCP-RUBRO]],PAA[[#All],[INDICADOR]],"",0))</f>
        <v>#NAME?</v>
      </c>
      <c r="V3030" s="144" t="str">
        <f t="shared" si="95"/>
        <v>85</v>
      </c>
      <c r="W3030" s="136">
        <f>+COMPROMISOS_2025[[#This Row],[valor_total]]-COMPROMISOS_2025[[#This Row],[total_cancelado]]</f>
        <v>1423500</v>
      </c>
      <c r="X3030" s="136">
        <f>COMPROMISOS_2025[[#This Row],[total_ordenes]]</f>
        <v>1423500</v>
      </c>
      <c r="Y3030" t="str" cm="1">
        <f t="array" aca="1" ref="Y3030" ca="1">IFERROR(_xlfn.XLOOKUP(COMPROMISOS_2025[[#This Row],[concatenado]],PAA[[#All],[RCP-RUBRO]],PAA[[#All],[Actividad3]],VLOOKUP(COMPROMISOS_2025[[#This Row],[Indicador Principal]],$AC$2:$AD$17,2,0),0),"")</f>
        <v/>
      </c>
    </row>
    <row r="3031" spans="1:25" hidden="1" x14ac:dyDescent="0.25">
      <c r="A3031">
        <v>2868</v>
      </c>
      <c r="B3031" t="s">
        <v>4495</v>
      </c>
      <c r="C3031" t="s">
        <v>1936</v>
      </c>
      <c r="D3031" t="s">
        <v>2256</v>
      </c>
      <c r="E3031" t="s">
        <v>4496</v>
      </c>
      <c r="F3031">
        <v>414</v>
      </c>
      <c r="G3031">
        <v>65</v>
      </c>
      <c r="H3031" t="s">
        <v>662</v>
      </c>
      <c r="I3031" t="s">
        <v>2271</v>
      </c>
      <c r="J3031">
        <v>4999980</v>
      </c>
      <c r="K3031">
        <v>2025</v>
      </c>
      <c r="L3031">
        <v>1038417113</v>
      </c>
      <c r="M3031" t="s">
        <v>3803</v>
      </c>
      <c r="N3031" t="s">
        <v>1688</v>
      </c>
      <c r="O3031" t="s">
        <v>1686</v>
      </c>
      <c r="P3031">
        <v>0</v>
      </c>
      <c r="Q3031">
        <v>4999980</v>
      </c>
      <c r="R3031">
        <v>0</v>
      </c>
      <c r="S3031">
        <v>0</v>
      </c>
      <c r="T3031" t="str">
        <f t="shared" si="94"/>
        <v>28682.43.4302.85.0-205128.2.3.3.08.06.</v>
      </c>
      <c r="U3031" t="e" cm="1">
        <f t="array" aca="1" ref="U3031" ca="1">+IF(COMPROMISOS_2025[[#This Row],[P]]="20","41080111",_xlfn.XLOOKUP(COMPROMISOS_2025[[#This Row],[concatenado]],PAA[[#All],[RCP-RUBRO]],PAA[[#All],[INDICADOR]],"",0))</f>
        <v>#NAME?</v>
      </c>
      <c r="V3031" s="144" t="str">
        <f t="shared" si="95"/>
        <v>85</v>
      </c>
      <c r="W3031" s="136">
        <f>+COMPROMISOS_2025[[#This Row],[valor_total]]-COMPROMISOS_2025[[#This Row],[total_cancelado]]</f>
        <v>4999980</v>
      </c>
      <c r="X3031" s="136">
        <f>COMPROMISOS_2025[[#This Row],[total_ordenes]]</f>
        <v>4999980</v>
      </c>
      <c r="Y3031" t="str" cm="1">
        <f t="array" aca="1" ref="Y3031" ca="1">IFERROR(_xlfn.XLOOKUP(COMPROMISOS_2025[[#This Row],[concatenado]],PAA[[#All],[RCP-RUBRO]],PAA[[#All],[Actividad3]],VLOOKUP(COMPROMISOS_2025[[#This Row],[Indicador Principal]],$AC$2:$AD$17,2,0),0),"")</f>
        <v/>
      </c>
    </row>
    <row r="3032" spans="1:25" hidden="1" x14ac:dyDescent="0.25">
      <c r="A3032">
        <v>2869</v>
      </c>
      <c r="B3032" t="s">
        <v>4497</v>
      </c>
      <c r="C3032" t="s">
        <v>1936</v>
      </c>
      <c r="D3032" t="s">
        <v>2256</v>
      </c>
      <c r="E3032" t="s">
        <v>4498</v>
      </c>
      <c r="F3032">
        <v>414</v>
      </c>
      <c r="G3032">
        <v>65</v>
      </c>
      <c r="H3032" t="s">
        <v>662</v>
      </c>
      <c r="I3032" t="s">
        <v>2271</v>
      </c>
      <c r="J3032">
        <v>5000000</v>
      </c>
      <c r="K3032">
        <v>2025</v>
      </c>
      <c r="L3032">
        <v>1036960447</v>
      </c>
      <c r="M3032" t="s">
        <v>3789</v>
      </c>
      <c r="N3032" t="s">
        <v>1688</v>
      </c>
      <c r="O3032" t="s">
        <v>1686</v>
      </c>
      <c r="P3032">
        <v>0</v>
      </c>
      <c r="Q3032">
        <v>5000000</v>
      </c>
      <c r="R3032">
        <v>0</v>
      </c>
      <c r="S3032">
        <v>0</v>
      </c>
      <c r="T3032" t="str">
        <f t="shared" si="94"/>
        <v>28692.43.4302.85.0-205128.2.3.3.08.06.</v>
      </c>
      <c r="U3032" t="e" cm="1">
        <f t="array" aca="1" ref="U3032" ca="1">+IF(COMPROMISOS_2025[[#This Row],[P]]="20","41080111",_xlfn.XLOOKUP(COMPROMISOS_2025[[#This Row],[concatenado]],PAA[[#All],[RCP-RUBRO]],PAA[[#All],[INDICADOR]],"",0))</f>
        <v>#NAME?</v>
      </c>
      <c r="V3032" s="144" t="str">
        <f t="shared" si="95"/>
        <v>85</v>
      </c>
      <c r="W3032" s="136">
        <f>+COMPROMISOS_2025[[#This Row],[valor_total]]-COMPROMISOS_2025[[#This Row],[total_cancelado]]</f>
        <v>5000000</v>
      </c>
      <c r="X3032" s="136">
        <f>COMPROMISOS_2025[[#This Row],[total_ordenes]]</f>
        <v>5000000</v>
      </c>
      <c r="Y3032" t="str" cm="1">
        <f t="array" aca="1" ref="Y3032" ca="1">IFERROR(_xlfn.XLOOKUP(COMPROMISOS_2025[[#This Row],[concatenado]],PAA[[#All],[RCP-RUBRO]],PAA[[#All],[Actividad3]],VLOOKUP(COMPROMISOS_2025[[#This Row],[Indicador Principal]],$AC$2:$AD$17,2,0),0),"")</f>
        <v/>
      </c>
    </row>
    <row r="3033" spans="1:25" hidden="1" x14ac:dyDescent="0.25">
      <c r="A3033">
        <v>2996</v>
      </c>
      <c r="B3033" t="s">
        <v>4499</v>
      </c>
      <c r="C3033" t="s">
        <v>1936</v>
      </c>
      <c r="D3033" t="s">
        <v>2256</v>
      </c>
      <c r="E3033" t="s">
        <v>4500</v>
      </c>
      <c r="F3033">
        <v>432</v>
      </c>
      <c r="G3033">
        <v>65</v>
      </c>
      <c r="H3033" t="s">
        <v>662</v>
      </c>
      <c r="I3033" t="s">
        <v>2271</v>
      </c>
      <c r="J3033">
        <v>1000000</v>
      </c>
      <c r="K3033">
        <v>2025</v>
      </c>
      <c r="L3033">
        <v>10014972036</v>
      </c>
      <c r="M3033" t="s">
        <v>3138</v>
      </c>
      <c r="N3033" t="s">
        <v>1688</v>
      </c>
      <c r="O3033" t="s">
        <v>1686</v>
      </c>
      <c r="P3033">
        <v>0</v>
      </c>
      <c r="Q3033">
        <v>1000000</v>
      </c>
      <c r="R3033">
        <v>0</v>
      </c>
      <c r="S3033">
        <v>0</v>
      </c>
      <c r="T3033" t="str">
        <f t="shared" si="94"/>
        <v>29962.43.4302.85.0-205128.2.3.3.08.06.</v>
      </c>
      <c r="U3033" t="e" cm="1">
        <f t="array" aca="1" ref="U3033" ca="1">+IF(COMPROMISOS_2025[[#This Row],[P]]="20","41080111",_xlfn.XLOOKUP(COMPROMISOS_2025[[#This Row],[concatenado]],PAA[[#All],[RCP-RUBRO]],PAA[[#All],[INDICADOR]],"",0))</f>
        <v>#NAME?</v>
      </c>
      <c r="V3033" s="144" t="str">
        <f t="shared" si="95"/>
        <v>85</v>
      </c>
      <c r="W3033" s="136">
        <f>+COMPROMISOS_2025[[#This Row],[valor_total]]-COMPROMISOS_2025[[#This Row],[total_cancelado]]</f>
        <v>1000000</v>
      </c>
      <c r="X3033" s="136">
        <f>COMPROMISOS_2025[[#This Row],[total_ordenes]]</f>
        <v>1000000</v>
      </c>
      <c r="Y3033" t="str" cm="1">
        <f t="array" aca="1" ref="Y3033" ca="1">IFERROR(_xlfn.XLOOKUP(COMPROMISOS_2025[[#This Row],[concatenado]],PAA[[#All],[RCP-RUBRO]],PAA[[#All],[Actividad3]],VLOOKUP(COMPROMISOS_2025[[#This Row],[Indicador Principal]],$AC$2:$AD$17,2,0),0),"")</f>
        <v/>
      </c>
    </row>
    <row r="3034" spans="1:25" hidden="1" x14ac:dyDescent="0.25">
      <c r="A3034">
        <v>2997</v>
      </c>
      <c r="B3034" t="s">
        <v>4501</v>
      </c>
      <c r="C3034" t="s">
        <v>1936</v>
      </c>
      <c r="D3034" t="s">
        <v>2256</v>
      </c>
      <c r="E3034" t="s">
        <v>4500</v>
      </c>
      <c r="F3034">
        <v>432</v>
      </c>
      <c r="G3034">
        <v>65</v>
      </c>
      <c r="H3034" t="s">
        <v>662</v>
      </c>
      <c r="I3034" t="s">
        <v>2271</v>
      </c>
      <c r="J3034">
        <v>1879900</v>
      </c>
      <c r="K3034">
        <v>2025</v>
      </c>
      <c r="L3034">
        <v>1110040087</v>
      </c>
      <c r="M3034" t="s">
        <v>4502</v>
      </c>
      <c r="N3034" t="s">
        <v>1688</v>
      </c>
      <c r="O3034" t="s">
        <v>1686</v>
      </c>
      <c r="P3034">
        <v>0</v>
      </c>
      <c r="Q3034">
        <v>1879900</v>
      </c>
      <c r="R3034">
        <v>0</v>
      </c>
      <c r="S3034">
        <v>0</v>
      </c>
      <c r="T3034" t="str">
        <f t="shared" si="94"/>
        <v>29972.43.4302.85.0-205128.2.3.3.08.06.</v>
      </c>
      <c r="U3034" t="e" cm="1">
        <f t="array" aca="1" ref="U3034" ca="1">+IF(COMPROMISOS_2025[[#This Row],[P]]="20","41080111",_xlfn.XLOOKUP(COMPROMISOS_2025[[#This Row],[concatenado]],PAA[[#All],[RCP-RUBRO]],PAA[[#All],[INDICADOR]],"",0))</f>
        <v>#NAME?</v>
      </c>
      <c r="V3034" s="144" t="str">
        <f t="shared" si="95"/>
        <v>85</v>
      </c>
      <c r="W3034" s="136">
        <f>+COMPROMISOS_2025[[#This Row],[valor_total]]-COMPROMISOS_2025[[#This Row],[total_cancelado]]</f>
        <v>1879900</v>
      </c>
      <c r="X3034" s="136">
        <f>COMPROMISOS_2025[[#This Row],[total_ordenes]]</f>
        <v>1879900</v>
      </c>
      <c r="Y3034" t="str" cm="1">
        <f t="array" aca="1" ref="Y3034" ca="1">IFERROR(_xlfn.XLOOKUP(COMPROMISOS_2025[[#This Row],[concatenado]],PAA[[#All],[RCP-RUBRO]],PAA[[#All],[Actividad3]],VLOOKUP(COMPROMISOS_2025[[#This Row],[Indicador Principal]],$AC$2:$AD$17,2,0),0),"")</f>
        <v/>
      </c>
    </row>
    <row r="3035" spans="1:25" hidden="1" x14ac:dyDescent="0.25">
      <c r="A3035">
        <v>47</v>
      </c>
      <c r="B3035" t="s">
        <v>2891</v>
      </c>
      <c r="C3035" t="s">
        <v>1936</v>
      </c>
      <c r="D3035" t="s">
        <v>1943</v>
      </c>
      <c r="E3035" t="s">
        <v>2892</v>
      </c>
      <c r="F3035">
        <v>20</v>
      </c>
      <c r="G3035">
        <v>66</v>
      </c>
      <c r="H3035" t="s">
        <v>398</v>
      </c>
      <c r="I3035" t="s">
        <v>2281</v>
      </c>
      <c r="J3035">
        <v>24571213</v>
      </c>
      <c r="K3035">
        <v>2025</v>
      </c>
      <c r="L3035">
        <v>322099705</v>
      </c>
      <c r="M3035" t="s">
        <v>2893</v>
      </c>
      <c r="N3035" t="s">
        <v>1688</v>
      </c>
      <c r="O3035" t="s">
        <v>1686</v>
      </c>
      <c r="P3035">
        <v>0</v>
      </c>
      <c r="Q3035">
        <v>9732754</v>
      </c>
      <c r="R3035">
        <v>0</v>
      </c>
      <c r="S3035">
        <v>14838459</v>
      </c>
      <c r="T3035" t="str">
        <f t="shared" si="94"/>
        <v>472.43.4302.87.0-101024.2.3.2.02.02.008.12.</v>
      </c>
      <c r="U3035" t="e" cm="1">
        <f t="array" aca="1" ref="U3035" ca="1">+IF(COMPROMISOS_2025[[#This Row],[P]]="20","41080111",_xlfn.XLOOKUP(COMPROMISOS_2025[[#This Row],[concatenado]],PAA[[#All],[RCP-RUBRO]],PAA[[#All],[INDICADOR]],"",0))</f>
        <v>#NAME?</v>
      </c>
      <c r="V3035" s="144" t="str">
        <f t="shared" si="95"/>
        <v>87</v>
      </c>
      <c r="W3035" s="136">
        <f>+COMPROMISOS_2025[[#This Row],[valor_total]]-COMPROMISOS_2025[[#This Row],[total_cancelado]]</f>
        <v>24571213</v>
      </c>
      <c r="X3035" s="136">
        <f>COMPROMISOS_2025[[#This Row],[total_ordenes]]</f>
        <v>9732754</v>
      </c>
      <c r="Y3035" t="str" cm="1">
        <f t="array" aca="1" ref="Y3035" ca="1">IFERROR(_xlfn.XLOOKUP(COMPROMISOS_2025[[#This Row],[concatenado]],PAA[[#All],[RCP-RUBRO]],PAA[[#All],[Actividad3]],VLOOKUP(COMPROMISOS_2025[[#This Row],[Indicador Principal]],$AC$2:$AD$17,2,0),0),"")</f>
        <v/>
      </c>
    </row>
    <row r="3036" spans="1:25" hidden="1" x14ac:dyDescent="0.25">
      <c r="A3036">
        <v>48</v>
      </c>
      <c r="B3036" t="s">
        <v>2894</v>
      </c>
      <c r="C3036" t="s">
        <v>1936</v>
      </c>
      <c r="D3036" t="s">
        <v>1941</v>
      </c>
      <c r="E3036" t="s">
        <v>2895</v>
      </c>
      <c r="F3036">
        <v>19</v>
      </c>
      <c r="G3036">
        <v>66</v>
      </c>
      <c r="H3036" t="s">
        <v>398</v>
      </c>
      <c r="I3036" t="s">
        <v>2281</v>
      </c>
      <c r="J3036">
        <v>24571213</v>
      </c>
      <c r="K3036">
        <v>2025</v>
      </c>
      <c r="L3036">
        <v>10375773092</v>
      </c>
      <c r="M3036" t="s">
        <v>2896</v>
      </c>
      <c r="N3036" t="s">
        <v>1688</v>
      </c>
      <c r="O3036" t="s">
        <v>1686</v>
      </c>
      <c r="P3036">
        <v>0</v>
      </c>
      <c r="Q3036">
        <v>0</v>
      </c>
      <c r="R3036">
        <v>0</v>
      </c>
      <c r="S3036">
        <v>24571213</v>
      </c>
      <c r="T3036" t="str">
        <f t="shared" si="94"/>
        <v>482.43.4302.87.0-101024.2.3.2.02.02.008.12.</v>
      </c>
      <c r="U3036" t="e" cm="1">
        <f t="array" aca="1" ref="U3036" ca="1">+IF(COMPROMISOS_2025[[#This Row],[P]]="20","41080111",_xlfn.XLOOKUP(COMPROMISOS_2025[[#This Row],[concatenado]],PAA[[#All],[RCP-RUBRO]],PAA[[#All],[INDICADOR]],"",0))</f>
        <v>#NAME?</v>
      </c>
      <c r="V3036" s="144" t="str">
        <f t="shared" si="95"/>
        <v>87</v>
      </c>
      <c r="W3036" s="136">
        <f>+COMPROMISOS_2025[[#This Row],[valor_total]]-COMPROMISOS_2025[[#This Row],[total_cancelado]]</f>
        <v>24571213</v>
      </c>
      <c r="X3036" s="136">
        <f>COMPROMISOS_2025[[#This Row],[total_ordenes]]</f>
        <v>0</v>
      </c>
      <c r="Y3036" t="str" cm="1">
        <f t="array" aca="1" ref="Y3036" ca="1">IFERROR(_xlfn.XLOOKUP(COMPROMISOS_2025[[#This Row],[concatenado]],PAA[[#All],[RCP-RUBRO]],PAA[[#All],[Actividad3]],VLOOKUP(COMPROMISOS_2025[[#This Row],[Indicador Principal]],$AC$2:$AD$17,2,0),0),"")</f>
        <v/>
      </c>
    </row>
    <row r="3037" spans="1:25" hidden="1" x14ac:dyDescent="0.25">
      <c r="A3037">
        <v>51</v>
      </c>
      <c r="B3037" t="s">
        <v>2897</v>
      </c>
      <c r="C3037" t="s">
        <v>1936</v>
      </c>
      <c r="D3037" t="s">
        <v>1935</v>
      </c>
      <c r="E3037" t="s">
        <v>2898</v>
      </c>
      <c r="F3037">
        <v>17</v>
      </c>
      <c r="G3037">
        <v>66</v>
      </c>
      <c r="H3037" t="s">
        <v>398</v>
      </c>
      <c r="I3037" t="s">
        <v>2281</v>
      </c>
      <c r="J3037">
        <v>12285607</v>
      </c>
      <c r="K3037">
        <v>2025</v>
      </c>
      <c r="L3037">
        <v>10012489749</v>
      </c>
      <c r="M3037" t="s">
        <v>2899</v>
      </c>
      <c r="N3037" t="s">
        <v>1688</v>
      </c>
      <c r="O3037" t="s">
        <v>1686</v>
      </c>
      <c r="P3037">
        <v>0</v>
      </c>
      <c r="Q3037">
        <v>4786600</v>
      </c>
      <c r="R3037">
        <v>0</v>
      </c>
      <c r="S3037">
        <v>7499007</v>
      </c>
      <c r="T3037" t="str">
        <f t="shared" si="94"/>
        <v>512.43.4302.87.0-101024.2.3.2.02.02.008.12.</v>
      </c>
      <c r="U3037" t="e" cm="1">
        <f t="array" aca="1" ref="U3037" ca="1">+IF(COMPROMISOS_2025[[#This Row],[P]]="20","41080111",_xlfn.XLOOKUP(COMPROMISOS_2025[[#This Row],[concatenado]],PAA[[#All],[RCP-RUBRO]],PAA[[#All],[INDICADOR]],"",0))</f>
        <v>#NAME?</v>
      </c>
      <c r="V3037" s="144" t="str">
        <f t="shared" si="95"/>
        <v>87</v>
      </c>
      <c r="W3037" s="136">
        <f>+COMPROMISOS_2025[[#This Row],[valor_total]]-COMPROMISOS_2025[[#This Row],[total_cancelado]]</f>
        <v>12285607</v>
      </c>
      <c r="X3037" s="136">
        <f>COMPROMISOS_2025[[#This Row],[total_ordenes]]</f>
        <v>4786600</v>
      </c>
      <c r="Y3037" t="str" cm="1">
        <f t="array" aca="1" ref="Y3037" ca="1">IFERROR(_xlfn.XLOOKUP(COMPROMISOS_2025[[#This Row],[concatenado]],PAA[[#All],[RCP-RUBRO]],PAA[[#All],[Actividad3]],VLOOKUP(COMPROMISOS_2025[[#This Row],[Indicador Principal]],$AC$2:$AD$17,2,0),0),"")</f>
        <v/>
      </c>
    </row>
    <row r="3038" spans="1:25" hidden="1" x14ac:dyDescent="0.25">
      <c r="A3038">
        <v>96</v>
      </c>
      <c r="B3038" t="s">
        <v>2909</v>
      </c>
      <c r="C3038" t="s">
        <v>1936</v>
      </c>
      <c r="D3038" t="s">
        <v>1945</v>
      </c>
      <c r="E3038" t="s">
        <v>2910</v>
      </c>
      <c r="F3038">
        <v>66</v>
      </c>
      <c r="G3038">
        <v>66</v>
      </c>
      <c r="H3038" t="s">
        <v>398</v>
      </c>
      <c r="I3038" t="s">
        <v>2281</v>
      </c>
      <c r="J3038">
        <v>37609000</v>
      </c>
      <c r="K3038">
        <v>2025</v>
      </c>
      <c r="L3038">
        <v>10359205308</v>
      </c>
      <c r="M3038" t="s">
        <v>2911</v>
      </c>
      <c r="N3038" t="s">
        <v>1688</v>
      </c>
      <c r="O3038" t="s">
        <v>1686</v>
      </c>
      <c r="P3038">
        <v>0</v>
      </c>
      <c r="Q3038">
        <v>9778340</v>
      </c>
      <c r="R3038">
        <v>0</v>
      </c>
      <c r="S3038">
        <v>27830660</v>
      </c>
      <c r="T3038" t="str">
        <f t="shared" si="94"/>
        <v>962.43.4302.87.0-101024.2.3.2.02.02.008.12.</v>
      </c>
      <c r="U3038" t="e" cm="1">
        <f t="array" aca="1" ref="U3038" ca="1">+IF(COMPROMISOS_2025[[#This Row],[P]]="20","41080111",_xlfn.XLOOKUP(COMPROMISOS_2025[[#This Row],[concatenado]],PAA[[#All],[RCP-RUBRO]],PAA[[#All],[INDICADOR]],"",0))</f>
        <v>#NAME?</v>
      </c>
      <c r="V3038" s="144" t="str">
        <f t="shared" si="95"/>
        <v>87</v>
      </c>
      <c r="W3038" s="136">
        <f>+COMPROMISOS_2025[[#This Row],[valor_total]]-COMPROMISOS_2025[[#This Row],[total_cancelado]]</f>
        <v>37609000</v>
      </c>
      <c r="X3038" s="136">
        <f>COMPROMISOS_2025[[#This Row],[total_ordenes]]</f>
        <v>9778340</v>
      </c>
      <c r="Y3038" t="str" cm="1">
        <f t="array" aca="1" ref="Y3038" ca="1">IFERROR(_xlfn.XLOOKUP(COMPROMISOS_2025[[#This Row],[concatenado]],PAA[[#All],[RCP-RUBRO]],PAA[[#All],[Actividad3]],VLOOKUP(COMPROMISOS_2025[[#This Row],[Indicador Principal]],$AC$2:$AD$17,2,0),0),"")</f>
        <v/>
      </c>
    </row>
    <row r="3039" spans="1:25" hidden="1" x14ac:dyDescent="0.25">
      <c r="A3039">
        <v>130</v>
      </c>
      <c r="B3039" t="s">
        <v>2912</v>
      </c>
      <c r="C3039" t="s">
        <v>1936</v>
      </c>
      <c r="D3039" t="s">
        <v>1951</v>
      </c>
      <c r="E3039" t="s">
        <v>2913</v>
      </c>
      <c r="F3039">
        <v>297</v>
      </c>
      <c r="G3039">
        <v>66</v>
      </c>
      <c r="H3039" t="s">
        <v>398</v>
      </c>
      <c r="I3039" t="s">
        <v>2281</v>
      </c>
      <c r="J3039">
        <v>38292800</v>
      </c>
      <c r="K3039">
        <v>2025</v>
      </c>
      <c r="L3039">
        <v>11283935761</v>
      </c>
      <c r="M3039" t="s">
        <v>2914</v>
      </c>
      <c r="N3039" t="s">
        <v>1688</v>
      </c>
      <c r="O3039" t="s">
        <v>1686</v>
      </c>
      <c r="P3039">
        <v>0</v>
      </c>
      <c r="Q3039">
        <v>0</v>
      </c>
      <c r="R3039">
        <v>0</v>
      </c>
      <c r="S3039">
        <v>38292800</v>
      </c>
      <c r="T3039" t="str">
        <f t="shared" si="94"/>
        <v>1302.43.4302.87.0-101024.2.3.2.02.02.008.12.</v>
      </c>
      <c r="U3039" t="e" cm="1">
        <f t="array" aca="1" ref="U3039" ca="1">+IF(COMPROMISOS_2025[[#This Row],[P]]="20","41080111",_xlfn.XLOOKUP(COMPROMISOS_2025[[#This Row],[concatenado]],PAA[[#All],[RCP-RUBRO]],PAA[[#All],[INDICADOR]],"",0))</f>
        <v>#NAME?</v>
      </c>
      <c r="V3039" s="144" t="str">
        <f t="shared" si="95"/>
        <v>87</v>
      </c>
      <c r="W3039" s="136">
        <f>+COMPROMISOS_2025[[#This Row],[valor_total]]-COMPROMISOS_2025[[#This Row],[total_cancelado]]</f>
        <v>38292800</v>
      </c>
      <c r="X3039" s="136">
        <f>COMPROMISOS_2025[[#This Row],[total_ordenes]]</f>
        <v>0</v>
      </c>
      <c r="Y3039" t="str" cm="1">
        <f t="array" aca="1" ref="Y3039" ca="1">IFERROR(_xlfn.XLOOKUP(COMPROMISOS_2025[[#This Row],[concatenado]],PAA[[#All],[RCP-RUBRO]],PAA[[#All],[Actividad3]],VLOOKUP(COMPROMISOS_2025[[#This Row],[Indicador Principal]],$AC$2:$AD$17,2,0),0),"")</f>
        <v/>
      </c>
    </row>
    <row r="3040" spans="1:25" hidden="1" x14ac:dyDescent="0.25">
      <c r="A3040">
        <v>443</v>
      </c>
      <c r="B3040" t="s">
        <v>2917</v>
      </c>
      <c r="C3040" t="s">
        <v>1936</v>
      </c>
      <c r="D3040" t="s">
        <v>1955</v>
      </c>
      <c r="E3040" t="s">
        <v>2918</v>
      </c>
      <c r="F3040">
        <v>352</v>
      </c>
      <c r="G3040">
        <v>66</v>
      </c>
      <c r="H3040" t="s">
        <v>398</v>
      </c>
      <c r="I3040" t="s">
        <v>2281</v>
      </c>
      <c r="J3040">
        <v>15043600</v>
      </c>
      <c r="K3040">
        <v>2025</v>
      </c>
      <c r="L3040">
        <v>10278843308</v>
      </c>
      <c r="M3040" t="s">
        <v>2919</v>
      </c>
      <c r="N3040" t="s">
        <v>1688</v>
      </c>
      <c r="O3040" t="s">
        <v>1686</v>
      </c>
      <c r="P3040">
        <v>0</v>
      </c>
      <c r="Q3040">
        <v>0</v>
      </c>
      <c r="R3040">
        <v>0</v>
      </c>
      <c r="S3040">
        <v>15043600</v>
      </c>
      <c r="T3040" t="str">
        <f t="shared" si="94"/>
        <v>4432.43.4302.87.0-101024.2.3.2.02.02.008.12.</v>
      </c>
      <c r="U3040" t="e" cm="1">
        <f t="array" aca="1" ref="U3040" ca="1">+IF(COMPROMISOS_2025[[#This Row],[P]]="20","41080111",_xlfn.XLOOKUP(COMPROMISOS_2025[[#This Row],[concatenado]],PAA[[#All],[RCP-RUBRO]],PAA[[#All],[INDICADOR]],"",0))</f>
        <v>#NAME?</v>
      </c>
      <c r="V3040" s="144" t="str">
        <f t="shared" si="95"/>
        <v>87</v>
      </c>
      <c r="W3040" s="136">
        <f>+COMPROMISOS_2025[[#This Row],[valor_total]]-COMPROMISOS_2025[[#This Row],[total_cancelado]]</f>
        <v>15043600</v>
      </c>
      <c r="X3040" s="136">
        <f>COMPROMISOS_2025[[#This Row],[total_ordenes]]</f>
        <v>0</v>
      </c>
      <c r="Y3040" t="str" cm="1">
        <f t="array" aca="1" ref="Y3040" ca="1">IFERROR(_xlfn.XLOOKUP(COMPROMISOS_2025[[#This Row],[concatenado]],PAA[[#All],[RCP-RUBRO]],PAA[[#All],[Actividad3]],VLOOKUP(COMPROMISOS_2025[[#This Row],[Indicador Principal]],$AC$2:$AD$17,2,0),0),"")</f>
        <v/>
      </c>
    </row>
    <row r="3041" spans="1:25" hidden="1" x14ac:dyDescent="0.25">
      <c r="A3041">
        <v>825</v>
      </c>
      <c r="B3041" t="s">
        <v>4503</v>
      </c>
      <c r="C3041" t="s">
        <v>1936</v>
      </c>
      <c r="D3041" t="s">
        <v>2285</v>
      </c>
      <c r="E3041" t="s">
        <v>4504</v>
      </c>
      <c r="F3041">
        <v>357</v>
      </c>
      <c r="G3041">
        <v>66</v>
      </c>
      <c r="H3041" t="s">
        <v>398</v>
      </c>
      <c r="I3041" t="s">
        <v>2281</v>
      </c>
      <c r="J3041">
        <v>34190000</v>
      </c>
      <c r="K3041">
        <v>2025</v>
      </c>
      <c r="L3041">
        <v>1028029120</v>
      </c>
      <c r="M3041" t="s">
        <v>4505</v>
      </c>
      <c r="N3041" t="s">
        <v>1688</v>
      </c>
      <c r="O3041" t="s">
        <v>1686</v>
      </c>
      <c r="P3041">
        <v>0</v>
      </c>
      <c r="Q3041">
        <v>2165367</v>
      </c>
      <c r="R3041">
        <v>0</v>
      </c>
      <c r="S3041">
        <v>32024633</v>
      </c>
      <c r="T3041" t="str">
        <f t="shared" si="94"/>
        <v>8252.43.4302.87.0-101024.2.3.2.02.02.008.12.</v>
      </c>
      <c r="U3041" t="e" cm="1">
        <f t="array" aca="1" ref="U3041" ca="1">+IF(COMPROMISOS_2025[[#This Row],[P]]="20","41080111",_xlfn.XLOOKUP(COMPROMISOS_2025[[#This Row],[concatenado]],PAA[[#All],[RCP-RUBRO]],PAA[[#All],[INDICADOR]],"",0))</f>
        <v>#NAME?</v>
      </c>
      <c r="V3041" s="144" t="str">
        <f t="shared" si="95"/>
        <v>87</v>
      </c>
      <c r="W3041" s="136">
        <f>+COMPROMISOS_2025[[#This Row],[valor_total]]-COMPROMISOS_2025[[#This Row],[total_cancelado]]</f>
        <v>34190000</v>
      </c>
      <c r="X3041" s="136">
        <f>COMPROMISOS_2025[[#This Row],[total_ordenes]]</f>
        <v>2165367</v>
      </c>
      <c r="Y3041" t="str" cm="1">
        <f t="array" aca="1" ref="Y3041" ca="1">IFERROR(_xlfn.XLOOKUP(COMPROMISOS_2025[[#This Row],[concatenado]],PAA[[#All],[RCP-RUBRO]],PAA[[#All],[Actividad3]],VLOOKUP(COMPROMISOS_2025[[#This Row],[Indicador Principal]],$AC$2:$AD$17,2,0),0),"")</f>
        <v/>
      </c>
    </row>
    <row r="3042" spans="1:25" hidden="1" x14ac:dyDescent="0.25">
      <c r="A3042">
        <v>1619</v>
      </c>
      <c r="B3042" t="s">
        <v>2920</v>
      </c>
      <c r="C3042" t="s">
        <v>1936</v>
      </c>
      <c r="D3042" t="s">
        <v>1957</v>
      </c>
      <c r="E3042" t="s">
        <v>2921</v>
      </c>
      <c r="F3042">
        <v>397</v>
      </c>
      <c r="G3042">
        <v>66</v>
      </c>
      <c r="H3042" t="s">
        <v>398</v>
      </c>
      <c r="I3042" t="s">
        <v>2281</v>
      </c>
      <c r="J3042">
        <v>9000000</v>
      </c>
      <c r="K3042">
        <v>2025</v>
      </c>
      <c r="L3042">
        <v>11283935761</v>
      </c>
      <c r="M3042" t="s">
        <v>2914</v>
      </c>
      <c r="N3042" t="s">
        <v>1688</v>
      </c>
      <c r="O3042" t="s">
        <v>1686</v>
      </c>
      <c r="P3042">
        <v>0</v>
      </c>
      <c r="Q3042">
        <v>0</v>
      </c>
      <c r="R3042">
        <v>0</v>
      </c>
      <c r="S3042">
        <v>9000000</v>
      </c>
      <c r="T3042" t="str">
        <f t="shared" si="94"/>
        <v>16192.43.4302.87.0-101024.2.3.2.02.02.008.12.</v>
      </c>
      <c r="U3042" t="e" cm="1">
        <f t="array" aca="1" ref="U3042" ca="1">+IF(COMPROMISOS_2025[[#This Row],[P]]="20","41080111",_xlfn.XLOOKUP(COMPROMISOS_2025[[#This Row],[concatenado]],PAA[[#All],[RCP-RUBRO]],PAA[[#All],[INDICADOR]],"",0))</f>
        <v>#NAME?</v>
      </c>
      <c r="V3042" s="144" t="str">
        <f t="shared" si="95"/>
        <v>87</v>
      </c>
      <c r="W3042" s="136">
        <f>+COMPROMISOS_2025[[#This Row],[valor_total]]-COMPROMISOS_2025[[#This Row],[total_cancelado]]</f>
        <v>9000000</v>
      </c>
      <c r="X3042" s="136">
        <f>COMPROMISOS_2025[[#This Row],[total_ordenes]]</f>
        <v>0</v>
      </c>
      <c r="Y3042" t="str" cm="1">
        <f t="array" aca="1" ref="Y3042" ca="1">IFERROR(_xlfn.XLOOKUP(COMPROMISOS_2025[[#This Row],[concatenado]],PAA[[#All],[RCP-RUBRO]],PAA[[#All],[Actividad3]],VLOOKUP(COMPROMISOS_2025[[#This Row],[Indicador Principal]],$AC$2:$AD$17,2,0),0),"")</f>
        <v/>
      </c>
    </row>
    <row r="3043" spans="1:25" hidden="1" x14ac:dyDescent="0.25">
      <c r="A3043">
        <v>2853</v>
      </c>
      <c r="B3043" t="s">
        <v>4506</v>
      </c>
      <c r="C3043" t="s">
        <v>1936</v>
      </c>
      <c r="D3043" t="s">
        <v>2283</v>
      </c>
      <c r="E3043" t="s">
        <v>4507</v>
      </c>
      <c r="F3043">
        <v>351</v>
      </c>
      <c r="G3043">
        <v>66</v>
      </c>
      <c r="H3043" t="s">
        <v>398</v>
      </c>
      <c r="I3043" t="s">
        <v>2281</v>
      </c>
      <c r="J3043">
        <v>45313147</v>
      </c>
      <c r="K3043">
        <v>2025</v>
      </c>
      <c r="L3043">
        <v>10372360285</v>
      </c>
      <c r="M3043" t="s">
        <v>4508</v>
      </c>
      <c r="N3043" t="s">
        <v>1688</v>
      </c>
      <c r="O3043" t="s">
        <v>1686</v>
      </c>
      <c r="P3043">
        <v>0</v>
      </c>
      <c r="Q3043">
        <v>0</v>
      </c>
      <c r="R3043">
        <v>0</v>
      </c>
      <c r="S3043">
        <v>45313147</v>
      </c>
      <c r="T3043" t="str">
        <f t="shared" si="94"/>
        <v>28532.43.4302.87.0-101024.2.3.2.02.02.008.12.</v>
      </c>
      <c r="U3043" t="e" cm="1">
        <f t="array" aca="1" ref="U3043" ca="1">+IF(COMPROMISOS_2025[[#This Row],[P]]="20","41080111",_xlfn.XLOOKUP(COMPROMISOS_2025[[#This Row],[concatenado]],PAA[[#All],[RCP-RUBRO]],PAA[[#All],[INDICADOR]],"",0))</f>
        <v>#NAME?</v>
      </c>
      <c r="V3043" s="144" t="str">
        <f t="shared" si="95"/>
        <v>87</v>
      </c>
      <c r="W3043" s="136">
        <f>+COMPROMISOS_2025[[#This Row],[valor_total]]-COMPROMISOS_2025[[#This Row],[total_cancelado]]</f>
        <v>45313147</v>
      </c>
      <c r="X3043" s="136">
        <f>COMPROMISOS_2025[[#This Row],[total_ordenes]]</f>
        <v>0</v>
      </c>
      <c r="Y3043" t="str" cm="1">
        <f t="array" aca="1" ref="Y3043" ca="1">IFERROR(_xlfn.XLOOKUP(COMPROMISOS_2025[[#This Row],[concatenado]],PAA[[#All],[RCP-RUBRO]],PAA[[#All],[Actividad3]],VLOOKUP(COMPROMISOS_2025[[#This Row],[Indicador Principal]],$AC$2:$AD$17,2,0),0),"")</f>
        <v/>
      </c>
    </row>
    <row r="3044" spans="1:25" hidden="1" x14ac:dyDescent="0.25">
      <c r="A3044">
        <v>2988</v>
      </c>
      <c r="B3044" t="s">
        <v>3910</v>
      </c>
      <c r="C3044" t="s">
        <v>1936</v>
      </c>
      <c r="D3044" t="s">
        <v>2265</v>
      </c>
      <c r="E3044" t="s">
        <v>3911</v>
      </c>
      <c r="F3044">
        <v>417</v>
      </c>
      <c r="G3044">
        <v>66</v>
      </c>
      <c r="H3044" t="s">
        <v>398</v>
      </c>
      <c r="I3044" t="s">
        <v>2281</v>
      </c>
      <c r="J3044">
        <v>14245833</v>
      </c>
      <c r="K3044">
        <v>2025</v>
      </c>
      <c r="L3044">
        <v>11284699408</v>
      </c>
      <c r="M3044" t="s">
        <v>3912</v>
      </c>
      <c r="N3044" t="s">
        <v>1688</v>
      </c>
      <c r="O3044" t="s">
        <v>1686</v>
      </c>
      <c r="P3044">
        <v>0</v>
      </c>
      <c r="Q3044">
        <v>0</v>
      </c>
      <c r="R3044">
        <v>0</v>
      </c>
      <c r="S3044">
        <v>14245833</v>
      </c>
      <c r="T3044" t="str">
        <f t="shared" si="94"/>
        <v>29882.43.4302.87.0-101024.2.3.2.02.02.008.12.</v>
      </c>
      <c r="U3044" t="e" cm="1">
        <f t="array" aca="1" ref="U3044" ca="1">+IF(COMPROMISOS_2025[[#This Row],[P]]="20","41080111",_xlfn.XLOOKUP(COMPROMISOS_2025[[#This Row],[concatenado]],PAA[[#All],[RCP-RUBRO]],PAA[[#All],[INDICADOR]],"",0))</f>
        <v>#NAME?</v>
      </c>
      <c r="V3044" s="144" t="str">
        <f t="shared" si="95"/>
        <v>87</v>
      </c>
      <c r="W3044" s="136">
        <f>+COMPROMISOS_2025[[#This Row],[valor_total]]-COMPROMISOS_2025[[#This Row],[total_cancelado]]</f>
        <v>14245833</v>
      </c>
      <c r="X3044" s="136">
        <f>COMPROMISOS_2025[[#This Row],[total_ordenes]]</f>
        <v>0</v>
      </c>
      <c r="Y3044" t="str" cm="1">
        <f t="array" aca="1" ref="Y3044" ca="1">IFERROR(_xlfn.XLOOKUP(COMPROMISOS_2025[[#This Row],[concatenado]],PAA[[#All],[RCP-RUBRO]],PAA[[#All],[Actividad3]],VLOOKUP(COMPROMISOS_2025[[#This Row],[Indicador Principal]],$AC$2:$AD$17,2,0),0),"")</f>
        <v/>
      </c>
    </row>
    <row r="3045" spans="1:25" hidden="1" x14ac:dyDescent="0.25">
      <c r="A3045">
        <v>89</v>
      </c>
      <c r="B3045" t="s">
        <v>2900</v>
      </c>
      <c r="C3045" t="s">
        <v>1936</v>
      </c>
      <c r="D3045" t="s">
        <v>1939</v>
      </c>
      <c r="E3045" t="s">
        <v>2901</v>
      </c>
      <c r="F3045">
        <v>18</v>
      </c>
      <c r="G3045">
        <v>68</v>
      </c>
      <c r="H3045" t="s">
        <v>406</v>
      </c>
      <c r="I3045" t="s">
        <v>2281</v>
      </c>
      <c r="J3045">
        <v>19305953</v>
      </c>
      <c r="K3045">
        <v>2025</v>
      </c>
      <c r="L3045">
        <v>1036933694</v>
      </c>
      <c r="M3045" t="s">
        <v>2902</v>
      </c>
      <c r="N3045" t="s">
        <v>1688</v>
      </c>
      <c r="O3045" t="s">
        <v>1686</v>
      </c>
      <c r="P3045">
        <v>0</v>
      </c>
      <c r="Q3045">
        <v>0</v>
      </c>
      <c r="R3045">
        <v>0</v>
      </c>
      <c r="S3045">
        <v>19305953</v>
      </c>
      <c r="T3045" t="str">
        <f t="shared" si="94"/>
        <v>892.43.4302.87.0-205128.2.3.2.02.02.008.13.</v>
      </c>
      <c r="U3045" t="e" cm="1">
        <f t="array" aca="1" ref="U3045" ca="1">+IF(COMPROMISOS_2025[[#This Row],[P]]="20","41080111",_xlfn.XLOOKUP(COMPROMISOS_2025[[#This Row],[concatenado]],PAA[[#All],[RCP-RUBRO]],PAA[[#All],[INDICADOR]],"",0))</f>
        <v>#NAME?</v>
      </c>
      <c r="V3045" s="144" t="str">
        <f t="shared" si="95"/>
        <v>87</v>
      </c>
      <c r="W3045" s="136">
        <f>+COMPROMISOS_2025[[#This Row],[valor_total]]-COMPROMISOS_2025[[#This Row],[total_cancelado]]</f>
        <v>19305953</v>
      </c>
      <c r="X3045" s="136">
        <f>COMPROMISOS_2025[[#This Row],[total_ordenes]]</f>
        <v>0</v>
      </c>
      <c r="Y3045" t="str" cm="1">
        <f t="array" aca="1" ref="Y3045" ca="1">IFERROR(_xlfn.XLOOKUP(COMPROMISOS_2025[[#This Row],[concatenado]],PAA[[#All],[RCP-RUBRO]],PAA[[#All],[Actividad3]],VLOOKUP(COMPROMISOS_2025[[#This Row],[Indicador Principal]],$AC$2:$AD$17,2,0),0),"")</f>
        <v/>
      </c>
    </row>
    <row r="3046" spans="1:25" hidden="1" x14ac:dyDescent="0.25">
      <c r="A3046">
        <v>93</v>
      </c>
      <c r="B3046" t="s">
        <v>2903</v>
      </c>
      <c r="C3046" t="s">
        <v>1936</v>
      </c>
      <c r="D3046" t="s">
        <v>1949</v>
      </c>
      <c r="E3046" t="s">
        <v>2904</v>
      </c>
      <c r="F3046">
        <v>68</v>
      </c>
      <c r="G3046">
        <v>68</v>
      </c>
      <c r="H3046" t="s">
        <v>406</v>
      </c>
      <c r="I3046" t="s">
        <v>2281</v>
      </c>
      <c r="J3046">
        <v>37609000</v>
      </c>
      <c r="K3046">
        <v>2025</v>
      </c>
      <c r="L3046">
        <v>11278025298</v>
      </c>
      <c r="M3046" t="s">
        <v>2905</v>
      </c>
      <c r="N3046" t="s">
        <v>1688</v>
      </c>
      <c r="O3046" t="s">
        <v>1686</v>
      </c>
      <c r="P3046">
        <v>0</v>
      </c>
      <c r="Q3046">
        <v>6769620</v>
      </c>
      <c r="R3046">
        <v>0</v>
      </c>
      <c r="S3046">
        <v>30839380</v>
      </c>
      <c r="T3046" t="str">
        <f t="shared" si="94"/>
        <v>932.43.4302.87.0-205128.2.3.2.02.02.008.13.</v>
      </c>
      <c r="U3046" t="e" cm="1">
        <f t="array" aca="1" ref="U3046" ca="1">+IF(COMPROMISOS_2025[[#This Row],[P]]="20","41080111",_xlfn.XLOOKUP(COMPROMISOS_2025[[#This Row],[concatenado]],PAA[[#All],[RCP-RUBRO]],PAA[[#All],[INDICADOR]],"",0))</f>
        <v>#NAME?</v>
      </c>
      <c r="V3046" s="144" t="str">
        <f t="shared" si="95"/>
        <v>87</v>
      </c>
      <c r="W3046" s="136">
        <f>+COMPROMISOS_2025[[#This Row],[valor_total]]-COMPROMISOS_2025[[#This Row],[total_cancelado]]</f>
        <v>37609000</v>
      </c>
      <c r="X3046" s="136">
        <f>COMPROMISOS_2025[[#This Row],[total_ordenes]]</f>
        <v>6769620</v>
      </c>
      <c r="Y3046" t="str" cm="1">
        <f t="array" aca="1" ref="Y3046" ca="1">IFERROR(_xlfn.XLOOKUP(COMPROMISOS_2025[[#This Row],[concatenado]],PAA[[#All],[RCP-RUBRO]],PAA[[#All],[Actividad3]],VLOOKUP(COMPROMISOS_2025[[#This Row],[Indicador Principal]],$AC$2:$AD$17,2,0),0),"")</f>
        <v/>
      </c>
    </row>
    <row r="3047" spans="1:25" hidden="1" x14ac:dyDescent="0.25">
      <c r="A3047">
        <v>94</v>
      </c>
      <c r="B3047" t="s">
        <v>2906</v>
      </c>
      <c r="C3047" t="s">
        <v>1936</v>
      </c>
      <c r="D3047" t="s">
        <v>1947</v>
      </c>
      <c r="E3047" t="s">
        <v>2907</v>
      </c>
      <c r="F3047">
        <v>67</v>
      </c>
      <c r="G3047">
        <v>68</v>
      </c>
      <c r="H3047" t="s">
        <v>406</v>
      </c>
      <c r="I3047" t="s">
        <v>2281</v>
      </c>
      <c r="J3047">
        <v>37609000</v>
      </c>
      <c r="K3047">
        <v>2025</v>
      </c>
      <c r="L3047">
        <v>10480176357</v>
      </c>
      <c r="M3047" t="s">
        <v>2908</v>
      </c>
      <c r="N3047" t="s">
        <v>1688</v>
      </c>
      <c r="O3047" t="s">
        <v>1686</v>
      </c>
      <c r="P3047">
        <v>0</v>
      </c>
      <c r="Q3047">
        <v>6769620</v>
      </c>
      <c r="R3047">
        <v>0</v>
      </c>
      <c r="S3047">
        <v>30839380</v>
      </c>
      <c r="T3047" t="str">
        <f t="shared" si="94"/>
        <v>942.43.4302.87.0-205128.2.3.2.02.02.008.13.</v>
      </c>
      <c r="U3047" t="e" cm="1">
        <f t="array" aca="1" ref="U3047" ca="1">+IF(COMPROMISOS_2025[[#This Row],[P]]="20","41080111",_xlfn.XLOOKUP(COMPROMISOS_2025[[#This Row],[concatenado]],PAA[[#All],[RCP-RUBRO]],PAA[[#All],[INDICADOR]],"",0))</f>
        <v>#NAME?</v>
      </c>
      <c r="V3047" s="144" t="str">
        <f t="shared" si="95"/>
        <v>87</v>
      </c>
      <c r="W3047" s="136">
        <f>+COMPROMISOS_2025[[#This Row],[valor_total]]-COMPROMISOS_2025[[#This Row],[total_cancelado]]</f>
        <v>37609000</v>
      </c>
      <c r="X3047" s="136">
        <f>COMPROMISOS_2025[[#This Row],[total_ordenes]]</f>
        <v>6769620</v>
      </c>
      <c r="Y3047" t="str" cm="1">
        <f t="array" aca="1" ref="Y3047" ca="1">IFERROR(_xlfn.XLOOKUP(COMPROMISOS_2025[[#This Row],[concatenado]],PAA[[#All],[RCP-RUBRO]],PAA[[#All],[Actividad3]],VLOOKUP(COMPROMISOS_2025[[#This Row],[Indicador Principal]],$AC$2:$AD$17,2,0),0),"")</f>
        <v/>
      </c>
    </row>
    <row r="3048" spans="1:25" hidden="1" x14ac:dyDescent="0.25">
      <c r="A3048">
        <v>441</v>
      </c>
      <c r="B3048" t="s">
        <v>2862</v>
      </c>
      <c r="C3048" t="s">
        <v>1936</v>
      </c>
      <c r="D3048" t="s">
        <v>1953</v>
      </c>
      <c r="E3048" t="s">
        <v>2915</v>
      </c>
      <c r="F3048">
        <v>350</v>
      </c>
      <c r="G3048">
        <v>68</v>
      </c>
      <c r="H3048" t="s">
        <v>406</v>
      </c>
      <c r="I3048" t="s">
        <v>2281</v>
      </c>
      <c r="J3048">
        <v>37609000</v>
      </c>
      <c r="K3048">
        <v>2025</v>
      </c>
      <c r="L3048">
        <v>12147329191</v>
      </c>
      <c r="M3048" t="s">
        <v>2916</v>
      </c>
      <c r="N3048" t="s">
        <v>1688</v>
      </c>
      <c r="O3048" t="s">
        <v>1686</v>
      </c>
      <c r="P3048">
        <v>0</v>
      </c>
      <c r="Q3048">
        <v>0</v>
      </c>
      <c r="R3048">
        <v>0</v>
      </c>
      <c r="S3048">
        <v>37609000</v>
      </c>
      <c r="T3048" t="str">
        <f t="shared" si="94"/>
        <v>4412.43.4302.87.0-205128.2.3.2.02.02.008.13.</v>
      </c>
      <c r="U3048" t="e" cm="1">
        <f t="array" aca="1" ref="U3048" ca="1">+IF(COMPROMISOS_2025[[#This Row],[P]]="20","41080111",_xlfn.XLOOKUP(COMPROMISOS_2025[[#This Row],[concatenado]],PAA[[#All],[RCP-RUBRO]],PAA[[#All],[INDICADOR]],"",0))</f>
        <v>#NAME?</v>
      </c>
      <c r="V3048" s="144" t="str">
        <f t="shared" si="95"/>
        <v>87</v>
      </c>
      <c r="W3048" s="136">
        <f>+COMPROMISOS_2025[[#This Row],[valor_total]]-COMPROMISOS_2025[[#This Row],[total_cancelado]]</f>
        <v>37609000</v>
      </c>
      <c r="X3048" s="136">
        <f>COMPROMISOS_2025[[#This Row],[total_ordenes]]</f>
        <v>0</v>
      </c>
      <c r="Y3048" t="str" cm="1">
        <f t="array" aca="1" ref="Y3048" ca="1">IFERROR(_xlfn.XLOOKUP(COMPROMISOS_2025[[#This Row],[concatenado]],PAA[[#All],[RCP-RUBRO]],PAA[[#All],[Actividad3]],VLOOKUP(COMPROMISOS_2025[[#This Row],[Indicador Principal]],$AC$2:$AD$17,2,0),0),"")</f>
        <v/>
      </c>
    </row>
    <row r="3049" spans="1:25" hidden="1" x14ac:dyDescent="0.25">
      <c r="A3049">
        <v>2858</v>
      </c>
      <c r="B3049" t="s">
        <v>4509</v>
      </c>
      <c r="C3049" t="s">
        <v>1936</v>
      </c>
      <c r="D3049" t="s">
        <v>2287</v>
      </c>
      <c r="E3049" t="s">
        <v>4510</v>
      </c>
      <c r="F3049">
        <v>325</v>
      </c>
      <c r="G3049">
        <v>68</v>
      </c>
      <c r="H3049" t="s">
        <v>406</v>
      </c>
      <c r="I3049" t="s">
        <v>2281</v>
      </c>
      <c r="J3049">
        <v>32366533</v>
      </c>
      <c r="K3049">
        <v>2025</v>
      </c>
      <c r="L3049">
        <v>154343969</v>
      </c>
      <c r="M3049" t="s">
        <v>4511</v>
      </c>
      <c r="N3049" t="s">
        <v>1688</v>
      </c>
      <c r="O3049" t="s">
        <v>1686</v>
      </c>
      <c r="P3049">
        <v>0</v>
      </c>
      <c r="Q3049">
        <v>0</v>
      </c>
      <c r="R3049">
        <v>0</v>
      </c>
      <c r="S3049">
        <v>32366533</v>
      </c>
      <c r="T3049" t="str">
        <f t="shared" si="94"/>
        <v>28582.43.4302.87.0-205128.2.3.2.02.02.008.13.</v>
      </c>
      <c r="U3049" t="e" cm="1">
        <f t="array" aca="1" ref="U3049" ca="1">+IF(COMPROMISOS_2025[[#This Row],[P]]="20","41080111",_xlfn.XLOOKUP(COMPROMISOS_2025[[#This Row],[concatenado]],PAA[[#All],[RCP-RUBRO]],PAA[[#All],[INDICADOR]],"",0))</f>
        <v>#NAME?</v>
      </c>
      <c r="V3049" s="144" t="str">
        <f t="shared" si="95"/>
        <v>87</v>
      </c>
      <c r="W3049" s="136">
        <f>+COMPROMISOS_2025[[#This Row],[valor_total]]-COMPROMISOS_2025[[#This Row],[total_cancelado]]</f>
        <v>32366533</v>
      </c>
      <c r="X3049" s="136">
        <f>COMPROMISOS_2025[[#This Row],[total_ordenes]]</f>
        <v>0</v>
      </c>
      <c r="Y3049" t="str" cm="1">
        <f t="array" aca="1" ref="Y3049" ca="1">IFERROR(_xlfn.XLOOKUP(COMPROMISOS_2025[[#This Row],[concatenado]],PAA[[#All],[RCP-RUBRO]],PAA[[#All],[Actividad3]],VLOOKUP(COMPROMISOS_2025[[#This Row],[Indicador Principal]],$AC$2:$AD$17,2,0),0),"")</f>
        <v/>
      </c>
    </row>
    <row r="3050" spans="1:25" hidden="1" x14ac:dyDescent="0.25">
      <c r="A3050">
        <v>49</v>
      </c>
      <c r="B3050" t="s">
        <v>4512</v>
      </c>
      <c r="C3050" t="s">
        <v>1775</v>
      </c>
      <c r="D3050" t="s">
        <v>2289</v>
      </c>
      <c r="E3050" t="s">
        <v>4513</v>
      </c>
      <c r="F3050">
        <v>45</v>
      </c>
      <c r="G3050">
        <v>70</v>
      </c>
      <c r="H3050" t="s">
        <v>266</v>
      </c>
      <c r="I3050" t="s">
        <v>2290</v>
      </c>
      <c r="J3050">
        <v>17117120</v>
      </c>
      <c r="K3050">
        <v>2025</v>
      </c>
      <c r="L3050">
        <v>435781647</v>
      </c>
      <c r="M3050" t="s">
        <v>4514</v>
      </c>
      <c r="N3050" t="s">
        <v>1688</v>
      </c>
      <c r="O3050" t="s">
        <v>1686</v>
      </c>
      <c r="P3050">
        <v>0</v>
      </c>
      <c r="Q3050">
        <v>3893102</v>
      </c>
      <c r="R3050">
        <v>0</v>
      </c>
      <c r="S3050">
        <v>13224018</v>
      </c>
      <c r="T3050" t="str">
        <f t="shared" si="94"/>
        <v>493.43.4301.01.0-205128.2.3.2.02.02.008.14.</v>
      </c>
      <c r="U3050" t="e" cm="1">
        <f t="array" aca="1" ref="U3050" ca="1">+IF(COMPROMISOS_2025[[#This Row],[P]]="20","41080111",_xlfn.XLOOKUP(COMPROMISOS_2025[[#This Row],[concatenado]],PAA[[#All],[RCP-RUBRO]],PAA[[#All],[INDICADOR]],"",0))</f>
        <v>#NAME?</v>
      </c>
      <c r="V3050" s="144" t="str">
        <f t="shared" si="95"/>
        <v>01</v>
      </c>
      <c r="W3050" s="136">
        <f>+COMPROMISOS_2025[[#This Row],[valor_total]]-COMPROMISOS_2025[[#This Row],[total_cancelado]]</f>
        <v>17117120</v>
      </c>
      <c r="X3050" s="136">
        <f>COMPROMISOS_2025[[#This Row],[total_ordenes]]</f>
        <v>3893102</v>
      </c>
      <c r="Y3050" t="str" cm="1">
        <f t="array" aca="1" ref="Y3050" ca="1">IFERROR(_xlfn.XLOOKUP(COMPROMISOS_2025[[#This Row],[concatenado]],PAA[[#All],[RCP-RUBRO]],PAA[[#All],[Actividad3]],VLOOKUP(COMPROMISOS_2025[[#This Row],[Indicador Principal]],$AC$2:$AD$17,2,0),0),"")</f>
        <v/>
      </c>
    </row>
    <row r="3051" spans="1:25" hidden="1" x14ac:dyDescent="0.25">
      <c r="A3051">
        <v>61</v>
      </c>
      <c r="B3051" t="s">
        <v>4515</v>
      </c>
      <c r="C3051" t="s">
        <v>1775</v>
      </c>
      <c r="D3051" t="s">
        <v>2294</v>
      </c>
      <c r="E3051" t="s">
        <v>4516</v>
      </c>
      <c r="F3051">
        <v>48</v>
      </c>
      <c r="G3051">
        <v>70</v>
      </c>
      <c r="H3051" t="s">
        <v>266</v>
      </c>
      <c r="I3051" t="s">
        <v>2290</v>
      </c>
      <c r="J3051">
        <v>12034880</v>
      </c>
      <c r="K3051">
        <v>2025</v>
      </c>
      <c r="L3051">
        <v>10394510918</v>
      </c>
      <c r="M3051" t="s">
        <v>4517</v>
      </c>
      <c r="N3051" t="s">
        <v>1688</v>
      </c>
      <c r="O3051" t="s">
        <v>1686</v>
      </c>
      <c r="P3051">
        <v>0</v>
      </c>
      <c r="Q3051">
        <v>2858284</v>
      </c>
      <c r="R3051">
        <v>0</v>
      </c>
      <c r="S3051">
        <v>9176596</v>
      </c>
      <c r="T3051" t="str">
        <f t="shared" si="94"/>
        <v>613.43.4301.01.0-205128.2.3.2.02.02.008.14.</v>
      </c>
      <c r="U3051" t="e" cm="1">
        <f t="array" aca="1" ref="U3051" ca="1">+IF(COMPROMISOS_2025[[#This Row],[P]]="20","41080111",_xlfn.XLOOKUP(COMPROMISOS_2025[[#This Row],[concatenado]],PAA[[#All],[RCP-RUBRO]],PAA[[#All],[INDICADOR]],"",0))</f>
        <v>#NAME?</v>
      </c>
      <c r="V3051" s="144" t="str">
        <f t="shared" si="95"/>
        <v>01</v>
      </c>
      <c r="W3051" s="136">
        <f>+COMPROMISOS_2025[[#This Row],[valor_total]]-COMPROMISOS_2025[[#This Row],[total_cancelado]]</f>
        <v>12034880</v>
      </c>
      <c r="X3051" s="136">
        <f>COMPROMISOS_2025[[#This Row],[total_ordenes]]</f>
        <v>2858284</v>
      </c>
      <c r="Y3051" t="str" cm="1">
        <f t="array" aca="1" ref="Y3051" ca="1">IFERROR(_xlfn.XLOOKUP(COMPROMISOS_2025[[#This Row],[concatenado]],PAA[[#All],[RCP-RUBRO]],PAA[[#All],[Actividad3]],VLOOKUP(COMPROMISOS_2025[[#This Row],[Indicador Principal]],$AC$2:$AD$17,2,0),0),"")</f>
        <v/>
      </c>
    </row>
    <row r="3052" spans="1:25" hidden="1" x14ac:dyDescent="0.25">
      <c r="A3052">
        <v>62</v>
      </c>
      <c r="B3052" t="s">
        <v>4515</v>
      </c>
      <c r="C3052" t="s">
        <v>1775</v>
      </c>
      <c r="D3052" t="s">
        <v>2298</v>
      </c>
      <c r="E3052" t="s">
        <v>4518</v>
      </c>
      <c r="F3052">
        <v>50</v>
      </c>
      <c r="G3052">
        <v>70</v>
      </c>
      <c r="H3052" t="s">
        <v>266</v>
      </c>
      <c r="I3052" t="s">
        <v>2290</v>
      </c>
      <c r="J3052">
        <v>13834880</v>
      </c>
      <c r="K3052">
        <v>2025</v>
      </c>
      <c r="L3052">
        <v>436898712</v>
      </c>
      <c r="M3052" t="s">
        <v>4519</v>
      </c>
      <c r="N3052" t="s">
        <v>1688</v>
      </c>
      <c r="O3052" t="s">
        <v>1686</v>
      </c>
      <c r="P3052">
        <v>0</v>
      </c>
      <c r="Q3052">
        <v>13834880</v>
      </c>
      <c r="R3052">
        <v>0</v>
      </c>
      <c r="S3052">
        <v>0</v>
      </c>
      <c r="T3052" t="str">
        <f t="shared" si="94"/>
        <v>623.43.4301.01.0-205128.2.3.2.02.02.008.14.</v>
      </c>
      <c r="U3052" t="e" cm="1">
        <f t="array" aca="1" ref="U3052" ca="1">+IF(COMPROMISOS_2025[[#This Row],[P]]="20","41080111",_xlfn.XLOOKUP(COMPROMISOS_2025[[#This Row],[concatenado]],PAA[[#All],[RCP-RUBRO]],PAA[[#All],[INDICADOR]],"",0))</f>
        <v>#NAME?</v>
      </c>
      <c r="V3052" s="144" t="str">
        <f t="shared" si="95"/>
        <v>01</v>
      </c>
      <c r="W3052" s="136">
        <f>+COMPROMISOS_2025[[#This Row],[valor_total]]-COMPROMISOS_2025[[#This Row],[total_cancelado]]</f>
        <v>13834880</v>
      </c>
      <c r="X3052" s="136">
        <f>COMPROMISOS_2025[[#This Row],[total_ordenes]]</f>
        <v>13834880</v>
      </c>
      <c r="Y3052" t="str" cm="1">
        <f t="array" aca="1" ref="Y3052" ca="1">IFERROR(_xlfn.XLOOKUP(COMPROMISOS_2025[[#This Row],[concatenado]],PAA[[#All],[RCP-RUBRO]],PAA[[#All],[Actividad3]],VLOOKUP(COMPROMISOS_2025[[#This Row],[Indicador Principal]],$AC$2:$AD$17,2,0),0),"")</f>
        <v/>
      </c>
    </row>
    <row r="3053" spans="1:25" hidden="1" x14ac:dyDescent="0.25">
      <c r="A3053">
        <v>65</v>
      </c>
      <c r="B3053" t="s">
        <v>4520</v>
      </c>
      <c r="C3053" t="s">
        <v>1775</v>
      </c>
      <c r="D3053" t="s">
        <v>2302</v>
      </c>
      <c r="E3053" t="s">
        <v>4521</v>
      </c>
      <c r="F3053">
        <v>52</v>
      </c>
      <c r="G3053">
        <v>70</v>
      </c>
      <c r="H3053" t="s">
        <v>266</v>
      </c>
      <c r="I3053" t="s">
        <v>2290</v>
      </c>
      <c r="J3053">
        <v>7270400</v>
      </c>
      <c r="K3053">
        <v>2025</v>
      </c>
      <c r="L3053">
        <v>10017385179</v>
      </c>
      <c r="M3053" t="s">
        <v>4522</v>
      </c>
      <c r="N3053" t="s">
        <v>1688</v>
      </c>
      <c r="O3053" t="s">
        <v>1686</v>
      </c>
      <c r="P3053">
        <v>0</v>
      </c>
      <c r="Q3053">
        <v>1299220</v>
      </c>
      <c r="R3053">
        <v>0</v>
      </c>
      <c r="S3053">
        <v>5971180</v>
      </c>
      <c r="T3053" t="str">
        <f t="shared" si="94"/>
        <v>653.43.4301.01.0-205128.2.3.2.02.02.008.14.</v>
      </c>
      <c r="U3053" t="e" cm="1">
        <f t="array" aca="1" ref="U3053" ca="1">+IF(COMPROMISOS_2025[[#This Row],[P]]="20","41080111",_xlfn.XLOOKUP(COMPROMISOS_2025[[#This Row],[concatenado]],PAA[[#All],[RCP-RUBRO]],PAA[[#All],[INDICADOR]],"",0))</f>
        <v>#NAME?</v>
      </c>
      <c r="V3053" s="144" t="str">
        <f t="shared" si="95"/>
        <v>01</v>
      </c>
      <c r="W3053" s="136">
        <f>+COMPROMISOS_2025[[#This Row],[valor_total]]-COMPROMISOS_2025[[#This Row],[total_cancelado]]</f>
        <v>7270400</v>
      </c>
      <c r="X3053" s="136">
        <f>COMPROMISOS_2025[[#This Row],[total_ordenes]]</f>
        <v>1299220</v>
      </c>
      <c r="Y3053" t="str" cm="1">
        <f t="array" aca="1" ref="Y3053" ca="1">IFERROR(_xlfn.XLOOKUP(COMPROMISOS_2025[[#This Row],[concatenado]],PAA[[#All],[RCP-RUBRO]],PAA[[#All],[Actividad3]],VLOOKUP(COMPROMISOS_2025[[#This Row],[Indicador Principal]],$AC$2:$AD$17,2,0),0),"")</f>
        <v/>
      </c>
    </row>
    <row r="3054" spans="1:25" hidden="1" x14ac:dyDescent="0.25">
      <c r="A3054">
        <v>66</v>
      </c>
      <c r="B3054" t="s">
        <v>4523</v>
      </c>
      <c r="C3054" t="s">
        <v>1775</v>
      </c>
      <c r="D3054" t="s">
        <v>2304</v>
      </c>
      <c r="E3054" t="s">
        <v>4524</v>
      </c>
      <c r="F3054">
        <v>53</v>
      </c>
      <c r="G3054">
        <v>70</v>
      </c>
      <c r="H3054" t="s">
        <v>266</v>
      </c>
      <c r="I3054" t="s">
        <v>2290</v>
      </c>
      <c r="J3054">
        <v>12034880</v>
      </c>
      <c r="K3054">
        <v>2025</v>
      </c>
      <c r="L3054">
        <v>11282762308</v>
      </c>
      <c r="M3054" t="s">
        <v>4525</v>
      </c>
      <c r="N3054" t="s">
        <v>1688</v>
      </c>
      <c r="O3054" t="s">
        <v>1686</v>
      </c>
      <c r="P3054">
        <v>0</v>
      </c>
      <c r="Q3054">
        <v>2858284</v>
      </c>
      <c r="R3054">
        <v>0</v>
      </c>
      <c r="S3054">
        <v>9176596</v>
      </c>
      <c r="T3054" t="str">
        <f t="shared" si="94"/>
        <v>663.43.4301.01.0-205128.2.3.2.02.02.008.14.</v>
      </c>
      <c r="U3054" t="e" cm="1">
        <f t="array" aca="1" ref="U3054" ca="1">+IF(COMPROMISOS_2025[[#This Row],[P]]="20","41080111",_xlfn.XLOOKUP(COMPROMISOS_2025[[#This Row],[concatenado]],PAA[[#All],[RCP-RUBRO]],PAA[[#All],[INDICADOR]],"",0))</f>
        <v>#NAME?</v>
      </c>
      <c r="V3054" s="144" t="str">
        <f t="shared" si="95"/>
        <v>01</v>
      </c>
      <c r="W3054" s="136">
        <f>+COMPROMISOS_2025[[#This Row],[valor_total]]-COMPROMISOS_2025[[#This Row],[total_cancelado]]</f>
        <v>12034880</v>
      </c>
      <c r="X3054" s="136">
        <f>COMPROMISOS_2025[[#This Row],[total_ordenes]]</f>
        <v>2858284</v>
      </c>
      <c r="Y3054" t="str" cm="1">
        <f t="array" aca="1" ref="Y3054" ca="1">IFERROR(_xlfn.XLOOKUP(COMPROMISOS_2025[[#This Row],[concatenado]],PAA[[#All],[RCP-RUBRO]],PAA[[#All],[Actividad3]],VLOOKUP(COMPROMISOS_2025[[#This Row],[Indicador Principal]],$AC$2:$AD$17,2,0),0),"")</f>
        <v/>
      </c>
    </row>
    <row r="3055" spans="1:25" hidden="1" x14ac:dyDescent="0.25">
      <c r="A3055">
        <v>68</v>
      </c>
      <c r="B3055" t="s">
        <v>4526</v>
      </c>
      <c r="C3055" t="s">
        <v>1775</v>
      </c>
      <c r="D3055" t="s">
        <v>2292</v>
      </c>
      <c r="E3055" t="s">
        <v>4527</v>
      </c>
      <c r="F3055">
        <v>47</v>
      </c>
      <c r="G3055">
        <v>70</v>
      </c>
      <c r="H3055" t="s">
        <v>266</v>
      </c>
      <c r="I3055" t="s">
        <v>2290</v>
      </c>
      <c r="J3055">
        <v>12034880</v>
      </c>
      <c r="K3055">
        <v>2025</v>
      </c>
      <c r="L3055">
        <v>10172089144</v>
      </c>
      <c r="M3055" t="s">
        <v>4528</v>
      </c>
      <c r="N3055" t="s">
        <v>1688</v>
      </c>
      <c r="O3055" t="s">
        <v>1686</v>
      </c>
      <c r="P3055">
        <v>0</v>
      </c>
      <c r="Q3055">
        <v>12034880</v>
      </c>
      <c r="R3055">
        <v>0</v>
      </c>
      <c r="S3055">
        <v>0</v>
      </c>
      <c r="T3055" t="str">
        <f t="shared" si="94"/>
        <v>683.43.4301.01.0-205128.2.3.2.02.02.008.14.</v>
      </c>
      <c r="U3055" t="e" cm="1">
        <f t="array" aca="1" ref="U3055" ca="1">+IF(COMPROMISOS_2025[[#This Row],[P]]="20","41080111",_xlfn.XLOOKUP(COMPROMISOS_2025[[#This Row],[concatenado]],PAA[[#All],[RCP-RUBRO]],PAA[[#All],[INDICADOR]],"",0))</f>
        <v>#NAME?</v>
      </c>
      <c r="V3055" s="144" t="str">
        <f t="shared" si="95"/>
        <v>01</v>
      </c>
      <c r="W3055" s="136">
        <f>+COMPROMISOS_2025[[#This Row],[valor_total]]-COMPROMISOS_2025[[#This Row],[total_cancelado]]</f>
        <v>12034880</v>
      </c>
      <c r="X3055" s="136">
        <f>COMPROMISOS_2025[[#This Row],[total_ordenes]]</f>
        <v>12034880</v>
      </c>
      <c r="Y3055" t="str" cm="1">
        <f t="array" aca="1" ref="Y3055" ca="1">IFERROR(_xlfn.XLOOKUP(COMPROMISOS_2025[[#This Row],[concatenado]],PAA[[#All],[RCP-RUBRO]],PAA[[#All],[Actividad3]],VLOOKUP(COMPROMISOS_2025[[#This Row],[Indicador Principal]],$AC$2:$AD$17,2,0),0),"")</f>
        <v/>
      </c>
    </row>
    <row r="3056" spans="1:25" hidden="1" x14ac:dyDescent="0.25">
      <c r="A3056">
        <v>88</v>
      </c>
      <c r="B3056" t="s">
        <v>4529</v>
      </c>
      <c r="C3056" t="s">
        <v>1775</v>
      </c>
      <c r="D3056" t="s">
        <v>2296</v>
      </c>
      <c r="E3056" t="s">
        <v>4530</v>
      </c>
      <c r="F3056">
        <v>49</v>
      </c>
      <c r="G3056">
        <v>70</v>
      </c>
      <c r="H3056" t="s">
        <v>266</v>
      </c>
      <c r="I3056" t="s">
        <v>2290</v>
      </c>
      <c r="J3056">
        <v>11034880</v>
      </c>
      <c r="K3056">
        <v>2025</v>
      </c>
      <c r="L3056">
        <v>10171653837</v>
      </c>
      <c r="M3056" t="s">
        <v>4531</v>
      </c>
      <c r="N3056" t="s">
        <v>1688</v>
      </c>
      <c r="O3056" t="s">
        <v>1686</v>
      </c>
      <c r="P3056">
        <v>0</v>
      </c>
      <c r="Q3056">
        <v>2482848</v>
      </c>
      <c r="R3056">
        <v>0</v>
      </c>
      <c r="S3056">
        <v>8552032</v>
      </c>
      <c r="T3056" t="str">
        <f t="shared" si="94"/>
        <v>883.43.4301.01.0-205128.2.3.2.02.02.008.14.</v>
      </c>
      <c r="U3056" t="e" cm="1">
        <f t="array" aca="1" ref="U3056" ca="1">+IF(COMPROMISOS_2025[[#This Row],[P]]="20","41080111",_xlfn.XLOOKUP(COMPROMISOS_2025[[#This Row],[concatenado]],PAA[[#All],[RCP-RUBRO]],PAA[[#All],[INDICADOR]],"",0))</f>
        <v>#NAME?</v>
      </c>
      <c r="V3056" s="144" t="str">
        <f t="shared" si="95"/>
        <v>01</v>
      </c>
      <c r="W3056" s="136">
        <f>+COMPROMISOS_2025[[#This Row],[valor_total]]-COMPROMISOS_2025[[#This Row],[total_cancelado]]</f>
        <v>11034880</v>
      </c>
      <c r="X3056" s="136">
        <f>COMPROMISOS_2025[[#This Row],[total_ordenes]]</f>
        <v>2482848</v>
      </c>
      <c r="Y3056" t="str" cm="1">
        <f t="array" aca="1" ref="Y3056" ca="1">IFERROR(_xlfn.XLOOKUP(COMPROMISOS_2025[[#This Row],[concatenado]],PAA[[#All],[RCP-RUBRO]],PAA[[#All],[Actividad3]],VLOOKUP(COMPROMISOS_2025[[#This Row],[Indicador Principal]],$AC$2:$AD$17,2,0),0),"")</f>
        <v/>
      </c>
    </row>
    <row r="3057" spans="1:25" hidden="1" x14ac:dyDescent="0.25">
      <c r="A3057">
        <v>90</v>
      </c>
      <c r="B3057" t="s">
        <v>4532</v>
      </c>
      <c r="C3057" t="s">
        <v>1775</v>
      </c>
      <c r="D3057" t="s">
        <v>2300</v>
      </c>
      <c r="E3057" t="s">
        <v>4533</v>
      </c>
      <c r="F3057">
        <v>51</v>
      </c>
      <c r="G3057">
        <v>70</v>
      </c>
      <c r="H3057" t="s">
        <v>266</v>
      </c>
      <c r="I3057" t="s">
        <v>2290</v>
      </c>
      <c r="J3057">
        <v>12034880</v>
      </c>
      <c r="K3057">
        <v>2025</v>
      </c>
      <c r="L3057">
        <v>1037612757</v>
      </c>
      <c r="M3057" t="s">
        <v>4534</v>
      </c>
      <c r="N3057" t="s">
        <v>1688</v>
      </c>
      <c r="O3057" t="s">
        <v>1686</v>
      </c>
      <c r="P3057">
        <v>0</v>
      </c>
      <c r="Q3057">
        <v>2707848</v>
      </c>
      <c r="R3057">
        <v>0</v>
      </c>
      <c r="S3057">
        <v>9327032</v>
      </c>
      <c r="T3057" t="str">
        <f t="shared" si="94"/>
        <v>903.43.4301.01.0-205128.2.3.2.02.02.008.14.</v>
      </c>
      <c r="U3057" t="e" cm="1">
        <f t="array" aca="1" ref="U3057" ca="1">+IF(COMPROMISOS_2025[[#This Row],[P]]="20","41080111",_xlfn.XLOOKUP(COMPROMISOS_2025[[#This Row],[concatenado]],PAA[[#All],[RCP-RUBRO]],PAA[[#All],[INDICADOR]],"",0))</f>
        <v>#NAME?</v>
      </c>
      <c r="V3057" s="144" t="str">
        <f t="shared" si="95"/>
        <v>01</v>
      </c>
      <c r="W3057" s="136">
        <f>+COMPROMISOS_2025[[#This Row],[valor_total]]-COMPROMISOS_2025[[#This Row],[total_cancelado]]</f>
        <v>12034880</v>
      </c>
      <c r="X3057" s="136">
        <f>COMPROMISOS_2025[[#This Row],[total_ordenes]]</f>
        <v>2707848</v>
      </c>
      <c r="Y3057" t="str" cm="1">
        <f t="array" aca="1" ref="Y3057" ca="1">IFERROR(_xlfn.XLOOKUP(COMPROMISOS_2025[[#This Row],[concatenado]],PAA[[#All],[RCP-RUBRO]],PAA[[#All],[Actividad3]],VLOOKUP(COMPROMISOS_2025[[#This Row],[Indicador Principal]],$AC$2:$AD$17,2,0),0),"")</f>
        <v/>
      </c>
    </row>
    <row r="3058" spans="1:25" hidden="1" x14ac:dyDescent="0.25">
      <c r="A3058">
        <v>423</v>
      </c>
      <c r="B3058" t="s">
        <v>4535</v>
      </c>
      <c r="C3058" t="s">
        <v>1775</v>
      </c>
      <c r="D3058" t="s">
        <v>2306</v>
      </c>
      <c r="E3058" t="s">
        <v>4536</v>
      </c>
      <c r="F3058">
        <v>295</v>
      </c>
      <c r="G3058">
        <v>70</v>
      </c>
      <c r="H3058" t="s">
        <v>266</v>
      </c>
      <c r="I3058" t="s">
        <v>2290</v>
      </c>
      <c r="J3058">
        <v>18293600</v>
      </c>
      <c r="K3058">
        <v>2025</v>
      </c>
      <c r="L3058">
        <v>10366828938</v>
      </c>
      <c r="M3058" t="s">
        <v>4537</v>
      </c>
      <c r="N3058" t="s">
        <v>1688</v>
      </c>
      <c r="O3058" t="s">
        <v>1686</v>
      </c>
      <c r="P3058">
        <v>0</v>
      </c>
      <c r="Q3058">
        <v>1755087</v>
      </c>
      <c r="R3058">
        <v>0</v>
      </c>
      <c r="S3058">
        <v>16538513</v>
      </c>
      <c r="T3058" t="str">
        <f t="shared" si="94"/>
        <v>4233.43.4301.01.0-205128.2.3.2.02.02.008.14.</v>
      </c>
      <c r="U3058" t="e" cm="1">
        <f t="array" aca="1" ref="U3058" ca="1">+IF(COMPROMISOS_2025[[#This Row],[P]]="20","41080111",_xlfn.XLOOKUP(COMPROMISOS_2025[[#This Row],[concatenado]],PAA[[#All],[RCP-RUBRO]],PAA[[#All],[INDICADOR]],"",0))</f>
        <v>#NAME?</v>
      </c>
      <c r="V3058" s="144" t="str">
        <f t="shared" si="95"/>
        <v>01</v>
      </c>
      <c r="W3058" s="136">
        <f>+COMPROMISOS_2025[[#This Row],[valor_total]]-COMPROMISOS_2025[[#This Row],[total_cancelado]]</f>
        <v>18293600</v>
      </c>
      <c r="X3058" s="136">
        <f>COMPROMISOS_2025[[#This Row],[total_ordenes]]</f>
        <v>1755087</v>
      </c>
      <c r="Y3058" t="str" cm="1">
        <f t="array" aca="1" ref="Y3058" ca="1">IFERROR(_xlfn.XLOOKUP(COMPROMISOS_2025[[#This Row],[concatenado]],PAA[[#All],[RCP-RUBRO]],PAA[[#All],[Actividad3]],VLOOKUP(COMPROMISOS_2025[[#This Row],[Indicador Principal]],$AC$2:$AD$17,2,0),0),"")</f>
        <v/>
      </c>
    </row>
    <row r="3059" spans="1:25" hidden="1" x14ac:dyDescent="0.25">
      <c r="A3059">
        <v>439</v>
      </c>
      <c r="B3059" t="s">
        <v>4538</v>
      </c>
      <c r="C3059" t="s">
        <v>1775</v>
      </c>
      <c r="D3059" t="s">
        <v>2308</v>
      </c>
      <c r="E3059" t="s">
        <v>4539</v>
      </c>
      <c r="F3059">
        <v>299</v>
      </c>
      <c r="G3059">
        <v>70</v>
      </c>
      <c r="H3059" t="s">
        <v>266</v>
      </c>
      <c r="I3059" t="s">
        <v>2290</v>
      </c>
      <c r="J3059">
        <v>15317120</v>
      </c>
      <c r="K3059">
        <v>2025</v>
      </c>
      <c r="L3059">
        <v>394553593</v>
      </c>
      <c r="M3059" t="s">
        <v>4540</v>
      </c>
      <c r="N3059" t="s">
        <v>1688</v>
      </c>
      <c r="O3059" t="s">
        <v>1686</v>
      </c>
      <c r="P3059">
        <v>0</v>
      </c>
      <c r="Q3059">
        <v>8934986</v>
      </c>
      <c r="R3059">
        <v>0</v>
      </c>
      <c r="S3059">
        <v>6382134</v>
      </c>
      <c r="T3059" t="str">
        <f t="shared" si="94"/>
        <v>4393.43.4301.01.0-205128.2.3.2.02.02.008.14.</v>
      </c>
      <c r="U3059" t="e" cm="1">
        <f t="array" aca="1" ref="U3059" ca="1">+IF(COMPROMISOS_2025[[#This Row],[P]]="20","41080111",_xlfn.XLOOKUP(COMPROMISOS_2025[[#This Row],[concatenado]],PAA[[#All],[RCP-RUBRO]],PAA[[#All],[INDICADOR]],"",0))</f>
        <v>#NAME?</v>
      </c>
      <c r="V3059" s="144" t="str">
        <f t="shared" si="95"/>
        <v>01</v>
      </c>
      <c r="W3059" s="136">
        <f>+COMPROMISOS_2025[[#This Row],[valor_total]]-COMPROMISOS_2025[[#This Row],[total_cancelado]]</f>
        <v>15317120</v>
      </c>
      <c r="X3059" s="136">
        <f>COMPROMISOS_2025[[#This Row],[total_ordenes]]</f>
        <v>8934986</v>
      </c>
      <c r="Y3059" t="str" cm="1">
        <f t="array" aca="1" ref="Y3059" ca="1">IFERROR(_xlfn.XLOOKUP(COMPROMISOS_2025[[#This Row],[concatenado]],PAA[[#All],[RCP-RUBRO]],PAA[[#All],[Actividad3]],VLOOKUP(COMPROMISOS_2025[[#This Row],[Indicador Principal]],$AC$2:$AD$17,2,0),0),"")</f>
        <v/>
      </c>
    </row>
    <row r="3060" spans="1:25" hidden="1" x14ac:dyDescent="0.25">
      <c r="A3060">
        <v>121</v>
      </c>
      <c r="B3060" t="s">
        <v>4541</v>
      </c>
      <c r="C3060" t="s">
        <v>1775</v>
      </c>
      <c r="D3060" t="s">
        <v>2315</v>
      </c>
      <c r="E3060" t="s">
        <v>4542</v>
      </c>
      <c r="F3060">
        <v>291</v>
      </c>
      <c r="G3060">
        <v>71</v>
      </c>
      <c r="H3060" t="s">
        <v>296</v>
      </c>
      <c r="I3060" t="s">
        <v>2311</v>
      </c>
      <c r="J3060">
        <v>83968000</v>
      </c>
      <c r="K3060">
        <v>2025</v>
      </c>
      <c r="L3060">
        <v>437382753</v>
      </c>
      <c r="M3060" t="s">
        <v>4543</v>
      </c>
      <c r="N3060" t="s">
        <v>1688</v>
      </c>
      <c r="O3060" t="s">
        <v>1686</v>
      </c>
      <c r="P3060">
        <v>0</v>
      </c>
      <c r="Q3060">
        <v>11784153</v>
      </c>
      <c r="R3060">
        <v>0</v>
      </c>
      <c r="S3060">
        <v>72183847</v>
      </c>
      <c r="T3060" t="str">
        <f t="shared" si="94"/>
        <v>1213.43.4301.01.0-205128.2.3.2.02.02.009.07.</v>
      </c>
      <c r="U3060" t="e" cm="1">
        <f t="array" aca="1" ref="U3060" ca="1">+IF(COMPROMISOS_2025[[#This Row],[P]]="20","41080111",_xlfn.XLOOKUP(COMPROMISOS_2025[[#This Row],[concatenado]],PAA[[#All],[RCP-RUBRO]],PAA[[#All],[INDICADOR]],"",0))</f>
        <v>#NAME?</v>
      </c>
      <c r="V3060" s="144" t="str">
        <f t="shared" si="95"/>
        <v>01</v>
      </c>
      <c r="W3060" s="136">
        <f>+COMPROMISOS_2025[[#This Row],[valor_total]]-COMPROMISOS_2025[[#This Row],[total_cancelado]]</f>
        <v>83968000</v>
      </c>
      <c r="X3060" s="136">
        <f>COMPROMISOS_2025[[#This Row],[total_ordenes]]</f>
        <v>11784153</v>
      </c>
      <c r="Y3060" t="str" cm="1">
        <f t="array" aca="1" ref="Y3060" ca="1">IFERROR(_xlfn.XLOOKUP(COMPROMISOS_2025[[#This Row],[concatenado]],PAA[[#All],[RCP-RUBRO]],PAA[[#All],[Actividad3]],VLOOKUP(COMPROMISOS_2025[[#This Row],[Indicador Principal]],$AC$2:$AD$17,2,0),0),"")</f>
        <v/>
      </c>
    </row>
    <row r="3061" spans="1:25" hidden="1" x14ac:dyDescent="0.25">
      <c r="A3061">
        <v>133</v>
      </c>
      <c r="B3061" t="s">
        <v>4544</v>
      </c>
      <c r="C3061" t="s">
        <v>1775</v>
      </c>
      <c r="D3061" t="s">
        <v>2317</v>
      </c>
      <c r="E3061" t="s">
        <v>4545</v>
      </c>
      <c r="F3061">
        <v>292</v>
      </c>
      <c r="G3061">
        <v>71</v>
      </c>
      <c r="H3061" t="s">
        <v>296</v>
      </c>
      <c r="I3061" t="s">
        <v>2311</v>
      </c>
      <c r="J3061">
        <v>42940000</v>
      </c>
      <c r="K3061">
        <v>2025</v>
      </c>
      <c r="L3061">
        <v>10379768253</v>
      </c>
      <c r="M3061" t="s">
        <v>4546</v>
      </c>
      <c r="N3061" t="s">
        <v>1688</v>
      </c>
      <c r="O3061" t="s">
        <v>1686</v>
      </c>
      <c r="P3061">
        <v>0</v>
      </c>
      <c r="Q3061">
        <v>6251945</v>
      </c>
      <c r="R3061">
        <v>0</v>
      </c>
      <c r="S3061">
        <v>36688055</v>
      </c>
      <c r="T3061" t="str">
        <f t="shared" si="94"/>
        <v>1333.43.4301.01.0-205128.2.3.2.02.02.009.07.</v>
      </c>
      <c r="U3061" t="e" cm="1">
        <f t="array" aca="1" ref="U3061" ca="1">+IF(COMPROMISOS_2025[[#This Row],[P]]="20","41080111",_xlfn.XLOOKUP(COMPROMISOS_2025[[#This Row],[concatenado]],PAA[[#All],[RCP-RUBRO]],PAA[[#All],[INDICADOR]],"",0))</f>
        <v>#NAME?</v>
      </c>
      <c r="V3061" s="144" t="str">
        <f t="shared" si="95"/>
        <v>01</v>
      </c>
      <c r="W3061" s="136">
        <f>+COMPROMISOS_2025[[#This Row],[valor_total]]-COMPROMISOS_2025[[#This Row],[total_cancelado]]</f>
        <v>42940000</v>
      </c>
      <c r="X3061" s="136">
        <f>COMPROMISOS_2025[[#This Row],[total_ordenes]]</f>
        <v>6251945</v>
      </c>
      <c r="Y3061" t="str" cm="1">
        <f t="array" aca="1" ref="Y3061" ca="1">IFERROR(_xlfn.XLOOKUP(COMPROMISOS_2025[[#This Row],[concatenado]],PAA[[#All],[RCP-RUBRO]],PAA[[#All],[Actividad3]],VLOOKUP(COMPROMISOS_2025[[#This Row],[Indicador Principal]],$AC$2:$AD$17,2,0),0),"")</f>
        <v/>
      </c>
    </row>
    <row r="3062" spans="1:25" hidden="1" x14ac:dyDescent="0.25">
      <c r="A3062">
        <v>134</v>
      </c>
      <c r="B3062" t="s">
        <v>4547</v>
      </c>
      <c r="C3062" t="s">
        <v>1775</v>
      </c>
      <c r="D3062" t="s">
        <v>2310</v>
      </c>
      <c r="E3062" t="s">
        <v>4548</v>
      </c>
      <c r="F3062">
        <v>286</v>
      </c>
      <c r="G3062">
        <v>71</v>
      </c>
      <c r="H3062" t="s">
        <v>296</v>
      </c>
      <c r="I3062" t="s">
        <v>2311</v>
      </c>
      <c r="J3062">
        <v>83968000</v>
      </c>
      <c r="K3062">
        <v>2025</v>
      </c>
      <c r="L3062">
        <v>986356209</v>
      </c>
      <c r="M3062" t="s">
        <v>4549</v>
      </c>
      <c r="N3062" t="s">
        <v>1688</v>
      </c>
      <c r="O3062" t="s">
        <v>1686</v>
      </c>
      <c r="P3062">
        <v>0</v>
      </c>
      <c r="Q3062">
        <v>10781247</v>
      </c>
      <c r="R3062">
        <v>0</v>
      </c>
      <c r="S3062">
        <v>73186753</v>
      </c>
      <c r="T3062" t="str">
        <f t="shared" si="94"/>
        <v>1343.43.4301.01.0-205128.2.3.2.02.02.009.07.</v>
      </c>
      <c r="U3062" t="e" cm="1">
        <f t="array" aca="1" ref="U3062" ca="1">+IF(COMPROMISOS_2025[[#This Row],[P]]="20","41080111",_xlfn.XLOOKUP(COMPROMISOS_2025[[#This Row],[concatenado]],PAA[[#All],[RCP-RUBRO]],PAA[[#All],[INDICADOR]],"",0))</f>
        <v>#NAME?</v>
      </c>
      <c r="V3062" s="144" t="str">
        <f t="shared" si="95"/>
        <v>01</v>
      </c>
      <c r="W3062" s="136">
        <f>+COMPROMISOS_2025[[#This Row],[valor_total]]-COMPROMISOS_2025[[#This Row],[total_cancelado]]</f>
        <v>83968000</v>
      </c>
      <c r="X3062" s="136">
        <f>COMPROMISOS_2025[[#This Row],[total_ordenes]]</f>
        <v>10781247</v>
      </c>
      <c r="Y3062" t="str" cm="1">
        <f t="array" aca="1" ref="Y3062" ca="1">IFERROR(_xlfn.XLOOKUP(COMPROMISOS_2025[[#This Row],[concatenado]],PAA[[#All],[RCP-RUBRO]],PAA[[#All],[Actividad3]],VLOOKUP(COMPROMISOS_2025[[#This Row],[Indicador Principal]],$AC$2:$AD$17,2,0),0),"")</f>
        <v/>
      </c>
    </row>
    <row r="3063" spans="1:25" hidden="1" x14ac:dyDescent="0.25">
      <c r="A3063">
        <v>140</v>
      </c>
      <c r="B3063" t="s">
        <v>4550</v>
      </c>
      <c r="C3063" t="s">
        <v>1775</v>
      </c>
      <c r="D3063" t="s">
        <v>2313</v>
      </c>
      <c r="E3063" t="s">
        <v>4551</v>
      </c>
      <c r="F3063">
        <v>287</v>
      </c>
      <c r="G3063">
        <v>71</v>
      </c>
      <c r="H3063" t="s">
        <v>296</v>
      </c>
      <c r="I3063" t="s">
        <v>2311</v>
      </c>
      <c r="J3063">
        <v>83968000</v>
      </c>
      <c r="K3063">
        <v>2025</v>
      </c>
      <c r="L3063">
        <v>437440411</v>
      </c>
      <c r="M3063" t="s">
        <v>4552</v>
      </c>
      <c r="N3063" t="s">
        <v>1688</v>
      </c>
      <c r="O3063" t="s">
        <v>1686</v>
      </c>
      <c r="P3063">
        <v>0</v>
      </c>
      <c r="Q3063">
        <v>10781247</v>
      </c>
      <c r="R3063">
        <v>0</v>
      </c>
      <c r="S3063">
        <v>73186753</v>
      </c>
      <c r="T3063" t="str">
        <f t="shared" si="94"/>
        <v>1403.43.4301.01.0-205128.2.3.2.02.02.009.07.</v>
      </c>
      <c r="U3063" t="e" cm="1">
        <f t="array" aca="1" ref="U3063" ca="1">+IF(COMPROMISOS_2025[[#This Row],[P]]="20","41080111",_xlfn.XLOOKUP(COMPROMISOS_2025[[#This Row],[concatenado]],PAA[[#All],[RCP-RUBRO]],PAA[[#All],[INDICADOR]],"",0))</f>
        <v>#NAME?</v>
      </c>
      <c r="V3063" s="144" t="str">
        <f t="shared" si="95"/>
        <v>01</v>
      </c>
      <c r="W3063" s="136">
        <f>+COMPROMISOS_2025[[#This Row],[valor_total]]-COMPROMISOS_2025[[#This Row],[total_cancelado]]</f>
        <v>83968000</v>
      </c>
      <c r="X3063" s="136">
        <f>COMPROMISOS_2025[[#This Row],[total_ordenes]]</f>
        <v>10781247</v>
      </c>
      <c r="Y3063" t="str" cm="1">
        <f t="array" aca="1" ref="Y3063" ca="1">IFERROR(_xlfn.XLOOKUP(COMPROMISOS_2025[[#This Row],[concatenado]],PAA[[#All],[RCP-RUBRO]],PAA[[#All],[Actividad3]],VLOOKUP(COMPROMISOS_2025[[#This Row],[Indicador Principal]],$AC$2:$AD$17,2,0),0),"")</f>
        <v/>
      </c>
    </row>
    <row r="3064" spans="1:25" hidden="1" x14ac:dyDescent="0.25">
      <c r="A3064">
        <v>141</v>
      </c>
      <c r="B3064" t="s">
        <v>4553</v>
      </c>
      <c r="C3064" t="s">
        <v>1775</v>
      </c>
      <c r="D3064" t="s">
        <v>2319</v>
      </c>
      <c r="E3064" t="s">
        <v>4554</v>
      </c>
      <c r="F3064">
        <v>293</v>
      </c>
      <c r="G3064">
        <v>71</v>
      </c>
      <c r="H3064" t="s">
        <v>296</v>
      </c>
      <c r="I3064" t="s">
        <v>2311</v>
      </c>
      <c r="J3064">
        <v>83968000</v>
      </c>
      <c r="K3064">
        <v>2025</v>
      </c>
      <c r="L3064">
        <v>98606974</v>
      </c>
      <c r="M3064" t="s">
        <v>4555</v>
      </c>
      <c r="N3064" t="s">
        <v>1688</v>
      </c>
      <c r="O3064" t="s">
        <v>1686</v>
      </c>
      <c r="P3064">
        <v>0</v>
      </c>
      <c r="Q3064">
        <v>10781247</v>
      </c>
      <c r="R3064">
        <v>0</v>
      </c>
      <c r="S3064">
        <v>73186753</v>
      </c>
      <c r="T3064" t="str">
        <f t="shared" si="94"/>
        <v>1413.43.4301.01.0-205128.2.3.2.02.02.009.07.</v>
      </c>
      <c r="U3064" t="e" cm="1">
        <f t="array" aca="1" ref="U3064" ca="1">+IF(COMPROMISOS_2025[[#This Row],[P]]="20","41080111",_xlfn.XLOOKUP(COMPROMISOS_2025[[#This Row],[concatenado]],PAA[[#All],[RCP-RUBRO]],PAA[[#All],[INDICADOR]],"",0))</f>
        <v>#NAME?</v>
      </c>
      <c r="V3064" s="144" t="str">
        <f t="shared" si="95"/>
        <v>01</v>
      </c>
      <c r="W3064" s="136">
        <f>+COMPROMISOS_2025[[#This Row],[valor_total]]-COMPROMISOS_2025[[#This Row],[total_cancelado]]</f>
        <v>83968000</v>
      </c>
      <c r="X3064" s="136">
        <f>COMPROMISOS_2025[[#This Row],[total_ordenes]]</f>
        <v>10781247</v>
      </c>
      <c r="Y3064" t="str" cm="1">
        <f t="array" aca="1" ref="Y3064" ca="1">IFERROR(_xlfn.XLOOKUP(COMPROMISOS_2025[[#This Row],[concatenado]],PAA[[#All],[RCP-RUBRO]],PAA[[#All],[Actividad3]],VLOOKUP(COMPROMISOS_2025[[#This Row],[Indicador Principal]],$AC$2:$AD$17,2,0),0),"")</f>
        <v/>
      </c>
    </row>
    <row r="3065" spans="1:25" hidden="1" x14ac:dyDescent="0.25">
      <c r="A3065">
        <v>143</v>
      </c>
      <c r="B3065" t="s">
        <v>4556</v>
      </c>
      <c r="C3065" t="s">
        <v>1775</v>
      </c>
      <c r="D3065" t="s">
        <v>2321</v>
      </c>
      <c r="E3065" t="s">
        <v>4557</v>
      </c>
      <c r="F3065">
        <v>294</v>
      </c>
      <c r="G3065">
        <v>71</v>
      </c>
      <c r="H3065" t="s">
        <v>296</v>
      </c>
      <c r="I3065" t="s">
        <v>2311</v>
      </c>
      <c r="J3065">
        <v>85218000</v>
      </c>
      <c r="K3065">
        <v>2025</v>
      </c>
      <c r="L3065">
        <v>10375247754</v>
      </c>
      <c r="M3065" t="s">
        <v>4558</v>
      </c>
      <c r="N3065" t="s">
        <v>1688</v>
      </c>
      <c r="O3065" t="s">
        <v>1686</v>
      </c>
      <c r="P3065">
        <v>0</v>
      </c>
      <c r="Q3065">
        <v>10279793</v>
      </c>
      <c r="R3065">
        <v>0</v>
      </c>
      <c r="S3065">
        <v>74938207</v>
      </c>
      <c r="T3065" t="str">
        <f t="shared" si="94"/>
        <v>1433.43.4301.01.0-205128.2.3.2.02.02.009.07.</v>
      </c>
      <c r="U3065" t="e" cm="1">
        <f t="array" aca="1" ref="U3065" ca="1">+IF(COMPROMISOS_2025[[#This Row],[P]]="20","41080111",_xlfn.XLOOKUP(COMPROMISOS_2025[[#This Row],[concatenado]],PAA[[#All],[RCP-RUBRO]],PAA[[#All],[INDICADOR]],"",0))</f>
        <v>#NAME?</v>
      </c>
      <c r="V3065" s="144" t="str">
        <f t="shared" si="95"/>
        <v>01</v>
      </c>
      <c r="W3065" s="136">
        <f>+COMPROMISOS_2025[[#This Row],[valor_total]]-COMPROMISOS_2025[[#This Row],[total_cancelado]]</f>
        <v>85218000</v>
      </c>
      <c r="X3065" s="136">
        <f>COMPROMISOS_2025[[#This Row],[total_ordenes]]</f>
        <v>10279793</v>
      </c>
      <c r="Y3065" t="str" cm="1">
        <f t="array" aca="1" ref="Y3065" ca="1">IFERROR(_xlfn.XLOOKUP(COMPROMISOS_2025[[#This Row],[concatenado]],PAA[[#All],[RCP-RUBRO]],PAA[[#All],[Actividad3]],VLOOKUP(COMPROMISOS_2025[[#This Row],[Indicador Principal]],$AC$2:$AD$17,2,0),0),"")</f>
        <v/>
      </c>
    </row>
    <row r="3066" spans="1:25" hidden="1" x14ac:dyDescent="0.25">
      <c r="A3066">
        <v>444</v>
      </c>
      <c r="B3066" t="s">
        <v>4559</v>
      </c>
      <c r="C3066" t="s">
        <v>1775</v>
      </c>
      <c r="D3066" t="s">
        <v>2323</v>
      </c>
      <c r="E3066" t="s">
        <v>4560</v>
      </c>
      <c r="F3066">
        <v>311</v>
      </c>
      <c r="G3066">
        <v>71</v>
      </c>
      <c r="H3066" t="s">
        <v>296</v>
      </c>
      <c r="I3066" t="s">
        <v>2311</v>
      </c>
      <c r="J3066">
        <v>25565400</v>
      </c>
      <c r="K3066">
        <v>2025</v>
      </c>
      <c r="L3066">
        <v>154274628</v>
      </c>
      <c r="M3066" t="s">
        <v>4561</v>
      </c>
      <c r="N3066" t="s">
        <v>1688</v>
      </c>
      <c r="O3066" t="s">
        <v>1686</v>
      </c>
      <c r="P3066">
        <v>0</v>
      </c>
      <c r="Q3066">
        <v>6769602</v>
      </c>
      <c r="R3066">
        <v>0</v>
      </c>
      <c r="S3066">
        <v>18795798</v>
      </c>
      <c r="T3066" t="str">
        <f t="shared" si="94"/>
        <v>4443.43.4301.01.0-205128.2.3.2.02.02.009.07.</v>
      </c>
      <c r="U3066" t="e" cm="1">
        <f t="array" aca="1" ref="U3066" ca="1">+IF(COMPROMISOS_2025[[#This Row],[P]]="20","41080111",_xlfn.XLOOKUP(COMPROMISOS_2025[[#This Row],[concatenado]],PAA[[#All],[RCP-RUBRO]],PAA[[#All],[INDICADOR]],"",0))</f>
        <v>#NAME?</v>
      </c>
      <c r="V3066" s="144" t="str">
        <f t="shared" si="95"/>
        <v>01</v>
      </c>
      <c r="W3066" s="136">
        <f>+COMPROMISOS_2025[[#This Row],[valor_total]]-COMPROMISOS_2025[[#This Row],[total_cancelado]]</f>
        <v>25565400</v>
      </c>
      <c r="X3066" s="136">
        <f>COMPROMISOS_2025[[#This Row],[total_ordenes]]</f>
        <v>6769602</v>
      </c>
      <c r="Y3066" t="str" cm="1">
        <f t="array" aca="1" ref="Y3066" ca="1">IFERROR(_xlfn.XLOOKUP(COMPROMISOS_2025[[#This Row],[concatenado]],PAA[[#All],[RCP-RUBRO]],PAA[[#All],[Actividad3]],VLOOKUP(COMPROMISOS_2025[[#This Row],[Indicador Principal]],$AC$2:$AD$17,2,0),0),"")</f>
        <v/>
      </c>
    </row>
    <row r="3067" spans="1:25" hidden="1" x14ac:dyDescent="0.25">
      <c r="A3067">
        <v>448</v>
      </c>
      <c r="B3067" t="s">
        <v>4562</v>
      </c>
      <c r="C3067" t="s">
        <v>1775</v>
      </c>
      <c r="D3067" t="s">
        <v>2329</v>
      </c>
      <c r="E3067" t="s">
        <v>4563</v>
      </c>
      <c r="F3067">
        <v>354</v>
      </c>
      <c r="G3067">
        <v>71</v>
      </c>
      <c r="H3067" t="s">
        <v>296</v>
      </c>
      <c r="I3067" t="s">
        <v>2311</v>
      </c>
      <c r="J3067">
        <v>44190000</v>
      </c>
      <c r="K3067">
        <v>2025</v>
      </c>
      <c r="L3067">
        <v>986472928</v>
      </c>
      <c r="M3067" t="s">
        <v>4564</v>
      </c>
      <c r="N3067" t="s">
        <v>1688</v>
      </c>
      <c r="O3067" t="s">
        <v>1686</v>
      </c>
      <c r="P3067">
        <v>0</v>
      </c>
      <c r="Q3067">
        <v>0</v>
      </c>
      <c r="R3067">
        <v>0</v>
      </c>
      <c r="S3067">
        <v>44190000</v>
      </c>
      <c r="T3067" t="str">
        <f t="shared" si="94"/>
        <v>4483.43.4301.01.0-205128.2.3.2.02.02.009.07.</v>
      </c>
      <c r="U3067" t="e" cm="1">
        <f t="array" aca="1" ref="U3067" ca="1">+IF(COMPROMISOS_2025[[#This Row],[P]]="20","41080111",_xlfn.XLOOKUP(COMPROMISOS_2025[[#This Row],[concatenado]],PAA[[#All],[RCP-RUBRO]],PAA[[#All],[INDICADOR]],"",0))</f>
        <v>#NAME?</v>
      </c>
      <c r="V3067" s="144" t="str">
        <f t="shared" si="95"/>
        <v>01</v>
      </c>
      <c r="W3067" s="136">
        <f>+COMPROMISOS_2025[[#This Row],[valor_total]]-COMPROMISOS_2025[[#This Row],[total_cancelado]]</f>
        <v>44190000</v>
      </c>
      <c r="X3067" s="136">
        <f>COMPROMISOS_2025[[#This Row],[total_ordenes]]</f>
        <v>0</v>
      </c>
      <c r="Y3067" t="str" cm="1">
        <f t="array" aca="1" ref="Y3067" ca="1">IFERROR(_xlfn.XLOOKUP(COMPROMISOS_2025[[#This Row],[concatenado]],PAA[[#All],[RCP-RUBRO]],PAA[[#All],[Actividad3]],VLOOKUP(COMPROMISOS_2025[[#This Row],[Indicador Principal]],$AC$2:$AD$17,2,0),0),"")</f>
        <v/>
      </c>
    </row>
    <row r="3068" spans="1:25" hidden="1" x14ac:dyDescent="0.25">
      <c r="A3068">
        <v>781</v>
      </c>
      <c r="B3068" t="s">
        <v>4565</v>
      </c>
      <c r="C3068" t="s">
        <v>1775</v>
      </c>
      <c r="D3068" t="s">
        <v>2327</v>
      </c>
      <c r="E3068" t="s">
        <v>4566</v>
      </c>
      <c r="F3068">
        <v>348</v>
      </c>
      <c r="G3068">
        <v>71</v>
      </c>
      <c r="H3068" t="s">
        <v>296</v>
      </c>
      <c r="I3068" t="s">
        <v>2311</v>
      </c>
      <c r="J3068">
        <v>44190000</v>
      </c>
      <c r="K3068">
        <v>2025</v>
      </c>
      <c r="L3068">
        <v>10204136591</v>
      </c>
      <c r="M3068" t="s">
        <v>4567</v>
      </c>
      <c r="N3068" t="s">
        <v>1688</v>
      </c>
      <c r="O3068" t="s">
        <v>1686</v>
      </c>
      <c r="P3068">
        <v>0</v>
      </c>
      <c r="Q3068">
        <v>2963133</v>
      </c>
      <c r="R3068">
        <v>0</v>
      </c>
      <c r="S3068">
        <v>41226867</v>
      </c>
      <c r="T3068" t="str">
        <f t="shared" si="94"/>
        <v>7813.43.4301.01.0-205128.2.3.2.02.02.009.07.</v>
      </c>
      <c r="U3068" t="e" cm="1">
        <f t="array" aca="1" ref="U3068" ca="1">+IF(COMPROMISOS_2025[[#This Row],[P]]="20","41080111",_xlfn.XLOOKUP(COMPROMISOS_2025[[#This Row],[concatenado]],PAA[[#All],[RCP-RUBRO]],PAA[[#All],[INDICADOR]],"",0))</f>
        <v>#NAME?</v>
      </c>
      <c r="V3068" s="144" t="str">
        <f t="shared" si="95"/>
        <v>01</v>
      </c>
      <c r="W3068" s="136">
        <f>+COMPROMISOS_2025[[#This Row],[valor_total]]-COMPROMISOS_2025[[#This Row],[total_cancelado]]</f>
        <v>44190000</v>
      </c>
      <c r="X3068" s="136">
        <f>COMPROMISOS_2025[[#This Row],[total_ordenes]]</f>
        <v>2963133</v>
      </c>
      <c r="Y3068" t="str" cm="1">
        <f t="array" aca="1" ref="Y3068" ca="1">IFERROR(_xlfn.XLOOKUP(COMPROMISOS_2025[[#This Row],[concatenado]],PAA[[#All],[RCP-RUBRO]],PAA[[#All],[Actividad3]],VLOOKUP(COMPROMISOS_2025[[#This Row],[Indicador Principal]],$AC$2:$AD$17,2,0),0),"")</f>
        <v/>
      </c>
    </row>
    <row r="3069" spans="1:25" hidden="1" x14ac:dyDescent="0.25">
      <c r="A3069">
        <v>1192</v>
      </c>
      <c r="B3069" t="s">
        <v>4568</v>
      </c>
      <c r="C3069" t="s">
        <v>1775</v>
      </c>
      <c r="D3069" t="s">
        <v>2325</v>
      </c>
      <c r="E3069" t="s">
        <v>4569</v>
      </c>
      <c r="F3069">
        <v>347</v>
      </c>
      <c r="G3069">
        <v>71</v>
      </c>
      <c r="H3069" t="s">
        <v>296</v>
      </c>
      <c r="I3069" t="s">
        <v>2311</v>
      </c>
      <c r="J3069">
        <v>67112743</v>
      </c>
      <c r="K3069">
        <v>2025</v>
      </c>
      <c r="L3069">
        <v>322288636</v>
      </c>
      <c r="M3069" t="s">
        <v>4570</v>
      </c>
      <c r="N3069" t="s">
        <v>1688</v>
      </c>
      <c r="O3069" t="s">
        <v>1686</v>
      </c>
      <c r="P3069">
        <v>0</v>
      </c>
      <c r="Q3069">
        <v>5014533</v>
      </c>
      <c r="R3069">
        <v>0</v>
      </c>
      <c r="S3069">
        <v>62098210</v>
      </c>
      <c r="T3069" t="str">
        <f t="shared" si="94"/>
        <v>11923.43.4301.01.0-205128.2.3.2.02.02.009.07.</v>
      </c>
      <c r="U3069" t="e" cm="1">
        <f t="array" aca="1" ref="U3069" ca="1">+IF(COMPROMISOS_2025[[#This Row],[P]]="20","41080111",_xlfn.XLOOKUP(COMPROMISOS_2025[[#This Row],[concatenado]],PAA[[#All],[RCP-RUBRO]],PAA[[#All],[INDICADOR]],"",0))</f>
        <v>#NAME?</v>
      </c>
      <c r="V3069" s="144" t="str">
        <f t="shared" si="95"/>
        <v>01</v>
      </c>
      <c r="W3069" s="136">
        <f>+COMPROMISOS_2025[[#This Row],[valor_total]]-COMPROMISOS_2025[[#This Row],[total_cancelado]]</f>
        <v>67112743</v>
      </c>
      <c r="X3069" s="136">
        <f>COMPROMISOS_2025[[#This Row],[total_ordenes]]</f>
        <v>5014533</v>
      </c>
      <c r="Y3069" t="str" cm="1">
        <f t="array" aca="1" ref="Y3069" ca="1">IFERROR(_xlfn.XLOOKUP(COMPROMISOS_2025[[#This Row],[concatenado]],PAA[[#All],[RCP-RUBRO]],PAA[[#All],[Actividad3]],VLOOKUP(COMPROMISOS_2025[[#This Row],[Indicador Principal]],$AC$2:$AD$17,2,0),0),"")</f>
        <v/>
      </c>
    </row>
    <row r="3070" spans="1:25" hidden="1" x14ac:dyDescent="0.25">
      <c r="A3070">
        <v>2849</v>
      </c>
      <c r="B3070" t="s">
        <v>2682</v>
      </c>
      <c r="C3070" t="s">
        <v>1775</v>
      </c>
      <c r="D3070" t="s">
        <v>1774</v>
      </c>
      <c r="E3070" t="s">
        <v>2683</v>
      </c>
      <c r="F3070">
        <v>382</v>
      </c>
      <c r="G3070">
        <v>72</v>
      </c>
      <c r="H3070" t="s">
        <v>769</v>
      </c>
      <c r="I3070" t="s">
        <v>2330</v>
      </c>
      <c r="J3070">
        <v>132000000</v>
      </c>
      <c r="K3070">
        <v>2025</v>
      </c>
      <c r="L3070">
        <v>9002857044</v>
      </c>
      <c r="M3070" t="s">
        <v>2684</v>
      </c>
      <c r="N3070" t="s">
        <v>1688</v>
      </c>
      <c r="O3070" t="s">
        <v>1686</v>
      </c>
      <c r="P3070">
        <v>0</v>
      </c>
      <c r="Q3070">
        <v>0</v>
      </c>
      <c r="R3070">
        <v>0</v>
      </c>
      <c r="S3070">
        <v>132000000</v>
      </c>
      <c r="T3070" t="str">
        <f t="shared" si="94"/>
        <v>28493.43.4301.01.0-205400.2.3.2.02.02.006.01.</v>
      </c>
      <c r="U3070" t="e" cm="1">
        <f t="array" aca="1" ref="U3070" ca="1">+IF(COMPROMISOS_2025[[#This Row],[P]]="20","41080111",_xlfn.XLOOKUP(COMPROMISOS_2025[[#This Row],[concatenado]],PAA[[#All],[RCP-RUBRO]],PAA[[#All],[INDICADOR]],"",0))</f>
        <v>#NAME?</v>
      </c>
      <c r="V3070" s="144" t="str">
        <f t="shared" si="95"/>
        <v>01</v>
      </c>
      <c r="W3070" s="136">
        <f>+COMPROMISOS_2025[[#This Row],[valor_total]]-COMPROMISOS_2025[[#This Row],[total_cancelado]]</f>
        <v>132000000</v>
      </c>
      <c r="X3070" s="136">
        <f>COMPROMISOS_2025[[#This Row],[total_ordenes]]</f>
        <v>0</v>
      </c>
      <c r="Y3070" t="str" cm="1">
        <f t="array" aca="1" ref="Y3070" ca="1">IFERROR(_xlfn.XLOOKUP(COMPROMISOS_2025[[#This Row],[concatenado]],PAA[[#All],[RCP-RUBRO]],PAA[[#All],[Actividad3]],VLOOKUP(COMPROMISOS_2025[[#This Row],[Indicador Principal]],$AC$2:$AD$17,2,0),0),"")</f>
        <v/>
      </c>
    </row>
    <row r="3071" spans="1:25" hidden="1" x14ac:dyDescent="0.25">
      <c r="A3071">
        <v>126</v>
      </c>
      <c r="B3071" t="s">
        <v>4571</v>
      </c>
      <c r="C3071" t="s">
        <v>1775</v>
      </c>
      <c r="D3071" t="s">
        <v>2337</v>
      </c>
      <c r="E3071" t="s">
        <v>4572</v>
      </c>
      <c r="F3071">
        <v>80</v>
      </c>
      <c r="G3071">
        <v>73</v>
      </c>
      <c r="H3071" t="s">
        <v>284</v>
      </c>
      <c r="I3071" t="s">
        <v>2333</v>
      </c>
      <c r="J3071">
        <v>83968000</v>
      </c>
      <c r="K3071">
        <v>2025</v>
      </c>
      <c r="L3071">
        <v>716541676</v>
      </c>
      <c r="M3071" t="s">
        <v>4573</v>
      </c>
      <c r="N3071" t="s">
        <v>1688</v>
      </c>
      <c r="O3071" t="s">
        <v>1686</v>
      </c>
      <c r="P3071">
        <v>0</v>
      </c>
      <c r="Q3071">
        <v>11031973</v>
      </c>
      <c r="R3071">
        <v>0</v>
      </c>
      <c r="S3071">
        <v>72936027</v>
      </c>
      <c r="T3071" t="str">
        <f t="shared" si="94"/>
        <v>1263.43.4301.01.0-205400.2.3.2.02.02.009.06.</v>
      </c>
      <c r="U3071" t="e" cm="1">
        <f t="array" aca="1" ref="U3071" ca="1">+IF(COMPROMISOS_2025[[#This Row],[P]]="20","41080111",_xlfn.XLOOKUP(COMPROMISOS_2025[[#This Row],[concatenado]],PAA[[#All],[RCP-RUBRO]],PAA[[#All],[INDICADOR]],"",0))</f>
        <v>#NAME?</v>
      </c>
      <c r="V3071" s="144" t="str">
        <f t="shared" si="95"/>
        <v>01</v>
      </c>
      <c r="W3071" s="136">
        <f>+COMPROMISOS_2025[[#This Row],[valor_total]]-COMPROMISOS_2025[[#This Row],[total_cancelado]]</f>
        <v>83968000</v>
      </c>
      <c r="X3071" s="136">
        <f>COMPROMISOS_2025[[#This Row],[total_ordenes]]</f>
        <v>11031973</v>
      </c>
      <c r="Y3071" t="str" cm="1">
        <f t="array" aca="1" ref="Y3071" ca="1">IFERROR(_xlfn.XLOOKUP(COMPROMISOS_2025[[#This Row],[concatenado]],PAA[[#All],[RCP-RUBRO]],PAA[[#All],[Actividad3]],VLOOKUP(COMPROMISOS_2025[[#This Row],[Indicador Principal]],$AC$2:$AD$17,2,0),0),"")</f>
        <v/>
      </c>
    </row>
    <row r="3072" spans="1:25" hidden="1" x14ac:dyDescent="0.25">
      <c r="A3072">
        <v>127</v>
      </c>
      <c r="B3072" t="s">
        <v>4574</v>
      </c>
      <c r="C3072" t="s">
        <v>1775</v>
      </c>
      <c r="D3072" t="s">
        <v>2339</v>
      </c>
      <c r="E3072" t="s">
        <v>4575</v>
      </c>
      <c r="F3072">
        <v>81</v>
      </c>
      <c r="G3072">
        <v>73</v>
      </c>
      <c r="H3072" t="s">
        <v>284</v>
      </c>
      <c r="I3072" t="s">
        <v>2333</v>
      </c>
      <c r="J3072">
        <v>42940000</v>
      </c>
      <c r="K3072">
        <v>2025</v>
      </c>
      <c r="L3072">
        <v>10379772384</v>
      </c>
      <c r="M3072" t="s">
        <v>4576</v>
      </c>
      <c r="N3072" t="s">
        <v>1688</v>
      </c>
      <c r="O3072" t="s">
        <v>1686</v>
      </c>
      <c r="P3072">
        <v>0</v>
      </c>
      <c r="Q3072">
        <v>6251945</v>
      </c>
      <c r="R3072">
        <v>0</v>
      </c>
      <c r="S3072">
        <v>36688055</v>
      </c>
      <c r="T3072" t="str">
        <f t="shared" si="94"/>
        <v>1273.43.4301.01.0-205400.2.3.2.02.02.009.06.</v>
      </c>
      <c r="U3072" t="e" cm="1">
        <f t="array" aca="1" ref="U3072" ca="1">+IF(COMPROMISOS_2025[[#This Row],[P]]="20","41080111",_xlfn.XLOOKUP(COMPROMISOS_2025[[#This Row],[concatenado]],PAA[[#All],[RCP-RUBRO]],PAA[[#All],[INDICADOR]],"",0))</f>
        <v>#NAME?</v>
      </c>
      <c r="V3072" s="144" t="str">
        <f t="shared" si="95"/>
        <v>01</v>
      </c>
      <c r="W3072" s="136">
        <f>+COMPROMISOS_2025[[#This Row],[valor_total]]-COMPROMISOS_2025[[#This Row],[total_cancelado]]</f>
        <v>42940000</v>
      </c>
      <c r="X3072" s="136">
        <f>COMPROMISOS_2025[[#This Row],[total_ordenes]]</f>
        <v>6251945</v>
      </c>
      <c r="Y3072" t="str" cm="1">
        <f t="array" aca="1" ref="Y3072" ca="1">IFERROR(_xlfn.XLOOKUP(COMPROMISOS_2025[[#This Row],[concatenado]],PAA[[#All],[RCP-RUBRO]],PAA[[#All],[Actividad3]],VLOOKUP(COMPROMISOS_2025[[#This Row],[Indicador Principal]],$AC$2:$AD$17,2,0),0),"")</f>
        <v/>
      </c>
    </row>
    <row r="3073" spans="1:25" hidden="1" x14ac:dyDescent="0.25">
      <c r="A3073">
        <v>146</v>
      </c>
      <c r="B3073" t="s">
        <v>4577</v>
      </c>
      <c r="C3073" t="s">
        <v>1775</v>
      </c>
      <c r="D3073" t="s">
        <v>2332</v>
      </c>
      <c r="E3073" t="s">
        <v>4578</v>
      </c>
      <c r="F3073">
        <v>78</v>
      </c>
      <c r="G3073">
        <v>73</v>
      </c>
      <c r="H3073" t="s">
        <v>284</v>
      </c>
      <c r="I3073" t="s">
        <v>2333</v>
      </c>
      <c r="J3073">
        <v>85218000</v>
      </c>
      <c r="K3073">
        <v>2025</v>
      </c>
      <c r="L3073">
        <v>10354377407</v>
      </c>
      <c r="M3073" t="s">
        <v>4579</v>
      </c>
      <c r="N3073" t="s">
        <v>1688</v>
      </c>
      <c r="O3073" t="s">
        <v>1686</v>
      </c>
      <c r="P3073">
        <v>0</v>
      </c>
      <c r="Q3073">
        <v>10279793</v>
      </c>
      <c r="R3073">
        <v>0</v>
      </c>
      <c r="S3073">
        <v>74938207</v>
      </c>
      <c r="T3073" t="str">
        <f t="shared" si="94"/>
        <v>1463.43.4301.01.0-205400.2.3.2.02.02.009.06.</v>
      </c>
      <c r="U3073" t="e" cm="1">
        <f t="array" aca="1" ref="U3073" ca="1">+IF(COMPROMISOS_2025[[#This Row],[P]]="20","41080111",_xlfn.XLOOKUP(COMPROMISOS_2025[[#This Row],[concatenado]],PAA[[#All],[RCP-RUBRO]],PAA[[#All],[INDICADOR]],"",0))</f>
        <v>#NAME?</v>
      </c>
      <c r="V3073" s="144" t="str">
        <f t="shared" si="95"/>
        <v>01</v>
      </c>
      <c r="W3073" s="136">
        <f>+COMPROMISOS_2025[[#This Row],[valor_total]]-COMPROMISOS_2025[[#This Row],[total_cancelado]]</f>
        <v>85218000</v>
      </c>
      <c r="X3073" s="136">
        <f>COMPROMISOS_2025[[#This Row],[total_ordenes]]</f>
        <v>10279793</v>
      </c>
      <c r="Y3073" t="str" cm="1">
        <f t="array" aca="1" ref="Y3073" ca="1">IFERROR(_xlfn.XLOOKUP(COMPROMISOS_2025[[#This Row],[concatenado]],PAA[[#All],[RCP-RUBRO]],PAA[[#All],[Actividad3]],VLOOKUP(COMPROMISOS_2025[[#This Row],[Indicador Principal]],$AC$2:$AD$17,2,0),0),"")</f>
        <v/>
      </c>
    </row>
    <row r="3074" spans="1:25" hidden="1" x14ac:dyDescent="0.25">
      <c r="A3074">
        <v>430</v>
      </c>
      <c r="B3074" t="s">
        <v>4580</v>
      </c>
      <c r="C3074" t="s">
        <v>1775</v>
      </c>
      <c r="D3074" t="s">
        <v>2341</v>
      </c>
      <c r="E3074" t="s">
        <v>4581</v>
      </c>
      <c r="F3074">
        <v>312</v>
      </c>
      <c r="G3074">
        <v>73</v>
      </c>
      <c r="H3074" t="s">
        <v>284</v>
      </c>
      <c r="I3074" t="s">
        <v>2333</v>
      </c>
      <c r="J3074">
        <v>83968000</v>
      </c>
      <c r="K3074">
        <v>2025</v>
      </c>
      <c r="L3074">
        <v>8434876</v>
      </c>
      <c r="M3074" t="s">
        <v>4582</v>
      </c>
      <c r="N3074" t="s">
        <v>1688</v>
      </c>
      <c r="O3074" t="s">
        <v>1686</v>
      </c>
      <c r="P3074">
        <v>0</v>
      </c>
      <c r="Q3074">
        <v>8524707</v>
      </c>
      <c r="R3074">
        <v>0</v>
      </c>
      <c r="S3074">
        <v>75443293</v>
      </c>
      <c r="T3074" t="str">
        <f t="shared" ref="T3074:T3137" si="96">IF(A3074&gt;=0,CONCATENATE(A3074,H3074),"")</f>
        <v>4303.43.4301.01.0-205400.2.3.2.02.02.009.06.</v>
      </c>
      <c r="U3074" t="e" cm="1">
        <f t="array" aca="1" ref="U3074" ca="1">+IF(COMPROMISOS_2025[[#This Row],[P]]="20","41080111",_xlfn.XLOOKUP(COMPROMISOS_2025[[#This Row],[concatenado]],PAA[[#All],[RCP-RUBRO]],PAA[[#All],[INDICADOR]],"",0))</f>
        <v>#NAME?</v>
      </c>
      <c r="V3074" s="144" t="str">
        <f t="shared" ref="V3074:V3137" si="97">+MID(H3074,11,2)</f>
        <v>01</v>
      </c>
      <c r="W3074" s="136">
        <f>+COMPROMISOS_2025[[#This Row],[valor_total]]-COMPROMISOS_2025[[#This Row],[total_cancelado]]</f>
        <v>83968000</v>
      </c>
      <c r="X3074" s="136">
        <f>COMPROMISOS_2025[[#This Row],[total_ordenes]]</f>
        <v>8524707</v>
      </c>
      <c r="Y3074" t="str" cm="1">
        <f t="array" aca="1" ref="Y3074" ca="1">IFERROR(_xlfn.XLOOKUP(COMPROMISOS_2025[[#This Row],[concatenado]],PAA[[#All],[RCP-RUBRO]],PAA[[#All],[Actividad3]],VLOOKUP(COMPROMISOS_2025[[#This Row],[Indicador Principal]],$AC$2:$AD$17,2,0),0),"")</f>
        <v/>
      </c>
    </row>
    <row r="3075" spans="1:25" hidden="1" x14ac:dyDescent="0.25">
      <c r="A3075">
        <v>1192</v>
      </c>
      <c r="B3075" t="s">
        <v>4568</v>
      </c>
      <c r="C3075" t="s">
        <v>1775</v>
      </c>
      <c r="D3075" t="s">
        <v>2325</v>
      </c>
      <c r="E3075" t="s">
        <v>4569</v>
      </c>
      <c r="F3075">
        <v>347</v>
      </c>
      <c r="G3075">
        <v>73</v>
      </c>
      <c r="H3075" t="s">
        <v>284</v>
      </c>
      <c r="I3075" t="s">
        <v>2333</v>
      </c>
      <c r="J3075">
        <v>16855257</v>
      </c>
      <c r="K3075">
        <v>2025</v>
      </c>
      <c r="L3075">
        <v>322288636</v>
      </c>
      <c r="M3075" t="s">
        <v>4570</v>
      </c>
      <c r="N3075" t="s">
        <v>1688</v>
      </c>
      <c r="O3075" t="s">
        <v>1686</v>
      </c>
      <c r="P3075">
        <v>0</v>
      </c>
      <c r="Q3075">
        <v>0</v>
      </c>
      <c r="R3075">
        <v>0</v>
      </c>
      <c r="S3075">
        <v>16855257</v>
      </c>
      <c r="T3075" t="str">
        <f t="shared" si="96"/>
        <v>11923.43.4301.01.0-205400.2.3.2.02.02.009.06.</v>
      </c>
      <c r="U3075" t="e" cm="1">
        <f t="array" aca="1" ref="U3075" ca="1">+IF(COMPROMISOS_2025[[#This Row],[P]]="20","41080111",_xlfn.XLOOKUP(COMPROMISOS_2025[[#This Row],[concatenado]],PAA[[#All],[RCP-RUBRO]],PAA[[#All],[INDICADOR]],"",0))</f>
        <v>#NAME?</v>
      </c>
      <c r="V3075" s="144" t="str">
        <f t="shared" si="97"/>
        <v>01</v>
      </c>
      <c r="W3075" s="136">
        <f>+COMPROMISOS_2025[[#This Row],[valor_total]]-COMPROMISOS_2025[[#This Row],[total_cancelado]]</f>
        <v>16855257</v>
      </c>
      <c r="X3075" s="136">
        <f>COMPROMISOS_2025[[#This Row],[total_ordenes]]</f>
        <v>0</v>
      </c>
      <c r="Y3075" t="str" cm="1">
        <f t="array" aca="1" ref="Y3075" ca="1">IFERROR(_xlfn.XLOOKUP(COMPROMISOS_2025[[#This Row],[concatenado]],PAA[[#All],[RCP-RUBRO]],PAA[[#All],[Actividad3]],VLOOKUP(COMPROMISOS_2025[[#This Row],[Indicador Principal]],$AC$2:$AD$17,2,0),0),"")</f>
        <v/>
      </c>
    </row>
    <row r="3076" spans="1:25" hidden="1" x14ac:dyDescent="0.25">
      <c r="A3076">
        <v>2860</v>
      </c>
      <c r="B3076" t="s">
        <v>4583</v>
      </c>
      <c r="C3076" t="s">
        <v>1775</v>
      </c>
      <c r="D3076" t="s">
        <v>2347</v>
      </c>
      <c r="E3076" t="s">
        <v>4584</v>
      </c>
      <c r="F3076">
        <v>380</v>
      </c>
      <c r="G3076">
        <v>73</v>
      </c>
      <c r="H3076" t="s">
        <v>284</v>
      </c>
      <c r="I3076" t="s">
        <v>2333</v>
      </c>
      <c r="J3076">
        <v>80457100</v>
      </c>
      <c r="K3076">
        <v>2025</v>
      </c>
      <c r="L3076">
        <v>15443173</v>
      </c>
      <c r="M3076" t="s">
        <v>4585</v>
      </c>
      <c r="N3076" t="s">
        <v>1688</v>
      </c>
      <c r="O3076" t="s">
        <v>1686</v>
      </c>
      <c r="P3076">
        <v>0</v>
      </c>
      <c r="Q3076">
        <v>3259447</v>
      </c>
      <c r="R3076">
        <v>0</v>
      </c>
      <c r="S3076">
        <v>77197653</v>
      </c>
      <c r="T3076" t="str">
        <f t="shared" si="96"/>
        <v>28603.43.4301.01.0-205400.2.3.2.02.02.009.06.</v>
      </c>
      <c r="U3076" t="e" cm="1">
        <f t="array" aca="1" ref="U3076" ca="1">+IF(COMPROMISOS_2025[[#This Row],[P]]="20","41080111",_xlfn.XLOOKUP(COMPROMISOS_2025[[#This Row],[concatenado]],PAA[[#All],[RCP-RUBRO]],PAA[[#All],[INDICADOR]],"",0))</f>
        <v>#NAME?</v>
      </c>
      <c r="V3076" s="144" t="str">
        <f t="shared" si="97"/>
        <v>01</v>
      </c>
      <c r="W3076" s="136">
        <f>+COMPROMISOS_2025[[#This Row],[valor_total]]-COMPROMISOS_2025[[#This Row],[total_cancelado]]</f>
        <v>80457100</v>
      </c>
      <c r="X3076" s="136">
        <f>COMPROMISOS_2025[[#This Row],[total_ordenes]]</f>
        <v>3259447</v>
      </c>
      <c r="Y3076" t="str" cm="1">
        <f t="array" aca="1" ref="Y3076" ca="1">IFERROR(_xlfn.XLOOKUP(COMPROMISOS_2025[[#This Row],[concatenado]],PAA[[#All],[RCP-RUBRO]],PAA[[#All],[Actividad3]],VLOOKUP(COMPROMISOS_2025[[#This Row],[Indicador Principal]],$AC$2:$AD$17,2,0),0),"")</f>
        <v/>
      </c>
    </row>
    <row r="3077" spans="1:25" hidden="1" x14ac:dyDescent="0.25">
      <c r="A3077">
        <v>2872</v>
      </c>
      <c r="B3077" t="s">
        <v>4586</v>
      </c>
      <c r="C3077" t="s">
        <v>1775</v>
      </c>
      <c r="D3077" t="s">
        <v>2348</v>
      </c>
      <c r="E3077" t="s">
        <v>4587</v>
      </c>
      <c r="F3077">
        <v>390</v>
      </c>
      <c r="G3077">
        <v>73</v>
      </c>
      <c r="H3077" t="s">
        <v>284</v>
      </c>
      <c r="I3077" t="s">
        <v>2333</v>
      </c>
      <c r="J3077">
        <v>38646000</v>
      </c>
      <c r="K3077">
        <v>2025</v>
      </c>
      <c r="L3077">
        <v>10369597876</v>
      </c>
      <c r="M3077" t="s">
        <v>4588</v>
      </c>
      <c r="N3077" t="s">
        <v>1688</v>
      </c>
      <c r="O3077" t="s">
        <v>1686</v>
      </c>
      <c r="P3077">
        <v>0</v>
      </c>
      <c r="Q3077">
        <v>0</v>
      </c>
      <c r="R3077">
        <v>0</v>
      </c>
      <c r="S3077">
        <v>38646000</v>
      </c>
      <c r="T3077" t="str">
        <f t="shared" si="96"/>
        <v>28723.43.4301.01.0-205400.2.3.2.02.02.009.06.</v>
      </c>
      <c r="U3077" t="e" cm="1">
        <f t="array" aca="1" ref="U3077" ca="1">+IF(COMPROMISOS_2025[[#This Row],[P]]="20","41080111",_xlfn.XLOOKUP(COMPROMISOS_2025[[#This Row],[concatenado]],PAA[[#All],[RCP-RUBRO]],PAA[[#All],[INDICADOR]],"",0))</f>
        <v>#NAME?</v>
      </c>
      <c r="V3077" s="144" t="str">
        <f t="shared" si="97"/>
        <v>01</v>
      </c>
      <c r="W3077" s="136">
        <f>+COMPROMISOS_2025[[#This Row],[valor_total]]-COMPROMISOS_2025[[#This Row],[total_cancelado]]</f>
        <v>38646000</v>
      </c>
      <c r="X3077" s="136">
        <f>COMPROMISOS_2025[[#This Row],[total_ordenes]]</f>
        <v>0</v>
      </c>
      <c r="Y3077" t="str" cm="1">
        <f t="array" aca="1" ref="Y3077" ca="1">IFERROR(_xlfn.XLOOKUP(COMPROMISOS_2025[[#This Row],[concatenado]],PAA[[#All],[RCP-RUBRO]],PAA[[#All],[Actividad3]],VLOOKUP(COMPROMISOS_2025[[#This Row],[Indicador Principal]],$AC$2:$AD$17,2,0),0),"")</f>
        <v/>
      </c>
    </row>
    <row r="3078" spans="1:25" hidden="1" x14ac:dyDescent="0.25">
      <c r="A3078">
        <v>2995</v>
      </c>
      <c r="B3078" t="s">
        <v>4589</v>
      </c>
      <c r="C3078" t="s">
        <v>1775</v>
      </c>
      <c r="D3078" t="s">
        <v>2350</v>
      </c>
      <c r="E3078" t="s">
        <v>4590</v>
      </c>
      <c r="F3078">
        <v>411</v>
      </c>
      <c r="G3078">
        <v>73</v>
      </c>
      <c r="H3078" t="s">
        <v>284</v>
      </c>
      <c r="I3078" t="s">
        <v>2333</v>
      </c>
      <c r="J3078">
        <v>90040000</v>
      </c>
      <c r="K3078">
        <v>2025</v>
      </c>
      <c r="L3078">
        <v>8305076695</v>
      </c>
      <c r="M3078" t="s">
        <v>4591</v>
      </c>
      <c r="N3078" t="s">
        <v>1688</v>
      </c>
      <c r="O3078" t="s">
        <v>1686</v>
      </c>
      <c r="P3078">
        <v>0</v>
      </c>
      <c r="Q3078">
        <v>0</v>
      </c>
      <c r="R3078">
        <v>0</v>
      </c>
      <c r="S3078">
        <v>90040000</v>
      </c>
      <c r="T3078" t="str">
        <f t="shared" si="96"/>
        <v>29953.43.4301.01.0-205400.2.3.2.02.02.009.06.</v>
      </c>
      <c r="U3078" t="e" cm="1">
        <f t="array" aca="1" ref="U3078" ca="1">+IF(COMPROMISOS_2025[[#This Row],[P]]="20","41080111",_xlfn.XLOOKUP(COMPROMISOS_2025[[#This Row],[concatenado]],PAA[[#All],[RCP-RUBRO]],PAA[[#All],[INDICADOR]],"",0))</f>
        <v>#NAME?</v>
      </c>
      <c r="V3078" s="144" t="str">
        <f t="shared" si="97"/>
        <v>01</v>
      </c>
      <c r="W3078" s="136">
        <f>+COMPROMISOS_2025[[#This Row],[valor_total]]-COMPROMISOS_2025[[#This Row],[total_cancelado]]</f>
        <v>90040000</v>
      </c>
      <c r="X3078" s="136">
        <f>COMPROMISOS_2025[[#This Row],[total_ordenes]]</f>
        <v>0</v>
      </c>
      <c r="Y3078" t="str" cm="1">
        <f t="array" aca="1" ref="Y3078" ca="1">IFERROR(_xlfn.XLOOKUP(COMPROMISOS_2025[[#This Row],[concatenado]],PAA[[#All],[RCP-RUBRO]],PAA[[#All],[Actividad3]],VLOOKUP(COMPROMISOS_2025[[#This Row],[Indicador Principal]],$AC$2:$AD$17,2,0),0),"")</f>
        <v/>
      </c>
    </row>
    <row r="3079" spans="1:25" hidden="1" x14ac:dyDescent="0.25">
      <c r="A3079">
        <v>49</v>
      </c>
      <c r="B3079" t="s">
        <v>4512</v>
      </c>
      <c r="C3079" t="s">
        <v>1775</v>
      </c>
      <c r="D3079" t="s">
        <v>2289</v>
      </c>
      <c r="E3079" t="s">
        <v>4513</v>
      </c>
      <c r="F3079">
        <v>45</v>
      </c>
      <c r="G3079">
        <v>74</v>
      </c>
      <c r="H3079" t="s">
        <v>268</v>
      </c>
      <c r="I3079" t="s">
        <v>2353</v>
      </c>
      <c r="J3079">
        <v>17117120</v>
      </c>
      <c r="K3079">
        <v>2025</v>
      </c>
      <c r="L3079">
        <v>435781647</v>
      </c>
      <c r="M3079" t="s">
        <v>4514</v>
      </c>
      <c r="N3079" t="s">
        <v>1688</v>
      </c>
      <c r="O3079" t="s">
        <v>1686</v>
      </c>
      <c r="P3079">
        <v>0</v>
      </c>
      <c r="Q3079">
        <v>3893102</v>
      </c>
      <c r="R3079">
        <v>0</v>
      </c>
      <c r="S3079">
        <v>13224018</v>
      </c>
      <c r="T3079" t="str">
        <f t="shared" si="96"/>
        <v>493.43.4301.10.0-101024.2.3.2.02.02.008.15.</v>
      </c>
      <c r="U3079" t="e" cm="1">
        <f t="array" aca="1" ref="U3079" ca="1">+IF(COMPROMISOS_2025[[#This Row],[P]]="20","41080111",_xlfn.XLOOKUP(COMPROMISOS_2025[[#This Row],[concatenado]],PAA[[#All],[RCP-RUBRO]],PAA[[#All],[INDICADOR]],"",0))</f>
        <v>#NAME?</v>
      </c>
      <c r="V3079" s="144" t="str">
        <f t="shared" si="97"/>
        <v>10</v>
      </c>
      <c r="W3079" s="136">
        <f>+COMPROMISOS_2025[[#This Row],[valor_total]]-COMPROMISOS_2025[[#This Row],[total_cancelado]]</f>
        <v>17117120</v>
      </c>
      <c r="X3079" s="136">
        <f>COMPROMISOS_2025[[#This Row],[total_ordenes]]</f>
        <v>3893102</v>
      </c>
      <c r="Y3079" t="str" cm="1">
        <f t="array" aca="1" ref="Y3079" ca="1">IFERROR(_xlfn.XLOOKUP(COMPROMISOS_2025[[#This Row],[concatenado]],PAA[[#All],[RCP-RUBRO]],PAA[[#All],[Actividad3]],VLOOKUP(COMPROMISOS_2025[[#This Row],[Indicador Principal]],$AC$2:$AD$17,2,0),0),"")</f>
        <v/>
      </c>
    </row>
    <row r="3080" spans="1:25" hidden="1" x14ac:dyDescent="0.25">
      <c r="A3080">
        <v>61</v>
      </c>
      <c r="B3080" t="s">
        <v>4515</v>
      </c>
      <c r="C3080" t="s">
        <v>1775</v>
      </c>
      <c r="D3080" t="s">
        <v>2294</v>
      </c>
      <c r="E3080" t="s">
        <v>4516</v>
      </c>
      <c r="F3080">
        <v>48</v>
      </c>
      <c r="G3080">
        <v>74</v>
      </c>
      <c r="H3080" t="s">
        <v>268</v>
      </c>
      <c r="I3080" t="s">
        <v>2353</v>
      </c>
      <c r="J3080">
        <v>12034880</v>
      </c>
      <c r="K3080">
        <v>2025</v>
      </c>
      <c r="L3080">
        <v>10394510918</v>
      </c>
      <c r="M3080" t="s">
        <v>4517</v>
      </c>
      <c r="N3080" t="s">
        <v>1688</v>
      </c>
      <c r="O3080" t="s">
        <v>1686</v>
      </c>
      <c r="P3080">
        <v>0</v>
      </c>
      <c r="Q3080">
        <v>2858284</v>
      </c>
      <c r="R3080">
        <v>0</v>
      </c>
      <c r="S3080">
        <v>9176596</v>
      </c>
      <c r="T3080" t="str">
        <f t="shared" si="96"/>
        <v>613.43.4301.10.0-101024.2.3.2.02.02.008.15.</v>
      </c>
      <c r="U3080" t="e" cm="1">
        <f t="array" aca="1" ref="U3080" ca="1">+IF(COMPROMISOS_2025[[#This Row],[P]]="20","41080111",_xlfn.XLOOKUP(COMPROMISOS_2025[[#This Row],[concatenado]],PAA[[#All],[RCP-RUBRO]],PAA[[#All],[INDICADOR]],"",0))</f>
        <v>#NAME?</v>
      </c>
      <c r="V3080" s="144" t="str">
        <f t="shared" si="97"/>
        <v>10</v>
      </c>
      <c r="W3080" s="136">
        <f>+COMPROMISOS_2025[[#This Row],[valor_total]]-COMPROMISOS_2025[[#This Row],[total_cancelado]]</f>
        <v>12034880</v>
      </c>
      <c r="X3080" s="136">
        <f>COMPROMISOS_2025[[#This Row],[total_ordenes]]</f>
        <v>2858284</v>
      </c>
      <c r="Y3080" t="str" cm="1">
        <f t="array" aca="1" ref="Y3080" ca="1">IFERROR(_xlfn.XLOOKUP(COMPROMISOS_2025[[#This Row],[concatenado]],PAA[[#All],[RCP-RUBRO]],PAA[[#All],[Actividad3]],VLOOKUP(COMPROMISOS_2025[[#This Row],[Indicador Principal]],$AC$2:$AD$17,2,0),0),"")</f>
        <v/>
      </c>
    </row>
    <row r="3081" spans="1:25" hidden="1" x14ac:dyDescent="0.25">
      <c r="A3081">
        <v>62</v>
      </c>
      <c r="B3081" t="s">
        <v>4515</v>
      </c>
      <c r="C3081" t="s">
        <v>1775</v>
      </c>
      <c r="D3081" t="s">
        <v>2298</v>
      </c>
      <c r="E3081" t="s">
        <v>4518</v>
      </c>
      <c r="F3081">
        <v>50</v>
      </c>
      <c r="G3081">
        <v>74</v>
      </c>
      <c r="H3081" t="s">
        <v>268</v>
      </c>
      <c r="I3081" t="s">
        <v>2353</v>
      </c>
      <c r="J3081">
        <v>13834880</v>
      </c>
      <c r="K3081">
        <v>2025</v>
      </c>
      <c r="L3081">
        <v>436898712</v>
      </c>
      <c r="M3081" t="s">
        <v>4519</v>
      </c>
      <c r="N3081" t="s">
        <v>1688</v>
      </c>
      <c r="O3081" t="s">
        <v>1686</v>
      </c>
      <c r="P3081">
        <v>0</v>
      </c>
      <c r="Q3081">
        <v>456540</v>
      </c>
      <c r="R3081">
        <v>0</v>
      </c>
      <c r="S3081">
        <v>13378340</v>
      </c>
      <c r="T3081" t="str">
        <f t="shared" si="96"/>
        <v>623.43.4301.10.0-101024.2.3.2.02.02.008.15.</v>
      </c>
      <c r="U3081" t="e" cm="1">
        <f t="array" aca="1" ref="U3081" ca="1">+IF(COMPROMISOS_2025[[#This Row],[P]]="20","41080111",_xlfn.XLOOKUP(COMPROMISOS_2025[[#This Row],[concatenado]],PAA[[#All],[RCP-RUBRO]],PAA[[#All],[INDICADOR]],"",0))</f>
        <v>#NAME?</v>
      </c>
      <c r="V3081" s="144" t="str">
        <f t="shared" si="97"/>
        <v>10</v>
      </c>
      <c r="W3081" s="136">
        <f>+COMPROMISOS_2025[[#This Row],[valor_total]]-COMPROMISOS_2025[[#This Row],[total_cancelado]]</f>
        <v>13834880</v>
      </c>
      <c r="X3081" s="136">
        <f>COMPROMISOS_2025[[#This Row],[total_ordenes]]</f>
        <v>456540</v>
      </c>
      <c r="Y3081" t="str" cm="1">
        <f t="array" aca="1" ref="Y3081" ca="1">IFERROR(_xlfn.XLOOKUP(COMPROMISOS_2025[[#This Row],[concatenado]],PAA[[#All],[RCP-RUBRO]],PAA[[#All],[Actividad3]],VLOOKUP(COMPROMISOS_2025[[#This Row],[Indicador Principal]],$AC$2:$AD$17,2,0),0),"")</f>
        <v/>
      </c>
    </row>
    <row r="3082" spans="1:25" hidden="1" x14ac:dyDescent="0.25">
      <c r="A3082">
        <v>65</v>
      </c>
      <c r="B3082" t="s">
        <v>4520</v>
      </c>
      <c r="C3082" t="s">
        <v>1775</v>
      </c>
      <c r="D3082" t="s">
        <v>2302</v>
      </c>
      <c r="E3082" t="s">
        <v>4521</v>
      </c>
      <c r="F3082">
        <v>52</v>
      </c>
      <c r="G3082">
        <v>74</v>
      </c>
      <c r="H3082" t="s">
        <v>268</v>
      </c>
      <c r="I3082" t="s">
        <v>2353</v>
      </c>
      <c r="J3082">
        <v>7270400</v>
      </c>
      <c r="K3082">
        <v>2025</v>
      </c>
      <c r="L3082">
        <v>10017385179</v>
      </c>
      <c r="M3082" t="s">
        <v>4522</v>
      </c>
      <c r="N3082" t="s">
        <v>1688</v>
      </c>
      <c r="O3082" t="s">
        <v>1686</v>
      </c>
      <c r="P3082">
        <v>0</v>
      </c>
      <c r="Q3082">
        <v>1299220</v>
      </c>
      <c r="R3082">
        <v>0</v>
      </c>
      <c r="S3082">
        <v>5971180</v>
      </c>
      <c r="T3082" t="str">
        <f t="shared" si="96"/>
        <v>653.43.4301.10.0-101024.2.3.2.02.02.008.15.</v>
      </c>
      <c r="U3082" t="e" cm="1">
        <f t="array" aca="1" ref="U3082" ca="1">+IF(COMPROMISOS_2025[[#This Row],[P]]="20","41080111",_xlfn.XLOOKUP(COMPROMISOS_2025[[#This Row],[concatenado]],PAA[[#All],[RCP-RUBRO]],PAA[[#All],[INDICADOR]],"",0))</f>
        <v>#NAME?</v>
      </c>
      <c r="V3082" s="144" t="str">
        <f t="shared" si="97"/>
        <v>10</v>
      </c>
      <c r="W3082" s="136">
        <f>+COMPROMISOS_2025[[#This Row],[valor_total]]-COMPROMISOS_2025[[#This Row],[total_cancelado]]</f>
        <v>7270400</v>
      </c>
      <c r="X3082" s="136">
        <f>COMPROMISOS_2025[[#This Row],[total_ordenes]]</f>
        <v>1299220</v>
      </c>
      <c r="Y3082" t="str" cm="1">
        <f t="array" aca="1" ref="Y3082" ca="1">IFERROR(_xlfn.XLOOKUP(COMPROMISOS_2025[[#This Row],[concatenado]],PAA[[#All],[RCP-RUBRO]],PAA[[#All],[Actividad3]],VLOOKUP(COMPROMISOS_2025[[#This Row],[Indicador Principal]],$AC$2:$AD$17,2,0),0),"")</f>
        <v/>
      </c>
    </row>
    <row r="3083" spans="1:25" hidden="1" x14ac:dyDescent="0.25">
      <c r="A3083">
        <v>66</v>
      </c>
      <c r="B3083" t="s">
        <v>4523</v>
      </c>
      <c r="C3083" t="s">
        <v>1775</v>
      </c>
      <c r="D3083" t="s">
        <v>2304</v>
      </c>
      <c r="E3083" t="s">
        <v>4524</v>
      </c>
      <c r="F3083">
        <v>53</v>
      </c>
      <c r="G3083">
        <v>74</v>
      </c>
      <c r="H3083" t="s">
        <v>268</v>
      </c>
      <c r="I3083" t="s">
        <v>2353</v>
      </c>
      <c r="J3083">
        <v>12034880</v>
      </c>
      <c r="K3083">
        <v>2025</v>
      </c>
      <c r="L3083">
        <v>11282762308</v>
      </c>
      <c r="M3083" t="s">
        <v>4525</v>
      </c>
      <c r="N3083" t="s">
        <v>1688</v>
      </c>
      <c r="O3083" t="s">
        <v>1686</v>
      </c>
      <c r="P3083">
        <v>0</v>
      </c>
      <c r="Q3083">
        <v>2858284</v>
      </c>
      <c r="R3083">
        <v>0</v>
      </c>
      <c r="S3083">
        <v>9176596</v>
      </c>
      <c r="T3083" t="str">
        <f t="shared" si="96"/>
        <v>663.43.4301.10.0-101024.2.3.2.02.02.008.15.</v>
      </c>
      <c r="U3083" t="e" cm="1">
        <f t="array" aca="1" ref="U3083" ca="1">+IF(COMPROMISOS_2025[[#This Row],[P]]="20","41080111",_xlfn.XLOOKUP(COMPROMISOS_2025[[#This Row],[concatenado]],PAA[[#All],[RCP-RUBRO]],PAA[[#All],[INDICADOR]],"",0))</f>
        <v>#NAME?</v>
      </c>
      <c r="V3083" s="144" t="str">
        <f t="shared" si="97"/>
        <v>10</v>
      </c>
      <c r="W3083" s="136">
        <f>+COMPROMISOS_2025[[#This Row],[valor_total]]-COMPROMISOS_2025[[#This Row],[total_cancelado]]</f>
        <v>12034880</v>
      </c>
      <c r="X3083" s="136">
        <f>COMPROMISOS_2025[[#This Row],[total_ordenes]]</f>
        <v>2858284</v>
      </c>
      <c r="Y3083" t="str" cm="1">
        <f t="array" aca="1" ref="Y3083" ca="1">IFERROR(_xlfn.XLOOKUP(COMPROMISOS_2025[[#This Row],[concatenado]],PAA[[#All],[RCP-RUBRO]],PAA[[#All],[Actividad3]],VLOOKUP(COMPROMISOS_2025[[#This Row],[Indicador Principal]],$AC$2:$AD$17,2,0),0),"")</f>
        <v/>
      </c>
    </row>
    <row r="3084" spans="1:25" hidden="1" x14ac:dyDescent="0.25">
      <c r="A3084">
        <v>68</v>
      </c>
      <c r="B3084" t="s">
        <v>4526</v>
      </c>
      <c r="C3084" t="s">
        <v>1775</v>
      </c>
      <c r="D3084" t="s">
        <v>2292</v>
      </c>
      <c r="E3084" t="s">
        <v>4527</v>
      </c>
      <c r="F3084">
        <v>47</v>
      </c>
      <c r="G3084">
        <v>74</v>
      </c>
      <c r="H3084" t="s">
        <v>268</v>
      </c>
      <c r="I3084" t="s">
        <v>2353</v>
      </c>
      <c r="J3084">
        <v>12034880</v>
      </c>
      <c r="K3084">
        <v>2025</v>
      </c>
      <c r="L3084">
        <v>10172089144</v>
      </c>
      <c r="M3084" t="s">
        <v>4528</v>
      </c>
      <c r="N3084" t="s">
        <v>1688</v>
      </c>
      <c r="O3084" t="s">
        <v>1686</v>
      </c>
      <c r="P3084">
        <v>0</v>
      </c>
      <c r="Q3084">
        <v>2005813</v>
      </c>
      <c r="R3084">
        <v>0</v>
      </c>
      <c r="S3084">
        <v>10029067</v>
      </c>
      <c r="T3084" t="str">
        <f t="shared" si="96"/>
        <v>683.43.4301.10.0-101024.2.3.2.02.02.008.15.</v>
      </c>
      <c r="U3084" t="e" cm="1">
        <f t="array" aca="1" ref="U3084" ca="1">+IF(COMPROMISOS_2025[[#This Row],[P]]="20","41080111",_xlfn.XLOOKUP(COMPROMISOS_2025[[#This Row],[concatenado]],PAA[[#All],[RCP-RUBRO]],PAA[[#All],[INDICADOR]],"",0))</f>
        <v>#NAME?</v>
      </c>
      <c r="V3084" s="144" t="str">
        <f t="shared" si="97"/>
        <v>10</v>
      </c>
      <c r="W3084" s="136">
        <f>+COMPROMISOS_2025[[#This Row],[valor_total]]-COMPROMISOS_2025[[#This Row],[total_cancelado]]</f>
        <v>12034880</v>
      </c>
      <c r="X3084" s="136">
        <f>COMPROMISOS_2025[[#This Row],[total_ordenes]]</f>
        <v>2005813</v>
      </c>
      <c r="Y3084" t="str" cm="1">
        <f t="array" aca="1" ref="Y3084" ca="1">IFERROR(_xlfn.XLOOKUP(COMPROMISOS_2025[[#This Row],[concatenado]],PAA[[#All],[RCP-RUBRO]],PAA[[#All],[Actividad3]],VLOOKUP(COMPROMISOS_2025[[#This Row],[Indicador Principal]],$AC$2:$AD$17,2,0),0),"")</f>
        <v/>
      </c>
    </row>
    <row r="3085" spans="1:25" hidden="1" x14ac:dyDescent="0.25">
      <c r="A3085">
        <v>88</v>
      </c>
      <c r="B3085" t="s">
        <v>4529</v>
      </c>
      <c r="C3085" t="s">
        <v>1775</v>
      </c>
      <c r="D3085" t="s">
        <v>2296</v>
      </c>
      <c r="E3085" t="s">
        <v>4530</v>
      </c>
      <c r="F3085">
        <v>49</v>
      </c>
      <c r="G3085">
        <v>74</v>
      </c>
      <c r="H3085" t="s">
        <v>268</v>
      </c>
      <c r="I3085" t="s">
        <v>2353</v>
      </c>
      <c r="J3085">
        <v>11034880</v>
      </c>
      <c r="K3085">
        <v>2025</v>
      </c>
      <c r="L3085">
        <v>10171653837</v>
      </c>
      <c r="M3085" t="s">
        <v>4531</v>
      </c>
      <c r="N3085" t="s">
        <v>1688</v>
      </c>
      <c r="O3085" t="s">
        <v>1686</v>
      </c>
      <c r="P3085">
        <v>0</v>
      </c>
      <c r="Q3085">
        <v>2482848</v>
      </c>
      <c r="R3085">
        <v>0</v>
      </c>
      <c r="S3085">
        <v>8552032</v>
      </c>
      <c r="T3085" t="str">
        <f t="shared" si="96"/>
        <v>883.43.4301.10.0-101024.2.3.2.02.02.008.15.</v>
      </c>
      <c r="U3085" t="e" cm="1">
        <f t="array" aca="1" ref="U3085" ca="1">+IF(COMPROMISOS_2025[[#This Row],[P]]="20","41080111",_xlfn.XLOOKUP(COMPROMISOS_2025[[#This Row],[concatenado]],PAA[[#All],[RCP-RUBRO]],PAA[[#All],[INDICADOR]],"",0))</f>
        <v>#NAME?</v>
      </c>
      <c r="V3085" s="144" t="str">
        <f t="shared" si="97"/>
        <v>10</v>
      </c>
      <c r="W3085" s="136">
        <f>+COMPROMISOS_2025[[#This Row],[valor_total]]-COMPROMISOS_2025[[#This Row],[total_cancelado]]</f>
        <v>11034880</v>
      </c>
      <c r="X3085" s="136">
        <f>COMPROMISOS_2025[[#This Row],[total_ordenes]]</f>
        <v>2482848</v>
      </c>
      <c r="Y3085" t="str" cm="1">
        <f t="array" aca="1" ref="Y3085" ca="1">IFERROR(_xlfn.XLOOKUP(COMPROMISOS_2025[[#This Row],[concatenado]],PAA[[#All],[RCP-RUBRO]],PAA[[#All],[Actividad3]],VLOOKUP(COMPROMISOS_2025[[#This Row],[Indicador Principal]],$AC$2:$AD$17,2,0),0),"")</f>
        <v/>
      </c>
    </row>
    <row r="3086" spans="1:25" hidden="1" x14ac:dyDescent="0.25">
      <c r="A3086">
        <v>90</v>
      </c>
      <c r="B3086" t="s">
        <v>4532</v>
      </c>
      <c r="C3086" t="s">
        <v>1775</v>
      </c>
      <c r="D3086" t="s">
        <v>2300</v>
      </c>
      <c r="E3086" t="s">
        <v>4533</v>
      </c>
      <c r="F3086">
        <v>51</v>
      </c>
      <c r="G3086">
        <v>74</v>
      </c>
      <c r="H3086" t="s">
        <v>268</v>
      </c>
      <c r="I3086" t="s">
        <v>2353</v>
      </c>
      <c r="J3086">
        <v>12034880</v>
      </c>
      <c r="K3086">
        <v>2025</v>
      </c>
      <c r="L3086">
        <v>1037612757</v>
      </c>
      <c r="M3086" t="s">
        <v>4534</v>
      </c>
      <c r="N3086" t="s">
        <v>1688</v>
      </c>
      <c r="O3086" t="s">
        <v>1686</v>
      </c>
      <c r="P3086">
        <v>0</v>
      </c>
      <c r="Q3086">
        <v>2707848</v>
      </c>
      <c r="R3086">
        <v>0</v>
      </c>
      <c r="S3086">
        <v>9327032</v>
      </c>
      <c r="T3086" t="str">
        <f t="shared" si="96"/>
        <v>903.43.4301.10.0-101024.2.3.2.02.02.008.15.</v>
      </c>
      <c r="U3086" t="e" cm="1">
        <f t="array" aca="1" ref="U3086" ca="1">+IF(COMPROMISOS_2025[[#This Row],[P]]="20","41080111",_xlfn.XLOOKUP(COMPROMISOS_2025[[#This Row],[concatenado]],PAA[[#All],[RCP-RUBRO]],PAA[[#All],[INDICADOR]],"",0))</f>
        <v>#NAME?</v>
      </c>
      <c r="V3086" s="144" t="str">
        <f t="shared" si="97"/>
        <v>10</v>
      </c>
      <c r="W3086" s="136">
        <f>+COMPROMISOS_2025[[#This Row],[valor_total]]-COMPROMISOS_2025[[#This Row],[total_cancelado]]</f>
        <v>12034880</v>
      </c>
      <c r="X3086" s="136">
        <f>COMPROMISOS_2025[[#This Row],[total_ordenes]]</f>
        <v>2707848</v>
      </c>
      <c r="Y3086" t="str" cm="1">
        <f t="array" aca="1" ref="Y3086" ca="1">IFERROR(_xlfn.XLOOKUP(COMPROMISOS_2025[[#This Row],[concatenado]],PAA[[#All],[RCP-RUBRO]],PAA[[#All],[Actividad3]],VLOOKUP(COMPROMISOS_2025[[#This Row],[Indicador Principal]],$AC$2:$AD$17,2,0),0),"")</f>
        <v/>
      </c>
    </row>
    <row r="3087" spans="1:25" hidden="1" x14ac:dyDescent="0.25">
      <c r="A3087">
        <v>423</v>
      </c>
      <c r="B3087" t="s">
        <v>4535</v>
      </c>
      <c r="C3087" t="s">
        <v>1775</v>
      </c>
      <c r="D3087" t="s">
        <v>2306</v>
      </c>
      <c r="E3087" t="s">
        <v>4536</v>
      </c>
      <c r="F3087">
        <v>295</v>
      </c>
      <c r="G3087">
        <v>74</v>
      </c>
      <c r="H3087" t="s">
        <v>268</v>
      </c>
      <c r="I3087" t="s">
        <v>2353</v>
      </c>
      <c r="J3087">
        <v>18293600</v>
      </c>
      <c r="K3087">
        <v>2025</v>
      </c>
      <c r="L3087">
        <v>10366828938</v>
      </c>
      <c r="M3087" t="s">
        <v>4537</v>
      </c>
      <c r="N3087" t="s">
        <v>1688</v>
      </c>
      <c r="O3087" t="s">
        <v>1686</v>
      </c>
      <c r="P3087">
        <v>0</v>
      </c>
      <c r="Q3087">
        <v>1755087</v>
      </c>
      <c r="R3087">
        <v>0</v>
      </c>
      <c r="S3087">
        <v>16538513</v>
      </c>
      <c r="T3087" t="str">
        <f t="shared" si="96"/>
        <v>4233.43.4301.10.0-101024.2.3.2.02.02.008.15.</v>
      </c>
      <c r="U3087" t="e" cm="1">
        <f t="array" aca="1" ref="U3087" ca="1">+IF(COMPROMISOS_2025[[#This Row],[P]]="20","41080111",_xlfn.XLOOKUP(COMPROMISOS_2025[[#This Row],[concatenado]],PAA[[#All],[RCP-RUBRO]],PAA[[#All],[INDICADOR]],"",0))</f>
        <v>#NAME?</v>
      </c>
      <c r="V3087" s="144" t="str">
        <f t="shared" si="97"/>
        <v>10</v>
      </c>
      <c r="W3087" s="136">
        <f>+COMPROMISOS_2025[[#This Row],[valor_total]]-COMPROMISOS_2025[[#This Row],[total_cancelado]]</f>
        <v>18293600</v>
      </c>
      <c r="X3087" s="136">
        <f>COMPROMISOS_2025[[#This Row],[total_ordenes]]</f>
        <v>1755087</v>
      </c>
      <c r="Y3087" t="str" cm="1">
        <f t="array" aca="1" ref="Y3087" ca="1">IFERROR(_xlfn.XLOOKUP(COMPROMISOS_2025[[#This Row],[concatenado]],PAA[[#All],[RCP-RUBRO]],PAA[[#All],[Actividad3]],VLOOKUP(COMPROMISOS_2025[[#This Row],[Indicador Principal]],$AC$2:$AD$17,2,0),0),"")</f>
        <v/>
      </c>
    </row>
    <row r="3088" spans="1:25" hidden="1" x14ac:dyDescent="0.25">
      <c r="A3088">
        <v>439</v>
      </c>
      <c r="B3088" t="s">
        <v>4538</v>
      </c>
      <c r="C3088" t="s">
        <v>1775</v>
      </c>
      <c r="D3088" t="s">
        <v>2308</v>
      </c>
      <c r="E3088" t="s">
        <v>4539</v>
      </c>
      <c r="F3088">
        <v>299</v>
      </c>
      <c r="G3088">
        <v>74</v>
      </c>
      <c r="H3088" t="s">
        <v>268</v>
      </c>
      <c r="I3088" t="s">
        <v>2353</v>
      </c>
      <c r="J3088">
        <v>15317120</v>
      </c>
      <c r="K3088">
        <v>2025</v>
      </c>
      <c r="L3088">
        <v>394553593</v>
      </c>
      <c r="M3088" t="s">
        <v>4540</v>
      </c>
      <c r="N3088" t="s">
        <v>1688</v>
      </c>
      <c r="O3088" t="s">
        <v>1686</v>
      </c>
      <c r="P3088">
        <v>0</v>
      </c>
      <c r="Q3088">
        <v>0</v>
      </c>
      <c r="R3088">
        <v>0</v>
      </c>
      <c r="S3088">
        <v>15317120</v>
      </c>
      <c r="T3088" t="str">
        <f t="shared" si="96"/>
        <v>4393.43.4301.10.0-101024.2.3.2.02.02.008.15.</v>
      </c>
      <c r="U3088" t="e" cm="1">
        <f t="array" aca="1" ref="U3088" ca="1">+IF(COMPROMISOS_2025[[#This Row],[P]]="20","41080111",_xlfn.XLOOKUP(COMPROMISOS_2025[[#This Row],[concatenado]],PAA[[#All],[RCP-RUBRO]],PAA[[#All],[INDICADOR]],"",0))</f>
        <v>#NAME?</v>
      </c>
      <c r="V3088" s="144" t="str">
        <f t="shared" si="97"/>
        <v>10</v>
      </c>
      <c r="W3088" s="136">
        <f>+COMPROMISOS_2025[[#This Row],[valor_total]]-COMPROMISOS_2025[[#This Row],[total_cancelado]]</f>
        <v>15317120</v>
      </c>
      <c r="X3088" s="136">
        <f>COMPROMISOS_2025[[#This Row],[total_ordenes]]</f>
        <v>0</v>
      </c>
      <c r="Y3088" t="str" cm="1">
        <f t="array" aca="1" ref="Y3088" ca="1">IFERROR(_xlfn.XLOOKUP(COMPROMISOS_2025[[#This Row],[concatenado]],PAA[[#All],[RCP-RUBRO]],PAA[[#All],[Actividad3]],VLOOKUP(COMPROMISOS_2025[[#This Row],[Indicador Principal]],$AC$2:$AD$17,2,0),0),"")</f>
        <v/>
      </c>
    </row>
    <row r="3089" spans="1:25" hidden="1" x14ac:dyDescent="0.25">
      <c r="A3089">
        <v>122</v>
      </c>
      <c r="B3089" t="s">
        <v>4592</v>
      </c>
      <c r="C3089" t="s">
        <v>1775</v>
      </c>
      <c r="D3089" t="s">
        <v>2355</v>
      </c>
      <c r="E3089" t="s">
        <v>4593</v>
      </c>
      <c r="F3089">
        <v>77</v>
      </c>
      <c r="G3089">
        <v>75</v>
      </c>
      <c r="H3089" t="s">
        <v>306</v>
      </c>
      <c r="I3089" t="s">
        <v>2356</v>
      </c>
      <c r="J3089">
        <v>56616000</v>
      </c>
      <c r="K3089">
        <v>2025</v>
      </c>
      <c r="L3089">
        <v>1017164201</v>
      </c>
      <c r="M3089" t="s">
        <v>4594</v>
      </c>
      <c r="N3089" t="s">
        <v>1688</v>
      </c>
      <c r="O3089" t="s">
        <v>1686</v>
      </c>
      <c r="P3089">
        <v>0</v>
      </c>
      <c r="Q3089">
        <v>7499007</v>
      </c>
      <c r="R3089">
        <v>0</v>
      </c>
      <c r="S3089">
        <v>49116993</v>
      </c>
      <c r="T3089" t="str">
        <f t="shared" si="96"/>
        <v>1223.43.4301.10.0-101024.2.3.2.02.02.009.08.</v>
      </c>
      <c r="U3089" t="e" cm="1">
        <f t="array" aca="1" ref="U3089" ca="1">+IF(COMPROMISOS_2025[[#This Row],[P]]="20","41080111",_xlfn.XLOOKUP(COMPROMISOS_2025[[#This Row],[concatenado]],PAA[[#All],[RCP-RUBRO]],PAA[[#All],[INDICADOR]],"",0))</f>
        <v>#NAME?</v>
      </c>
      <c r="V3089" s="144" t="str">
        <f t="shared" si="97"/>
        <v>10</v>
      </c>
      <c r="W3089" s="136">
        <f>+COMPROMISOS_2025[[#This Row],[valor_total]]-COMPROMISOS_2025[[#This Row],[total_cancelado]]</f>
        <v>56616000</v>
      </c>
      <c r="X3089" s="136">
        <f>COMPROMISOS_2025[[#This Row],[total_ordenes]]</f>
        <v>7499007</v>
      </c>
      <c r="Y3089" t="str" cm="1">
        <f t="array" aca="1" ref="Y3089" ca="1">IFERROR(_xlfn.XLOOKUP(COMPROMISOS_2025[[#This Row],[concatenado]],PAA[[#All],[RCP-RUBRO]],PAA[[#All],[Actividad3]],VLOOKUP(COMPROMISOS_2025[[#This Row],[Indicador Principal]],$AC$2:$AD$17,2,0),0),"")</f>
        <v/>
      </c>
    </row>
    <row r="3090" spans="1:25" hidden="1" x14ac:dyDescent="0.25">
      <c r="A3090">
        <v>2849</v>
      </c>
      <c r="B3090" t="s">
        <v>2682</v>
      </c>
      <c r="C3090" t="s">
        <v>1775</v>
      </c>
      <c r="D3090" t="s">
        <v>1774</v>
      </c>
      <c r="E3090" t="s">
        <v>2683</v>
      </c>
      <c r="F3090">
        <v>382</v>
      </c>
      <c r="G3090">
        <v>77</v>
      </c>
      <c r="H3090" t="s">
        <v>771</v>
      </c>
      <c r="I3090" t="s">
        <v>2357</v>
      </c>
      <c r="J3090">
        <v>16217719</v>
      </c>
      <c r="K3090">
        <v>2025</v>
      </c>
      <c r="L3090">
        <v>9002857044</v>
      </c>
      <c r="M3090" t="s">
        <v>2684</v>
      </c>
      <c r="N3090" t="s">
        <v>1688</v>
      </c>
      <c r="O3090" t="s">
        <v>1686</v>
      </c>
      <c r="P3090">
        <v>0</v>
      </c>
      <c r="Q3090">
        <v>0</v>
      </c>
      <c r="R3090">
        <v>0</v>
      </c>
      <c r="S3090">
        <v>16217719</v>
      </c>
      <c r="T3090" t="str">
        <f t="shared" si="96"/>
        <v>28493.43.4301.72.0-205128.2.3.2.02.02.006.02.</v>
      </c>
      <c r="U3090" t="e" cm="1">
        <f t="array" aca="1" ref="U3090" ca="1">+IF(COMPROMISOS_2025[[#This Row],[P]]="20","41080111",_xlfn.XLOOKUP(COMPROMISOS_2025[[#This Row],[concatenado]],PAA[[#All],[RCP-RUBRO]],PAA[[#All],[INDICADOR]],"",0))</f>
        <v>#NAME?</v>
      </c>
      <c r="V3090" s="144" t="str">
        <f t="shared" si="97"/>
        <v>72</v>
      </c>
      <c r="W3090" s="136">
        <f>+COMPROMISOS_2025[[#This Row],[valor_total]]-COMPROMISOS_2025[[#This Row],[total_cancelado]]</f>
        <v>16217719</v>
      </c>
      <c r="X3090" s="136">
        <f>COMPROMISOS_2025[[#This Row],[total_ordenes]]</f>
        <v>0</v>
      </c>
      <c r="Y3090" t="str" cm="1">
        <f t="array" aca="1" ref="Y3090" ca="1">IFERROR(_xlfn.XLOOKUP(COMPROMISOS_2025[[#This Row],[concatenado]],PAA[[#All],[RCP-RUBRO]],PAA[[#All],[Actividad3]],VLOOKUP(COMPROMISOS_2025[[#This Row],[Indicador Principal]],$AC$2:$AD$17,2,0),0),"")</f>
        <v/>
      </c>
    </row>
    <row r="3091" spans="1:25" hidden="1" x14ac:dyDescent="0.25">
      <c r="A3091">
        <v>49</v>
      </c>
      <c r="B3091" t="s">
        <v>4512</v>
      </c>
      <c r="C3091" t="s">
        <v>1775</v>
      </c>
      <c r="D3091" t="s">
        <v>2289</v>
      </c>
      <c r="E3091" t="s">
        <v>4513</v>
      </c>
      <c r="F3091">
        <v>45</v>
      </c>
      <c r="G3091">
        <v>78</v>
      </c>
      <c r="H3091" t="s">
        <v>270</v>
      </c>
      <c r="I3091" t="s">
        <v>2358</v>
      </c>
      <c r="J3091">
        <v>17117120</v>
      </c>
      <c r="K3091">
        <v>2025</v>
      </c>
      <c r="L3091">
        <v>435781647</v>
      </c>
      <c r="M3091" t="s">
        <v>4514</v>
      </c>
      <c r="N3091" t="s">
        <v>1688</v>
      </c>
      <c r="O3091" t="s">
        <v>1686</v>
      </c>
      <c r="P3091">
        <v>0</v>
      </c>
      <c r="Q3091">
        <v>3893101</v>
      </c>
      <c r="R3091">
        <v>0</v>
      </c>
      <c r="S3091">
        <v>13224019</v>
      </c>
      <c r="T3091" t="str">
        <f t="shared" si="96"/>
        <v>493.43.4301.72.0-205128.2.3.2.02.02.008.16.</v>
      </c>
      <c r="U3091" t="e" cm="1">
        <f t="array" aca="1" ref="U3091" ca="1">+IF(COMPROMISOS_2025[[#This Row],[P]]="20","41080111",_xlfn.XLOOKUP(COMPROMISOS_2025[[#This Row],[concatenado]],PAA[[#All],[RCP-RUBRO]],PAA[[#All],[INDICADOR]],"",0))</f>
        <v>#NAME?</v>
      </c>
      <c r="V3091" s="144" t="str">
        <f t="shared" si="97"/>
        <v>72</v>
      </c>
      <c r="W3091" s="136">
        <f>+COMPROMISOS_2025[[#This Row],[valor_total]]-COMPROMISOS_2025[[#This Row],[total_cancelado]]</f>
        <v>17117120</v>
      </c>
      <c r="X3091" s="136">
        <f>COMPROMISOS_2025[[#This Row],[total_ordenes]]</f>
        <v>3893101</v>
      </c>
      <c r="Y3091" t="str" cm="1">
        <f t="array" aca="1" ref="Y3091" ca="1">IFERROR(_xlfn.XLOOKUP(COMPROMISOS_2025[[#This Row],[concatenado]],PAA[[#All],[RCP-RUBRO]],PAA[[#All],[Actividad3]],VLOOKUP(COMPROMISOS_2025[[#This Row],[Indicador Principal]],$AC$2:$AD$17,2,0),0),"")</f>
        <v/>
      </c>
    </row>
    <row r="3092" spans="1:25" hidden="1" x14ac:dyDescent="0.25">
      <c r="A3092">
        <v>61</v>
      </c>
      <c r="B3092" t="s">
        <v>4515</v>
      </c>
      <c r="C3092" t="s">
        <v>1775</v>
      </c>
      <c r="D3092" t="s">
        <v>2294</v>
      </c>
      <c r="E3092" t="s">
        <v>4516</v>
      </c>
      <c r="F3092">
        <v>48</v>
      </c>
      <c r="G3092">
        <v>78</v>
      </c>
      <c r="H3092" t="s">
        <v>270</v>
      </c>
      <c r="I3092" t="s">
        <v>2358</v>
      </c>
      <c r="J3092">
        <v>12034880</v>
      </c>
      <c r="K3092">
        <v>2025</v>
      </c>
      <c r="L3092">
        <v>10394510918</v>
      </c>
      <c r="M3092" t="s">
        <v>4517</v>
      </c>
      <c r="N3092" t="s">
        <v>1688</v>
      </c>
      <c r="O3092" t="s">
        <v>1686</v>
      </c>
      <c r="P3092">
        <v>0</v>
      </c>
      <c r="Q3092">
        <v>2858284</v>
      </c>
      <c r="R3092">
        <v>0</v>
      </c>
      <c r="S3092">
        <v>9176596</v>
      </c>
      <c r="T3092" t="str">
        <f t="shared" si="96"/>
        <v>613.43.4301.72.0-205128.2.3.2.02.02.008.16.</v>
      </c>
      <c r="U3092" t="e" cm="1">
        <f t="array" aca="1" ref="U3092" ca="1">+IF(COMPROMISOS_2025[[#This Row],[P]]="20","41080111",_xlfn.XLOOKUP(COMPROMISOS_2025[[#This Row],[concatenado]],PAA[[#All],[RCP-RUBRO]],PAA[[#All],[INDICADOR]],"",0))</f>
        <v>#NAME?</v>
      </c>
      <c r="V3092" s="144" t="str">
        <f t="shared" si="97"/>
        <v>72</v>
      </c>
      <c r="W3092" s="136">
        <f>+COMPROMISOS_2025[[#This Row],[valor_total]]-COMPROMISOS_2025[[#This Row],[total_cancelado]]</f>
        <v>12034880</v>
      </c>
      <c r="X3092" s="136">
        <f>COMPROMISOS_2025[[#This Row],[total_ordenes]]</f>
        <v>2858284</v>
      </c>
      <c r="Y3092" t="str" cm="1">
        <f t="array" aca="1" ref="Y3092" ca="1">IFERROR(_xlfn.XLOOKUP(COMPROMISOS_2025[[#This Row],[concatenado]],PAA[[#All],[RCP-RUBRO]],PAA[[#All],[Actividad3]],VLOOKUP(COMPROMISOS_2025[[#This Row],[Indicador Principal]],$AC$2:$AD$17,2,0),0),"")</f>
        <v/>
      </c>
    </row>
    <row r="3093" spans="1:25" hidden="1" x14ac:dyDescent="0.25">
      <c r="A3093">
        <v>62</v>
      </c>
      <c r="B3093" t="s">
        <v>4515</v>
      </c>
      <c r="C3093" t="s">
        <v>1775</v>
      </c>
      <c r="D3093" t="s">
        <v>2298</v>
      </c>
      <c r="E3093" t="s">
        <v>4518</v>
      </c>
      <c r="F3093">
        <v>50</v>
      </c>
      <c r="G3093">
        <v>78</v>
      </c>
      <c r="H3093" t="s">
        <v>270</v>
      </c>
      <c r="I3093" t="s">
        <v>2358</v>
      </c>
      <c r="J3093">
        <v>13834880</v>
      </c>
      <c r="K3093">
        <v>2025</v>
      </c>
      <c r="L3093">
        <v>436898712</v>
      </c>
      <c r="M3093" t="s">
        <v>4519</v>
      </c>
      <c r="N3093" t="s">
        <v>1688</v>
      </c>
      <c r="O3093" t="s">
        <v>1686</v>
      </c>
      <c r="P3093">
        <v>0</v>
      </c>
      <c r="Q3093">
        <v>0</v>
      </c>
      <c r="R3093">
        <v>0</v>
      </c>
      <c r="S3093">
        <v>13834880</v>
      </c>
      <c r="T3093" t="str">
        <f t="shared" si="96"/>
        <v>623.43.4301.72.0-205128.2.3.2.02.02.008.16.</v>
      </c>
      <c r="U3093" t="e" cm="1">
        <f t="array" aca="1" ref="U3093" ca="1">+IF(COMPROMISOS_2025[[#This Row],[P]]="20","41080111",_xlfn.XLOOKUP(COMPROMISOS_2025[[#This Row],[concatenado]],PAA[[#All],[RCP-RUBRO]],PAA[[#All],[INDICADOR]],"",0))</f>
        <v>#NAME?</v>
      </c>
      <c r="V3093" s="144" t="str">
        <f t="shared" si="97"/>
        <v>72</v>
      </c>
      <c r="W3093" s="136">
        <f>+COMPROMISOS_2025[[#This Row],[valor_total]]-COMPROMISOS_2025[[#This Row],[total_cancelado]]</f>
        <v>13834880</v>
      </c>
      <c r="X3093" s="136">
        <f>COMPROMISOS_2025[[#This Row],[total_ordenes]]</f>
        <v>0</v>
      </c>
      <c r="Y3093" t="str" cm="1">
        <f t="array" aca="1" ref="Y3093" ca="1">IFERROR(_xlfn.XLOOKUP(COMPROMISOS_2025[[#This Row],[concatenado]],PAA[[#All],[RCP-RUBRO]],PAA[[#All],[Actividad3]],VLOOKUP(COMPROMISOS_2025[[#This Row],[Indicador Principal]],$AC$2:$AD$17,2,0),0),"")</f>
        <v/>
      </c>
    </row>
    <row r="3094" spans="1:25" hidden="1" x14ac:dyDescent="0.25">
      <c r="A3094">
        <v>65</v>
      </c>
      <c r="B3094" t="s">
        <v>4520</v>
      </c>
      <c r="C3094" t="s">
        <v>1775</v>
      </c>
      <c r="D3094" t="s">
        <v>2302</v>
      </c>
      <c r="E3094" t="s">
        <v>4521</v>
      </c>
      <c r="F3094">
        <v>52</v>
      </c>
      <c r="G3094">
        <v>78</v>
      </c>
      <c r="H3094" t="s">
        <v>270</v>
      </c>
      <c r="I3094" t="s">
        <v>2358</v>
      </c>
      <c r="J3094">
        <v>7270400</v>
      </c>
      <c r="K3094">
        <v>2025</v>
      </c>
      <c r="L3094">
        <v>10017385179</v>
      </c>
      <c r="M3094" t="s">
        <v>4522</v>
      </c>
      <c r="N3094" t="s">
        <v>1688</v>
      </c>
      <c r="O3094" t="s">
        <v>1686</v>
      </c>
      <c r="P3094">
        <v>0</v>
      </c>
      <c r="Q3094">
        <v>1299220</v>
      </c>
      <c r="R3094">
        <v>0</v>
      </c>
      <c r="S3094">
        <v>5971180</v>
      </c>
      <c r="T3094" t="str">
        <f t="shared" si="96"/>
        <v>653.43.4301.72.0-205128.2.3.2.02.02.008.16.</v>
      </c>
      <c r="U3094" t="e" cm="1">
        <f t="array" aca="1" ref="U3094" ca="1">+IF(COMPROMISOS_2025[[#This Row],[P]]="20","41080111",_xlfn.XLOOKUP(COMPROMISOS_2025[[#This Row],[concatenado]],PAA[[#All],[RCP-RUBRO]],PAA[[#All],[INDICADOR]],"",0))</f>
        <v>#NAME?</v>
      </c>
      <c r="V3094" s="144" t="str">
        <f t="shared" si="97"/>
        <v>72</v>
      </c>
      <c r="W3094" s="136">
        <f>+COMPROMISOS_2025[[#This Row],[valor_total]]-COMPROMISOS_2025[[#This Row],[total_cancelado]]</f>
        <v>7270400</v>
      </c>
      <c r="X3094" s="136">
        <f>COMPROMISOS_2025[[#This Row],[total_ordenes]]</f>
        <v>1299220</v>
      </c>
      <c r="Y3094" t="str" cm="1">
        <f t="array" aca="1" ref="Y3094" ca="1">IFERROR(_xlfn.XLOOKUP(COMPROMISOS_2025[[#This Row],[concatenado]],PAA[[#All],[RCP-RUBRO]],PAA[[#All],[Actividad3]],VLOOKUP(COMPROMISOS_2025[[#This Row],[Indicador Principal]],$AC$2:$AD$17,2,0),0),"")</f>
        <v/>
      </c>
    </row>
    <row r="3095" spans="1:25" hidden="1" x14ac:dyDescent="0.25">
      <c r="A3095">
        <v>66</v>
      </c>
      <c r="B3095" t="s">
        <v>4523</v>
      </c>
      <c r="C3095" t="s">
        <v>1775</v>
      </c>
      <c r="D3095" t="s">
        <v>2304</v>
      </c>
      <c r="E3095" t="s">
        <v>4524</v>
      </c>
      <c r="F3095">
        <v>53</v>
      </c>
      <c r="G3095">
        <v>78</v>
      </c>
      <c r="H3095" t="s">
        <v>270</v>
      </c>
      <c r="I3095" t="s">
        <v>2358</v>
      </c>
      <c r="J3095">
        <v>12034880</v>
      </c>
      <c r="K3095">
        <v>2025</v>
      </c>
      <c r="L3095">
        <v>11282762308</v>
      </c>
      <c r="M3095" t="s">
        <v>4525</v>
      </c>
      <c r="N3095" t="s">
        <v>1688</v>
      </c>
      <c r="O3095" t="s">
        <v>1686</v>
      </c>
      <c r="P3095">
        <v>0</v>
      </c>
      <c r="Q3095">
        <v>2858284</v>
      </c>
      <c r="R3095">
        <v>0</v>
      </c>
      <c r="S3095">
        <v>9176596</v>
      </c>
      <c r="T3095" t="str">
        <f t="shared" si="96"/>
        <v>663.43.4301.72.0-205128.2.3.2.02.02.008.16.</v>
      </c>
      <c r="U3095" t="e" cm="1">
        <f t="array" aca="1" ref="U3095" ca="1">+IF(COMPROMISOS_2025[[#This Row],[P]]="20","41080111",_xlfn.XLOOKUP(COMPROMISOS_2025[[#This Row],[concatenado]],PAA[[#All],[RCP-RUBRO]],PAA[[#All],[INDICADOR]],"",0))</f>
        <v>#NAME?</v>
      </c>
      <c r="V3095" s="144" t="str">
        <f t="shared" si="97"/>
        <v>72</v>
      </c>
      <c r="W3095" s="136">
        <f>+COMPROMISOS_2025[[#This Row],[valor_total]]-COMPROMISOS_2025[[#This Row],[total_cancelado]]</f>
        <v>12034880</v>
      </c>
      <c r="X3095" s="136">
        <f>COMPROMISOS_2025[[#This Row],[total_ordenes]]</f>
        <v>2858284</v>
      </c>
      <c r="Y3095" t="str" cm="1">
        <f t="array" aca="1" ref="Y3095" ca="1">IFERROR(_xlfn.XLOOKUP(COMPROMISOS_2025[[#This Row],[concatenado]],PAA[[#All],[RCP-RUBRO]],PAA[[#All],[Actividad3]],VLOOKUP(COMPROMISOS_2025[[#This Row],[Indicador Principal]],$AC$2:$AD$17,2,0),0),"")</f>
        <v/>
      </c>
    </row>
    <row r="3096" spans="1:25" hidden="1" x14ac:dyDescent="0.25">
      <c r="A3096">
        <v>68</v>
      </c>
      <c r="B3096" t="s">
        <v>4526</v>
      </c>
      <c r="C3096" t="s">
        <v>1775</v>
      </c>
      <c r="D3096" t="s">
        <v>2292</v>
      </c>
      <c r="E3096" t="s">
        <v>4527</v>
      </c>
      <c r="F3096">
        <v>47</v>
      </c>
      <c r="G3096">
        <v>78</v>
      </c>
      <c r="H3096" t="s">
        <v>270</v>
      </c>
      <c r="I3096" t="s">
        <v>2358</v>
      </c>
      <c r="J3096">
        <v>12034880</v>
      </c>
      <c r="K3096">
        <v>2025</v>
      </c>
      <c r="L3096">
        <v>10172089144</v>
      </c>
      <c r="M3096" t="s">
        <v>4528</v>
      </c>
      <c r="N3096" t="s">
        <v>1688</v>
      </c>
      <c r="O3096" t="s">
        <v>1686</v>
      </c>
      <c r="P3096">
        <v>0</v>
      </c>
      <c r="Q3096">
        <v>0</v>
      </c>
      <c r="R3096">
        <v>0</v>
      </c>
      <c r="S3096">
        <v>12034880</v>
      </c>
      <c r="T3096" t="str">
        <f t="shared" si="96"/>
        <v>683.43.4301.72.0-205128.2.3.2.02.02.008.16.</v>
      </c>
      <c r="U3096" t="e" cm="1">
        <f t="array" aca="1" ref="U3096" ca="1">+IF(COMPROMISOS_2025[[#This Row],[P]]="20","41080111",_xlfn.XLOOKUP(COMPROMISOS_2025[[#This Row],[concatenado]],PAA[[#All],[RCP-RUBRO]],PAA[[#All],[INDICADOR]],"",0))</f>
        <v>#NAME?</v>
      </c>
      <c r="V3096" s="144" t="str">
        <f t="shared" si="97"/>
        <v>72</v>
      </c>
      <c r="W3096" s="136">
        <f>+COMPROMISOS_2025[[#This Row],[valor_total]]-COMPROMISOS_2025[[#This Row],[total_cancelado]]</f>
        <v>12034880</v>
      </c>
      <c r="X3096" s="136">
        <f>COMPROMISOS_2025[[#This Row],[total_ordenes]]</f>
        <v>0</v>
      </c>
      <c r="Y3096" t="str" cm="1">
        <f t="array" aca="1" ref="Y3096" ca="1">IFERROR(_xlfn.XLOOKUP(COMPROMISOS_2025[[#This Row],[concatenado]],PAA[[#All],[RCP-RUBRO]],PAA[[#All],[Actividad3]],VLOOKUP(COMPROMISOS_2025[[#This Row],[Indicador Principal]],$AC$2:$AD$17,2,0),0),"")</f>
        <v/>
      </c>
    </row>
    <row r="3097" spans="1:25" hidden="1" x14ac:dyDescent="0.25">
      <c r="A3097">
        <v>88</v>
      </c>
      <c r="B3097" t="s">
        <v>4529</v>
      </c>
      <c r="C3097" t="s">
        <v>1775</v>
      </c>
      <c r="D3097" t="s">
        <v>2296</v>
      </c>
      <c r="E3097" t="s">
        <v>4530</v>
      </c>
      <c r="F3097">
        <v>49</v>
      </c>
      <c r="G3097">
        <v>78</v>
      </c>
      <c r="H3097" t="s">
        <v>270</v>
      </c>
      <c r="I3097" t="s">
        <v>2358</v>
      </c>
      <c r="J3097">
        <v>11034880</v>
      </c>
      <c r="K3097">
        <v>2025</v>
      </c>
      <c r="L3097">
        <v>10171653837</v>
      </c>
      <c r="M3097" t="s">
        <v>4531</v>
      </c>
      <c r="N3097" t="s">
        <v>1688</v>
      </c>
      <c r="O3097" t="s">
        <v>1686</v>
      </c>
      <c r="P3097">
        <v>0</v>
      </c>
      <c r="Q3097">
        <v>2482848</v>
      </c>
      <c r="R3097">
        <v>0</v>
      </c>
      <c r="S3097">
        <v>8552032</v>
      </c>
      <c r="T3097" t="str">
        <f t="shared" si="96"/>
        <v>883.43.4301.72.0-205128.2.3.2.02.02.008.16.</v>
      </c>
      <c r="U3097" t="e" cm="1">
        <f t="array" aca="1" ref="U3097" ca="1">+IF(COMPROMISOS_2025[[#This Row],[P]]="20","41080111",_xlfn.XLOOKUP(COMPROMISOS_2025[[#This Row],[concatenado]],PAA[[#All],[RCP-RUBRO]],PAA[[#All],[INDICADOR]],"",0))</f>
        <v>#NAME?</v>
      </c>
      <c r="V3097" s="144" t="str">
        <f t="shared" si="97"/>
        <v>72</v>
      </c>
      <c r="W3097" s="136">
        <f>+COMPROMISOS_2025[[#This Row],[valor_total]]-COMPROMISOS_2025[[#This Row],[total_cancelado]]</f>
        <v>11034880</v>
      </c>
      <c r="X3097" s="136">
        <f>COMPROMISOS_2025[[#This Row],[total_ordenes]]</f>
        <v>2482848</v>
      </c>
      <c r="Y3097" t="str" cm="1">
        <f t="array" aca="1" ref="Y3097" ca="1">IFERROR(_xlfn.XLOOKUP(COMPROMISOS_2025[[#This Row],[concatenado]],PAA[[#All],[RCP-RUBRO]],PAA[[#All],[Actividad3]],VLOOKUP(COMPROMISOS_2025[[#This Row],[Indicador Principal]],$AC$2:$AD$17,2,0),0),"")</f>
        <v/>
      </c>
    </row>
    <row r="3098" spans="1:25" hidden="1" x14ac:dyDescent="0.25">
      <c r="A3098">
        <v>90</v>
      </c>
      <c r="B3098" t="s">
        <v>4532</v>
      </c>
      <c r="C3098" t="s">
        <v>1775</v>
      </c>
      <c r="D3098" t="s">
        <v>2300</v>
      </c>
      <c r="E3098" t="s">
        <v>4533</v>
      </c>
      <c r="F3098">
        <v>51</v>
      </c>
      <c r="G3098">
        <v>78</v>
      </c>
      <c r="H3098" t="s">
        <v>270</v>
      </c>
      <c r="I3098" t="s">
        <v>2358</v>
      </c>
      <c r="J3098">
        <v>12034880</v>
      </c>
      <c r="K3098">
        <v>2025</v>
      </c>
      <c r="L3098">
        <v>1037612757</v>
      </c>
      <c r="M3098" t="s">
        <v>4534</v>
      </c>
      <c r="N3098" t="s">
        <v>1688</v>
      </c>
      <c r="O3098" t="s">
        <v>1686</v>
      </c>
      <c r="P3098">
        <v>0</v>
      </c>
      <c r="Q3098">
        <v>2707848</v>
      </c>
      <c r="R3098">
        <v>0</v>
      </c>
      <c r="S3098">
        <v>9327032</v>
      </c>
      <c r="T3098" t="str">
        <f t="shared" si="96"/>
        <v>903.43.4301.72.0-205128.2.3.2.02.02.008.16.</v>
      </c>
      <c r="U3098" t="e" cm="1">
        <f t="array" aca="1" ref="U3098" ca="1">+IF(COMPROMISOS_2025[[#This Row],[P]]="20","41080111",_xlfn.XLOOKUP(COMPROMISOS_2025[[#This Row],[concatenado]],PAA[[#All],[RCP-RUBRO]],PAA[[#All],[INDICADOR]],"",0))</f>
        <v>#NAME?</v>
      </c>
      <c r="V3098" s="144" t="str">
        <f t="shared" si="97"/>
        <v>72</v>
      </c>
      <c r="W3098" s="136">
        <f>+COMPROMISOS_2025[[#This Row],[valor_total]]-COMPROMISOS_2025[[#This Row],[total_cancelado]]</f>
        <v>12034880</v>
      </c>
      <c r="X3098" s="136">
        <f>COMPROMISOS_2025[[#This Row],[total_ordenes]]</f>
        <v>2707848</v>
      </c>
      <c r="Y3098" t="str" cm="1">
        <f t="array" aca="1" ref="Y3098" ca="1">IFERROR(_xlfn.XLOOKUP(COMPROMISOS_2025[[#This Row],[concatenado]],PAA[[#All],[RCP-RUBRO]],PAA[[#All],[Actividad3]],VLOOKUP(COMPROMISOS_2025[[#This Row],[Indicador Principal]],$AC$2:$AD$17,2,0),0),"")</f>
        <v/>
      </c>
    </row>
    <row r="3099" spans="1:25" hidden="1" x14ac:dyDescent="0.25">
      <c r="A3099">
        <v>423</v>
      </c>
      <c r="B3099" t="s">
        <v>4535</v>
      </c>
      <c r="C3099" t="s">
        <v>1775</v>
      </c>
      <c r="D3099" t="s">
        <v>2306</v>
      </c>
      <c r="E3099" t="s">
        <v>4536</v>
      </c>
      <c r="F3099">
        <v>295</v>
      </c>
      <c r="G3099">
        <v>78</v>
      </c>
      <c r="H3099" t="s">
        <v>270</v>
      </c>
      <c r="I3099" t="s">
        <v>2358</v>
      </c>
      <c r="J3099">
        <v>18293600</v>
      </c>
      <c r="K3099">
        <v>2025</v>
      </c>
      <c r="L3099">
        <v>10366828938</v>
      </c>
      <c r="M3099" t="s">
        <v>4537</v>
      </c>
      <c r="N3099" t="s">
        <v>1688</v>
      </c>
      <c r="O3099" t="s">
        <v>1686</v>
      </c>
      <c r="P3099">
        <v>0</v>
      </c>
      <c r="Q3099">
        <v>1755087</v>
      </c>
      <c r="R3099">
        <v>0</v>
      </c>
      <c r="S3099">
        <v>16538513</v>
      </c>
      <c r="T3099" t="str">
        <f t="shared" si="96"/>
        <v>4233.43.4301.72.0-205128.2.3.2.02.02.008.16.</v>
      </c>
      <c r="U3099" t="e" cm="1">
        <f t="array" aca="1" ref="U3099" ca="1">+IF(COMPROMISOS_2025[[#This Row],[P]]="20","41080111",_xlfn.XLOOKUP(COMPROMISOS_2025[[#This Row],[concatenado]],PAA[[#All],[RCP-RUBRO]],PAA[[#All],[INDICADOR]],"",0))</f>
        <v>#NAME?</v>
      </c>
      <c r="V3099" s="144" t="str">
        <f t="shared" si="97"/>
        <v>72</v>
      </c>
      <c r="W3099" s="136">
        <f>+COMPROMISOS_2025[[#This Row],[valor_total]]-COMPROMISOS_2025[[#This Row],[total_cancelado]]</f>
        <v>18293600</v>
      </c>
      <c r="X3099" s="136">
        <f>COMPROMISOS_2025[[#This Row],[total_ordenes]]</f>
        <v>1755087</v>
      </c>
      <c r="Y3099" t="str" cm="1">
        <f t="array" aca="1" ref="Y3099" ca="1">IFERROR(_xlfn.XLOOKUP(COMPROMISOS_2025[[#This Row],[concatenado]],PAA[[#All],[RCP-RUBRO]],PAA[[#All],[Actividad3]],VLOOKUP(COMPROMISOS_2025[[#This Row],[Indicador Principal]],$AC$2:$AD$17,2,0),0),"")</f>
        <v/>
      </c>
    </row>
    <row r="3100" spans="1:25" hidden="1" x14ac:dyDescent="0.25">
      <c r="A3100">
        <v>439</v>
      </c>
      <c r="B3100" t="s">
        <v>4538</v>
      </c>
      <c r="C3100" t="s">
        <v>1775</v>
      </c>
      <c r="D3100" t="s">
        <v>2308</v>
      </c>
      <c r="E3100" t="s">
        <v>4539</v>
      </c>
      <c r="F3100">
        <v>299</v>
      </c>
      <c r="G3100">
        <v>78</v>
      </c>
      <c r="H3100" t="s">
        <v>270</v>
      </c>
      <c r="I3100" t="s">
        <v>2358</v>
      </c>
      <c r="J3100">
        <v>15317120</v>
      </c>
      <c r="K3100">
        <v>2025</v>
      </c>
      <c r="L3100">
        <v>394553593</v>
      </c>
      <c r="M3100" t="s">
        <v>4540</v>
      </c>
      <c r="N3100" t="s">
        <v>1688</v>
      </c>
      <c r="O3100" t="s">
        <v>1686</v>
      </c>
      <c r="P3100">
        <v>0</v>
      </c>
      <c r="Q3100">
        <v>0</v>
      </c>
      <c r="R3100">
        <v>0</v>
      </c>
      <c r="S3100">
        <v>15317120</v>
      </c>
      <c r="T3100" t="str">
        <f t="shared" si="96"/>
        <v>4393.43.4301.72.0-205128.2.3.2.02.02.008.16.</v>
      </c>
      <c r="U3100" t="e" cm="1">
        <f t="array" aca="1" ref="U3100" ca="1">+IF(COMPROMISOS_2025[[#This Row],[P]]="20","41080111",_xlfn.XLOOKUP(COMPROMISOS_2025[[#This Row],[concatenado]],PAA[[#All],[RCP-RUBRO]],PAA[[#All],[INDICADOR]],"",0))</f>
        <v>#NAME?</v>
      </c>
      <c r="V3100" s="144" t="str">
        <f t="shared" si="97"/>
        <v>72</v>
      </c>
      <c r="W3100" s="136">
        <f>+COMPROMISOS_2025[[#This Row],[valor_total]]-COMPROMISOS_2025[[#This Row],[total_cancelado]]</f>
        <v>15317120</v>
      </c>
      <c r="X3100" s="136">
        <f>COMPROMISOS_2025[[#This Row],[total_ordenes]]</f>
        <v>0</v>
      </c>
      <c r="Y3100" t="str" cm="1">
        <f t="array" aca="1" ref="Y3100" ca="1">IFERROR(_xlfn.XLOOKUP(COMPROMISOS_2025[[#This Row],[concatenado]],PAA[[#All],[RCP-RUBRO]],PAA[[#All],[Actividad3]],VLOOKUP(COMPROMISOS_2025[[#This Row],[Indicador Principal]],$AC$2:$AD$17,2,0),0),"")</f>
        <v/>
      </c>
    </row>
    <row r="3101" spans="1:25" hidden="1" x14ac:dyDescent="0.25">
      <c r="A3101">
        <v>123</v>
      </c>
      <c r="B3101" t="s">
        <v>4595</v>
      </c>
      <c r="C3101" t="s">
        <v>1775</v>
      </c>
      <c r="D3101" t="s">
        <v>2365</v>
      </c>
      <c r="E3101" t="s">
        <v>4596</v>
      </c>
      <c r="F3101">
        <v>76</v>
      </c>
      <c r="G3101">
        <v>79</v>
      </c>
      <c r="H3101" t="s">
        <v>308</v>
      </c>
      <c r="I3101" t="s">
        <v>2361</v>
      </c>
      <c r="J3101">
        <v>87093000</v>
      </c>
      <c r="K3101">
        <v>2025</v>
      </c>
      <c r="L3101">
        <v>10369274265</v>
      </c>
      <c r="M3101" t="s">
        <v>4597</v>
      </c>
      <c r="N3101" t="s">
        <v>1688</v>
      </c>
      <c r="O3101" t="s">
        <v>1686</v>
      </c>
      <c r="P3101">
        <v>0</v>
      </c>
      <c r="Q3101">
        <v>11784153</v>
      </c>
      <c r="R3101">
        <v>0</v>
      </c>
      <c r="S3101">
        <v>75308847</v>
      </c>
      <c r="T3101" t="str">
        <f t="shared" si="96"/>
        <v>1233.43.4301.72.0-205128.2.3.2.02.02.009.09.</v>
      </c>
      <c r="U3101" t="e" cm="1">
        <f t="array" aca="1" ref="U3101" ca="1">+IF(COMPROMISOS_2025[[#This Row],[P]]="20","41080111",_xlfn.XLOOKUP(COMPROMISOS_2025[[#This Row],[concatenado]],PAA[[#All],[RCP-RUBRO]],PAA[[#All],[INDICADOR]],"",0))</f>
        <v>#NAME?</v>
      </c>
      <c r="V3101" s="144" t="str">
        <f t="shared" si="97"/>
        <v>72</v>
      </c>
      <c r="W3101" s="136">
        <f>+COMPROMISOS_2025[[#This Row],[valor_total]]-COMPROMISOS_2025[[#This Row],[total_cancelado]]</f>
        <v>87093000</v>
      </c>
      <c r="X3101" s="136">
        <f>COMPROMISOS_2025[[#This Row],[total_ordenes]]</f>
        <v>11784153</v>
      </c>
      <c r="Y3101" t="str" cm="1">
        <f t="array" aca="1" ref="Y3101" ca="1">IFERROR(_xlfn.XLOOKUP(COMPROMISOS_2025[[#This Row],[concatenado]],PAA[[#All],[RCP-RUBRO]],PAA[[#All],[Actividad3]],VLOOKUP(COMPROMISOS_2025[[#This Row],[Indicador Principal]],$AC$2:$AD$17,2,0),0),"")</f>
        <v/>
      </c>
    </row>
    <row r="3102" spans="1:25" hidden="1" x14ac:dyDescent="0.25">
      <c r="A3102">
        <v>125</v>
      </c>
      <c r="B3102" t="s">
        <v>4598</v>
      </c>
      <c r="C3102" t="s">
        <v>1775</v>
      </c>
      <c r="D3102" t="s">
        <v>2363</v>
      </c>
      <c r="E3102" t="s">
        <v>4599</v>
      </c>
      <c r="F3102">
        <v>75</v>
      </c>
      <c r="G3102">
        <v>79</v>
      </c>
      <c r="H3102" t="s">
        <v>308</v>
      </c>
      <c r="I3102" t="s">
        <v>2361</v>
      </c>
      <c r="J3102">
        <v>85843000</v>
      </c>
      <c r="K3102">
        <v>2025</v>
      </c>
      <c r="L3102">
        <v>10401802233</v>
      </c>
      <c r="M3102" t="s">
        <v>4600</v>
      </c>
      <c r="N3102" t="s">
        <v>1688</v>
      </c>
      <c r="O3102" t="s">
        <v>1686</v>
      </c>
      <c r="P3102">
        <v>0</v>
      </c>
      <c r="Q3102">
        <v>11784153</v>
      </c>
      <c r="R3102">
        <v>0</v>
      </c>
      <c r="S3102">
        <v>74058847</v>
      </c>
      <c r="T3102" t="str">
        <f t="shared" si="96"/>
        <v>1253.43.4301.72.0-205128.2.3.2.02.02.009.09.</v>
      </c>
      <c r="U3102" t="e" cm="1">
        <f t="array" aca="1" ref="U3102" ca="1">+IF(COMPROMISOS_2025[[#This Row],[P]]="20","41080111",_xlfn.XLOOKUP(COMPROMISOS_2025[[#This Row],[concatenado]],PAA[[#All],[RCP-RUBRO]],PAA[[#All],[INDICADOR]],"",0))</f>
        <v>#NAME?</v>
      </c>
      <c r="V3102" s="144" t="str">
        <f t="shared" si="97"/>
        <v>72</v>
      </c>
      <c r="W3102" s="136">
        <f>+COMPROMISOS_2025[[#This Row],[valor_total]]-COMPROMISOS_2025[[#This Row],[total_cancelado]]</f>
        <v>85843000</v>
      </c>
      <c r="X3102" s="136">
        <f>COMPROMISOS_2025[[#This Row],[total_ordenes]]</f>
        <v>11784153</v>
      </c>
      <c r="Y3102" t="str" cm="1">
        <f t="array" aca="1" ref="Y3102" ca="1">IFERROR(_xlfn.XLOOKUP(COMPROMISOS_2025[[#This Row],[concatenado]],PAA[[#All],[RCP-RUBRO]],PAA[[#All],[Actividad3]],VLOOKUP(COMPROMISOS_2025[[#This Row],[Indicador Principal]],$AC$2:$AD$17,2,0),0),"")</f>
        <v/>
      </c>
    </row>
    <row r="3103" spans="1:25" hidden="1" x14ac:dyDescent="0.25">
      <c r="A3103">
        <v>135</v>
      </c>
      <c r="B3103" t="s">
        <v>4601</v>
      </c>
      <c r="C3103" t="s">
        <v>1775</v>
      </c>
      <c r="D3103" t="s">
        <v>2360</v>
      </c>
      <c r="E3103" t="s">
        <v>4602</v>
      </c>
      <c r="F3103">
        <v>74</v>
      </c>
      <c r="G3103">
        <v>79</v>
      </c>
      <c r="H3103" t="s">
        <v>308</v>
      </c>
      <c r="I3103" t="s">
        <v>2361</v>
      </c>
      <c r="J3103">
        <v>85843000</v>
      </c>
      <c r="K3103">
        <v>2025</v>
      </c>
      <c r="L3103">
        <v>81055066</v>
      </c>
      <c r="M3103" t="s">
        <v>4603</v>
      </c>
      <c r="N3103" t="s">
        <v>1688</v>
      </c>
      <c r="O3103" t="s">
        <v>1686</v>
      </c>
      <c r="P3103">
        <v>0</v>
      </c>
      <c r="Q3103">
        <v>10781247</v>
      </c>
      <c r="R3103">
        <v>0</v>
      </c>
      <c r="S3103">
        <v>75061753</v>
      </c>
      <c r="T3103" t="str">
        <f t="shared" si="96"/>
        <v>1353.43.4301.72.0-205128.2.3.2.02.02.009.09.</v>
      </c>
      <c r="U3103" t="e" cm="1">
        <f t="array" aca="1" ref="U3103" ca="1">+IF(COMPROMISOS_2025[[#This Row],[P]]="20","41080111",_xlfn.XLOOKUP(COMPROMISOS_2025[[#This Row],[concatenado]],PAA[[#All],[RCP-RUBRO]],PAA[[#All],[INDICADOR]],"",0))</f>
        <v>#NAME?</v>
      </c>
      <c r="V3103" s="144" t="str">
        <f t="shared" si="97"/>
        <v>72</v>
      </c>
      <c r="W3103" s="136">
        <f>+COMPROMISOS_2025[[#This Row],[valor_total]]-COMPROMISOS_2025[[#This Row],[total_cancelado]]</f>
        <v>85843000</v>
      </c>
      <c r="X3103" s="136">
        <f>COMPROMISOS_2025[[#This Row],[total_ordenes]]</f>
        <v>10781247</v>
      </c>
      <c r="Y3103" t="str" cm="1">
        <f t="array" aca="1" ref="Y3103" ca="1">IFERROR(_xlfn.XLOOKUP(COMPROMISOS_2025[[#This Row],[concatenado]],PAA[[#All],[RCP-RUBRO]],PAA[[#All],[Actividad3]],VLOOKUP(COMPROMISOS_2025[[#This Row],[Indicador Principal]],$AC$2:$AD$17,2,0),0),"")</f>
        <v/>
      </c>
    </row>
    <row r="3104" spans="1:25" hidden="1" x14ac:dyDescent="0.25">
      <c r="A3104">
        <v>431</v>
      </c>
      <c r="B3104" t="s">
        <v>4604</v>
      </c>
      <c r="C3104" t="s">
        <v>1775</v>
      </c>
      <c r="D3104" t="s">
        <v>2371</v>
      </c>
      <c r="E3104" t="s">
        <v>4605</v>
      </c>
      <c r="F3104">
        <v>332</v>
      </c>
      <c r="G3104">
        <v>79</v>
      </c>
      <c r="H3104" t="s">
        <v>308</v>
      </c>
      <c r="I3104" t="s">
        <v>2361</v>
      </c>
      <c r="J3104">
        <v>129600000</v>
      </c>
      <c r="K3104">
        <v>2025</v>
      </c>
      <c r="L3104">
        <v>8909054569</v>
      </c>
      <c r="M3104" t="s">
        <v>4606</v>
      </c>
      <c r="N3104" t="s">
        <v>1688</v>
      </c>
      <c r="O3104" t="s">
        <v>1686</v>
      </c>
      <c r="P3104">
        <v>0</v>
      </c>
      <c r="Q3104">
        <v>0</v>
      </c>
      <c r="R3104">
        <v>0</v>
      </c>
      <c r="S3104">
        <v>129600000</v>
      </c>
      <c r="T3104" t="str">
        <f t="shared" si="96"/>
        <v>4313.43.4301.72.0-205128.2.3.2.02.02.009.09.</v>
      </c>
      <c r="U3104" t="e" cm="1">
        <f t="array" aca="1" ref="U3104" ca="1">+IF(COMPROMISOS_2025[[#This Row],[P]]="20","41080111",_xlfn.XLOOKUP(COMPROMISOS_2025[[#This Row],[concatenado]],PAA[[#All],[RCP-RUBRO]],PAA[[#All],[INDICADOR]],"",0))</f>
        <v>#NAME?</v>
      </c>
      <c r="V3104" s="144" t="str">
        <f t="shared" si="97"/>
        <v>72</v>
      </c>
      <c r="W3104" s="136">
        <f>+COMPROMISOS_2025[[#This Row],[valor_total]]-COMPROMISOS_2025[[#This Row],[total_cancelado]]</f>
        <v>129600000</v>
      </c>
      <c r="X3104" s="136">
        <f>COMPROMISOS_2025[[#This Row],[total_ordenes]]</f>
        <v>0</v>
      </c>
      <c r="Y3104" t="str" cm="1">
        <f t="array" aca="1" ref="Y3104" ca="1">IFERROR(_xlfn.XLOOKUP(COMPROMISOS_2025[[#This Row],[concatenado]],PAA[[#All],[RCP-RUBRO]],PAA[[#All],[Actividad3]],VLOOKUP(COMPROMISOS_2025[[#This Row],[Indicador Principal]],$AC$2:$AD$17,2,0),0),"")</f>
        <v/>
      </c>
    </row>
    <row r="3105" spans="1:25" hidden="1" x14ac:dyDescent="0.25">
      <c r="A3105">
        <v>435</v>
      </c>
      <c r="B3105" t="s">
        <v>4607</v>
      </c>
      <c r="C3105" t="s">
        <v>1775</v>
      </c>
      <c r="D3105" t="s">
        <v>2367</v>
      </c>
      <c r="E3105" t="s">
        <v>4608</v>
      </c>
      <c r="F3105">
        <v>310</v>
      </c>
      <c r="G3105">
        <v>79</v>
      </c>
      <c r="H3105" t="s">
        <v>308</v>
      </c>
      <c r="I3105" t="s">
        <v>2361</v>
      </c>
      <c r="J3105">
        <v>85843000</v>
      </c>
      <c r="K3105">
        <v>2025</v>
      </c>
      <c r="L3105">
        <v>716692211</v>
      </c>
      <c r="M3105" t="s">
        <v>4609</v>
      </c>
      <c r="N3105" t="s">
        <v>1688</v>
      </c>
      <c r="O3105" t="s">
        <v>1686</v>
      </c>
      <c r="P3105">
        <v>0</v>
      </c>
      <c r="Q3105">
        <v>7020347</v>
      </c>
      <c r="R3105">
        <v>0</v>
      </c>
      <c r="S3105">
        <v>78822653</v>
      </c>
      <c r="T3105" t="str">
        <f t="shared" si="96"/>
        <v>4353.43.4301.72.0-205128.2.3.2.02.02.009.09.</v>
      </c>
      <c r="U3105" t="e" cm="1">
        <f t="array" aca="1" ref="U3105" ca="1">+IF(COMPROMISOS_2025[[#This Row],[P]]="20","41080111",_xlfn.XLOOKUP(COMPROMISOS_2025[[#This Row],[concatenado]],PAA[[#All],[RCP-RUBRO]],PAA[[#All],[INDICADOR]],"",0))</f>
        <v>#NAME?</v>
      </c>
      <c r="V3105" s="144" t="str">
        <f t="shared" si="97"/>
        <v>72</v>
      </c>
      <c r="W3105" s="136">
        <f>+COMPROMISOS_2025[[#This Row],[valor_total]]-COMPROMISOS_2025[[#This Row],[total_cancelado]]</f>
        <v>85843000</v>
      </c>
      <c r="X3105" s="136">
        <f>COMPROMISOS_2025[[#This Row],[total_ordenes]]</f>
        <v>7020347</v>
      </c>
      <c r="Y3105" t="str" cm="1">
        <f t="array" aca="1" ref="Y3105" ca="1">IFERROR(_xlfn.XLOOKUP(COMPROMISOS_2025[[#This Row],[concatenado]],PAA[[#All],[RCP-RUBRO]],PAA[[#All],[Actividad3]],VLOOKUP(COMPROMISOS_2025[[#This Row],[Indicador Principal]],$AC$2:$AD$17,2,0),0),"")</f>
        <v/>
      </c>
    </row>
    <row r="3106" spans="1:25" hidden="1" x14ac:dyDescent="0.25">
      <c r="A3106">
        <v>1204</v>
      </c>
      <c r="B3106" t="s">
        <v>4610</v>
      </c>
      <c r="C3106" t="s">
        <v>1775</v>
      </c>
      <c r="D3106" t="s">
        <v>2373</v>
      </c>
      <c r="E3106" t="s">
        <v>4611</v>
      </c>
      <c r="F3106">
        <v>333</v>
      </c>
      <c r="G3106">
        <v>79</v>
      </c>
      <c r="H3106" t="s">
        <v>308</v>
      </c>
      <c r="I3106" t="s">
        <v>2361</v>
      </c>
      <c r="J3106">
        <v>88935122</v>
      </c>
      <c r="K3106">
        <v>2025</v>
      </c>
      <c r="L3106">
        <v>8909800408</v>
      </c>
      <c r="M3106" t="s">
        <v>2522</v>
      </c>
      <c r="N3106" t="s">
        <v>1688</v>
      </c>
      <c r="O3106" t="s">
        <v>1686</v>
      </c>
      <c r="P3106">
        <v>0</v>
      </c>
      <c r="Q3106">
        <v>0</v>
      </c>
      <c r="R3106">
        <v>0</v>
      </c>
      <c r="S3106">
        <v>88935122</v>
      </c>
      <c r="T3106" t="str">
        <f t="shared" si="96"/>
        <v>12043.43.4301.72.0-205128.2.3.2.02.02.009.09.</v>
      </c>
      <c r="U3106" t="e" cm="1">
        <f t="array" aca="1" ref="U3106" ca="1">+IF(COMPROMISOS_2025[[#This Row],[P]]="20","41080111",_xlfn.XLOOKUP(COMPROMISOS_2025[[#This Row],[concatenado]],PAA[[#All],[RCP-RUBRO]],PAA[[#All],[INDICADOR]],"",0))</f>
        <v>#NAME?</v>
      </c>
      <c r="V3106" s="144" t="str">
        <f t="shared" si="97"/>
        <v>72</v>
      </c>
      <c r="W3106" s="136">
        <f>+COMPROMISOS_2025[[#This Row],[valor_total]]-COMPROMISOS_2025[[#This Row],[total_cancelado]]</f>
        <v>88935122</v>
      </c>
      <c r="X3106" s="136">
        <f>COMPROMISOS_2025[[#This Row],[total_ordenes]]</f>
        <v>0</v>
      </c>
      <c r="Y3106" t="str" cm="1">
        <f t="array" aca="1" ref="Y3106" ca="1">IFERROR(_xlfn.XLOOKUP(COMPROMISOS_2025[[#This Row],[concatenado]],PAA[[#All],[RCP-RUBRO]],PAA[[#All],[Actividad3]],VLOOKUP(COMPROMISOS_2025[[#This Row],[Indicador Principal]],$AC$2:$AD$17,2,0),0),"")</f>
        <v/>
      </c>
    </row>
    <row r="3107" spans="1:25" hidden="1" x14ac:dyDescent="0.25">
      <c r="A3107">
        <v>3004</v>
      </c>
      <c r="B3107" t="s">
        <v>4612</v>
      </c>
      <c r="C3107" t="s">
        <v>1775</v>
      </c>
      <c r="D3107" t="s">
        <v>2369</v>
      </c>
      <c r="E3107" t="s">
        <v>4613</v>
      </c>
      <c r="F3107">
        <v>330</v>
      </c>
      <c r="G3107">
        <v>79</v>
      </c>
      <c r="H3107" t="s">
        <v>308</v>
      </c>
      <c r="I3107" t="s">
        <v>2361</v>
      </c>
      <c r="J3107">
        <v>222478000</v>
      </c>
      <c r="K3107">
        <v>2025</v>
      </c>
      <c r="L3107">
        <v>8909847467</v>
      </c>
      <c r="M3107" t="s">
        <v>1484</v>
      </c>
      <c r="N3107" t="s">
        <v>1688</v>
      </c>
      <c r="O3107" t="s">
        <v>1686</v>
      </c>
      <c r="P3107">
        <v>0</v>
      </c>
      <c r="Q3107">
        <v>0</v>
      </c>
      <c r="R3107">
        <v>0</v>
      </c>
      <c r="S3107">
        <v>222478000</v>
      </c>
      <c r="T3107" t="str">
        <f t="shared" si="96"/>
        <v>30043.43.4301.72.0-205128.2.3.2.02.02.009.09.</v>
      </c>
      <c r="U3107" t="e" cm="1">
        <f t="array" aca="1" ref="U3107" ca="1">+IF(COMPROMISOS_2025[[#This Row],[P]]="20","41080111",_xlfn.XLOOKUP(COMPROMISOS_2025[[#This Row],[concatenado]],PAA[[#All],[RCP-RUBRO]],PAA[[#All],[INDICADOR]],"",0))</f>
        <v>#NAME?</v>
      </c>
      <c r="V3107" s="144" t="str">
        <f t="shared" si="97"/>
        <v>72</v>
      </c>
      <c r="W3107" s="136">
        <f>+COMPROMISOS_2025[[#This Row],[valor_total]]-COMPROMISOS_2025[[#This Row],[total_cancelado]]</f>
        <v>222478000</v>
      </c>
      <c r="X3107" s="136">
        <f>COMPROMISOS_2025[[#This Row],[total_ordenes]]</f>
        <v>0</v>
      </c>
      <c r="Y3107" t="str" cm="1">
        <f t="array" aca="1" ref="Y3107" ca="1">IFERROR(_xlfn.XLOOKUP(COMPROMISOS_2025[[#This Row],[concatenado]],PAA[[#All],[RCP-RUBRO]],PAA[[#All],[Actividad3]],VLOOKUP(COMPROMISOS_2025[[#This Row],[Indicador Principal]],$AC$2:$AD$17,2,0),0),"")</f>
        <v/>
      </c>
    </row>
    <row r="3108" spans="1:25" hidden="1" x14ac:dyDescent="0.25">
      <c r="A3108">
        <v>2849</v>
      </c>
      <c r="B3108" t="s">
        <v>2682</v>
      </c>
      <c r="C3108" t="s">
        <v>1775</v>
      </c>
      <c r="D3108" t="s">
        <v>1774</v>
      </c>
      <c r="E3108" t="s">
        <v>2683</v>
      </c>
      <c r="F3108">
        <v>382</v>
      </c>
      <c r="G3108">
        <v>80</v>
      </c>
      <c r="H3108" t="s">
        <v>773</v>
      </c>
      <c r="I3108" t="s">
        <v>2374</v>
      </c>
      <c r="J3108">
        <v>306983638</v>
      </c>
      <c r="K3108">
        <v>2025</v>
      </c>
      <c r="L3108">
        <v>9002857044</v>
      </c>
      <c r="M3108" t="s">
        <v>2684</v>
      </c>
      <c r="N3108" t="s">
        <v>1688</v>
      </c>
      <c r="O3108" t="s">
        <v>1686</v>
      </c>
      <c r="P3108">
        <v>0</v>
      </c>
      <c r="Q3108">
        <v>0</v>
      </c>
      <c r="R3108">
        <v>0</v>
      </c>
      <c r="S3108">
        <v>306983638</v>
      </c>
      <c r="T3108" t="str">
        <f t="shared" si="96"/>
        <v>28493.43.4301.73.0-205128.2.3.2.02.02.006.03.</v>
      </c>
      <c r="U3108" t="e" cm="1">
        <f t="array" aca="1" ref="U3108" ca="1">+IF(COMPROMISOS_2025[[#This Row],[P]]="20","41080111",_xlfn.XLOOKUP(COMPROMISOS_2025[[#This Row],[concatenado]],PAA[[#All],[RCP-RUBRO]],PAA[[#All],[INDICADOR]],"",0))</f>
        <v>#NAME?</v>
      </c>
      <c r="V3108" s="144" t="str">
        <f t="shared" si="97"/>
        <v>73</v>
      </c>
      <c r="W3108" s="136">
        <f>+COMPROMISOS_2025[[#This Row],[valor_total]]-COMPROMISOS_2025[[#This Row],[total_cancelado]]</f>
        <v>306983638</v>
      </c>
      <c r="X3108" s="136">
        <f>COMPROMISOS_2025[[#This Row],[total_ordenes]]</f>
        <v>0</v>
      </c>
      <c r="Y3108" t="str" cm="1">
        <f t="array" aca="1" ref="Y3108" ca="1">IFERROR(_xlfn.XLOOKUP(COMPROMISOS_2025[[#This Row],[concatenado]],PAA[[#All],[RCP-RUBRO]],PAA[[#All],[Actividad3]],VLOOKUP(COMPROMISOS_2025[[#This Row],[Indicador Principal]],$AC$2:$AD$17,2,0),0),"")</f>
        <v/>
      </c>
    </row>
    <row r="3109" spans="1:25" hidden="1" x14ac:dyDescent="0.25">
      <c r="A3109">
        <v>49</v>
      </c>
      <c r="B3109" t="s">
        <v>4512</v>
      </c>
      <c r="C3109" t="s">
        <v>1775</v>
      </c>
      <c r="D3109" t="s">
        <v>2289</v>
      </c>
      <c r="E3109" t="s">
        <v>4513</v>
      </c>
      <c r="F3109">
        <v>45</v>
      </c>
      <c r="G3109">
        <v>81</v>
      </c>
      <c r="H3109" t="s">
        <v>272</v>
      </c>
      <c r="I3109" t="s">
        <v>2375</v>
      </c>
      <c r="J3109">
        <v>17117120</v>
      </c>
      <c r="K3109">
        <v>2025</v>
      </c>
      <c r="L3109">
        <v>435781647</v>
      </c>
      <c r="M3109" t="s">
        <v>4514</v>
      </c>
      <c r="N3109" t="s">
        <v>1688</v>
      </c>
      <c r="O3109" t="s">
        <v>1686</v>
      </c>
      <c r="P3109">
        <v>0</v>
      </c>
      <c r="Q3109">
        <v>3893101</v>
      </c>
      <c r="R3109">
        <v>0</v>
      </c>
      <c r="S3109">
        <v>13224019</v>
      </c>
      <c r="T3109" t="str">
        <f t="shared" si="96"/>
        <v>493.43.4301.73.0-205128.2.3.2.02.02.008.17.</v>
      </c>
      <c r="U3109" t="e" cm="1">
        <f t="array" aca="1" ref="U3109" ca="1">+IF(COMPROMISOS_2025[[#This Row],[P]]="20","41080111",_xlfn.XLOOKUP(COMPROMISOS_2025[[#This Row],[concatenado]],PAA[[#All],[RCP-RUBRO]],PAA[[#All],[INDICADOR]],"",0))</f>
        <v>#NAME?</v>
      </c>
      <c r="V3109" s="144" t="str">
        <f t="shared" si="97"/>
        <v>73</v>
      </c>
      <c r="W3109" s="136">
        <f>+COMPROMISOS_2025[[#This Row],[valor_total]]-COMPROMISOS_2025[[#This Row],[total_cancelado]]</f>
        <v>17117120</v>
      </c>
      <c r="X3109" s="136">
        <f>COMPROMISOS_2025[[#This Row],[total_ordenes]]</f>
        <v>3893101</v>
      </c>
      <c r="Y3109" t="str" cm="1">
        <f t="array" aca="1" ref="Y3109" ca="1">IFERROR(_xlfn.XLOOKUP(COMPROMISOS_2025[[#This Row],[concatenado]],PAA[[#All],[RCP-RUBRO]],PAA[[#All],[Actividad3]],VLOOKUP(COMPROMISOS_2025[[#This Row],[Indicador Principal]],$AC$2:$AD$17,2,0),0),"")</f>
        <v/>
      </c>
    </row>
    <row r="3110" spans="1:25" hidden="1" x14ac:dyDescent="0.25">
      <c r="A3110">
        <v>61</v>
      </c>
      <c r="B3110" t="s">
        <v>4515</v>
      </c>
      <c r="C3110" t="s">
        <v>1775</v>
      </c>
      <c r="D3110" t="s">
        <v>2294</v>
      </c>
      <c r="E3110" t="s">
        <v>4516</v>
      </c>
      <c r="F3110">
        <v>48</v>
      </c>
      <c r="G3110">
        <v>81</v>
      </c>
      <c r="H3110" t="s">
        <v>272</v>
      </c>
      <c r="I3110" t="s">
        <v>2375</v>
      </c>
      <c r="J3110">
        <v>12034880</v>
      </c>
      <c r="K3110">
        <v>2025</v>
      </c>
      <c r="L3110">
        <v>10394510918</v>
      </c>
      <c r="M3110" t="s">
        <v>4517</v>
      </c>
      <c r="N3110" t="s">
        <v>1688</v>
      </c>
      <c r="O3110" t="s">
        <v>1686</v>
      </c>
      <c r="P3110">
        <v>0</v>
      </c>
      <c r="Q3110">
        <v>2858284</v>
      </c>
      <c r="R3110">
        <v>0</v>
      </c>
      <c r="S3110">
        <v>9176596</v>
      </c>
      <c r="T3110" t="str">
        <f t="shared" si="96"/>
        <v>613.43.4301.73.0-205128.2.3.2.02.02.008.17.</v>
      </c>
      <c r="U3110" t="e" cm="1">
        <f t="array" aca="1" ref="U3110" ca="1">+IF(COMPROMISOS_2025[[#This Row],[P]]="20","41080111",_xlfn.XLOOKUP(COMPROMISOS_2025[[#This Row],[concatenado]],PAA[[#All],[RCP-RUBRO]],PAA[[#All],[INDICADOR]],"",0))</f>
        <v>#NAME?</v>
      </c>
      <c r="V3110" s="144" t="str">
        <f t="shared" si="97"/>
        <v>73</v>
      </c>
      <c r="W3110" s="136">
        <f>+COMPROMISOS_2025[[#This Row],[valor_total]]-COMPROMISOS_2025[[#This Row],[total_cancelado]]</f>
        <v>12034880</v>
      </c>
      <c r="X3110" s="136">
        <f>COMPROMISOS_2025[[#This Row],[total_ordenes]]</f>
        <v>2858284</v>
      </c>
      <c r="Y3110" t="str" cm="1">
        <f t="array" aca="1" ref="Y3110" ca="1">IFERROR(_xlfn.XLOOKUP(COMPROMISOS_2025[[#This Row],[concatenado]],PAA[[#All],[RCP-RUBRO]],PAA[[#All],[Actividad3]],VLOOKUP(COMPROMISOS_2025[[#This Row],[Indicador Principal]],$AC$2:$AD$17,2,0),0),"")</f>
        <v/>
      </c>
    </row>
    <row r="3111" spans="1:25" hidden="1" x14ac:dyDescent="0.25">
      <c r="A3111">
        <v>62</v>
      </c>
      <c r="B3111" t="s">
        <v>4515</v>
      </c>
      <c r="C3111" t="s">
        <v>1775</v>
      </c>
      <c r="D3111" t="s">
        <v>2298</v>
      </c>
      <c r="E3111" t="s">
        <v>4518</v>
      </c>
      <c r="F3111">
        <v>50</v>
      </c>
      <c r="G3111">
        <v>81</v>
      </c>
      <c r="H3111" t="s">
        <v>272</v>
      </c>
      <c r="I3111" t="s">
        <v>2375</v>
      </c>
      <c r="J3111">
        <v>13834880</v>
      </c>
      <c r="K3111">
        <v>2025</v>
      </c>
      <c r="L3111">
        <v>436898712</v>
      </c>
      <c r="M3111" t="s">
        <v>4519</v>
      </c>
      <c r="N3111" t="s">
        <v>1688</v>
      </c>
      <c r="O3111" t="s">
        <v>1686</v>
      </c>
      <c r="P3111">
        <v>0</v>
      </c>
      <c r="Q3111">
        <v>0</v>
      </c>
      <c r="R3111">
        <v>0</v>
      </c>
      <c r="S3111">
        <v>13834880</v>
      </c>
      <c r="T3111" t="str">
        <f t="shared" si="96"/>
        <v>623.43.4301.73.0-205128.2.3.2.02.02.008.17.</v>
      </c>
      <c r="U3111" t="e" cm="1">
        <f t="array" aca="1" ref="U3111" ca="1">+IF(COMPROMISOS_2025[[#This Row],[P]]="20","41080111",_xlfn.XLOOKUP(COMPROMISOS_2025[[#This Row],[concatenado]],PAA[[#All],[RCP-RUBRO]],PAA[[#All],[INDICADOR]],"",0))</f>
        <v>#NAME?</v>
      </c>
      <c r="V3111" s="144" t="str">
        <f t="shared" si="97"/>
        <v>73</v>
      </c>
      <c r="W3111" s="136">
        <f>+COMPROMISOS_2025[[#This Row],[valor_total]]-COMPROMISOS_2025[[#This Row],[total_cancelado]]</f>
        <v>13834880</v>
      </c>
      <c r="X3111" s="136">
        <f>COMPROMISOS_2025[[#This Row],[total_ordenes]]</f>
        <v>0</v>
      </c>
      <c r="Y3111" t="str" cm="1">
        <f t="array" aca="1" ref="Y3111" ca="1">IFERROR(_xlfn.XLOOKUP(COMPROMISOS_2025[[#This Row],[concatenado]],PAA[[#All],[RCP-RUBRO]],PAA[[#All],[Actividad3]],VLOOKUP(COMPROMISOS_2025[[#This Row],[Indicador Principal]],$AC$2:$AD$17,2,0),0),"")</f>
        <v/>
      </c>
    </row>
    <row r="3112" spans="1:25" hidden="1" x14ac:dyDescent="0.25">
      <c r="A3112">
        <v>65</v>
      </c>
      <c r="B3112" t="s">
        <v>4520</v>
      </c>
      <c r="C3112" t="s">
        <v>1775</v>
      </c>
      <c r="D3112" t="s">
        <v>2302</v>
      </c>
      <c r="E3112" t="s">
        <v>4521</v>
      </c>
      <c r="F3112">
        <v>52</v>
      </c>
      <c r="G3112">
        <v>81</v>
      </c>
      <c r="H3112" t="s">
        <v>272</v>
      </c>
      <c r="I3112" t="s">
        <v>2375</v>
      </c>
      <c r="J3112">
        <v>7270400</v>
      </c>
      <c r="K3112">
        <v>2025</v>
      </c>
      <c r="L3112">
        <v>10017385179</v>
      </c>
      <c r="M3112" t="s">
        <v>4522</v>
      </c>
      <c r="N3112" t="s">
        <v>1688</v>
      </c>
      <c r="O3112" t="s">
        <v>1686</v>
      </c>
      <c r="P3112">
        <v>0</v>
      </c>
      <c r="Q3112">
        <v>1299220</v>
      </c>
      <c r="R3112">
        <v>0</v>
      </c>
      <c r="S3112">
        <v>5971180</v>
      </c>
      <c r="T3112" t="str">
        <f t="shared" si="96"/>
        <v>653.43.4301.73.0-205128.2.3.2.02.02.008.17.</v>
      </c>
      <c r="U3112" t="e" cm="1">
        <f t="array" aca="1" ref="U3112" ca="1">+IF(COMPROMISOS_2025[[#This Row],[P]]="20","41080111",_xlfn.XLOOKUP(COMPROMISOS_2025[[#This Row],[concatenado]],PAA[[#All],[RCP-RUBRO]],PAA[[#All],[INDICADOR]],"",0))</f>
        <v>#NAME?</v>
      </c>
      <c r="V3112" s="144" t="str">
        <f t="shared" si="97"/>
        <v>73</v>
      </c>
      <c r="W3112" s="136">
        <f>+COMPROMISOS_2025[[#This Row],[valor_total]]-COMPROMISOS_2025[[#This Row],[total_cancelado]]</f>
        <v>7270400</v>
      </c>
      <c r="X3112" s="136">
        <f>COMPROMISOS_2025[[#This Row],[total_ordenes]]</f>
        <v>1299220</v>
      </c>
      <c r="Y3112" t="str" cm="1">
        <f t="array" aca="1" ref="Y3112" ca="1">IFERROR(_xlfn.XLOOKUP(COMPROMISOS_2025[[#This Row],[concatenado]],PAA[[#All],[RCP-RUBRO]],PAA[[#All],[Actividad3]],VLOOKUP(COMPROMISOS_2025[[#This Row],[Indicador Principal]],$AC$2:$AD$17,2,0),0),"")</f>
        <v/>
      </c>
    </row>
    <row r="3113" spans="1:25" hidden="1" x14ac:dyDescent="0.25">
      <c r="A3113">
        <v>66</v>
      </c>
      <c r="B3113" t="s">
        <v>4523</v>
      </c>
      <c r="C3113" t="s">
        <v>1775</v>
      </c>
      <c r="D3113" t="s">
        <v>2304</v>
      </c>
      <c r="E3113" t="s">
        <v>4524</v>
      </c>
      <c r="F3113">
        <v>53</v>
      </c>
      <c r="G3113">
        <v>81</v>
      </c>
      <c r="H3113" t="s">
        <v>272</v>
      </c>
      <c r="I3113" t="s">
        <v>2375</v>
      </c>
      <c r="J3113">
        <v>12034880</v>
      </c>
      <c r="K3113">
        <v>2025</v>
      </c>
      <c r="L3113">
        <v>11282762308</v>
      </c>
      <c r="M3113" t="s">
        <v>4525</v>
      </c>
      <c r="N3113" t="s">
        <v>1688</v>
      </c>
      <c r="O3113" t="s">
        <v>1686</v>
      </c>
      <c r="P3113">
        <v>0</v>
      </c>
      <c r="Q3113">
        <v>2858284</v>
      </c>
      <c r="R3113">
        <v>0</v>
      </c>
      <c r="S3113">
        <v>9176596</v>
      </c>
      <c r="T3113" t="str">
        <f t="shared" si="96"/>
        <v>663.43.4301.73.0-205128.2.3.2.02.02.008.17.</v>
      </c>
      <c r="U3113" t="e" cm="1">
        <f t="array" aca="1" ref="U3113" ca="1">+IF(COMPROMISOS_2025[[#This Row],[P]]="20","41080111",_xlfn.XLOOKUP(COMPROMISOS_2025[[#This Row],[concatenado]],PAA[[#All],[RCP-RUBRO]],PAA[[#All],[INDICADOR]],"",0))</f>
        <v>#NAME?</v>
      </c>
      <c r="V3113" s="144" t="str">
        <f t="shared" si="97"/>
        <v>73</v>
      </c>
      <c r="W3113" s="136">
        <f>+COMPROMISOS_2025[[#This Row],[valor_total]]-COMPROMISOS_2025[[#This Row],[total_cancelado]]</f>
        <v>12034880</v>
      </c>
      <c r="X3113" s="136">
        <f>COMPROMISOS_2025[[#This Row],[total_ordenes]]</f>
        <v>2858284</v>
      </c>
      <c r="Y3113" t="str" cm="1">
        <f t="array" aca="1" ref="Y3113" ca="1">IFERROR(_xlfn.XLOOKUP(COMPROMISOS_2025[[#This Row],[concatenado]],PAA[[#All],[RCP-RUBRO]],PAA[[#All],[Actividad3]],VLOOKUP(COMPROMISOS_2025[[#This Row],[Indicador Principal]],$AC$2:$AD$17,2,0),0),"")</f>
        <v/>
      </c>
    </row>
    <row r="3114" spans="1:25" hidden="1" x14ac:dyDescent="0.25">
      <c r="A3114">
        <v>68</v>
      </c>
      <c r="B3114" t="s">
        <v>4526</v>
      </c>
      <c r="C3114" t="s">
        <v>1775</v>
      </c>
      <c r="D3114" t="s">
        <v>2292</v>
      </c>
      <c r="E3114" t="s">
        <v>4527</v>
      </c>
      <c r="F3114">
        <v>47</v>
      </c>
      <c r="G3114">
        <v>81</v>
      </c>
      <c r="H3114" t="s">
        <v>272</v>
      </c>
      <c r="I3114" t="s">
        <v>2375</v>
      </c>
      <c r="J3114">
        <v>12034880</v>
      </c>
      <c r="K3114">
        <v>2025</v>
      </c>
      <c r="L3114">
        <v>10172089144</v>
      </c>
      <c r="M3114" t="s">
        <v>4528</v>
      </c>
      <c r="N3114" t="s">
        <v>1688</v>
      </c>
      <c r="O3114" t="s">
        <v>1686</v>
      </c>
      <c r="P3114">
        <v>0</v>
      </c>
      <c r="Q3114">
        <v>0</v>
      </c>
      <c r="R3114">
        <v>0</v>
      </c>
      <c r="S3114">
        <v>12034880</v>
      </c>
      <c r="T3114" t="str">
        <f t="shared" si="96"/>
        <v>683.43.4301.73.0-205128.2.3.2.02.02.008.17.</v>
      </c>
      <c r="U3114" t="e" cm="1">
        <f t="array" aca="1" ref="U3114" ca="1">+IF(COMPROMISOS_2025[[#This Row],[P]]="20","41080111",_xlfn.XLOOKUP(COMPROMISOS_2025[[#This Row],[concatenado]],PAA[[#All],[RCP-RUBRO]],PAA[[#All],[INDICADOR]],"",0))</f>
        <v>#NAME?</v>
      </c>
      <c r="V3114" s="144" t="str">
        <f t="shared" si="97"/>
        <v>73</v>
      </c>
      <c r="W3114" s="136">
        <f>+COMPROMISOS_2025[[#This Row],[valor_total]]-COMPROMISOS_2025[[#This Row],[total_cancelado]]</f>
        <v>12034880</v>
      </c>
      <c r="X3114" s="136">
        <f>COMPROMISOS_2025[[#This Row],[total_ordenes]]</f>
        <v>0</v>
      </c>
      <c r="Y3114" t="str" cm="1">
        <f t="array" aca="1" ref="Y3114" ca="1">IFERROR(_xlfn.XLOOKUP(COMPROMISOS_2025[[#This Row],[concatenado]],PAA[[#All],[RCP-RUBRO]],PAA[[#All],[Actividad3]],VLOOKUP(COMPROMISOS_2025[[#This Row],[Indicador Principal]],$AC$2:$AD$17,2,0),0),"")</f>
        <v/>
      </c>
    </row>
    <row r="3115" spans="1:25" hidden="1" x14ac:dyDescent="0.25">
      <c r="A3115">
        <v>88</v>
      </c>
      <c r="B3115" t="s">
        <v>4529</v>
      </c>
      <c r="C3115" t="s">
        <v>1775</v>
      </c>
      <c r="D3115" t="s">
        <v>2296</v>
      </c>
      <c r="E3115" t="s">
        <v>4530</v>
      </c>
      <c r="F3115">
        <v>49</v>
      </c>
      <c r="G3115">
        <v>81</v>
      </c>
      <c r="H3115" t="s">
        <v>272</v>
      </c>
      <c r="I3115" t="s">
        <v>2375</v>
      </c>
      <c r="J3115">
        <v>11034880</v>
      </c>
      <c r="K3115">
        <v>2025</v>
      </c>
      <c r="L3115">
        <v>10171653837</v>
      </c>
      <c r="M3115" t="s">
        <v>4531</v>
      </c>
      <c r="N3115" t="s">
        <v>1688</v>
      </c>
      <c r="O3115" t="s">
        <v>1686</v>
      </c>
      <c r="P3115">
        <v>0</v>
      </c>
      <c r="Q3115">
        <v>2482848</v>
      </c>
      <c r="R3115">
        <v>0</v>
      </c>
      <c r="S3115">
        <v>8552032</v>
      </c>
      <c r="T3115" t="str">
        <f t="shared" si="96"/>
        <v>883.43.4301.73.0-205128.2.3.2.02.02.008.17.</v>
      </c>
      <c r="U3115" t="e" cm="1">
        <f t="array" aca="1" ref="U3115" ca="1">+IF(COMPROMISOS_2025[[#This Row],[P]]="20","41080111",_xlfn.XLOOKUP(COMPROMISOS_2025[[#This Row],[concatenado]],PAA[[#All],[RCP-RUBRO]],PAA[[#All],[INDICADOR]],"",0))</f>
        <v>#NAME?</v>
      </c>
      <c r="V3115" s="144" t="str">
        <f t="shared" si="97"/>
        <v>73</v>
      </c>
      <c r="W3115" s="136">
        <f>+COMPROMISOS_2025[[#This Row],[valor_total]]-COMPROMISOS_2025[[#This Row],[total_cancelado]]</f>
        <v>11034880</v>
      </c>
      <c r="X3115" s="136">
        <f>COMPROMISOS_2025[[#This Row],[total_ordenes]]</f>
        <v>2482848</v>
      </c>
      <c r="Y3115" t="str" cm="1">
        <f t="array" aca="1" ref="Y3115" ca="1">IFERROR(_xlfn.XLOOKUP(COMPROMISOS_2025[[#This Row],[concatenado]],PAA[[#All],[RCP-RUBRO]],PAA[[#All],[Actividad3]],VLOOKUP(COMPROMISOS_2025[[#This Row],[Indicador Principal]],$AC$2:$AD$17,2,0),0),"")</f>
        <v/>
      </c>
    </row>
    <row r="3116" spans="1:25" hidden="1" x14ac:dyDescent="0.25">
      <c r="A3116">
        <v>90</v>
      </c>
      <c r="B3116" t="s">
        <v>4532</v>
      </c>
      <c r="C3116" t="s">
        <v>1775</v>
      </c>
      <c r="D3116" t="s">
        <v>2300</v>
      </c>
      <c r="E3116" t="s">
        <v>4533</v>
      </c>
      <c r="F3116">
        <v>51</v>
      </c>
      <c r="G3116">
        <v>81</v>
      </c>
      <c r="H3116" t="s">
        <v>272</v>
      </c>
      <c r="I3116" t="s">
        <v>2375</v>
      </c>
      <c r="J3116">
        <v>12034880</v>
      </c>
      <c r="K3116">
        <v>2025</v>
      </c>
      <c r="L3116">
        <v>1037612757</v>
      </c>
      <c r="M3116" t="s">
        <v>4534</v>
      </c>
      <c r="N3116" t="s">
        <v>1688</v>
      </c>
      <c r="O3116" t="s">
        <v>1686</v>
      </c>
      <c r="P3116">
        <v>0</v>
      </c>
      <c r="Q3116">
        <v>2707848</v>
      </c>
      <c r="R3116">
        <v>0</v>
      </c>
      <c r="S3116">
        <v>9327032</v>
      </c>
      <c r="T3116" t="str">
        <f t="shared" si="96"/>
        <v>903.43.4301.73.0-205128.2.3.2.02.02.008.17.</v>
      </c>
      <c r="U3116" t="e" cm="1">
        <f t="array" aca="1" ref="U3116" ca="1">+IF(COMPROMISOS_2025[[#This Row],[P]]="20","41080111",_xlfn.XLOOKUP(COMPROMISOS_2025[[#This Row],[concatenado]],PAA[[#All],[RCP-RUBRO]],PAA[[#All],[INDICADOR]],"",0))</f>
        <v>#NAME?</v>
      </c>
      <c r="V3116" s="144" t="str">
        <f t="shared" si="97"/>
        <v>73</v>
      </c>
      <c r="W3116" s="136">
        <f>+COMPROMISOS_2025[[#This Row],[valor_total]]-COMPROMISOS_2025[[#This Row],[total_cancelado]]</f>
        <v>12034880</v>
      </c>
      <c r="X3116" s="136">
        <f>COMPROMISOS_2025[[#This Row],[total_ordenes]]</f>
        <v>2707848</v>
      </c>
      <c r="Y3116" t="str" cm="1">
        <f t="array" aca="1" ref="Y3116" ca="1">IFERROR(_xlfn.XLOOKUP(COMPROMISOS_2025[[#This Row],[concatenado]],PAA[[#All],[RCP-RUBRO]],PAA[[#All],[Actividad3]],VLOOKUP(COMPROMISOS_2025[[#This Row],[Indicador Principal]],$AC$2:$AD$17,2,0),0),"")</f>
        <v/>
      </c>
    </row>
    <row r="3117" spans="1:25" hidden="1" x14ac:dyDescent="0.25">
      <c r="A3117">
        <v>423</v>
      </c>
      <c r="B3117" t="s">
        <v>4535</v>
      </c>
      <c r="C3117" t="s">
        <v>1775</v>
      </c>
      <c r="D3117" t="s">
        <v>2306</v>
      </c>
      <c r="E3117" t="s">
        <v>4536</v>
      </c>
      <c r="F3117">
        <v>295</v>
      </c>
      <c r="G3117">
        <v>81</v>
      </c>
      <c r="H3117" t="s">
        <v>272</v>
      </c>
      <c r="I3117" t="s">
        <v>2375</v>
      </c>
      <c r="J3117">
        <v>18293600</v>
      </c>
      <c r="K3117">
        <v>2025</v>
      </c>
      <c r="L3117">
        <v>10366828938</v>
      </c>
      <c r="M3117" t="s">
        <v>4537</v>
      </c>
      <c r="N3117" t="s">
        <v>1688</v>
      </c>
      <c r="O3117" t="s">
        <v>1686</v>
      </c>
      <c r="P3117">
        <v>0</v>
      </c>
      <c r="Q3117">
        <v>1755086</v>
      </c>
      <c r="R3117">
        <v>0</v>
      </c>
      <c r="S3117">
        <v>16538514</v>
      </c>
      <c r="T3117" t="str">
        <f t="shared" si="96"/>
        <v>4233.43.4301.73.0-205128.2.3.2.02.02.008.17.</v>
      </c>
      <c r="U3117" t="e" cm="1">
        <f t="array" aca="1" ref="U3117" ca="1">+IF(COMPROMISOS_2025[[#This Row],[P]]="20","41080111",_xlfn.XLOOKUP(COMPROMISOS_2025[[#This Row],[concatenado]],PAA[[#All],[RCP-RUBRO]],PAA[[#All],[INDICADOR]],"",0))</f>
        <v>#NAME?</v>
      </c>
      <c r="V3117" s="144" t="str">
        <f t="shared" si="97"/>
        <v>73</v>
      </c>
      <c r="W3117" s="136">
        <f>+COMPROMISOS_2025[[#This Row],[valor_total]]-COMPROMISOS_2025[[#This Row],[total_cancelado]]</f>
        <v>18293600</v>
      </c>
      <c r="X3117" s="136">
        <f>COMPROMISOS_2025[[#This Row],[total_ordenes]]</f>
        <v>1755086</v>
      </c>
      <c r="Y3117" t="str" cm="1">
        <f t="array" aca="1" ref="Y3117" ca="1">IFERROR(_xlfn.XLOOKUP(COMPROMISOS_2025[[#This Row],[concatenado]],PAA[[#All],[RCP-RUBRO]],PAA[[#All],[Actividad3]],VLOOKUP(COMPROMISOS_2025[[#This Row],[Indicador Principal]],$AC$2:$AD$17,2,0),0),"")</f>
        <v/>
      </c>
    </row>
    <row r="3118" spans="1:25" hidden="1" x14ac:dyDescent="0.25">
      <c r="A3118">
        <v>439</v>
      </c>
      <c r="B3118" t="s">
        <v>4538</v>
      </c>
      <c r="C3118" t="s">
        <v>1775</v>
      </c>
      <c r="D3118" t="s">
        <v>2308</v>
      </c>
      <c r="E3118" t="s">
        <v>4539</v>
      </c>
      <c r="F3118">
        <v>299</v>
      </c>
      <c r="G3118">
        <v>81</v>
      </c>
      <c r="H3118" t="s">
        <v>272</v>
      </c>
      <c r="I3118" t="s">
        <v>2375</v>
      </c>
      <c r="J3118">
        <v>15317120</v>
      </c>
      <c r="K3118">
        <v>2025</v>
      </c>
      <c r="L3118">
        <v>394553593</v>
      </c>
      <c r="M3118" t="s">
        <v>4540</v>
      </c>
      <c r="N3118" t="s">
        <v>1688</v>
      </c>
      <c r="O3118" t="s">
        <v>1686</v>
      </c>
      <c r="P3118">
        <v>0</v>
      </c>
      <c r="Q3118">
        <v>0</v>
      </c>
      <c r="R3118">
        <v>0</v>
      </c>
      <c r="S3118">
        <v>15317120</v>
      </c>
      <c r="T3118" t="str">
        <f t="shared" si="96"/>
        <v>4393.43.4301.73.0-205128.2.3.2.02.02.008.17.</v>
      </c>
      <c r="U3118" t="e" cm="1">
        <f t="array" aca="1" ref="U3118" ca="1">+IF(COMPROMISOS_2025[[#This Row],[P]]="20","41080111",_xlfn.XLOOKUP(COMPROMISOS_2025[[#This Row],[concatenado]],PAA[[#All],[RCP-RUBRO]],PAA[[#All],[INDICADOR]],"",0))</f>
        <v>#NAME?</v>
      </c>
      <c r="V3118" s="144" t="str">
        <f t="shared" si="97"/>
        <v>73</v>
      </c>
      <c r="W3118" s="136">
        <f>+COMPROMISOS_2025[[#This Row],[valor_total]]-COMPROMISOS_2025[[#This Row],[total_cancelado]]</f>
        <v>15317120</v>
      </c>
      <c r="X3118" s="136">
        <f>COMPROMISOS_2025[[#This Row],[total_ordenes]]</f>
        <v>0</v>
      </c>
      <c r="Y3118" t="str" cm="1">
        <f t="array" aca="1" ref="Y3118" ca="1">IFERROR(_xlfn.XLOOKUP(COMPROMISOS_2025[[#This Row],[concatenado]],PAA[[#All],[RCP-RUBRO]],PAA[[#All],[Actividad3]],VLOOKUP(COMPROMISOS_2025[[#This Row],[Indicador Principal]],$AC$2:$AD$17,2,0),0),"")</f>
        <v/>
      </c>
    </row>
    <row r="3119" spans="1:25" hidden="1" x14ac:dyDescent="0.25">
      <c r="A3119">
        <v>139</v>
      </c>
      <c r="B3119" t="s">
        <v>4614</v>
      </c>
      <c r="C3119" t="s">
        <v>1775</v>
      </c>
      <c r="D3119" t="s">
        <v>2380</v>
      </c>
      <c r="E3119" t="s">
        <v>4615</v>
      </c>
      <c r="F3119">
        <v>82</v>
      </c>
      <c r="G3119">
        <v>82</v>
      </c>
      <c r="H3119" t="s">
        <v>315</v>
      </c>
      <c r="I3119" t="s">
        <v>2378</v>
      </c>
      <c r="J3119">
        <v>93968000</v>
      </c>
      <c r="K3119">
        <v>2025</v>
      </c>
      <c r="L3119">
        <v>701665009</v>
      </c>
      <c r="M3119" t="s">
        <v>4616</v>
      </c>
      <c r="N3119" t="s">
        <v>1688</v>
      </c>
      <c r="O3119" t="s">
        <v>1686</v>
      </c>
      <c r="P3119">
        <v>0</v>
      </c>
      <c r="Q3119">
        <v>11726978</v>
      </c>
      <c r="R3119">
        <v>0</v>
      </c>
      <c r="S3119">
        <v>82241022</v>
      </c>
      <c r="T3119" t="str">
        <f t="shared" si="96"/>
        <v>1393.43.4301.73.0-205128.2.3.2.02.02.009.10.</v>
      </c>
      <c r="U3119" t="e" cm="1">
        <f t="array" aca="1" ref="U3119" ca="1">+IF(COMPROMISOS_2025[[#This Row],[P]]="20","41080111",_xlfn.XLOOKUP(COMPROMISOS_2025[[#This Row],[concatenado]],PAA[[#All],[RCP-RUBRO]],PAA[[#All],[INDICADOR]],"",0))</f>
        <v>#NAME?</v>
      </c>
      <c r="V3119" s="144" t="str">
        <f t="shared" si="97"/>
        <v>73</v>
      </c>
      <c r="W3119" s="136">
        <f>+COMPROMISOS_2025[[#This Row],[valor_total]]-COMPROMISOS_2025[[#This Row],[total_cancelado]]</f>
        <v>93968000</v>
      </c>
      <c r="X3119" s="136">
        <f>COMPROMISOS_2025[[#This Row],[total_ordenes]]</f>
        <v>11726978</v>
      </c>
      <c r="Y3119" t="str" cm="1">
        <f t="array" aca="1" ref="Y3119" ca="1">IFERROR(_xlfn.XLOOKUP(COMPROMISOS_2025[[#This Row],[concatenado]],PAA[[#All],[RCP-RUBRO]],PAA[[#All],[Actividad3]],VLOOKUP(COMPROMISOS_2025[[#This Row],[Indicador Principal]],$AC$2:$AD$17,2,0),0),"")</f>
        <v/>
      </c>
    </row>
    <row r="3120" spans="1:25" hidden="1" x14ac:dyDescent="0.25">
      <c r="A3120">
        <v>142</v>
      </c>
      <c r="B3120" t="s">
        <v>4617</v>
      </c>
      <c r="C3120" t="s">
        <v>1775</v>
      </c>
      <c r="D3120" t="s">
        <v>2386</v>
      </c>
      <c r="E3120" t="s">
        <v>4618</v>
      </c>
      <c r="F3120">
        <v>85</v>
      </c>
      <c r="G3120">
        <v>82</v>
      </c>
      <c r="H3120" t="s">
        <v>315</v>
      </c>
      <c r="I3120" t="s">
        <v>2378</v>
      </c>
      <c r="J3120">
        <v>93968000</v>
      </c>
      <c r="K3120">
        <v>2025</v>
      </c>
      <c r="L3120">
        <v>1036966995</v>
      </c>
      <c r="M3120" t="s">
        <v>4619</v>
      </c>
      <c r="N3120" t="s">
        <v>1688</v>
      </c>
      <c r="O3120" t="s">
        <v>1686</v>
      </c>
      <c r="P3120">
        <v>0</v>
      </c>
      <c r="Q3120">
        <v>12028978</v>
      </c>
      <c r="R3120">
        <v>0</v>
      </c>
      <c r="S3120">
        <v>81939022</v>
      </c>
      <c r="T3120" t="str">
        <f t="shared" si="96"/>
        <v>1423.43.4301.73.0-205128.2.3.2.02.02.009.10.</v>
      </c>
      <c r="U3120" t="e" cm="1">
        <f t="array" aca="1" ref="U3120" ca="1">+IF(COMPROMISOS_2025[[#This Row],[P]]="20","41080111",_xlfn.XLOOKUP(COMPROMISOS_2025[[#This Row],[concatenado]],PAA[[#All],[RCP-RUBRO]],PAA[[#All],[INDICADOR]],"",0))</f>
        <v>#NAME?</v>
      </c>
      <c r="V3120" s="144" t="str">
        <f t="shared" si="97"/>
        <v>73</v>
      </c>
      <c r="W3120" s="136">
        <f>+COMPROMISOS_2025[[#This Row],[valor_total]]-COMPROMISOS_2025[[#This Row],[total_cancelado]]</f>
        <v>93968000</v>
      </c>
      <c r="X3120" s="136">
        <f>COMPROMISOS_2025[[#This Row],[total_ordenes]]</f>
        <v>12028978</v>
      </c>
      <c r="Y3120" t="str" cm="1">
        <f t="array" aca="1" ref="Y3120" ca="1">IFERROR(_xlfn.XLOOKUP(COMPROMISOS_2025[[#This Row],[concatenado]],PAA[[#All],[RCP-RUBRO]],PAA[[#All],[Actividad3]],VLOOKUP(COMPROMISOS_2025[[#This Row],[Indicador Principal]],$AC$2:$AD$17,2,0),0),"")</f>
        <v/>
      </c>
    </row>
    <row r="3121" spans="1:25" hidden="1" x14ac:dyDescent="0.25">
      <c r="A3121">
        <v>393</v>
      </c>
      <c r="B3121" t="s">
        <v>4620</v>
      </c>
      <c r="C3121" t="s">
        <v>1775</v>
      </c>
      <c r="D3121" t="s">
        <v>2396</v>
      </c>
      <c r="E3121" t="s">
        <v>4621</v>
      </c>
      <c r="F3121">
        <v>308</v>
      </c>
      <c r="G3121">
        <v>82</v>
      </c>
      <c r="H3121" t="s">
        <v>315</v>
      </c>
      <c r="I3121" t="s">
        <v>2378</v>
      </c>
      <c r="J3121">
        <v>87218000</v>
      </c>
      <c r="K3121">
        <v>2025</v>
      </c>
      <c r="L3121">
        <v>11284540011</v>
      </c>
      <c r="M3121" t="s">
        <v>4622</v>
      </c>
      <c r="N3121" t="s">
        <v>1688</v>
      </c>
      <c r="O3121" t="s">
        <v>1686</v>
      </c>
      <c r="P3121">
        <v>0</v>
      </c>
      <c r="Q3121">
        <v>9276887</v>
      </c>
      <c r="R3121">
        <v>0</v>
      </c>
      <c r="S3121">
        <v>77941113</v>
      </c>
      <c r="T3121" t="str">
        <f t="shared" si="96"/>
        <v>3933.43.4301.73.0-205128.2.3.2.02.02.009.10.</v>
      </c>
      <c r="U3121" t="e" cm="1">
        <f t="array" aca="1" ref="U3121" ca="1">+IF(COMPROMISOS_2025[[#This Row],[P]]="20","41080111",_xlfn.XLOOKUP(COMPROMISOS_2025[[#This Row],[concatenado]],PAA[[#All],[RCP-RUBRO]],PAA[[#All],[INDICADOR]],"",0))</f>
        <v>#NAME?</v>
      </c>
      <c r="V3121" s="144" t="str">
        <f t="shared" si="97"/>
        <v>73</v>
      </c>
      <c r="W3121" s="136">
        <f>+COMPROMISOS_2025[[#This Row],[valor_total]]-COMPROMISOS_2025[[#This Row],[total_cancelado]]</f>
        <v>87218000</v>
      </c>
      <c r="X3121" s="136">
        <f>COMPROMISOS_2025[[#This Row],[total_ordenes]]</f>
        <v>9276887</v>
      </c>
      <c r="Y3121" t="str" cm="1">
        <f t="array" aca="1" ref="Y3121" ca="1">IFERROR(_xlfn.XLOOKUP(COMPROMISOS_2025[[#This Row],[concatenado]],PAA[[#All],[RCP-RUBRO]],PAA[[#All],[Actividad3]],VLOOKUP(COMPROMISOS_2025[[#This Row],[Indicador Principal]],$AC$2:$AD$17,2,0),0),"")</f>
        <v/>
      </c>
    </row>
    <row r="3122" spans="1:25" hidden="1" x14ac:dyDescent="0.25">
      <c r="A3122">
        <v>414</v>
      </c>
      <c r="B3122" t="s">
        <v>4623</v>
      </c>
      <c r="C3122" t="s">
        <v>1775</v>
      </c>
      <c r="D3122" t="s">
        <v>2394</v>
      </c>
      <c r="E3122" t="s">
        <v>4624</v>
      </c>
      <c r="F3122">
        <v>307</v>
      </c>
      <c r="G3122">
        <v>82</v>
      </c>
      <c r="H3122" t="s">
        <v>315</v>
      </c>
      <c r="I3122" t="s">
        <v>2378</v>
      </c>
      <c r="J3122">
        <v>105732000</v>
      </c>
      <c r="K3122">
        <v>2025</v>
      </c>
      <c r="L3122">
        <v>709041408</v>
      </c>
      <c r="M3122" t="s">
        <v>4625</v>
      </c>
      <c r="N3122" t="s">
        <v>1688</v>
      </c>
      <c r="O3122" t="s">
        <v>1686</v>
      </c>
      <c r="P3122">
        <v>0</v>
      </c>
      <c r="Q3122">
        <v>11487840</v>
      </c>
      <c r="R3122">
        <v>0</v>
      </c>
      <c r="S3122">
        <v>94244160</v>
      </c>
      <c r="T3122" t="str">
        <f t="shared" si="96"/>
        <v>4143.43.4301.73.0-205128.2.3.2.02.02.009.10.</v>
      </c>
      <c r="U3122" t="e" cm="1">
        <f t="array" aca="1" ref="U3122" ca="1">+IF(COMPROMISOS_2025[[#This Row],[P]]="20","41080111",_xlfn.XLOOKUP(COMPROMISOS_2025[[#This Row],[concatenado]],PAA[[#All],[RCP-RUBRO]],PAA[[#All],[INDICADOR]],"",0))</f>
        <v>#NAME?</v>
      </c>
      <c r="V3122" s="144" t="str">
        <f t="shared" si="97"/>
        <v>73</v>
      </c>
      <c r="W3122" s="136">
        <f>+COMPROMISOS_2025[[#This Row],[valor_total]]-COMPROMISOS_2025[[#This Row],[total_cancelado]]</f>
        <v>105732000</v>
      </c>
      <c r="X3122" s="136">
        <f>COMPROMISOS_2025[[#This Row],[total_ordenes]]</f>
        <v>11487840</v>
      </c>
      <c r="Y3122" t="str" cm="1">
        <f t="array" aca="1" ref="Y3122" ca="1">IFERROR(_xlfn.XLOOKUP(COMPROMISOS_2025[[#This Row],[concatenado]],PAA[[#All],[RCP-RUBRO]],PAA[[#All],[Actividad3]],VLOOKUP(COMPROMISOS_2025[[#This Row],[Indicador Principal]],$AC$2:$AD$17,2,0),0),"")</f>
        <v/>
      </c>
    </row>
    <row r="3123" spans="1:25" hidden="1" x14ac:dyDescent="0.25">
      <c r="A3123">
        <v>415</v>
      </c>
      <c r="B3123" t="s">
        <v>4626</v>
      </c>
      <c r="C3123" t="s">
        <v>1775</v>
      </c>
      <c r="D3123" t="s">
        <v>2392</v>
      </c>
      <c r="E3123" t="s">
        <v>4627</v>
      </c>
      <c r="F3123">
        <v>288</v>
      </c>
      <c r="G3123">
        <v>82</v>
      </c>
      <c r="H3123" t="s">
        <v>315</v>
      </c>
      <c r="I3123" t="s">
        <v>2378</v>
      </c>
      <c r="J3123">
        <v>87718000</v>
      </c>
      <c r="K3123">
        <v>2025</v>
      </c>
      <c r="L3123">
        <v>10390246591</v>
      </c>
      <c r="M3123" t="s">
        <v>4628</v>
      </c>
      <c r="N3123" t="s">
        <v>1688</v>
      </c>
      <c r="O3123" t="s">
        <v>1686</v>
      </c>
      <c r="P3123">
        <v>0</v>
      </c>
      <c r="Q3123">
        <v>9026156</v>
      </c>
      <c r="R3123">
        <v>0</v>
      </c>
      <c r="S3123">
        <v>78691844</v>
      </c>
      <c r="T3123" t="str">
        <f t="shared" si="96"/>
        <v>4153.43.4301.73.0-205128.2.3.2.02.02.009.10.</v>
      </c>
      <c r="U3123" t="e" cm="1">
        <f t="array" aca="1" ref="U3123" ca="1">+IF(COMPROMISOS_2025[[#This Row],[P]]="20","41080111",_xlfn.XLOOKUP(COMPROMISOS_2025[[#This Row],[concatenado]],PAA[[#All],[RCP-RUBRO]],PAA[[#All],[INDICADOR]],"",0))</f>
        <v>#NAME?</v>
      </c>
      <c r="V3123" s="144" t="str">
        <f t="shared" si="97"/>
        <v>73</v>
      </c>
      <c r="W3123" s="136">
        <f>+COMPROMISOS_2025[[#This Row],[valor_total]]-COMPROMISOS_2025[[#This Row],[total_cancelado]]</f>
        <v>87718000</v>
      </c>
      <c r="X3123" s="136">
        <f>COMPROMISOS_2025[[#This Row],[total_ordenes]]</f>
        <v>9026156</v>
      </c>
      <c r="Y3123" t="str" cm="1">
        <f t="array" aca="1" ref="Y3123" ca="1">IFERROR(_xlfn.XLOOKUP(COMPROMISOS_2025[[#This Row],[concatenado]],PAA[[#All],[RCP-RUBRO]],PAA[[#All],[Actividad3]],VLOOKUP(COMPROMISOS_2025[[#This Row],[Indicador Principal]],$AC$2:$AD$17,2,0),0),"")</f>
        <v/>
      </c>
    </row>
    <row r="3124" spans="1:25" hidden="1" x14ac:dyDescent="0.25">
      <c r="A3124">
        <v>416</v>
      </c>
      <c r="B3124" t="s">
        <v>4629</v>
      </c>
      <c r="C3124" t="s">
        <v>1775</v>
      </c>
      <c r="D3124" t="s">
        <v>2390</v>
      </c>
      <c r="E3124" t="s">
        <v>4630</v>
      </c>
      <c r="F3124">
        <v>87</v>
      </c>
      <c r="G3124">
        <v>82</v>
      </c>
      <c r="H3124" t="s">
        <v>315</v>
      </c>
      <c r="I3124" t="s">
        <v>2378</v>
      </c>
      <c r="J3124">
        <v>44190000</v>
      </c>
      <c r="K3124">
        <v>2025</v>
      </c>
      <c r="L3124">
        <v>10384083393</v>
      </c>
      <c r="M3124" t="s">
        <v>4631</v>
      </c>
      <c r="N3124" t="s">
        <v>1688</v>
      </c>
      <c r="O3124" t="s">
        <v>1686</v>
      </c>
      <c r="P3124">
        <v>0</v>
      </c>
      <c r="Q3124">
        <v>4102800</v>
      </c>
      <c r="R3124">
        <v>0</v>
      </c>
      <c r="S3124">
        <v>40087200</v>
      </c>
      <c r="T3124" t="str">
        <f t="shared" si="96"/>
        <v>4163.43.4301.73.0-205128.2.3.2.02.02.009.10.</v>
      </c>
      <c r="U3124" t="e" cm="1">
        <f t="array" aca="1" ref="U3124" ca="1">+IF(COMPROMISOS_2025[[#This Row],[P]]="20","41080111",_xlfn.XLOOKUP(COMPROMISOS_2025[[#This Row],[concatenado]],PAA[[#All],[RCP-RUBRO]],PAA[[#All],[INDICADOR]],"",0))</f>
        <v>#NAME?</v>
      </c>
      <c r="V3124" s="144" t="str">
        <f t="shared" si="97"/>
        <v>73</v>
      </c>
      <c r="W3124" s="136">
        <f>+COMPROMISOS_2025[[#This Row],[valor_total]]-COMPROMISOS_2025[[#This Row],[total_cancelado]]</f>
        <v>44190000</v>
      </c>
      <c r="X3124" s="136">
        <f>COMPROMISOS_2025[[#This Row],[total_ordenes]]</f>
        <v>4102800</v>
      </c>
      <c r="Y3124" t="str" cm="1">
        <f t="array" aca="1" ref="Y3124" ca="1">IFERROR(_xlfn.XLOOKUP(COMPROMISOS_2025[[#This Row],[concatenado]],PAA[[#All],[RCP-RUBRO]],PAA[[#All],[Actividad3]],VLOOKUP(COMPROMISOS_2025[[#This Row],[Indicador Principal]],$AC$2:$AD$17,2,0),0),"")</f>
        <v/>
      </c>
    </row>
    <row r="3125" spans="1:25" hidden="1" x14ac:dyDescent="0.25">
      <c r="A3125">
        <v>417</v>
      </c>
      <c r="B3125" t="s">
        <v>4632</v>
      </c>
      <c r="C3125" t="s">
        <v>1775</v>
      </c>
      <c r="D3125" t="s">
        <v>2377</v>
      </c>
      <c r="E3125" t="s">
        <v>4633</v>
      </c>
      <c r="F3125">
        <v>73</v>
      </c>
      <c r="G3125">
        <v>82</v>
      </c>
      <c r="H3125" t="s">
        <v>315</v>
      </c>
      <c r="I3125" t="s">
        <v>2378</v>
      </c>
      <c r="J3125">
        <v>44190000</v>
      </c>
      <c r="K3125">
        <v>2025</v>
      </c>
      <c r="L3125">
        <v>154449409</v>
      </c>
      <c r="M3125" t="s">
        <v>4634</v>
      </c>
      <c r="N3125" t="s">
        <v>1688</v>
      </c>
      <c r="O3125" t="s">
        <v>1686</v>
      </c>
      <c r="P3125">
        <v>0</v>
      </c>
      <c r="Q3125">
        <v>4102800</v>
      </c>
      <c r="R3125">
        <v>0</v>
      </c>
      <c r="S3125">
        <v>40087200</v>
      </c>
      <c r="T3125" t="str">
        <f t="shared" si="96"/>
        <v>4173.43.4301.73.0-205128.2.3.2.02.02.009.10.</v>
      </c>
      <c r="U3125" t="e" cm="1">
        <f t="array" aca="1" ref="U3125" ca="1">+IF(COMPROMISOS_2025[[#This Row],[P]]="20","41080111",_xlfn.XLOOKUP(COMPROMISOS_2025[[#This Row],[concatenado]],PAA[[#All],[RCP-RUBRO]],PAA[[#All],[INDICADOR]],"",0))</f>
        <v>#NAME?</v>
      </c>
      <c r="V3125" s="144" t="str">
        <f t="shared" si="97"/>
        <v>73</v>
      </c>
      <c r="W3125" s="136">
        <f>+COMPROMISOS_2025[[#This Row],[valor_total]]-COMPROMISOS_2025[[#This Row],[total_cancelado]]</f>
        <v>44190000</v>
      </c>
      <c r="X3125" s="136">
        <f>COMPROMISOS_2025[[#This Row],[total_ordenes]]</f>
        <v>4102800</v>
      </c>
      <c r="Y3125" t="str" cm="1">
        <f t="array" aca="1" ref="Y3125" ca="1">IFERROR(_xlfn.XLOOKUP(COMPROMISOS_2025[[#This Row],[concatenado]],PAA[[#All],[RCP-RUBRO]],PAA[[#All],[Actividad3]],VLOOKUP(COMPROMISOS_2025[[#This Row],[Indicador Principal]],$AC$2:$AD$17,2,0),0),"")</f>
        <v/>
      </c>
    </row>
    <row r="3126" spans="1:25" hidden="1" x14ac:dyDescent="0.25">
      <c r="A3126">
        <v>424</v>
      </c>
      <c r="B3126" t="s">
        <v>4635</v>
      </c>
      <c r="C3126" t="s">
        <v>1775</v>
      </c>
      <c r="D3126" t="s">
        <v>2388</v>
      </c>
      <c r="E3126" t="s">
        <v>4636</v>
      </c>
      <c r="F3126">
        <v>86</v>
      </c>
      <c r="G3126">
        <v>82</v>
      </c>
      <c r="H3126" t="s">
        <v>315</v>
      </c>
      <c r="I3126" t="s">
        <v>2378</v>
      </c>
      <c r="J3126">
        <v>44190000</v>
      </c>
      <c r="K3126">
        <v>2025</v>
      </c>
      <c r="L3126">
        <v>10369380324</v>
      </c>
      <c r="M3126" t="s">
        <v>4637</v>
      </c>
      <c r="N3126" t="s">
        <v>1688</v>
      </c>
      <c r="O3126" t="s">
        <v>1686</v>
      </c>
      <c r="P3126">
        <v>0</v>
      </c>
      <c r="Q3126">
        <v>3988833</v>
      </c>
      <c r="R3126">
        <v>0</v>
      </c>
      <c r="S3126">
        <v>40201167</v>
      </c>
      <c r="T3126" t="str">
        <f t="shared" si="96"/>
        <v>4243.43.4301.73.0-205128.2.3.2.02.02.009.10.</v>
      </c>
      <c r="U3126" t="e" cm="1">
        <f t="array" aca="1" ref="U3126" ca="1">+IF(COMPROMISOS_2025[[#This Row],[P]]="20","41080111",_xlfn.XLOOKUP(COMPROMISOS_2025[[#This Row],[concatenado]],PAA[[#All],[RCP-RUBRO]],PAA[[#All],[INDICADOR]],"",0))</f>
        <v>#NAME?</v>
      </c>
      <c r="V3126" s="144" t="str">
        <f t="shared" si="97"/>
        <v>73</v>
      </c>
      <c r="W3126" s="136">
        <f>+COMPROMISOS_2025[[#This Row],[valor_total]]-COMPROMISOS_2025[[#This Row],[total_cancelado]]</f>
        <v>44190000</v>
      </c>
      <c r="X3126" s="136">
        <f>COMPROMISOS_2025[[#This Row],[total_ordenes]]</f>
        <v>3988833</v>
      </c>
      <c r="Y3126" t="str" cm="1">
        <f t="array" aca="1" ref="Y3126" ca="1">IFERROR(_xlfn.XLOOKUP(COMPROMISOS_2025[[#This Row],[concatenado]],PAA[[#All],[RCP-RUBRO]],PAA[[#All],[Actividad3]],VLOOKUP(COMPROMISOS_2025[[#This Row],[Indicador Principal]],$AC$2:$AD$17,2,0),0),"")</f>
        <v/>
      </c>
    </row>
    <row r="3127" spans="1:25" hidden="1" x14ac:dyDescent="0.25">
      <c r="A3127">
        <v>425</v>
      </c>
      <c r="B3127" t="s">
        <v>4638</v>
      </c>
      <c r="C3127" t="s">
        <v>1775</v>
      </c>
      <c r="D3127" t="s">
        <v>2382</v>
      </c>
      <c r="E3127" t="s">
        <v>4639</v>
      </c>
      <c r="F3127">
        <v>83</v>
      </c>
      <c r="G3127">
        <v>82</v>
      </c>
      <c r="H3127" t="s">
        <v>315</v>
      </c>
      <c r="I3127" t="s">
        <v>2378</v>
      </c>
      <c r="J3127">
        <v>93968000</v>
      </c>
      <c r="K3127">
        <v>2025</v>
      </c>
      <c r="L3127">
        <v>154427071</v>
      </c>
      <c r="M3127" t="s">
        <v>4640</v>
      </c>
      <c r="N3127" t="s">
        <v>1688</v>
      </c>
      <c r="O3127" t="s">
        <v>1686</v>
      </c>
      <c r="P3127">
        <v>0</v>
      </c>
      <c r="Q3127">
        <v>0</v>
      </c>
      <c r="R3127">
        <v>0</v>
      </c>
      <c r="S3127">
        <v>93968000</v>
      </c>
      <c r="T3127" t="str">
        <f t="shared" si="96"/>
        <v>4253.43.4301.73.0-205128.2.3.2.02.02.009.10.</v>
      </c>
      <c r="U3127" t="e" cm="1">
        <f t="array" aca="1" ref="U3127" ca="1">+IF(COMPROMISOS_2025[[#This Row],[P]]="20","41080111",_xlfn.XLOOKUP(COMPROMISOS_2025[[#This Row],[concatenado]],PAA[[#All],[RCP-RUBRO]],PAA[[#All],[INDICADOR]],"",0))</f>
        <v>#NAME?</v>
      </c>
      <c r="V3127" s="144" t="str">
        <f t="shared" si="97"/>
        <v>73</v>
      </c>
      <c r="W3127" s="136">
        <f>+COMPROMISOS_2025[[#This Row],[valor_total]]-COMPROMISOS_2025[[#This Row],[total_cancelado]]</f>
        <v>93968000</v>
      </c>
      <c r="X3127" s="136">
        <f>COMPROMISOS_2025[[#This Row],[total_ordenes]]</f>
        <v>0</v>
      </c>
      <c r="Y3127" t="str" cm="1">
        <f t="array" aca="1" ref="Y3127" ca="1">IFERROR(_xlfn.XLOOKUP(COMPROMISOS_2025[[#This Row],[concatenado]],PAA[[#All],[RCP-RUBRO]],PAA[[#All],[Actividad3]],VLOOKUP(COMPROMISOS_2025[[#This Row],[Indicador Principal]],$AC$2:$AD$17,2,0),0),"")</f>
        <v/>
      </c>
    </row>
    <row r="3128" spans="1:25" hidden="1" x14ac:dyDescent="0.25">
      <c r="A3128">
        <v>444</v>
      </c>
      <c r="B3128" t="s">
        <v>4559</v>
      </c>
      <c r="C3128" t="s">
        <v>1775</v>
      </c>
      <c r="D3128" t="s">
        <v>2323</v>
      </c>
      <c r="E3128" t="s">
        <v>4560</v>
      </c>
      <c r="F3128">
        <v>311</v>
      </c>
      <c r="G3128">
        <v>82</v>
      </c>
      <c r="H3128" t="s">
        <v>315</v>
      </c>
      <c r="I3128" t="s">
        <v>2378</v>
      </c>
      <c r="J3128">
        <v>59652600</v>
      </c>
      <c r="K3128">
        <v>2025</v>
      </c>
      <c r="L3128">
        <v>154274628</v>
      </c>
      <c r="M3128" t="s">
        <v>4561</v>
      </c>
      <c r="N3128" t="s">
        <v>1688</v>
      </c>
      <c r="O3128" t="s">
        <v>1686</v>
      </c>
      <c r="P3128">
        <v>0</v>
      </c>
      <c r="Q3128">
        <v>0</v>
      </c>
      <c r="R3128">
        <v>0</v>
      </c>
      <c r="S3128">
        <v>59652600</v>
      </c>
      <c r="T3128" t="str">
        <f t="shared" si="96"/>
        <v>4443.43.4301.73.0-205128.2.3.2.02.02.009.10.</v>
      </c>
      <c r="U3128" t="e" cm="1">
        <f t="array" aca="1" ref="U3128" ca="1">+IF(COMPROMISOS_2025[[#This Row],[P]]="20","41080111",_xlfn.XLOOKUP(COMPROMISOS_2025[[#This Row],[concatenado]],PAA[[#All],[RCP-RUBRO]],PAA[[#All],[INDICADOR]],"",0))</f>
        <v>#NAME?</v>
      </c>
      <c r="V3128" s="144" t="str">
        <f t="shared" si="97"/>
        <v>73</v>
      </c>
      <c r="W3128" s="136">
        <f>+COMPROMISOS_2025[[#This Row],[valor_total]]-COMPROMISOS_2025[[#This Row],[total_cancelado]]</f>
        <v>59652600</v>
      </c>
      <c r="X3128" s="136">
        <f>COMPROMISOS_2025[[#This Row],[total_ordenes]]</f>
        <v>0</v>
      </c>
      <c r="Y3128" t="str" cm="1">
        <f t="array" aca="1" ref="Y3128" ca="1">IFERROR(_xlfn.XLOOKUP(COMPROMISOS_2025[[#This Row],[concatenado]],PAA[[#All],[RCP-RUBRO]],PAA[[#All],[Actividad3]],VLOOKUP(COMPROMISOS_2025[[#This Row],[Indicador Principal]],$AC$2:$AD$17,2,0),0),"")</f>
        <v/>
      </c>
    </row>
    <row r="3129" spans="1:25" hidden="1" x14ac:dyDescent="0.25">
      <c r="A3129">
        <v>447</v>
      </c>
      <c r="B3129" t="s">
        <v>4641</v>
      </c>
      <c r="C3129" t="s">
        <v>1775</v>
      </c>
      <c r="D3129" t="s">
        <v>2384</v>
      </c>
      <c r="E3129" t="s">
        <v>4642</v>
      </c>
      <c r="F3129">
        <v>84</v>
      </c>
      <c r="G3129">
        <v>82</v>
      </c>
      <c r="H3129" t="s">
        <v>315</v>
      </c>
      <c r="I3129" t="s">
        <v>2378</v>
      </c>
      <c r="J3129">
        <v>93968000</v>
      </c>
      <c r="K3129">
        <v>2025</v>
      </c>
      <c r="L3129">
        <v>81554513</v>
      </c>
      <c r="M3129" t="s">
        <v>4643</v>
      </c>
      <c r="N3129" t="s">
        <v>1688</v>
      </c>
      <c r="O3129" t="s">
        <v>1686</v>
      </c>
      <c r="P3129">
        <v>0</v>
      </c>
      <c r="Q3129">
        <v>8569964</v>
      </c>
      <c r="R3129">
        <v>0</v>
      </c>
      <c r="S3129">
        <v>85398036</v>
      </c>
      <c r="T3129" t="str">
        <f t="shared" si="96"/>
        <v>4473.43.4301.73.0-205128.2.3.2.02.02.009.10.</v>
      </c>
      <c r="U3129" t="e" cm="1">
        <f t="array" aca="1" ref="U3129" ca="1">+IF(COMPROMISOS_2025[[#This Row],[P]]="20","41080111",_xlfn.XLOOKUP(COMPROMISOS_2025[[#This Row],[concatenado]],PAA[[#All],[RCP-RUBRO]],PAA[[#All],[INDICADOR]],"",0))</f>
        <v>#NAME?</v>
      </c>
      <c r="V3129" s="144" t="str">
        <f t="shared" si="97"/>
        <v>73</v>
      </c>
      <c r="W3129" s="136">
        <f>+COMPROMISOS_2025[[#This Row],[valor_total]]-COMPROMISOS_2025[[#This Row],[total_cancelado]]</f>
        <v>93968000</v>
      </c>
      <c r="X3129" s="136">
        <f>COMPROMISOS_2025[[#This Row],[total_ordenes]]</f>
        <v>8569964</v>
      </c>
      <c r="Y3129" t="str" cm="1">
        <f t="array" aca="1" ref="Y3129" ca="1">IFERROR(_xlfn.XLOOKUP(COMPROMISOS_2025[[#This Row],[concatenado]],PAA[[#All],[RCP-RUBRO]],PAA[[#All],[Actividad3]],VLOOKUP(COMPROMISOS_2025[[#This Row],[Indicador Principal]],$AC$2:$AD$17,2,0),0),"")</f>
        <v/>
      </c>
    </row>
    <row r="3130" spans="1:25" hidden="1" x14ac:dyDescent="0.25">
      <c r="A3130">
        <v>799</v>
      </c>
      <c r="B3130" t="s">
        <v>4644</v>
      </c>
      <c r="C3130" t="s">
        <v>1775</v>
      </c>
      <c r="D3130" t="s">
        <v>2398</v>
      </c>
      <c r="E3130" t="s">
        <v>4645</v>
      </c>
      <c r="F3130">
        <v>309</v>
      </c>
      <c r="G3130">
        <v>82</v>
      </c>
      <c r="H3130" t="s">
        <v>315</v>
      </c>
      <c r="I3130" t="s">
        <v>2378</v>
      </c>
      <c r="J3130">
        <v>114482000</v>
      </c>
      <c r="K3130">
        <v>2025</v>
      </c>
      <c r="L3130">
        <v>10171238322</v>
      </c>
      <c r="M3130" t="s">
        <v>4646</v>
      </c>
      <c r="N3130" t="s">
        <v>1688</v>
      </c>
      <c r="O3130" t="s">
        <v>1686</v>
      </c>
      <c r="P3130">
        <v>0</v>
      </c>
      <c r="Q3130">
        <v>0</v>
      </c>
      <c r="R3130">
        <v>0</v>
      </c>
      <c r="S3130">
        <v>114482000</v>
      </c>
      <c r="T3130" t="str">
        <f t="shared" si="96"/>
        <v>7993.43.4301.73.0-205128.2.3.2.02.02.009.10.</v>
      </c>
      <c r="U3130" t="e" cm="1">
        <f t="array" aca="1" ref="U3130" ca="1">+IF(COMPROMISOS_2025[[#This Row],[P]]="20","41080111",_xlfn.XLOOKUP(COMPROMISOS_2025[[#This Row],[concatenado]],PAA[[#All],[RCP-RUBRO]],PAA[[#All],[INDICADOR]],"",0))</f>
        <v>#NAME?</v>
      </c>
      <c r="V3130" s="144" t="str">
        <f t="shared" si="97"/>
        <v>73</v>
      </c>
      <c r="W3130" s="136">
        <f>+COMPROMISOS_2025[[#This Row],[valor_total]]-COMPROMISOS_2025[[#This Row],[total_cancelado]]</f>
        <v>114482000</v>
      </c>
      <c r="X3130" s="136">
        <f>COMPROMISOS_2025[[#This Row],[total_ordenes]]</f>
        <v>0</v>
      </c>
      <c r="Y3130" t="str" cm="1">
        <f t="array" aca="1" ref="Y3130" ca="1">IFERROR(_xlfn.XLOOKUP(COMPROMISOS_2025[[#This Row],[concatenado]],PAA[[#All],[RCP-RUBRO]],PAA[[#All],[Actividad3]],VLOOKUP(COMPROMISOS_2025[[#This Row],[Indicador Principal]],$AC$2:$AD$17,2,0),0),"")</f>
        <v/>
      </c>
    </row>
    <row r="3131" spans="1:25" x14ac:dyDescent="0.25">
      <c r="A3131">
        <v>2859</v>
      </c>
      <c r="B3131" t="s">
        <v>4647</v>
      </c>
      <c r="C3131" t="s">
        <v>1775</v>
      </c>
      <c r="D3131" t="s">
        <v>2401</v>
      </c>
      <c r="E3131" t="s">
        <v>4648</v>
      </c>
      <c r="F3131">
        <v>391</v>
      </c>
      <c r="G3131">
        <v>82</v>
      </c>
      <c r="H3131" t="s">
        <v>315</v>
      </c>
      <c r="I3131" t="s">
        <v>2378</v>
      </c>
      <c r="J3131">
        <v>500000000</v>
      </c>
      <c r="K3131">
        <v>2025</v>
      </c>
      <c r="L3131">
        <v>8000447854</v>
      </c>
      <c r="M3131" t="s">
        <v>4649</v>
      </c>
      <c r="N3131" t="s">
        <v>1688</v>
      </c>
      <c r="O3131" t="s">
        <v>1686</v>
      </c>
      <c r="P3131">
        <v>0</v>
      </c>
      <c r="Q3131">
        <v>250000000</v>
      </c>
      <c r="R3131">
        <v>0</v>
      </c>
      <c r="S3131">
        <v>250000000</v>
      </c>
      <c r="T3131" t="str">
        <f t="shared" si="96"/>
        <v>28593.43.4301.73.0-205128.2.3.2.02.02.009.10.</v>
      </c>
      <c r="U3131" t="e" cm="1">
        <f t="array" aca="1" ref="U3131" ca="1">+IF(COMPROMISOS_2025[[#This Row],[P]]="20","41080111",_xlfn.XLOOKUP(COMPROMISOS_2025[[#This Row],[concatenado]],PAA[[#All],[RCP-RUBRO]],PAA[[#All],[INDICADOR]],"",0))</f>
        <v>#NAME?</v>
      </c>
      <c r="V3131" s="144" t="str">
        <f t="shared" si="97"/>
        <v>73</v>
      </c>
      <c r="W3131" s="136">
        <f>+COMPROMISOS_2025[[#This Row],[valor_total]]-COMPROMISOS_2025[[#This Row],[total_cancelado]]</f>
        <v>500000000</v>
      </c>
      <c r="X3131" s="136">
        <f>COMPROMISOS_2025[[#This Row],[total_ordenes]]</f>
        <v>250000000</v>
      </c>
      <c r="Y3131" t="str" cm="1">
        <f t="array" aca="1" ref="Y3131" ca="1">IFERROR(_xlfn.XLOOKUP(COMPROMISOS_2025[[#This Row],[concatenado]],PAA[[#All],[RCP-RUBRO]],PAA[[#All],[Actividad3]],VLOOKUP(COMPROMISOS_2025[[#This Row],[Indicador Principal]],$AC$2:$AD$17,2,0),0),"")</f>
        <v/>
      </c>
    </row>
    <row r="3132" spans="1:25" hidden="1" x14ac:dyDescent="0.25">
      <c r="A3132">
        <v>2861</v>
      </c>
      <c r="B3132" t="s">
        <v>4650</v>
      </c>
      <c r="C3132" t="s">
        <v>1775</v>
      </c>
      <c r="D3132" t="s">
        <v>2400</v>
      </c>
      <c r="E3132" t="s">
        <v>4651</v>
      </c>
      <c r="F3132">
        <v>313</v>
      </c>
      <c r="G3132">
        <v>82</v>
      </c>
      <c r="H3132" t="s">
        <v>315</v>
      </c>
      <c r="I3132" t="s">
        <v>2378</v>
      </c>
      <c r="J3132">
        <v>83218000</v>
      </c>
      <c r="K3132">
        <v>2025</v>
      </c>
      <c r="L3132">
        <v>81119411</v>
      </c>
      <c r="M3132" t="s">
        <v>4652</v>
      </c>
      <c r="N3132" t="s">
        <v>1688</v>
      </c>
      <c r="O3132" t="s">
        <v>1686</v>
      </c>
      <c r="P3132">
        <v>0</v>
      </c>
      <c r="Q3132">
        <v>0</v>
      </c>
      <c r="R3132">
        <v>0</v>
      </c>
      <c r="S3132">
        <v>83218000</v>
      </c>
      <c r="T3132" t="str">
        <f t="shared" si="96"/>
        <v>28613.43.4301.73.0-205128.2.3.2.02.02.009.10.</v>
      </c>
      <c r="U3132" t="e" cm="1">
        <f t="array" aca="1" ref="U3132" ca="1">+IF(COMPROMISOS_2025[[#This Row],[P]]="20","41080111",_xlfn.XLOOKUP(COMPROMISOS_2025[[#This Row],[concatenado]],PAA[[#All],[RCP-RUBRO]],PAA[[#All],[INDICADOR]],"",0))</f>
        <v>#NAME?</v>
      </c>
      <c r="V3132" s="144" t="str">
        <f t="shared" si="97"/>
        <v>73</v>
      </c>
      <c r="W3132" s="136">
        <f>+COMPROMISOS_2025[[#This Row],[valor_total]]-COMPROMISOS_2025[[#This Row],[total_cancelado]]</f>
        <v>83218000</v>
      </c>
      <c r="X3132" s="136">
        <f>COMPROMISOS_2025[[#This Row],[total_ordenes]]</f>
        <v>0</v>
      </c>
      <c r="Y3132" t="str" cm="1">
        <f t="array" aca="1" ref="Y3132" ca="1">IFERROR(_xlfn.XLOOKUP(COMPROMISOS_2025[[#This Row],[concatenado]],PAA[[#All],[RCP-RUBRO]],PAA[[#All],[Actividad3]],VLOOKUP(COMPROMISOS_2025[[#This Row],[Indicador Principal]],$AC$2:$AD$17,2,0),0),"")</f>
        <v/>
      </c>
    </row>
    <row r="3133" spans="1:25" hidden="1" x14ac:dyDescent="0.25">
      <c r="A3133">
        <v>49</v>
      </c>
      <c r="B3133" t="s">
        <v>4512</v>
      </c>
      <c r="C3133" t="s">
        <v>1775</v>
      </c>
      <c r="D3133" t="s">
        <v>2289</v>
      </c>
      <c r="E3133" t="s">
        <v>4513</v>
      </c>
      <c r="F3133">
        <v>45</v>
      </c>
      <c r="G3133">
        <v>85</v>
      </c>
      <c r="H3133" t="s">
        <v>274</v>
      </c>
      <c r="I3133" t="s">
        <v>2408</v>
      </c>
      <c r="J3133">
        <v>17117120</v>
      </c>
      <c r="K3133">
        <v>2025</v>
      </c>
      <c r="L3133">
        <v>435781647</v>
      </c>
      <c r="M3133" t="s">
        <v>4514</v>
      </c>
      <c r="N3133" t="s">
        <v>1688</v>
      </c>
      <c r="O3133" t="s">
        <v>1686</v>
      </c>
      <c r="P3133">
        <v>0</v>
      </c>
      <c r="Q3133">
        <v>3893101</v>
      </c>
      <c r="R3133">
        <v>0</v>
      </c>
      <c r="S3133">
        <v>13224019</v>
      </c>
      <c r="T3133" t="str">
        <f t="shared" si="96"/>
        <v>493.43.4301.74.0-101024.2.3.2.02.02.008.18.</v>
      </c>
      <c r="U3133" t="e" cm="1">
        <f t="array" aca="1" ref="U3133" ca="1">+IF(COMPROMISOS_2025[[#This Row],[P]]="20","41080111",_xlfn.XLOOKUP(COMPROMISOS_2025[[#This Row],[concatenado]],PAA[[#All],[RCP-RUBRO]],PAA[[#All],[INDICADOR]],"",0))</f>
        <v>#NAME?</v>
      </c>
      <c r="V3133" s="144" t="str">
        <f t="shared" si="97"/>
        <v>74</v>
      </c>
      <c r="W3133" s="136">
        <f>+COMPROMISOS_2025[[#This Row],[valor_total]]-COMPROMISOS_2025[[#This Row],[total_cancelado]]</f>
        <v>17117120</v>
      </c>
      <c r="X3133" s="136">
        <f>COMPROMISOS_2025[[#This Row],[total_ordenes]]</f>
        <v>3893101</v>
      </c>
      <c r="Y3133" t="str" cm="1">
        <f t="array" aca="1" ref="Y3133" ca="1">IFERROR(_xlfn.XLOOKUP(COMPROMISOS_2025[[#This Row],[concatenado]],PAA[[#All],[RCP-RUBRO]],PAA[[#All],[Actividad3]],VLOOKUP(COMPROMISOS_2025[[#This Row],[Indicador Principal]],$AC$2:$AD$17,2,0),0),"")</f>
        <v/>
      </c>
    </row>
    <row r="3134" spans="1:25" hidden="1" x14ac:dyDescent="0.25">
      <c r="A3134">
        <v>61</v>
      </c>
      <c r="B3134" t="s">
        <v>4515</v>
      </c>
      <c r="C3134" t="s">
        <v>1775</v>
      </c>
      <c r="D3134" t="s">
        <v>2294</v>
      </c>
      <c r="E3134" t="s">
        <v>4516</v>
      </c>
      <c r="F3134">
        <v>48</v>
      </c>
      <c r="G3134">
        <v>85</v>
      </c>
      <c r="H3134" t="s">
        <v>274</v>
      </c>
      <c r="I3134" t="s">
        <v>2408</v>
      </c>
      <c r="J3134">
        <v>12034880</v>
      </c>
      <c r="K3134">
        <v>2025</v>
      </c>
      <c r="L3134">
        <v>10394510918</v>
      </c>
      <c r="M3134" t="s">
        <v>4517</v>
      </c>
      <c r="N3134" t="s">
        <v>1688</v>
      </c>
      <c r="O3134" t="s">
        <v>1686</v>
      </c>
      <c r="P3134">
        <v>0</v>
      </c>
      <c r="Q3134">
        <v>2858284</v>
      </c>
      <c r="R3134">
        <v>0</v>
      </c>
      <c r="S3134">
        <v>9176596</v>
      </c>
      <c r="T3134" t="str">
        <f t="shared" si="96"/>
        <v>613.43.4301.74.0-101024.2.3.2.02.02.008.18.</v>
      </c>
      <c r="U3134" t="e" cm="1">
        <f t="array" aca="1" ref="U3134" ca="1">+IF(COMPROMISOS_2025[[#This Row],[P]]="20","41080111",_xlfn.XLOOKUP(COMPROMISOS_2025[[#This Row],[concatenado]],PAA[[#All],[RCP-RUBRO]],PAA[[#All],[INDICADOR]],"",0))</f>
        <v>#NAME?</v>
      </c>
      <c r="V3134" s="144" t="str">
        <f t="shared" si="97"/>
        <v>74</v>
      </c>
      <c r="W3134" s="136">
        <f>+COMPROMISOS_2025[[#This Row],[valor_total]]-COMPROMISOS_2025[[#This Row],[total_cancelado]]</f>
        <v>12034880</v>
      </c>
      <c r="X3134" s="136">
        <f>COMPROMISOS_2025[[#This Row],[total_ordenes]]</f>
        <v>2858284</v>
      </c>
      <c r="Y3134" t="str" cm="1">
        <f t="array" aca="1" ref="Y3134" ca="1">IFERROR(_xlfn.XLOOKUP(COMPROMISOS_2025[[#This Row],[concatenado]],PAA[[#All],[RCP-RUBRO]],PAA[[#All],[Actividad3]],VLOOKUP(COMPROMISOS_2025[[#This Row],[Indicador Principal]],$AC$2:$AD$17,2,0),0),"")</f>
        <v/>
      </c>
    </row>
    <row r="3135" spans="1:25" hidden="1" x14ac:dyDescent="0.25">
      <c r="A3135">
        <v>62</v>
      </c>
      <c r="B3135" t="s">
        <v>4515</v>
      </c>
      <c r="C3135" t="s">
        <v>1775</v>
      </c>
      <c r="D3135" t="s">
        <v>2298</v>
      </c>
      <c r="E3135" t="s">
        <v>4518</v>
      </c>
      <c r="F3135">
        <v>50</v>
      </c>
      <c r="G3135">
        <v>85</v>
      </c>
      <c r="H3135" t="s">
        <v>274</v>
      </c>
      <c r="I3135" t="s">
        <v>2408</v>
      </c>
      <c r="J3135">
        <v>13834880</v>
      </c>
      <c r="K3135">
        <v>2025</v>
      </c>
      <c r="L3135">
        <v>436898712</v>
      </c>
      <c r="M3135" t="s">
        <v>4519</v>
      </c>
      <c r="N3135" t="s">
        <v>1688</v>
      </c>
      <c r="O3135" t="s">
        <v>1686</v>
      </c>
      <c r="P3135">
        <v>0</v>
      </c>
      <c r="Q3135">
        <v>0</v>
      </c>
      <c r="R3135">
        <v>0</v>
      </c>
      <c r="S3135">
        <v>13834880</v>
      </c>
      <c r="T3135" t="str">
        <f t="shared" si="96"/>
        <v>623.43.4301.74.0-101024.2.3.2.02.02.008.18.</v>
      </c>
      <c r="U3135" t="e" cm="1">
        <f t="array" aca="1" ref="U3135" ca="1">+IF(COMPROMISOS_2025[[#This Row],[P]]="20","41080111",_xlfn.XLOOKUP(COMPROMISOS_2025[[#This Row],[concatenado]],PAA[[#All],[RCP-RUBRO]],PAA[[#All],[INDICADOR]],"",0))</f>
        <v>#NAME?</v>
      </c>
      <c r="V3135" s="144" t="str">
        <f t="shared" si="97"/>
        <v>74</v>
      </c>
      <c r="W3135" s="136">
        <f>+COMPROMISOS_2025[[#This Row],[valor_total]]-COMPROMISOS_2025[[#This Row],[total_cancelado]]</f>
        <v>13834880</v>
      </c>
      <c r="X3135" s="136">
        <f>COMPROMISOS_2025[[#This Row],[total_ordenes]]</f>
        <v>0</v>
      </c>
      <c r="Y3135" t="str" cm="1">
        <f t="array" aca="1" ref="Y3135" ca="1">IFERROR(_xlfn.XLOOKUP(COMPROMISOS_2025[[#This Row],[concatenado]],PAA[[#All],[RCP-RUBRO]],PAA[[#All],[Actividad3]],VLOOKUP(COMPROMISOS_2025[[#This Row],[Indicador Principal]],$AC$2:$AD$17,2,0),0),"")</f>
        <v/>
      </c>
    </row>
    <row r="3136" spans="1:25" hidden="1" x14ac:dyDescent="0.25">
      <c r="A3136">
        <v>65</v>
      </c>
      <c r="B3136" t="s">
        <v>4520</v>
      </c>
      <c r="C3136" t="s">
        <v>1775</v>
      </c>
      <c r="D3136" t="s">
        <v>2302</v>
      </c>
      <c r="E3136" t="s">
        <v>4521</v>
      </c>
      <c r="F3136">
        <v>52</v>
      </c>
      <c r="G3136">
        <v>85</v>
      </c>
      <c r="H3136" t="s">
        <v>274</v>
      </c>
      <c r="I3136" t="s">
        <v>2408</v>
      </c>
      <c r="J3136">
        <v>7270400</v>
      </c>
      <c r="K3136">
        <v>2025</v>
      </c>
      <c r="L3136">
        <v>10017385179</v>
      </c>
      <c r="M3136" t="s">
        <v>4522</v>
      </c>
      <c r="N3136" t="s">
        <v>1688</v>
      </c>
      <c r="O3136" t="s">
        <v>1686</v>
      </c>
      <c r="P3136">
        <v>0</v>
      </c>
      <c r="Q3136">
        <v>1299220</v>
      </c>
      <c r="R3136">
        <v>0</v>
      </c>
      <c r="S3136">
        <v>5971180</v>
      </c>
      <c r="T3136" t="str">
        <f t="shared" si="96"/>
        <v>653.43.4301.74.0-101024.2.3.2.02.02.008.18.</v>
      </c>
      <c r="U3136" t="e" cm="1">
        <f t="array" aca="1" ref="U3136" ca="1">+IF(COMPROMISOS_2025[[#This Row],[P]]="20","41080111",_xlfn.XLOOKUP(COMPROMISOS_2025[[#This Row],[concatenado]],PAA[[#All],[RCP-RUBRO]],PAA[[#All],[INDICADOR]],"",0))</f>
        <v>#NAME?</v>
      </c>
      <c r="V3136" s="144" t="str">
        <f t="shared" si="97"/>
        <v>74</v>
      </c>
      <c r="W3136" s="136">
        <f>+COMPROMISOS_2025[[#This Row],[valor_total]]-COMPROMISOS_2025[[#This Row],[total_cancelado]]</f>
        <v>7270400</v>
      </c>
      <c r="X3136" s="136">
        <f>COMPROMISOS_2025[[#This Row],[total_ordenes]]</f>
        <v>1299220</v>
      </c>
      <c r="Y3136" t="str" cm="1">
        <f t="array" aca="1" ref="Y3136" ca="1">IFERROR(_xlfn.XLOOKUP(COMPROMISOS_2025[[#This Row],[concatenado]],PAA[[#All],[RCP-RUBRO]],PAA[[#All],[Actividad3]],VLOOKUP(COMPROMISOS_2025[[#This Row],[Indicador Principal]],$AC$2:$AD$17,2,0),0),"")</f>
        <v/>
      </c>
    </row>
    <row r="3137" spans="1:25" hidden="1" x14ac:dyDescent="0.25">
      <c r="A3137">
        <v>66</v>
      </c>
      <c r="B3137" t="s">
        <v>4523</v>
      </c>
      <c r="C3137" t="s">
        <v>1775</v>
      </c>
      <c r="D3137" t="s">
        <v>2304</v>
      </c>
      <c r="E3137" t="s">
        <v>4524</v>
      </c>
      <c r="F3137">
        <v>53</v>
      </c>
      <c r="G3137">
        <v>85</v>
      </c>
      <c r="H3137" t="s">
        <v>274</v>
      </c>
      <c r="I3137" t="s">
        <v>2408</v>
      </c>
      <c r="J3137">
        <v>12034880</v>
      </c>
      <c r="K3137">
        <v>2025</v>
      </c>
      <c r="L3137">
        <v>11282762308</v>
      </c>
      <c r="M3137" t="s">
        <v>4525</v>
      </c>
      <c r="N3137" t="s">
        <v>1688</v>
      </c>
      <c r="O3137" t="s">
        <v>1686</v>
      </c>
      <c r="P3137">
        <v>0</v>
      </c>
      <c r="Q3137">
        <v>2858284</v>
      </c>
      <c r="R3137">
        <v>0</v>
      </c>
      <c r="S3137">
        <v>9176596</v>
      </c>
      <c r="T3137" t="str">
        <f t="shared" si="96"/>
        <v>663.43.4301.74.0-101024.2.3.2.02.02.008.18.</v>
      </c>
      <c r="U3137" t="e" cm="1">
        <f t="array" aca="1" ref="U3137" ca="1">+IF(COMPROMISOS_2025[[#This Row],[P]]="20","41080111",_xlfn.XLOOKUP(COMPROMISOS_2025[[#This Row],[concatenado]],PAA[[#All],[RCP-RUBRO]],PAA[[#All],[INDICADOR]],"",0))</f>
        <v>#NAME?</v>
      </c>
      <c r="V3137" s="144" t="str">
        <f t="shared" si="97"/>
        <v>74</v>
      </c>
      <c r="W3137" s="136">
        <f>+COMPROMISOS_2025[[#This Row],[valor_total]]-COMPROMISOS_2025[[#This Row],[total_cancelado]]</f>
        <v>12034880</v>
      </c>
      <c r="X3137" s="136">
        <f>COMPROMISOS_2025[[#This Row],[total_ordenes]]</f>
        <v>2858284</v>
      </c>
      <c r="Y3137" t="str" cm="1">
        <f t="array" aca="1" ref="Y3137" ca="1">IFERROR(_xlfn.XLOOKUP(COMPROMISOS_2025[[#This Row],[concatenado]],PAA[[#All],[RCP-RUBRO]],PAA[[#All],[Actividad3]],VLOOKUP(COMPROMISOS_2025[[#This Row],[Indicador Principal]],$AC$2:$AD$17,2,0),0),"")</f>
        <v/>
      </c>
    </row>
    <row r="3138" spans="1:25" hidden="1" x14ac:dyDescent="0.25">
      <c r="A3138">
        <v>68</v>
      </c>
      <c r="B3138" t="s">
        <v>4526</v>
      </c>
      <c r="C3138" t="s">
        <v>1775</v>
      </c>
      <c r="D3138" t="s">
        <v>2292</v>
      </c>
      <c r="E3138" t="s">
        <v>4527</v>
      </c>
      <c r="F3138">
        <v>47</v>
      </c>
      <c r="G3138">
        <v>85</v>
      </c>
      <c r="H3138" t="s">
        <v>274</v>
      </c>
      <c r="I3138" t="s">
        <v>2408</v>
      </c>
      <c r="J3138">
        <v>12034880</v>
      </c>
      <c r="K3138">
        <v>2025</v>
      </c>
      <c r="L3138">
        <v>10172089144</v>
      </c>
      <c r="M3138" t="s">
        <v>4528</v>
      </c>
      <c r="N3138" t="s">
        <v>1688</v>
      </c>
      <c r="O3138" t="s">
        <v>1686</v>
      </c>
      <c r="P3138">
        <v>0</v>
      </c>
      <c r="Q3138">
        <v>0</v>
      </c>
      <c r="R3138">
        <v>0</v>
      </c>
      <c r="S3138">
        <v>12034880</v>
      </c>
      <c r="T3138" t="str">
        <f t="shared" ref="T3138:T3153" si="98">IF(A3138&gt;=0,CONCATENATE(A3138,H3138),"")</f>
        <v>683.43.4301.74.0-101024.2.3.2.02.02.008.18.</v>
      </c>
      <c r="U3138" t="e" cm="1">
        <f t="array" aca="1" ref="U3138" ca="1">+IF(COMPROMISOS_2025[[#This Row],[P]]="20","41080111",_xlfn.XLOOKUP(COMPROMISOS_2025[[#This Row],[concatenado]],PAA[[#All],[RCP-RUBRO]],PAA[[#All],[INDICADOR]],"",0))</f>
        <v>#NAME?</v>
      </c>
      <c r="V3138" s="144" t="str">
        <f t="shared" ref="V3138:V3153" si="99">+MID(H3138,11,2)</f>
        <v>74</v>
      </c>
      <c r="W3138" s="136">
        <f>+COMPROMISOS_2025[[#This Row],[valor_total]]-COMPROMISOS_2025[[#This Row],[total_cancelado]]</f>
        <v>12034880</v>
      </c>
      <c r="X3138" s="136">
        <f>COMPROMISOS_2025[[#This Row],[total_ordenes]]</f>
        <v>0</v>
      </c>
      <c r="Y3138" t="str" cm="1">
        <f t="array" aca="1" ref="Y3138" ca="1">IFERROR(_xlfn.XLOOKUP(COMPROMISOS_2025[[#This Row],[concatenado]],PAA[[#All],[RCP-RUBRO]],PAA[[#All],[Actividad3]],VLOOKUP(COMPROMISOS_2025[[#This Row],[Indicador Principal]],$AC$2:$AD$17,2,0),0),"")</f>
        <v/>
      </c>
    </row>
    <row r="3139" spans="1:25" hidden="1" x14ac:dyDescent="0.25">
      <c r="A3139">
        <v>88</v>
      </c>
      <c r="B3139" t="s">
        <v>4529</v>
      </c>
      <c r="C3139" t="s">
        <v>1775</v>
      </c>
      <c r="D3139" t="s">
        <v>2296</v>
      </c>
      <c r="E3139" t="s">
        <v>4530</v>
      </c>
      <c r="F3139">
        <v>49</v>
      </c>
      <c r="G3139">
        <v>85</v>
      </c>
      <c r="H3139" t="s">
        <v>274</v>
      </c>
      <c r="I3139" t="s">
        <v>2408</v>
      </c>
      <c r="J3139">
        <v>16034880</v>
      </c>
      <c r="K3139">
        <v>2025</v>
      </c>
      <c r="L3139">
        <v>10171653837</v>
      </c>
      <c r="M3139" t="s">
        <v>4531</v>
      </c>
      <c r="N3139" t="s">
        <v>1688</v>
      </c>
      <c r="O3139" t="s">
        <v>1686</v>
      </c>
      <c r="P3139">
        <v>0</v>
      </c>
      <c r="Q3139">
        <v>3607848</v>
      </c>
      <c r="R3139">
        <v>0</v>
      </c>
      <c r="S3139">
        <v>12427032</v>
      </c>
      <c r="T3139" t="str">
        <f t="shared" si="98"/>
        <v>883.43.4301.74.0-101024.2.3.2.02.02.008.18.</v>
      </c>
      <c r="U3139" t="e" cm="1">
        <f t="array" aca="1" ref="U3139" ca="1">+IF(COMPROMISOS_2025[[#This Row],[P]]="20","41080111",_xlfn.XLOOKUP(COMPROMISOS_2025[[#This Row],[concatenado]],PAA[[#All],[RCP-RUBRO]],PAA[[#All],[INDICADOR]],"",0))</f>
        <v>#NAME?</v>
      </c>
      <c r="V3139" s="144" t="str">
        <f t="shared" si="99"/>
        <v>74</v>
      </c>
      <c r="W3139" s="136">
        <f>+COMPROMISOS_2025[[#This Row],[valor_total]]-COMPROMISOS_2025[[#This Row],[total_cancelado]]</f>
        <v>16034880</v>
      </c>
      <c r="X3139" s="136">
        <f>COMPROMISOS_2025[[#This Row],[total_ordenes]]</f>
        <v>3607848</v>
      </c>
      <c r="Y3139" t="str" cm="1">
        <f t="array" aca="1" ref="Y3139" ca="1">IFERROR(_xlfn.XLOOKUP(COMPROMISOS_2025[[#This Row],[concatenado]],PAA[[#All],[RCP-RUBRO]],PAA[[#All],[Actividad3]],VLOOKUP(COMPROMISOS_2025[[#This Row],[Indicador Principal]],$AC$2:$AD$17,2,0),0),"")</f>
        <v/>
      </c>
    </row>
    <row r="3140" spans="1:25" hidden="1" x14ac:dyDescent="0.25">
      <c r="A3140">
        <v>90</v>
      </c>
      <c r="B3140" t="s">
        <v>4532</v>
      </c>
      <c r="C3140" t="s">
        <v>1775</v>
      </c>
      <c r="D3140" t="s">
        <v>2300</v>
      </c>
      <c r="E3140" t="s">
        <v>4533</v>
      </c>
      <c r="F3140">
        <v>51</v>
      </c>
      <c r="G3140">
        <v>85</v>
      </c>
      <c r="H3140" t="s">
        <v>274</v>
      </c>
      <c r="I3140" t="s">
        <v>2408</v>
      </c>
      <c r="J3140">
        <v>12034880</v>
      </c>
      <c r="K3140">
        <v>2025</v>
      </c>
      <c r="L3140">
        <v>1037612757</v>
      </c>
      <c r="M3140" t="s">
        <v>4534</v>
      </c>
      <c r="N3140" t="s">
        <v>1688</v>
      </c>
      <c r="O3140" t="s">
        <v>1686</v>
      </c>
      <c r="P3140">
        <v>0</v>
      </c>
      <c r="Q3140">
        <v>2707848</v>
      </c>
      <c r="R3140">
        <v>0</v>
      </c>
      <c r="S3140">
        <v>9327032</v>
      </c>
      <c r="T3140" t="str">
        <f t="shared" si="98"/>
        <v>903.43.4301.74.0-101024.2.3.2.02.02.008.18.</v>
      </c>
      <c r="U3140" t="e" cm="1">
        <f t="array" aca="1" ref="U3140" ca="1">+IF(COMPROMISOS_2025[[#This Row],[P]]="20","41080111",_xlfn.XLOOKUP(COMPROMISOS_2025[[#This Row],[concatenado]],PAA[[#All],[RCP-RUBRO]],PAA[[#All],[INDICADOR]],"",0))</f>
        <v>#NAME?</v>
      </c>
      <c r="V3140" s="144" t="str">
        <f t="shared" si="99"/>
        <v>74</v>
      </c>
      <c r="W3140" s="136">
        <f>+COMPROMISOS_2025[[#This Row],[valor_total]]-COMPROMISOS_2025[[#This Row],[total_cancelado]]</f>
        <v>12034880</v>
      </c>
      <c r="X3140" s="136">
        <f>COMPROMISOS_2025[[#This Row],[total_ordenes]]</f>
        <v>2707848</v>
      </c>
      <c r="Y3140" t="str" cm="1">
        <f t="array" aca="1" ref="Y3140" ca="1">IFERROR(_xlfn.XLOOKUP(COMPROMISOS_2025[[#This Row],[concatenado]],PAA[[#All],[RCP-RUBRO]],PAA[[#All],[Actividad3]],VLOOKUP(COMPROMISOS_2025[[#This Row],[Indicador Principal]],$AC$2:$AD$17,2,0),0),"")</f>
        <v/>
      </c>
    </row>
    <row r="3141" spans="1:25" hidden="1" x14ac:dyDescent="0.25">
      <c r="A3141">
        <v>423</v>
      </c>
      <c r="B3141" t="s">
        <v>4535</v>
      </c>
      <c r="C3141" t="s">
        <v>1775</v>
      </c>
      <c r="D3141" t="s">
        <v>2306</v>
      </c>
      <c r="E3141" t="s">
        <v>4536</v>
      </c>
      <c r="F3141">
        <v>295</v>
      </c>
      <c r="G3141">
        <v>85</v>
      </c>
      <c r="H3141" t="s">
        <v>274</v>
      </c>
      <c r="I3141" t="s">
        <v>2408</v>
      </c>
      <c r="J3141">
        <v>18293600</v>
      </c>
      <c r="K3141">
        <v>2025</v>
      </c>
      <c r="L3141">
        <v>10366828938</v>
      </c>
      <c r="M3141" t="s">
        <v>4537</v>
      </c>
      <c r="N3141" t="s">
        <v>1688</v>
      </c>
      <c r="O3141" t="s">
        <v>1686</v>
      </c>
      <c r="P3141">
        <v>0</v>
      </c>
      <c r="Q3141">
        <v>1755086</v>
      </c>
      <c r="R3141">
        <v>0</v>
      </c>
      <c r="S3141">
        <v>16538514</v>
      </c>
      <c r="T3141" t="str">
        <f t="shared" si="98"/>
        <v>4233.43.4301.74.0-101024.2.3.2.02.02.008.18.</v>
      </c>
      <c r="U3141" t="e" cm="1">
        <f t="array" aca="1" ref="U3141" ca="1">+IF(COMPROMISOS_2025[[#This Row],[P]]="20","41080111",_xlfn.XLOOKUP(COMPROMISOS_2025[[#This Row],[concatenado]],PAA[[#All],[RCP-RUBRO]],PAA[[#All],[INDICADOR]],"",0))</f>
        <v>#NAME?</v>
      </c>
      <c r="V3141" s="144" t="str">
        <f t="shared" si="99"/>
        <v>74</v>
      </c>
      <c r="W3141" s="136">
        <f>+COMPROMISOS_2025[[#This Row],[valor_total]]-COMPROMISOS_2025[[#This Row],[total_cancelado]]</f>
        <v>18293600</v>
      </c>
      <c r="X3141" s="136">
        <f>COMPROMISOS_2025[[#This Row],[total_ordenes]]</f>
        <v>1755086</v>
      </c>
      <c r="Y3141" t="str" cm="1">
        <f t="array" aca="1" ref="Y3141" ca="1">IFERROR(_xlfn.XLOOKUP(COMPROMISOS_2025[[#This Row],[concatenado]],PAA[[#All],[RCP-RUBRO]],PAA[[#All],[Actividad3]],VLOOKUP(COMPROMISOS_2025[[#This Row],[Indicador Principal]],$AC$2:$AD$17,2,0),0),"")</f>
        <v/>
      </c>
    </row>
    <row r="3142" spans="1:25" hidden="1" x14ac:dyDescent="0.25">
      <c r="A3142">
        <v>439</v>
      </c>
      <c r="B3142" t="s">
        <v>4538</v>
      </c>
      <c r="C3142" t="s">
        <v>1775</v>
      </c>
      <c r="D3142" t="s">
        <v>2308</v>
      </c>
      <c r="E3142" t="s">
        <v>4539</v>
      </c>
      <c r="F3142">
        <v>299</v>
      </c>
      <c r="G3142">
        <v>85</v>
      </c>
      <c r="H3142" t="s">
        <v>274</v>
      </c>
      <c r="I3142" t="s">
        <v>2408</v>
      </c>
      <c r="J3142">
        <v>15317120</v>
      </c>
      <c r="K3142">
        <v>2025</v>
      </c>
      <c r="L3142">
        <v>394553593</v>
      </c>
      <c r="M3142" t="s">
        <v>4540</v>
      </c>
      <c r="N3142" t="s">
        <v>1688</v>
      </c>
      <c r="O3142" t="s">
        <v>1686</v>
      </c>
      <c r="P3142">
        <v>0</v>
      </c>
      <c r="Q3142">
        <v>0</v>
      </c>
      <c r="R3142">
        <v>0</v>
      </c>
      <c r="S3142">
        <v>15317120</v>
      </c>
      <c r="T3142" t="str">
        <f t="shared" si="98"/>
        <v>4393.43.4301.74.0-101024.2.3.2.02.02.008.18.</v>
      </c>
      <c r="U3142" t="e" cm="1">
        <f t="array" aca="1" ref="U3142" ca="1">+IF(COMPROMISOS_2025[[#This Row],[P]]="20","41080111",_xlfn.XLOOKUP(COMPROMISOS_2025[[#This Row],[concatenado]],PAA[[#All],[RCP-RUBRO]],PAA[[#All],[INDICADOR]],"",0))</f>
        <v>#NAME?</v>
      </c>
      <c r="V3142" s="144" t="str">
        <f t="shared" si="99"/>
        <v>74</v>
      </c>
      <c r="W3142" s="136">
        <f>+COMPROMISOS_2025[[#This Row],[valor_total]]-COMPROMISOS_2025[[#This Row],[total_cancelado]]</f>
        <v>15317120</v>
      </c>
      <c r="X3142" s="136">
        <f>COMPROMISOS_2025[[#This Row],[total_ordenes]]</f>
        <v>0</v>
      </c>
      <c r="Y3142" t="str" cm="1">
        <f t="array" aca="1" ref="Y3142" ca="1">IFERROR(_xlfn.XLOOKUP(COMPROMISOS_2025[[#This Row],[concatenado]],PAA[[#All],[RCP-RUBRO]],PAA[[#All],[Actividad3]],VLOOKUP(COMPROMISOS_2025[[#This Row],[Indicador Principal]],$AC$2:$AD$17,2,0),0),"")</f>
        <v/>
      </c>
    </row>
    <row r="3143" spans="1:25" hidden="1" x14ac:dyDescent="0.25">
      <c r="A3143">
        <v>45</v>
      </c>
      <c r="B3143" t="s">
        <v>4653</v>
      </c>
      <c r="C3143" t="s">
        <v>2411</v>
      </c>
      <c r="D3143" t="s">
        <v>2410</v>
      </c>
      <c r="E3143" t="s">
        <v>4654</v>
      </c>
      <c r="F3143">
        <v>26</v>
      </c>
      <c r="G3143">
        <v>87</v>
      </c>
      <c r="H3143" t="s">
        <v>249</v>
      </c>
      <c r="I3143" t="s">
        <v>2412</v>
      </c>
      <c r="J3143">
        <v>50099747</v>
      </c>
      <c r="K3143">
        <v>2025</v>
      </c>
      <c r="L3143">
        <v>985649999</v>
      </c>
      <c r="M3143" t="s">
        <v>4655</v>
      </c>
      <c r="N3143" t="s">
        <v>1688</v>
      </c>
      <c r="O3143" t="s">
        <v>1686</v>
      </c>
      <c r="P3143">
        <v>0</v>
      </c>
      <c r="Q3143">
        <v>19784613</v>
      </c>
      <c r="R3143">
        <v>0</v>
      </c>
      <c r="S3143">
        <v>30315134</v>
      </c>
      <c r="T3143" t="str">
        <f t="shared" si="98"/>
        <v>454.43.4302.75.0-101024.2.3.2.02.02.008.20.</v>
      </c>
      <c r="U3143" t="e" cm="1">
        <f t="array" aca="1" ref="U3143" ca="1">+IF(COMPROMISOS_2025[[#This Row],[P]]="20","41080111",_xlfn.XLOOKUP(COMPROMISOS_2025[[#This Row],[concatenado]],PAA[[#All],[RCP-RUBRO]],PAA[[#All],[INDICADOR]],"",0))</f>
        <v>#NAME?</v>
      </c>
      <c r="V3143" s="144" t="str">
        <f t="shared" si="99"/>
        <v>75</v>
      </c>
      <c r="W3143" s="136">
        <f>+COMPROMISOS_2025[[#This Row],[valor_total]]-COMPROMISOS_2025[[#This Row],[total_cancelado]]</f>
        <v>50099747</v>
      </c>
      <c r="X3143" s="136">
        <f>COMPROMISOS_2025[[#This Row],[total_ordenes]]</f>
        <v>19784613</v>
      </c>
      <c r="Y3143" t="str" cm="1">
        <f t="array" aca="1" ref="Y3143" ca="1">IFERROR(_xlfn.XLOOKUP(COMPROMISOS_2025[[#This Row],[concatenado]],PAA[[#All],[RCP-RUBRO]],PAA[[#All],[Actividad3]],VLOOKUP(COMPROMISOS_2025[[#This Row],[Indicador Principal]],$AC$2:$AD$17,2,0),0),"")</f>
        <v/>
      </c>
    </row>
    <row r="3144" spans="1:25" hidden="1" x14ac:dyDescent="0.25">
      <c r="A3144">
        <v>107</v>
      </c>
      <c r="B3144" t="s">
        <v>4656</v>
      </c>
      <c r="C3144" t="s">
        <v>2411</v>
      </c>
      <c r="D3144" t="s">
        <v>2414</v>
      </c>
      <c r="E3144" t="s">
        <v>4657</v>
      </c>
      <c r="F3144">
        <v>43</v>
      </c>
      <c r="G3144">
        <v>87</v>
      </c>
      <c r="H3144" t="s">
        <v>249</v>
      </c>
      <c r="I3144" t="s">
        <v>2412</v>
      </c>
      <c r="J3144">
        <v>39614813</v>
      </c>
      <c r="K3144">
        <v>2025</v>
      </c>
      <c r="L3144">
        <v>11522211626</v>
      </c>
      <c r="M3144" t="s">
        <v>4658</v>
      </c>
      <c r="N3144" t="s">
        <v>1688</v>
      </c>
      <c r="O3144" t="s">
        <v>1686</v>
      </c>
      <c r="P3144">
        <v>0</v>
      </c>
      <c r="Q3144">
        <v>12034880</v>
      </c>
      <c r="R3144">
        <v>0</v>
      </c>
      <c r="S3144">
        <v>27579933</v>
      </c>
      <c r="T3144" t="str">
        <f t="shared" si="98"/>
        <v>1074.43.4302.75.0-101024.2.3.2.02.02.008.20.</v>
      </c>
      <c r="U3144" t="e" cm="1">
        <f t="array" aca="1" ref="U3144" ca="1">+IF(COMPROMISOS_2025[[#This Row],[P]]="20","41080111",_xlfn.XLOOKUP(COMPROMISOS_2025[[#This Row],[concatenado]],PAA[[#All],[RCP-RUBRO]],PAA[[#All],[INDICADOR]],"",0))</f>
        <v>#NAME?</v>
      </c>
      <c r="V3144" s="144" t="str">
        <f t="shared" si="99"/>
        <v>75</v>
      </c>
      <c r="W3144" s="136">
        <f>+COMPROMISOS_2025[[#This Row],[valor_total]]-COMPROMISOS_2025[[#This Row],[total_cancelado]]</f>
        <v>39614813</v>
      </c>
      <c r="X3144" s="136">
        <f>COMPROMISOS_2025[[#This Row],[total_ordenes]]</f>
        <v>12034880</v>
      </c>
      <c r="Y3144" t="str" cm="1">
        <f t="array" aca="1" ref="Y3144" ca="1">IFERROR(_xlfn.XLOOKUP(COMPROMISOS_2025[[#This Row],[concatenado]],PAA[[#All],[RCP-RUBRO]],PAA[[#All],[Actividad3]],VLOOKUP(COMPROMISOS_2025[[#This Row],[Indicador Principal]],$AC$2:$AD$17,2,0),0),"")</f>
        <v/>
      </c>
    </row>
    <row r="3145" spans="1:25" hidden="1" x14ac:dyDescent="0.25">
      <c r="A3145">
        <v>434</v>
      </c>
      <c r="B3145" t="s">
        <v>4659</v>
      </c>
      <c r="C3145" t="s">
        <v>2411</v>
      </c>
      <c r="D3145" t="s">
        <v>2416</v>
      </c>
      <c r="E3145" t="s">
        <v>4660</v>
      </c>
      <c r="F3145">
        <v>71</v>
      </c>
      <c r="G3145">
        <v>87</v>
      </c>
      <c r="H3145" t="s">
        <v>249</v>
      </c>
      <c r="I3145" t="s">
        <v>2412</v>
      </c>
      <c r="J3145">
        <v>76585600</v>
      </c>
      <c r="K3145">
        <v>2025</v>
      </c>
      <c r="L3145">
        <v>1020399010</v>
      </c>
      <c r="M3145" t="s">
        <v>4661</v>
      </c>
      <c r="N3145" t="s">
        <v>1688</v>
      </c>
      <c r="O3145" t="s">
        <v>1686</v>
      </c>
      <c r="P3145">
        <v>0</v>
      </c>
      <c r="Q3145">
        <v>0</v>
      </c>
      <c r="R3145">
        <v>0</v>
      </c>
      <c r="S3145">
        <v>76585600</v>
      </c>
      <c r="T3145" t="str">
        <f t="shared" si="98"/>
        <v>4344.43.4302.75.0-101024.2.3.2.02.02.008.20.</v>
      </c>
      <c r="U3145" t="e" cm="1">
        <f t="array" aca="1" ref="U3145" ca="1">+IF(COMPROMISOS_2025[[#This Row],[P]]="20","41080111",_xlfn.XLOOKUP(COMPROMISOS_2025[[#This Row],[concatenado]],PAA[[#All],[RCP-RUBRO]],PAA[[#All],[INDICADOR]],"",0))</f>
        <v>#NAME?</v>
      </c>
      <c r="V3145" s="144" t="str">
        <f t="shared" si="99"/>
        <v>75</v>
      </c>
      <c r="W3145" s="136">
        <f>+COMPROMISOS_2025[[#This Row],[valor_total]]-COMPROMISOS_2025[[#This Row],[total_cancelado]]</f>
        <v>76585600</v>
      </c>
      <c r="X3145" s="136">
        <f>COMPROMISOS_2025[[#This Row],[total_ordenes]]</f>
        <v>0</v>
      </c>
      <c r="Y3145" t="str" cm="1">
        <f t="array" aca="1" ref="Y3145" ca="1">IFERROR(_xlfn.XLOOKUP(COMPROMISOS_2025[[#This Row],[concatenado]],PAA[[#All],[RCP-RUBRO]],PAA[[#All],[Actividad3]],VLOOKUP(COMPROMISOS_2025[[#This Row],[Indicador Principal]],$AC$2:$AD$17,2,0),0),"")</f>
        <v/>
      </c>
    </row>
    <row r="3146" spans="1:25" hidden="1" x14ac:dyDescent="0.25">
      <c r="A3146">
        <v>445</v>
      </c>
      <c r="B3146" t="s">
        <v>4662</v>
      </c>
      <c r="C3146" t="s">
        <v>2411</v>
      </c>
      <c r="D3146" t="s">
        <v>2418</v>
      </c>
      <c r="E3146" t="s">
        <v>4663</v>
      </c>
      <c r="F3146">
        <v>338</v>
      </c>
      <c r="G3146">
        <v>87</v>
      </c>
      <c r="H3146" t="s">
        <v>249</v>
      </c>
      <c r="I3146" t="s">
        <v>2412</v>
      </c>
      <c r="J3146">
        <v>37609000</v>
      </c>
      <c r="K3146">
        <v>2025</v>
      </c>
      <c r="L3146">
        <v>431629607</v>
      </c>
      <c r="M3146" t="s">
        <v>4664</v>
      </c>
      <c r="N3146" t="s">
        <v>1688</v>
      </c>
      <c r="O3146" t="s">
        <v>1686</v>
      </c>
      <c r="P3146">
        <v>0</v>
      </c>
      <c r="Q3146">
        <v>0</v>
      </c>
      <c r="R3146">
        <v>0</v>
      </c>
      <c r="S3146">
        <v>37609000</v>
      </c>
      <c r="T3146" t="str">
        <f t="shared" si="98"/>
        <v>4454.43.4302.75.0-101024.2.3.2.02.02.008.20.</v>
      </c>
      <c r="U3146" t="e" cm="1">
        <f t="array" aca="1" ref="U3146" ca="1">+IF(COMPROMISOS_2025[[#This Row],[P]]="20","41080111",_xlfn.XLOOKUP(COMPROMISOS_2025[[#This Row],[concatenado]],PAA[[#All],[RCP-RUBRO]],PAA[[#All],[INDICADOR]],"",0))</f>
        <v>#NAME?</v>
      </c>
      <c r="V3146" s="144" t="str">
        <f t="shared" si="99"/>
        <v>75</v>
      </c>
      <c r="W3146" s="136">
        <f>+COMPROMISOS_2025[[#This Row],[valor_total]]-COMPROMISOS_2025[[#This Row],[total_cancelado]]</f>
        <v>37609000</v>
      </c>
      <c r="X3146" s="136">
        <f>COMPROMISOS_2025[[#This Row],[total_ordenes]]</f>
        <v>0</v>
      </c>
      <c r="Y3146" t="str" cm="1">
        <f t="array" aca="1" ref="Y3146" ca="1">IFERROR(_xlfn.XLOOKUP(COMPROMISOS_2025[[#This Row],[concatenado]],PAA[[#All],[RCP-RUBRO]],PAA[[#All],[Actividad3]],VLOOKUP(COMPROMISOS_2025[[#This Row],[Indicador Principal]],$AC$2:$AD$17,2,0),0),"")</f>
        <v/>
      </c>
    </row>
    <row r="3147" spans="1:25" hidden="1" x14ac:dyDescent="0.25">
      <c r="A3147">
        <v>2849</v>
      </c>
      <c r="B3147" t="s">
        <v>2682</v>
      </c>
      <c r="C3147" t="s">
        <v>1775</v>
      </c>
      <c r="D3147" t="s">
        <v>1774</v>
      </c>
      <c r="E3147" t="s">
        <v>2683</v>
      </c>
      <c r="F3147">
        <v>382</v>
      </c>
      <c r="G3147">
        <v>94</v>
      </c>
      <c r="H3147" t="s">
        <v>766</v>
      </c>
      <c r="I3147" t="s">
        <v>2422</v>
      </c>
      <c r="J3147">
        <v>302240700</v>
      </c>
      <c r="K3147">
        <v>2025</v>
      </c>
      <c r="L3147">
        <v>9002857044</v>
      </c>
      <c r="M3147" t="s">
        <v>2684</v>
      </c>
      <c r="N3147" t="s">
        <v>1688</v>
      </c>
      <c r="O3147" t="s">
        <v>1686</v>
      </c>
      <c r="P3147">
        <v>0</v>
      </c>
      <c r="Q3147">
        <v>0</v>
      </c>
      <c r="R3147">
        <v>0</v>
      </c>
      <c r="S3147">
        <v>302240700</v>
      </c>
      <c r="T3147" t="str">
        <f t="shared" si="98"/>
        <v>28494.43.4302.75.0-205128.2.3.2.02.02.006.04.</v>
      </c>
      <c r="U3147" t="e" cm="1">
        <f t="array" aca="1" ref="U3147" ca="1">+IF(COMPROMISOS_2025[[#This Row],[P]]="20","41080111",_xlfn.XLOOKUP(COMPROMISOS_2025[[#This Row],[concatenado]],PAA[[#All],[RCP-RUBRO]],PAA[[#All],[INDICADOR]],"",0))</f>
        <v>#NAME?</v>
      </c>
      <c r="V3147" s="144" t="str">
        <f t="shared" si="99"/>
        <v>75</v>
      </c>
      <c r="W3147" s="136">
        <f>+COMPROMISOS_2025[[#This Row],[valor_total]]-COMPROMISOS_2025[[#This Row],[total_cancelado]]</f>
        <v>302240700</v>
      </c>
      <c r="X3147" s="136">
        <f>COMPROMISOS_2025[[#This Row],[total_ordenes]]</f>
        <v>0</v>
      </c>
      <c r="Y3147" t="str" cm="1">
        <f t="array" aca="1" ref="Y3147" ca="1">IFERROR(_xlfn.XLOOKUP(COMPROMISOS_2025[[#This Row],[concatenado]],PAA[[#All],[RCP-RUBRO]],PAA[[#All],[Actividad3]],VLOOKUP(COMPROMISOS_2025[[#This Row],[Indicador Principal]],$AC$2:$AD$17,2,0),0),"")</f>
        <v/>
      </c>
    </row>
    <row r="3148" spans="1:25" hidden="1" x14ac:dyDescent="0.25">
      <c r="A3148">
        <v>103</v>
      </c>
      <c r="B3148" t="s">
        <v>4665</v>
      </c>
      <c r="C3148" t="s">
        <v>2411</v>
      </c>
      <c r="D3148" t="s">
        <v>2433</v>
      </c>
      <c r="E3148" t="s">
        <v>4666</v>
      </c>
      <c r="F3148">
        <v>41</v>
      </c>
      <c r="G3148">
        <v>92</v>
      </c>
      <c r="H3148" t="s">
        <v>259</v>
      </c>
      <c r="I3148" t="s">
        <v>2427</v>
      </c>
      <c r="J3148">
        <v>39614813</v>
      </c>
      <c r="K3148">
        <v>2025</v>
      </c>
      <c r="L3148">
        <v>1042063929</v>
      </c>
      <c r="M3148" t="s">
        <v>4667</v>
      </c>
      <c r="N3148" t="s">
        <v>1688</v>
      </c>
      <c r="O3148" t="s">
        <v>1686</v>
      </c>
      <c r="P3148">
        <v>0</v>
      </c>
      <c r="Q3148">
        <v>13077589</v>
      </c>
      <c r="R3148">
        <v>0</v>
      </c>
      <c r="S3148">
        <v>26537224</v>
      </c>
      <c r="T3148" t="str">
        <f t="shared" si="98"/>
        <v>1034.43.4302.76.0-205128.2.3.2.02.02.008.21.</v>
      </c>
      <c r="U3148" t="e" cm="1">
        <f t="array" aca="1" ref="U3148" ca="1">+IF(COMPROMISOS_2025[[#This Row],[P]]="20","41080111",_xlfn.XLOOKUP(COMPROMISOS_2025[[#This Row],[concatenado]],PAA[[#All],[RCP-RUBRO]],PAA[[#All],[INDICADOR]],"",0))</f>
        <v>#NAME?</v>
      </c>
      <c r="V3148" s="144" t="str">
        <f t="shared" si="99"/>
        <v>76</v>
      </c>
      <c r="W3148" s="136">
        <f>+COMPROMISOS_2025[[#This Row],[valor_total]]-COMPROMISOS_2025[[#This Row],[total_cancelado]]</f>
        <v>39614813</v>
      </c>
      <c r="X3148" s="136">
        <f>COMPROMISOS_2025[[#This Row],[total_ordenes]]</f>
        <v>13077589</v>
      </c>
      <c r="Y3148" t="str" cm="1">
        <f t="array" aca="1" ref="Y3148" ca="1">IFERROR(_xlfn.XLOOKUP(COMPROMISOS_2025[[#This Row],[concatenado]],PAA[[#All],[RCP-RUBRO]],PAA[[#All],[Actividad3]],VLOOKUP(COMPROMISOS_2025[[#This Row],[Indicador Principal]],$AC$2:$AD$17,2,0),0),"")</f>
        <v/>
      </c>
    </row>
    <row r="3149" spans="1:25" hidden="1" x14ac:dyDescent="0.25">
      <c r="A3149">
        <v>105</v>
      </c>
      <c r="B3149" t="s">
        <v>4668</v>
      </c>
      <c r="C3149" t="s">
        <v>2411</v>
      </c>
      <c r="D3149" t="s">
        <v>2437</v>
      </c>
      <c r="E3149" t="s">
        <v>4669</v>
      </c>
      <c r="F3149">
        <v>44</v>
      </c>
      <c r="G3149">
        <v>92</v>
      </c>
      <c r="H3149" t="s">
        <v>259</v>
      </c>
      <c r="I3149" t="s">
        <v>2427</v>
      </c>
      <c r="J3149">
        <v>39614813</v>
      </c>
      <c r="K3149">
        <v>2025</v>
      </c>
      <c r="L3149">
        <v>33774342</v>
      </c>
      <c r="M3149" t="s">
        <v>4670</v>
      </c>
      <c r="N3149" t="s">
        <v>1688</v>
      </c>
      <c r="O3149" t="s">
        <v>1686</v>
      </c>
      <c r="P3149">
        <v>0</v>
      </c>
      <c r="Q3149">
        <v>13140220</v>
      </c>
      <c r="R3149">
        <v>0</v>
      </c>
      <c r="S3149">
        <v>26474593</v>
      </c>
      <c r="T3149" t="str">
        <f t="shared" si="98"/>
        <v>1054.43.4302.76.0-205128.2.3.2.02.02.008.21.</v>
      </c>
      <c r="U3149" t="e" cm="1">
        <f t="array" aca="1" ref="U3149" ca="1">+IF(COMPROMISOS_2025[[#This Row],[P]]="20","41080111",_xlfn.XLOOKUP(COMPROMISOS_2025[[#This Row],[concatenado]],PAA[[#All],[RCP-RUBRO]],PAA[[#All],[INDICADOR]],"",0))</f>
        <v>#NAME?</v>
      </c>
      <c r="V3149" s="144" t="str">
        <f t="shared" si="99"/>
        <v>76</v>
      </c>
      <c r="W3149" s="136">
        <f>+COMPROMISOS_2025[[#This Row],[valor_total]]-COMPROMISOS_2025[[#This Row],[total_cancelado]]</f>
        <v>39614813</v>
      </c>
      <c r="X3149" s="136">
        <f>COMPROMISOS_2025[[#This Row],[total_ordenes]]</f>
        <v>13140220</v>
      </c>
      <c r="Y3149" t="str" cm="1">
        <f t="array" aca="1" ref="Y3149" ca="1">IFERROR(_xlfn.XLOOKUP(COMPROMISOS_2025[[#This Row],[concatenado]],PAA[[#All],[RCP-RUBRO]],PAA[[#All],[Actividad3]],VLOOKUP(COMPROMISOS_2025[[#This Row],[Indicador Principal]],$AC$2:$AD$17,2,0),0),"")</f>
        <v/>
      </c>
    </row>
    <row r="3150" spans="1:25" hidden="1" x14ac:dyDescent="0.25">
      <c r="A3150">
        <v>113</v>
      </c>
      <c r="B3150" t="s">
        <v>4671</v>
      </c>
      <c r="C3150" t="s">
        <v>2411</v>
      </c>
      <c r="D3150" t="s">
        <v>2426</v>
      </c>
      <c r="E3150" t="s">
        <v>4672</v>
      </c>
      <c r="F3150">
        <v>28</v>
      </c>
      <c r="G3150">
        <v>92</v>
      </c>
      <c r="H3150" t="s">
        <v>259</v>
      </c>
      <c r="I3150" t="s">
        <v>2427</v>
      </c>
      <c r="J3150">
        <v>39614813</v>
      </c>
      <c r="K3150">
        <v>2025</v>
      </c>
      <c r="L3150">
        <v>10401828059</v>
      </c>
      <c r="M3150" t="s">
        <v>4673</v>
      </c>
      <c r="N3150" t="s">
        <v>1688</v>
      </c>
      <c r="O3150" t="s">
        <v>1686</v>
      </c>
      <c r="P3150">
        <v>0</v>
      </c>
      <c r="Q3150">
        <v>12034880</v>
      </c>
      <c r="R3150">
        <v>0</v>
      </c>
      <c r="S3150">
        <v>27579933</v>
      </c>
      <c r="T3150" t="str">
        <f t="shared" si="98"/>
        <v>1134.43.4302.76.0-205128.2.3.2.02.02.008.21.</v>
      </c>
      <c r="U3150" t="e" cm="1">
        <f t="array" aca="1" ref="U3150" ca="1">+IF(COMPROMISOS_2025[[#This Row],[P]]="20","41080111",_xlfn.XLOOKUP(COMPROMISOS_2025[[#This Row],[concatenado]],PAA[[#All],[RCP-RUBRO]],PAA[[#All],[INDICADOR]],"",0))</f>
        <v>#NAME?</v>
      </c>
      <c r="V3150" s="144" t="str">
        <f t="shared" si="99"/>
        <v>76</v>
      </c>
      <c r="W3150" s="136">
        <f>+COMPROMISOS_2025[[#This Row],[valor_total]]-COMPROMISOS_2025[[#This Row],[total_cancelado]]</f>
        <v>39614813</v>
      </c>
      <c r="X3150" s="136">
        <f>COMPROMISOS_2025[[#This Row],[total_ordenes]]</f>
        <v>12034880</v>
      </c>
      <c r="Y3150" t="str" cm="1">
        <f t="array" aca="1" ref="Y3150" ca="1">IFERROR(_xlfn.XLOOKUP(COMPROMISOS_2025[[#This Row],[concatenado]],PAA[[#All],[RCP-RUBRO]],PAA[[#All],[Actividad3]],VLOOKUP(COMPROMISOS_2025[[#This Row],[Indicador Principal]],$AC$2:$AD$17,2,0),0),"")</f>
        <v/>
      </c>
    </row>
    <row r="3151" spans="1:25" hidden="1" x14ac:dyDescent="0.25">
      <c r="A3151">
        <v>115</v>
      </c>
      <c r="B3151" t="s">
        <v>4674</v>
      </c>
      <c r="C3151" t="s">
        <v>2411</v>
      </c>
      <c r="D3151" t="s">
        <v>2429</v>
      </c>
      <c r="E3151" t="s">
        <v>4675</v>
      </c>
      <c r="F3151">
        <v>39</v>
      </c>
      <c r="G3151">
        <v>92</v>
      </c>
      <c r="H3151" t="s">
        <v>259</v>
      </c>
      <c r="I3151" t="s">
        <v>2427</v>
      </c>
      <c r="J3151">
        <v>39614813</v>
      </c>
      <c r="K3151">
        <v>2025</v>
      </c>
      <c r="L3151">
        <v>12169719423</v>
      </c>
      <c r="M3151" t="s">
        <v>4676</v>
      </c>
      <c r="N3151" t="s">
        <v>1688</v>
      </c>
      <c r="O3151" t="s">
        <v>1686</v>
      </c>
      <c r="P3151">
        <v>0</v>
      </c>
      <c r="Q3151">
        <v>12034880</v>
      </c>
      <c r="R3151">
        <v>0</v>
      </c>
      <c r="S3151">
        <v>27579933</v>
      </c>
      <c r="T3151" t="str">
        <f t="shared" si="98"/>
        <v>1154.43.4302.76.0-205128.2.3.2.02.02.008.21.</v>
      </c>
      <c r="U3151" t="e" cm="1">
        <f t="array" aca="1" ref="U3151" ca="1">+IF(COMPROMISOS_2025[[#This Row],[P]]="20","41080111",_xlfn.XLOOKUP(COMPROMISOS_2025[[#This Row],[concatenado]],PAA[[#All],[RCP-RUBRO]],PAA[[#All],[INDICADOR]],"",0))</f>
        <v>#NAME?</v>
      </c>
      <c r="V3151" s="144" t="str">
        <f t="shared" si="99"/>
        <v>76</v>
      </c>
      <c r="W3151" s="136">
        <f>+COMPROMISOS_2025[[#This Row],[valor_total]]-COMPROMISOS_2025[[#This Row],[total_cancelado]]</f>
        <v>39614813</v>
      </c>
      <c r="X3151" s="136">
        <f>COMPROMISOS_2025[[#This Row],[total_ordenes]]</f>
        <v>12034880</v>
      </c>
      <c r="Y3151" t="str" cm="1">
        <f t="array" aca="1" ref="Y3151" ca="1">IFERROR(_xlfn.XLOOKUP(COMPROMISOS_2025[[#This Row],[concatenado]],PAA[[#All],[RCP-RUBRO]],PAA[[#All],[Actividad3]],VLOOKUP(COMPROMISOS_2025[[#This Row],[Indicador Principal]],$AC$2:$AD$17,2,0),0),"")</f>
        <v/>
      </c>
    </row>
    <row r="3152" spans="1:25" hidden="1" x14ac:dyDescent="0.25">
      <c r="A3152">
        <v>116</v>
      </c>
      <c r="B3152" t="s">
        <v>4677</v>
      </c>
      <c r="C3152" t="s">
        <v>2411</v>
      </c>
      <c r="D3152" t="s">
        <v>2435</v>
      </c>
      <c r="E3152" t="s">
        <v>4678</v>
      </c>
      <c r="F3152">
        <v>42</v>
      </c>
      <c r="G3152">
        <v>92</v>
      </c>
      <c r="H3152" t="s">
        <v>259</v>
      </c>
      <c r="I3152" t="s">
        <v>2427</v>
      </c>
      <c r="J3152">
        <v>39614813</v>
      </c>
      <c r="K3152">
        <v>2025</v>
      </c>
      <c r="L3152">
        <v>1036951700</v>
      </c>
      <c r="M3152" t="s">
        <v>4679</v>
      </c>
      <c r="N3152" t="s">
        <v>1688</v>
      </c>
      <c r="O3152" t="s">
        <v>1686</v>
      </c>
      <c r="P3152">
        <v>0</v>
      </c>
      <c r="Q3152">
        <v>12547649</v>
      </c>
      <c r="R3152">
        <v>0</v>
      </c>
      <c r="S3152">
        <v>27067164</v>
      </c>
      <c r="T3152" t="str">
        <f t="shared" si="98"/>
        <v>1164.43.4302.76.0-205128.2.3.2.02.02.008.21.</v>
      </c>
      <c r="U3152" t="e" cm="1">
        <f t="array" aca="1" ref="U3152" ca="1">+IF(COMPROMISOS_2025[[#This Row],[P]]="20","41080111",_xlfn.XLOOKUP(COMPROMISOS_2025[[#This Row],[concatenado]],PAA[[#All],[RCP-RUBRO]],PAA[[#All],[INDICADOR]],"",0))</f>
        <v>#NAME?</v>
      </c>
      <c r="V3152" s="144" t="str">
        <f t="shared" si="99"/>
        <v>76</v>
      </c>
      <c r="W3152" s="136">
        <f>+COMPROMISOS_2025[[#This Row],[valor_total]]-COMPROMISOS_2025[[#This Row],[total_cancelado]]</f>
        <v>39614813</v>
      </c>
      <c r="X3152" s="136">
        <f>COMPROMISOS_2025[[#This Row],[total_ordenes]]</f>
        <v>12547649</v>
      </c>
      <c r="Y3152" t="str" cm="1">
        <f t="array" aca="1" ref="Y3152" ca="1">IFERROR(_xlfn.XLOOKUP(COMPROMISOS_2025[[#This Row],[concatenado]],PAA[[#All],[RCP-RUBRO]],PAA[[#All],[Actividad3]],VLOOKUP(COMPROMISOS_2025[[#This Row],[Indicador Principal]],$AC$2:$AD$17,2,0),0),"")</f>
        <v/>
      </c>
    </row>
    <row r="3153" spans="1:25" hidden="1" x14ac:dyDescent="0.25">
      <c r="A3153">
        <v>120</v>
      </c>
      <c r="B3153" t="s">
        <v>4680</v>
      </c>
      <c r="C3153" t="s">
        <v>2411</v>
      </c>
      <c r="D3153" t="s">
        <v>2431</v>
      </c>
      <c r="E3153" t="s">
        <v>4681</v>
      </c>
      <c r="F3153">
        <v>40</v>
      </c>
      <c r="G3153">
        <v>92</v>
      </c>
      <c r="H3153" t="s">
        <v>259</v>
      </c>
      <c r="I3153" t="s">
        <v>2427</v>
      </c>
      <c r="J3153">
        <v>39614813</v>
      </c>
      <c r="K3153">
        <v>2025</v>
      </c>
      <c r="L3153">
        <v>11522084096</v>
      </c>
      <c r="M3153" t="s">
        <v>4682</v>
      </c>
      <c r="N3153" t="s">
        <v>1688</v>
      </c>
      <c r="O3153" t="s">
        <v>1686</v>
      </c>
      <c r="P3153">
        <v>0</v>
      </c>
      <c r="Q3153">
        <v>12034880</v>
      </c>
      <c r="R3153">
        <v>0</v>
      </c>
      <c r="S3153">
        <v>27579933</v>
      </c>
      <c r="T3153" t="str">
        <f t="shared" si="98"/>
        <v>1204.43.4302.76.0-205128.2.3.2.02.02.008.21.</v>
      </c>
      <c r="U3153" t="e" cm="1">
        <f t="array" aca="1" ref="U3153" ca="1">+IF(COMPROMISOS_2025[[#This Row],[P]]="20","41080111",_xlfn.XLOOKUP(COMPROMISOS_2025[[#This Row],[concatenado]],PAA[[#All],[RCP-RUBRO]],PAA[[#All],[INDICADOR]],"",0))</f>
        <v>#NAME?</v>
      </c>
      <c r="V3153" s="144" t="str">
        <f t="shared" si="99"/>
        <v>76</v>
      </c>
      <c r="W3153" s="136">
        <f>+COMPROMISOS_2025[[#This Row],[valor_total]]-COMPROMISOS_2025[[#This Row],[total_cancelado]]</f>
        <v>39614813</v>
      </c>
      <c r="X3153" s="136">
        <f>COMPROMISOS_2025[[#This Row],[total_ordenes]]</f>
        <v>12034880</v>
      </c>
      <c r="Y3153" t="str" cm="1">
        <f t="array" aca="1" ref="Y3153" ca="1">IFERROR(_xlfn.XLOOKUP(COMPROMISOS_2025[[#This Row],[concatenado]],PAA[[#All],[RCP-RUBRO]],PAA[[#All],[Actividad3]],VLOOKUP(COMPROMISOS_2025[[#This Row],[Indicador Principal]],$AC$2:$AD$17,2,0),0),"")</f>
        <v/>
      </c>
    </row>
  </sheetData>
  <pageMargins left="0.7" right="0.7" top="0.75" bottom="0.75" header="0.3" footer="0.3"/>
  <pageSetup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6"/>
  <sheetViews>
    <sheetView topLeftCell="A97" workbookViewId="0">
      <selection activeCell="C106" sqref="A106:C106"/>
    </sheetView>
  </sheetViews>
  <sheetFormatPr baseColWidth="10" defaultColWidth="11.42578125" defaultRowHeight="15" x14ac:dyDescent="0.25"/>
  <cols>
    <col min="1" max="1" width="44.28515625" customWidth="1"/>
    <col min="2" max="2" width="49.5703125" customWidth="1"/>
    <col min="3" max="3" width="13.42578125" customWidth="1"/>
  </cols>
  <sheetData>
    <row r="1" spans="1:3" x14ac:dyDescent="0.25">
      <c r="A1" t="s">
        <v>4683</v>
      </c>
      <c r="B1" t="s">
        <v>4684</v>
      </c>
      <c r="C1" t="s">
        <v>4685</v>
      </c>
    </row>
    <row r="2" spans="1:3" x14ac:dyDescent="0.25">
      <c r="A2" t="s">
        <v>45</v>
      </c>
      <c r="B2" t="s">
        <v>1687</v>
      </c>
      <c r="C2">
        <v>1</v>
      </c>
    </row>
    <row r="3" spans="1:3" x14ac:dyDescent="0.25">
      <c r="A3" t="s">
        <v>50</v>
      </c>
      <c r="B3" t="s">
        <v>1701</v>
      </c>
      <c r="C3">
        <v>2</v>
      </c>
    </row>
    <row r="4" spans="1:3" x14ac:dyDescent="0.25">
      <c r="A4" t="s">
        <v>52</v>
      </c>
      <c r="B4" t="s">
        <v>1704</v>
      </c>
      <c r="C4">
        <v>3</v>
      </c>
    </row>
    <row r="5" spans="1:3" x14ac:dyDescent="0.25">
      <c r="A5" t="s">
        <v>60</v>
      </c>
      <c r="B5" t="s">
        <v>1710</v>
      </c>
      <c r="C5">
        <v>4</v>
      </c>
    </row>
    <row r="6" spans="1:3" x14ac:dyDescent="0.25">
      <c r="A6" t="s">
        <v>56</v>
      </c>
      <c r="B6" t="s">
        <v>1711</v>
      </c>
      <c r="C6">
        <v>5</v>
      </c>
    </row>
    <row r="7" spans="1:3" x14ac:dyDescent="0.25">
      <c r="A7" t="s">
        <v>58</v>
      </c>
      <c r="B7" t="s">
        <v>1712</v>
      </c>
      <c r="C7">
        <v>6</v>
      </c>
    </row>
    <row r="8" spans="1:3" x14ac:dyDescent="0.25">
      <c r="A8" t="s">
        <v>54</v>
      </c>
      <c r="B8" t="s">
        <v>1715</v>
      </c>
      <c r="C8">
        <v>7</v>
      </c>
    </row>
    <row r="9" spans="1:3" x14ac:dyDescent="0.25">
      <c r="A9" t="s">
        <v>62</v>
      </c>
      <c r="B9" t="s">
        <v>1721</v>
      </c>
      <c r="C9">
        <v>8</v>
      </c>
    </row>
    <row r="10" spans="1:3" x14ac:dyDescent="0.25">
      <c r="A10" t="s">
        <v>64</v>
      </c>
      <c r="B10" t="s">
        <v>1724</v>
      </c>
      <c r="C10">
        <v>9</v>
      </c>
    </row>
    <row r="11" spans="1:3" x14ac:dyDescent="0.25">
      <c r="A11" t="s">
        <v>66</v>
      </c>
      <c r="B11" t="s">
        <v>1727</v>
      </c>
      <c r="C11">
        <v>10</v>
      </c>
    </row>
    <row r="12" spans="1:3" x14ac:dyDescent="0.25">
      <c r="A12" t="s">
        <v>68</v>
      </c>
      <c r="B12" t="s">
        <v>1735</v>
      </c>
      <c r="C12">
        <v>11</v>
      </c>
    </row>
    <row r="13" spans="1:3" x14ac:dyDescent="0.25">
      <c r="A13" t="s">
        <v>70</v>
      </c>
      <c r="B13" t="s">
        <v>1738</v>
      </c>
      <c r="C13">
        <v>12</v>
      </c>
    </row>
    <row r="14" spans="1:3" x14ac:dyDescent="0.25">
      <c r="A14" t="s">
        <v>72</v>
      </c>
      <c r="B14" t="s">
        <v>1739</v>
      </c>
      <c r="C14">
        <v>13</v>
      </c>
    </row>
    <row r="15" spans="1:3" x14ac:dyDescent="0.25">
      <c r="A15" t="s">
        <v>74</v>
      </c>
      <c r="B15" t="s">
        <v>1740</v>
      </c>
      <c r="C15">
        <v>14</v>
      </c>
    </row>
    <row r="16" spans="1:3" x14ac:dyDescent="0.25">
      <c r="A16" t="s">
        <v>76</v>
      </c>
      <c r="B16" t="s">
        <v>1741</v>
      </c>
      <c r="C16">
        <v>15</v>
      </c>
    </row>
    <row r="17" spans="1:3" x14ac:dyDescent="0.25">
      <c r="A17" t="s">
        <v>78</v>
      </c>
      <c r="B17" t="s">
        <v>4686</v>
      </c>
      <c r="C17">
        <v>16</v>
      </c>
    </row>
    <row r="18" spans="1:3" x14ac:dyDescent="0.25">
      <c r="A18" t="s">
        <v>80</v>
      </c>
      <c r="B18" t="s">
        <v>1742</v>
      </c>
      <c r="C18">
        <v>17</v>
      </c>
    </row>
    <row r="19" spans="1:3" x14ac:dyDescent="0.25">
      <c r="A19" t="s">
        <v>82</v>
      </c>
      <c r="B19" t="s">
        <v>4687</v>
      </c>
      <c r="C19">
        <v>18</v>
      </c>
    </row>
    <row r="20" spans="1:3" x14ac:dyDescent="0.25">
      <c r="A20" t="s">
        <v>84</v>
      </c>
      <c r="B20" t="s">
        <v>1745</v>
      </c>
      <c r="C20">
        <v>19</v>
      </c>
    </row>
    <row r="21" spans="1:3" x14ac:dyDescent="0.25">
      <c r="A21" t="s">
        <v>86</v>
      </c>
      <c r="B21" t="s">
        <v>1753</v>
      </c>
      <c r="C21">
        <v>20</v>
      </c>
    </row>
    <row r="22" spans="1:3" x14ac:dyDescent="0.25">
      <c r="A22" t="s">
        <v>88</v>
      </c>
      <c r="B22" t="s">
        <v>4688</v>
      </c>
      <c r="C22">
        <v>21</v>
      </c>
    </row>
    <row r="23" spans="1:3" x14ac:dyDescent="0.25">
      <c r="A23" t="s">
        <v>90</v>
      </c>
      <c r="B23" t="s">
        <v>4689</v>
      </c>
      <c r="C23">
        <v>22</v>
      </c>
    </row>
    <row r="24" spans="1:3" x14ac:dyDescent="0.25">
      <c r="A24" t="s">
        <v>92</v>
      </c>
      <c r="B24" t="s">
        <v>1756</v>
      </c>
      <c r="C24">
        <v>23</v>
      </c>
    </row>
    <row r="25" spans="1:3" x14ac:dyDescent="0.25">
      <c r="A25" t="s">
        <v>126</v>
      </c>
      <c r="B25" t="s">
        <v>1763</v>
      </c>
      <c r="C25">
        <v>24</v>
      </c>
    </row>
    <row r="26" spans="1:3" x14ac:dyDescent="0.25">
      <c r="A26" t="s">
        <v>128</v>
      </c>
      <c r="B26" t="s">
        <v>1764</v>
      </c>
      <c r="C26">
        <v>25</v>
      </c>
    </row>
    <row r="27" spans="1:3" x14ac:dyDescent="0.25">
      <c r="A27" t="s">
        <v>98</v>
      </c>
      <c r="B27" t="s">
        <v>1767</v>
      </c>
      <c r="C27">
        <v>26</v>
      </c>
    </row>
    <row r="28" spans="1:3" x14ac:dyDescent="0.25">
      <c r="A28" t="s">
        <v>140</v>
      </c>
      <c r="B28" t="s">
        <v>1770</v>
      </c>
      <c r="C28">
        <v>27</v>
      </c>
    </row>
    <row r="29" spans="1:3" x14ac:dyDescent="0.25">
      <c r="A29" t="s">
        <v>100</v>
      </c>
      <c r="B29" t="s">
        <v>1776</v>
      </c>
      <c r="C29">
        <v>28</v>
      </c>
    </row>
    <row r="30" spans="1:3" x14ac:dyDescent="0.25">
      <c r="A30" t="s">
        <v>102</v>
      </c>
      <c r="B30" t="s">
        <v>1777</v>
      </c>
      <c r="C30">
        <v>29</v>
      </c>
    </row>
    <row r="31" spans="1:3" x14ac:dyDescent="0.25">
      <c r="A31" t="s">
        <v>114</v>
      </c>
      <c r="B31" t="s">
        <v>1780</v>
      </c>
      <c r="C31">
        <v>30</v>
      </c>
    </row>
    <row r="32" spans="1:3" x14ac:dyDescent="0.25">
      <c r="A32" t="s">
        <v>104</v>
      </c>
      <c r="B32" t="s">
        <v>1852</v>
      </c>
      <c r="C32">
        <v>31</v>
      </c>
    </row>
    <row r="33" spans="1:3" x14ac:dyDescent="0.25">
      <c r="A33" t="s">
        <v>144</v>
      </c>
      <c r="B33" t="s">
        <v>1855</v>
      </c>
      <c r="C33">
        <v>32</v>
      </c>
    </row>
    <row r="34" spans="1:3" x14ac:dyDescent="0.25">
      <c r="A34" t="s">
        <v>147</v>
      </c>
      <c r="B34" t="s">
        <v>1858</v>
      </c>
      <c r="C34">
        <v>33</v>
      </c>
    </row>
    <row r="35" spans="1:3" x14ac:dyDescent="0.25">
      <c r="A35" t="s">
        <v>159</v>
      </c>
      <c r="B35" t="s">
        <v>1863</v>
      </c>
      <c r="C35">
        <v>34</v>
      </c>
    </row>
    <row r="36" spans="1:3" x14ac:dyDescent="0.25">
      <c r="A36" t="s">
        <v>161</v>
      </c>
      <c r="B36" t="s">
        <v>4690</v>
      </c>
      <c r="C36">
        <v>35</v>
      </c>
    </row>
    <row r="37" spans="1:3" x14ac:dyDescent="0.25">
      <c r="A37" t="s">
        <v>94</v>
      </c>
      <c r="B37" t="s">
        <v>1864</v>
      </c>
      <c r="C37">
        <v>36</v>
      </c>
    </row>
    <row r="38" spans="1:3" x14ac:dyDescent="0.25">
      <c r="A38" t="s">
        <v>96</v>
      </c>
      <c r="B38" t="s">
        <v>4691</v>
      </c>
      <c r="C38">
        <v>37</v>
      </c>
    </row>
    <row r="39" spans="1:3" x14ac:dyDescent="0.25">
      <c r="A39" t="s">
        <v>106</v>
      </c>
      <c r="B39" t="s">
        <v>4692</v>
      </c>
      <c r="C39">
        <v>38</v>
      </c>
    </row>
    <row r="40" spans="1:3" x14ac:dyDescent="0.25">
      <c r="A40" t="s">
        <v>108</v>
      </c>
      <c r="B40" t="s">
        <v>4693</v>
      </c>
      <c r="C40">
        <v>39</v>
      </c>
    </row>
    <row r="41" spans="1:3" x14ac:dyDescent="0.25">
      <c r="A41" t="s">
        <v>116</v>
      </c>
      <c r="B41" t="s">
        <v>4694</v>
      </c>
      <c r="C41">
        <v>40</v>
      </c>
    </row>
    <row r="42" spans="1:3" x14ac:dyDescent="0.25">
      <c r="A42" t="s">
        <v>120</v>
      </c>
      <c r="B42" t="s">
        <v>4695</v>
      </c>
      <c r="C42">
        <v>41</v>
      </c>
    </row>
    <row r="43" spans="1:3" x14ac:dyDescent="0.25">
      <c r="A43" t="s">
        <v>118</v>
      </c>
      <c r="B43" t="s">
        <v>1867</v>
      </c>
      <c r="C43">
        <v>42</v>
      </c>
    </row>
    <row r="44" spans="1:3" x14ac:dyDescent="0.25">
      <c r="A44" t="s">
        <v>110</v>
      </c>
      <c r="B44" t="s">
        <v>1870</v>
      </c>
      <c r="C44">
        <v>43</v>
      </c>
    </row>
    <row r="45" spans="1:3" x14ac:dyDescent="0.25">
      <c r="A45" t="s">
        <v>176</v>
      </c>
      <c r="B45" t="s">
        <v>4696</v>
      </c>
      <c r="C45">
        <v>44</v>
      </c>
    </row>
    <row r="46" spans="1:3" x14ac:dyDescent="0.25">
      <c r="A46" t="s">
        <v>183</v>
      </c>
      <c r="B46" t="s">
        <v>4697</v>
      </c>
      <c r="C46">
        <v>45</v>
      </c>
    </row>
    <row r="47" spans="1:3" x14ac:dyDescent="0.25">
      <c r="A47" t="s">
        <v>180</v>
      </c>
      <c r="B47" t="s">
        <v>1873</v>
      </c>
      <c r="C47">
        <v>46</v>
      </c>
    </row>
    <row r="48" spans="1:3" x14ac:dyDescent="0.25">
      <c r="A48" t="s">
        <v>225</v>
      </c>
      <c r="B48" t="s">
        <v>1878</v>
      </c>
      <c r="C48">
        <v>47</v>
      </c>
    </row>
    <row r="49" spans="1:3" x14ac:dyDescent="0.25">
      <c r="A49" t="s">
        <v>200</v>
      </c>
      <c r="B49" t="s">
        <v>4698</v>
      </c>
      <c r="C49">
        <v>48</v>
      </c>
    </row>
    <row r="50" spans="1:3" x14ac:dyDescent="0.25">
      <c r="A50" t="s">
        <v>234</v>
      </c>
      <c r="B50" t="s">
        <v>1885</v>
      </c>
      <c r="C50">
        <v>49</v>
      </c>
    </row>
    <row r="51" spans="1:3" x14ac:dyDescent="0.25">
      <c r="A51" t="s">
        <v>680</v>
      </c>
      <c r="B51" t="s">
        <v>1889</v>
      </c>
      <c r="C51">
        <v>50</v>
      </c>
    </row>
    <row r="52" spans="1:3" x14ac:dyDescent="0.25">
      <c r="A52" t="s">
        <v>698</v>
      </c>
      <c r="B52" t="s">
        <v>1914</v>
      </c>
      <c r="C52">
        <v>51</v>
      </c>
    </row>
    <row r="53" spans="1:3" x14ac:dyDescent="0.25">
      <c r="A53" t="s">
        <v>219</v>
      </c>
      <c r="B53" t="s">
        <v>4699</v>
      </c>
      <c r="C53">
        <v>52</v>
      </c>
    </row>
    <row r="54" spans="1:3" x14ac:dyDescent="0.25">
      <c r="A54" t="s">
        <v>214</v>
      </c>
      <c r="B54" t="s">
        <v>4700</v>
      </c>
      <c r="C54">
        <v>53</v>
      </c>
    </row>
    <row r="55" spans="1:3" x14ac:dyDescent="0.25">
      <c r="A55" t="s">
        <v>207</v>
      </c>
      <c r="B55" t="s">
        <v>1921</v>
      </c>
      <c r="C55">
        <v>54</v>
      </c>
    </row>
    <row r="56" spans="1:3" x14ac:dyDescent="0.25">
      <c r="A56" t="s">
        <v>166</v>
      </c>
      <c r="B56" t="s">
        <v>1929</v>
      </c>
      <c r="C56">
        <v>55</v>
      </c>
    </row>
    <row r="57" spans="1:3" x14ac:dyDescent="0.25">
      <c r="A57" t="s">
        <v>400</v>
      </c>
      <c r="B57" t="s">
        <v>1937</v>
      </c>
      <c r="C57">
        <v>56</v>
      </c>
    </row>
    <row r="58" spans="1:3" x14ac:dyDescent="0.25">
      <c r="A58" t="s">
        <v>363</v>
      </c>
      <c r="B58" t="s">
        <v>1960</v>
      </c>
      <c r="C58">
        <v>57</v>
      </c>
    </row>
    <row r="59" spans="1:3" x14ac:dyDescent="0.25">
      <c r="A59" t="s">
        <v>417</v>
      </c>
      <c r="B59" t="s">
        <v>4701</v>
      </c>
      <c r="C59">
        <v>58</v>
      </c>
    </row>
    <row r="60" spans="1:3" x14ac:dyDescent="0.25">
      <c r="A60" t="s">
        <v>420</v>
      </c>
      <c r="B60" t="s">
        <v>1980</v>
      </c>
      <c r="C60">
        <v>59</v>
      </c>
    </row>
    <row r="61" spans="1:3" x14ac:dyDescent="0.25">
      <c r="A61" t="s">
        <v>433</v>
      </c>
      <c r="B61" t="s">
        <v>1983</v>
      </c>
      <c r="C61">
        <v>60</v>
      </c>
    </row>
    <row r="62" spans="1:3" x14ac:dyDescent="0.25">
      <c r="A62" t="s">
        <v>634</v>
      </c>
      <c r="B62" t="s">
        <v>2018</v>
      </c>
      <c r="C62">
        <v>61</v>
      </c>
    </row>
    <row r="63" spans="1:3" x14ac:dyDescent="0.25">
      <c r="A63" t="s">
        <v>452</v>
      </c>
      <c r="B63" t="s">
        <v>2018</v>
      </c>
      <c r="C63">
        <v>62</v>
      </c>
    </row>
    <row r="64" spans="1:3" x14ac:dyDescent="0.25">
      <c r="A64" t="s">
        <v>668</v>
      </c>
      <c r="B64" t="s">
        <v>2260</v>
      </c>
      <c r="C64">
        <v>63</v>
      </c>
    </row>
    <row r="65" spans="1:3" x14ac:dyDescent="0.25">
      <c r="A65" t="s">
        <v>672</v>
      </c>
      <c r="B65" t="s">
        <v>2268</v>
      </c>
      <c r="C65">
        <v>64</v>
      </c>
    </row>
    <row r="66" spans="1:3" x14ac:dyDescent="0.25">
      <c r="A66" t="s">
        <v>662</v>
      </c>
      <c r="B66" t="s">
        <v>2271</v>
      </c>
      <c r="C66">
        <v>65</v>
      </c>
    </row>
    <row r="67" spans="1:3" x14ac:dyDescent="0.25">
      <c r="A67" t="s">
        <v>398</v>
      </c>
      <c r="B67" t="s">
        <v>2281</v>
      </c>
      <c r="C67">
        <v>66</v>
      </c>
    </row>
    <row r="68" spans="1:3" x14ac:dyDescent="0.25">
      <c r="A68" t="s">
        <v>675</v>
      </c>
      <c r="B68" t="s">
        <v>4702</v>
      </c>
      <c r="C68">
        <v>67</v>
      </c>
    </row>
    <row r="69" spans="1:3" x14ac:dyDescent="0.25">
      <c r="A69" t="s">
        <v>406</v>
      </c>
      <c r="B69" t="s">
        <v>2281</v>
      </c>
      <c r="C69">
        <v>68</v>
      </c>
    </row>
    <row r="70" spans="1:3" x14ac:dyDescent="0.25">
      <c r="A70" t="s">
        <v>674</v>
      </c>
      <c r="B70" t="s">
        <v>4702</v>
      </c>
      <c r="C70">
        <v>69</v>
      </c>
    </row>
    <row r="71" spans="1:3" x14ac:dyDescent="0.25">
      <c r="A71" t="s">
        <v>266</v>
      </c>
      <c r="B71" t="s">
        <v>2290</v>
      </c>
      <c r="C71">
        <v>70</v>
      </c>
    </row>
    <row r="72" spans="1:3" x14ac:dyDescent="0.25">
      <c r="A72" t="s">
        <v>296</v>
      </c>
      <c r="B72" t="s">
        <v>2311</v>
      </c>
      <c r="C72">
        <v>71</v>
      </c>
    </row>
    <row r="73" spans="1:3" x14ac:dyDescent="0.25">
      <c r="A73" t="s">
        <v>769</v>
      </c>
      <c r="B73" t="s">
        <v>4703</v>
      </c>
      <c r="C73">
        <v>72</v>
      </c>
    </row>
    <row r="74" spans="1:3" x14ac:dyDescent="0.25">
      <c r="A74" t="s">
        <v>284</v>
      </c>
      <c r="B74" t="s">
        <v>2333</v>
      </c>
      <c r="C74">
        <v>73</v>
      </c>
    </row>
    <row r="75" spans="1:3" x14ac:dyDescent="0.25">
      <c r="A75" t="s">
        <v>268</v>
      </c>
      <c r="B75" t="s">
        <v>2353</v>
      </c>
      <c r="C75">
        <v>74</v>
      </c>
    </row>
    <row r="76" spans="1:3" x14ac:dyDescent="0.25">
      <c r="A76" t="s">
        <v>306</v>
      </c>
      <c r="B76" t="s">
        <v>2356</v>
      </c>
      <c r="C76">
        <v>75</v>
      </c>
    </row>
    <row r="77" spans="1:3" x14ac:dyDescent="0.25">
      <c r="A77" t="s">
        <v>303</v>
      </c>
      <c r="B77" t="s">
        <v>4704</v>
      </c>
      <c r="C77">
        <v>76</v>
      </c>
    </row>
    <row r="78" spans="1:3" x14ac:dyDescent="0.25">
      <c r="A78" t="s">
        <v>771</v>
      </c>
      <c r="B78" t="s">
        <v>4705</v>
      </c>
      <c r="C78">
        <v>77</v>
      </c>
    </row>
    <row r="79" spans="1:3" x14ac:dyDescent="0.25">
      <c r="A79" t="s">
        <v>270</v>
      </c>
      <c r="B79" t="s">
        <v>2358</v>
      </c>
      <c r="C79">
        <v>78</v>
      </c>
    </row>
    <row r="80" spans="1:3" x14ac:dyDescent="0.25">
      <c r="A80" t="s">
        <v>308</v>
      </c>
      <c r="B80" t="s">
        <v>2361</v>
      </c>
      <c r="C80">
        <v>79</v>
      </c>
    </row>
    <row r="81" spans="1:3" x14ac:dyDescent="0.25">
      <c r="A81" t="s">
        <v>773</v>
      </c>
      <c r="B81" t="s">
        <v>4706</v>
      </c>
      <c r="C81">
        <v>80</v>
      </c>
    </row>
    <row r="82" spans="1:3" x14ac:dyDescent="0.25">
      <c r="A82" t="s">
        <v>272</v>
      </c>
      <c r="B82" t="s">
        <v>2375</v>
      </c>
      <c r="C82">
        <v>81</v>
      </c>
    </row>
    <row r="83" spans="1:3" x14ac:dyDescent="0.25">
      <c r="A83" t="s">
        <v>315</v>
      </c>
      <c r="B83" t="s">
        <v>2378</v>
      </c>
      <c r="C83">
        <v>82</v>
      </c>
    </row>
    <row r="84" spans="1:3" x14ac:dyDescent="0.25">
      <c r="A84" t="s">
        <v>317</v>
      </c>
      <c r="B84" t="s">
        <v>2378</v>
      </c>
      <c r="C84">
        <v>83</v>
      </c>
    </row>
    <row r="85" spans="1:3" x14ac:dyDescent="0.25">
      <c r="A85" t="s">
        <v>350</v>
      </c>
      <c r="B85" t="s">
        <v>4707</v>
      </c>
      <c r="C85">
        <v>84</v>
      </c>
    </row>
    <row r="86" spans="1:3" x14ac:dyDescent="0.25">
      <c r="A86" t="s">
        <v>274</v>
      </c>
      <c r="B86" t="s">
        <v>2408</v>
      </c>
      <c r="C86">
        <v>85</v>
      </c>
    </row>
    <row r="87" spans="1:3" x14ac:dyDescent="0.25">
      <c r="A87" t="s">
        <v>354</v>
      </c>
      <c r="B87" t="s">
        <v>4707</v>
      </c>
      <c r="C87">
        <v>86</v>
      </c>
    </row>
    <row r="88" spans="1:3" x14ac:dyDescent="0.25">
      <c r="A88" t="s">
        <v>249</v>
      </c>
      <c r="B88" t="s">
        <v>2412</v>
      </c>
      <c r="C88">
        <v>87</v>
      </c>
    </row>
    <row r="89" spans="1:3" x14ac:dyDescent="0.25">
      <c r="A89" t="s">
        <v>244</v>
      </c>
      <c r="B89" t="s">
        <v>2421</v>
      </c>
      <c r="C89">
        <v>88</v>
      </c>
    </row>
    <row r="90" spans="1:3" x14ac:dyDescent="0.25">
      <c r="A90" t="s">
        <v>242</v>
      </c>
      <c r="B90" t="s">
        <v>2421</v>
      </c>
      <c r="C90">
        <v>89</v>
      </c>
    </row>
    <row r="91" spans="1:3" x14ac:dyDescent="0.25">
      <c r="A91" t="s">
        <v>247</v>
      </c>
      <c r="B91" t="s">
        <v>2412</v>
      </c>
      <c r="C91">
        <v>90</v>
      </c>
    </row>
    <row r="92" spans="1:3" x14ac:dyDescent="0.25">
      <c r="A92" t="s">
        <v>257</v>
      </c>
      <c r="B92" t="s">
        <v>4708</v>
      </c>
      <c r="C92">
        <v>91</v>
      </c>
    </row>
    <row r="93" spans="1:3" x14ac:dyDescent="0.25">
      <c r="A93" t="s">
        <v>259</v>
      </c>
      <c r="B93" t="s">
        <v>2427</v>
      </c>
      <c r="C93">
        <v>92</v>
      </c>
    </row>
    <row r="94" spans="1:3" x14ac:dyDescent="0.25">
      <c r="A94" t="s">
        <v>263</v>
      </c>
      <c r="B94" t="s">
        <v>4709</v>
      </c>
      <c r="C94">
        <v>93</v>
      </c>
    </row>
    <row r="95" spans="1:3" x14ac:dyDescent="0.25">
      <c r="A95" t="s">
        <v>766</v>
      </c>
      <c r="B95" t="s">
        <v>4710</v>
      </c>
      <c r="C95">
        <v>94</v>
      </c>
    </row>
    <row r="96" spans="1:3" x14ac:dyDescent="0.25">
      <c r="A96" t="s">
        <v>4711</v>
      </c>
      <c r="B96" t="s">
        <v>4712</v>
      </c>
      <c r="C96">
        <v>95</v>
      </c>
    </row>
    <row r="97" spans="1:3" x14ac:dyDescent="0.25">
      <c r="A97" t="s">
        <v>789</v>
      </c>
      <c r="B97" t="s">
        <v>2257</v>
      </c>
      <c r="C97">
        <v>96</v>
      </c>
    </row>
    <row r="98" spans="1:3" x14ac:dyDescent="0.25">
      <c r="A98" t="s">
        <v>792</v>
      </c>
      <c r="B98" t="s">
        <v>4713</v>
      </c>
      <c r="C98">
        <v>97</v>
      </c>
    </row>
    <row r="99" spans="1:3" x14ac:dyDescent="0.25">
      <c r="A99" t="s">
        <v>807</v>
      </c>
      <c r="B99" t="s">
        <v>4714</v>
      </c>
      <c r="C99">
        <v>98</v>
      </c>
    </row>
    <row r="100" spans="1:3" x14ac:dyDescent="0.25">
      <c r="A100" t="s">
        <v>810</v>
      </c>
      <c r="B100" t="s">
        <v>4715</v>
      </c>
      <c r="C100">
        <v>99</v>
      </c>
    </row>
    <row r="101" spans="1:3" x14ac:dyDescent="0.25">
      <c r="A101" t="s">
        <v>362</v>
      </c>
      <c r="B101" t="s">
        <v>1973</v>
      </c>
      <c r="C101">
        <v>100</v>
      </c>
    </row>
    <row r="102" spans="1:3" x14ac:dyDescent="0.25">
      <c r="A102" t="s">
        <v>839</v>
      </c>
      <c r="B102" t="s">
        <v>4716</v>
      </c>
      <c r="C102">
        <v>101</v>
      </c>
    </row>
    <row r="103" spans="1:3" x14ac:dyDescent="0.25">
      <c r="A103" t="s">
        <v>831</v>
      </c>
      <c r="B103" t="s">
        <v>4717</v>
      </c>
      <c r="C103">
        <v>102</v>
      </c>
    </row>
    <row r="104" spans="1:3" x14ac:dyDescent="0.25">
      <c r="A104" t="s">
        <v>663</v>
      </c>
      <c r="B104" t="s">
        <v>2280</v>
      </c>
      <c r="C104">
        <v>103</v>
      </c>
    </row>
    <row r="105" spans="1:3" x14ac:dyDescent="0.25">
      <c r="A105" t="s">
        <v>833</v>
      </c>
      <c r="B105" t="s">
        <v>4718</v>
      </c>
      <c r="C105">
        <v>104</v>
      </c>
    </row>
    <row r="106" spans="1:3" x14ac:dyDescent="0.25">
      <c r="A106" t="s">
        <v>261</v>
      </c>
      <c r="B106" t="s">
        <v>4719</v>
      </c>
      <c r="C106">
        <v>105</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E16"/>
  <sheetViews>
    <sheetView topLeftCell="A16" workbookViewId="0">
      <selection activeCell="G30" sqref="G30"/>
    </sheetView>
  </sheetViews>
  <sheetFormatPr baseColWidth="10" defaultColWidth="9.140625" defaultRowHeight="15" x14ac:dyDescent="0.25"/>
  <cols>
    <col min="1" max="1" width="101.140625" bestFit="1" customWidth="1"/>
    <col min="2" max="2" width="30.140625" bestFit="1" customWidth="1"/>
    <col min="3" max="3" width="23.7109375" bestFit="1" customWidth="1"/>
    <col min="4" max="4" width="23.85546875" bestFit="1" customWidth="1"/>
    <col min="5" max="5" width="30" customWidth="1"/>
  </cols>
  <sheetData>
    <row r="3" spans="1:5" x14ac:dyDescent="0.25">
      <c r="A3" s="22" t="s">
        <v>4720</v>
      </c>
      <c r="B3" t="s">
        <v>4721</v>
      </c>
      <c r="C3" t="s">
        <v>4722</v>
      </c>
      <c r="D3" t="s">
        <v>4723</v>
      </c>
    </row>
    <row r="4" spans="1:5" x14ac:dyDescent="0.25">
      <c r="A4" s="23" t="s">
        <v>4724</v>
      </c>
      <c r="B4" s="466">
        <v>6094229000</v>
      </c>
      <c r="C4" s="466">
        <v>284506388</v>
      </c>
      <c r="D4" s="466">
        <v>5729722612</v>
      </c>
      <c r="E4" s="146">
        <v>1493012679</v>
      </c>
    </row>
    <row r="5" spans="1:5" x14ac:dyDescent="0.25">
      <c r="A5" s="149" t="s">
        <v>359</v>
      </c>
      <c r="B5" s="466">
        <v>5415000000</v>
      </c>
      <c r="C5" s="466">
        <v>0</v>
      </c>
      <c r="D5" s="466">
        <v>5335000000</v>
      </c>
      <c r="E5" s="147"/>
    </row>
    <row r="6" spans="1:5" x14ac:dyDescent="0.25">
      <c r="A6" s="150" t="s">
        <v>362</v>
      </c>
      <c r="B6" s="466">
        <v>2809250515</v>
      </c>
      <c r="C6" s="466">
        <v>0</v>
      </c>
      <c r="D6" s="466">
        <v>2809250515</v>
      </c>
      <c r="E6" s="147"/>
    </row>
    <row r="7" spans="1:5" x14ac:dyDescent="0.25">
      <c r="A7" s="150" t="s">
        <v>363</v>
      </c>
      <c r="B7" s="466">
        <v>2605749485</v>
      </c>
      <c r="C7" s="466">
        <v>0</v>
      </c>
      <c r="D7" s="466">
        <v>2525749485</v>
      </c>
      <c r="E7" s="147"/>
    </row>
    <row r="8" spans="1:5" x14ac:dyDescent="0.25">
      <c r="A8" s="149" t="s">
        <v>399</v>
      </c>
      <c r="B8" s="466">
        <v>679229000</v>
      </c>
      <c r="C8" s="466">
        <v>284506388</v>
      </c>
      <c r="D8" s="466">
        <v>394722612</v>
      </c>
      <c r="E8" s="147"/>
    </row>
    <row r="9" spans="1:5" x14ac:dyDescent="0.25">
      <c r="A9" s="150" t="s">
        <v>400</v>
      </c>
      <c r="B9" s="466">
        <v>679229000</v>
      </c>
      <c r="C9" s="466">
        <v>284506388</v>
      </c>
      <c r="D9" s="466">
        <v>394722612</v>
      </c>
      <c r="E9" s="147"/>
    </row>
    <row r="10" spans="1:5" x14ac:dyDescent="0.25">
      <c r="A10" s="23" t="s">
        <v>4725</v>
      </c>
      <c r="B10" s="466">
        <v>6094229000</v>
      </c>
      <c r="C10" s="466">
        <v>284506388</v>
      </c>
      <c r="D10" s="466">
        <v>5729722612</v>
      </c>
      <c r="E10" s="147"/>
    </row>
    <row r="11" spans="1:5" x14ac:dyDescent="0.25">
      <c r="E11" s="147"/>
    </row>
    <row r="12" spans="1:5" x14ac:dyDescent="0.25">
      <c r="E12" s="147" t="s">
        <v>4726</v>
      </c>
    </row>
    <row r="13" spans="1:5" x14ac:dyDescent="0.25">
      <c r="E13" s="147"/>
    </row>
    <row r="14" spans="1:5" x14ac:dyDescent="0.25">
      <c r="E14" s="147"/>
    </row>
    <row r="15" spans="1:5" x14ac:dyDescent="0.25">
      <c r="E15" s="147"/>
    </row>
    <row r="16" spans="1:5" ht="60" x14ac:dyDescent="0.25">
      <c r="E16" s="148" t="s">
        <v>4727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W106"/>
  <sheetViews>
    <sheetView topLeftCell="J91" zoomScale="114" zoomScaleNormal="115" workbookViewId="0">
      <selection activeCell="J106" sqref="A106:XFD106"/>
    </sheetView>
  </sheetViews>
  <sheetFormatPr baseColWidth="10" defaultColWidth="10.5703125" defaultRowHeight="15" x14ac:dyDescent="0.25"/>
  <cols>
    <col min="13" max="13" width="14.28515625" bestFit="1" customWidth="1"/>
    <col min="19" max="19" width="41" style="105" bestFit="1" customWidth="1"/>
    <col min="20" max="20" width="74.85546875" style="104" bestFit="1" customWidth="1"/>
    <col min="21" max="23" width="10.5703125" style="104"/>
  </cols>
  <sheetData>
    <row r="1" spans="1:23" ht="15" customHeight="1" x14ac:dyDescent="0.25">
      <c r="A1" t="s">
        <v>4728</v>
      </c>
      <c r="B1" s="182" t="s">
        <v>4729</v>
      </c>
      <c r="C1" t="s">
        <v>4730</v>
      </c>
      <c r="D1" t="s">
        <v>4731</v>
      </c>
      <c r="F1" s="170" t="s">
        <v>4732</v>
      </c>
      <c r="G1" s="170" t="s">
        <v>4733</v>
      </c>
      <c r="H1" s="171" t="s">
        <v>4734</v>
      </c>
      <c r="I1" s="172" t="s">
        <v>4735</v>
      </c>
      <c r="J1" s="173" t="s">
        <v>4736</v>
      </c>
      <c r="K1" s="174" t="s">
        <v>4737</v>
      </c>
      <c r="L1" s="175" t="s">
        <v>4738</v>
      </c>
      <c r="M1" s="175">
        <v>2021003050069</v>
      </c>
      <c r="N1" s="1" t="s">
        <v>4739</v>
      </c>
      <c r="O1" s="176" t="s">
        <v>4740</v>
      </c>
      <c r="P1" s="177" t="s">
        <v>4741</v>
      </c>
      <c r="Q1" s="178" t="s">
        <v>4742</v>
      </c>
      <c r="S1" s="97" t="s">
        <v>4683</v>
      </c>
      <c r="T1" s="98" t="s">
        <v>4684</v>
      </c>
      <c r="U1" s="98" t="s">
        <v>4685</v>
      </c>
      <c r="V1" s="99" t="s">
        <v>4733</v>
      </c>
      <c r="W1" s="99" t="s">
        <v>4732</v>
      </c>
    </row>
    <row r="2" spans="1:23" ht="15" customHeight="1" x14ac:dyDescent="0.25">
      <c r="A2" t="s">
        <v>4743</v>
      </c>
      <c r="B2" s="182" t="s">
        <v>4744</v>
      </c>
      <c r="C2" s="170" t="s">
        <v>4745</v>
      </c>
      <c r="D2" t="s">
        <v>4746</v>
      </c>
      <c r="F2" s="170" t="s">
        <v>4747</v>
      </c>
      <c r="G2" s="170" t="s">
        <v>4748</v>
      </c>
      <c r="H2" s="171" t="s">
        <v>4734</v>
      </c>
      <c r="I2" s="172" t="s">
        <v>4735</v>
      </c>
      <c r="J2" s="173" t="s">
        <v>4736</v>
      </c>
      <c r="K2" s="174" t="s">
        <v>4749</v>
      </c>
      <c r="L2" s="175" t="s">
        <v>1066</v>
      </c>
      <c r="M2" s="175">
        <v>2021003050070</v>
      </c>
      <c r="N2" s="1" t="s">
        <v>4739</v>
      </c>
      <c r="O2" s="176" t="s">
        <v>4740</v>
      </c>
      <c r="P2" s="177" t="s">
        <v>4741</v>
      </c>
      <c r="Q2" s="178" t="s">
        <v>4742</v>
      </c>
      <c r="S2" s="100" t="s">
        <v>45</v>
      </c>
      <c r="T2" s="101" t="s">
        <v>1687</v>
      </c>
      <c r="U2" s="102">
        <v>1</v>
      </c>
      <c r="V2" s="99" t="s">
        <v>4748</v>
      </c>
      <c r="W2" s="99" t="s">
        <v>4747</v>
      </c>
    </row>
    <row r="3" spans="1:23" ht="15" customHeight="1" x14ac:dyDescent="0.25">
      <c r="A3" t="s">
        <v>4750</v>
      </c>
      <c r="B3" s="182" t="s">
        <v>4751</v>
      </c>
      <c r="C3" s="170" t="s">
        <v>4752</v>
      </c>
      <c r="D3" t="s">
        <v>4753</v>
      </c>
      <c r="F3" s="170" t="s">
        <v>4754</v>
      </c>
      <c r="G3" s="170" t="s">
        <v>4755</v>
      </c>
      <c r="H3" s="171" t="s">
        <v>4734</v>
      </c>
      <c r="I3" s="172" t="s">
        <v>4735</v>
      </c>
      <c r="J3" s="173" t="s">
        <v>4736</v>
      </c>
      <c r="K3" s="174" t="s">
        <v>4756</v>
      </c>
      <c r="L3" s="175" t="s">
        <v>4738</v>
      </c>
      <c r="M3" s="175">
        <v>2020003050021</v>
      </c>
      <c r="N3" s="1" t="s">
        <v>4739</v>
      </c>
      <c r="O3" s="176" t="s">
        <v>4740</v>
      </c>
      <c r="P3" s="177" t="s">
        <v>4741</v>
      </c>
      <c r="Q3" s="178" t="s">
        <v>4742</v>
      </c>
      <c r="S3" s="100" t="s">
        <v>50</v>
      </c>
      <c r="T3" s="101" t="s">
        <v>1701</v>
      </c>
      <c r="U3" s="102">
        <v>2</v>
      </c>
      <c r="V3" s="99" t="s">
        <v>4755</v>
      </c>
      <c r="W3" s="99" t="s">
        <v>4754</v>
      </c>
    </row>
    <row r="4" spans="1:23" ht="15" customHeight="1" x14ac:dyDescent="0.25">
      <c r="A4" t="s">
        <v>4757</v>
      </c>
      <c r="B4" s="182" t="s">
        <v>4758</v>
      </c>
      <c r="C4" s="170" t="s">
        <v>4759</v>
      </c>
      <c r="D4" t="s">
        <v>4760</v>
      </c>
      <c r="F4" s="170" t="s">
        <v>4761</v>
      </c>
      <c r="G4" s="170" t="s">
        <v>4762</v>
      </c>
      <c r="H4" s="171" t="s">
        <v>4734</v>
      </c>
      <c r="I4" s="172" t="s">
        <v>4735</v>
      </c>
      <c r="J4" s="173" t="s">
        <v>4736</v>
      </c>
      <c r="K4" s="174" t="s">
        <v>4763</v>
      </c>
      <c r="L4" s="175" t="s">
        <v>4738</v>
      </c>
      <c r="M4" s="175">
        <v>2020003050022</v>
      </c>
      <c r="N4" s="1" t="s">
        <v>4739</v>
      </c>
      <c r="O4" s="176" t="s">
        <v>4740</v>
      </c>
      <c r="P4" s="177" t="s">
        <v>4741</v>
      </c>
      <c r="Q4" s="178" t="s">
        <v>4742</v>
      </c>
      <c r="S4" s="100" t="s">
        <v>52</v>
      </c>
      <c r="T4" s="101" t="s">
        <v>1704</v>
      </c>
      <c r="U4" s="102">
        <v>3</v>
      </c>
      <c r="V4" s="99" t="s">
        <v>4762</v>
      </c>
      <c r="W4" s="99" t="s">
        <v>4761</v>
      </c>
    </row>
    <row r="5" spans="1:23" ht="15" customHeight="1" x14ac:dyDescent="0.25">
      <c r="A5" t="s">
        <v>4764</v>
      </c>
      <c r="B5" s="182" t="s">
        <v>4765</v>
      </c>
      <c r="C5" s="170" t="s">
        <v>4766</v>
      </c>
      <c r="D5" t="s">
        <v>4767</v>
      </c>
      <c r="F5" s="170" t="s">
        <v>4768</v>
      </c>
      <c r="G5" s="170" t="s">
        <v>4769</v>
      </c>
      <c r="H5" s="171" t="s">
        <v>4734</v>
      </c>
      <c r="I5" s="172" t="s">
        <v>4735</v>
      </c>
      <c r="J5" s="173" t="s">
        <v>4736</v>
      </c>
      <c r="K5" s="174" t="s">
        <v>4770</v>
      </c>
      <c r="L5" s="175" t="s">
        <v>4771</v>
      </c>
      <c r="M5" s="175">
        <v>2021003050071</v>
      </c>
      <c r="N5" s="1" t="s">
        <v>4772</v>
      </c>
      <c r="O5" s="176" t="s">
        <v>4773</v>
      </c>
      <c r="P5" s="177" t="s">
        <v>4774</v>
      </c>
      <c r="Q5" s="178" t="s">
        <v>4742</v>
      </c>
      <c r="S5" s="100" t="s">
        <v>60</v>
      </c>
      <c r="T5" s="101" t="s">
        <v>1710</v>
      </c>
      <c r="U5" s="102">
        <v>4</v>
      </c>
      <c r="V5" s="99" t="s">
        <v>4769</v>
      </c>
      <c r="W5" s="99" t="s">
        <v>4768</v>
      </c>
    </row>
    <row r="6" spans="1:23" ht="15" customHeight="1" x14ac:dyDescent="0.25">
      <c r="A6" t="s">
        <v>4775</v>
      </c>
      <c r="B6" s="182" t="s">
        <v>4776</v>
      </c>
      <c r="C6" s="170" t="s">
        <v>4777</v>
      </c>
      <c r="D6" t="s">
        <v>4778</v>
      </c>
      <c r="F6" s="170" t="s">
        <v>4779</v>
      </c>
      <c r="G6" s="170" t="s">
        <v>4780</v>
      </c>
      <c r="H6" s="171" t="s">
        <v>4734</v>
      </c>
      <c r="I6" s="172" t="s">
        <v>4735</v>
      </c>
      <c r="J6" s="173" t="s">
        <v>4781</v>
      </c>
      <c r="K6" s="174" t="s">
        <v>4782</v>
      </c>
      <c r="L6" s="175" t="s">
        <v>4783</v>
      </c>
      <c r="M6" s="175">
        <v>2020003050024</v>
      </c>
      <c r="N6" s="1" t="s">
        <v>4784</v>
      </c>
      <c r="O6" s="176" t="s">
        <v>4785</v>
      </c>
      <c r="P6" s="177" t="s">
        <v>4786</v>
      </c>
      <c r="Q6" s="178" t="s">
        <v>4742</v>
      </c>
      <c r="S6" s="100" t="s">
        <v>56</v>
      </c>
      <c r="T6" s="101" t="s">
        <v>1711</v>
      </c>
      <c r="U6" s="102">
        <v>5</v>
      </c>
      <c r="V6" s="99" t="s">
        <v>4780</v>
      </c>
      <c r="W6" s="99" t="s">
        <v>4779</v>
      </c>
    </row>
    <row r="7" spans="1:23" ht="15" customHeight="1" x14ac:dyDescent="0.25">
      <c r="A7" t="s">
        <v>4787</v>
      </c>
      <c r="B7" s="182" t="s">
        <v>4788</v>
      </c>
      <c r="C7" s="170" t="s">
        <v>4789</v>
      </c>
      <c r="D7" t="s">
        <v>4790</v>
      </c>
      <c r="F7" s="23">
        <v>220320</v>
      </c>
      <c r="G7" s="170" t="s">
        <v>4791</v>
      </c>
      <c r="H7" s="171" t="s">
        <v>4734</v>
      </c>
      <c r="I7" s="172" t="s">
        <v>4735</v>
      </c>
      <c r="J7" s="173" t="s">
        <v>4792</v>
      </c>
      <c r="K7" s="174" t="s">
        <v>4793</v>
      </c>
      <c r="L7" s="175" t="s">
        <v>4794</v>
      </c>
      <c r="M7" s="175">
        <v>2020003050272</v>
      </c>
      <c r="N7" s="1" t="s">
        <v>4772</v>
      </c>
      <c r="O7" s="176" t="s">
        <v>4773</v>
      </c>
      <c r="P7" s="177" t="s">
        <v>4774</v>
      </c>
      <c r="Q7" s="178" t="s">
        <v>4742</v>
      </c>
      <c r="S7" s="100" t="s">
        <v>58</v>
      </c>
      <c r="T7" s="101" t="s">
        <v>1712</v>
      </c>
      <c r="U7" s="102">
        <v>6</v>
      </c>
      <c r="V7" s="99" t="s">
        <v>4791</v>
      </c>
      <c r="W7" s="103">
        <v>220320</v>
      </c>
    </row>
    <row r="8" spans="1:23" ht="15" customHeight="1" x14ac:dyDescent="0.25">
      <c r="A8" t="s">
        <v>4795</v>
      </c>
      <c r="B8" s="182" t="s">
        <v>4796</v>
      </c>
      <c r="C8" s="170" t="s">
        <v>4797</v>
      </c>
      <c r="D8" t="s">
        <v>4798</v>
      </c>
      <c r="F8" s="23">
        <v>220321</v>
      </c>
      <c r="G8" s="170" t="s">
        <v>4799</v>
      </c>
      <c r="H8" s="171" t="s">
        <v>4734</v>
      </c>
      <c r="I8" s="172" t="s">
        <v>4735</v>
      </c>
      <c r="J8" s="173" t="s">
        <v>4792</v>
      </c>
      <c r="K8" s="174" t="s">
        <v>4800</v>
      </c>
      <c r="L8" s="175" t="s">
        <v>4801</v>
      </c>
      <c r="M8" s="175">
        <v>2020003050273</v>
      </c>
      <c r="N8" s="1" t="s">
        <v>4772</v>
      </c>
      <c r="O8" s="176" t="s">
        <v>4773</v>
      </c>
      <c r="P8" s="177" t="s">
        <v>4774</v>
      </c>
      <c r="Q8" s="178" t="s">
        <v>4742</v>
      </c>
      <c r="S8" s="100" t="s">
        <v>54</v>
      </c>
      <c r="T8" s="101" t="s">
        <v>1715</v>
      </c>
      <c r="U8" s="102">
        <v>7</v>
      </c>
      <c r="V8" s="99" t="s">
        <v>4799</v>
      </c>
      <c r="W8" s="103">
        <v>220321</v>
      </c>
    </row>
    <row r="9" spans="1:23" ht="15" customHeight="1" x14ac:dyDescent="0.25">
      <c r="A9" t="s">
        <v>4802</v>
      </c>
      <c r="B9" s="182" t="s">
        <v>4803</v>
      </c>
      <c r="C9" s="170" t="s">
        <v>4804</v>
      </c>
      <c r="D9" t="s">
        <v>4798</v>
      </c>
      <c r="F9" s="170" t="s">
        <v>4805</v>
      </c>
      <c r="G9" s="170" t="s">
        <v>4806</v>
      </c>
      <c r="H9" s="171" t="s">
        <v>4807</v>
      </c>
      <c r="I9" s="172" t="s">
        <v>4808</v>
      </c>
      <c r="J9" s="173" t="s">
        <v>4809</v>
      </c>
      <c r="K9" s="174" t="s">
        <v>4810</v>
      </c>
      <c r="L9" s="175" t="s">
        <v>4811</v>
      </c>
      <c r="M9" s="175">
        <v>2020003050027</v>
      </c>
      <c r="N9" s="1" t="s">
        <v>4784</v>
      </c>
      <c r="O9" s="176" t="s">
        <v>4785</v>
      </c>
      <c r="P9" s="177" t="s">
        <v>4786</v>
      </c>
      <c r="Q9" s="178" t="s">
        <v>4742</v>
      </c>
      <c r="S9" s="100" t="s">
        <v>62</v>
      </c>
      <c r="T9" s="101" t="s">
        <v>1721</v>
      </c>
      <c r="U9" s="102">
        <v>8</v>
      </c>
      <c r="V9" s="99" t="s">
        <v>4806</v>
      </c>
      <c r="W9" s="99" t="s">
        <v>4805</v>
      </c>
    </row>
    <row r="10" spans="1:23" ht="15" customHeight="1" x14ac:dyDescent="0.25">
      <c r="A10" t="s">
        <v>4812</v>
      </c>
      <c r="B10" s="182" t="s">
        <v>4813</v>
      </c>
      <c r="C10" s="170" t="s">
        <v>4814</v>
      </c>
      <c r="D10" t="s">
        <v>4815</v>
      </c>
      <c r="F10" s="170" t="s">
        <v>4816</v>
      </c>
      <c r="G10" s="170" t="s">
        <v>4817</v>
      </c>
      <c r="H10" s="171" t="s">
        <v>4807</v>
      </c>
      <c r="I10" s="172" t="s">
        <v>4808</v>
      </c>
      <c r="J10" s="173" t="s">
        <v>4809</v>
      </c>
      <c r="K10" s="174" t="s">
        <v>4818</v>
      </c>
      <c r="L10" s="175" t="s">
        <v>4811</v>
      </c>
      <c r="M10" s="175">
        <v>2020003050028</v>
      </c>
      <c r="N10" s="1" t="s">
        <v>4784</v>
      </c>
      <c r="O10" s="176" t="s">
        <v>4785</v>
      </c>
      <c r="P10" s="177" t="s">
        <v>4786</v>
      </c>
      <c r="Q10" s="178" t="s">
        <v>4742</v>
      </c>
      <c r="S10" s="100" t="s">
        <v>64</v>
      </c>
      <c r="T10" s="101" t="s">
        <v>1724</v>
      </c>
      <c r="U10" s="102">
        <v>9</v>
      </c>
      <c r="V10" s="99" t="s">
        <v>4817</v>
      </c>
      <c r="W10" s="99" t="s">
        <v>4816</v>
      </c>
    </row>
    <row r="11" spans="1:23" ht="15" customHeight="1" x14ac:dyDescent="0.25">
      <c r="A11" t="s">
        <v>4819</v>
      </c>
      <c r="B11" s="182" t="s">
        <v>4820</v>
      </c>
      <c r="C11" s="170" t="s">
        <v>4821</v>
      </c>
      <c r="D11" t="s">
        <v>4822</v>
      </c>
      <c r="F11" s="170" t="s">
        <v>4823</v>
      </c>
      <c r="G11" s="170" t="s">
        <v>4824</v>
      </c>
      <c r="H11" s="171" t="s">
        <v>4807</v>
      </c>
      <c r="I11" s="172" t="s">
        <v>4808</v>
      </c>
      <c r="J11" s="173" t="s">
        <v>4809</v>
      </c>
      <c r="K11" s="174" t="s">
        <v>4825</v>
      </c>
      <c r="L11" s="175" t="s">
        <v>4811</v>
      </c>
      <c r="M11" s="175">
        <v>2020003050029</v>
      </c>
      <c r="N11" s="1" t="s">
        <v>4784</v>
      </c>
      <c r="O11" s="176" t="s">
        <v>4785</v>
      </c>
      <c r="P11" s="177" t="s">
        <v>4786</v>
      </c>
      <c r="Q11" s="178" t="s">
        <v>4742</v>
      </c>
      <c r="S11" s="100" t="s">
        <v>66</v>
      </c>
      <c r="T11" s="101" t="s">
        <v>1727</v>
      </c>
      <c r="U11" s="102">
        <v>10</v>
      </c>
      <c r="V11" s="99" t="s">
        <v>4824</v>
      </c>
      <c r="W11" s="99" t="s">
        <v>4823</v>
      </c>
    </row>
    <row r="12" spans="1:23" ht="15" customHeight="1" x14ac:dyDescent="0.25">
      <c r="A12" t="s">
        <v>4826</v>
      </c>
      <c r="B12" s="182" t="s">
        <v>4827</v>
      </c>
      <c r="C12" s="170" t="s">
        <v>4828</v>
      </c>
      <c r="D12" t="s">
        <v>4798</v>
      </c>
      <c r="F12" s="170" t="s">
        <v>4829</v>
      </c>
      <c r="G12" s="170" t="s">
        <v>4830</v>
      </c>
      <c r="H12" s="171" t="s">
        <v>4831</v>
      </c>
      <c r="I12" s="172" t="s">
        <v>4832</v>
      </c>
      <c r="J12" s="173" t="s">
        <v>4833</v>
      </c>
      <c r="K12" s="174" t="s">
        <v>4834</v>
      </c>
      <c r="L12" s="175" t="s">
        <v>4783</v>
      </c>
      <c r="M12" s="175">
        <v>2020003050030</v>
      </c>
      <c r="N12" s="1" t="s">
        <v>4784</v>
      </c>
      <c r="O12" s="176" t="s">
        <v>4785</v>
      </c>
      <c r="P12" s="177" t="s">
        <v>4786</v>
      </c>
      <c r="Q12" s="178" t="s">
        <v>4742</v>
      </c>
      <c r="S12" s="100" t="s">
        <v>68</v>
      </c>
      <c r="T12" s="101" t="s">
        <v>1735</v>
      </c>
      <c r="U12" s="102">
        <v>11</v>
      </c>
      <c r="V12" s="99" t="s">
        <v>4830</v>
      </c>
      <c r="W12" s="99" t="s">
        <v>4829</v>
      </c>
    </row>
    <row r="13" spans="1:23" ht="15" customHeight="1" x14ac:dyDescent="0.25">
      <c r="A13" t="s">
        <v>4835</v>
      </c>
      <c r="B13" s="182" t="s">
        <v>4836</v>
      </c>
      <c r="F13" s="170" t="s">
        <v>4837</v>
      </c>
      <c r="G13" s="170" t="s">
        <v>4838</v>
      </c>
      <c r="H13" s="171" t="s">
        <v>4831</v>
      </c>
      <c r="I13" s="172" t="s">
        <v>4832</v>
      </c>
      <c r="J13" s="173" t="s">
        <v>4833</v>
      </c>
      <c r="K13" s="174" t="s">
        <v>4839</v>
      </c>
      <c r="L13" s="175" t="s">
        <v>4783</v>
      </c>
      <c r="M13" s="175">
        <v>2020003050031</v>
      </c>
      <c r="N13" s="1" t="s">
        <v>4784</v>
      </c>
      <c r="O13" s="176" t="s">
        <v>4785</v>
      </c>
      <c r="P13" s="177" t="s">
        <v>4786</v>
      </c>
      <c r="Q13" s="178" t="s">
        <v>4742</v>
      </c>
      <c r="S13" s="100" t="s">
        <v>70</v>
      </c>
      <c r="T13" s="101" t="s">
        <v>1738</v>
      </c>
      <c r="U13" s="102">
        <v>12</v>
      </c>
      <c r="V13" s="99" t="s">
        <v>4838</v>
      </c>
      <c r="W13" s="99" t="s">
        <v>4837</v>
      </c>
    </row>
    <row r="14" spans="1:23" ht="15" customHeight="1" x14ac:dyDescent="0.25">
      <c r="A14" t="s">
        <v>4840</v>
      </c>
      <c r="B14" s="182" t="s">
        <v>4841</v>
      </c>
      <c r="F14" s="170" t="s">
        <v>4842</v>
      </c>
      <c r="G14" s="170" t="s">
        <v>4843</v>
      </c>
      <c r="H14" s="171" t="s">
        <v>4831</v>
      </c>
      <c r="I14" s="172" t="s">
        <v>4832</v>
      </c>
      <c r="J14" s="173" t="s">
        <v>4833</v>
      </c>
      <c r="K14" s="174" t="s">
        <v>4844</v>
      </c>
      <c r="L14" s="175" t="s">
        <v>4783</v>
      </c>
      <c r="M14" s="175">
        <v>2020003050032</v>
      </c>
      <c r="N14" s="1" t="s">
        <v>4784</v>
      </c>
      <c r="O14" s="176" t="s">
        <v>4785</v>
      </c>
      <c r="P14" s="177" t="s">
        <v>4786</v>
      </c>
      <c r="Q14" s="178" t="s">
        <v>4742</v>
      </c>
      <c r="S14" s="100" t="s">
        <v>72</v>
      </c>
      <c r="T14" s="101" t="s">
        <v>1739</v>
      </c>
      <c r="U14" s="102">
        <v>13</v>
      </c>
      <c r="V14" s="99" t="s">
        <v>4843</v>
      </c>
      <c r="W14" s="99" t="s">
        <v>4842</v>
      </c>
    </row>
    <row r="15" spans="1:23" ht="15" customHeight="1" x14ac:dyDescent="0.25">
      <c r="A15" t="s">
        <v>4845</v>
      </c>
      <c r="B15" s="182" t="s">
        <v>4846</v>
      </c>
      <c r="F15" s="170" t="s">
        <v>4847</v>
      </c>
      <c r="G15" s="170" t="s">
        <v>4797</v>
      </c>
      <c r="H15" s="171" t="s">
        <v>4831</v>
      </c>
      <c r="I15" s="172" t="s">
        <v>4832</v>
      </c>
      <c r="J15" s="173" t="s">
        <v>4833</v>
      </c>
      <c r="K15" s="174" t="s">
        <v>4848</v>
      </c>
      <c r="L15" s="175" t="s">
        <v>4783</v>
      </c>
      <c r="M15" s="175">
        <v>2020003050033</v>
      </c>
      <c r="N15" s="1" t="s">
        <v>4784</v>
      </c>
      <c r="O15" s="176" t="s">
        <v>4785</v>
      </c>
      <c r="P15" s="177" t="s">
        <v>4786</v>
      </c>
      <c r="Q15" s="178" t="s">
        <v>4742</v>
      </c>
      <c r="S15" s="100" t="s">
        <v>74</v>
      </c>
      <c r="T15" s="101" t="s">
        <v>1740</v>
      </c>
      <c r="U15" s="102">
        <v>14</v>
      </c>
      <c r="V15" s="99" t="s">
        <v>4797</v>
      </c>
      <c r="W15" s="99" t="s">
        <v>4847</v>
      </c>
    </row>
    <row r="16" spans="1:23" ht="15" customHeight="1" x14ac:dyDescent="0.25">
      <c r="A16" t="s">
        <v>4849</v>
      </c>
      <c r="B16" s="182" t="s">
        <v>4850</v>
      </c>
      <c r="F16" s="170" t="s">
        <v>4851</v>
      </c>
      <c r="G16" s="170" t="s">
        <v>4804</v>
      </c>
      <c r="H16" s="171" t="s">
        <v>4831</v>
      </c>
      <c r="I16" s="172" t="s">
        <v>4832</v>
      </c>
      <c r="J16" s="173" t="s">
        <v>4833</v>
      </c>
      <c r="K16" s="174" t="s">
        <v>4852</v>
      </c>
      <c r="L16" s="175" t="s">
        <v>4783</v>
      </c>
      <c r="M16" s="175">
        <v>2020003050034</v>
      </c>
      <c r="N16" s="1" t="s">
        <v>4784</v>
      </c>
      <c r="O16" s="176" t="s">
        <v>4785</v>
      </c>
      <c r="P16" s="177" t="s">
        <v>4786</v>
      </c>
      <c r="Q16" s="178" t="s">
        <v>4742</v>
      </c>
      <c r="S16" s="100" t="s">
        <v>76</v>
      </c>
      <c r="T16" s="101" t="s">
        <v>1741</v>
      </c>
      <c r="U16" s="102">
        <v>15</v>
      </c>
      <c r="V16" s="99" t="s">
        <v>4804</v>
      </c>
      <c r="W16" s="99" t="s">
        <v>4851</v>
      </c>
    </row>
    <row r="17" spans="1:23" ht="15" customHeight="1" x14ac:dyDescent="0.25">
      <c r="A17" t="s">
        <v>4853</v>
      </c>
      <c r="B17" s="182" t="s">
        <v>4854</v>
      </c>
      <c r="F17" s="23">
        <v>999999</v>
      </c>
      <c r="G17" s="170" t="s">
        <v>4821</v>
      </c>
      <c r="H17" s="171" t="s">
        <v>4855</v>
      </c>
      <c r="I17" s="171" t="s">
        <v>4855</v>
      </c>
      <c r="J17" s="171" t="s">
        <v>4855</v>
      </c>
      <c r="K17" s="171" t="s">
        <v>4856</v>
      </c>
      <c r="L17" s="175" t="s">
        <v>883</v>
      </c>
      <c r="M17" s="175">
        <v>999999</v>
      </c>
      <c r="N17" s="1" t="s">
        <v>4772</v>
      </c>
      <c r="O17" s="176" t="s">
        <v>4773</v>
      </c>
      <c r="P17" s="177" t="s">
        <v>4774</v>
      </c>
      <c r="Q17" s="178" t="s">
        <v>4855</v>
      </c>
      <c r="S17" s="100" t="s">
        <v>78</v>
      </c>
      <c r="T17" s="101" t="s">
        <v>4686</v>
      </c>
      <c r="U17" s="102">
        <v>16</v>
      </c>
      <c r="V17" s="99" t="s">
        <v>4821</v>
      </c>
      <c r="W17" s="103">
        <v>999999</v>
      </c>
    </row>
    <row r="18" spans="1:23" ht="15" customHeight="1" x14ac:dyDescent="0.25">
      <c r="A18" t="s">
        <v>4857</v>
      </c>
      <c r="B18" s="182" t="s">
        <v>4858</v>
      </c>
      <c r="F18" s="170" t="s">
        <v>4859</v>
      </c>
      <c r="G18" s="170" t="s">
        <v>4860</v>
      </c>
      <c r="H18" s="171" t="s">
        <v>4861</v>
      </c>
      <c r="I18" s="171" t="s">
        <v>4861</v>
      </c>
      <c r="J18" s="171" t="s">
        <v>4861</v>
      </c>
      <c r="K18" s="175" t="s">
        <v>4862</v>
      </c>
      <c r="L18" s="175" t="s">
        <v>4783</v>
      </c>
      <c r="M18" s="175">
        <v>2020003050035</v>
      </c>
      <c r="N18" s="1" t="s">
        <v>4784</v>
      </c>
      <c r="O18" s="176" t="s">
        <v>4785</v>
      </c>
      <c r="P18" s="177" t="s">
        <v>4786</v>
      </c>
      <c r="Q18" s="178" t="s">
        <v>4742</v>
      </c>
      <c r="S18" s="100" t="s">
        <v>80</v>
      </c>
      <c r="T18" s="101" t="s">
        <v>1742</v>
      </c>
      <c r="U18" s="102">
        <v>17</v>
      </c>
      <c r="V18" s="99" t="s">
        <v>4860</v>
      </c>
      <c r="W18" s="99" t="s">
        <v>4859</v>
      </c>
    </row>
    <row r="19" spans="1:23" ht="15" customHeight="1" x14ac:dyDescent="0.25">
      <c r="A19" t="s">
        <v>4863</v>
      </c>
      <c r="B19" s="182" t="s">
        <v>4864</v>
      </c>
      <c r="F19" t="s">
        <v>4865</v>
      </c>
      <c r="G19" t="s">
        <v>4866</v>
      </c>
      <c r="H19" s="171" t="s">
        <v>4867</v>
      </c>
      <c r="I19" s="172" t="s">
        <v>4868</v>
      </c>
      <c r="J19" s="173" t="s">
        <v>4869</v>
      </c>
      <c r="K19" s="174" t="s">
        <v>4870</v>
      </c>
      <c r="L19" s="175" t="s">
        <v>4783</v>
      </c>
      <c r="M19" s="179">
        <v>2024003050074</v>
      </c>
      <c r="S19" s="100" t="s">
        <v>82</v>
      </c>
      <c r="T19" s="101" t="s">
        <v>4687</v>
      </c>
      <c r="U19" s="102">
        <v>18</v>
      </c>
      <c r="V19" s="99" t="s">
        <v>4866</v>
      </c>
      <c r="W19" s="99" t="s">
        <v>4865</v>
      </c>
    </row>
    <row r="20" spans="1:23" ht="15" customHeight="1" x14ac:dyDescent="0.25">
      <c r="A20" t="s">
        <v>4871</v>
      </c>
      <c r="B20" s="182" t="s">
        <v>4872</v>
      </c>
      <c r="F20" t="s">
        <v>4873</v>
      </c>
      <c r="G20" t="s">
        <v>4874</v>
      </c>
      <c r="H20" s="171" t="s">
        <v>4867</v>
      </c>
      <c r="I20" s="172" t="s">
        <v>4868</v>
      </c>
      <c r="J20" s="173" t="s">
        <v>4869</v>
      </c>
      <c r="K20" s="174" t="s">
        <v>4875</v>
      </c>
      <c r="L20" s="175" t="s">
        <v>4783</v>
      </c>
      <c r="M20" s="179">
        <v>2024003050073</v>
      </c>
      <c r="S20" s="100" t="s">
        <v>84</v>
      </c>
      <c r="T20" s="101" t="s">
        <v>1745</v>
      </c>
      <c r="U20" s="102">
        <v>19</v>
      </c>
      <c r="V20" s="99" t="s">
        <v>4874</v>
      </c>
      <c r="W20" s="99" t="s">
        <v>4873</v>
      </c>
    </row>
    <row r="21" spans="1:23" ht="22.5" customHeight="1" x14ac:dyDescent="0.25">
      <c r="A21" t="s">
        <v>44</v>
      </c>
      <c r="B21" t="s">
        <v>4876</v>
      </c>
      <c r="F21" t="s">
        <v>4877</v>
      </c>
      <c r="G21" t="s">
        <v>4878</v>
      </c>
      <c r="H21" s="171" t="s">
        <v>4867</v>
      </c>
      <c r="I21" s="172" t="s">
        <v>4868</v>
      </c>
      <c r="J21" s="173" t="s">
        <v>4869</v>
      </c>
      <c r="K21" s="174" t="s">
        <v>4879</v>
      </c>
      <c r="L21" s="175" t="s">
        <v>4783</v>
      </c>
      <c r="M21" s="184">
        <v>2024003050072</v>
      </c>
      <c r="S21" s="100" t="s">
        <v>86</v>
      </c>
      <c r="T21" s="101" t="s">
        <v>1753</v>
      </c>
      <c r="U21" s="102">
        <v>20</v>
      </c>
      <c r="V21" s="99" t="s">
        <v>4878</v>
      </c>
      <c r="W21" s="99" t="s">
        <v>4877</v>
      </c>
    </row>
    <row r="22" spans="1:23" ht="22.5" customHeight="1" x14ac:dyDescent="0.25">
      <c r="F22" t="s">
        <v>4880</v>
      </c>
      <c r="G22" t="s">
        <v>4881</v>
      </c>
      <c r="H22" s="171" t="s">
        <v>4867</v>
      </c>
      <c r="I22" s="172" t="s">
        <v>4868</v>
      </c>
      <c r="J22" s="173" t="s">
        <v>4882</v>
      </c>
      <c r="K22" s="174" t="s">
        <v>4883</v>
      </c>
      <c r="L22" s="175" t="s">
        <v>883</v>
      </c>
      <c r="M22" s="184">
        <v>2024003050077</v>
      </c>
      <c r="S22" s="100" t="s">
        <v>88</v>
      </c>
      <c r="T22" s="101" t="s">
        <v>4688</v>
      </c>
      <c r="U22" s="102">
        <v>21</v>
      </c>
      <c r="V22" s="99" t="s">
        <v>4881</v>
      </c>
      <c r="W22" s="99" t="s">
        <v>4880</v>
      </c>
    </row>
    <row r="23" spans="1:23" ht="22.5" customHeight="1" x14ac:dyDescent="0.25">
      <c r="F23" t="s">
        <v>4884</v>
      </c>
      <c r="G23" t="s">
        <v>4885</v>
      </c>
      <c r="H23" s="171" t="s">
        <v>4867</v>
      </c>
      <c r="I23" s="172" t="s">
        <v>4868</v>
      </c>
      <c r="J23" s="173" t="s">
        <v>4882</v>
      </c>
      <c r="K23" s="174" t="s">
        <v>4886</v>
      </c>
      <c r="L23" s="175" t="s">
        <v>883</v>
      </c>
      <c r="M23" s="184">
        <v>2024003050104</v>
      </c>
      <c r="S23" s="100" t="s">
        <v>90</v>
      </c>
      <c r="T23" s="101" t="s">
        <v>4689</v>
      </c>
      <c r="U23" s="102">
        <v>22</v>
      </c>
      <c r="V23" s="99" t="s">
        <v>4885</v>
      </c>
      <c r="W23" s="99" t="s">
        <v>4884</v>
      </c>
    </row>
    <row r="24" spans="1:23" ht="15" customHeight="1" x14ac:dyDescent="0.25">
      <c r="B24" s="183" t="s">
        <v>4887</v>
      </c>
      <c r="C24" s="180" t="s">
        <v>4888</v>
      </c>
      <c r="F24" t="s">
        <v>4889</v>
      </c>
      <c r="G24" t="s">
        <v>4890</v>
      </c>
      <c r="H24" s="171" t="s">
        <v>4867</v>
      </c>
      <c r="I24" s="172" t="s">
        <v>4868</v>
      </c>
      <c r="J24" s="173" t="s">
        <v>4891</v>
      </c>
      <c r="K24" s="174" t="s">
        <v>4892</v>
      </c>
      <c r="L24" s="175" t="s">
        <v>4738</v>
      </c>
      <c r="M24" s="184">
        <v>2024003050084</v>
      </c>
      <c r="S24" s="100" t="s">
        <v>92</v>
      </c>
      <c r="T24" s="101" t="s">
        <v>1756</v>
      </c>
      <c r="U24" s="102">
        <v>23</v>
      </c>
      <c r="V24" s="99" t="s">
        <v>4890</v>
      </c>
      <c r="W24" s="99" t="s">
        <v>4889</v>
      </c>
    </row>
    <row r="25" spans="1:23" ht="15" customHeight="1" x14ac:dyDescent="0.25">
      <c r="B25" s="182" t="s">
        <v>4893</v>
      </c>
      <c r="C25" s="181">
        <v>1</v>
      </c>
      <c r="F25" t="s">
        <v>4894</v>
      </c>
      <c r="G25" t="s">
        <v>4895</v>
      </c>
      <c r="H25" s="171" t="s">
        <v>4867</v>
      </c>
      <c r="I25" s="172" t="s">
        <v>4868</v>
      </c>
      <c r="J25" s="173" t="s">
        <v>4891</v>
      </c>
      <c r="K25" s="174" t="s">
        <v>4896</v>
      </c>
      <c r="L25" s="175" t="s">
        <v>4738</v>
      </c>
      <c r="M25" s="184">
        <v>2024003050103</v>
      </c>
      <c r="S25" s="100" t="s">
        <v>126</v>
      </c>
      <c r="T25" s="101" t="s">
        <v>1763</v>
      </c>
      <c r="U25" s="102">
        <v>24</v>
      </c>
      <c r="V25" s="99" t="s">
        <v>4895</v>
      </c>
      <c r="W25" s="99" t="s">
        <v>4894</v>
      </c>
    </row>
    <row r="26" spans="1:23" ht="15" customHeight="1" x14ac:dyDescent="0.25">
      <c r="B26" s="182" t="s">
        <v>4897</v>
      </c>
      <c r="C26" s="181">
        <v>2</v>
      </c>
      <c r="F26" t="s">
        <v>4898</v>
      </c>
      <c r="G26" t="s">
        <v>4899</v>
      </c>
      <c r="H26" s="171" t="s">
        <v>4867</v>
      </c>
      <c r="I26" s="172" t="s">
        <v>4868</v>
      </c>
      <c r="J26" s="173" t="s">
        <v>4891</v>
      </c>
      <c r="K26" s="174" t="s">
        <v>4724</v>
      </c>
      <c r="L26" s="175" t="s">
        <v>4738</v>
      </c>
      <c r="M26" s="184">
        <v>2024003050102</v>
      </c>
      <c r="S26" s="100" t="s">
        <v>128</v>
      </c>
      <c r="T26" s="101" t="s">
        <v>1764</v>
      </c>
      <c r="U26" s="102">
        <v>25</v>
      </c>
      <c r="V26" s="99" t="s">
        <v>4899</v>
      </c>
      <c r="W26" s="99" t="s">
        <v>4898</v>
      </c>
    </row>
    <row r="27" spans="1:23" ht="15" customHeight="1" x14ac:dyDescent="0.25">
      <c r="B27" s="182" t="s">
        <v>4900</v>
      </c>
      <c r="C27" s="181">
        <v>3</v>
      </c>
      <c r="F27" t="s">
        <v>4901</v>
      </c>
      <c r="G27" t="s">
        <v>4902</v>
      </c>
      <c r="H27" s="171" t="s">
        <v>4867</v>
      </c>
      <c r="I27" s="172" t="s">
        <v>4868</v>
      </c>
      <c r="J27" s="173" t="s">
        <v>4891</v>
      </c>
      <c r="K27" s="174" t="s">
        <v>4903</v>
      </c>
      <c r="L27" s="175" t="s">
        <v>4738</v>
      </c>
      <c r="M27" s="184">
        <v>2024003050085</v>
      </c>
      <c r="S27" s="100" t="s">
        <v>98</v>
      </c>
      <c r="T27" s="101" t="s">
        <v>1767</v>
      </c>
      <c r="U27" s="102">
        <v>26</v>
      </c>
      <c r="V27" s="99" t="s">
        <v>4902</v>
      </c>
      <c r="W27" s="99" t="s">
        <v>4901</v>
      </c>
    </row>
    <row r="28" spans="1:23" ht="15" customHeight="1" x14ac:dyDescent="0.25">
      <c r="B28" s="182" t="s">
        <v>4904</v>
      </c>
      <c r="C28" s="181">
        <v>4</v>
      </c>
      <c r="F28" t="s">
        <v>4905</v>
      </c>
      <c r="G28" t="s">
        <v>4906</v>
      </c>
      <c r="H28" s="171" t="s">
        <v>4867</v>
      </c>
      <c r="I28" s="172" t="s">
        <v>4868</v>
      </c>
      <c r="J28" s="173" t="s">
        <v>4891</v>
      </c>
      <c r="K28" s="174" t="s">
        <v>4907</v>
      </c>
      <c r="L28" s="175" t="s">
        <v>4738</v>
      </c>
      <c r="M28" s="184">
        <v>2024003050087</v>
      </c>
      <c r="S28" s="100" t="s">
        <v>140</v>
      </c>
      <c r="T28" s="101" t="s">
        <v>1770</v>
      </c>
      <c r="U28" s="102">
        <v>27</v>
      </c>
      <c r="V28" s="99" t="s">
        <v>4906</v>
      </c>
      <c r="W28" s="99" t="s">
        <v>4905</v>
      </c>
    </row>
    <row r="29" spans="1:23" ht="15" customHeight="1" x14ac:dyDescent="0.25">
      <c r="B29" s="182" t="s">
        <v>4908</v>
      </c>
      <c r="C29" s="181">
        <v>5</v>
      </c>
      <c r="F29" t="s">
        <v>4909</v>
      </c>
      <c r="G29" t="s">
        <v>4910</v>
      </c>
      <c r="H29" s="171" t="s">
        <v>4867</v>
      </c>
      <c r="I29" s="172" t="s">
        <v>4868</v>
      </c>
      <c r="J29" s="173" t="s">
        <v>4911</v>
      </c>
      <c r="K29" s="174" t="s">
        <v>4912</v>
      </c>
      <c r="L29" s="175" t="s">
        <v>4811</v>
      </c>
      <c r="M29" s="184">
        <v>2024003050076</v>
      </c>
      <c r="S29" s="100" t="s">
        <v>100</v>
      </c>
      <c r="T29" s="101" t="s">
        <v>1776</v>
      </c>
      <c r="U29" s="102">
        <v>28</v>
      </c>
      <c r="V29" s="99" t="s">
        <v>4910</v>
      </c>
      <c r="W29" s="99" t="s">
        <v>4909</v>
      </c>
    </row>
    <row r="30" spans="1:23" ht="15" customHeight="1" x14ac:dyDescent="0.25">
      <c r="B30" s="182" t="s">
        <v>4913</v>
      </c>
      <c r="C30" s="181">
        <v>6</v>
      </c>
      <c r="F30" t="s">
        <v>4914</v>
      </c>
      <c r="G30" t="s">
        <v>4915</v>
      </c>
      <c r="H30" s="171" t="s">
        <v>4867</v>
      </c>
      <c r="I30" s="172" t="s">
        <v>4868</v>
      </c>
      <c r="J30" s="173" t="s">
        <v>4911</v>
      </c>
      <c r="K30" s="174" t="s">
        <v>4916</v>
      </c>
      <c r="L30" s="175" t="s">
        <v>4811</v>
      </c>
      <c r="M30" s="184">
        <v>2024003050075</v>
      </c>
      <c r="S30" s="100" t="s">
        <v>102</v>
      </c>
      <c r="T30" s="101" t="s">
        <v>1777</v>
      </c>
      <c r="U30" s="102">
        <v>29</v>
      </c>
      <c r="V30" s="99" t="s">
        <v>4915</v>
      </c>
      <c r="W30" s="99" t="s">
        <v>4914</v>
      </c>
    </row>
    <row r="31" spans="1:23" ht="15" customHeight="1" x14ac:dyDescent="0.25">
      <c r="B31" s="182" t="s">
        <v>4917</v>
      </c>
      <c r="C31" s="181">
        <v>7</v>
      </c>
      <c r="F31" t="s">
        <v>4918</v>
      </c>
      <c r="G31" s="151" t="s">
        <v>4919</v>
      </c>
      <c r="H31" s="171" t="s">
        <v>4867</v>
      </c>
      <c r="I31" s="172" t="s">
        <v>4868</v>
      </c>
      <c r="J31" s="173" t="s">
        <v>4869</v>
      </c>
      <c r="K31" s="174" t="s">
        <v>4920</v>
      </c>
      <c r="L31" s="175" t="s">
        <v>4783</v>
      </c>
      <c r="M31" s="184">
        <v>2024003050100</v>
      </c>
      <c r="S31" s="100" t="s">
        <v>114</v>
      </c>
      <c r="T31" s="101" t="s">
        <v>1780</v>
      </c>
      <c r="U31" s="102">
        <v>30</v>
      </c>
      <c r="V31" s="151" t="s">
        <v>4919</v>
      </c>
      <c r="W31" s="99" t="s">
        <v>4918</v>
      </c>
    </row>
    <row r="32" spans="1:23" ht="15" customHeight="1" x14ac:dyDescent="0.25">
      <c r="B32" s="182" t="s">
        <v>4921</v>
      </c>
      <c r="C32" s="181">
        <v>8</v>
      </c>
      <c r="F32" t="s">
        <v>4922</v>
      </c>
      <c r="G32" t="s">
        <v>4923</v>
      </c>
      <c r="H32" s="171" t="s">
        <v>4867</v>
      </c>
      <c r="I32" s="172" t="s">
        <v>4868</v>
      </c>
      <c r="J32" s="173" t="s">
        <v>4869</v>
      </c>
      <c r="K32" s="174" t="s">
        <v>4924</v>
      </c>
      <c r="L32" s="175" t="s">
        <v>4783</v>
      </c>
      <c r="M32" s="184">
        <v>2024003050101</v>
      </c>
      <c r="S32" s="100" t="s">
        <v>104</v>
      </c>
      <c r="T32" s="101" t="s">
        <v>1852</v>
      </c>
      <c r="U32" s="102">
        <v>31</v>
      </c>
      <c r="V32" s="99" t="s">
        <v>4923</v>
      </c>
      <c r="W32" s="99" t="s">
        <v>4922</v>
      </c>
    </row>
    <row r="33" spans="2:21" ht="15" customHeight="1" x14ac:dyDescent="0.25">
      <c r="B33" s="182" t="s">
        <v>4925</v>
      </c>
      <c r="C33" s="181">
        <v>9</v>
      </c>
      <c r="L33" s="175"/>
      <c r="M33" s="1"/>
      <c r="S33" s="100" t="s">
        <v>144</v>
      </c>
      <c r="T33" s="101" t="s">
        <v>1855</v>
      </c>
      <c r="U33" s="102">
        <v>32</v>
      </c>
    </row>
    <row r="34" spans="2:21" ht="15" customHeight="1" x14ac:dyDescent="0.25">
      <c r="B34" s="182" t="s">
        <v>4926</v>
      </c>
      <c r="C34" s="181">
        <v>10</v>
      </c>
      <c r="L34" s="175"/>
      <c r="M34" s="1"/>
      <c r="S34" s="100" t="s">
        <v>147</v>
      </c>
      <c r="T34" s="101" t="s">
        <v>1858</v>
      </c>
      <c r="U34" s="102">
        <v>33</v>
      </c>
    </row>
    <row r="35" spans="2:21" ht="15" customHeight="1" x14ac:dyDescent="0.25">
      <c r="B35" s="182" t="s">
        <v>4927</v>
      </c>
      <c r="C35" s="181">
        <v>11</v>
      </c>
      <c r="L35" s="175"/>
      <c r="M35" s="1"/>
      <c r="S35" s="100" t="s">
        <v>159</v>
      </c>
      <c r="T35" s="101" t="s">
        <v>1863</v>
      </c>
      <c r="U35" s="102">
        <v>34</v>
      </c>
    </row>
    <row r="36" spans="2:21" ht="22.5" customHeight="1" x14ac:dyDescent="0.25">
      <c r="B36" s="182" t="s">
        <v>4928</v>
      </c>
      <c r="C36" s="181">
        <v>12</v>
      </c>
      <c r="L36" s="175"/>
      <c r="M36" s="1"/>
      <c r="S36" s="100" t="s">
        <v>161</v>
      </c>
      <c r="T36" s="101" t="s">
        <v>4690</v>
      </c>
      <c r="U36" s="102">
        <v>35</v>
      </c>
    </row>
    <row r="37" spans="2:21" ht="15" customHeight="1" x14ac:dyDescent="0.25">
      <c r="L37" s="175"/>
      <c r="M37" s="1"/>
      <c r="S37" s="100" t="s">
        <v>94</v>
      </c>
      <c r="T37" s="101" t="s">
        <v>1864</v>
      </c>
      <c r="U37" s="102">
        <v>36</v>
      </c>
    </row>
    <row r="38" spans="2:21" ht="15" customHeight="1" x14ac:dyDescent="0.25">
      <c r="L38" s="175"/>
      <c r="M38" s="1"/>
      <c r="S38" s="100" t="s">
        <v>96</v>
      </c>
      <c r="T38" s="101" t="s">
        <v>4691</v>
      </c>
      <c r="U38" s="102">
        <v>37</v>
      </c>
    </row>
    <row r="39" spans="2:21" ht="15" customHeight="1" x14ac:dyDescent="0.25">
      <c r="L39" s="175"/>
      <c r="S39" s="100" t="s">
        <v>106</v>
      </c>
      <c r="T39" s="101" t="s">
        <v>4692</v>
      </c>
      <c r="U39" s="102">
        <v>38</v>
      </c>
    </row>
    <row r="40" spans="2:21" ht="15" customHeight="1" x14ac:dyDescent="0.25">
      <c r="S40" s="100" t="s">
        <v>108</v>
      </c>
      <c r="T40" s="101" t="s">
        <v>4693</v>
      </c>
      <c r="U40" s="102">
        <v>39</v>
      </c>
    </row>
    <row r="41" spans="2:21" ht="15" customHeight="1" x14ac:dyDescent="0.25">
      <c r="S41" s="100" t="s">
        <v>116</v>
      </c>
      <c r="T41" s="101" t="s">
        <v>4694</v>
      </c>
      <c r="U41" s="102">
        <v>40</v>
      </c>
    </row>
    <row r="42" spans="2:21" ht="15" customHeight="1" x14ac:dyDescent="0.25">
      <c r="S42" s="100" t="s">
        <v>120</v>
      </c>
      <c r="T42" s="101" t="s">
        <v>4695</v>
      </c>
      <c r="U42" s="102">
        <v>41</v>
      </c>
    </row>
    <row r="43" spans="2:21" ht="15" customHeight="1" x14ac:dyDescent="0.25">
      <c r="S43" s="100" t="s">
        <v>118</v>
      </c>
      <c r="T43" s="101" t="s">
        <v>1867</v>
      </c>
      <c r="U43" s="102">
        <v>42</v>
      </c>
    </row>
    <row r="44" spans="2:21" ht="15" customHeight="1" x14ac:dyDescent="0.25">
      <c r="S44" s="100" t="s">
        <v>110</v>
      </c>
      <c r="T44" s="101" t="s">
        <v>1870</v>
      </c>
      <c r="U44" s="102">
        <v>43</v>
      </c>
    </row>
    <row r="45" spans="2:21" ht="15" customHeight="1" x14ac:dyDescent="0.25">
      <c r="S45" s="100" t="s">
        <v>176</v>
      </c>
      <c r="T45" s="101" t="s">
        <v>4696</v>
      </c>
      <c r="U45" s="102">
        <v>44</v>
      </c>
    </row>
    <row r="46" spans="2:21" ht="15" customHeight="1" x14ac:dyDescent="0.25">
      <c r="S46" s="100" t="s">
        <v>183</v>
      </c>
      <c r="T46" s="101" t="s">
        <v>4697</v>
      </c>
      <c r="U46" s="102">
        <v>45</v>
      </c>
    </row>
    <row r="47" spans="2:21" ht="15" customHeight="1" x14ac:dyDescent="0.25">
      <c r="S47" s="100" t="s">
        <v>180</v>
      </c>
      <c r="T47" s="101" t="s">
        <v>1873</v>
      </c>
      <c r="U47" s="102">
        <v>46</v>
      </c>
    </row>
    <row r="48" spans="2:21" ht="15" customHeight="1" x14ac:dyDescent="0.25">
      <c r="S48" s="100" t="s">
        <v>225</v>
      </c>
      <c r="T48" s="101" t="s">
        <v>1878</v>
      </c>
      <c r="U48" s="102">
        <v>47</v>
      </c>
    </row>
    <row r="49" spans="19:21" ht="15" customHeight="1" x14ac:dyDescent="0.25">
      <c r="S49" s="100" t="s">
        <v>200</v>
      </c>
      <c r="T49" s="101" t="s">
        <v>4698</v>
      </c>
      <c r="U49" s="102">
        <v>48</v>
      </c>
    </row>
    <row r="50" spans="19:21" ht="15" customHeight="1" x14ac:dyDescent="0.25">
      <c r="S50" s="100" t="s">
        <v>234</v>
      </c>
      <c r="T50" s="101" t="s">
        <v>1885</v>
      </c>
      <c r="U50" s="102">
        <v>49</v>
      </c>
    </row>
    <row r="51" spans="19:21" ht="15" customHeight="1" x14ac:dyDescent="0.25">
      <c r="S51" s="100" t="s">
        <v>680</v>
      </c>
      <c r="T51" s="101" t="s">
        <v>1889</v>
      </c>
      <c r="U51" s="102">
        <v>50</v>
      </c>
    </row>
    <row r="52" spans="19:21" ht="15" customHeight="1" x14ac:dyDescent="0.25">
      <c r="S52" s="100" t="s">
        <v>698</v>
      </c>
      <c r="T52" s="101" t="s">
        <v>1914</v>
      </c>
      <c r="U52" s="102">
        <v>51</v>
      </c>
    </row>
    <row r="53" spans="19:21" ht="15" customHeight="1" x14ac:dyDescent="0.25">
      <c r="S53" s="100" t="s">
        <v>219</v>
      </c>
      <c r="T53" s="101" t="s">
        <v>4699</v>
      </c>
      <c r="U53" s="102">
        <v>52</v>
      </c>
    </row>
    <row r="54" spans="19:21" ht="15" customHeight="1" x14ac:dyDescent="0.25">
      <c r="S54" s="100" t="s">
        <v>214</v>
      </c>
      <c r="T54" s="101" t="s">
        <v>4700</v>
      </c>
      <c r="U54" s="102">
        <v>53</v>
      </c>
    </row>
    <row r="55" spans="19:21" ht="15" customHeight="1" x14ac:dyDescent="0.25">
      <c r="S55" s="100" t="s">
        <v>207</v>
      </c>
      <c r="T55" s="101" t="s">
        <v>1921</v>
      </c>
      <c r="U55" s="102">
        <v>54</v>
      </c>
    </row>
    <row r="56" spans="19:21" ht="15" customHeight="1" x14ac:dyDescent="0.25">
      <c r="S56" s="100" t="s">
        <v>166</v>
      </c>
      <c r="T56" s="101" t="s">
        <v>1929</v>
      </c>
      <c r="U56" s="102">
        <v>55</v>
      </c>
    </row>
    <row r="57" spans="19:21" ht="15" customHeight="1" x14ac:dyDescent="0.25">
      <c r="S57" s="100" t="s">
        <v>400</v>
      </c>
      <c r="T57" s="101" t="s">
        <v>1937</v>
      </c>
      <c r="U57" s="102">
        <v>56</v>
      </c>
    </row>
    <row r="58" spans="19:21" ht="15" customHeight="1" x14ac:dyDescent="0.25">
      <c r="S58" s="100" t="s">
        <v>363</v>
      </c>
      <c r="T58" s="101" t="s">
        <v>1960</v>
      </c>
      <c r="U58" s="102">
        <v>57</v>
      </c>
    </row>
    <row r="59" spans="19:21" ht="15" customHeight="1" x14ac:dyDescent="0.25">
      <c r="S59" s="100" t="s">
        <v>417</v>
      </c>
      <c r="T59" s="101" t="s">
        <v>4701</v>
      </c>
      <c r="U59" s="102">
        <v>58</v>
      </c>
    </row>
    <row r="60" spans="19:21" ht="15" customHeight="1" x14ac:dyDescent="0.25">
      <c r="S60" s="100" t="s">
        <v>420</v>
      </c>
      <c r="T60" s="101" t="s">
        <v>1980</v>
      </c>
      <c r="U60" s="102">
        <v>59</v>
      </c>
    </row>
    <row r="61" spans="19:21" ht="15" customHeight="1" x14ac:dyDescent="0.25">
      <c r="S61" s="100" t="s">
        <v>433</v>
      </c>
      <c r="T61" s="101" t="s">
        <v>1983</v>
      </c>
      <c r="U61" s="102">
        <v>60</v>
      </c>
    </row>
    <row r="62" spans="19:21" ht="15" customHeight="1" x14ac:dyDescent="0.25">
      <c r="S62" s="100" t="s">
        <v>634</v>
      </c>
      <c r="T62" s="101" t="s">
        <v>2018</v>
      </c>
      <c r="U62" s="102">
        <v>61</v>
      </c>
    </row>
    <row r="63" spans="19:21" ht="15" customHeight="1" x14ac:dyDescent="0.25">
      <c r="S63" s="100" t="s">
        <v>452</v>
      </c>
      <c r="T63" s="101" t="s">
        <v>2018</v>
      </c>
      <c r="U63" s="102">
        <v>62</v>
      </c>
    </row>
    <row r="64" spans="19:21" ht="22.5" customHeight="1" x14ac:dyDescent="0.25">
      <c r="S64" s="100" t="s">
        <v>668</v>
      </c>
      <c r="T64" s="101" t="s">
        <v>2260</v>
      </c>
      <c r="U64" s="102">
        <v>63</v>
      </c>
    </row>
    <row r="65" spans="19:21" ht="15" customHeight="1" x14ac:dyDescent="0.25">
      <c r="S65" s="100" t="s">
        <v>672</v>
      </c>
      <c r="T65" s="101" t="s">
        <v>2268</v>
      </c>
      <c r="U65" s="102">
        <v>64</v>
      </c>
    </row>
    <row r="66" spans="19:21" ht="15" customHeight="1" x14ac:dyDescent="0.25">
      <c r="S66" s="100" t="s">
        <v>662</v>
      </c>
      <c r="T66" s="101" t="s">
        <v>2271</v>
      </c>
      <c r="U66" s="102">
        <v>65</v>
      </c>
    </row>
    <row r="67" spans="19:21" ht="15" customHeight="1" x14ac:dyDescent="0.25">
      <c r="S67" s="100" t="s">
        <v>398</v>
      </c>
      <c r="T67" s="101" t="s">
        <v>2281</v>
      </c>
      <c r="U67" s="102">
        <v>66</v>
      </c>
    </row>
    <row r="68" spans="19:21" ht="15" customHeight="1" x14ac:dyDescent="0.25">
      <c r="S68" s="100" t="s">
        <v>675</v>
      </c>
      <c r="T68" s="101" t="s">
        <v>4702</v>
      </c>
      <c r="U68" s="102">
        <v>67</v>
      </c>
    </row>
    <row r="69" spans="19:21" ht="15" customHeight="1" x14ac:dyDescent="0.25">
      <c r="S69" s="100" t="s">
        <v>406</v>
      </c>
      <c r="T69" s="101" t="s">
        <v>2281</v>
      </c>
      <c r="U69" s="102">
        <v>68</v>
      </c>
    </row>
    <row r="70" spans="19:21" ht="15" customHeight="1" x14ac:dyDescent="0.25">
      <c r="S70" s="100" t="s">
        <v>674</v>
      </c>
      <c r="T70" s="101" t="s">
        <v>4702</v>
      </c>
      <c r="U70" s="102">
        <v>69</v>
      </c>
    </row>
    <row r="71" spans="19:21" ht="15" customHeight="1" x14ac:dyDescent="0.25">
      <c r="S71" s="100" t="s">
        <v>266</v>
      </c>
      <c r="T71" s="101" t="s">
        <v>2290</v>
      </c>
      <c r="U71" s="102">
        <v>70</v>
      </c>
    </row>
    <row r="72" spans="19:21" ht="15" customHeight="1" x14ac:dyDescent="0.25">
      <c r="S72" s="100" t="s">
        <v>296</v>
      </c>
      <c r="T72" s="101" t="s">
        <v>2311</v>
      </c>
      <c r="U72" s="102">
        <v>71</v>
      </c>
    </row>
    <row r="73" spans="19:21" ht="15" customHeight="1" x14ac:dyDescent="0.25">
      <c r="S73" s="100" t="s">
        <v>769</v>
      </c>
      <c r="T73" s="101" t="s">
        <v>4703</v>
      </c>
      <c r="U73" s="102">
        <v>72</v>
      </c>
    </row>
    <row r="74" spans="19:21" ht="15" customHeight="1" x14ac:dyDescent="0.25">
      <c r="S74" s="100" t="s">
        <v>284</v>
      </c>
      <c r="T74" s="101" t="s">
        <v>2333</v>
      </c>
      <c r="U74" s="102">
        <v>73</v>
      </c>
    </row>
    <row r="75" spans="19:21" ht="15" customHeight="1" x14ac:dyDescent="0.25">
      <c r="S75" s="100" t="s">
        <v>268</v>
      </c>
      <c r="T75" s="101" t="s">
        <v>2353</v>
      </c>
      <c r="U75" s="102">
        <v>74</v>
      </c>
    </row>
    <row r="76" spans="19:21" ht="15" customHeight="1" x14ac:dyDescent="0.25">
      <c r="S76" s="100" t="s">
        <v>306</v>
      </c>
      <c r="T76" s="101" t="s">
        <v>2356</v>
      </c>
      <c r="U76" s="102">
        <v>75</v>
      </c>
    </row>
    <row r="77" spans="19:21" ht="15" customHeight="1" x14ac:dyDescent="0.25">
      <c r="S77" s="100" t="s">
        <v>303</v>
      </c>
      <c r="T77" s="101" t="s">
        <v>4704</v>
      </c>
      <c r="U77" s="102">
        <v>76</v>
      </c>
    </row>
    <row r="78" spans="19:21" ht="15" customHeight="1" x14ac:dyDescent="0.25">
      <c r="S78" s="100" t="s">
        <v>771</v>
      </c>
      <c r="T78" s="101" t="s">
        <v>4705</v>
      </c>
      <c r="U78" s="102">
        <v>77</v>
      </c>
    </row>
    <row r="79" spans="19:21" ht="15" customHeight="1" x14ac:dyDescent="0.25">
      <c r="S79" s="100" t="s">
        <v>270</v>
      </c>
      <c r="T79" s="101" t="s">
        <v>2358</v>
      </c>
      <c r="U79" s="102">
        <v>78</v>
      </c>
    </row>
    <row r="80" spans="19:21" ht="15" customHeight="1" x14ac:dyDescent="0.25">
      <c r="S80" s="100" t="s">
        <v>308</v>
      </c>
      <c r="T80" s="101" t="s">
        <v>2361</v>
      </c>
      <c r="U80" s="102">
        <v>79</v>
      </c>
    </row>
    <row r="81" spans="19:21" ht="15" customHeight="1" x14ac:dyDescent="0.25">
      <c r="S81" s="100" t="s">
        <v>773</v>
      </c>
      <c r="T81" s="101" t="s">
        <v>4706</v>
      </c>
      <c r="U81" s="102">
        <v>80</v>
      </c>
    </row>
    <row r="82" spans="19:21" ht="15" customHeight="1" x14ac:dyDescent="0.25">
      <c r="S82" s="100" t="s">
        <v>272</v>
      </c>
      <c r="T82" s="101" t="s">
        <v>2375</v>
      </c>
      <c r="U82" s="102">
        <v>81</v>
      </c>
    </row>
    <row r="83" spans="19:21" ht="15" customHeight="1" x14ac:dyDescent="0.25">
      <c r="S83" s="100" t="s">
        <v>315</v>
      </c>
      <c r="T83" s="101" t="s">
        <v>2378</v>
      </c>
      <c r="U83" s="102">
        <v>82</v>
      </c>
    </row>
    <row r="84" spans="19:21" ht="15" customHeight="1" x14ac:dyDescent="0.25">
      <c r="S84" s="100" t="s">
        <v>317</v>
      </c>
      <c r="T84" s="101" t="s">
        <v>2378</v>
      </c>
      <c r="U84" s="102">
        <v>83</v>
      </c>
    </row>
    <row r="85" spans="19:21" ht="15" customHeight="1" x14ac:dyDescent="0.25">
      <c r="S85" s="100" t="s">
        <v>350</v>
      </c>
      <c r="T85" s="101" t="s">
        <v>4707</v>
      </c>
      <c r="U85" s="102">
        <v>84</v>
      </c>
    </row>
    <row r="86" spans="19:21" ht="15" customHeight="1" x14ac:dyDescent="0.25">
      <c r="S86" s="100" t="s">
        <v>274</v>
      </c>
      <c r="T86" s="101" t="s">
        <v>2408</v>
      </c>
      <c r="U86" s="102">
        <v>85</v>
      </c>
    </row>
    <row r="87" spans="19:21" ht="15" customHeight="1" x14ac:dyDescent="0.25">
      <c r="S87" s="100" t="s">
        <v>354</v>
      </c>
      <c r="T87" s="101" t="s">
        <v>4707</v>
      </c>
      <c r="U87" s="102">
        <v>86</v>
      </c>
    </row>
    <row r="88" spans="19:21" ht="15" customHeight="1" x14ac:dyDescent="0.25">
      <c r="S88" s="100" t="s">
        <v>249</v>
      </c>
      <c r="T88" s="101" t="s">
        <v>2412</v>
      </c>
      <c r="U88" s="102">
        <v>87</v>
      </c>
    </row>
    <row r="89" spans="19:21" ht="15" customHeight="1" x14ac:dyDescent="0.25">
      <c r="S89" s="100" t="s">
        <v>244</v>
      </c>
      <c r="T89" s="101" t="s">
        <v>2421</v>
      </c>
      <c r="U89" s="102">
        <v>88</v>
      </c>
    </row>
    <row r="90" spans="19:21" ht="15" customHeight="1" x14ac:dyDescent="0.25">
      <c r="S90" s="100" t="s">
        <v>242</v>
      </c>
      <c r="T90" s="101" t="s">
        <v>2421</v>
      </c>
      <c r="U90" s="102">
        <v>89</v>
      </c>
    </row>
    <row r="91" spans="19:21" ht="15" customHeight="1" x14ac:dyDescent="0.25">
      <c r="S91" s="100" t="s">
        <v>247</v>
      </c>
      <c r="T91" s="101" t="s">
        <v>2412</v>
      </c>
      <c r="U91" s="102">
        <v>90</v>
      </c>
    </row>
    <row r="92" spans="19:21" ht="15" customHeight="1" x14ac:dyDescent="0.25">
      <c r="S92" s="100" t="s">
        <v>257</v>
      </c>
      <c r="T92" s="101" t="s">
        <v>4708</v>
      </c>
      <c r="U92" s="102">
        <v>91</v>
      </c>
    </row>
    <row r="93" spans="19:21" ht="15" customHeight="1" x14ac:dyDescent="0.25">
      <c r="S93" s="100" t="s">
        <v>259</v>
      </c>
      <c r="T93" s="101" t="s">
        <v>2427</v>
      </c>
      <c r="U93" s="102">
        <v>92</v>
      </c>
    </row>
    <row r="94" spans="19:21" ht="15" customHeight="1" x14ac:dyDescent="0.25">
      <c r="S94" s="100" t="s">
        <v>263</v>
      </c>
      <c r="T94" s="101" t="s">
        <v>4709</v>
      </c>
      <c r="U94" s="102">
        <v>93</v>
      </c>
    </row>
    <row r="95" spans="19:21" ht="15" customHeight="1" x14ac:dyDescent="0.25">
      <c r="S95" s="100" t="s">
        <v>766</v>
      </c>
      <c r="T95" s="101" t="s">
        <v>4710</v>
      </c>
      <c r="U95" s="102">
        <v>94</v>
      </c>
    </row>
    <row r="96" spans="19:21" ht="15" customHeight="1" x14ac:dyDescent="0.25">
      <c r="S96" s="100" t="s">
        <v>4711</v>
      </c>
      <c r="T96" s="101" t="s">
        <v>4712</v>
      </c>
      <c r="U96" s="102">
        <v>95</v>
      </c>
    </row>
    <row r="97" spans="19:21" ht="15" customHeight="1" x14ac:dyDescent="0.25">
      <c r="S97" s="100" t="s">
        <v>789</v>
      </c>
      <c r="T97" s="101" t="s">
        <v>2257</v>
      </c>
      <c r="U97" s="102">
        <v>96</v>
      </c>
    </row>
    <row r="98" spans="19:21" ht="15" customHeight="1" x14ac:dyDescent="0.25">
      <c r="S98" s="100" t="s">
        <v>792</v>
      </c>
      <c r="T98" s="101" t="s">
        <v>4713</v>
      </c>
      <c r="U98" s="102">
        <v>97</v>
      </c>
    </row>
    <row r="99" spans="19:21" ht="15" customHeight="1" x14ac:dyDescent="0.25">
      <c r="S99" s="100" t="s">
        <v>807</v>
      </c>
      <c r="T99" s="101" t="s">
        <v>4714</v>
      </c>
      <c r="U99" s="102">
        <v>98</v>
      </c>
    </row>
    <row r="100" spans="19:21" ht="15" customHeight="1" x14ac:dyDescent="0.25">
      <c r="S100" s="100" t="s">
        <v>810</v>
      </c>
      <c r="T100" s="101" t="s">
        <v>4715</v>
      </c>
      <c r="U100" s="102">
        <v>99</v>
      </c>
    </row>
    <row r="101" spans="19:21" ht="15" customHeight="1" x14ac:dyDescent="0.25">
      <c r="S101" s="100" t="s">
        <v>362</v>
      </c>
      <c r="T101" s="101" t="s">
        <v>1973</v>
      </c>
      <c r="U101" s="102">
        <v>100</v>
      </c>
    </row>
    <row r="102" spans="19:21" ht="15" customHeight="1" x14ac:dyDescent="0.25">
      <c r="S102" s="100" t="s">
        <v>839</v>
      </c>
      <c r="T102" s="101" t="s">
        <v>4716</v>
      </c>
      <c r="U102" s="102">
        <v>101</v>
      </c>
    </row>
    <row r="103" spans="19:21" ht="15" customHeight="1" x14ac:dyDescent="0.25">
      <c r="S103" s="100" t="s">
        <v>831</v>
      </c>
      <c r="T103" s="101" t="s">
        <v>4717</v>
      </c>
      <c r="U103" s="102">
        <v>102</v>
      </c>
    </row>
    <row r="104" spans="19:21" ht="15" customHeight="1" x14ac:dyDescent="0.25">
      <c r="S104" s="100" t="s">
        <v>663</v>
      </c>
      <c r="T104" s="101" t="s">
        <v>2280</v>
      </c>
      <c r="U104" s="102">
        <v>103</v>
      </c>
    </row>
    <row r="105" spans="19:21" ht="15" customHeight="1" x14ac:dyDescent="0.25">
      <c r="S105" s="100" t="s">
        <v>833</v>
      </c>
      <c r="T105" s="101" t="s">
        <v>4718</v>
      </c>
      <c r="U105" s="102">
        <v>104</v>
      </c>
    </row>
    <row r="106" spans="19:21" ht="15" customHeight="1" x14ac:dyDescent="0.25">
      <c r="S106" s="100" t="s">
        <v>261</v>
      </c>
      <c r="T106" s="101" t="s">
        <v>4719</v>
      </c>
      <c r="U106" s="102">
        <v>105</v>
      </c>
    </row>
  </sheetData>
  <autoFilter ref="S1:W229"/>
  <sortState ref="S2:W134">
    <sortCondition ref="U1:U134"/>
  </sortState>
  <hyperlinks>
    <hyperlink ref="O1" r:id="rId1"/>
    <hyperlink ref="O2:O4" r:id="rId2" display="mpinzon@indeportesantioquia.gov.co"/>
    <hyperlink ref="O5" r:id="rId3"/>
    <hyperlink ref="O6" r:id="rId4"/>
    <hyperlink ref="O7" r:id="rId5"/>
    <hyperlink ref="O8" r:id="rId6"/>
    <hyperlink ref="O17" r:id="rId7"/>
    <hyperlink ref="O9" r:id="rId8"/>
    <hyperlink ref="O10:O16" r:id="rId9" display="hvasquez@indeportesantioquia.gov.co"/>
    <hyperlink ref="O18" r:id="rId10"/>
  </hyperlinks>
  <pageMargins left="0.7" right="0.7" top="0.75" bottom="0.75" header="0.3" footer="0.3"/>
  <pageSetup orientation="portrait"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e457d1df-1db2-4b2c-9c92-ae72ac845d4f">
      <UserInfo>
        <DisplayName>Luisa Fernanda Gaviria Cano</DisplayName>
        <AccountId>381</AccountId>
        <AccountType/>
      </UserInfo>
      <UserInfo>
        <DisplayName>Jeniffer Katerine Vanegas Valencia</DisplayName>
        <AccountId>412</AccountId>
        <AccountType/>
      </UserInfo>
      <UserInfo>
        <DisplayName>Digna Emérita Martinez García</DisplayName>
        <AccountId>419</AccountId>
        <AccountType/>
      </UserInfo>
    </SharedWithUsers>
  </documentManagement>
</p:properties>
</file>

<file path=customXml/item2.xml>��< ? x m l   v e r s i o n = " 1 . 0 "   e n c o d i n g = " u t f - 1 6 " ? > < D a t a M a s h u p   s q m i d = " 2 f f b a 3 3 3 - 5 7 6 f - 4 4 b 8 - 9 e 4 6 - d 9 c e 5 1 5 4 1 a f c "   x m l n s = " h t t p : / / s c h e m a s . m i c r o s o f t . c o m / D a t a M a s h u p " > A A A A A E o N A A B Q S w M E F A A C A A g A L W S L W i T s h 6 S k A A A A 9 g A A A B I A H A B D b 2 5 m a W c v U G F j a 2 F n Z S 5 4 b W w g o h g A K K A U A A A A A A A A A A A A A A A A A A A A A A A A A A A A h Y 9 N D o I w G E S v Q r q n f x p j S C k L t 5 K Y E I 3 b p l Z o h A 9 D i + V u L j y S V x C j q D u X 8 + Y t Z u 7 X m 8 i G p o 4 u p n O 2 h R Q x T F F k Q L c H C 2 W K e n + M l y i T Y q P 0 S Z U m G m V w y e A O K a q 8 P y e E h B B w m O G 2 K w m n l J F 9 v i 5 0 Z R q F P r L 9 L 8 c W n F e g D Z J i 9 x o j O W Z z h h e U Y y r I B E V u 4 S v w c e + z / Y F i 1 d e + 7 4 w 0 E G 8 L Q a Y o y P u D f A B Q S w M E F A A C A A g A L W S L W g / 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1 k i 1 o F 5 3 3 6 R A o A A I J O A A A T A B w A R m 9 y b X V s Y X M v U 2 V j d G l v b j E u b S C i G A A o o B Q A A A A A A A A A A A A A A A A A A A A A A A A A A A D t X F t z o 0 Y W f p + q + Q 9 d 5 E V T q 5 E j Z 2 a 3 d l N 6 w I A 9 b C Q g I D t b 6 3 K p W t B j k 0 G 0 A s h r x + U f s A 9 5 2 f 0 d e c r b v u q P 7 W n Q B e g G 3 X x N N F W Z 2 N 2 H P v c + 3 + m G i Y m b + D R E T v b / 9 r d v 3 7 x 9 E 1 / h i H h I M Y 2 + L f d N Z 4 A 6 K C D J 2 z c I / p i R f 0 l C G H E Y l U X 9 M G k d + w G J G 9 J V k o z j v x 0 c + K F H x j R K S I x D W P W n i Y 9 b 6 Z r j l N q l o 4 P Y h 9 k D h Y Z J h B P s + q H U R O f y 2 D 8 j U c z k 6 a D 2 x 4 t 3 z Y z l V x I Q x s S d J P 4 1 R W 7 2 E I 3 R 4 d e H b X Q T x D e D G s 5 o y R k J O R + o 1 J 2 M S M h W B I I x j h L f o / G B B E J k y t 6 d G 3 h E O j V S t J g U U v M r 6 Z g G H o m Q h Z M r q b O T Q S r F u r g / Z 2 Q w c 7 G w j 3 b j k g D 5 I 8 Y E e 5 S J n g 6 1 f q D R l y G l X x r P Z M O C C 3 M s B 8 4 V I Q m T k x f + 7 l x P y K h T e k J q f g e S d a T s Q T C C C q y X F o A Q x D G K J 2 M S + T Q i M Q K 5 Y T U c M x 5 9 P A x I y / n i j x s V g j S / W U q q h S 4 e k p 9 B l B i N I z q i 1 0 y X 5 T o W G 0 v I J 4 L B 1 X G j j j c E 9 Y x a D g L H x Q G O 4 k 4 S T U g u t v v + G B y C R 0 N / 5 r m M S z / C Y f y Z R i O F B p N R 2 L 8 d E 8 a r Q r j m 3 Z 0 0 / a W v 9 Z C q d Z H V l Q 0 k G 6 d y F 3 5 F s v r 9 q e 7 o i m 4 a m g M i 6 W H y 5 w 8 t t u B 9 E 9 1 J 8 p F 5 I q s m T C Q w h B J y k 6 T j B m 3 y x O b R 3 7 U + T z v b K n S n L / N z 0 3 + r p 1 0 Z m c j Q + / y K 6 v S X E 7 1 v M k H P N F s / 1 h V Z 0 a f / M b h 1 z u S u a S 8 2 J X 6 h b N 5 W r P m T O L x N J 4 6 J e 4 W B 2 n d 9 i j y C 5 g H A c c g I + y Q a + S F 2 q + m s A P 9 M k c 8 W x M G 6 q 6 A / I S u a / h Z F 9 D I N D N G S t S T O q a X Z Z 7 p j 2 t y U a i q n P c 0 A K 9 Y R a Z Z m q J q h 6 H I a J D W k x q l 2 V r + W g O G g v Q H L w S E f J 6 q F s p j j 4 h D Z 2 g n E l m 0 i y + r L X d 7 3 P A 1 E P U T 8 9 L 9 8 H B 1 r y i e 5 R N 3 k Y i Y l k k H c / q n N x z S a z 9 v m k Z y y Q Z b Z 1 f / J U w K F o j n m P G 5 l l o U c U V + H p 8 0 T n X / 8 2 L R 7 z H b I k k / 4 t L M 1 y 9 Y c 8 I N s 9 D X U 1 U 5 S 2 5 T M q q X Z t w 5 p z 1 T n + Q c K 8 e 4 s z v M e L M 5 / U z N v G u g D N y 0 r / V T V v m b 3 d E M W e 2 9 O 1 N V h U 1 M r i L q 6 8 R 1 y N M W 0 C l P 3 7 9 6 + 8 U P x v p s H P m n o s M 1 y D 3 z 2 w G d H 4 C N 7 r O y E J M 6 A R i 3 g W d C u w D o b A p S S C K 8 Z k 6 S q T H 8 L E Q 4 W r k T h 9 H 8 j E t F H A S u l e r Y Z V q k s Q U U o A 2 V / s e P w S h T Q y w I e r E I d 1 Y Q Z 0 l g 1 7 w p Q C y / b R i V b Z I I M r W 1 U z E v E 6 1 f i H Y v C i e w 8 Z i u s / Q h b F G w o F v Q P k / G E x A k O T n C c 0 L i + Q G R i Z b u Z G 1 9 v v p l V M 6 7 a 2 3 S D o R I t 5 S k o F j m J W i D R A x S H X U U U F Q 7 F O S u W D S W + b s 1 X a 7 w A u z b P V R L 4 I 1 g r 6 k g s x b I 9 N + 4 c / q W J Y M e l n h 9 e d t q H H w + b 6 P s J 7 O Z O c h u Q z v L H l g F 7 / s U O b W 3 R R E 9 a N h I K 1 h o w 4 8 C 4 H 9 N F N x R O R k M S p f k 8 X h i W D j z y G d o x V u F L h P c 5 / W E T W z b n e c 1 t A r y J T f 8 V / + A n V y k d k 6 + o D W M Z 0 t E w I g M Q 6 p a 4 0 B j e V 6 j e X q 1 7 W Z i l 1 p 4 f j 2 n o D / 3 A 9 7 D H 7 3 g i 2 w h J a O Q R V v X H + F J Q H O d s A s L P V Z p W y A f W z w y U m 7 3 P Q 1 i m O E b e Z B z 4 L v b w 0 j h q N p S Q j K Z s c 9 a B S N F k m N b 2 7 A f 0 H v J g 7 G O J W 5 / l U o g y D w l i 0 C Y h 7 E 6 z H G q I p G I e K P I A p t b C 1 T m N b B x e p i c J r I B Q B H 9 F e P p r T c T n G I r F B G P e L X k 1 E c H u F R T z m 6 T V 8 z 0 v I I 1 B E 7 W / b q L D d 8 X S V W 3 k d p 2 V K x X Y 1 d 7 t D Q z e F l v 8 m I b e e u a u z r J V 9 m 5 n B s 9 Y V V j 7 r z X W L k T p 4 c p k r 1 a A W Q B D H o P u D K K X c 6 g S m R w W o I l t K Y O + f A S w 9 Z H A i V r Y k k h 8 q x R 2 n x p 4 A q I 5 i 1 Z r 8 y J a x 3 h L e L K Q i L W u D w B O d h d x 2 7 7 2 2 W 0 r c H P V i X 7 J 9 j v 3 t H m W T 4 p M 3 O V h A l 8 P P 7 M m b M A S e j j P 5 2 I P A m Z 2 I 3 + 8 a k 5 w l A p 4 Z u B W H U i v g g w M L F 7 S A a v q I 7 9 c q h n B f N M v 8 S z B n f L 8 N Q 5 o N E h B A L 8 k D g V 8 A E g I k F z G p 4 o 9 G T E 4 w j e q s 2 m I d g I h H 7 o + T x I R C H l y G a 3 E S J U o C 4 c Q y Y + D b l i x K 0 Z T / t f q w r t m j R c A n M 2 K O 0 g Z F i / Q l H R s U d N r U 0 h U 7 l E x f 3 J V P 1 d l Q T g S v 1 d M E E q A D k S P 3 z d n g k V z C V k t P 7 p d 9 E 8 N S c r 3 S G l j 9 K 4 p K X M V R f p H J A 2 N o g H s d D A S g o y F u U D s 5 c q 8 j w V 7 R G l b 4 H a C c v L z + S 7 I 8 K W v + T Q u Z e 4 s V 2 f Z u U x H P g P F S V f M M y 6 z u F z K p Y 8 F m z k N c e D D Z o s R v o z I Z S G H Z M 8 r R 3 T R N 7 D 8 G V N m d p S U Q r n z n H o X 7 8 9 L 7 G F k K e 9 F v e v b N b 6 v E H 0 L 9 + c V + A P H Q n a N L k g 7 B 2 B E h f / b g q J s M j + 1 V D A c y O W H l y U g X W Z T R t K q b s g 9 X d m D 6 T 2 Y 3 o P p P Z j e g + k 9 m N 6 D 6 a 3 A 9 F b g L o + k U e G a c H N s l y / 7 F c L k q z 9 7 x 8 Z 5 e W U / E + s f X e d F l P x U m h Z I 8 6 r L / b P a d O 7 a V I h 2 b Z F P S X Y u 8 B m j l 1 b a I W O H N B L X 9 k c s / r W F 9 p G K e 4 w D j + b u 7 P h 1 c 1 K l 7 0 Y + O A B I R R B c A + Z s x b + x t z t q y P T i r y D 3 V f / 3 W v W f 6 g i t u H 1 s d a 5 W O v r Y 8 O B E k N R c G l c e p 8 z T k U v A t Q 9 a c p m 1 4 y H K w 5 6 h s N c t J 0 G C 2 4 + F p M x h T K J r a N 0 i n 3 o k U L O n 9 J B l E I k 9 g g H l J Z A w 9 a g q U + G z H 0 A X W D Q U C c D D 7 G 2 Q R i b 1 D H k 2 z r U b A B p s r Q s g l t I j D 7 A B K o 8 z b C Q a T 1 + V f b e + q 8 o S M i 8 x V L B w j 7 y F d 1 T d s U x D P 9 K 7 u i q r m j M A S P J x 7 6 k n 9 N R i V Z E r P m x 3 / L S u o S v x 6 Y y S v a Q g A + 3 0 1 5 R a N 1 R d k V X T 1 p w D 1 V Q G u u G c 9 s y B J c s H 2 d l U 2 T B z 2 C q M s g c 6 I 3 w G X U V d R t d n d R X W W K f d e N 2 u n o d s s f N J A 6 D S C l W R s H M v U x T i p f U 0 W 3 Y s K 9 u O P K 6 Y Y 5 I a J M 9 3 P c I G Y r t m 5 i m O E t d 4 v X H 1 c e I m 5 0 9 c X + H M A B p 3 6 p T Z f 3 n 2 t J R U c B 6 1 9 Q u i l b e L d w v J 1 n t V r F 0 E Z 2 b P s s 2 e 7 p j 7 y v 9 8 l b / k h d d T C W q L f j m 2 / s D 1 / t U 6 e B 6 j u T P N 9 e p 8 T u O d S 3 y O + e + k v u + v I 1 / j d e T j 4 I c F S p j J 9 w p Q g 6 X Z j m n I 3 Y G s 9 P U z c 4 8 c n g 0 5 C D 2 x 3 V f M L w 0 + i F R 7 q M / L X y O G e N 2 u n o f s J / o j b u e + f a 8 B E t l H 8 O k D D / s B f E 6 G J 8 U T 4 o q I x y S A W k 4 F P f p s h v + X N b J 6 K E A O 6 X i R X n C z t r h a Q T 4 g H G b v d a u Y Y f a O b C 1 t G 7 v Z t / T L j 6 V m N 0 W N u / O Z e B d g 3 Z l E 7 M e F o v l f D i 9 A c C Q h K f 9 t V c 7 2 6 R d S c y k p g s B O w y 5 g / 7 G r K B i M a t 8 g E S o L m m Q r i 9 f L a 3 V E w M d k e f G V D h 6 D Y x v n 4 M + L 3 N 0 a k p p V W m x W t d d T m k V U v R K 1 1 6 s b f h 9 Z / h B z J f P l v w k k l Y B F r Q D f / h 9 Q S w E C L Q A U A A I A C A A t Z I t a J O y H p K Q A A A D 2 A A A A E g A A A A A A A A A A A A A A A A A A A A A A Q 2 9 u Z m l n L 1 B h Y 2 t h Z 2 U u e G 1 s U E s B A i 0 A F A A C A A g A L W S L W g / K 6 a u k A A A A 6 Q A A A B M A A A A A A A A A A A A A A A A A 8 A A A A F t D b 2 5 0 Z W 5 0 X 1 R 5 c G V z X S 5 4 b W x Q S w E C L Q A U A A I A C A A t Z I t a B e d 9 + k Q K A A C C T g A A E w A A A A A A A A A A A A A A A A D h A Q A A R m 9 y b X V s Y X M v U 2 V j d G l v b j E u b V B L B Q Y A A A A A A w A D A M I A A A B y D A 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Q + A A A A A A A A G 7 4 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D T 0 5 U U k F U T 1 N f 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l Z 2 F j a c O z b i 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R d W V y e U l E I i B W Y W x 1 Z T 0 i c 2 N l Z G U y M j d j L W E z O D U t N D B j M C 1 i Y W Q z L T E 3 Y T M 1 O T Q 2 Y W R h Y i I g L z 4 8 R W 5 0 c n k g V H l w Z T 0 i T G 9 h Z G V k V G 9 B b m F s e X N p c 1 N l c n Z p Y 2 V z I i B W Y W x 1 Z T 0 i b D A i I C 8 + P E V u d H J 5 I F R 5 c G U 9 I k Z p b G x M Y X N 0 V X B k Y X R l Z C I g V m F s d W U 9 I m Q y M D I 1 L T A 0 L T E x V D E 3 O j M z O j E y L j I 0 M T k 3 M D Z a I i A v P j x F b n R y e S B U e X B l P S J G a W x s R X J y b 3 J D b 3 V u d C I g V m F s d W U 9 I m w z M T E i I C 8 + P E V u d H J 5 I F R 5 c G U 9 I k Z p b G x F c n J v c k N v Z G U i I F Z h b H V l P S J z V W 5 r b m 9 3 b i I g L z 4 8 R W 5 0 c n k g V H l w Z T 0 i R m l s b E N v b H V t b l R 5 c G V z I i B W Y W x 1 Z T 0 i c 0 F 3 W U R C Z 1 l E Q m d N Q U J n W U d C Z 1 l H Q m d Z R 0 J n W U d B d 1 l B Q m d Z R 0 J n W U d C Z 1 l H Q m d Z R 0 J n W U F B Q U F H I i A v P j x F b n R y e S B U e X B l P S J G a W x s Q 2 9 s d W 1 u T m F t Z X M i I F Z h b H V l P S J z W y Z x d W 9 0 O 8 O N V E V N I E R F T C B Q T E F O I E F O V U F M I E R F I E F E U V V J U 0 l D S U 9 O R V M m c X V v d D s s J n F 1 b 3 Q 7 Q U J P R 0 F E T y Z x d W 9 0 O y w m c X V v d D t O b y w m c X V v d D s s J n F 1 b 3 Q 7 T 0 J K R V R P J n F 1 b 3 Q 7 L C Z x d W 9 0 O 0 N P T l R S Q V R J U 1 R B J n F 1 b 3 Q 7 L C Z x d W 9 0 O 0 P D i U R V T E E g T y B O S V Q m c X V v d D s s J n F 1 b 3 Q 7 R M O N R 0 l U T y B E R S B W R V J J R k l D Q U N J w 5 J O J n F 1 b 3 Q 7 L C Z x d W 9 0 O 1 Z B T E 9 S I E N P T l R S Q V R P J n F 1 b 3 Q 7 L C Z x d W 9 0 O 1 Z B T E 9 S I F J D U C Z x d W 9 0 O y w m c X V v d D t G Z W N o Y S B J b m l j a W 8 g Z G U g Q 2 9 u d H J h d G 8 m c X V v d D s s J n F 1 b 3 Q 7 R m V j a G E g V G V y b W l u Y W M g Q 2 9 u d H J h d G 8 m c X V v d D s s J n F 1 b 3 Q 7 U G x h e m 8 g a W 5 p Y 2 l h b C Z x d W 9 0 O y w m c X V v d D t G Z W N o Y S B U Z X J t a W 5 h Y y B D b 2 5 0 c m F 0 b y A r I F B y w 7 N y c m 9 n Y X M m c X V v d D s s J n F 1 b 3 Q 7 U G x h e m 8 g K y B Q c s O z c n J v Z 2 F z J n F 1 b 3 Q 7 L C Z x d W 9 0 O 1 N V U E V S V k l T T 1 I m c X V v d D s s J n F 1 b 3 Q 7 R E 9 D V U 1 F T l R P I F N V U E V S V k l T T 1 I m c X V v d D s s J n F 1 b 3 Q 7 R E V Q R U 5 E R U 5 D S U E g R E V M I F N V U E V S V k l T T 1 I m c X V v d D s s J n F 1 b 3 Q 7 T l V F V k 8 g U 1 V Q R V J W S V N P U i Z x d W 9 0 O y w m c X V v d D t E T 0 N V T U V O V E 8 g U 1 V Q R V J W S V N P U l 8 x J n F 1 b 3 Q 7 L C Z x d W 9 0 O 0 R F U E V O R E V O Q 0 l B I E R F T C B T V V B F U l Z J U 0 9 S X z I m c X V v d D s s J n F 1 b 3 Q 7 Q 0 R Q I E 5 v L C Z x d W 9 0 O y w m c X V v d D t O b y w g U k V H S V N U U k 8 g U F B U Q U w m c X V v d D s s J n F 1 b 3 Q 7 T m 8 s I F J F R 0 l T V F J P I F B Q V E F M I E F E S U N J w 5 N O J n F 1 b 3 Q 7 L C Z x d W 9 0 O 0 Z F Q 0 h B I F J F R 0 l T V F J P I F B Q V E F M L C Z x d W 9 0 O y w m c X V v d D t G R U N I Q S B B U E V S V F V S Q S Z x d W 9 0 O y w m c X V v d D s g R k V D S E E g Q V B S T 0 J B Q 0 n D k 0 4 g U E 9 M S V p B J n F 1 b 3 Q 7 L C Z x d W 9 0 O 1 B S T 0 N F U 0 8 g Q 0 9 O V F J B V E F D S U 9 O J n F 1 b 3 Q 7 L C Z x d W 9 0 O 1 R J U E 9 M T 0 d J Q S Z x d W 9 0 O y w m c X V v d D t G T 1 J N Q S B E R S B Q Q U d P J n F 1 b 3 Q 7 L C Z x d W 9 0 O 1 J F U F J F U 0 V O V E F O V E U g T E V H Q U w m c X V v d D s s J n F 1 b 3 Q 7 Q 0 V E V U x B I F J F U F J F U 0 V O V E F O V E U g T E V H Q U w m c X V v d D s s J n F 1 b 3 Q 7 T U 9 E S U Z J Q 0 F D S c O T T i A x J n F 1 b 3 Q 7 L C Z x d W 9 0 O 0 1 P R E l G S U N B Q 0 n D k 0 4 g M i Z x d W 9 0 O y w m c X V v d D t N T 0 R J R k l D Q U N J w 5 N O I D M m c X V v d D s s J n F 1 b 3 Q 7 T U 9 E S U Z J Q 0 F D S U 9 O I D Q m c X V v d D s s J n F 1 b 3 Q 7 Q U N U Q S B E R S B U R V J N S U 5 B Q 0 n D k 0 4 m c X V v d D s s J n F 1 b 3 Q 7 Q U N U Q S B E R S B M S V F V S U R B Q 0 n D k 0 4 m c X V v d D s s J n F 1 b 3 Q 7 T E l O S y B T R U N P U C Z x d W 9 0 O y w m c X V v d D t W Q U x P U i B Q Q U d B R E 8 g U 0 V D T 1 A m c X V v d D s s J n F 1 b 3 Q 7 V k F M T 1 I g U E F H Q U R P I F J F Q U w m c X V v d D s s J n F 1 b 3 Q 7 R E l G R V J F T k N J Q S Z x d W 9 0 O y w m c X V v d D t D b 2 x 1 b W 4 0 M i Z x d W 9 0 O 1 0 i I C 8 + P E V u d H J 5 I F R 5 c G U 9 I k Z p b G x D b 3 V u d C I g V m F s d W U 9 I m w x M D Q 4 N T c y I i A v P j x F b n R y e S B U e X B l P S J G a W x s U 3 R h d H V z I i B W Y W x 1 Z T 0 i c 0 N v b X B s Z X R l I i A v P j x F b n R y e S B U e X B l P S J B Z G R l Z F R v R G F 0 Y U 1 v Z G V s I i B W Y W x 1 Z T 0 i b D A i I C 8 + P E V u d H J 5 I F R 5 c G U 9 I l J l b G F 0 a W 9 u c 2 h p c E l u Z m 9 D b 2 5 0 Y W l u Z X I i I F Z h b H V l P S J z e y Z x d W 9 0 O 2 N v b H V t b k N v d W 5 0 J n F 1 b 3 Q 7 O j Q y L C Z x d W 9 0 O 2 t l e U N v b H V t b k 5 h b W V z J n F 1 b 3 Q 7 O l t d L C Z x d W 9 0 O 3 F 1 Z X J 5 U m V s Y X R p b 2 5 z a G l w c y Z x d W 9 0 O z p b X S w m c X V v d D t j b 2 x 1 b W 5 J Z G V u d G l 0 a W V z J n F 1 b 3 Q 7 O l s m c X V v d D t T Z W N 0 a W 9 u M S 9 D T 0 5 U U k F U T 1 N f L 0 F 1 d G 9 S Z W 1 v d m V k Q 2 9 s d W 1 u c z E u e 8 O N V E V N I E R F T C B Q T E F O I E F O V U F M I E R F I E F E U V V J U 0 l D S U 9 O R V M s M H 0 m c X V v d D s s J n F 1 b 3 Q 7 U 2 V j d G l v b j E v Q 0 9 O V F J B V E 9 T X y 9 B d X R v U m V t b 3 Z l Z E N v b H V t b n M x L n t B Q k 9 H Q U R P L D F 9 J n F 1 b 3 Q 7 L C Z x d W 9 0 O 1 N l Y 3 R p b 2 4 x L 0 N P T l R S Q V R P U 1 8 v Q X V 0 b 1 J l b W 9 2 Z W R D b 2 x 1 b W 5 z M S 5 7 T m 8 s L D J 9 J n F 1 b 3 Q 7 L C Z x d W 9 0 O 1 N l Y 3 R p b 2 4 x L 0 N P T l R S Q V R P U 1 8 v Q X V 0 b 1 J l b W 9 2 Z W R D b 2 x 1 b W 5 z M S 5 7 T 0 J K R V R P L D N 9 J n F 1 b 3 Q 7 L C Z x d W 9 0 O 1 N l Y 3 R p b 2 4 x L 0 N P T l R S Q V R P U 1 8 v Q X V 0 b 1 J l b W 9 2 Z W R D b 2 x 1 b W 5 z M S 5 7 Q 0 9 O V F J B V E l T V E E s N H 0 m c X V v d D s s J n F 1 b 3 Q 7 U 2 V j d G l v b j E v Q 0 9 O V F J B V E 9 T X y 9 B d X R v U m V t b 3 Z l Z E N v b H V t b n M x L n t D w 4 l E V U x B I E 8 g T k l U L D V 9 J n F 1 b 3 Q 7 L C Z x d W 9 0 O 1 N l Y 3 R p b 2 4 x L 0 N P T l R S Q V R P U 1 8 v Q X V 0 b 1 J l b W 9 2 Z W R D b 2 x 1 b W 5 z M S 5 7 R M O N R 0 l U T y B E R S B W R V J J R k l D Q U N J w 5 J O L D Z 9 J n F 1 b 3 Q 7 L C Z x d W 9 0 O 1 N l Y 3 R p b 2 4 x L 0 N P T l R S Q V R P U 1 8 v Q X V 0 b 1 J l b W 9 2 Z W R D b 2 x 1 b W 5 z M S 5 7 V k F M T 1 I g Q 0 9 O V F J B V E 8 s N 3 0 m c X V v d D s s J n F 1 b 3 Q 7 U 2 V j d G l v b j E v Q 0 9 O V F J B V E 9 T X y 9 B d X R v U m V t b 3 Z l Z E N v b H V t b n M x L n t W Q U x P U i B S Q 1 A s O H 0 m c X V v d D s s J n F 1 b 3 Q 7 U 2 V j d G l v b j E v Q 0 9 O V F J B V E 9 T X y 9 B d X R v U m V t b 3 Z l Z E N v b H V t b n M x L n t G Z W N o Y S B J b m l j a W 8 g Z G U g Q 2 9 u d H J h d G 8 s O X 0 m c X V v d D s s J n F 1 b 3 Q 7 U 2 V j d G l v b j E v Q 0 9 O V F J B V E 9 T X y 9 B d X R v U m V t b 3 Z l Z E N v b H V t b n M x L n t G Z W N o Y S B U Z X J t a W 5 h Y y B D b 2 5 0 c m F 0 b y w x M H 0 m c X V v d D s s J n F 1 b 3 Q 7 U 2 V j d G l v b j E v Q 0 9 O V F J B V E 9 T X y 9 B d X R v U m V t b 3 Z l Z E N v b H V t b n M x L n t Q b G F 6 b y B p b m l j a W F s L D E x f S Z x d W 9 0 O y w m c X V v d D t T Z W N 0 a W 9 u M S 9 D T 0 5 U U k F U T 1 N f L 0 F 1 d G 9 S Z W 1 v d m V k Q 2 9 s d W 1 u c z E u e 0 Z l Y 2 h h I F R l c m 1 p b m F j I E N v b n R y Y X R v I C s g U H L D s 3 J y b 2 d h c y w x M n 0 m c X V v d D s s J n F 1 b 3 Q 7 U 2 V j d G l v b j E v Q 0 9 O V F J B V E 9 T X y 9 B d X R v U m V t b 3 Z l Z E N v b H V t b n M x L n t Q b G F 6 b y A r I F B y w 7 N y c m 9 n Y X M s M T N 9 J n F 1 b 3 Q 7 L C Z x d W 9 0 O 1 N l Y 3 R p b 2 4 x L 0 N P T l R S Q V R P U 1 8 v Q X V 0 b 1 J l b W 9 2 Z W R D b 2 x 1 b W 5 z M S 5 7 U 1 V Q R V J W S V N P U i w x N H 0 m c X V v d D s s J n F 1 b 3 Q 7 U 2 V j d G l v b j E v Q 0 9 O V F J B V E 9 T X y 9 B d X R v U m V t b 3 Z l Z E N v b H V t b n M x L n t E T 0 N V T U V O V E 8 g U 1 V Q R V J W S V N P U i w x N X 0 m c X V v d D s s J n F 1 b 3 Q 7 U 2 V j d G l v b j E v Q 0 9 O V F J B V E 9 T X y 9 B d X R v U m V t b 3 Z l Z E N v b H V t b n M x L n t E R V B F T k R F T k N J Q S B E R U w g U 1 V Q R V J W S V N P U i w x N n 0 m c X V v d D s s J n F 1 b 3 Q 7 U 2 V j d G l v b j E v Q 0 9 O V F J B V E 9 T X y 9 B d X R v U m V t b 3 Z l Z E N v b H V t b n M x L n t O V U V W T y B T V V B F U l Z J U 0 9 S L D E 3 f S Z x d W 9 0 O y w m c X V v d D t T Z W N 0 a W 9 u M S 9 D T 0 5 U U k F U T 1 N f L 0 F 1 d G 9 S Z W 1 v d m V k Q 2 9 s d W 1 u c z E u e 0 R P Q 1 V N R U 5 U T y B T V V B F U l Z J U 0 9 S X z E s M T h 9 J n F 1 b 3 Q 7 L C Z x d W 9 0 O 1 N l Y 3 R p b 2 4 x L 0 N P T l R S Q V R P U 1 8 v Q X V 0 b 1 J l b W 9 2 Z W R D b 2 x 1 b W 5 z M S 5 7 R E V Q R U 5 E R U 5 D S U E g R E V M I F N V U E V S V k l T T 1 J f M i w x O X 0 m c X V v d D s s J n F 1 b 3 Q 7 U 2 V j d G l v b j E v Q 0 9 O V F J B V E 9 T X y 9 B d X R v U m V t b 3 Z l Z E N v b H V t b n M x L n t D R F A g T m 8 s L D I w f S Z x d W 9 0 O y w m c X V v d D t T Z W N 0 a W 9 u M S 9 D T 0 5 U U k F U T 1 N f L 0 F 1 d G 9 S Z W 1 v d m V k Q 2 9 s d W 1 u c z E u e 0 5 v L C B S R U d J U 1 R S T y B Q U F R B T C w y M X 0 m c X V v d D s s J n F 1 b 3 Q 7 U 2 V j d G l v b j E v Q 0 9 O V F J B V E 9 T X y 9 B d X R v U m V t b 3 Z l Z E N v b H V t b n M x L n t O b y w g U k V H S V N U U k 8 g U F B U Q U w g Q U R J Q 0 n D k 0 4 s M j J 9 J n F 1 b 3 Q 7 L C Z x d W 9 0 O 1 N l Y 3 R p b 2 4 x L 0 N P T l R S Q V R P U 1 8 v Q X V 0 b 1 J l b W 9 2 Z W R D b 2 x 1 b W 5 z M S 5 7 R k V D S E E g U k V H S V N U U k 8 g U F B U Q U w s L D I z f S Z x d W 9 0 O y w m c X V v d D t T Z W N 0 a W 9 u M S 9 D T 0 5 U U k F U T 1 N f L 0 F 1 d G 9 S Z W 1 v d m V k Q 2 9 s d W 1 u c z E u e 0 Z F Q 0 h B I E F Q R V J U V V J B L D I 0 f S Z x d W 9 0 O y w m c X V v d D t T Z W N 0 a W 9 u M S 9 D T 0 5 U U k F U T 1 N f L 0 F 1 d G 9 S Z W 1 v d m V k Q 2 9 s d W 1 u c z E u e y B G R U N I Q S B B U F J P Q k F D S c O T T i B Q T 0 x J W k E s M j V 9 J n F 1 b 3 Q 7 L C Z x d W 9 0 O 1 N l Y 3 R p b 2 4 x L 0 N P T l R S Q V R P U 1 8 v Q X V 0 b 1 J l b W 9 2 Z W R D b 2 x 1 b W 5 z M S 5 7 U F J P Q 0 V T T y B D T 0 5 U U k F U Q U N J T 0 4 s M j Z 9 J n F 1 b 3 Q 7 L C Z x d W 9 0 O 1 N l Y 3 R p b 2 4 x L 0 N P T l R S Q V R P U 1 8 v Q X V 0 b 1 J l b W 9 2 Z W R D b 2 x 1 b W 5 z M S 5 7 V E l Q T 0 x P R 0 l B L D I 3 f S Z x d W 9 0 O y w m c X V v d D t T Z W N 0 a W 9 u M S 9 D T 0 5 U U k F U T 1 N f L 0 F 1 d G 9 S Z W 1 v d m V k Q 2 9 s d W 1 u c z E u e 0 Z P U k 1 B I E R F I F B B R 0 8 s M j h 9 J n F 1 b 3 Q 7 L C Z x d W 9 0 O 1 N l Y 3 R p b 2 4 x L 0 N P T l R S Q V R P U 1 8 v Q X V 0 b 1 J l b W 9 2 Z W R D b 2 x 1 b W 5 z M S 5 7 U k V Q U k V T R U 5 U Q U 5 U R S B M R U d B T C w y O X 0 m c X V v d D s s J n F 1 b 3 Q 7 U 2 V j d G l v b j E v Q 0 9 O V F J B V E 9 T X y 9 B d X R v U m V t b 3 Z l Z E N v b H V t b n M x L n t D R U R V T E E g U k V Q U k V T R U 5 U Q U 5 U R S B M R U d B T C w z M H 0 m c X V v d D s s J n F 1 b 3 Q 7 U 2 V j d G l v b j E v Q 0 9 O V F J B V E 9 T X y 9 B d X R v U m V t b 3 Z l Z E N v b H V t b n M x L n t N T 0 R J R k l D Q U N J w 5 N O I D E s M z F 9 J n F 1 b 3 Q 7 L C Z x d W 9 0 O 1 N l Y 3 R p b 2 4 x L 0 N P T l R S Q V R P U 1 8 v Q X V 0 b 1 J l b W 9 2 Z W R D b 2 x 1 b W 5 z M S 5 7 T U 9 E S U Z J Q 0 F D S c O T T i A y L D M y f S Z x d W 9 0 O y w m c X V v d D t T Z W N 0 a W 9 u M S 9 D T 0 5 U U k F U T 1 N f L 0 F 1 d G 9 S Z W 1 v d m V k Q 2 9 s d W 1 u c z E u e 0 1 P R E l G S U N B Q 0 n D k 0 4 g M y w z M 3 0 m c X V v d D s s J n F 1 b 3 Q 7 U 2 V j d G l v b j E v Q 0 9 O V F J B V E 9 T X y 9 B d X R v U m V t b 3 Z l Z E N v b H V t b n M x L n t N T 0 R J R k l D Q U N J T 0 4 g N C w z N H 0 m c X V v d D s s J n F 1 b 3 Q 7 U 2 V j d G l v b j E v Q 0 9 O V F J B V E 9 T X y 9 B d X R v U m V t b 3 Z l Z E N v b H V t b n M x L n t B Q 1 R B I E R F I F R F U k 1 J T k F D S c O T T i w z N X 0 m c X V v d D s s J n F 1 b 3 Q 7 U 2 V j d G l v b j E v Q 0 9 O V F J B V E 9 T X y 9 B d X R v U m V t b 3 Z l Z E N v b H V t b n M x L n t B Q 1 R B I E R F I E x J U V V J R E F D S c O T T i w z N n 0 m c X V v d D s s J n F 1 b 3 Q 7 U 2 V j d G l v b j E v Q 0 9 O V F J B V E 9 T X y 9 B d X R v U m V t b 3 Z l Z E N v b H V t b n M x L n t M S U 5 L I F N F Q 0 9 Q L D M 3 f S Z x d W 9 0 O y w m c X V v d D t T Z W N 0 a W 9 u M S 9 D T 0 5 U U k F U T 1 N f L 0 F 1 d G 9 S Z W 1 v d m V k Q 2 9 s d W 1 u c z E u e 1 Z B T E 9 S I F B B R 0 F E T y B T R U N P U C w z O H 0 m c X V v d D s s J n F 1 b 3 Q 7 U 2 V j d G l v b j E v Q 0 9 O V F J B V E 9 T X y 9 B d X R v U m V t b 3 Z l Z E N v b H V t b n M x L n t W Q U x P U i B Q Q U d B R E 8 g U k V B T C w z O X 0 m c X V v d D s s J n F 1 b 3 Q 7 U 2 V j d G l v b j E v Q 0 9 O V F J B V E 9 T X y 9 B d X R v U m V t b 3 Z l Z E N v b H V t b n M x L n t E S U Z F U k V O Q 0 l B L D Q w f S Z x d W 9 0 O y w m c X V v d D t T Z W N 0 a W 9 u M S 9 D T 0 5 U U k F U T 1 N f L 0 F 1 d G 9 S Z W 1 v d m V k Q 2 9 s d W 1 u c z E u e 0 N v b H V t b j Q y L D Q x f S Z x d W 9 0 O 1 0 s J n F 1 b 3 Q 7 Q 2 9 s d W 1 u Q 2 9 1 b n Q m c X V v d D s 6 N D I s J n F 1 b 3 Q 7 S 2 V 5 Q 2 9 s d W 1 u T m F t Z X M m c X V v d D s 6 W 1 0 s J n F 1 b 3 Q 7 Q 2 9 s d W 1 u S W R l b n R p d G l l c y Z x d W 9 0 O z p b J n F 1 b 3 Q 7 U 2 V j d G l v b j E v Q 0 9 O V F J B V E 9 T X y 9 B d X R v U m V t b 3 Z l Z E N v b H V t b n M x L n v D j V R F T S B E R U w g U E x B T i B B T l V B T C B E R S B B R F F V S V N J Q 0 l P T k V T L D B 9 J n F 1 b 3 Q 7 L C Z x d W 9 0 O 1 N l Y 3 R p b 2 4 x L 0 N P T l R S Q V R P U 1 8 v Q X V 0 b 1 J l b W 9 2 Z W R D b 2 x 1 b W 5 z M S 5 7 Q U J P R 0 F E T y w x f S Z x d W 9 0 O y w m c X V v d D t T Z W N 0 a W 9 u M S 9 D T 0 5 U U k F U T 1 N f L 0 F 1 d G 9 S Z W 1 v d m V k Q 2 9 s d W 1 u c z E u e 0 5 v L C w y f S Z x d W 9 0 O y w m c X V v d D t T Z W N 0 a W 9 u M S 9 D T 0 5 U U k F U T 1 N f L 0 F 1 d G 9 S Z W 1 v d m V k Q 2 9 s d W 1 u c z E u e 0 9 C S k V U T y w z f S Z x d W 9 0 O y w m c X V v d D t T Z W N 0 a W 9 u M S 9 D T 0 5 U U k F U T 1 N f L 0 F 1 d G 9 S Z W 1 v d m V k Q 2 9 s d W 1 u c z E u e 0 N P T l R S Q V R J U 1 R B L D R 9 J n F 1 b 3 Q 7 L C Z x d W 9 0 O 1 N l Y 3 R p b 2 4 x L 0 N P T l R S Q V R P U 1 8 v Q X V 0 b 1 J l b W 9 2 Z W R D b 2 x 1 b W 5 z M S 5 7 Q 8 O J R F V M Q S B P I E 5 J V C w 1 f S Z x d W 9 0 O y w m c X V v d D t T Z W N 0 a W 9 u M S 9 D T 0 5 U U k F U T 1 N f L 0 F 1 d G 9 S Z W 1 v d m V k Q 2 9 s d W 1 u c z E u e 0 T D j U d J V E 8 g R E U g V k V S S U Z J Q 0 F D S c O S T i w 2 f S Z x d W 9 0 O y w m c X V v d D t T Z W N 0 a W 9 u M S 9 D T 0 5 U U k F U T 1 N f L 0 F 1 d G 9 S Z W 1 v d m V k Q 2 9 s d W 1 u c z E u e 1 Z B T E 9 S I E N P T l R S Q V R P L D d 9 J n F 1 b 3 Q 7 L C Z x d W 9 0 O 1 N l Y 3 R p b 2 4 x L 0 N P T l R S Q V R P U 1 8 v Q X V 0 b 1 J l b W 9 2 Z W R D b 2 x 1 b W 5 z M S 5 7 V k F M T 1 I g U k N Q L D h 9 J n F 1 b 3 Q 7 L C Z x d W 9 0 O 1 N l Y 3 R p b 2 4 x L 0 N P T l R S Q V R P U 1 8 v Q X V 0 b 1 J l b W 9 2 Z W R D b 2 x 1 b W 5 z M S 5 7 R m V j a G E g S W 5 p Y 2 l v I G R l I E N v b n R y Y X R v L D l 9 J n F 1 b 3 Q 7 L C Z x d W 9 0 O 1 N l Y 3 R p b 2 4 x L 0 N P T l R S Q V R P U 1 8 v Q X V 0 b 1 J l b W 9 2 Z W R D b 2 x 1 b W 5 z M S 5 7 R m V j a G E g V G V y b W l u Y W M g Q 2 9 u d H J h d G 8 s M T B 9 J n F 1 b 3 Q 7 L C Z x d W 9 0 O 1 N l Y 3 R p b 2 4 x L 0 N P T l R S Q V R P U 1 8 v Q X V 0 b 1 J l b W 9 2 Z W R D b 2 x 1 b W 5 z M S 5 7 U G x h e m 8 g a W 5 p Y 2 l h b C w x M X 0 m c X V v d D s s J n F 1 b 3 Q 7 U 2 V j d G l v b j E v Q 0 9 O V F J B V E 9 T X y 9 B d X R v U m V t b 3 Z l Z E N v b H V t b n M x L n t G Z W N o Y S B U Z X J t a W 5 h Y y B D b 2 5 0 c m F 0 b y A r I F B y w 7 N y c m 9 n Y X M s M T J 9 J n F 1 b 3 Q 7 L C Z x d W 9 0 O 1 N l Y 3 R p b 2 4 x L 0 N P T l R S Q V R P U 1 8 v Q X V 0 b 1 J l b W 9 2 Z W R D b 2 x 1 b W 5 z M S 5 7 U G x h e m 8 g K y B Q c s O z c n J v Z 2 F z L D E z f S Z x d W 9 0 O y w m c X V v d D t T Z W N 0 a W 9 u M S 9 D T 0 5 U U k F U T 1 N f L 0 F 1 d G 9 S Z W 1 v d m V k Q 2 9 s d W 1 u c z E u e 1 N V U E V S V k l T T 1 I s M T R 9 J n F 1 b 3 Q 7 L C Z x d W 9 0 O 1 N l Y 3 R p b 2 4 x L 0 N P T l R S Q V R P U 1 8 v Q X V 0 b 1 J l b W 9 2 Z W R D b 2 x 1 b W 5 z M S 5 7 R E 9 D V U 1 F T l R P I F N V U E V S V k l T T 1 I s M T V 9 J n F 1 b 3 Q 7 L C Z x d W 9 0 O 1 N l Y 3 R p b 2 4 x L 0 N P T l R S Q V R P U 1 8 v Q X V 0 b 1 J l b W 9 2 Z W R D b 2 x 1 b W 5 z M S 5 7 R E V Q R U 5 E R U 5 D S U E g R E V M I F N V U E V S V k l T T 1 I s M T Z 9 J n F 1 b 3 Q 7 L C Z x d W 9 0 O 1 N l Y 3 R p b 2 4 x L 0 N P T l R S Q V R P U 1 8 v Q X V 0 b 1 J l b W 9 2 Z W R D b 2 x 1 b W 5 z M S 5 7 T l V F V k 8 g U 1 V Q R V J W S V N P U i w x N 3 0 m c X V v d D s s J n F 1 b 3 Q 7 U 2 V j d G l v b j E v Q 0 9 O V F J B V E 9 T X y 9 B d X R v U m V t b 3 Z l Z E N v b H V t b n M x L n t E T 0 N V T U V O V E 8 g U 1 V Q R V J W S V N P U l 8 x L D E 4 f S Z x d W 9 0 O y w m c X V v d D t T Z W N 0 a W 9 u M S 9 D T 0 5 U U k F U T 1 N f L 0 F 1 d G 9 S Z W 1 v d m V k Q 2 9 s d W 1 u c z E u e 0 R F U E V O R E V O Q 0 l B I E R F T C B T V V B F U l Z J U 0 9 S X z I s M T l 9 J n F 1 b 3 Q 7 L C Z x d W 9 0 O 1 N l Y 3 R p b 2 4 x L 0 N P T l R S Q V R P U 1 8 v Q X V 0 b 1 J l b W 9 2 Z W R D b 2 x 1 b W 5 z M S 5 7 Q 0 R Q I E 5 v L C w y M H 0 m c X V v d D s s J n F 1 b 3 Q 7 U 2 V j d G l v b j E v Q 0 9 O V F J B V E 9 T X y 9 B d X R v U m V t b 3 Z l Z E N v b H V t b n M x L n t O b y w g U k V H S V N U U k 8 g U F B U Q U w s M j F 9 J n F 1 b 3 Q 7 L C Z x d W 9 0 O 1 N l Y 3 R p b 2 4 x L 0 N P T l R S Q V R P U 1 8 v Q X V 0 b 1 J l b W 9 2 Z W R D b 2 x 1 b W 5 z M S 5 7 T m 8 s I F J F R 0 l T V F J P I F B Q V E F M I E F E S U N J w 5 N O L D I y f S Z x d W 9 0 O y w m c X V v d D t T Z W N 0 a W 9 u M S 9 D T 0 5 U U k F U T 1 N f L 0 F 1 d G 9 S Z W 1 v d m V k Q 2 9 s d W 1 u c z E u e 0 Z F Q 0 h B I F J F R 0 l T V F J P I F B Q V E F M L C w y M 3 0 m c X V v d D s s J n F 1 b 3 Q 7 U 2 V j d G l v b j E v Q 0 9 O V F J B V E 9 T X y 9 B d X R v U m V t b 3 Z l Z E N v b H V t b n M x L n t G R U N I Q S B B U E V S V F V S Q S w y N H 0 m c X V v d D s s J n F 1 b 3 Q 7 U 2 V j d G l v b j E v Q 0 9 O V F J B V E 9 T X y 9 B d X R v U m V t b 3 Z l Z E N v b H V t b n M x L n s g R k V D S E E g Q V B S T 0 J B Q 0 n D k 0 4 g U E 9 M S V p B L D I 1 f S Z x d W 9 0 O y w m c X V v d D t T Z W N 0 a W 9 u M S 9 D T 0 5 U U k F U T 1 N f L 0 F 1 d G 9 S Z W 1 v d m V k Q 2 9 s d W 1 u c z E u e 1 B S T 0 N F U 0 8 g Q 0 9 O V F J B V E F D S U 9 O L D I 2 f S Z x d W 9 0 O y w m c X V v d D t T Z W N 0 a W 9 u M S 9 D T 0 5 U U k F U T 1 N f L 0 F 1 d G 9 S Z W 1 v d m V k Q 2 9 s d W 1 u c z E u e 1 R J U E 9 M T 0 d J Q S w y N 3 0 m c X V v d D s s J n F 1 b 3 Q 7 U 2 V j d G l v b j E v Q 0 9 O V F J B V E 9 T X y 9 B d X R v U m V t b 3 Z l Z E N v b H V t b n M x L n t G T 1 J N Q S B E R S B Q Q U d P L D I 4 f S Z x d W 9 0 O y w m c X V v d D t T Z W N 0 a W 9 u M S 9 D T 0 5 U U k F U T 1 N f L 0 F 1 d G 9 S Z W 1 v d m V k Q 2 9 s d W 1 u c z E u e 1 J F U F J F U 0 V O V E F O V E U g T E V H Q U w s M j l 9 J n F 1 b 3 Q 7 L C Z x d W 9 0 O 1 N l Y 3 R p b 2 4 x L 0 N P T l R S Q V R P U 1 8 v Q X V 0 b 1 J l b W 9 2 Z W R D b 2 x 1 b W 5 z M S 5 7 Q 0 V E V U x B I F J F U F J F U 0 V O V E F O V E U g T E V H Q U w s M z B 9 J n F 1 b 3 Q 7 L C Z x d W 9 0 O 1 N l Y 3 R p b 2 4 x L 0 N P T l R S Q V R P U 1 8 v Q X V 0 b 1 J l b W 9 2 Z W R D b 2 x 1 b W 5 z M S 5 7 T U 9 E S U Z J Q 0 F D S c O T T i A x L D M x f S Z x d W 9 0 O y w m c X V v d D t T Z W N 0 a W 9 u M S 9 D T 0 5 U U k F U T 1 N f L 0 F 1 d G 9 S Z W 1 v d m V k Q 2 9 s d W 1 u c z E u e 0 1 P R E l G S U N B Q 0 n D k 0 4 g M i w z M n 0 m c X V v d D s s J n F 1 b 3 Q 7 U 2 V j d G l v b j E v Q 0 9 O V F J B V E 9 T X y 9 B d X R v U m V t b 3 Z l Z E N v b H V t b n M x L n t N T 0 R J R k l D Q U N J w 5 N O I D M s M z N 9 J n F 1 b 3 Q 7 L C Z x d W 9 0 O 1 N l Y 3 R p b 2 4 x L 0 N P T l R S Q V R P U 1 8 v Q X V 0 b 1 J l b W 9 2 Z W R D b 2 x 1 b W 5 z M S 5 7 T U 9 E S U Z J Q 0 F D S U 9 O I D Q s M z R 9 J n F 1 b 3 Q 7 L C Z x d W 9 0 O 1 N l Y 3 R p b 2 4 x L 0 N P T l R S Q V R P U 1 8 v Q X V 0 b 1 J l b W 9 2 Z W R D b 2 x 1 b W 5 z M S 5 7 Q U N U Q S B E R S B U R V J N S U 5 B Q 0 n D k 0 4 s M z V 9 J n F 1 b 3 Q 7 L C Z x d W 9 0 O 1 N l Y 3 R p b 2 4 x L 0 N P T l R S Q V R P U 1 8 v Q X V 0 b 1 J l b W 9 2 Z W R D b 2 x 1 b W 5 z M S 5 7 Q U N U Q S B E R S B M S V F V S U R B Q 0 n D k 0 4 s M z Z 9 J n F 1 b 3 Q 7 L C Z x d W 9 0 O 1 N l Y 3 R p b 2 4 x L 0 N P T l R S Q V R P U 1 8 v Q X V 0 b 1 J l b W 9 2 Z W R D b 2 x 1 b W 5 z M S 5 7 T E l O S y B T R U N P U C w z N 3 0 m c X V v d D s s J n F 1 b 3 Q 7 U 2 V j d G l v b j E v Q 0 9 O V F J B V E 9 T X y 9 B d X R v U m V t b 3 Z l Z E N v b H V t b n M x L n t W Q U x P U i B Q Q U d B R E 8 g U 0 V D T 1 A s M z h 9 J n F 1 b 3 Q 7 L C Z x d W 9 0 O 1 N l Y 3 R p b 2 4 x L 0 N P T l R S Q V R P U 1 8 v Q X V 0 b 1 J l b W 9 2 Z W R D b 2 x 1 b W 5 z M S 5 7 V k F M T 1 I g U E F H Q U R P I F J F Q U w s M z l 9 J n F 1 b 3 Q 7 L C Z x d W 9 0 O 1 N l Y 3 R p b 2 4 x L 0 N P T l R S Q V R P U 1 8 v Q X V 0 b 1 J l b W 9 2 Z W R D b 2 x 1 b W 5 z M S 5 7 R E l G R V J F T k N J Q S w 0 M H 0 m c X V v d D s s J n F 1 b 3 Q 7 U 2 V j d G l v b j E v Q 0 9 O V F J B V E 9 T X y 9 B d X R v U m V t b 3 Z l Z E N v b H V t b n M x L n t D b 2 x 1 b W 4 0 M i w 0 M X 0 m c X V v d D t d L C Z x d W 9 0 O 1 J l b G F 0 a W 9 u c 2 h p c E l u Z m 8 m c X V v d D s 6 W 1 1 9 I i A v P j w v U 3 R h Y m x l R W 5 0 c m l l c z 4 8 L 0 l 0 Z W 0 + P E l 0 Z W 0 + P E l 0 Z W 1 M b 2 N h d G l v b j 4 8 S X R l b V R 5 c G U + R m 9 y b X V s Y T w v S X R l b V R 5 c G U + P E l 0 Z W 1 Q Y X R o P l N l Y 3 R p b 2 4 x L 0 N P T l R S Q V R P U 1 8 v T 3 J p Z 2 V u P C 9 J d G V t U G F 0 a D 4 8 L 0 l 0 Z W 1 M b 2 N h d G l v b j 4 8 U 3 R h Y m x l R W 5 0 c m l l c y A v P j w v S X R l b T 4 8 S X R l b T 4 8 S X R l b U x v Y 2 F 0 a W 9 u P j x J d G V t V H l w Z T 5 G b 3 J t d W x h P C 9 J d G V t V H l w Z T 4 8 S X R l b V B h d G g + U 2 V j d G l v b j E v Q U R J Q 0 l P T k V T X 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l Z E N v b X B s Z X R l U m V z d W x 0 V G 9 X b 3 J r c 2 h l Z X Q i I F Z h b H V l P S J s M S I g L z 4 8 R W 5 0 c n k g V H l w Z T 0 i U X V l c n l J R C I g V m F s d W U 9 I n N m M z l i Z W N l N i 0 0 N T R j L T R j Y m Y t Y j Q 3 M S 1 m O T M z Z j U 2 N m U 1 O T M i I C 8 + P E V u d H J 5 I F R 5 c G U 9 I k Z p b G x M Y X N 0 V X B k Y X R l Z C I g V m F s d W U 9 I m Q y M D I 1 L T A 0 L T E x V D E 3 O j M z O j E y L j I 0 M T k 3 M D Z a I i A v P j x F b n R y e S B U e X B l P S J G a W x s R X J y b 3 J D b 3 V u d C I g V m F s d W U 9 I m w z N z g i I C 8 + P E V u d H J 5 I F R 5 c G U 9 I k Z p b G x F c n J v c k N v Z G U i I F Z h b H V l P S J z V W 5 r b m 9 3 b i I g L z 4 8 R W 5 0 c n k g V H l w Z T 0 i R m l s b E N v b H V t b l R 5 c G V z I i B W Y W x 1 Z T 0 i c 0 F 3 W U R C Z 1 l H Q m d Z R E J n W U d B d 1 l H Q X d N R 0 J n W U Y i I C 8 + P E V u d H J 5 I F R 5 c G U 9 I k Z p b G x D b 2 x 1 b W 5 O Y W 1 l c y I g V m F s d W U 9 I n N b J n F 1 b 3 Q 7 w 4 1 U R U 0 g R E V M I F B M Q U 4 g Q U 5 V Q U w g R E U g Q U R R V U l T S U N J T 0 5 F U y Z x d W 9 0 O y w m c X V v d D t B Q k 9 H Q U R P J n F 1 b 3 Q 7 L C Z x d W 9 0 O 0 F k a W N p w 7 N u I G F s I G N v b n R y Y X R v I G 7 D u m 1 l c m 8 m c X V v d D s s J n F 1 b 3 Q 7 T 0 J K R V R P J n F 1 b 3 Q 7 L C Z x d W 9 0 O 0 N P T l R S Q V R J U 1 R B J n F 1 b 3 Q 7 L C Z x d W 9 0 O 0 P D i U R V T E E g T y B O S V Q m c X V v d D s s J n F 1 b 3 Q 7 R M O N R 0 l U T y B E R S B W R V J J R k l D Q U N J w 5 J O J n F 1 b 3 Q 7 L C Z x d W 9 0 O 1 Z B T E 9 S I E F E S U N J w 5 N O J n F 1 b 3 Q 7 L C Z x d W 9 0 O 1 Z B T E 9 S I E N P T l R S Q V R P I C s g Q U R J Q 0 l P T k V T J n F 1 b 3 Q 7 L C Z x d W 9 0 O 0 Z l Y 2 h h I E l u a W N p b y B Q c s O z c n J v Z 2 E m c X V v d D s s J n F 1 b 3 Q 7 R m V j a G E g V G V y b W l u Y W M g U H L D s 3 J y b 2 d h J n F 1 b 3 Q 7 L C Z x d W 9 0 O 1 B s Y X p v I F B y w 7 N y c m 9 n Y S Z x d W 9 0 O y w m c X V v d D t Q b G F 6 b y B j b 2 5 0 c m F 0 b y A r I F B y w 7 N y c m 9 n Y S Z x d W 9 0 O y w m c X V v d D t D R F A g T m 8 s J n F 1 b 3 Q 7 L C Z x d W 9 0 O 0 5 v L C B S R U d J U 1 R S T y B Q U F R B T C Z x d W 9 0 O y w m c X V v d D t W Q U x P U i B S Q 1 A m c X V v d D s s J n F 1 b 3 Q 7 T m 8 s I F J F R 0 l T V F J P I F B Q V E F M I E F E S U N J w 5 N O J n F 1 b 3 Q 7 L C Z x d W 9 0 O y B G R U N I Q S B B U F J P Q k F D S c O T T i B Q T 0 x J W k E m c X V v d D s s J n F 1 b 3 Q 7 T E l O S y B T R U N P U C Z x d W 9 0 O y w m c X V v d D t U S V B P I E N P T l R S Q V R B Q 0 l P T i Z x d W 9 0 O y w m c X V v d D t D b 2 x 1 b W 4 y M S Z x d W 9 0 O 1 0 i I C 8 + P E V u d H J 5 I F R 5 c G U 9 I k Z p b G x D b 3 V u d C I g V m F s d W U 9 I m w z O D A i I C 8 + P E V u d H J 5 I F R 5 c G U 9 I k Z p b G x T d G F 0 d X M i I F Z h b H V l P S J z Q 2 9 t c G x l d G U i I C 8 + P E V u d H J 5 I F R 5 c G U 9 I k F k Z G V k V G 9 E Y X R h T W 9 k Z W w i I F Z h b H V l P S J s M C I g L z 4 8 R W 5 0 c n k g V H l w Z T 0 i U m V s Y X R p b 2 5 z a G l w S W 5 m b 0 N v b n R h a W 5 l c i I g V m F s d W U 9 I n N 7 J n F 1 b 3 Q 7 Y 2 9 s d W 1 u Q 2 9 1 b n Q m c X V v d D s 6 M j E s J n F 1 b 3 Q 7 a 2 V 5 Q 2 9 s d W 1 u T m F t Z X M m c X V v d D s 6 W 1 0 s J n F 1 b 3 Q 7 c X V l c n l S Z W x h d G l v b n N o a X B z J n F 1 b 3 Q 7 O l t d L C Z x d W 9 0 O 2 N v b H V t b k l k Z W 5 0 a X R p Z X M m c X V v d D s 6 W y Z x d W 9 0 O 1 N l Y 3 R p b 2 4 x L 0 F E S U N J T 0 5 F U 1 8 v Q X V 0 b 1 J l b W 9 2 Z W R D b 2 x 1 b W 5 z M S 5 7 w 4 1 U R U 0 g R E V M I F B M Q U 4 g Q U 5 V Q U w g R E U g Q U R R V U l T S U N J T 0 5 F U y w w f S Z x d W 9 0 O y w m c X V v d D t T Z W N 0 a W 9 u M S 9 B R E l D S U 9 O R V N f L 0 F 1 d G 9 S Z W 1 v d m V k Q 2 9 s d W 1 u c z E u e 0 F C T 0 d B R E 8 s M X 0 m c X V v d D s s J n F 1 b 3 Q 7 U 2 V j d G l v b j E v Q U R J Q 0 l P T k V T X y 9 B d X R v U m V t b 3 Z l Z E N v b H V t b n M x L n t B Z G l j a c O z b i B h b C B j b 2 5 0 c m F 0 b y B u w 7 p t Z X J v L D J 9 J n F 1 b 3 Q 7 L C Z x d W 9 0 O 1 N l Y 3 R p b 2 4 x L 0 F E S U N J T 0 5 F U 1 8 v Q X V 0 b 1 J l b W 9 2 Z W R D b 2 x 1 b W 5 z M S 5 7 T 0 J K R V R P L D N 9 J n F 1 b 3 Q 7 L C Z x d W 9 0 O 1 N l Y 3 R p b 2 4 x L 0 F E S U N J T 0 5 F U 1 8 v Q X V 0 b 1 J l b W 9 2 Z W R D b 2 x 1 b W 5 z M S 5 7 Q 0 9 O V F J B V E l T V E E s N H 0 m c X V v d D s s J n F 1 b 3 Q 7 U 2 V j d G l v b j E v Q U R J Q 0 l P T k V T X y 9 B d X R v U m V t b 3 Z l Z E N v b H V t b n M x L n t D w 4 l E V U x B I E 8 g T k l U L D V 9 J n F 1 b 3 Q 7 L C Z x d W 9 0 O 1 N l Y 3 R p b 2 4 x L 0 F E S U N J T 0 5 F U 1 8 v Q X V 0 b 1 J l b W 9 2 Z W R D b 2 x 1 b W 5 z M S 5 7 R M O N R 0 l U T y B E R S B W R V J J R k l D Q U N J w 5 J O L D Z 9 J n F 1 b 3 Q 7 L C Z x d W 9 0 O 1 N l Y 3 R p b 2 4 x L 0 F E S U N J T 0 5 F U 1 8 v Q X V 0 b 1 J l b W 9 2 Z W R D b 2 x 1 b W 5 z M S 5 7 V k F M T 1 I g Q U R J Q 0 n D k 0 4 s N 3 0 m c X V v d D s s J n F 1 b 3 Q 7 U 2 V j d G l v b j E v Q U R J Q 0 l P T k V T X y 9 B d X R v U m V t b 3 Z l Z E N v b H V t b n M x L n t W Q U x P U i B D T 0 5 U U k F U T y A r I E F E S U N J T 0 5 F U y w 4 f S Z x d W 9 0 O y w m c X V v d D t T Z W N 0 a W 9 u M S 9 B R E l D S U 9 O R V N f L 0 F 1 d G 9 S Z W 1 v d m V k Q 2 9 s d W 1 u c z E u e 0 Z l Y 2 h h I E l u a W N p b y B Q c s O z c n J v Z 2 E s O X 0 m c X V v d D s s J n F 1 b 3 Q 7 U 2 V j d G l v b j E v Q U R J Q 0 l P T k V T X y 9 B d X R v U m V t b 3 Z l Z E N v b H V t b n M x L n t G Z W N o Y S B U Z X J t a W 5 h Y y B Q c s O z c n J v Z 2 E s M T B 9 J n F 1 b 3 Q 7 L C Z x d W 9 0 O 1 N l Y 3 R p b 2 4 x L 0 F E S U N J T 0 5 F U 1 8 v Q X V 0 b 1 J l b W 9 2 Z W R D b 2 x 1 b W 5 z M S 5 7 U G x h e m 8 g U H L D s 3 J y b 2 d h L D E x f S Z x d W 9 0 O y w m c X V v d D t T Z W N 0 a W 9 u M S 9 B R E l D S U 9 O R V N f L 0 F 1 d G 9 S Z W 1 v d m V k Q 2 9 s d W 1 u c z E u e 1 B s Y X p v I G N v b n R y Y X R v I C s g U H L D s 3 J y b 2 d h L D E y f S Z x d W 9 0 O y w m c X V v d D t T Z W N 0 a W 9 u M S 9 B R E l D S U 9 O R V N f L 0 F 1 d G 9 S Z W 1 v d m V k Q 2 9 s d W 1 u c z E u e 0 N E U C B O b y w s M T N 9 J n F 1 b 3 Q 7 L C Z x d W 9 0 O 1 N l Y 3 R p b 2 4 x L 0 F E S U N J T 0 5 F U 1 8 v Q X V 0 b 1 J l b W 9 2 Z W R D b 2 x 1 b W 5 z M S 5 7 T m 8 s I F J F R 0 l T V F J P I F B Q V E F M L D E 0 f S Z x d W 9 0 O y w m c X V v d D t T Z W N 0 a W 9 u M S 9 B R E l D S U 9 O R V N f L 0 F 1 d G 9 S Z W 1 v d m V k Q 2 9 s d W 1 u c z E u e 1 Z B T E 9 S I F J D U C w x N X 0 m c X V v d D s s J n F 1 b 3 Q 7 U 2 V j d G l v b j E v Q U R J Q 0 l P T k V T X y 9 B d X R v U m V t b 3 Z l Z E N v b H V t b n M x L n t O b y w g U k V H S V N U U k 8 g U F B U Q U w g Q U R J Q 0 n D k 0 4 s M T Z 9 J n F 1 b 3 Q 7 L C Z x d W 9 0 O 1 N l Y 3 R p b 2 4 x L 0 F E S U N J T 0 5 F U 1 8 v Q X V 0 b 1 J l b W 9 2 Z W R D b 2 x 1 b W 5 z M S 5 7 I E Z F Q 0 h B I E F Q U k 9 C Q U N J w 5 N O I F B P T E l a Q S w x N 3 0 m c X V v d D s s J n F 1 b 3 Q 7 U 2 V j d G l v b j E v Q U R J Q 0 l P T k V T X y 9 B d X R v U m V t b 3 Z l Z E N v b H V t b n M x L n t M S U 5 L I F N F Q 0 9 Q L D E 4 f S Z x d W 9 0 O y w m c X V v d D t T Z W N 0 a W 9 u M S 9 B R E l D S U 9 O R V N f L 0 F 1 d G 9 S Z W 1 v d m V k Q 2 9 s d W 1 u c z E u e 1 R J U E 8 g Q 0 9 O V F J B V E F D S U 9 O L D E 5 f S Z x d W 9 0 O y w m c X V v d D t T Z W N 0 a W 9 u M S 9 B R E l D S U 9 O R V N f L 0 F 1 d G 9 S Z W 1 v d m V k Q 2 9 s d W 1 u c z E u e 0 N v b H V t b j I x L D I w f S Z x d W 9 0 O 1 0 s J n F 1 b 3 Q 7 Q 2 9 s d W 1 u Q 2 9 1 b n Q m c X V v d D s 6 M j E s J n F 1 b 3 Q 7 S 2 V 5 Q 2 9 s d W 1 u T m F t Z X M m c X V v d D s 6 W 1 0 s J n F 1 b 3 Q 7 Q 2 9 s d W 1 u S W R l b n R p d G l l c y Z x d W 9 0 O z p b J n F 1 b 3 Q 7 U 2 V j d G l v b j E v Q U R J Q 0 l P T k V T X y 9 B d X R v U m V t b 3 Z l Z E N v b H V t b n M x L n v D j V R F T S B E R U w g U E x B T i B B T l V B T C B E R S B B R F F V S V N J Q 0 l P T k V T L D B 9 J n F 1 b 3 Q 7 L C Z x d W 9 0 O 1 N l Y 3 R p b 2 4 x L 0 F E S U N J T 0 5 F U 1 8 v Q X V 0 b 1 J l b W 9 2 Z W R D b 2 x 1 b W 5 z M S 5 7 Q U J P R 0 F E T y w x f S Z x d W 9 0 O y w m c X V v d D t T Z W N 0 a W 9 u M S 9 B R E l D S U 9 O R V N f L 0 F 1 d G 9 S Z W 1 v d m V k Q 2 9 s d W 1 u c z E u e 0 F k a W N p w 7 N u I G F s I G N v b n R y Y X R v I G 7 D u m 1 l c m 8 s M n 0 m c X V v d D s s J n F 1 b 3 Q 7 U 2 V j d G l v b j E v Q U R J Q 0 l P T k V T X y 9 B d X R v U m V t b 3 Z l Z E N v b H V t b n M x L n t P Q k p F V E 8 s M 3 0 m c X V v d D s s J n F 1 b 3 Q 7 U 2 V j d G l v b j E v Q U R J Q 0 l P T k V T X y 9 B d X R v U m V t b 3 Z l Z E N v b H V t b n M x L n t D T 0 5 U U k F U S V N U Q S w 0 f S Z x d W 9 0 O y w m c X V v d D t T Z W N 0 a W 9 u M S 9 B R E l D S U 9 O R V N f L 0 F 1 d G 9 S Z W 1 v d m V k Q 2 9 s d W 1 u c z E u e 0 P D i U R V T E E g T y B O S V Q s N X 0 m c X V v d D s s J n F 1 b 3 Q 7 U 2 V j d G l v b j E v Q U R J Q 0 l P T k V T X y 9 B d X R v U m V t b 3 Z l Z E N v b H V t b n M x L n t E w 4 1 H S V R P I E R F I F Z F U k l G S U N B Q 0 n D k k 4 s N n 0 m c X V v d D s s J n F 1 b 3 Q 7 U 2 V j d G l v b j E v Q U R J Q 0 l P T k V T X y 9 B d X R v U m V t b 3 Z l Z E N v b H V t b n M x L n t W Q U x P U i B B R E l D S c O T T i w 3 f S Z x d W 9 0 O y w m c X V v d D t T Z W N 0 a W 9 u M S 9 B R E l D S U 9 O R V N f L 0 F 1 d G 9 S Z W 1 v d m V k Q 2 9 s d W 1 u c z E u e 1 Z B T E 9 S I E N P T l R S Q V R P I C s g Q U R J Q 0 l P T k V T L D h 9 J n F 1 b 3 Q 7 L C Z x d W 9 0 O 1 N l Y 3 R p b 2 4 x L 0 F E S U N J T 0 5 F U 1 8 v Q X V 0 b 1 J l b W 9 2 Z W R D b 2 x 1 b W 5 z M S 5 7 R m V j a G E g S W 5 p Y 2 l v I F B y w 7 N y c m 9 n Y S w 5 f S Z x d W 9 0 O y w m c X V v d D t T Z W N 0 a W 9 u M S 9 B R E l D S U 9 O R V N f L 0 F 1 d G 9 S Z W 1 v d m V k Q 2 9 s d W 1 u c z E u e 0 Z l Y 2 h h I F R l c m 1 p b m F j I F B y w 7 N y c m 9 n Y S w x M H 0 m c X V v d D s s J n F 1 b 3 Q 7 U 2 V j d G l v b j E v Q U R J Q 0 l P T k V T X y 9 B d X R v U m V t b 3 Z l Z E N v b H V t b n M x L n t Q b G F 6 b y B Q c s O z c n J v Z 2 E s M T F 9 J n F 1 b 3 Q 7 L C Z x d W 9 0 O 1 N l Y 3 R p b 2 4 x L 0 F E S U N J T 0 5 F U 1 8 v Q X V 0 b 1 J l b W 9 2 Z W R D b 2 x 1 b W 5 z M S 5 7 U G x h e m 8 g Y 2 9 u d H J h d G 8 g K y B Q c s O z c n J v Z 2 E s M T J 9 J n F 1 b 3 Q 7 L C Z x d W 9 0 O 1 N l Y 3 R p b 2 4 x L 0 F E S U N J T 0 5 F U 1 8 v Q X V 0 b 1 J l b W 9 2 Z W R D b 2 x 1 b W 5 z M S 5 7 Q 0 R Q I E 5 v L C w x M 3 0 m c X V v d D s s J n F 1 b 3 Q 7 U 2 V j d G l v b j E v Q U R J Q 0 l P T k V T X y 9 B d X R v U m V t b 3 Z l Z E N v b H V t b n M x L n t O b y w g U k V H S V N U U k 8 g U F B U Q U w s M T R 9 J n F 1 b 3 Q 7 L C Z x d W 9 0 O 1 N l Y 3 R p b 2 4 x L 0 F E S U N J T 0 5 F U 1 8 v Q X V 0 b 1 J l b W 9 2 Z W R D b 2 x 1 b W 5 z M S 5 7 V k F M T 1 I g U k N Q L D E 1 f S Z x d W 9 0 O y w m c X V v d D t T Z W N 0 a W 9 u M S 9 B R E l D S U 9 O R V N f L 0 F 1 d G 9 S Z W 1 v d m V k Q 2 9 s d W 1 u c z E u e 0 5 v L C B S R U d J U 1 R S T y B Q U F R B T C B B R E l D S c O T T i w x N n 0 m c X V v d D s s J n F 1 b 3 Q 7 U 2 V j d G l v b j E v Q U R J Q 0 l P T k V T X y 9 B d X R v U m V t b 3 Z l Z E N v b H V t b n M x L n s g R k V D S E E g Q V B S T 0 J B Q 0 n D k 0 4 g U E 9 M S V p B L D E 3 f S Z x d W 9 0 O y w m c X V v d D t T Z W N 0 a W 9 u M S 9 B R E l D S U 9 O R V N f L 0 F 1 d G 9 S Z W 1 v d m V k Q 2 9 s d W 1 u c z E u e 0 x J T k s g U 0 V D T 1 A s M T h 9 J n F 1 b 3 Q 7 L C Z x d W 9 0 O 1 N l Y 3 R p b 2 4 x L 0 F E S U N J T 0 5 F U 1 8 v Q X V 0 b 1 J l b W 9 2 Z W R D b 2 x 1 b W 5 z M S 5 7 V E l Q T y B D T 0 5 U U k F U Q U N J T 0 4 s M T l 9 J n F 1 b 3 Q 7 L C Z x d W 9 0 O 1 N l Y 3 R p b 2 4 x L 0 F E S U N J T 0 5 F U 1 8 v Q X V 0 b 1 J l b W 9 2 Z W R D b 2 x 1 b W 5 z M S 5 7 Q 2 9 s d W 1 u M j E s M j B 9 J n F 1 b 3 Q 7 X S w m c X V v d D t S Z W x h d G l v b n N o a X B J b m Z v J n F 1 b 3 Q 7 O l t d f S I g L z 4 8 L 1 N 0 Y W J s Z U V u d H J p Z X M + P C 9 J d G V t P j x J d G V t P j x J d G V t T G 9 j Y X R p b 2 4 + P E l 0 Z W 1 U e X B l P k Z v c m 1 1 b G E 8 L 0 l 0 Z W 1 U e X B l P j x J d G V t U G F 0 a D 5 T Z W N 0 a W 9 u M S 9 B R E l D S U 9 O R V N f L 0 9 y a W d l b j w v S X R l b V B h d G g + P C 9 J d G V t T G 9 j Y X R p b 2 4 + P F N 0 Y W J s Z U V u d H J p Z X M g L z 4 8 L 0 l 0 Z W 0 + P E l 0 Z W 0 + P E l 0 Z W 1 M b 2 N h d G l v b j 4 8 S X R l b V R 5 c G U + R m 9 y b X V s Y T w v S X R l b V R 5 c G U + P E l 0 Z W 1 Q Y X R o P l N l Y 3 R p b 2 4 x L 0 N P T l R S Q V R P U 1 8 v Q 2 9 u c 2 V j d X R p d m 8 l M j B j b 2 5 0 c m F 0 b 3 M l M j A y M D I x J T I w e G x z e F 9 o d H R w c y U z Q S U y R i U y R m l u Z G V w b 3 J 0 Z X N h b n R p b 3 F 1 a W E l M j B z a G F y Z X B v a W 5 0 J T I w Y 2 9 t J T J G c 2 l 0 Z X M l M k Z D b 2 5 0 c m F 0 Y W N p b i U y R k R v Y 3 V t Z W 5 0 b 3 M l M j B j b 2 1 w Y X J 0 a W R v c y U y R j w v S X R l b V B h d G g + P C 9 J d G V t T G 9 j Y X R p b 2 4 + P F N 0 Y W J s Z U V u d H J p Z X M g L z 4 8 L 0 l 0 Z W 0 + P E l 0 Z W 0 + P E l 0 Z W 1 M b 2 N h d G l v b j 4 8 S X R l b V R 5 c G U + R m 9 y b X V s Y T w v S X R l b V R 5 c G U + P E l 0 Z W 1 Q Y X R o P l N l Y 3 R p b 2 4 x L 0 F E S U N J T 0 5 F U 1 8 v Q 2 9 u c 2 V j d X R p d m 8 l M j B j b 2 5 0 c m F 0 b 3 M l M j A y M D I x J T I w e G x z e F 9 o d H R w c y U z Q S U y R i U y R m l u Z G V w b 3 J 0 Z X N h b n R p b 3 F 1 a W E l M j B z a G F y Z X B v a W 5 0 J T I w Y 2 9 t J T J G c 2 l 0 Z X M l M k Z D b 2 5 0 c m F 0 Y W N p b i U y R k R v Y 3 V t Z W 5 0 b 3 M l M j B j b 2 1 w Y X J 0 a W R v c y U y R j w v S X R l b V B h d G g + P C 9 J d G V t T G 9 j Y X R p b 2 4 + P F N 0 Y W J s Z U V u d H J p Z X M g L z 4 8 L 0 l 0 Z W 0 + P E l 0 Z W 0 + P E l 0 Z W 1 M b 2 N h d G l v b j 4 8 S X R l b V R 5 c G U + R m 9 y b X V s Y T w v S X R l b V R 5 c G U + P E l 0 Z W 1 Q Y X R o P l N l Y 3 R p b 2 4 x L 0 N P T l R S Q V R P U 1 8 v R X h j Z W w l M j B p b X B v c n R h Z G 8 8 L 0 l 0 Z W 1 Q Y X R o P j w v S X R l b U x v Y 2 F 0 a W 9 u P j x T d G F i b G V F b n R y a W V z I C 8 + P C 9 J d G V t P j x J d G V t P j x J d G V t T G 9 j Y X R p b 2 4 + P E l 0 Z W 1 U e X B l P k Z v c m 1 1 b G E 8 L 0 l 0 Z W 1 U e X B l P j x J d G V t U G F 0 a D 5 T Z W N 0 a W 9 u M S 9 D T 0 5 U U k F U T 1 N f L 0 N v b n R y Y X R v c y U y M D I w M j F f U 2 h l Z X Q 8 L 0 l 0 Z W 1 Q Y X R o P j w v S X R l b U x v Y 2 F 0 a W 9 u P j x T d G F i b G V F b n R y a W V z I C 8 + P C 9 J d G V t P j x J d G V t P j x J d G V t T G 9 j Y X R p b 2 4 + P E l 0 Z W 1 U e X B l P k Z v c m 1 1 b G E 8 L 0 l 0 Z W 1 U e X B l P j x J d G V t U G F 0 a D 5 T Z W N 0 a W 9 u M S 9 D T 0 5 U U k F U T 1 N f L 0 Z p b G F z J T I w c 3 V w Z X J p b 3 J l c y U y M H F 1 a X R h Z G F z P C 9 J d G V t U G F 0 a D 4 8 L 0 l 0 Z W 1 M b 2 N h d G l v b j 4 8 U 3 R h Y m x l R W 5 0 c m l l c y A v P j w v S X R l b T 4 8 S X R l b T 4 8 S X R l b U x v Y 2 F 0 a W 9 u P j x J d G V t V H l w Z T 5 G b 3 J t d W x h P C 9 J d G V t V H l w Z T 4 8 S X R l b V B h d G g + U 2 V j d G l v b j E v Q 0 9 O V F J B V E 9 T X y 9 F b m N h Y m V 6 Y W R v c y U y M H B y b 2 1 v d m l k b 3 M 8 L 0 l 0 Z W 1 Q Y X R o P j w v S X R l b U x v Y 2 F 0 a W 9 u P j x T d G F i b G V F b n R y a W V z I C 8 + P C 9 J d G V t P j x J d G V t P j x J d G V t T G 9 j Y X R p b 2 4 + P E l 0 Z W 1 U e X B l P k Z v c m 1 1 b G E 8 L 0 l 0 Z W 1 U e X B l P j x J d G V t U G F 0 a D 5 T Z W N 0 a W 9 u M S 9 D T 0 5 U U k F U T 1 N f L 1 R p c G 8 l M j B j Y W 1 i a W F k b z w v S X R l b V B h d G g + P C 9 J d G V t T G 9 j Y X R p b 2 4 + P F N 0 Y W J s Z U V u d H J p Z X M g L z 4 8 L 0 l 0 Z W 0 + P E l 0 Z W 0 + P E l 0 Z W 1 M b 2 N h d G l v b j 4 8 S X R l b V R 5 c G U + R m 9 y b X V s Y T w v S X R l b V R 5 c G U + P E l 0 Z W 1 Q Y X R o P l N l Y 3 R p b 2 4 x L 0 F E S U N J T 0 5 F U 1 8 v R X h j Z W w l M j B p b X B v c n R h Z G 8 8 L 0 l 0 Z W 1 Q Y X R o P j w v S X R l b U x v Y 2 F 0 a W 9 u P j x T d G F i b G V F b n R y a W V z I C 8 + P C 9 J d G V t P j x J d G V t P j x J d G V t T G 9 j Y X R p b 2 4 + P E l 0 Z W 1 U e X B l P k Z v c m 1 1 b G E 8 L 0 l 0 Z W 1 U e X B l P j x J d G V t U G F 0 a D 5 T Z W N 0 a W 9 u M S 9 B R E l D S U 9 O R V N f L 0 F k a W N p b 2 5 l c 1 9 T a G V l d D w v S X R l b V B h d G g + P C 9 J d G V t T G 9 j Y X R p b 2 4 + P F N 0 Y W J s Z U V u d H J p Z X M g L z 4 8 L 0 l 0 Z W 0 + P E l 0 Z W 0 + P E l 0 Z W 1 M b 2 N h d G l v b j 4 8 S X R l b V R 5 c G U + R m 9 y b X V s Y T w v S X R l b V R 5 c G U + P E l 0 Z W 1 Q Y X R o P l N l Y 3 R p b 2 4 x L 0 F E S U N J T 0 5 F U 1 8 v R W 5 j Y W J l e m F k b 3 M l M j B w c m 9 t b 3 Z p Z G 9 z P C 9 J d G V t U G F 0 a D 4 8 L 0 l 0 Z W 1 M b 2 N h d G l v b j 4 8 U 3 R h Y m x l R W 5 0 c m l l c y A v P j w v S X R l b T 4 8 S X R l b T 4 8 S X R l b U x v Y 2 F 0 a W 9 u P j x J d G V t V H l w Z T 5 G b 3 J t d W x h P C 9 J d G V t V H l w Z T 4 8 S X R l b V B h d G g + U 2 V j d G l v b j E v Q U R J Q 0 l P T k V T X y 9 U a X B v J T I w Y 2 F t Y m l h Z G 8 8 L 0 l 0 Z W 1 Q Y X R o P j w v S X R l b U x v Y 2 F 0 a W 9 u P j x T d G F i b G V F b n R y a W V z I C 8 + P C 9 J d G V t P j x J d G V t P j x J d G V t T G 9 j Y X R p b 2 4 + P E l 0 Z W 1 U e X B l P k Z v c m 1 1 b G E 8 L 0 l 0 Z W 1 U e X B l P j x J d G V t U G F 0 a D 5 T Z W N 0 a W 9 u M S 9 H Q V N U T 1 N f 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U z Z j M 4 O G E x L W Q 5 O G U t N G E 0 M y 0 4 N z d i L T J l N m E 4 N G Z l N D M 4 O C I g L z 4 8 R W 5 0 c n k g V H l w Z T 0 i T G 9 h Z G V k V G 9 B b m F s e X N p c 1 N l c n Z p Y 2 V z I i B W Y W x 1 Z T 0 i b D A i I C 8 + P E V u d H J 5 I F R 5 c G U 9 I k Z p b G x U b 0 R h d G F N b 2 R l b E V u Y W J s Z W Q i I F Z h b H V l P S J s M C I g L z 4 8 R W 5 0 c n k g V H l w Z T 0 i R m l s b E 9 i a m V j d F R 5 c G U i I F Z h b H V l P S J z Q 2 9 u b m V j d G l v b k 9 u b H k i I C 8 + P E V u d H J 5 I F R 5 c G U 9 I l J l Y 2 9 2 Z X J 5 V G F y Z 2 V 0 U 2 h l Z X Q i I F Z h b H V l P S J z R 0 F T V E 9 T I i A v P j x F b n R y e S B U e X B l P S J S Z W N v d m V y e V R h c m d l d E N v b H V t b i I g V m F s d W U 9 I m w x I i A v P j x F b n R y e S B U e X B l P S J S Z W N v d m V y e V R h c m d l d F J v d y I g V m F s d W U 9 I m w x I i A v P j x F b n R y e S B U e X B l P S J G a W x s T G F z d F V w Z G F 0 Z W Q i I F Z h b H V l P S J k M j A y N S 0 w N C 0 x M V Q x N z o z M z o x M i 4 y N T Y 3 M j A 1 W i I g L z 4 8 R W 5 0 c n k g V H l w Z T 0 i R m l s b E V y c m 9 y Q 2 9 1 b n Q i I F Z h b H V l P S J s M C I g L z 4 8 R W 5 0 c n k g V H l w Z T 0 i R m l s b E V y c m 9 y Q 2 9 k Z S I g V m F s d W U 9 I n N V b m t u b 3 d u I i A v P j x F b n R y e S B U e X B l P S J G a W x s Q 2 9 s d W 1 u V H l w Z X M i I F Z h b H V l P S J z Q m d Z R 0 J n T U R B d 0 1 H Q m d Z R 0 J n T U R C Z 1 l H Q X d Z R 0 J n W U d C Z 1 l H Q m d Z P S I g L z 4 8 R W 5 0 c n k g V H l w Z T 0 i R m l s b E N v b H V t b k 5 h b W V z I i B W Y W x 1 Z T 0 i c 1 s m c X V v d D t j b 2 R p Z 2 9 f c m V z d W 1 p Z G 8 m c X V v d D s s J n F 1 b 3 Q 7 c n V i c m 8 m c X V v d D s s J n F 1 b 3 Q 7 b m 9 t Y n J l X 3 B y b 3 l l Y 3 R v J n F 1 b 3 Q 7 L C Z x d W 9 0 O 2 F u b y Z x d W 9 0 O y w m c X V v d D t h c H J v c G l h Y 2 l v b i Z x d W 9 0 O y w m c X V v d D t 0 b 3 R h b F 9 k a X N w b 2 5 p Y m l s a W R h Z C Z x d W 9 0 O y w m c X V v d D t 0 b 3 R h b F 9 j b 2 1 w c m 9 t a X N v c y Z x d W 9 0 O y w m c X V v d D t 0 b 3 R h b F 9 v c m R l b m V z X 3 B h Z 2 8 m c X V v d D s s J n F 1 b 3 Q 7 d G 9 0 Y W x f Y W R p Y 2 l v b i Z x d W 9 0 O y w m c X V v d D t 0 b 3 R h b F 9 j c m V k a X R v J n F 1 b 3 Q 7 L C Z x d W 9 0 O 3 R v d G F s X 2 N v b n R y Y W N y Z W R p d G 8 m c X V v d D s s J n F 1 b 3 Q 7 d G 9 0 Y W x f Z G V k d W N j a W 9 u Z X M m c X V v d D s s J n F 1 b 3 Q 7 d G 9 0 Y W x f c m V p b n R l Z 3 J v J n F 1 b 3 Q 7 L C Z x d W 9 0 O 2 R p c 3 B v b m l i b G U m c X V v d D s s J n F 1 b 3 Q 7 c H J l c 3 V w d W V z d G 9 f Z G V m a W 5 p d G l 2 b y Z x d W 9 0 O y w m c X V v d D t 0 b 3 R h b F 9 h c G x h e m F k b y Z x d W 9 0 O y w m c X V v d D t 0 b 3 R h b F 9 h b n R p Y 2 l w b 3 M m c X V v d D s s J n F 1 b 3 Q 7 d G 9 0 Y W x f Y W 1 v c n R p e m F k b y Z x d W 9 0 O y w m c X V v d D t 0 b 3 R h b F 9 w Y W d h Z G 8 m c X V v d D s s J n F 1 b 3 Q 7 b m 9 t Y n J l X 2 V t c H J l c 2 E m c X V v d D s s J n F 1 b 3 Q 7 b m 9 t Y n J l X 2 R l c G V u Z G V u Y 2 l h J n F 1 b 3 Q 7 L C Z x d W 9 0 O 3 V z d T E m c X V v d D s s J n F 1 b 3 Q 7 d X N 1 M i Z x d W 9 0 O y w m c X V v d D t 1 c 3 U z J n F 1 b 3 Q 7 L C Z x d W 9 0 O 2 N h c m d v M S Z x d W 9 0 O y w m c X V v d D t j Y X J n b z I m c X V v d D s s J n F 1 b 3 Q 7 Y 2 F y Z 2 8 z J n F 1 b 3 Q 7 L C Z x d W 9 0 O 1 B y b 3 l l Y 3 R v J n F 1 b 3 Q 7 L C Z x d W 9 0 O 0 Z v b m R v J n F 1 b 3 Q 7 X S I g L z 4 8 R W 5 0 c n k g V H l w Z T 0 i R m l s b E N v d W 5 0 I i B W Y W x 1 Z T 0 i b D E 3 N S I g L z 4 8 R W 5 0 c n k g V H l w Z T 0 i R m l s b F N 0 Y X R 1 c y I g V m F s d W U 9 I n N D b 2 1 w b G V 0 Z S I g L z 4 8 R W 5 0 c n k g V H l w Z T 0 i Q W R k Z W R U b 0 R h d G F N b 2 R l b C I g V m F s d W U 9 I m w w I i A v P j x F b n R y e S B U e X B l P S J S Z W x h d G l v b n N o a X B J b m Z v Q 2 9 u d G F p b m V y I i B W Y W x 1 Z T 0 i c 3 s m c X V v d D t j b 2 x 1 b W 5 D b 3 V u d C Z x d W 9 0 O z o y O S w m c X V v d D t r Z X l D b 2 x 1 b W 5 O Y W 1 l c y Z x d W 9 0 O z p b X S w m c X V v d D t x d W V y e V J l b G F 0 a W 9 u c 2 h p c H M m c X V v d D s 6 W 1 0 s J n F 1 b 3 Q 7 Y 2 9 s d W 1 u S W R l b n R p d G l l c y Z x d W 9 0 O z p b J n F 1 b 3 Q 7 U 2 V j d G l v b j E v R 0 F T V E 9 T X y 9 B d X R v U m V t b 3 Z l Z E N v b H V t b n M x L n t j b 2 R p Z 2 9 f c m V z d W 1 p Z G 8 s M H 0 m c X V v d D s s J n F 1 b 3 Q 7 U 2 V j d G l v b j E v R 0 F T V E 9 T X y 9 B d X R v U m V t b 3 Z l Z E N v b H V t b n M x L n t y d W J y b y w x f S Z x d W 9 0 O y w m c X V v d D t T Z W N 0 a W 9 u M S 9 H Q V N U T 1 N f L 0 F 1 d G 9 S Z W 1 v d m V k Q 2 9 s d W 1 u c z E u e 2 5 v b W J y Z V 9 w c m 9 5 Z W N 0 b y w y f S Z x d W 9 0 O y w m c X V v d D t T Z W N 0 a W 9 u M S 9 H Q V N U T 1 N f L 0 F 1 d G 9 S Z W 1 v d m V k Q 2 9 s d W 1 u c z E u e 2 F u b y w z f S Z x d W 9 0 O y w m c X V v d D t T Z W N 0 a W 9 u M S 9 H Q V N U T 1 N f L 0 F 1 d G 9 S Z W 1 v d m V k Q 2 9 s d W 1 u c z E u e 2 F w c m 9 w a W F j a W 9 u L D R 9 J n F 1 b 3 Q 7 L C Z x d W 9 0 O 1 N l Y 3 R p b 2 4 x L 0 d B U 1 R P U 1 8 v Q X V 0 b 1 J l b W 9 2 Z W R D b 2 x 1 b W 5 z M S 5 7 d G 9 0 Y W x f Z G l z c G 9 u a W J p b G l k Y W Q s N X 0 m c X V v d D s s J n F 1 b 3 Q 7 U 2 V j d G l v b j E v R 0 F T V E 9 T X y 9 B d X R v U m V t b 3 Z l Z E N v b H V t b n M x L n t 0 b 3 R h b F 9 j b 2 1 w c m 9 t a X N v c y w 2 f S Z x d W 9 0 O y w m c X V v d D t T Z W N 0 a W 9 u M S 9 H Q V N U T 1 N f L 0 F 1 d G 9 S Z W 1 v d m V k Q 2 9 s d W 1 u c z E u e 3 R v d G F s X 2 9 y Z G V u Z X N f c G F n b y w 3 f S Z x d W 9 0 O y w m c X V v d D t T Z W N 0 a W 9 u M S 9 H Q V N U T 1 N f L 0 F 1 d G 9 S Z W 1 v d m V k Q 2 9 s d W 1 u c z E u e 3 R v d G F s X 2 F k a W N p b 2 4 s O H 0 m c X V v d D s s J n F 1 b 3 Q 7 U 2 V j d G l v b j E v R 0 F T V E 9 T X y 9 B d X R v U m V t b 3 Z l Z E N v b H V t b n M x L n t 0 b 3 R h b F 9 j c m V k a X R v L D l 9 J n F 1 b 3 Q 7 L C Z x d W 9 0 O 1 N l Y 3 R p b 2 4 x L 0 d B U 1 R P U 1 8 v Q X V 0 b 1 J l b W 9 2 Z W R D b 2 x 1 b W 5 z M S 5 7 d G 9 0 Y W x f Y 2 9 u d H J h Y 3 J l Z G l 0 b y w x M H 0 m c X V v d D s s J n F 1 b 3 Q 7 U 2 V j d G l v b j E v R 0 F T V E 9 T X y 9 B d X R v U m V t b 3 Z l Z E N v b H V t b n M x L n t 0 b 3 R h b F 9 k Z W R 1 Y 2 N p b 2 5 l c y w x M X 0 m c X V v d D s s J n F 1 b 3 Q 7 U 2 V j d G l v b j E v R 0 F T V E 9 T X y 9 B d X R v U m V t b 3 Z l Z E N v b H V t b n M x L n t 0 b 3 R h b F 9 y Z W l u d G V n c m 8 s M T J 9 J n F 1 b 3 Q 7 L C Z x d W 9 0 O 1 N l Y 3 R p b 2 4 x L 0 d B U 1 R P U 1 8 v Q X V 0 b 1 J l b W 9 2 Z W R D b 2 x 1 b W 5 z M S 5 7 Z G l z c G 9 u a W J s Z S w x M 3 0 m c X V v d D s s J n F 1 b 3 Q 7 U 2 V j d G l v b j E v R 0 F T V E 9 T X y 9 B d X R v U m V t b 3 Z l Z E N v b H V t b n M x L n t w c m V z d X B 1 Z X N 0 b 1 9 k Z W Z p b m l 0 a X Z v L D E 0 f S Z x d W 9 0 O y w m c X V v d D t T Z W N 0 a W 9 u M S 9 H Q V N U T 1 N f L 0 F 1 d G 9 S Z W 1 v d m V k Q 2 9 s d W 1 u c z E u e 3 R v d G F s X 2 F w b G F 6 Y W R v L D E 1 f S Z x d W 9 0 O y w m c X V v d D t T Z W N 0 a W 9 u M S 9 H Q V N U T 1 N f L 0 F 1 d G 9 S Z W 1 v d m V k Q 2 9 s d W 1 u c z E u e 3 R v d G F s X 2 F u d G l j a X B v c y w x N n 0 m c X V v d D s s J n F 1 b 3 Q 7 U 2 V j d G l v b j E v R 0 F T V E 9 T X y 9 B d X R v U m V t b 3 Z l Z E N v b H V t b n M x L n t 0 b 3 R h b F 9 h b W 9 y d G l 6 Y W R v L D E 3 f S Z x d W 9 0 O y w m c X V v d D t T Z W N 0 a W 9 u M S 9 H Q V N U T 1 N f L 0 F 1 d G 9 S Z W 1 v d m V k Q 2 9 s d W 1 u c z E u e 3 R v d G F s X 3 B h Z 2 F k b y w x O H 0 m c X V v d D s s J n F 1 b 3 Q 7 U 2 V j d G l v b j E v R 0 F T V E 9 T X y 9 B d X R v U m V t b 3 Z l Z E N v b H V t b n M x L n t u b 2 1 i c m V f Z W 1 w c m V z Y S w x O X 0 m c X V v d D s s J n F 1 b 3 Q 7 U 2 V j d G l v b j E v R 0 F T V E 9 T X y 9 B d X R v U m V t b 3 Z l Z E N v b H V t b n M x L n t u b 2 1 i c m V f Z G V w Z W 5 k Z W 5 j a W E s M j B 9 J n F 1 b 3 Q 7 L C Z x d W 9 0 O 1 N l Y 3 R p b 2 4 x L 0 d B U 1 R P U 1 8 v Q X V 0 b 1 J l b W 9 2 Z W R D b 2 x 1 b W 5 z M S 5 7 d X N 1 M S w y M X 0 m c X V v d D s s J n F 1 b 3 Q 7 U 2 V j d G l v b j E v R 0 F T V E 9 T X y 9 B d X R v U m V t b 3 Z l Z E N v b H V t b n M x L n t 1 c 3 U y L D I y f S Z x d W 9 0 O y w m c X V v d D t T Z W N 0 a W 9 u M S 9 H Q V N U T 1 N f L 0 F 1 d G 9 S Z W 1 v d m V k Q 2 9 s d W 1 u c z E u e 3 V z d T M s M j N 9 J n F 1 b 3 Q 7 L C Z x d W 9 0 O 1 N l Y 3 R p b 2 4 x L 0 d B U 1 R P U 1 8 v Q X V 0 b 1 J l b W 9 2 Z W R D b 2 x 1 b W 5 z M S 5 7 Y 2 F y Z 2 8 x L D I 0 f S Z x d W 9 0 O y w m c X V v d D t T Z W N 0 a W 9 u M S 9 H Q V N U T 1 N f L 0 F 1 d G 9 S Z W 1 v d m V k Q 2 9 s d W 1 u c z E u e 2 N h c m d v M i w y N X 0 m c X V v d D s s J n F 1 b 3 Q 7 U 2 V j d G l v b j E v R 0 F T V E 9 T X y 9 B d X R v U m V t b 3 Z l Z E N v b H V t b n M x L n t j Y X J n b z M s M j Z 9 J n F 1 b 3 Q 7 L C Z x d W 9 0 O 1 N l Y 3 R p b 2 4 x L 0 d B U 1 R P U 1 8 v Q X V 0 b 1 J l b W 9 2 Z W R D b 2 x 1 b W 5 z M S 5 7 U H J v e W V j d G 8 s M j d 9 J n F 1 b 3 Q 7 L C Z x d W 9 0 O 1 N l Y 3 R p b 2 4 x L 0 d B U 1 R P U 1 8 v Q X V 0 b 1 J l b W 9 2 Z W R D b 2 x 1 b W 5 z M S 5 7 R m 9 u Z G 8 s M j h 9 J n F 1 b 3 Q 7 X S w m c X V v d D t D b 2 x 1 b W 5 D b 3 V u d C Z x d W 9 0 O z o y O S w m c X V v d D t L Z X l D b 2 x 1 b W 5 O Y W 1 l c y Z x d W 9 0 O z p b X S w m c X V v d D t D b 2 x 1 b W 5 J Z G V u d G l 0 a W V z J n F 1 b 3 Q 7 O l s m c X V v d D t T Z W N 0 a W 9 u M S 9 H Q V N U T 1 N f L 0 F 1 d G 9 S Z W 1 v d m V k Q 2 9 s d W 1 u c z E u e 2 N v Z G l n b 1 9 y Z X N 1 b W l k b y w w f S Z x d W 9 0 O y w m c X V v d D t T Z W N 0 a W 9 u M S 9 H Q V N U T 1 N f L 0 F 1 d G 9 S Z W 1 v d m V k Q 2 9 s d W 1 u c z E u e 3 J 1 Y n J v L D F 9 J n F 1 b 3 Q 7 L C Z x d W 9 0 O 1 N l Y 3 R p b 2 4 x L 0 d B U 1 R P U 1 8 v Q X V 0 b 1 J l b W 9 2 Z W R D b 2 x 1 b W 5 z M S 5 7 b m 9 t Y n J l X 3 B y b 3 l l Y 3 R v L D J 9 J n F 1 b 3 Q 7 L C Z x d W 9 0 O 1 N l Y 3 R p b 2 4 x L 0 d B U 1 R P U 1 8 v Q X V 0 b 1 J l b W 9 2 Z W R D b 2 x 1 b W 5 z M S 5 7 Y W 5 v L D N 9 J n F 1 b 3 Q 7 L C Z x d W 9 0 O 1 N l Y 3 R p b 2 4 x L 0 d B U 1 R P U 1 8 v Q X V 0 b 1 J l b W 9 2 Z W R D b 2 x 1 b W 5 z M S 5 7 Y X B y b 3 B p Y W N p b 2 4 s N H 0 m c X V v d D s s J n F 1 b 3 Q 7 U 2 V j d G l v b j E v R 0 F T V E 9 T X y 9 B d X R v U m V t b 3 Z l Z E N v b H V t b n M x L n t 0 b 3 R h b F 9 k a X N w b 2 5 p Y m l s a W R h Z C w 1 f S Z x d W 9 0 O y w m c X V v d D t T Z W N 0 a W 9 u M S 9 H Q V N U T 1 N f L 0 F 1 d G 9 S Z W 1 v d m V k Q 2 9 s d W 1 u c z E u e 3 R v d G F s X 2 N v b X B y b 2 1 p c 2 9 z L D Z 9 J n F 1 b 3 Q 7 L C Z x d W 9 0 O 1 N l Y 3 R p b 2 4 x L 0 d B U 1 R P U 1 8 v Q X V 0 b 1 J l b W 9 2 Z W R D b 2 x 1 b W 5 z M S 5 7 d G 9 0 Y W x f b 3 J k Z W 5 l c 1 9 w Y W d v L D d 9 J n F 1 b 3 Q 7 L C Z x d W 9 0 O 1 N l Y 3 R p b 2 4 x L 0 d B U 1 R P U 1 8 v Q X V 0 b 1 J l b W 9 2 Z W R D b 2 x 1 b W 5 z M S 5 7 d G 9 0 Y W x f Y W R p Y 2 l v b i w 4 f S Z x d W 9 0 O y w m c X V v d D t T Z W N 0 a W 9 u M S 9 H Q V N U T 1 N f L 0 F 1 d G 9 S Z W 1 v d m V k Q 2 9 s d W 1 u c z E u e 3 R v d G F s X 2 N y Z W R p d G 8 s O X 0 m c X V v d D s s J n F 1 b 3 Q 7 U 2 V j d G l v b j E v R 0 F T V E 9 T X y 9 B d X R v U m V t b 3 Z l Z E N v b H V t b n M x L n t 0 b 3 R h b F 9 j b 2 5 0 c m F j c m V k a X R v L D E w f S Z x d W 9 0 O y w m c X V v d D t T Z W N 0 a W 9 u M S 9 H Q V N U T 1 N f L 0 F 1 d G 9 S Z W 1 v d m V k Q 2 9 s d W 1 u c z E u e 3 R v d G F s X 2 R l Z H V j Y 2 l v b m V z L D E x f S Z x d W 9 0 O y w m c X V v d D t T Z W N 0 a W 9 u M S 9 H Q V N U T 1 N f L 0 F 1 d G 9 S Z W 1 v d m V k Q 2 9 s d W 1 u c z E u e 3 R v d G F s X 3 J l a W 5 0 Z W d y b y w x M n 0 m c X V v d D s s J n F 1 b 3 Q 7 U 2 V j d G l v b j E v R 0 F T V E 9 T X y 9 B d X R v U m V t b 3 Z l Z E N v b H V t b n M x L n t k a X N w b 2 5 p Y m x l L D E z f S Z x d W 9 0 O y w m c X V v d D t T Z W N 0 a W 9 u M S 9 H Q V N U T 1 N f L 0 F 1 d G 9 S Z W 1 v d m V k Q 2 9 s d W 1 u c z E u e 3 B y Z X N 1 c H V l c 3 R v X 2 R l Z m l u a X R p d m 8 s M T R 9 J n F 1 b 3 Q 7 L C Z x d W 9 0 O 1 N l Y 3 R p b 2 4 x L 0 d B U 1 R P U 1 8 v Q X V 0 b 1 J l b W 9 2 Z W R D b 2 x 1 b W 5 z M S 5 7 d G 9 0 Y W x f Y X B s Y X p h Z G 8 s M T V 9 J n F 1 b 3 Q 7 L C Z x d W 9 0 O 1 N l Y 3 R p b 2 4 x L 0 d B U 1 R P U 1 8 v Q X V 0 b 1 J l b W 9 2 Z W R D b 2 x 1 b W 5 z M S 5 7 d G 9 0 Y W x f Y W 5 0 a W N p c G 9 z L D E 2 f S Z x d W 9 0 O y w m c X V v d D t T Z W N 0 a W 9 u M S 9 H Q V N U T 1 N f L 0 F 1 d G 9 S Z W 1 v d m V k Q 2 9 s d W 1 u c z E u e 3 R v d G F s X 2 F t b 3 J 0 a X p h Z G 8 s M T d 9 J n F 1 b 3 Q 7 L C Z x d W 9 0 O 1 N l Y 3 R p b 2 4 x L 0 d B U 1 R P U 1 8 v Q X V 0 b 1 J l b W 9 2 Z W R D b 2 x 1 b W 5 z M S 5 7 d G 9 0 Y W x f c G F n Y W R v L D E 4 f S Z x d W 9 0 O y w m c X V v d D t T Z W N 0 a W 9 u M S 9 H Q V N U T 1 N f L 0 F 1 d G 9 S Z W 1 v d m V k Q 2 9 s d W 1 u c z E u e 2 5 v b W J y Z V 9 l b X B y Z X N h L D E 5 f S Z x d W 9 0 O y w m c X V v d D t T Z W N 0 a W 9 u M S 9 H Q V N U T 1 N f L 0 F 1 d G 9 S Z W 1 v d m V k Q 2 9 s d W 1 u c z E u e 2 5 v b W J y Z V 9 k Z X B l b m R l b m N p Y S w y M H 0 m c X V v d D s s J n F 1 b 3 Q 7 U 2 V j d G l v b j E v R 0 F T V E 9 T X y 9 B d X R v U m V t b 3 Z l Z E N v b H V t b n M x L n t 1 c 3 U x L D I x f S Z x d W 9 0 O y w m c X V v d D t T Z W N 0 a W 9 u M S 9 H Q V N U T 1 N f L 0 F 1 d G 9 S Z W 1 v d m V k Q 2 9 s d W 1 u c z E u e 3 V z d T I s M j J 9 J n F 1 b 3 Q 7 L C Z x d W 9 0 O 1 N l Y 3 R p b 2 4 x L 0 d B U 1 R P U 1 8 v Q X V 0 b 1 J l b W 9 2 Z W R D b 2 x 1 b W 5 z M S 5 7 d X N 1 M y w y M 3 0 m c X V v d D s s J n F 1 b 3 Q 7 U 2 V j d G l v b j E v R 0 F T V E 9 T X y 9 B d X R v U m V t b 3 Z l Z E N v b H V t b n M x L n t j Y X J n b z E s M j R 9 J n F 1 b 3 Q 7 L C Z x d W 9 0 O 1 N l Y 3 R p b 2 4 x L 0 d B U 1 R P U 1 8 v Q X V 0 b 1 J l b W 9 2 Z W R D b 2 x 1 b W 5 z M S 5 7 Y 2 F y Z 2 8 y L D I 1 f S Z x d W 9 0 O y w m c X V v d D t T Z W N 0 a W 9 u M S 9 H Q V N U T 1 N f L 0 F 1 d G 9 S Z W 1 v d m V k Q 2 9 s d W 1 u c z E u e 2 N h c m d v M y w y N n 0 m c X V v d D s s J n F 1 b 3 Q 7 U 2 V j d G l v b j E v R 0 F T V E 9 T X y 9 B d X R v U m V t b 3 Z l Z E N v b H V t b n M x L n t Q c m 9 5 Z W N 0 b y w y N 3 0 m c X V v d D s s J n F 1 b 3 Q 7 U 2 V j d G l v b j E v R 0 F T V E 9 T X y 9 B d X R v U m V t b 3 Z l Z E N v b H V t b n M x L n t G b 2 5 k b y w y O H 0 m c X V v d D t d L C Z x d W 9 0 O 1 J l b G F 0 a W 9 u c 2 h p c E l u Z m 8 m c X V v d D s 6 W 1 1 9 I i A v P j w v U 3 R h Y m x l R W 5 0 c m l l c z 4 8 L 0 l 0 Z W 0 + P E l 0 Z W 0 + P E l 0 Z W 1 M b 2 N h d G l v b j 4 8 S X R l b V R 5 c G U + R m 9 y b X V s Y T w v S X R l b V R 5 c G U + P E l 0 Z W 1 Q Y X R o P l N l Y 3 R p b 2 4 x L 0 d B U 1 R P U 1 8 v T 3 J p Z 2 V u P C 9 J d G V t U G F 0 a D 4 8 L 0 l 0 Z W 1 M b 2 N h d G l v b j 4 8 U 3 R h Y m x l R W 5 0 c m l l c y A v P j w v S X R l b T 4 8 S X R l b T 4 8 S X R l b U x v Y 2 F 0 a W 9 u P j x J d G V t V H l w Z T 5 G b 3 J t d W x h P C 9 J d G V t V H l w Z T 4 8 S X R l b V B h d G g + U 2 V j d G l v b j E v R 0 F T V E 9 T X y 9 H Q V N U T 1 M l M j A y M D I x J T I w Y 3 N 2 X 2 h 0 d H B z J T N B J T J G J T J G a W 5 k Z X B v c n R l c 2 F u d G l v c X V p Y S U y M H N o Y X J l c G 9 p b n Q l M j B j b 2 0 l M k Z z a X R l c y U y R k V q Z W N 1 Y 2 l u U H J l c 3 V w d W V z d G F s R 2 F z d G 9 z J T J G R G 9 j d W 1 l b n R v c y U y M G N v b X B h c n R p Z G 9 z J T J G S U 5 G T 1 J N R S U y M D I w M j E l M k Y 8 L 0 l 0 Z W 1 Q Y X R o P j w v S X R l b U x v Y 2 F 0 a W 9 u P j x T d G F i b G V F b n R y a W V z I C 8 + P C 9 J d G V t P j x J d G V t P j x J d G V t T G 9 j Y X R p b 2 4 + P E l 0 Z W 1 U e X B l P k Z v c m 1 1 b G E 8 L 0 l 0 Z W 1 U e X B l P j x J d G V t U G F 0 a D 5 T Z W N 0 a W 9 u M S 9 H Q V N U T 1 N f L 0 N T V i U y M G l t c G 9 y d G F k b z w v S X R l b V B h d G g + P C 9 J d G V t T G 9 j Y X R p b 2 4 + P F N 0 Y W J s Z U V u d H J p Z X M g L z 4 8 L 0 l 0 Z W 0 + P E l 0 Z W 0 + P E l 0 Z W 1 M b 2 N h d G l v b j 4 8 S X R l b V R 5 c G U + R m 9 y b X V s Y T w v S X R l b V R 5 c G U + P E l 0 Z W 1 Q Y X R o P l N l Y 3 R p b 2 4 x L 0 d B U 1 R P U 1 8 v R W 5 j Y W J l e m F k b 3 M l M j B w c m 9 t b 3 Z p Z G 9 z P C 9 J d G V t U G F 0 a D 4 8 L 0 l 0 Z W 1 M b 2 N h d G l v b j 4 8 U 3 R h Y m x l R W 5 0 c m l l c y A v P j w v S X R l b T 4 8 S X R l b T 4 8 S X R l b U x v Y 2 F 0 a W 9 u P j x J d G V t V H l w Z T 5 G b 3 J t d W x h P C 9 J d G V t V H l w Z T 4 8 S X R l b V B h d G g + U 2 V j d G l v b j E v U l B D X 1 R B Q k x B 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R d W V y e U l E I i B W Y W x 1 Z T 0 i c z U 2 N z Z j M z R h L W Z i M z M t N G Q w Z S 1 i M W U w L T M z Z G R h Y j h i N z M 1 Z S I g L z 4 8 R W 5 0 c n k g V H l w Z T 0 i R m l s b F R v R G F 0 Y U 1 v Z G V s R W 5 h Y m x l Z C I g V m F s d W U 9 I m w w I i A v P j x F b n R y e S B U e X B l P S J G a W x s T 2 J q Z W N 0 V H l w Z S I g V m F s d W U 9 I n N D b 2 5 u Z W N 0 a W 9 u T 2 5 s e S I g L z 4 8 R W 5 0 c n k g V H l w Z T 0 i R m l s b E x h c 3 R V c G R h d G V k I i B W Y W x 1 Z T 0 i Z D I w M j U t M D Q t M T F U M T c 6 M z M 6 M T I u M j c y N z c z M 1 o i I C 8 + P E V u d H J 5 I F R 5 c G U 9 I k Z p b G x F c n J v c k N v d W 5 0 I i B W Y W x 1 Z T 0 i b D A i I C 8 + P E V u d H J 5 I F R 5 c G U 9 I k Z p b G x F c n J v c k N v Z G U i I F Z h b H V l P S J z V W 5 r b m 9 3 b i I g L z 4 8 R W 5 0 c n k g V H l w Z T 0 i R m l s b E N v b H V t b l R 5 c G V z I i B W Y W x 1 Z T 0 i c 0 J n T U d B Q V l H Q m d N R E J n W U R B d 1 V H Q m d Z R E F 3 T T 0 i I C 8 + P E V u d H J 5 I F R 5 c G U 9 I k Z p b G x D b 2 x 1 b W 5 O Y W 1 l c y I g V m F s d W U 9 I n N b J n F 1 b 3 Q 7 Q 2 9 t Y m l u Y W R h J n F 1 b 3 Q 7 L C Z x d W 9 0 O 2 N v b n N l Y 3 V 0 a X Z v J n F 1 b 3 Q 7 L C Z x d W 9 0 O 2 Z l Y 2 h h X 2 F w c m 9 i Y W N p b 2 4 m c X V v d D s s J n F 1 b 3 Q 7 V m F s b 3 I g U k N Q J n F 1 b 3 Q 7 L C Z x d W 9 0 O 2 R l c 2 N y a X B j a W 9 u J n F 1 b 3 Q 7 L C Z x d W 9 0 O 2 R l c 2 N y a X B j a W 9 u X z E m c X V v d D s s J n F 1 b 3 Q 7 b n V t X 2 N v b n R y Y X R v J n F 1 b 3 Q 7 L C Z x d W 9 0 O 2 R p c 3 B v b m l i a W x p Z G F k J n F 1 b 3 Q 7 L C Z x d W 9 0 O 2 N v Z G l n b 1 9 y Z X N 1 b W l k b y Z x d W 9 0 O y w m c X V v d D t y d W J y b y Z x d W 9 0 O y w m c X V v d D t u b 2 1 i c m V f c H J v e W V j d G 8 m c X V v d D s s J n F 1 b 3 Q 7 d m F s b 3 J f d G 9 0 Y W w m c X V v d D s s J n F 1 b 3 Q 7 Y W 5 v J n F 1 b 3 Q 7 L C Z x d W 9 0 O 2 5 p d C Z x d W 9 0 O y w m c X V v d D t u b 2 1 i c m U m c X V v d D s s J n F 1 b 3 Q 7 b m 9 t Y n J l X 2 V t c H J l c 2 E m c X V v d D s s J n F 1 b 3 Q 7 b m 9 t Y n J l X 2 R l c G V u Z G V u Y 2 l h J n F 1 b 3 Q 7 L C Z x d W 9 0 O 3 J l a W 5 0 Z W d y b 3 M m c X V v d D s s J n F 1 b 3 Q 7 d G 9 0 Y W x f b 3 J k Z W 5 l c y Z x d W 9 0 O y w m c X V v d D t 0 b 3 R h b F 9 j Y W 5 j Z W x h Z G 8 m c X V v d D t d I i A v P j x F b n R y e S B U e X B l P S J G a W x s Q 2 9 1 b n Q i I F Z h b H V l P S J s O T Q z M S I g L z 4 8 R W 5 0 c n k g V H l w Z T 0 i R m l s b F N 0 Y X R 1 c y I g V m F s d W U 9 I n N D b 2 1 w b G V 0 Z S I g L z 4 8 R W 5 0 c n k g V H l w Z T 0 i Q W R k Z W R U b 0 R h d G F N b 2 R l b C I g V m F s d W U 9 I m w w I i A v P j x F b n R y e S B U e X B l P S J S Z W x h d G l v b n N o a X B J b m Z v Q 2 9 u d G F p b m V y I i B W Y W x 1 Z T 0 i c 3 s m c X V v d D t j b 2 x 1 b W 5 D b 3 V u d C Z x d W 9 0 O z o y M C w m c X V v d D t r Z X l D b 2 x 1 b W 5 O Y W 1 l c y Z x d W 9 0 O z p b X S w m c X V v d D t x d W V y e V J l b G F 0 a W 9 u c 2 h p c H M m c X V v d D s 6 W 1 0 s J n F 1 b 3 Q 7 Y 2 9 s d W 1 u S W R l b n R p d G l l c y Z x d W 9 0 O z p b J n F 1 b 3 Q 7 U 2 V j d G l v b j E v U l B D X 1 R B Q k x B L 0 F 1 d G 9 S Z W 1 v d m V k Q 2 9 s d W 1 u c z E u e 0 N v b W J p b m F k Y S w w f S Z x d W 9 0 O y w m c X V v d D t T Z W N 0 a W 9 u M S 9 S U E N f V E F C T E E v Q X V 0 b 1 J l b W 9 2 Z W R D b 2 x 1 b W 5 z M S 5 7 Y 2 9 u c 2 V j d X R p d m 8 s M X 0 m c X V v d D s s J n F 1 b 3 Q 7 U 2 V j d G l v b j E v U l B D X 1 R B Q k x B L 0 F 1 d G 9 S Z W 1 v d m V k Q 2 9 s d W 1 u c z E u e 2 Z l Y 2 h h X 2 F w c m 9 i Y W N p b 2 4 s M n 0 m c X V v d D s s J n F 1 b 3 Q 7 U 2 V j d G l v b j E v U l B D X 1 R B Q k x B L 0 F 1 d G 9 S Z W 1 v d m V k Q 2 9 s d W 1 u c z E u e 1 Z h b G 9 y I F J D U C w z f S Z x d W 9 0 O y w m c X V v d D t T Z W N 0 a W 9 u M S 9 S U E N f V E F C T E E v Q X V 0 b 1 J l b W 9 2 Z W R D b 2 x 1 b W 5 z M S 5 7 Z G V z Y 3 J p c G N p b 2 4 s N H 0 m c X V v d D s s J n F 1 b 3 Q 7 U 2 V j d G l v b j E v U l B D X 1 R B Q k x B L 0 F 1 d G 9 S Z W 1 v d m V k Q 2 9 s d W 1 u c z E u e 2 R l c 2 N y a X B j a W 9 u X z E s N X 0 m c X V v d D s s J n F 1 b 3 Q 7 U 2 V j d G l v b j E v U l B D X 1 R B Q k x B L 0 F 1 d G 9 S Z W 1 v d m V k Q 2 9 s d W 1 u c z E u e 2 5 1 b V 9 j b 2 5 0 c m F 0 b y w 2 f S Z x d W 9 0 O y w m c X V v d D t T Z W N 0 a W 9 u M S 9 S U E N f V E F C T E E v Q X V 0 b 1 J l b W 9 2 Z W R D b 2 x 1 b W 5 z M S 5 7 Z G l z c G 9 u a W J p b G l k Y W Q s N 3 0 m c X V v d D s s J n F 1 b 3 Q 7 U 2 V j d G l v b j E v U l B D X 1 R B Q k x B L 0 F 1 d G 9 S Z W 1 v d m V k Q 2 9 s d W 1 u c z E u e 2 N v Z G l n b 1 9 y Z X N 1 b W l k b y w 4 f S Z x d W 9 0 O y w m c X V v d D t T Z W N 0 a W 9 u M S 9 S U E N f V E F C T E E v Q X V 0 b 1 J l b W 9 2 Z W R D b 2 x 1 b W 5 z M S 5 7 c n V i c m 8 s O X 0 m c X V v d D s s J n F 1 b 3 Q 7 U 2 V j d G l v b j E v U l B D X 1 R B Q k x B L 0 F 1 d G 9 S Z W 1 v d m V k Q 2 9 s d W 1 u c z E u e 2 5 v b W J y Z V 9 w c m 9 5 Z W N 0 b y w x M H 0 m c X V v d D s s J n F 1 b 3 Q 7 U 2 V j d G l v b j E v U l B D X 1 R B Q k x B L 0 F 1 d G 9 S Z W 1 v d m V k Q 2 9 s d W 1 u c z E u e 3 Z h b G 9 y X 3 R v d G F s L D E x f S Z x d W 9 0 O y w m c X V v d D t T Z W N 0 a W 9 u M S 9 S U E N f V E F C T E E v Q X V 0 b 1 J l b W 9 2 Z W R D b 2 x 1 b W 5 z M S 5 7 Y W 5 v L D E y f S Z x d W 9 0 O y w m c X V v d D t T Z W N 0 a W 9 u M S 9 S U E N f V E F C T E E v Q X V 0 b 1 J l b W 9 2 Z W R D b 2 x 1 b W 5 z M S 5 7 b m l 0 L D E z f S Z x d W 9 0 O y w m c X V v d D t T Z W N 0 a W 9 u M S 9 S U E N f V E F C T E E v Q X V 0 b 1 J l b W 9 2 Z W R D b 2 x 1 b W 5 z M S 5 7 b m 9 t Y n J l L D E 0 f S Z x d W 9 0 O y w m c X V v d D t T Z W N 0 a W 9 u M S 9 S U E N f V E F C T E E v Q X V 0 b 1 J l b W 9 2 Z W R D b 2 x 1 b W 5 z M S 5 7 b m 9 t Y n J l X 2 V t c H J l c 2 E s M T V 9 J n F 1 b 3 Q 7 L C Z x d W 9 0 O 1 N l Y 3 R p b 2 4 x L 1 J Q Q 1 9 U Q U J M Q S 9 B d X R v U m V t b 3 Z l Z E N v b H V t b n M x L n t u b 2 1 i c m V f Z G V w Z W 5 k Z W 5 j a W E s M T Z 9 J n F 1 b 3 Q 7 L C Z x d W 9 0 O 1 N l Y 3 R p b 2 4 x L 1 J Q Q 1 9 U Q U J M Q S 9 B d X R v U m V t b 3 Z l Z E N v b H V t b n M x L n t y Z W l u d G V n c m 9 z L D E 3 f S Z x d W 9 0 O y w m c X V v d D t T Z W N 0 a W 9 u M S 9 S U E N f V E F C T E E v Q X V 0 b 1 J l b W 9 2 Z W R D b 2 x 1 b W 5 z M S 5 7 d G 9 0 Y W x f b 3 J k Z W 5 l c y w x O H 0 m c X V v d D s s J n F 1 b 3 Q 7 U 2 V j d G l v b j E v U l B D X 1 R B Q k x B L 0 F 1 d G 9 S Z W 1 v d m V k Q 2 9 s d W 1 u c z E u e 3 R v d G F s X 2 N h b m N l b G F k b y w x O X 0 m c X V v d D t d L C Z x d W 9 0 O 0 N v b H V t b k N v d W 5 0 J n F 1 b 3 Q 7 O j I w L C Z x d W 9 0 O 0 t l e U N v b H V t b k 5 h b W V z J n F 1 b 3 Q 7 O l t d L C Z x d W 9 0 O 0 N v b H V t b k l k Z W 5 0 a X R p Z X M m c X V v d D s 6 W y Z x d W 9 0 O 1 N l Y 3 R p b 2 4 x L 1 J Q Q 1 9 U Q U J M Q S 9 B d X R v U m V t b 3 Z l Z E N v b H V t b n M x L n t D b 2 1 i a W 5 h Z G E s M H 0 m c X V v d D s s J n F 1 b 3 Q 7 U 2 V j d G l v b j E v U l B D X 1 R B Q k x B L 0 F 1 d G 9 S Z W 1 v d m V k Q 2 9 s d W 1 u c z E u e 2 N v b n N l Y 3 V 0 a X Z v L D F 9 J n F 1 b 3 Q 7 L C Z x d W 9 0 O 1 N l Y 3 R p b 2 4 x L 1 J Q Q 1 9 U Q U J M Q S 9 B d X R v U m V t b 3 Z l Z E N v b H V t b n M x L n t m Z W N o Y V 9 h c H J v Y m F j a W 9 u L D J 9 J n F 1 b 3 Q 7 L C Z x d W 9 0 O 1 N l Y 3 R p b 2 4 x L 1 J Q Q 1 9 U Q U J M Q S 9 B d X R v U m V t b 3 Z l Z E N v b H V t b n M x L n t W Y W x v c i B S Q 1 A s M 3 0 m c X V v d D s s J n F 1 b 3 Q 7 U 2 V j d G l v b j E v U l B D X 1 R B Q k x B L 0 F 1 d G 9 S Z W 1 v d m V k Q 2 9 s d W 1 u c z E u e 2 R l c 2 N y a X B j a W 9 u L D R 9 J n F 1 b 3 Q 7 L C Z x d W 9 0 O 1 N l Y 3 R p b 2 4 x L 1 J Q Q 1 9 U Q U J M Q S 9 B d X R v U m V t b 3 Z l Z E N v b H V t b n M x L n t k Z X N j c m l w Y 2 l v b l 8 x L D V 9 J n F 1 b 3 Q 7 L C Z x d W 9 0 O 1 N l Y 3 R p b 2 4 x L 1 J Q Q 1 9 U Q U J M Q S 9 B d X R v U m V t b 3 Z l Z E N v b H V t b n M x L n t u d W 1 f Y 2 9 u d H J h d G 8 s N n 0 m c X V v d D s s J n F 1 b 3 Q 7 U 2 V j d G l v b j E v U l B D X 1 R B Q k x B L 0 F 1 d G 9 S Z W 1 v d m V k Q 2 9 s d W 1 u c z E u e 2 R p c 3 B v b m l i a W x p Z G F k L D d 9 J n F 1 b 3 Q 7 L C Z x d W 9 0 O 1 N l Y 3 R p b 2 4 x L 1 J Q Q 1 9 U Q U J M Q S 9 B d X R v U m V t b 3 Z l Z E N v b H V t b n M x L n t j b 2 R p Z 2 9 f c m V z d W 1 p Z G 8 s O H 0 m c X V v d D s s J n F 1 b 3 Q 7 U 2 V j d G l v b j E v U l B D X 1 R B Q k x B L 0 F 1 d G 9 S Z W 1 v d m V k Q 2 9 s d W 1 u c z E u e 3 J 1 Y n J v L D l 9 J n F 1 b 3 Q 7 L C Z x d W 9 0 O 1 N l Y 3 R p b 2 4 x L 1 J Q Q 1 9 U Q U J M Q S 9 B d X R v U m V t b 3 Z l Z E N v b H V t b n M x L n t u b 2 1 i c m V f c H J v e W V j d G 8 s M T B 9 J n F 1 b 3 Q 7 L C Z x d W 9 0 O 1 N l Y 3 R p b 2 4 x L 1 J Q Q 1 9 U Q U J M Q S 9 B d X R v U m V t b 3 Z l Z E N v b H V t b n M x L n t 2 Y W x v c l 9 0 b 3 R h b C w x M X 0 m c X V v d D s s J n F 1 b 3 Q 7 U 2 V j d G l v b j E v U l B D X 1 R B Q k x B L 0 F 1 d G 9 S Z W 1 v d m V k Q 2 9 s d W 1 u c z E u e 2 F u b y w x M n 0 m c X V v d D s s J n F 1 b 3 Q 7 U 2 V j d G l v b j E v U l B D X 1 R B Q k x B L 0 F 1 d G 9 S Z W 1 v d m V k Q 2 9 s d W 1 u c z E u e 2 5 p d C w x M 3 0 m c X V v d D s s J n F 1 b 3 Q 7 U 2 V j d G l v b j E v U l B D X 1 R B Q k x B L 0 F 1 d G 9 S Z W 1 v d m V k Q 2 9 s d W 1 u c z E u e 2 5 v b W J y Z S w x N H 0 m c X V v d D s s J n F 1 b 3 Q 7 U 2 V j d G l v b j E v U l B D X 1 R B Q k x B L 0 F 1 d G 9 S Z W 1 v d m V k Q 2 9 s d W 1 u c z E u e 2 5 v b W J y Z V 9 l b X B y Z X N h L D E 1 f S Z x d W 9 0 O y w m c X V v d D t T Z W N 0 a W 9 u M S 9 S U E N f V E F C T E E v Q X V 0 b 1 J l b W 9 2 Z W R D b 2 x 1 b W 5 z M S 5 7 b m 9 t Y n J l X 2 R l c G V u Z G V u Y 2 l h L D E 2 f S Z x d W 9 0 O y w m c X V v d D t T Z W N 0 a W 9 u M S 9 S U E N f V E F C T E E v Q X V 0 b 1 J l b W 9 2 Z W R D b 2 x 1 b W 5 z M S 5 7 c m V p b n R l Z 3 J v c y w x N 3 0 m c X V v d D s s J n F 1 b 3 Q 7 U 2 V j d G l v b j E v U l B D X 1 R B Q k x B L 0 F 1 d G 9 S Z W 1 v d m V k Q 2 9 s d W 1 u c z E u e 3 R v d G F s X 2 9 y Z G V u Z X M s M T h 9 J n F 1 b 3 Q 7 L C Z x d W 9 0 O 1 N l Y 3 R p b 2 4 x L 1 J Q Q 1 9 U Q U J M Q S 9 B d X R v U m V t b 3 Z l Z E N v b H V t b n M x L n t 0 b 3 R h b F 9 j Y W 5 j Z W x h Z G 8 s M T l 9 J n F 1 b 3 Q 7 X S w m c X V v d D t S Z W x h d G l v b n N o a X B J b m Z v J n F 1 b 3 Q 7 O l t d f S I g L z 4 8 L 1 N 0 Y W J s Z U V u d H J p Z X M + P C 9 J d G V t P j x J d G V t P j x J d G V t T G 9 j Y X R p b 2 4 + P E l 0 Z W 1 U e X B l P k Z v c m 1 1 b G E 8 L 0 l 0 Z W 1 U e X B l P j x J d G V t U G F 0 a D 5 T Z W N 0 a W 9 u M S 9 S U E N f V E F C T E E v T 3 J p Z 2 V u P C 9 J d G V t U G F 0 a D 4 8 L 0 l 0 Z W 1 M b 2 N h d G l v b j 4 8 U 3 R h Y m x l R W 5 0 c m l l c y A v P j w v S X R l b T 4 8 S X R l b T 4 8 S X R l b U x v Y 2 F 0 a W 9 u P j x J d G V t V H l w Z T 5 G b 3 J t d W x h P C 9 J d G V t V H l w Z T 4 8 S X R l b V B h d G g + U 2 V j d G l v b j E v U l B D X 0 R J T k F N S U N B P C 9 J d G V t U G F 0 a D 4 8 L 0 l 0 Z W 1 M b 2 N h d G l v b j 4 8 U 3 R h Y m x l R W 5 0 c m l l c z 4 8 R W 5 0 c n k g V H l w Z T 0 i S X N Q c m l 2 Y X R l I i B W Y W x 1 Z T 0 i b D A i I C 8 + P E V u d H J 5 I F R 5 c G U 9 I k Z p b G 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w I i A v P j x F b n R y e S B U e X B l P S J R d W V y e U l E I i B W Y W x 1 Z T 0 i c 2 Y 5 M z d m M j k 0 L W Y 1 N z A t N G V l N i 0 4 N T M 1 L T M 5 O T A z N T A y Z D N j Z i I g L z 4 8 R W 5 0 c n k g V H l w Z T 0 i T G 9 h Z G V k V G 9 B b m F s e X N p c 1 N l c n Z p Y 2 V z I i B W Y W x 1 Z T 0 i b D A i I C 8 + P E V u d H J 5 I F R 5 c G U 9 I k Z p b G x U b 0 R h d G F N b 2 R l b E V u Y W J s Z W Q i I F Z h b H V l P S J s M C I g L z 4 8 R W 5 0 c n k g V H l w Z T 0 i R m l s b E 9 i a m V j d F R 5 c G U i I F Z h b H V l P S J z Q 2 9 u b m V j d G l v b k 9 u b H k i I C 8 + P E V u d H J 5 I F R 5 c G U 9 I k Z p b G x M Y X N 0 V X B k Y X R l Z C I g V m F s d W U 9 I m Q y M D I 1 L T A 0 L T E x V D E 3 O j M z O j E y L j I 3 M j c 3 M z N a I i A v P j x F b n R y e S B U e X B l P S J G a W x s R X J y b 3 J D b 3 V u d C I g V m F s d W U 9 I m w w I i A v P j x F b n R y e S B U e X B l P S J G a W x s R X J y b 3 J D b 2 R l I i B W Y W x 1 Z T 0 i c 1 V u a 2 5 v d 2 4 i I C 8 + P E V u d H J 5 I F R 5 c G U 9 I k Z p b G x D b 2 x 1 b W 5 U e X B l c y I g V m F s d W U 9 I n N B d 1 l H Q m d Z R E F 3 W U d B d 0 1 G Q m d Z R 0 F 3 T U R C Z 0 E 9 I i A v P j x F b n R y e S B U e X B l P S J G a W x s Q 2 9 s d W 1 u T m F t Z X M i I F Z h b H V l P S J z W y Z x d W 9 0 O 2 N v b n N l Y 3 V 0 a X Z v J n F 1 b 3 Q 7 L C Z x d W 9 0 O 2 Z l Y 2 h h X 2 F w c m 9 i Y W N p b 2 4 m c X V v d D s s J n F 1 b 3 Q 7 Z G V z Y 3 J p c G N p b 2 4 m c X V v d D s s J n F 1 b 3 Q 7 Z G V z Y 3 J p c G N p b 2 5 f M S Z x d W 9 0 O y w m c X V v d D t u d W 1 f Y 2 9 u d H J h d G 8 m c X V v d D s s J n F 1 b 3 Q 7 Z G l z c G 9 u a W J p b G l k Y W Q m c X V v d D s s J n F 1 b 3 Q 7 Y 2 9 k a W d v X 3 J l c 3 V t a W R v J n F 1 b 3 Q 7 L C Z x d W 9 0 O 3 J 1 Y n J v J n F 1 b 3 Q 7 L C Z x d W 9 0 O 2 5 v b W J y Z V 9 w c m 9 5 Z W N 0 b y Z x d W 9 0 O y w m c X V v d D t 2 Y W x v c l 9 0 b 3 R h b C Z x d W 9 0 O y w m c X V v d D t h b m 8 m c X V v d D s s J n F 1 b 3 Q 7 b m l 0 J n F 1 b 3 Q 7 L C Z x d W 9 0 O 2 5 v b W J y Z S Z x d W 9 0 O y w m c X V v d D t u b 2 1 i c m V f Z W 1 w c m V z Y S Z x d W 9 0 O y w m c X V v d D t u b 2 1 i c m V f Z G V w Z W 5 k Z W 5 j a W E m c X V v d D s s J n F 1 b 3 Q 7 c m V p b n R l Z 3 J v c y Z x d W 9 0 O y w m c X V v d D t 0 b 3 R h b F 9 v c m R l b m V z J n F 1 b 3 Q 7 L C Z x d W 9 0 O 3 R v d G F s X 2 N h b m N l b G F k b y Z x d W 9 0 O y w m c X V v d D t D b 2 1 i a W 5 h Z G E m c X V v d D s s J n F 1 b 3 Q 7 V k F M T 1 I g U k N Q J n F 1 b 3 Q 7 X S I g L z 4 8 R W 5 0 c n k g V H l w Z T 0 i R m l s b E N v d W 5 0 I i B W Y W x 1 Z T 0 i b D k 0 M z E i I C 8 + P E V u d H J 5 I F R 5 c G U 9 I k Z p b G x T d G F 0 d X M i I F Z h b H V l P S J z Q 2 9 t c G x l d G U i I C 8 + P E V u d H J 5 I F R 5 c G U 9 I k F k Z G V k V G 9 E Y X R h T W 9 k Z W w i I F Z h b H V l P S J s M C I g L z 4 8 R W 5 0 c n k g V H l w Z T 0 i U m V s Y X R p b 2 5 z a G l w S W 5 m b 0 N v b n R h a W 5 l c i I g V m F s d W U 9 I n N 7 J n F 1 b 3 Q 7 Y 2 9 s d W 1 u Q 2 9 1 b n Q m c X V v d D s 6 M j A s J n F 1 b 3 Q 7 a 2 V 5 Q 2 9 s d W 1 u T m F t Z X M m c X V v d D s 6 W 1 0 s J n F 1 b 3 Q 7 c X V l c n l S Z W x h d G l v b n N o a X B z J n F 1 b 3 Q 7 O l t d L C Z x d W 9 0 O 2 N v b H V t b k l k Z W 5 0 a X R p Z X M m c X V v d D s 6 W y Z x d W 9 0 O 1 N l Y 3 R p b 2 4 x L 1 J Q Q 1 9 E S U 5 B T U l D Q S 9 U a X B v I G N h b W J p Y W R v L n t j b 2 5 z Z W N 1 d G l 2 b y w w f S Z x d W 9 0 O y w m c X V v d D t T Z W N 0 a W 9 u M S 9 S U E N f R E l O Q U 1 J Q 0 E v V G l w b y B j Y W 1 i a W F k b y 5 7 Z m V j a G F f Y X B y b 2 J h Y 2 l v b i w x f S Z x d W 9 0 O y w m c X V v d D t T Z W N 0 a W 9 u M S 9 S U E N f R E l O Q U 1 J Q 0 E v V G l w b y B j Y W 1 i a W F k b y 5 7 Z G V z Y 3 J p c G N p b 2 4 s M n 0 m c X V v d D s s J n F 1 b 3 Q 7 U 2 V j d G l v b j E v U l B D X 0 R J T k F N S U N B L 1 R p c G 8 g Y 2 F t Y m l h Z G 8 u e 2 R l c 2 N y a X B j a W 9 u X z E s M 3 0 m c X V v d D s s J n F 1 b 3 Q 7 U 2 V j d G l v b j E v U l B D X 0 R J T k F N S U N B L 1 R p c G 8 g Y 2 F t Y m l h Z G 8 u e 2 5 1 b V 9 j b 2 5 0 c m F 0 b y w 0 f S Z x d W 9 0 O y w m c X V v d D t T Z W N 0 a W 9 u M S 9 S U E N f R E l O Q U 1 J Q 0 E v V G l w b y B j Y W 1 i a W F k b y 5 7 Z G l z c G 9 u a W J p b G l k Y W Q s N X 0 m c X V v d D s s J n F 1 b 3 Q 7 U 2 V j d G l v b j E v U l B D X 0 R J T k F N S U N B L 1 R p c G 8 g Y 2 F t Y m l h Z G 8 u e 2 N v Z G l n b 1 9 y Z X N 1 b W l k b y w 2 f S Z x d W 9 0 O y w m c X V v d D t T Z W N 0 a W 9 u M S 9 S U E N f R E l O Q U 1 J Q 0 E v V G l w b y B j Y W 1 i a W F k b y 5 7 c n V i c m 8 s N 3 0 m c X V v d D s s J n F 1 b 3 Q 7 U 2 V j d G l v b j E v U l B D X 0 R J T k F N S U N B L 1 R p c G 8 g Y 2 F t Y m l h Z G 8 u e 2 5 v b W J y Z V 9 w c m 9 5 Z W N 0 b y w 4 f S Z x d W 9 0 O y w m c X V v d D t T Z W N 0 a W 9 u M S 9 S U E N f R E l O Q U 1 J Q 0 E v V G l w b y B j Y W 1 i a W F k b y 5 7 d m F s b 3 J f d G 9 0 Y W w s O X 0 m c X V v d D s s J n F 1 b 3 Q 7 U 2 V j d G l v b j E v U l B D X 0 R J T k F N S U N B L 1 R p c G 8 g Y 2 F t Y m l h Z G 8 u e 2 F u b y w x M H 0 m c X V v d D s s J n F 1 b 3 Q 7 U 2 V j d G l v b j E v U l B D X 0 R J T k F N S U N B L 1 R p c G 8 g Y 2 F t Y m l h Z G 8 u e 2 5 p d C w x M X 0 m c X V v d D s s J n F 1 b 3 Q 7 U 2 V j d G l v b j E v U l B D X 0 R J T k F N S U N B L 1 R p c G 8 g Y 2 F t Y m l h Z G 8 u e 2 5 v b W J y Z S w x M n 0 m c X V v d D s s J n F 1 b 3 Q 7 U 2 V j d G l v b j E v U l B D X 0 R J T k F N S U N B L 1 R p c G 8 g Y 2 F t Y m l h Z G 8 u e 2 5 v b W J y Z V 9 l b X B y Z X N h L D E z f S Z x d W 9 0 O y w m c X V v d D t T Z W N 0 a W 9 u M S 9 S U E N f R E l O Q U 1 J Q 0 E v V G l w b y B j Y W 1 i a W F k b y 5 7 b m 9 t Y n J l X 2 R l c G V u Z G V u Y 2 l h L D E 0 f S Z x d W 9 0 O y w m c X V v d D t T Z W N 0 a W 9 u M S 9 S U E N f R E l O Q U 1 J Q 0 E v V G l w b y B j Y W 1 i a W F k b y 5 7 c m V p b n R l Z 3 J v c y w x N X 0 m c X V v d D s s J n F 1 b 3 Q 7 U 2 V j d G l v b j E v U l B D X 0 R J T k F N S U N B L 1 R p c G 8 g Y 2 F t Y m l h Z G 8 u e 3 R v d G F s X 2 9 y Z G V u Z X M s M T Z 9 J n F 1 b 3 Q 7 L C Z x d W 9 0 O 1 N l Y 3 R p b 2 4 x L 1 J Q Q 1 9 E S U 5 B T U l D Q S 9 U a X B v I G N h b W J p Y W R v L n t 0 b 3 R h b F 9 j Y W 5 j Z W x h Z G 8 s M T d 9 J n F 1 b 3 Q 7 L C Z x d W 9 0 O 1 N l Y 3 R p b 2 4 x L 1 J Q Q 1 9 E S U 5 B T U l D Q S 9 D b 2 x 1 b W 5 h c y B j b 2 1 i a W 5 h Z G F z L n t D b 2 1 i a W 5 h Z G E s M T h 9 J n F 1 b 3 Q 7 L C Z x d W 9 0 O 1 N l Y 3 R p b 2 4 x L 1 J Q Q 1 9 E S U 5 B T U l D Q S 9 Q Z X J z b 2 5 h b G l 6 Y W R h I G F n c m V n Y W R h L n t W Q U x P U i B S Q 1 A s M T l 9 J n F 1 b 3 Q 7 X S w m c X V v d D t D b 2 x 1 b W 5 D b 3 V u d C Z x d W 9 0 O z o y M C w m c X V v d D t L Z X l D b 2 x 1 b W 5 O Y W 1 l c y Z x d W 9 0 O z p b X S w m c X V v d D t D b 2 x 1 b W 5 J Z G V u d G l 0 a W V z J n F 1 b 3 Q 7 O l s m c X V v d D t T Z W N 0 a W 9 u M S 9 S U E N f R E l O Q U 1 J Q 0 E v V G l w b y B j Y W 1 i a W F k b y 5 7 Y 2 9 u c 2 V j d X R p d m 8 s M H 0 m c X V v d D s s J n F 1 b 3 Q 7 U 2 V j d G l v b j E v U l B D X 0 R J T k F N S U N B L 1 R p c G 8 g Y 2 F t Y m l h Z G 8 u e 2 Z l Y 2 h h X 2 F w c m 9 i Y W N p b 2 4 s M X 0 m c X V v d D s s J n F 1 b 3 Q 7 U 2 V j d G l v b j E v U l B D X 0 R J T k F N S U N B L 1 R p c G 8 g Y 2 F t Y m l h Z G 8 u e 2 R l c 2 N y a X B j a W 9 u L D J 9 J n F 1 b 3 Q 7 L C Z x d W 9 0 O 1 N l Y 3 R p b 2 4 x L 1 J Q Q 1 9 E S U 5 B T U l D Q S 9 U a X B v I G N h b W J p Y W R v L n t k Z X N j c m l w Y 2 l v b l 8 x L D N 9 J n F 1 b 3 Q 7 L C Z x d W 9 0 O 1 N l Y 3 R p b 2 4 x L 1 J Q Q 1 9 E S U 5 B T U l D Q S 9 U a X B v I G N h b W J p Y W R v L n t u d W 1 f Y 2 9 u d H J h d G 8 s N H 0 m c X V v d D s s J n F 1 b 3 Q 7 U 2 V j d G l v b j E v U l B D X 0 R J T k F N S U N B L 1 R p c G 8 g Y 2 F t Y m l h Z G 8 u e 2 R p c 3 B v b m l i a W x p Z G F k L D V 9 J n F 1 b 3 Q 7 L C Z x d W 9 0 O 1 N l Y 3 R p b 2 4 x L 1 J Q Q 1 9 E S U 5 B T U l D Q S 9 U a X B v I G N h b W J p Y W R v L n t j b 2 R p Z 2 9 f c m V z d W 1 p Z G 8 s N n 0 m c X V v d D s s J n F 1 b 3 Q 7 U 2 V j d G l v b j E v U l B D X 0 R J T k F N S U N B L 1 R p c G 8 g Y 2 F t Y m l h Z G 8 u e 3 J 1 Y n J v L D d 9 J n F 1 b 3 Q 7 L C Z x d W 9 0 O 1 N l Y 3 R p b 2 4 x L 1 J Q Q 1 9 E S U 5 B T U l D Q S 9 U a X B v I G N h b W J p Y W R v L n t u b 2 1 i c m V f c H J v e W V j d G 8 s O H 0 m c X V v d D s s J n F 1 b 3 Q 7 U 2 V j d G l v b j E v U l B D X 0 R J T k F N S U N B L 1 R p c G 8 g Y 2 F t Y m l h Z G 8 u e 3 Z h b G 9 y X 3 R v d G F s L D l 9 J n F 1 b 3 Q 7 L C Z x d W 9 0 O 1 N l Y 3 R p b 2 4 x L 1 J Q Q 1 9 E S U 5 B T U l D Q S 9 U a X B v I G N h b W J p Y W R v L n t h b m 8 s M T B 9 J n F 1 b 3 Q 7 L C Z x d W 9 0 O 1 N l Y 3 R p b 2 4 x L 1 J Q Q 1 9 E S U 5 B T U l D Q S 9 U a X B v I G N h b W J p Y W R v L n t u a X Q s M T F 9 J n F 1 b 3 Q 7 L C Z x d W 9 0 O 1 N l Y 3 R p b 2 4 x L 1 J Q Q 1 9 E S U 5 B T U l D Q S 9 U a X B v I G N h b W J p Y W R v L n t u b 2 1 i c m U s M T J 9 J n F 1 b 3 Q 7 L C Z x d W 9 0 O 1 N l Y 3 R p b 2 4 x L 1 J Q Q 1 9 E S U 5 B T U l D Q S 9 U a X B v I G N h b W J p Y W R v L n t u b 2 1 i c m V f Z W 1 w c m V z Y S w x M 3 0 m c X V v d D s s J n F 1 b 3 Q 7 U 2 V j d G l v b j E v U l B D X 0 R J T k F N S U N B L 1 R p c G 8 g Y 2 F t Y m l h Z G 8 u e 2 5 v b W J y Z V 9 k Z X B l b m R l b m N p Y S w x N H 0 m c X V v d D s s J n F 1 b 3 Q 7 U 2 V j d G l v b j E v U l B D X 0 R J T k F N S U N B L 1 R p c G 8 g Y 2 F t Y m l h Z G 8 u e 3 J l a W 5 0 Z W d y b 3 M s M T V 9 J n F 1 b 3 Q 7 L C Z x d W 9 0 O 1 N l Y 3 R p b 2 4 x L 1 J Q Q 1 9 E S U 5 B T U l D Q S 9 U a X B v I G N h b W J p Y W R v L n t 0 b 3 R h b F 9 v c m R l b m V z L D E 2 f S Z x d W 9 0 O y w m c X V v d D t T Z W N 0 a W 9 u M S 9 S U E N f R E l O Q U 1 J Q 0 E v V G l w b y B j Y W 1 i a W F k b y 5 7 d G 9 0 Y W x f Y 2 F u Y 2 V s Y W R v L D E 3 f S Z x d W 9 0 O y w m c X V v d D t T Z W N 0 a W 9 u M S 9 S U E N f R E l O Q U 1 J Q 0 E v Q 2 9 s d W 1 u Y X M g Y 2 9 t Y m l u Y W R h c y 5 7 Q 2 9 t Y m l u Y W R h L D E 4 f S Z x d W 9 0 O y w m c X V v d D t T Z W N 0 a W 9 u M S 9 S U E N f R E l O Q U 1 J Q 0 E v U G V y c 2 9 u Y W x p e m F k Y S B h Z 3 J l Z 2 F k Y S 5 7 V k F M T 1 I g U k N Q L D E 5 f S Z x d W 9 0 O 1 0 s J n F 1 b 3 Q 7 U m V s Y X R p b 2 5 z a G l w S W 5 m b y Z x d W 9 0 O z p b X X 0 i I C 8 + P C 9 T d G F i b G V F b n R y a W V z P j w v S X R l b T 4 8 S X R l b T 4 8 S X R l b U x v Y 2 F 0 a W 9 u P j x J d G V t V H l w Z T 5 G b 3 J t d W x h P C 9 J d G V t V H l w Z T 4 8 S X R l b V B h d G g + U 2 V j d G l v b j E v U l B D X 0 R J T k F N S U N B L 0 9 y a W d l b j w v S X R l b V B h d G g + P C 9 J d G V t T G 9 j Y X R p b 2 4 + P F N 0 Y W J s Z U V u d H J p Z X M g L z 4 8 L 0 l 0 Z W 0 + P E l 0 Z W 0 + P E l 0 Z W 1 M b 2 N h d G l v b j 4 8 S X R l b V R 5 c G U + R m 9 y b X V s Y T w v S X R l b V R 5 c G U + P E l 0 Z W 1 Q Y X R o P l N l Y 3 R p b 2 4 x L 0 d B U 1 R P U 1 8 v V G l w b y U y M G N h b W J p Y W R v P C 9 J d G V t U G F 0 a D 4 8 L 0 l 0 Z W 1 M b 2 N h d G l v b j 4 8 U 3 R h Y m x l R W 5 0 c m l l c y A v P j w v S X R l b T 4 8 S X R l b T 4 8 S X R l b U x v Y 2 F 0 a W 9 u P j x J d G V t V H l w Z T 5 G b 3 J t d W x h P C 9 J d G V t V H l w Z T 4 8 S X R l b V B h d G g + U 2 V j d G l v b j E v R 0 F T V E 9 T X y 9 F c n J v c m V z J T I w c X V p d G F k b 3 M 8 L 0 l 0 Z W 1 Q Y X R o P j w v S X R l b U x v Y 2 F 0 a W 9 u P j x T d G F i b G V F b n R y a W V z I C 8 + P C 9 J d G V t P j x J d G V t P j x J d G V t T G 9 j Y X R p b 2 4 + P E l 0 Z W 1 U e X B l P k Z v c m 1 1 b G E 8 L 0 l 0 Z W 1 U e X B l P j x J d G V t U G F 0 a D 5 T Z W N 0 a W 9 u M S 9 H Q V N U T 1 N f L 1 R p c G 8 l M j B j Y W 1 i a W F k b z E 8 L 0 l 0 Z W 1 Q Y X R o P j w v S X R l b U x v Y 2 F 0 a W 9 u P j x T d G F i b G V F b n R y a W V z I C 8 + P C 9 J d G V t P j x J d G V t P j x J d G V t T G 9 j Y X R p b 2 4 + P E l 0 Z W 1 U e X B l P k Z v c m 1 1 b G E 8 L 0 l 0 Z W 1 U e X B l P j x J d G V t U G F 0 a D 5 T Z W N 0 a W 9 u M S 9 H Q V N U T 1 N f L 0 N v b H V t b m E l M j B k d X B s a W N h Z G E 8 L 0 l 0 Z W 1 Q Y X R o P j w v S X R l b U x v Y 2 F 0 a W 9 u P j x T d G F i b G V F b n R y a W V z I C 8 + P C 9 J d G V t P j x J d G V t P j x J d G V t T G 9 j Y X R p b 2 4 + P E l 0 Z W 1 U e X B l P k Z v c m 1 1 b G E 8 L 0 l 0 Z W 1 U e X B l P j x J d G V t U G F 0 a D 5 T Z W N 0 a W 9 u M S 9 H Q V N U T 1 N f L 0 N v b H V t b m F z J T I w Y 2 9 u J T I w b m 9 t Y n J l J T I w Y 2 F t Y m l h Z G 8 8 L 0 l 0 Z W 1 Q Y X R o P j w v S X R l b U x v Y 2 F 0 a W 9 u P j x T d G F i b G V F b n R y a W V z I C 8 + P C 9 J d G V t P j x J d G V t P j x J d G V t T G 9 j Y X R p b 2 4 + P E l 0 Z W 1 U e X B l P k Z v c m 1 1 b G E 8 L 0 l 0 Z W 1 U e X B l P j x J d G V t U G F 0 a D 5 T Z W N 0 a W 9 u M S 9 H Q V N U T 1 N f L 1 J h b m d v J T I w Z G U l M j B 0 Z X h 0 b y U y M G V 4 d H J h J U M z J U F E Z G 8 8 L 0 l 0 Z W 1 Q Y X R o P j w v S X R l b U x v Y 2 F 0 a W 9 u P j x T d G F i b G V F b n R y a W V z I C 8 + P C 9 J d G V t P j x J d G V t P j x J d G V t T G 9 j Y X R p b 2 4 + P E l 0 Z W 1 U e X B l P k Z v c m 1 1 b G E 8 L 0 l 0 Z W 1 U e X B l P j x J d G V t U G F 0 a D 5 T Z W N 0 a W 9 u M S 9 H Q V N U T 1 N f L 0 N v b H V t b m E l M j B k d X B s a W N h Z G E x P C 9 J d G V t U G F 0 a D 4 8 L 0 l 0 Z W 1 M b 2 N h d G l v b j 4 8 U 3 R h Y m x l R W 5 0 c m l l c y A v P j w v S X R l b T 4 8 S X R l b T 4 8 S X R l b U x v Y 2 F 0 a W 9 u P j x J d G V t V H l w Z T 5 G b 3 J t d W x h P C 9 J d G V t V H l w Z T 4 8 S X R l b V B h d G g + U 2 V j d G l v b j E v R 0 F T V E 9 T X y 9 D b 2 x 1 b W 5 h c y U y M G N v b i U y M G 5 v b W J y Z S U y M G N h b W J p Y W R v M T w v S X R l b V B h d G g + P C 9 J d G V t T G 9 j Y X R p b 2 4 + P F N 0 Y W J s Z U V u d H J p Z X M g L z 4 8 L 0 l 0 Z W 0 + P E l 0 Z W 0 + P E l 0 Z W 1 M b 2 N h d G l v b j 4 8 S X R l b V R 5 c G U + R m 9 y b X V s Y T w v S X R l b V R 5 c G U + P E l 0 Z W 1 Q Y X R o P l N l Y 3 R p b 2 4 x L 0 d B U 1 R P U 1 8 v U m F u Z 2 8 l M j B k Z S U y M H R l e H R v J T I w Z X h 0 c m E l Q z M l Q U R k b z E 8 L 0 l 0 Z W 1 Q Y X R o P j w v S X R l b U x v Y 2 F 0 a W 9 u P j x T d G F i b G V F b n R y a W V z I C 8 + P C 9 J d G V t P j x J d G V t P j x J d G V t T G 9 j Y X R p b 2 4 + P E l 0 Z W 1 U e X B l P k Z v c m 1 1 b G E 8 L 0 l 0 Z W 1 U e X B l P j x J d G V t U G F 0 a D 5 T Z W N 0 a W 9 u M S 9 Q Q U d P U z w v S X R l b V B h d G g + P C 9 J d G V t T G 9 j Y X R p b 2 4 + P F N 0 Y W J s Z U V u d H J p Z X M + P E V u d H J 5 I F R 5 c G U 9 I k l z U H J p d m F 0 Z S I g V m F s d W U 9 I m w w I i A v P j x F b n R y e S B U e X B l P S J G a W x s R W 5 h Y m x l Z C I g V m F s d W U 9 I m w w I i A v P j x F b n R y e S B U e X B l P S J C d W Z m Z X J O Z X h 0 U m V m c m V z a C I g V m F s d W U 9 I m w x I i A v P j x F b n R y e S B U e X B l P S J S Z X N 1 b H R U e X B l I i B W Y W x 1 Z T 0 i c 1 R h Y m x l I i A v P j x F b n R y e S B U e X B l P S J O Y W 1 l V X B k Y X R l Z E F m d G V y R m l s b C I g V m F s d W U 9 I m w w I i A v P j x F b n R y e S B U e X B l P S J O Y X Z p Z 2 F 0 a W 9 u U 3 R l c E 5 h b W U i I F Z h b H V l P S J z T m F 2 Z W d h Y 2 n D s 2 4 i I C 8 + P E V u d H J 5 I F R 5 c G U 9 I k Z p b G x P Y m p l Y 3 R U e X B l I i B W Y W x 1 Z T 0 i c 0 N v b m 5 l Y 3 R p b 2 5 P b m x 5 I i A v P j x F b n R y e S B U e X B l P S J G a W x s Z W R D b 2 1 w b G V 0 Z V J l c 3 V s d F R v V 2 9 y a 3 N o Z W V 0 I i B W Y W x 1 Z T 0 i b D E i I C 8 + P E V u d H J 5 I F R 5 c G U 9 I l F 1 Z X J 5 S U Q i I F Z h b H V l P S J z N T Y 5 Y W Y 1 N D Q t N D c 4 N y 0 0 M T I 3 L T l l Z m E t O T Z j O T M 0 Y j Q 0 N T M 0 I i A v P j x F b n R y e S B U e X B l P S J G a W x s V G 9 E Y X R h T W 9 k Z W x F b m F i b G V k I i B W Y W x 1 Z T 0 i b D A i I C 8 + P E V u d H J 5 I F R 5 c G U 9 I k Z p b G x M Y X N 0 V X B k Y X R l Z C I g V m F s d W U 9 I m Q y M D I 1 L T A 0 L T E x V D E 3 O j M z O j E y L j I 3 M j c 3 M z N a I i A v P j x F b n R y e S B U e X B l P S J G a W x s R X J y b 3 J D b 3 V u d C I g V m F s d W U 9 I m w w I i A v P j x F b n R y e S B U e X B l P S J G a W x s R X J y b 3 J D b 2 R l I i B W Y W x 1 Z T 0 i c 1 V u a 2 5 v d 2 4 i I C 8 + P E V u d H J 5 I F R 5 c G U 9 I k Z p b G x D b 2 x 1 b W 5 U e X B l c y I g V m F s d W U 9 I n N C Z 0 1 H Q m d Z R 0 F 3 T U d C Z 0 1 E Q X d V R 0 F 3 W U d C Z 0 0 9 I i A v P j x F b n R y e S B U e X B l P S J G a W x s Q 2 9 s d W 1 u T m F t Z X M i I F Z h b H V l P S J z W y Z x d W 9 0 O 0 N v b W J p b m F k Y S Z x d W 9 0 O y w m c X V v d D t j b 2 5 z Z W N 1 d G l 2 b y Z x d W 9 0 O y w m c X V v d D t m Z W N o Y V 9 l b G F i b 3 J h Y 2 l v b i Z x d W 9 0 O y w m c X V v d D t m Z W N o Y V 9 h c H J v Y m F j a W 9 u J n F 1 b 3 Q 7 L C Z x d W 9 0 O 2 R l c 2 N y a X B j a W 9 u J n F 1 b 3 Q 7 L C Z x d W 9 0 O 2 R l c 2 N y a X B j a W 9 u X z E m c X V v d D s s J n F 1 b 3 Q 7 d m F s b 3 J f d G 9 0 Y W w m c X V v d D s s J n F 1 b 3 Q 7 Y 2 9 k a W d v X 3 J l c 3 V t a W R v J n F 1 b 3 Q 7 L C Z x d W 9 0 O 3 J 1 Y n J v J n F 1 b 3 Q 7 L C Z x d W 9 0 O 2 5 v b W J y Z V 9 w c m 9 5 Z W N 0 b y Z x d W 9 0 O y w m c X V v d D t z Y W x k b 1 9 j b 2 1 w c m 9 t a X N v J n F 1 b 3 Q 7 L C Z x d W 9 0 O 3 Z h b G 9 y X 3 R v d G F s X z I m c X V v d D s s J n F 1 b 3 Q 7 Y W 5 v J n F 1 b 3 Q 7 L C Z x d W 9 0 O 2 5 p d C Z x d W 9 0 O y w m c X V v d D t u b 2 1 i c m U m c X V v d D s s J n F 1 b 3 Q 7 c 2 F s Z G 8 m c X V v d D s s J n F 1 b 3 Q 7 Z G V z Y 3 J p c G N p b 2 5 f M y Z x d W 9 0 O y w m c X V v d D t u b 2 1 i c m V f Z W 1 w c m V z Y S Z x d W 9 0 O y w m c X V v d D t u b 2 1 i c m V f Z G V w Z W 5 k Z W 5 j a W E m c X V v d D s s J n F 1 b 3 Q 7 d m F s b 3 J f c G F n b y Z x d W 9 0 O 1 0 i I C 8 + P E V u d H J 5 I F R 5 c G U 9 I k Z p b G x D b 3 V u d C I g V m F s d W U 9 I m w 5 M j I w I i A v P j x F b n R y e S B U e X B l P S J G a W x s U 3 R h d H V z I i B W Y W x 1 Z T 0 i c 0 N v b X B s Z X R l I i A v P j x F b n R y e S B U e X B l P S J B Z G R l Z F R v R G F 0 Y U 1 v Z G V s I i B W Y W x 1 Z T 0 i b D A i I C 8 + P E V u d H J 5 I F R 5 c G U 9 I l J l b G F 0 a W 9 u c 2 h p c E l u Z m 9 D b 2 5 0 Y W l u Z X I i I F Z h b H V l P S J z e y Z x d W 9 0 O 2 N v b H V t b k N v d W 5 0 J n F 1 b 3 Q 7 O j I w L C Z x d W 9 0 O 2 t l e U N v b H V t b k 5 h b W V z J n F 1 b 3 Q 7 O l t d L C Z x d W 9 0 O 3 F 1 Z X J 5 U m V s Y X R p b 2 5 z a G l w c y Z x d W 9 0 O z p b X S w m c X V v d D t j b 2 x 1 b W 5 J Z G V u d G l 0 a W V z J n F 1 b 3 Q 7 O l s m c X V v d D t T Z W N 0 a W 9 u M S 9 Q Q U d P U y 9 B d X R v U m V t b 3 Z l Z E N v b H V t b n M x L n t D b 2 1 i a W 5 h Z G E s M H 0 m c X V v d D s s J n F 1 b 3 Q 7 U 2 V j d G l v b j E v U E F H T 1 M v Q X V 0 b 1 J l b W 9 2 Z W R D b 2 x 1 b W 5 z M S 5 7 Y 2 9 u c 2 V j d X R p d m 8 s M X 0 m c X V v d D s s J n F 1 b 3 Q 7 U 2 V j d G l v b j E v U E F H T 1 M v Q X V 0 b 1 J l b W 9 2 Z W R D b 2 x 1 b W 5 z M S 5 7 Z m V j a G F f Z W x h Y m 9 y Y W N p b 2 4 s M n 0 m c X V v d D s s J n F 1 b 3 Q 7 U 2 V j d G l v b j E v U E F H T 1 M v Q X V 0 b 1 J l b W 9 2 Z W R D b 2 x 1 b W 5 z M S 5 7 Z m V j a G F f Y X B y b 2 J h Y 2 l v b i w z f S Z x d W 9 0 O y w m c X V v d D t T Z W N 0 a W 9 u M S 9 Q Q U d P U y 9 B d X R v U m V t b 3 Z l Z E N v b H V t b n M x L n t k Z X N j c m l w Y 2 l v b i w 0 f S Z x d W 9 0 O y w m c X V v d D t T Z W N 0 a W 9 u M S 9 Q Q U d P U y 9 B d X R v U m V t b 3 Z l Z E N v b H V t b n M x L n t k Z X N j c m l w Y 2 l v b l 8 x L D V 9 J n F 1 b 3 Q 7 L C Z x d W 9 0 O 1 N l Y 3 R p b 2 4 x L 1 B B R 0 9 T L 0 F 1 d G 9 S Z W 1 v d m V k Q 2 9 s d W 1 u c z E u e 3 Z h b G 9 y X 3 R v d G F s L D Z 9 J n F 1 b 3 Q 7 L C Z x d W 9 0 O 1 N l Y 3 R p b 2 4 x L 1 B B R 0 9 T L 0 F 1 d G 9 S Z W 1 v d m V k Q 2 9 s d W 1 u c z E u e 2 N v Z G l n b 1 9 y Z X N 1 b W l k b y w 3 f S Z x d W 9 0 O y w m c X V v d D t T Z W N 0 a W 9 u M S 9 Q Q U d P U y 9 B d X R v U m V t b 3 Z l Z E N v b H V t b n M x L n t y d W J y b y w 4 f S Z x d W 9 0 O y w m c X V v d D t T Z W N 0 a W 9 u M S 9 Q Q U d P U y 9 B d X R v U m V t b 3 Z l Z E N v b H V t b n M x L n t u b 2 1 i c m V f c H J v e W V j d G 8 s O X 0 m c X V v d D s s J n F 1 b 3 Q 7 U 2 V j d G l v b j E v U E F H T 1 M v Q X V 0 b 1 J l b W 9 2 Z W R D b 2 x 1 b W 5 z M S 5 7 c 2 F s Z G 9 f Y 2 9 t c H J v b W l z b y w x M H 0 m c X V v d D s s J n F 1 b 3 Q 7 U 2 V j d G l v b j E v U E F H T 1 M v Q X V 0 b 1 J l b W 9 2 Z W R D b 2 x 1 b W 5 z M S 5 7 d m F s b 3 J f d G 9 0 Y W x f M i w x M X 0 m c X V v d D s s J n F 1 b 3 Q 7 U 2 V j d G l v b j E v U E F H T 1 M v Q X V 0 b 1 J l b W 9 2 Z W R D b 2 x 1 b W 5 z M S 5 7 Y W 5 v L D E y f S Z x d W 9 0 O y w m c X V v d D t T Z W N 0 a W 9 u M S 9 Q Q U d P U y 9 B d X R v U m V t b 3 Z l Z E N v b H V t b n M x L n t u a X Q s M T N 9 J n F 1 b 3 Q 7 L C Z x d W 9 0 O 1 N l Y 3 R p b 2 4 x L 1 B B R 0 9 T L 0 F 1 d G 9 S Z W 1 v d m V k Q 2 9 s d W 1 u c z E u e 2 5 v b W J y Z S w x N H 0 m c X V v d D s s J n F 1 b 3 Q 7 U 2 V j d G l v b j E v U E F H T 1 M v Q X V 0 b 1 J l b W 9 2 Z W R D b 2 x 1 b W 5 z M S 5 7 c 2 F s Z G 8 s M T V 9 J n F 1 b 3 Q 7 L C Z x d W 9 0 O 1 N l Y 3 R p b 2 4 x L 1 B B R 0 9 T L 0 F 1 d G 9 S Z W 1 v d m V k Q 2 9 s d W 1 u c z E u e 2 R l c 2 N y a X B j a W 9 u X z M s M T Z 9 J n F 1 b 3 Q 7 L C Z x d W 9 0 O 1 N l Y 3 R p b 2 4 x L 1 B B R 0 9 T L 0 F 1 d G 9 S Z W 1 v d m V k Q 2 9 s d W 1 u c z E u e 2 5 v b W J y Z V 9 l b X B y Z X N h L D E 3 f S Z x d W 9 0 O y w m c X V v d D t T Z W N 0 a W 9 u M S 9 Q Q U d P U y 9 B d X R v U m V t b 3 Z l Z E N v b H V t b n M x L n t u b 2 1 i c m V f Z G V w Z W 5 k Z W 5 j a W E s M T h 9 J n F 1 b 3 Q 7 L C Z x d W 9 0 O 1 N l Y 3 R p b 2 4 x L 1 B B R 0 9 T L 0 F 1 d G 9 S Z W 1 v d m V k Q 2 9 s d W 1 u c z E u e 3 Z h b G 9 y X 3 B h Z 2 8 s M T l 9 J n F 1 b 3 Q 7 X S w m c X V v d D t D b 2 x 1 b W 5 D b 3 V u d C Z x d W 9 0 O z o y M C w m c X V v d D t L Z X l D b 2 x 1 b W 5 O Y W 1 l c y Z x d W 9 0 O z p b X S w m c X V v d D t D b 2 x 1 b W 5 J Z G V u d G l 0 a W V z J n F 1 b 3 Q 7 O l s m c X V v d D t T Z W N 0 a W 9 u M S 9 Q Q U d P U y 9 B d X R v U m V t b 3 Z l Z E N v b H V t b n M x L n t D b 2 1 i a W 5 h Z G E s M H 0 m c X V v d D s s J n F 1 b 3 Q 7 U 2 V j d G l v b j E v U E F H T 1 M v Q X V 0 b 1 J l b W 9 2 Z W R D b 2 x 1 b W 5 z M S 5 7 Y 2 9 u c 2 V j d X R p d m 8 s M X 0 m c X V v d D s s J n F 1 b 3 Q 7 U 2 V j d G l v b j E v U E F H T 1 M v Q X V 0 b 1 J l b W 9 2 Z W R D b 2 x 1 b W 5 z M S 5 7 Z m V j a G F f Z W x h Y m 9 y Y W N p b 2 4 s M n 0 m c X V v d D s s J n F 1 b 3 Q 7 U 2 V j d G l v b j E v U E F H T 1 M v Q X V 0 b 1 J l b W 9 2 Z W R D b 2 x 1 b W 5 z M S 5 7 Z m V j a G F f Y X B y b 2 J h Y 2 l v b i w z f S Z x d W 9 0 O y w m c X V v d D t T Z W N 0 a W 9 u M S 9 Q Q U d P U y 9 B d X R v U m V t b 3 Z l Z E N v b H V t b n M x L n t k Z X N j c m l w Y 2 l v b i w 0 f S Z x d W 9 0 O y w m c X V v d D t T Z W N 0 a W 9 u M S 9 Q Q U d P U y 9 B d X R v U m V t b 3 Z l Z E N v b H V t b n M x L n t k Z X N j c m l w Y 2 l v b l 8 x L D V 9 J n F 1 b 3 Q 7 L C Z x d W 9 0 O 1 N l Y 3 R p b 2 4 x L 1 B B R 0 9 T L 0 F 1 d G 9 S Z W 1 v d m V k Q 2 9 s d W 1 u c z E u e 3 Z h b G 9 y X 3 R v d G F s L D Z 9 J n F 1 b 3 Q 7 L C Z x d W 9 0 O 1 N l Y 3 R p b 2 4 x L 1 B B R 0 9 T L 0 F 1 d G 9 S Z W 1 v d m V k Q 2 9 s d W 1 u c z E u e 2 N v Z G l n b 1 9 y Z X N 1 b W l k b y w 3 f S Z x d W 9 0 O y w m c X V v d D t T Z W N 0 a W 9 u M S 9 Q Q U d P U y 9 B d X R v U m V t b 3 Z l Z E N v b H V t b n M x L n t y d W J y b y w 4 f S Z x d W 9 0 O y w m c X V v d D t T Z W N 0 a W 9 u M S 9 Q Q U d P U y 9 B d X R v U m V t b 3 Z l Z E N v b H V t b n M x L n t u b 2 1 i c m V f c H J v e W V j d G 8 s O X 0 m c X V v d D s s J n F 1 b 3 Q 7 U 2 V j d G l v b j E v U E F H T 1 M v Q X V 0 b 1 J l b W 9 2 Z W R D b 2 x 1 b W 5 z M S 5 7 c 2 F s Z G 9 f Y 2 9 t c H J v b W l z b y w x M H 0 m c X V v d D s s J n F 1 b 3 Q 7 U 2 V j d G l v b j E v U E F H T 1 M v Q X V 0 b 1 J l b W 9 2 Z W R D b 2 x 1 b W 5 z M S 5 7 d m F s b 3 J f d G 9 0 Y W x f M i w x M X 0 m c X V v d D s s J n F 1 b 3 Q 7 U 2 V j d G l v b j E v U E F H T 1 M v Q X V 0 b 1 J l b W 9 2 Z W R D b 2 x 1 b W 5 z M S 5 7 Y W 5 v L D E y f S Z x d W 9 0 O y w m c X V v d D t T Z W N 0 a W 9 u M S 9 Q Q U d P U y 9 B d X R v U m V t b 3 Z l Z E N v b H V t b n M x L n t u a X Q s M T N 9 J n F 1 b 3 Q 7 L C Z x d W 9 0 O 1 N l Y 3 R p b 2 4 x L 1 B B R 0 9 T L 0 F 1 d G 9 S Z W 1 v d m V k Q 2 9 s d W 1 u c z E u e 2 5 v b W J y Z S w x N H 0 m c X V v d D s s J n F 1 b 3 Q 7 U 2 V j d G l v b j E v U E F H T 1 M v Q X V 0 b 1 J l b W 9 2 Z W R D b 2 x 1 b W 5 z M S 5 7 c 2 F s Z G 8 s M T V 9 J n F 1 b 3 Q 7 L C Z x d W 9 0 O 1 N l Y 3 R p b 2 4 x L 1 B B R 0 9 T L 0 F 1 d G 9 S Z W 1 v d m V k Q 2 9 s d W 1 u c z E u e 2 R l c 2 N y a X B j a W 9 u X z M s M T Z 9 J n F 1 b 3 Q 7 L C Z x d W 9 0 O 1 N l Y 3 R p b 2 4 x L 1 B B R 0 9 T L 0 F 1 d G 9 S Z W 1 v d m V k Q 2 9 s d W 1 u c z E u e 2 5 v b W J y Z V 9 l b X B y Z X N h L D E 3 f S Z x d W 9 0 O y w m c X V v d D t T Z W N 0 a W 9 u M S 9 Q Q U d P U y 9 B d X R v U m V t b 3 Z l Z E N v b H V t b n M x L n t u b 2 1 i c m V f Z G V w Z W 5 k Z W 5 j a W E s M T h 9 J n F 1 b 3 Q 7 L C Z x d W 9 0 O 1 N l Y 3 R p b 2 4 x L 1 B B R 0 9 T L 0 F 1 d G 9 S Z W 1 v d m V k Q 2 9 s d W 1 u c z E u e 3 Z h b G 9 y X 3 B h Z 2 8 s M T l 9 J n F 1 b 3 Q 7 X S w m c X V v d D t S Z W x h d G l v b n N o a X B J b m Z v J n F 1 b 3 Q 7 O l t d f S I g L z 4 8 L 1 N 0 Y W J s Z U V u d H J p Z X M + P C 9 J d G V t P j x J d G V t P j x J d G V t T G 9 j Y X R p b 2 4 + P E l 0 Z W 1 U e X B l P k Z v c m 1 1 b G E 8 L 0 l 0 Z W 1 U e X B l P j x J d G V t U G F 0 a D 5 T Z W N 0 a W 9 u M S 9 Q Q U d P U y 9 P c m l n Z W 4 8 L 0 l 0 Z W 1 Q Y X R o P j w v S X R l b U x v Y 2 F 0 a W 9 u P j x T d G F i b G V F b n R y a W V z I C 8 + P C 9 J d G V t P j x J d G V t P j x J d G V t T G 9 j Y X R p b 2 4 + P E l 0 Z W 1 U e X B l P k Z v c m 1 1 b G E 8 L 0 l 0 Z W 1 U e X B l P j x J d G V t U G F 0 a D 5 T Z W N 0 a W 9 u M S 9 Q Q U d P U y 9 Q Q U d P U y U y M F h M U 1 9 o d H R w c y U z Q S U y R i U y R m l u Z G V w b 3 J 0 Z X N h b n R p b 3 F 1 a W E l M j B z a G F y Z X B v a W 5 0 J T I w Y 2 9 t J T J G c 2 l 0 Z X M l M k Z E a X N w b 2 5 p Y m l s a W R h Z G V z e U N v b X B y b 2 1 p c 2 9 z J T J G R G 9 j d W 1 l b n R v c y U y M G N v b X B h c n R p Z G 9 z J T J G S U 5 G T 1 J N R S U y M D I w M j E l M k Y 8 L 0 l 0 Z W 1 Q Y X R o P j w v S X R l b U x v Y 2 F 0 a W 9 u P j x T d G F i b G V F b n R y a W V z I C 8 + P C 9 J d G V t P j x J d G V t P j x J d G V t T G 9 j Y X R p b 2 4 + P E l 0 Z W 1 U e X B l P k Z v c m 1 1 b G E 8 L 0 l 0 Z W 1 U e X B l P j x J d G V t U G F 0 a D 5 T Z W N 0 a W 9 u M S 9 S U E N f V E F C T E E v U l B D U y U y M D I w M j E l M j B 4 b H N f a H R 0 c H M l M 0 E l M k Y l M k Z p b m R l c G 9 y d G V z Y W 5 0 a W 9 x d W l h J T I w c 2 h h c m V w b 2 l u d C U y M G N v b S U y R n N p d G V z J T J G R G l z c G 9 u a W J p b G l k Y W R l c 3 l D b 2 1 w c m 9 t a X N v c y U y R k R v Y 3 V t Z W 5 0 b 3 M l M j B j b 2 1 w Y X J 0 a W R v c y U y R k l O R k 9 S T U U l M j A y M D I x J T J G P C 9 J d G V t U G F 0 a D 4 8 L 0 l 0 Z W 1 M b 2 N h d G l v b j 4 8 U 3 R h Y m x l R W 5 0 c m l l c y A v P j w v S X R l b T 4 8 S X R l b T 4 8 S X R l b U x v Y 2 F 0 a W 9 u P j x J d G V t V H l w Z T 5 G b 3 J t d W x h P C 9 J d G V t V H l w Z T 4 8 S X R l b V B h d G g + U 2 V j d G l v b j E v U l B D X 1 R B Q k x B L 0 V 4 Y 2 V s J T I w a W 1 w b 3 J 0 Y W R v P C 9 J d G V t U G F 0 a D 4 8 L 0 l 0 Z W 1 M b 2 N h d G l v b j 4 8 U 3 R h Y m x l R W 5 0 c m l l c y A v P j w v S X R l b T 4 8 S X R l b T 4 8 S X R l b U x v Y 2 F 0 a W 9 u P j x J d G V t V H l w Z T 5 G b 3 J t d W x h P C 9 J d G V t V H l w Z T 4 8 S X R l b V B h d G g + U 2 V j d G l v b j E v U l B D X 1 R B Q k x B L 1 J Q Q 1 M l M j A y M D I x P C 9 J d G V t U G F 0 a D 4 8 L 0 l 0 Z W 1 M b 2 N h d G l v b j 4 8 U 3 R h Y m x l R W 5 0 c m l l c y A v P j w v S X R l b T 4 8 S X R l b T 4 8 S X R l b U x v Y 2 F 0 a W 9 u P j x J d G V t V H l w Z T 5 G b 3 J t d W x h P C 9 J d G V t V H l w Z T 4 8 S X R l b V B h d G g + U 2 V j d G l v b j E v U l B D X 1 R B Q k x B L 0 V u Y 2 F i Z X p h Z G 9 z J T I w c H J v b W 9 2 a W R v c z w v S X R l b V B h d G g + P C 9 J d G V t T G 9 j Y X R p b 2 4 + P F N 0 Y W J s Z U V u d H J p Z X M g L z 4 8 L 0 l 0 Z W 0 + P E l 0 Z W 0 + P E l 0 Z W 1 M b 2 N h d G l v b j 4 8 S X R l b V R 5 c G U + R m 9 y b X V s Y T w v S X R l b V R 5 c G U + P E l 0 Z W 1 Q Y X R o P l N l Y 3 R p b 2 4 x L 1 J Q Q 1 9 U Q U J M Q S 9 U a X B v J T I w Y 2 F t Y m l h Z G 8 8 L 0 l 0 Z W 1 Q Y X R o P j w v S X R l b U x v Y 2 F 0 a W 9 u P j x T d G F i b G V F b n R y a W V z I C 8 + P C 9 J d G V t P j x J d G V t P j x J d G V t T G 9 j Y X R p b 2 4 + P E l 0 Z W 1 U e X B l P k Z v c m 1 1 b G E 8 L 0 l 0 Z W 1 U e X B l P j x J d G V t U G F 0 a D 5 T Z W N 0 a W 9 u M S 9 S U E N f V E F C T E E v Q 2 9 s d W 1 u Y S U y M G R 1 c G x p Y 2 F k Y T w v S X R l b V B h d G g + P C 9 J d G V t T G 9 j Y X R p b 2 4 + P F N 0 Y W J s Z U V u d H J p Z X M g L z 4 8 L 0 l 0 Z W 0 + P E l 0 Z W 0 + P E l 0 Z W 1 M b 2 N h d G l v b j 4 8 S X R l b V R 5 c G U + R m 9 y b X V s Y T w v S X R l b V R 5 c G U + P E l 0 Z W 1 Q Y X R o P l N l Y 3 R p b 2 4 x L 1 J Q Q 1 9 U Q U J M Q S 9 D b 2 x 1 b W 5 h J T I w Z H V w b G l j Y W R h M T w v S X R l b V B h d G g + P C 9 J d G V t T G 9 j Y X R p b 2 4 + P F N 0 Y W J s Z U V u d H J p Z X M g L z 4 8 L 0 l 0 Z W 0 + P E l 0 Z W 0 + P E l 0 Z W 1 M b 2 N h d G l v b j 4 8 S X R l b V R 5 c G U + R m 9 y b X V s Y T w v S X R l b V R 5 c G U + P E l 0 Z W 1 Q Y X R o P l N l Y 3 R p b 2 4 x L 1 J Q Q 1 9 U Q U J M Q S 9 D b 2 x 1 b W 5 h c y U y M G N v b W J p b m F k Y X M 8 L 0 l 0 Z W 1 Q Y X R o P j w v S X R l b U x v Y 2 F 0 a W 9 u P j x T d G F i b G V F b n R y a W V z I C 8 + P C 9 J d G V t P j x J d G V t P j x J d G V t T G 9 j Y X R p b 2 4 + P E l 0 Z W 1 U e X B l P k Z v c m 1 1 b G E 8 L 0 l 0 Z W 1 U e X B l P j x J d G V t U G F 0 a D 5 T Z W N 0 a W 9 u M S 9 S U E N f V E F C T E E v Q 2 9 s d W 1 u Y X M l M j B y Z W 9 y Z G V u Y W R h c z w v S X R l b V B h d G g + P C 9 J d G V t T G 9 j Y X R p b 2 4 + P F N 0 Y W J s Z U V u d H J p Z X M g L z 4 8 L 0 l 0 Z W 0 + P E l 0 Z W 0 + P E l 0 Z W 1 M b 2 N h d G l v b j 4 8 S X R l b V R 5 c G U + R m 9 y b X V s Y T w v S X R l b V R 5 c G U + P E l 0 Z W 1 Q Y X R o P l N l Y 3 R p b 2 4 x L 1 J Q Q 1 9 U Q U J M Q S 9 Q Z X J z b 2 5 h b G l 6 Y W R h J T I w Y W d y Z W d h Z G E 8 L 0 l 0 Z W 1 Q Y X R o P j w v S X R l b U x v Y 2 F 0 a W 9 u P j x T d G F i b G V F b n R y a W V z I C 8 + P C 9 J d G V t P j x J d G V t P j x J d G V t T G 9 j Y X R p b 2 4 + P E l 0 Z W 1 U e X B l P k Z v c m 1 1 b G E 8 L 0 l 0 Z W 1 U e X B l P j x J d G V t U G F 0 a D 5 T Z W N 0 a W 9 u M S 9 S U E N f V E F C T E E v Q 2 9 s d W 1 u Y X M l M j B y Z W 9 y Z G V u Y W R h c z E 8 L 0 l 0 Z W 1 Q Y X R o P j w v S X R l b U x v Y 2 F 0 a W 9 u P j x T d G F i b G V F b n R y a W V z I C 8 + P C 9 J d G V t P j x J d G V t P j x J d G V t T G 9 j Y X R p b 2 4 + P E l 0 Z W 1 U e X B l P k Z v c m 1 1 b G E 8 L 0 l 0 Z W 1 U e X B l P j x J d G V t U G F 0 a D 5 T Z W N 0 a W 9 u M S 9 S U E N f R E l O Q U 1 J Q 0 E v U l B D U y U y M D I w M j E l M j B 4 b H N f a H R 0 c H M l M 0 E l M k Y l M k Z p b m R l c G 9 y d G V z Y W 5 0 a W 9 x d W l h J T I w c 2 h h c m V w b 2 l u d C U y M G N v b S U y R n N p d G V z J T J G R G l z c G 9 u a W J p b G l k Y W R l c 3 l D b 2 1 w c m 9 t a X N v c y U y R k R v Y 3 V t Z W 5 0 b 3 M l M j B j b 2 1 w Y X J 0 a W R v c y U y R k l O R k 9 S T U U l M j A y M D I x J T J G P C 9 J d G V t U G F 0 a D 4 8 L 0 l 0 Z W 1 M b 2 N h d G l v b j 4 8 U 3 R h Y m x l R W 5 0 c m l l c y A v P j w v S X R l b T 4 8 S X R l b T 4 8 S X R l b U x v Y 2 F 0 a W 9 u P j x J d G V t V H l w Z T 5 G b 3 J t d W x h P C 9 J d G V t V H l w Z T 4 8 S X R l b V B h d G g + U 2 V j d G l v b j E v U l B D X 0 R J T k F N S U N B L 0 V 4 Y 2 V s J T I w a W 1 w b 3 J 0 Y W R v P C 9 J d G V t U G F 0 a D 4 8 L 0 l 0 Z W 1 M b 2 N h d G l v b j 4 8 U 3 R h Y m x l R W 5 0 c m l l c y A v P j w v S X R l b T 4 8 S X R l b T 4 8 S X R l b U x v Y 2 F 0 a W 9 u P j x J d G V t V H l w Z T 5 G b 3 J t d W x h P C 9 J d G V t V H l w Z T 4 8 S X R l b V B h d G g + U 2 V j d G l v b j E v U l B D X 0 R J T k F N S U N B L 1 J Q Q 1 M l M j A y M D I x P C 9 J d G V t U G F 0 a D 4 8 L 0 l 0 Z W 1 M b 2 N h d G l v b j 4 8 U 3 R h Y m x l R W 5 0 c m l l c y A v P j w v S X R l b T 4 8 S X R l b T 4 8 S X R l b U x v Y 2 F 0 a W 9 u P j x J d G V t V H l w Z T 5 G b 3 J t d W x h P C 9 J d G V t V H l w Z T 4 8 S X R l b V B h d G g + U 2 V j d G l v b j E v U l B D X 0 R J T k F N S U N B L 0 V u Y 2 F i Z X p h Z G 9 z J T I w c H J v b W 9 2 a W R v c z w v S X R l b V B h d G g + P C 9 J d G V t T G 9 j Y X R p b 2 4 + P F N 0 Y W J s Z U V u d H J p Z X M g L z 4 8 L 0 l 0 Z W 0 + P E l 0 Z W 0 + P E l 0 Z W 1 M b 2 N h d G l v b j 4 8 S X R l b V R 5 c G U + R m 9 y b X V s Y T w v S X R l b V R 5 c G U + P E l 0 Z W 1 Q Y X R o P l N l Y 3 R p b 2 4 x L 1 J Q Q 1 9 E S U 5 B T U l D Q S 9 U a X B v J T I w Y 2 F t Y m l h Z G 8 8 L 0 l 0 Z W 1 Q Y X R o P j w v S X R l b U x v Y 2 F 0 a W 9 u P j x T d G F i b G V F b n R y a W V z I C 8 + P C 9 J d G V t P j x J d G V t P j x J d G V t T G 9 j Y X R p b 2 4 + P E l 0 Z W 1 U e X B l P k Z v c m 1 1 b G E 8 L 0 l 0 Z W 1 U e X B l P j x J d G V t U G F 0 a D 5 T Z W N 0 a W 9 u M S 9 S U E N f R E l O Q U 1 J Q 0 E v Q 2 9 s d W 1 u Y S U y M G R 1 c G x p Y 2 F k Y T w v S X R l b V B h d G g + P C 9 J d G V t T G 9 j Y X R p b 2 4 + P F N 0 Y W J s Z U V u d H J p Z X M g L z 4 8 L 0 l 0 Z W 0 + P E l 0 Z W 0 + P E l 0 Z W 1 M b 2 N h d G l v b j 4 8 S X R l b V R 5 c G U + R m 9 y b X V s Y T w v S X R l b V R 5 c G U + P E l 0 Z W 1 Q Y X R o P l N l Y 3 R p b 2 4 x L 1 J Q Q 1 9 E S U 5 B T U l D Q S 9 D b 2 x 1 b W 5 h J T I w Z H V w b G l j Y W R h M T w v S X R l b V B h d G g + P C 9 J d G V t T G 9 j Y X R p b 2 4 + P F N 0 Y W J s Z U V u d H J p Z X M g L z 4 8 L 0 l 0 Z W 0 + P E l 0 Z W 0 + P E l 0 Z W 1 M b 2 N h d G l v b j 4 8 S X R l b V R 5 c G U + R m 9 y b X V s Y T w v S X R l b V R 5 c G U + P E l 0 Z W 1 Q Y X R o P l N l Y 3 R p b 2 4 x L 1 J Q Q 1 9 E S U 5 B T U l D Q S 9 D b 2 x 1 b W 5 h c y U y M G N v b W J p b m F k Y X M 8 L 0 l 0 Z W 1 Q Y X R o P j w v S X R l b U x v Y 2 F 0 a W 9 u P j x T d G F i b G V F b n R y a W V z I C 8 + P C 9 J d G V t P j x J d G V t P j x J d G V t T G 9 j Y X R p b 2 4 + P E l 0 Z W 1 U e X B l P k Z v c m 1 1 b G E 8 L 0 l 0 Z W 1 U e X B l P j x J d G V t U G F 0 a D 5 T Z W N 0 a W 9 u M S 9 S U E N f R E l O Q U 1 J Q 0 E v U G V y c 2 9 u Y W x p e m F k Y S U y M G F n c m V n Y W R h P C 9 J d G V t U G F 0 a D 4 8 L 0 l 0 Z W 1 M b 2 N h d G l v b j 4 8 U 3 R h Y m x l R W 5 0 c m l l c y A v P j w v S X R l b T 4 8 S X R l b T 4 8 S X R l b U x v Y 2 F 0 a W 9 u P j x J d G V t V H l w Z T 5 G b 3 J t d W x h P C 9 J d G V t V H l w Z T 4 8 S X R l b V B h d G g + U 2 V j d G l v b j E v R 0 F T V E 9 T X y 9 U a X B v J T I w Y 2 F t Y m l h Z G 8 y P C 9 J d G V t U G F 0 a D 4 8 L 0 l 0 Z W 1 M b 2 N h d G l v b j 4 8 U 3 R h Y m x l R W 5 0 c m l l c y A v P j w v S X R l b T 4 8 S X R l b T 4 8 S X R l b U x v Y 2 F 0 a W 9 u P j x J d G V t V H l w Z T 5 G b 3 J t d W x h P C 9 J d G V t V H l w Z T 4 8 S X R l b V B h d G g + U 2 V j d G l v b j E v U E F H T 1 M v R X h j Z W w l M j B p b X B v c n R h Z G 8 8 L 0 l 0 Z W 1 Q Y X R o P j w v S X R l b U x v Y 2 F 0 a W 9 u P j x T d G F i b G V F b n R y a W V z I C 8 + P C 9 J d G V t P j x J d G V t P j x J d G V t T G 9 j Y X R p b 2 4 + P E l 0 Z W 1 U e X B l P k Z v c m 1 1 b G E 8 L 0 l 0 Z W 1 U e X B l P j x J d G V t U G F 0 a D 5 T Z W N 0 a W 9 u M S 9 Q Q U d P U y 9 Q Q U d P U z E 8 L 0 l 0 Z W 1 Q Y X R o P j w v S X R l b U x v Y 2 F 0 a W 9 u P j x T d G F i b G V F b n R y a W V z I C 8 + P C 9 J d G V t P j x J d G V t P j x J d G V t T G 9 j Y X R p b 2 4 + P E l 0 Z W 1 U e X B l P k Z v c m 1 1 b G E 8 L 0 l 0 Z W 1 U e X B l P j x J d G V t U G F 0 a D 5 T Z W N 0 a W 9 u M S 9 Q Q U d P U y 9 F b m N h Y m V 6 Y W R v c y U y M H B y b 2 1 v d m l k b 3 M 8 L 0 l 0 Z W 1 Q Y X R o P j w v S X R l b U x v Y 2 F 0 a W 9 u P j x T d G F i b G V F b n R y a W V z I C 8 + P C 9 J d G V t P j x J d G V t P j x J d G V t T G 9 j Y X R p b 2 4 + P E l 0 Z W 1 U e X B l P k Z v c m 1 1 b G E 8 L 0 l 0 Z W 1 U e X B l P j x J d G V t U G F 0 a D 5 T Z W N 0 a W 9 u M S 9 Q Q U d P U y 9 U a X B v J T I w Y 2 F t Y m l h Z G 8 8 L 0 l 0 Z W 1 Q Y X R o P j w v S X R l b U x v Y 2 F 0 a W 9 u P j x T d G F i b G V F b n R y a W V z I C 8 + P C 9 J d G V t P j x J d G V t P j x J d G V t T G 9 j Y X R p b 2 4 + P E l 0 Z W 1 U e X B l P k Z v c m 1 1 b G E 8 L 0 l 0 Z W 1 U e X B l P j x J d G V t U G F 0 a D 5 T Z W N 0 a W 9 u M S 9 Q Q U d P U y 9 D b 2 x 1 b W 5 h J T I w Z H V w b G l j Y W R h P C 9 J d G V t U G F 0 a D 4 8 L 0 l 0 Z W 1 M b 2 N h d G l v b j 4 8 U 3 R h Y m x l R W 5 0 c m l l c y A v P j w v S X R l b T 4 8 S X R l b T 4 8 S X R l b U x v Y 2 F 0 a W 9 u P j x J d G V t V H l w Z T 5 G b 3 J t d W x h P C 9 J d G V t V H l w Z T 4 8 S X R l b V B h d G g + U 2 V j d G l v b j E v U E F H T 1 M v Q 2 9 s d W 1 u Y S U y M G R 1 c G x p Y 2 F k Y T E 8 L 0 l 0 Z W 1 Q Y X R o P j w v S X R l b U x v Y 2 F 0 a W 9 u P j x T d G F i b G V F b n R y a W V z I C 8 + P C 9 J d G V t P j x J d G V t P j x J d G V t T G 9 j Y X R p b 2 4 + P E l 0 Z W 1 U e X B l P k Z v c m 1 1 b G E 8 L 0 l 0 Z W 1 U e X B l P j x J d G V t U G F 0 a D 5 T Z W N 0 a W 9 u M S 9 Q Q U d P U y 9 D b 2 x 1 b W 5 h c y U y M G N v b W J p b m F k Y X M 8 L 0 l 0 Z W 1 Q Y X R o P j w v S X R l b U x v Y 2 F 0 a W 9 u P j x T d G F i b G V F b n R y a W V z I C 8 + P C 9 J d G V t P j x J d G V t P j x J d G V t T G 9 j Y X R p b 2 4 + P E l 0 Z W 1 U e X B l P k Z v c m 1 1 b G E 8 L 0 l 0 Z W 1 U e X B l P j x J d G V t U G F 0 a D 5 T Z W N 0 a W 9 u M S 9 Q Q U d P U y 9 D b 2 x 1 b W 5 h c y U y M H J l b 3 J k Z W 5 h Z G F z P C 9 J d G V t U G F 0 a D 4 8 L 0 l 0 Z W 1 M b 2 N h d G l v b j 4 8 U 3 R h Y m x l R W 5 0 c m l l c y A v P j w v S X R l b T 4 8 S X R l b T 4 8 S X R l b U x v Y 2 F 0 a W 9 u P j x J d G V t V H l w Z T 5 G b 3 J t d W x h P C 9 J d G V t V H l w Z T 4 8 S X R l b V B h d G g + U 2 V j d G l v b j E v U E F H T 1 M v R m l s Y X M l M j B v c m R l b m F k Y X M 8 L 0 l 0 Z W 1 Q Y X R o P j w v S X R l b U x v Y 2 F 0 a W 9 u P j x T d G F i b G V F b n R y a W V z I C 8 + P C 9 J d G V t P j x J d G V t P j x J d G V t T G 9 j Y X R p b 2 4 + P E l 0 Z W 1 U e X B l P k Z v c m 1 1 b G E 8 L 0 l 0 Z W 1 U e X B l P j x J d G V t U G F 0 a D 5 T Z W N 0 a W 9 u M S 9 S U E N f V E F C T E E v R m l s Y X M l M j B v c m R l b m F k Y X M 8 L 0 l 0 Z W 1 Q Y X R o P j w v S X R l b U x v Y 2 F 0 a W 9 u P j x T d G F i b G V F b n R y a W V z I C 8 + P C 9 J d G V t P j x J d G V t P j x J d G V t T G 9 j Y X R p b 2 4 + P E l 0 Z W 1 U e X B l P k Z v c m 1 1 b G E 8 L 0 l 0 Z W 1 U e X B l P j x J d G V t U G F 0 a D 5 T Z W N 0 a W 9 u M S 9 D b 2 5 z d W x 0 Y T E 8 L 0 l 0 Z W 1 Q Y X R o P j w v S X R l b U x v Y 2 F 0 a W 9 u P j x T d G F i b G V F b n R y a W V z P j x F b n R y e S B U e X B l P S J J c 1 B y a X Z h d G U i I F Z h b H V l P S J s M C I g L z 4 8 R W 5 0 c n k g V H l w Z T 0 i U X V l c n l J R C I g V m F s d W U 9 I n N k O W N l Y j c y M C 0 2 Z m N k L T R k M D Q t Y j R j Z C 1 k Y z B k Y z N h N j F j N 2 M 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F R h c m d l d C I g V m F s d W U 9 I n N D b 2 5 z d W x 0 Y T E i I C 8 + P E V u d H J 5 I F R 5 c G U 9 I k Z p b G x l Z E N v b X B s Z X R l U m V z d W x 0 V G 9 X b 3 J r c 2 h l Z X Q i I F Z h b H V l P S J s M S I g L z 4 8 R W 5 0 c n k g V H l w Z T 0 i R m l s b E x h c 3 R V c G R h d G V k I i B W Y W x 1 Z T 0 i Z D I w M j U t M D Q t M T F U M T c 6 M z M 6 M j Y u M T c 5 M j g y N F o i I C 8 + P E V u d H J 5 I F R 5 c G U 9 I k Z p b G x F c n J v c k N v d W 5 0 I i B W Y W x 1 Z T 0 i b D A i I C 8 + P E V u d H J 5 I F R 5 c G U 9 I k Z p b G x F c n J v c k N v Z G U i I F Z h b H V l P S J z V W 5 r b m 9 3 b i I g L z 4 8 R W 5 0 c n k g V H l w Z T 0 i R m l s b E N v b H V t b l R 5 c G V z I i B W Y W x 1 Z T 0 i c 0 J n W U h C d 2 N H I i A v P j x F b n R y e S B U e X B l P S J G a W x s Q 2 9 s d W 1 u T m F t Z X M i I F Z h b H V l P S J z W y Z x d W 9 0 O 0 5 h b W U m c X V v d D s s J n F 1 b 3 Q 7 R X h 0 Z W 5 z a W 9 u J n F 1 b 3 Q 7 L C Z x d W 9 0 O 0 R h d G U g Y W N j Z X N z Z W Q m c X V v d D s s J n F 1 b 3 Q 7 R G F 0 Z S B t b 2 R p Z m l l Z C Z x d W 9 0 O y w m c X V v d D t E Y X R l I G N y Z W F 0 Z W Q m c X V v d D s s J n F 1 b 3 Q 7 R m 9 s Z G V y I F B h d G g m c X V v d D t d I i A v P j x F b n R y e S B U e X B l P S J G a W x s Q 2 9 1 b n Q i I F Z h b H V l P S J s O T c 3 I i A v P j x F b n R y e S B U e X B l P S J G a W x s U 3 R h d H V z I i B W Y W x 1 Z T 0 i c 0 N v b X B s Z X R l I i A v P j x F b n R y e S B U e X B l P S J B Z G R l Z F R v R G F 0 Y U 1 v Z G V s I i B W Y W x 1 Z T 0 i b D A i I C 8 + P E V u d H J 5 I F R 5 c G U 9 I l J l b G F 0 a W 9 u c 2 h p c E l u Z m 9 D b 2 5 0 Y W l u Z X I i I F Z h b H V l P S J z e y Z x d W 9 0 O 2 N v b H V t b k N v d W 5 0 J n F 1 b 3 Q 7 O j Y s J n F 1 b 3 Q 7 a 2 V 5 Q 2 9 s d W 1 u T m F t Z X M m c X V v d D s 6 W 1 0 s J n F 1 b 3 Q 7 c X V l c n l S Z W x h d G l v b n N o a X B z J n F 1 b 3 Q 7 O l t d L C Z x d W 9 0 O 2 N v b H V t b k l k Z W 5 0 a X R p Z X M m c X V v d D s 6 W y Z x d W 9 0 O 1 N l Y 3 R p b 2 4 x L 0 N v b n N 1 b H R h M S 9 B d X R v U m V t b 3 Z l Z E N v b H V t b n M x L n t O Y W 1 l L D B 9 J n F 1 b 3 Q 7 L C Z x d W 9 0 O 1 N l Y 3 R p b 2 4 x L 0 N v b n N 1 b H R h M S 9 B d X R v U m V t b 3 Z l Z E N v b H V t b n M x L n t F e H R l b n N p b 2 4 s M X 0 m c X V v d D s s J n F 1 b 3 Q 7 U 2 V j d G l v b j E v Q 2 9 u c 3 V s d G E x L 0 F 1 d G 9 S Z W 1 v d m V k Q 2 9 s d W 1 u c z E u e 0 R h d G U g Y W N j Z X N z Z W Q s M n 0 m c X V v d D s s J n F 1 b 3 Q 7 U 2 V j d G l v b j E v Q 2 9 u c 3 V s d G E x L 0 F 1 d G 9 S Z W 1 v d m V k Q 2 9 s d W 1 u c z E u e 0 R h d G U g b W 9 k a W Z p Z W Q s M 3 0 m c X V v d D s s J n F 1 b 3 Q 7 U 2 V j d G l v b j E v Q 2 9 u c 3 V s d G E x L 0 F 1 d G 9 S Z W 1 v d m V k Q 2 9 s d W 1 u c z E u e 0 R h d G U g Y 3 J l Y X R l Z C w 0 f S Z x d W 9 0 O y w m c X V v d D t T Z W N 0 a W 9 u M S 9 D b 2 5 z d W x 0 Y T E v Q X V 0 b 1 J l b W 9 2 Z W R D b 2 x 1 b W 5 z M S 5 7 R m 9 s Z G V y I F B h d G g s N X 0 m c X V v d D t d L C Z x d W 9 0 O 0 N v b H V t b k N v d W 5 0 J n F 1 b 3 Q 7 O j Y s J n F 1 b 3 Q 7 S 2 V 5 Q 2 9 s d W 1 u T m F t Z X M m c X V v d D s 6 W 1 0 s J n F 1 b 3 Q 7 Q 2 9 s d W 1 u S W R l b n R p d G l l c y Z x d W 9 0 O z p b J n F 1 b 3 Q 7 U 2 V j d G l v b j E v Q 2 9 u c 3 V s d G E x L 0 F 1 d G 9 S Z W 1 v d m V k Q 2 9 s d W 1 u c z E u e 0 5 h b W U s M H 0 m c X V v d D s s J n F 1 b 3 Q 7 U 2 V j d G l v b j E v Q 2 9 u c 3 V s d G E x L 0 F 1 d G 9 S Z W 1 v d m V k Q 2 9 s d W 1 u c z E u e 0 V 4 d G V u c 2 l v b i w x f S Z x d W 9 0 O y w m c X V v d D t T Z W N 0 a W 9 u M S 9 D b 2 5 z d W x 0 Y T E v Q X V 0 b 1 J l b W 9 2 Z W R D b 2 x 1 b W 5 z M S 5 7 R G F 0 Z S B h Y 2 N l c 3 N l Z C w y f S Z x d W 9 0 O y w m c X V v d D t T Z W N 0 a W 9 u M S 9 D b 2 5 z d W x 0 Y T E v Q X V 0 b 1 J l b W 9 2 Z W R D b 2 x 1 b W 5 z M S 5 7 R G F 0 Z S B t b 2 R p Z m l l Z C w z f S Z x d W 9 0 O y w m c X V v d D t T Z W N 0 a W 9 u M S 9 D b 2 5 z d W x 0 Y T E v Q X V 0 b 1 J l b W 9 2 Z W R D b 2 x 1 b W 5 z M S 5 7 R G F 0 Z S B j c m V h d G V k L D R 9 J n F 1 b 3 Q 7 L C Z x d W 9 0 O 1 N l Y 3 R p b 2 4 x L 0 N v b n N 1 b H R h M S 9 B d X R v U m V t b 3 Z l Z E N v b H V t b n M x L n t G b 2 x k Z X I g U G F 0 a C w 1 f S Z x d W 9 0 O 1 0 s J n F 1 b 3 Q 7 U m V s Y X R p b 2 5 z a G l w S W 5 m b y Z x d W 9 0 O z p b X X 0 i I C 8 + P C 9 T d G F i b G V F b n R y a W V z P j w v S X R l b T 4 8 S X R l b T 4 8 S X R l b U x v Y 2 F 0 a W 9 u P j x J d G V t V H l w Z T 5 G b 3 J t d W x h P C 9 J d G V t V H l w Z T 4 8 S X R l b V B h d G g + U 2 V j d G l v b j E v Q 2 9 u c 3 V s d G E x L 0 9 y a W d l b j w v S X R l b V B h d G g + P C 9 J d G V t T G 9 j Y X R p b 2 4 + P F N 0 Y W J s Z U V u d H J p Z X M g L z 4 8 L 0 l 0 Z W 0 + P E l 0 Z W 0 + P E l 0 Z W 1 M b 2 N h d G l v b j 4 8 S X R l b V R 5 c G U + R m 9 y b X V s Y T w v S X R l b V R 5 c G U + P E l 0 Z W 1 Q Y X R o P l N l Y 3 R p b 2 4 x L 0 N v b n N 1 b H R h M S 9 G a W x h c y U y M G Z p b H R y Y W R h c z w v S X R l b V B h d G g + P C 9 J d G V t T G 9 j Y X R p b 2 4 + P F N 0 Y W J s Z U V u d H J p Z X M g L z 4 8 L 0 l 0 Z W 0 + P E l 0 Z W 0 + P E l 0 Z W 1 M b 2 N h d G l v b j 4 8 S X R l b V R 5 c G U + R m 9 y b X V s Y T w v S X R l b V R 5 c G U + P E l 0 Z W 1 Q Y X R o P l N l Y 3 R p b 2 4 x L 0 N v b n N 1 b H R h M S 9 G a W x h c y U y M G 9 y Z G V u Y W R h c z w v S X R l b V B h d G g + P C 9 J d G V t T G 9 j Y X R p b 2 4 + P F N 0 Y W J s Z U V u d H J p Z X M g L z 4 8 L 0 l 0 Z W 0 + P E l 0 Z W 0 + P E l 0 Z W 1 M b 2 N h d G l v b j 4 8 S X R l b V R 5 c G U + R m 9 y b X V s Y T w v S X R l b V R 5 c G U + P E l 0 Z W 1 Q Y X R o P l N l Y 3 R p b 2 4 x L 0 R J U 1 B P T k l C S U x J R E F E R V N f M j A y N T w v S X R l b V B h d G g + P C 9 J d G V t T G 9 j Y X R p b 2 4 + P F N 0 Y W J s Z U V u d H J p Z X M + P E V u d H J 5 I F R 5 c G U 9 I k l z U H J p d m F 0 Z S I g V m F s d W U 9 I m w w I i A v P j x F b n R y e S B U e X B l P S J R d W V y e U l E I i B W Y W x 1 Z T 0 i c z B l O D l h Y m U 5 L T d i M z g t N G Y 2 M S 0 4 M D Y 4 L T M 0 Z D d k N D Y 5 N m Y w N S I g L z 4 8 R W 5 0 c n k g V H l w Z T 0 i R m l s b E V u Y W J s Z W Q i I F Z h b H V l P S J s M S I g L z 4 8 R W 5 0 c n k g V H l w Z T 0 i R m l s b E 9 i a m V j d F R 5 c G U i I F Z h b H V l P S J z V G F i b G U i I C 8 + P E V u d H J 5 I F R 5 c G U 9 I k Z p b G x U b 0 R h d G F N b 2 R l b E V u Y W J s Z W Q i I F Z h b H V l P S J s M C I g L z 4 8 R W 5 0 c n k g V H l w Z T 0 i T m F 2 a W d h d G l v b l N 0 Z X B O Y W 1 l I i B W Y W x 1 Z T 0 i c 0 5 h d m V n Y W N p w 7 N u I i A v P j x F b n R y e S B U e X B l P S J O Y W 1 l V X B k Y X R l Z E F m d G V y R m l s b C I g V m F s d W U 9 I m w w I i A v P j x F b n R y e S B U e X B l P S J S Z X N 1 b H R U e X B l I i B W Y W x 1 Z T 0 i c 1 R h Y m x l I i A v P j x F b n R y e S B U e X B l P S J C d W Z m Z X J O Z X h 0 U m V m c m V z a C I g V m F s d W U 9 I m w x I i A v P j x F b n R y e S B U e X B l P S J G a W x s V G F y Z 2 V 0 I i B W Y W x 1 Z T 0 i c 0 R J U 1 B P T k l C S U x J R E F E R V N f M j A y N S I g L z 4 8 R W 5 0 c n k g V H l w Z T 0 i R m l s b G V k Q 2 9 t c G x l d G V S Z X N 1 b H R U b 1 d v c m t z a G V l d C I g V m F s d W U 9 I m w x I i A v P j x F b n R y e S B U e X B l P S J G a W x s T G F z d F V w Z G F 0 Z W Q i I F Z h b H V l P S J k M j A y N S 0 w N C 0 x M V Q x N z o z M z o y N y 4 y N D g 1 N D Q w W i I g L z 4 8 R W 5 0 c n k g V H l w Z T 0 i R m l s b E N v b H V t b l R 5 c G V z I i B W Y W x 1 Z T 0 i c 0 F 3 W U d B d 0 1 H Q X d Z R 0 J n W U R B d 0 1 E I i A v P j x F b n R y e S B U e X B l P S J G a W x s R X J y b 3 J D b 3 V u d C I g V m F s d W U 9 I m w w I i A v P j x F b n R y e S B U e X B l P S J G a W x s R X J y b 3 J D b 2 R l I i B W Y W x 1 Z T 0 i c 1 V u a 2 5 v d 2 4 i I C 8 + P E V u d H J 5 I F R 5 c G U 9 I k Z p b G x D b 2 x 1 b W 5 O Y W 1 l c y I g V m F s d W U 9 I n N b J n F 1 b 3 Q 7 Y 2 9 u c 2 V j d X R p d m 8 m c X V v d D s s J n F 1 b 3 Q 7 Z m V j a G F f Y X B y b 2 J h Y 2 l v b i Z x d W 9 0 O y w m c X V v d D t k Z X N j c m l w Y 2 l v b i Z x d W 9 0 O y w m c X V v d D t j b 2 R p Z 2 9 f c m V z d W 1 p Z G 8 m c X V v d D s s J n F 1 b 3 Q 7 d m F s b 3 J f d G 9 0 Y W x f c n V i c m 8 m c X V v d D s s J n F 1 b 3 Q 7 Z G V z Y 3 J p c G N p b 2 5 f M S Z x d W 9 0 O y w m c X V v d D t h b m 8 m c X V v d D s s J n F 1 b 3 Q 7 c n V i c m 8 m c X V v d D s s J n F 1 b 3 Q 7 b m 9 t Y n J l X 3 B y b 3 l l Y 3 R v J n F 1 b 3 Q 7 L C Z x d W 9 0 O 2 5 v b W J y Z V 9 l b X B y Z X N h J n F 1 b 3 Q 7 L C Z x d W 9 0 O 2 5 v b W J y Z V 9 k Z X B l b m R l b m N p Y S Z x d W 9 0 O y w m c X V v d D t y Z W l u d G V n c m 9 z J n F 1 b 3 Q 7 L C Z x d W 9 0 O 3 R v d G F s X 2 N v b X B y b 2 1 p c 2 9 z J n F 1 b 3 Q 7 L C Z x d W 9 0 O 3 R v d G F s X 2 N h b m N l b G F k b y Z x d W 9 0 O y w m c X V v d D t T Y W x k b y Z x d W 9 0 O 1 0 i I C 8 + P E V u d H J 5 I F R 5 c G U 9 I k Z p b G x D b 3 V u d C I g V m F s d W U 9 I m w 1 O D E i I C 8 + P E V u d H J 5 I F R 5 c G U 9 I k Z p b G x T d G F 0 d X M i I F Z h b H V l P S J z Q 2 9 t c G x l d G U i I C 8 + P E V u d H J 5 I F R 5 c G U 9 I k F k Z G V k V G 9 E Y X R h T W 9 k Z W w i I F Z h b H V l P S J s M C I g L z 4 8 R W 5 0 c n k g V H l w Z T 0 i U m V s Y X R p b 2 5 z a G l w S W 5 m b 0 N v b n R h a W 5 l c i I g V m F s d W U 9 I n N 7 J n F 1 b 3 Q 7 Y 2 9 s d W 1 u Q 2 9 1 b n Q m c X V v d D s 6 M T U s J n F 1 b 3 Q 7 a 2 V 5 Q 2 9 s d W 1 u T m F t Z X M m c X V v d D s 6 W 1 0 s J n F 1 b 3 Q 7 c X V l c n l S Z W x h d G l v b n N o a X B z J n F 1 b 3 Q 7 O l t d L C Z x d W 9 0 O 2 N v b H V t b k l k Z W 5 0 a X R p Z X M m c X V v d D s 6 W y Z x d W 9 0 O 1 N l Y 3 R p b 2 4 x L 0 R J U 1 B P T k l C S U x J R E F E R V N f M j A y N S 9 B d X R v U m V t b 3 Z l Z E N v b H V t b n M x L n t j b 2 5 z Z W N 1 d G l 2 b y w w f S Z x d W 9 0 O y w m c X V v d D t T Z W N 0 a W 9 u M S 9 E S V N Q T 0 5 J Q k l M S U R B R E V T X z I w M j U v Q X V 0 b 1 J l b W 9 2 Z W R D b 2 x 1 b W 5 z M S 5 7 Z m V j a G F f Y X B y b 2 J h Y 2 l v b i w x f S Z x d W 9 0 O y w m c X V v d D t T Z W N 0 a W 9 u M S 9 E S V N Q T 0 5 J Q k l M S U R B R E V T X z I w M j U v Q X V 0 b 1 J l b W 9 2 Z W R D b 2 x 1 b W 5 z M S 5 7 Z G V z Y 3 J p c G N p b 2 4 s M n 0 m c X V v d D s s J n F 1 b 3 Q 7 U 2 V j d G l v b j E v R E l T U E 9 O S U J J T E l E Q U R F U 1 8 y M D I 1 L 0 F 1 d G 9 S Z W 1 v d m V k Q 2 9 s d W 1 u c z E u e 2 N v Z G l n b 1 9 y Z X N 1 b W l k b y w z f S Z x d W 9 0 O y w m c X V v d D t T Z W N 0 a W 9 u M S 9 E S V N Q T 0 5 J Q k l M S U R B R E V T X z I w M j U v Q X V 0 b 1 J l b W 9 2 Z W R D b 2 x 1 b W 5 z M S 5 7 d m F s b 3 J f d G 9 0 Y W x f c n V i c m 8 s N H 0 m c X V v d D s s J n F 1 b 3 Q 7 U 2 V j d G l v b j E v R E l T U E 9 O S U J J T E l E Q U R F U 1 8 y M D I 1 L 0 F 1 d G 9 S Z W 1 v d m V k Q 2 9 s d W 1 u c z E u e 2 R l c 2 N y a X B j a W 9 u X z E s N X 0 m c X V v d D s s J n F 1 b 3 Q 7 U 2 V j d G l v b j E v R E l T U E 9 O S U J J T E l E Q U R F U 1 8 y M D I 1 L 0 F 1 d G 9 S Z W 1 v d m V k Q 2 9 s d W 1 u c z E u e 2 F u b y w 2 f S Z x d W 9 0 O y w m c X V v d D t T Z W N 0 a W 9 u M S 9 E S V N Q T 0 5 J Q k l M S U R B R E V T X z I w M j U v Q X V 0 b 1 J l b W 9 2 Z W R D b 2 x 1 b W 5 z M S 5 7 c n V i c m 8 s N 3 0 m c X V v d D s s J n F 1 b 3 Q 7 U 2 V j d G l v b j E v R E l T U E 9 O S U J J T E l E Q U R F U 1 8 y M D I 1 L 0 F 1 d G 9 S Z W 1 v d m V k Q 2 9 s d W 1 u c z E u e 2 5 v b W J y Z V 9 w c m 9 5 Z W N 0 b y w 4 f S Z x d W 9 0 O y w m c X V v d D t T Z W N 0 a W 9 u M S 9 E S V N Q T 0 5 J Q k l M S U R B R E V T X z I w M j U v Q X V 0 b 1 J l b W 9 2 Z W R D b 2 x 1 b W 5 z M S 5 7 b m 9 t Y n J l X 2 V t c H J l c 2 E s O X 0 m c X V v d D s s J n F 1 b 3 Q 7 U 2 V j d G l v b j E v R E l T U E 9 O S U J J T E l E Q U R F U 1 8 y M D I 1 L 0 F 1 d G 9 S Z W 1 v d m V k Q 2 9 s d W 1 u c z E u e 2 5 v b W J y Z V 9 k Z X B l b m R l b m N p Y S w x M H 0 m c X V v d D s s J n F 1 b 3 Q 7 U 2 V j d G l v b j E v R E l T U E 9 O S U J J T E l E Q U R F U 1 8 y M D I 1 L 0 F 1 d G 9 S Z W 1 v d m V k Q 2 9 s d W 1 u c z E u e 3 J l a W 5 0 Z W d y b 3 M s M T F 9 J n F 1 b 3 Q 7 L C Z x d W 9 0 O 1 N l Y 3 R p b 2 4 x L 0 R J U 1 B P T k l C S U x J R E F E R V N f M j A y N S 9 B d X R v U m V t b 3 Z l Z E N v b H V t b n M x L n t 0 b 3 R h b F 9 j b 2 1 w c m 9 t a X N v c y w x M n 0 m c X V v d D s s J n F 1 b 3 Q 7 U 2 V j d G l v b j E v R E l T U E 9 O S U J J T E l E Q U R F U 1 8 y M D I 1 L 0 F 1 d G 9 S Z W 1 v d m V k Q 2 9 s d W 1 u c z E u e 3 R v d G F s X 2 N h b m N l b G F k b y w x M 3 0 m c X V v d D s s J n F 1 b 3 Q 7 U 2 V j d G l v b j E v R E l T U E 9 O S U J J T E l E Q U R F U 1 8 y M D I 1 L 0 F 1 d G 9 S Z W 1 v d m V k Q 2 9 s d W 1 u c z E u e 1 N h b G R v L D E 0 f S Z x d W 9 0 O 1 0 s J n F 1 b 3 Q 7 Q 2 9 s d W 1 u Q 2 9 1 b n Q m c X V v d D s 6 M T U s J n F 1 b 3 Q 7 S 2 V 5 Q 2 9 s d W 1 u T m F t Z X M m c X V v d D s 6 W 1 0 s J n F 1 b 3 Q 7 Q 2 9 s d W 1 u S W R l b n R p d G l l c y Z x d W 9 0 O z p b J n F 1 b 3 Q 7 U 2 V j d G l v b j E v R E l T U E 9 O S U J J T E l E Q U R F U 1 8 y M D I 1 L 0 F 1 d G 9 S Z W 1 v d m V k Q 2 9 s d W 1 u c z E u e 2 N v b n N l Y 3 V 0 a X Z v L D B 9 J n F 1 b 3 Q 7 L C Z x d W 9 0 O 1 N l Y 3 R p b 2 4 x L 0 R J U 1 B P T k l C S U x J R E F E R V N f M j A y N S 9 B d X R v U m V t b 3 Z l Z E N v b H V t b n M x L n t m Z W N o Y V 9 h c H J v Y m F j a W 9 u L D F 9 J n F 1 b 3 Q 7 L C Z x d W 9 0 O 1 N l Y 3 R p b 2 4 x L 0 R J U 1 B P T k l C S U x J R E F E R V N f M j A y N S 9 B d X R v U m V t b 3 Z l Z E N v b H V t b n M x L n t k Z X N j c m l w Y 2 l v b i w y f S Z x d W 9 0 O y w m c X V v d D t T Z W N 0 a W 9 u M S 9 E S V N Q T 0 5 J Q k l M S U R B R E V T X z I w M j U v Q X V 0 b 1 J l b W 9 2 Z W R D b 2 x 1 b W 5 z M S 5 7 Y 2 9 k a W d v X 3 J l c 3 V t a W R v L D N 9 J n F 1 b 3 Q 7 L C Z x d W 9 0 O 1 N l Y 3 R p b 2 4 x L 0 R J U 1 B P T k l C S U x J R E F E R V N f M j A y N S 9 B d X R v U m V t b 3 Z l Z E N v b H V t b n M x L n t 2 Y W x v c l 9 0 b 3 R h b F 9 y d W J y b y w 0 f S Z x d W 9 0 O y w m c X V v d D t T Z W N 0 a W 9 u M S 9 E S V N Q T 0 5 J Q k l M S U R B R E V T X z I w M j U v Q X V 0 b 1 J l b W 9 2 Z W R D b 2 x 1 b W 5 z M S 5 7 Z G V z Y 3 J p c G N p b 2 5 f M S w 1 f S Z x d W 9 0 O y w m c X V v d D t T Z W N 0 a W 9 u M S 9 E S V N Q T 0 5 J Q k l M S U R B R E V T X z I w M j U v Q X V 0 b 1 J l b W 9 2 Z W R D b 2 x 1 b W 5 z M S 5 7 Y W 5 v L D Z 9 J n F 1 b 3 Q 7 L C Z x d W 9 0 O 1 N l Y 3 R p b 2 4 x L 0 R J U 1 B P T k l C S U x J R E F E R V N f M j A y N S 9 B d X R v U m V t b 3 Z l Z E N v b H V t b n M x L n t y d W J y b y w 3 f S Z x d W 9 0 O y w m c X V v d D t T Z W N 0 a W 9 u M S 9 E S V N Q T 0 5 J Q k l M S U R B R E V T X z I w M j U v Q X V 0 b 1 J l b W 9 2 Z W R D b 2 x 1 b W 5 z M S 5 7 b m 9 t Y n J l X 3 B y b 3 l l Y 3 R v L D h 9 J n F 1 b 3 Q 7 L C Z x d W 9 0 O 1 N l Y 3 R p b 2 4 x L 0 R J U 1 B P T k l C S U x J R E F E R V N f M j A y N S 9 B d X R v U m V t b 3 Z l Z E N v b H V t b n M x L n t u b 2 1 i c m V f Z W 1 w c m V z Y S w 5 f S Z x d W 9 0 O y w m c X V v d D t T Z W N 0 a W 9 u M S 9 E S V N Q T 0 5 J Q k l M S U R B R E V T X z I w M j U v Q X V 0 b 1 J l b W 9 2 Z W R D b 2 x 1 b W 5 z M S 5 7 b m 9 t Y n J l X 2 R l c G V u Z G V u Y 2 l h L D E w f S Z x d W 9 0 O y w m c X V v d D t T Z W N 0 a W 9 u M S 9 E S V N Q T 0 5 J Q k l M S U R B R E V T X z I w M j U v Q X V 0 b 1 J l b W 9 2 Z W R D b 2 x 1 b W 5 z M S 5 7 c m V p b n R l Z 3 J v c y w x M X 0 m c X V v d D s s J n F 1 b 3 Q 7 U 2 V j d G l v b j E v R E l T U E 9 O S U J J T E l E Q U R F U 1 8 y M D I 1 L 0 F 1 d G 9 S Z W 1 v d m V k Q 2 9 s d W 1 u c z E u e 3 R v d G F s X 2 N v b X B y b 2 1 p c 2 9 z L D E y f S Z x d W 9 0 O y w m c X V v d D t T Z W N 0 a W 9 u M S 9 E S V N Q T 0 5 J Q k l M S U R B R E V T X z I w M j U v Q X V 0 b 1 J l b W 9 2 Z W R D b 2 x 1 b W 5 z M S 5 7 d G 9 0 Y W x f Y 2 F u Y 2 V s Y W R v L D E z f S Z x d W 9 0 O y w m c X V v d D t T Z W N 0 a W 9 u M S 9 E S V N Q T 0 5 J Q k l M S U R B R E V T X z I w M j U v Q X V 0 b 1 J l b W 9 2 Z W R D b 2 x 1 b W 5 z M S 5 7 U 2 F s Z G 8 s M T R 9 J n F 1 b 3 Q 7 X S w m c X V v d D t S Z W x h d G l v b n N o a X B J b m Z v J n F 1 b 3 Q 7 O l t d f S I g L z 4 8 L 1 N 0 Y W J s Z U V u d H J p Z X M + P C 9 J d G V t P j x J d G V t P j x J d G V t T G 9 j Y X R p b 2 4 + P E l 0 Z W 1 U e X B l P k Z v c m 1 1 b G E 8 L 0 l 0 Z W 1 U e X B l P j x J d G V t U G F 0 a D 5 T Z W N 0 a W 9 u M S 9 E S V N Q T 0 5 J Q k l M S U R B R E V T X z I w M j U v T 3 J p Z 2 V u P C 9 J d G V t U G F 0 a D 4 8 L 0 l 0 Z W 1 M b 2 N h d G l v b j 4 8 U 3 R h Y m x l R W 5 0 c m l l c y A v P j w v S X R l b T 4 8 S X R l b T 4 8 S X R l b U x v Y 2 F 0 a W 9 u P j x J d G V t V H l w Z T 5 G b 3 J t d W x h P C 9 J d G V t V H l w Z T 4 8 S X R l b V B h d G g + U 2 V j d G l v b j E v R E l T U E 9 O S U J J T E l E Q U R F U 1 8 y M D I 1 L 0 Z p b G F z J T I w Z m l s d H J h Z G F z P C 9 J d G V t U G F 0 a D 4 8 L 0 l 0 Z W 1 M b 2 N h d G l v b j 4 8 U 3 R h Y m x l R W 5 0 c m l l c y A v P j w v S X R l b T 4 8 S X R l b T 4 8 S X R l b U x v Y 2 F 0 a W 9 u P j x J d G V t V H l w Z T 5 G b 3 J t d W x h P C 9 J d G V t V H l w Z T 4 8 S X R l b V B h d G g + U 2 V j d G l v b j E v R E l T U E 9 O S U J J T E l E Q U R F U 1 8 y M D I 1 L 0 Z p b G F z J T I w b 3 J k Z W 5 h Z G F z P C 9 J d G V t U G F 0 a D 4 8 L 0 l 0 Z W 1 M b 2 N h d G l v b j 4 8 U 3 R h Y m x l R W 5 0 c m l l c y A v P j w v S X R l b T 4 8 S X R l b T 4 8 S X R l b U x v Y 2 F 0 a W 9 u P j x J d G V t V H l w Z T 5 G b 3 J t d W x h P C 9 J d G V t V H l w Z T 4 8 S X R l b V B h d G g + U 2 V j d G l v b j E v R E l T U E 9 O S U J J T E l E Q U R F U 1 8 y M D I 1 L 0 R J U 1 B P T k l C S U x J R E F E R V N f M j A y N C U y M H h s c 1 9 o d H R w c y U z Q S U y R i U y R m l u Z G V w b 3 J 0 Z X N h b n R p b 3 F 1 a W E l M j B z a G F y Z X B v a W 5 0 J T I w Y 2 9 t J T J G c 2 l 0 Z X M l M k Z P Y n N l c n Z h d G 9 y a W 9 k Z W x E Z X B v c n R l S W 5 m b 3 J t Z X N k Z W F u Y W x 0 a W N h J T J G R G 9 j d W 1 l b n R v c y U y M G N v b X B h c n R p Z G 9 z J T J G S W 5 m b 3 J t Z X M l M j B k Z S U y M E F u Y W w l Q z M l Q U R 0 a W N h J T J G S U 5 E S U N B R E 9 S R V M l M k Z E T 0 N f S U 5 T V U 1 P X 1 B B Q S U y R j w v S X R l b V B h d G g + P C 9 J d G V t T G 9 j Y X R p b 2 4 + P F N 0 Y W J s Z U V u d H J p Z X M g L z 4 8 L 0 l 0 Z W 0 + P E l 0 Z W 0 + P E l 0 Z W 1 M b 2 N h d G l v b j 4 8 S X R l b V R 5 c G U + R m 9 y b X V s Y T w v S X R l b V R 5 c G U + P E l 0 Z W 1 Q Y X R o P l N l Y 3 R p b 2 4 x L 0 R J U 1 B P T k l C S U x J R E F E R V N f M j A y N S 9 M a W J y b y U y M G R l J T I w R X h j Z W w l M j B p b X B v c n R h Z G 8 8 L 0 l 0 Z W 1 Q Y X R o P j w v S X R l b U x v Y 2 F 0 a W 9 u P j x T d G F i b G V F b n R y a W V z I C 8 + P C 9 J d G V t P j x J d G V t P j x J d G V t T G 9 j Y X R p b 2 4 + P E l 0 Z W 1 U e X B l P k Z v c m 1 1 b G E 8 L 0 l 0 Z W 1 U e X B l P j x J d G V t U G F 0 a D 5 T Z W N 0 a W 9 u M S 9 E S V N Q T 0 5 J Q k l M S U R B R E V T X z I w M j U v R G l z c G 9 u a W J p b G l k Y W Q 8 L 0 l 0 Z W 1 Q Y X R o P j w v S X R l b U x v Y 2 F 0 a W 9 u P j x T d G F i b G V F b n R y a W V z I C 8 + P C 9 J d G V t P j x J d G V t P j x J d G V t T G 9 j Y X R p b 2 4 + P E l 0 Z W 1 U e X B l P k Z v c m 1 1 b G E 8 L 0 l 0 Z W 1 U e X B l P j x J d G V t U G F 0 a D 5 T Z W N 0 a W 9 u M S 9 E S V N Q T 0 5 J Q k l M S U R B R E V T X z I w M j U v R W 5 j Y W J l e m F k b 3 M l M j B w c m 9 t b 3 Z p Z G 9 z P C 9 J d G V t U G F 0 a D 4 8 L 0 l 0 Z W 1 M b 2 N h d G l v b j 4 8 U 3 R h Y m x l R W 5 0 c m l l c y A v P j w v S X R l b T 4 8 S X R l b T 4 8 S X R l b U x v Y 2 F 0 a W 9 u P j x J d G V t V H l w Z T 5 G b 3 J t d W x h P C 9 J d G V t V H l w Z T 4 8 S X R l b V B h d G g + U 2 V j d G l v b j E v R E l T U E 9 O S U J J T E l E Q U R F U 1 8 y M D I 1 L 1 R p c G 8 l M j B j Y W 1 i a W F k b z w v S X R l b V B h d G g + P C 9 J d G V t T G 9 j Y X R p b 2 4 + P F N 0 Y W J s Z U V u d H J p Z X M g L z 4 8 L 0 l 0 Z W 0 + P E l 0 Z W 0 + P E l 0 Z W 1 M b 2 N h d G l v b j 4 8 S X R l b V R 5 c G U + R m 9 y b X V s Y T w v S X R l b V R 5 c G U + P E l 0 Z W 1 Q Y X R o P l N l Y 3 R p b 2 4 x L 0 R J U 1 B P T k l C S U x J R E F E R V N f M j A y N S 9 Q Z X J z b 2 5 h b G l 6 Y W R h J T I w Y W d y Z W d h Z G E 8 L 0 l 0 Z W 1 Q Y X R o P j w v S X R l b U x v Y 2 F 0 a W 9 u P j x T d G F i b G V F b n R y a W V z I C 8 + P C 9 J d G V t P j x J d G V t P j x J d G V t T G 9 j Y X R p b 2 4 + P E l 0 Z W 1 U e X B l P k Z v c m 1 1 b G E 8 L 0 l 0 Z W 1 U e X B l P j x J d G V t U G F 0 a D 5 T Z W N 0 a W 9 u M S 9 E S V N Q T 0 5 J Q k l M S U R B R E V T X z I w M j U v V G l w b y U y M G N h b W J p Y W R v M T w v S X R l b V B h d G g + P C 9 J d G V t T G 9 j Y X R p b 2 4 + P F N 0 Y W J s Z U V u d H J p Z X M g L z 4 8 L 0 l 0 Z W 0 + P E l 0 Z W 0 + P E l 0 Z W 1 M b 2 N h d G l v b j 4 8 S X R l b V R 5 c G U + R m 9 y b X V s Y T w v S X R l b V R 5 c G U + P E l 0 Z W 1 Q Y X R o P l N l Y 3 R p b 2 4 x L 0 N P T V B S T 0 1 J U 0 9 T X z I w M j U 8 L 0 l 0 Z W 1 Q Y X R o P j w v S X R l b U x v Y 2 F 0 a W 9 u P j x T d G F i b G V F b n R y a W V z P j x F b n R y e S B U e X B l P S J J c 1 B y a X Z h d G U i I F Z h b H V l P S J s M C I g L z 4 8 R W 5 0 c n k g V H l w Z T 0 i U X V l c n l J R C I g V m F s d W U 9 I n M 3 O T N m Z W E w M y 0 w M G I 0 L T Q 2 Z D Q t O G M 4 N S 1 k Z G I w O D Z m N T E 3 Z G E i I C 8 + P E V u d H J 5 I F R 5 c G U 9 I k Z p b G x F b m F i b G V k I i B W Y W x 1 Z T 0 i b D E i I C 8 + P E V u d H J 5 I F R 5 c G U 9 I k Z p b G x P Y m p l Y 3 R U e X B l I i B W Y W x 1 Z T 0 i c 1 R h Y m x l I i A v P j x F b n R y e S B U e X B l P S J G a W x s V G 9 E Y X R h T W 9 k Z W x F b m F i b G V k I i B W Y W x 1 Z T 0 i b D A i I C 8 + P E V u d H J 5 I F R 5 c G U 9 I k 5 h d m l n Y X R p b 2 5 T d G V w T m F t Z S I g V m F s d W U 9 I n N O Y X Z l Z 2 F j a c O z b i I g L z 4 8 R W 5 0 c n k g V H l w Z T 0 i T m F t Z V V w Z G F 0 Z W R B Z n R l c k Z p b G w i I F Z h b H V l P S J s M C I g L z 4 8 R W 5 0 c n k g V H l w Z T 0 i U m V z d W x 0 V H l w Z S I g V m F s d W U 9 I n N U Y W J s Z S I g L z 4 8 R W 5 0 c n k g V H l w Z T 0 i Q n V m Z m V y T m V 4 d F J l Z n J l c 2 g i I F Z h b H V l P S J s M S I g L z 4 8 R W 5 0 c n k g V H l w Z T 0 i R m l s b F R h c m d l d C I g V m F s d W U 9 I n N D T 0 1 Q U k 9 N S V N P U 1 8 y M D I 1 I i A v P j x F b n R y e S B U e X B l P S J G a W x s Z W R D b 2 1 w b G V 0 Z V J l c 3 V s d F R v V 2 9 y a 3 N o Z W V 0 I i B W Y W x 1 Z T 0 i b D E i I C 8 + P E V u d H J 5 I F R 5 c G U 9 I k Z p b G x M Y X N 0 V X B k Y X R l Z C I g V m F s d W U 9 I m Q y M D I 1 L T A 0 L T E x V D E 3 O j M z O j I 2 L j E 2 M z U 2 N T V a I i A v P j x F b n R y e S B U e X B l P S J G a W x s R X J y b 3 J D b 3 V u d C I g V m F s d W U 9 I m w w I i A v P j x F b n R y e S B U e X B l P S J G a W x s R X J y b 3 J D b 2 R l I i B W Y W x 1 Z T 0 i c 1 V u a 2 5 v d 2 4 i I C 8 + P E V u d H J 5 I F R 5 c G U 9 I k Z p b G x D b 2 x 1 b W 5 U e X B l c y I g V m F s d W U 9 I n N B d 1 l H Q m d Z R E F 3 W U d B d 0 1 G Q m d Z R 0 F 3 T U R B d z 0 9 I i A v P j x F b n R y e S B U e X B l P S J G a W x s Q 2 9 s d W 1 u T m F t Z X M i I F Z h b H V l P S J z W y Z x d W 9 0 O 2 N v b n N l Y 3 V 0 a X Z v J n F 1 b 3 Q 7 L C Z x d W 9 0 O 2 Z l Y 2 h h X 2 F w c m 9 i Y W N p b 2 4 m c X V v d D s s J n F 1 b 3 Q 7 Z G V z Y 3 J p c G N p b 2 4 m c X V v d D s s J n F 1 b 3 Q 7 Z G V z Y 3 J p c G N p b 2 5 f M S Z x d W 9 0 O y w m c X V v d D t u d W 1 f Y 2 9 u d H J h d G 8 m c X V v d D s s J n F 1 b 3 Q 7 Z G l z c G 9 u a W J p b G l k Y W Q m c X V v d D s s J n F 1 b 3 Q 7 Y 2 9 k a W d v X 3 J l c 3 V t a W R v J n F 1 b 3 Q 7 L C Z x d W 9 0 O 3 J 1 Y n J v J n F 1 b 3 Q 7 L C Z x d W 9 0 O 2 5 v b W J y Z V 9 w c m 9 5 Z W N 0 b y Z x d W 9 0 O y w m c X V v d D t 2 Y W x v c l 9 0 b 3 R h b C Z x d W 9 0 O y w m c X V v d D t h b m 8 m c X V v d D s s J n F 1 b 3 Q 7 b m l 0 J n F 1 b 3 Q 7 L C Z x d W 9 0 O 2 5 v b W J y Z S Z x d W 9 0 O y w m c X V v d D t u b 2 1 i c m V f Z W 1 w c m V z Y S Z x d W 9 0 O y w m c X V v d D t u b 2 1 i c m V f Z G V w Z W 5 k Z W 5 j a W E m c X V v d D s s J n F 1 b 3 Q 7 c m V p b n R l Z 3 J v c y Z x d W 9 0 O y w m c X V v d D t 0 b 3 R h b F 9 v c m R l b m V z J n F 1 b 3 Q 7 L C Z x d W 9 0 O 3 R v d G F s X 2 N h b m N l b G F k b y Z x d W 9 0 O y w m c X V v d D t T Y W x k b y Z x d W 9 0 O 1 0 i I C 8 + P E V u d H J 5 I F R 5 c G U 9 I k Z p b G x D b 3 V u d C I g V m F s d W U 9 I m w z M T U y I i A v P j x F b n R y e S B U e X B l P S J G a W x s U 3 R h d H V z I i B W Y W x 1 Z T 0 i c 0 N v b X B s Z X R l I i A v P j x F b n R y e S B U e X B l P S J B Z G R l Z F R v R G F 0 Y U 1 v Z G V s I i B W Y W x 1 Z T 0 i b D A i I C 8 + P E V u d H J 5 I F R 5 c G U 9 I l J l b G F 0 a W 9 u c 2 h p c E l u Z m 9 D b 2 5 0 Y W l u Z X I i I F Z h b H V l P S J z e y Z x d W 9 0 O 2 N v b H V t b k N v d W 5 0 J n F 1 b 3 Q 7 O j E 5 L C Z x d W 9 0 O 2 t l e U N v b H V t b k 5 h b W V z J n F 1 b 3 Q 7 O l t d L C Z x d W 9 0 O 3 F 1 Z X J 5 U m V s Y X R p b 2 5 z a G l w c y Z x d W 9 0 O z p b X S w m c X V v d D t j b 2 x 1 b W 5 J Z G V u d G l 0 a W V z J n F 1 b 3 Q 7 O l s m c X V v d D t T Z W N 0 a W 9 u M S 9 D T 0 1 Q U k 9 N S V N P U 1 8 y M D I 1 L 0 F 1 d G 9 S Z W 1 v d m V k Q 2 9 s d W 1 u c z E u e 2 N v b n N l Y 3 V 0 a X Z v L D B 9 J n F 1 b 3 Q 7 L C Z x d W 9 0 O 1 N l Y 3 R p b 2 4 x L 0 N P T V B S T 0 1 J U 0 9 T X z I w M j U v Q X V 0 b 1 J l b W 9 2 Z W R D b 2 x 1 b W 5 z M S 5 7 Z m V j a G F f Y X B y b 2 J h Y 2 l v b i w x f S Z x d W 9 0 O y w m c X V v d D t T Z W N 0 a W 9 u M S 9 D T 0 1 Q U k 9 N S V N P U 1 8 y M D I 1 L 0 F 1 d G 9 S Z W 1 v d m V k Q 2 9 s d W 1 u c z E u e 2 R l c 2 N y a X B j a W 9 u L D J 9 J n F 1 b 3 Q 7 L C Z x d W 9 0 O 1 N l Y 3 R p b 2 4 x L 0 N P T V B S T 0 1 J U 0 9 T X z I w M j U v Q X V 0 b 1 J l b W 9 2 Z W R D b 2 x 1 b W 5 z M S 5 7 Z G V z Y 3 J p c G N p b 2 5 f M S w z f S Z x d W 9 0 O y w m c X V v d D t T Z W N 0 a W 9 u M S 9 D T 0 1 Q U k 9 N S V N P U 1 8 y M D I 1 L 0 F 1 d G 9 S Z W 1 v d m V k Q 2 9 s d W 1 u c z E u e 2 5 1 b V 9 j b 2 5 0 c m F 0 b y w 0 f S Z x d W 9 0 O y w m c X V v d D t T Z W N 0 a W 9 u M S 9 D T 0 1 Q U k 9 N S V N P U 1 8 y M D I 1 L 0 F 1 d G 9 S Z W 1 v d m V k Q 2 9 s d W 1 u c z E u e 2 R p c 3 B v b m l i a W x p Z G F k L D V 9 J n F 1 b 3 Q 7 L C Z x d W 9 0 O 1 N l Y 3 R p b 2 4 x L 0 N P T V B S T 0 1 J U 0 9 T X z I w M j U v Q X V 0 b 1 J l b W 9 2 Z W R D b 2 x 1 b W 5 z M S 5 7 Y 2 9 k a W d v X 3 J l c 3 V t a W R v L D Z 9 J n F 1 b 3 Q 7 L C Z x d W 9 0 O 1 N l Y 3 R p b 2 4 x L 0 N P T V B S T 0 1 J U 0 9 T X z I w M j U v Q X V 0 b 1 J l b W 9 2 Z W R D b 2 x 1 b W 5 z M S 5 7 c n V i c m 8 s N 3 0 m c X V v d D s s J n F 1 b 3 Q 7 U 2 V j d G l v b j E v Q 0 9 N U F J P T U l T T 1 N f M j A y N S 9 B d X R v U m V t b 3 Z l Z E N v b H V t b n M x L n t u b 2 1 i c m V f c H J v e W V j d G 8 s O H 0 m c X V v d D s s J n F 1 b 3 Q 7 U 2 V j d G l v b j E v Q 0 9 N U F J P T U l T T 1 N f M j A y N S 9 B d X R v U m V t b 3 Z l Z E N v b H V t b n M x L n t 2 Y W x v c l 9 0 b 3 R h b C w 5 f S Z x d W 9 0 O y w m c X V v d D t T Z W N 0 a W 9 u M S 9 D T 0 1 Q U k 9 N S V N P U 1 8 y M D I 1 L 0 F 1 d G 9 S Z W 1 v d m V k Q 2 9 s d W 1 u c z E u e 2 F u b y w x M H 0 m c X V v d D s s J n F 1 b 3 Q 7 U 2 V j d G l v b j E v Q 0 9 N U F J P T U l T T 1 N f M j A y N S 9 B d X R v U m V t b 3 Z l Z E N v b H V t b n M x L n t u a X Q s M T F 9 J n F 1 b 3 Q 7 L C Z x d W 9 0 O 1 N l Y 3 R p b 2 4 x L 0 N P T V B S T 0 1 J U 0 9 T X z I w M j U v Q X V 0 b 1 J l b W 9 2 Z W R D b 2 x 1 b W 5 z M S 5 7 b m 9 t Y n J l L D E y f S Z x d W 9 0 O y w m c X V v d D t T Z W N 0 a W 9 u M S 9 D T 0 1 Q U k 9 N S V N P U 1 8 y M D I 1 L 0 F 1 d G 9 S Z W 1 v d m V k Q 2 9 s d W 1 u c z E u e 2 5 v b W J y Z V 9 l b X B y Z X N h L D E z f S Z x d W 9 0 O y w m c X V v d D t T Z W N 0 a W 9 u M S 9 D T 0 1 Q U k 9 N S V N P U 1 8 y M D I 1 L 0 F 1 d G 9 S Z W 1 v d m V k Q 2 9 s d W 1 u c z E u e 2 5 v b W J y Z V 9 k Z X B l b m R l b m N p Y S w x N H 0 m c X V v d D s s J n F 1 b 3 Q 7 U 2 V j d G l v b j E v Q 0 9 N U F J P T U l T T 1 N f M j A y N S 9 B d X R v U m V t b 3 Z l Z E N v b H V t b n M x L n t y Z W l u d G V n c m 9 z L D E 1 f S Z x d W 9 0 O y w m c X V v d D t T Z W N 0 a W 9 u M S 9 D T 0 1 Q U k 9 N S V N P U 1 8 y M D I 1 L 0 F 1 d G 9 S Z W 1 v d m V k Q 2 9 s d W 1 u c z E u e 3 R v d G F s X 2 9 y Z G V u Z X M s M T Z 9 J n F 1 b 3 Q 7 L C Z x d W 9 0 O 1 N l Y 3 R p b 2 4 x L 0 N P T V B S T 0 1 J U 0 9 T X z I w M j U v Q X V 0 b 1 J l b W 9 2 Z W R D b 2 x 1 b W 5 z M S 5 7 d G 9 0 Y W x f Y 2 F u Y 2 V s Y W R v L D E 3 f S Z x d W 9 0 O y w m c X V v d D t T Z W N 0 a W 9 u M S 9 D T 0 1 Q U k 9 N S V N P U 1 8 y M D I 1 L 0 F 1 d G 9 S Z W 1 v d m V k Q 2 9 s d W 1 u c z E u e 1 N h b G R v L D E 4 f S Z x d W 9 0 O 1 0 s J n F 1 b 3 Q 7 Q 2 9 s d W 1 u Q 2 9 1 b n Q m c X V v d D s 6 M T k s J n F 1 b 3 Q 7 S 2 V 5 Q 2 9 s d W 1 u T m F t Z X M m c X V v d D s 6 W 1 0 s J n F 1 b 3 Q 7 Q 2 9 s d W 1 u S W R l b n R p d G l l c y Z x d W 9 0 O z p b J n F 1 b 3 Q 7 U 2 V j d G l v b j E v Q 0 9 N U F J P T U l T T 1 N f M j A y N S 9 B d X R v U m V t b 3 Z l Z E N v b H V t b n M x L n t j b 2 5 z Z W N 1 d G l 2 b y w w f S Z x d W 9 0 O y w m c X V v d D t T Z W N 0 a W 9 u M S 9 D T 0 1 Q U k 9 N S V N P U 1 8 y M D I 1 L 0 F 1 d G 9 S Z W 1 v d m V k Q 2 9 s d W 1 u c z E u e 2 Z l Y 2 h h X 2 F w c m 9 i Y W N p b 2 4 s M X 0 m c X V v d D s s J n F 1 b 3 Q 7 U 2 V j d G l v b j E v Q 0 9 N U F J P T U l T T 1 N f M j A y N S 9 B d X R v U m V t b 3 Z l Z E N v b H V t b n M x L n t k Z X N j c m l w Y 2 l v b i w y f S Z x d W 9 0 O y w m c X V v d D t T Z W N 0 a W 9 u M S 9 D T 0 1 Q U k 9 N S V N P U 1 8 y M D I 1 L 0 F 1 d G 9 S Z W 1 v d m V k Q 2 9 s d W 1 u c z E u e 2 R l c 2 N y a X B j a W 9 u X z E s M 3 0 m c X V v d D s s J n F 1 b 3 Q 7 U 2 V j d G l v b j E v Q 0 9 N U F J P T U l T T 1 N f M j A y N S 9 B d X R v U m V t b 3 Z l Z E N v b H V t b n M x L n t u d W 1 f Y 2 9 u d H J h d G 8 s N H 0 m c X V v d D s s J n F 1 b 3 Q 7 U 2 V j d G l v b j E v Q 0 9 N U F J P T U l T T 1 N f M j A y N S 9 B d X R v U m V t b 3 Z l Z E N v b H V t b n M x L n t k a X N w b 2 5 p Y m l s a W R h Z C w 1 f S Z x d W 9 0 O y w m c X V v d D t T Z W N 0 a W 9 u M S 9 D T 0 1 Q U k 9 N S V N P U 1 8 y M D I 1 L 0 F 1 d G 9 S Z W 1 v d m V k Q 2 9 s d W 1 u c z E u e 2 N v Z G l n b 1 9 y Z X N 1 b W l k b y w 2 f S Z x d W 9 0 O y w m c X V v d D t T Z W N 0 a W 9 u M S 9 D T 0 1 Q U k 9 N S V N P U 1 8 y M D I 1 L 0 F 1 d G 9 S Z W 1 v d m V k Q 2 9 s d W 1 u c z E u e 3 J 1 Y n J v L D d 9 J n F 1 b 3 Q 7 L C Z x d W 9 0 O 1 N l Y 3 R p b 2 4 x L 0 N P T V B S T 0 1 J U 0 9 T X z I w M j U v Q X V 0 b 1 J l b W 9 2 Z W R D b 2 x 1 b W 5 z M S 5 7 b m 9 t Y n J l X 3 B y b 3 l l Y 3 R v L D h 9 J n F 1 b 3 Q 7 L C Z x d W 9 0 O 1 N l Y 3 R p b 2 4 x L 0 N P T V B S T 0 1 J U 0 9 T X z I w M j U v Q X V 0 b 1 J l b W 9 2 Z W R D b 2 x 1 b W 5 z M S 5 7 d m F s b 3 J f d G 9 0 Y W w s O X 0 m c X V v d D s s J n F 1 b 3 Q 7 U 2 V j d G l v b j E v Q 0 9 N U F J P T U l T T 1 N f M j A y N S 9 B d X R v U m V t b 3 Z l Z E N v b H V t b n M x L n t h b m 8 s M T B 9 J n F 1 b 3 Q 7 L C Z x d W 9 0 O 1 N l Y 3 R p b 2 4 x L 0 N P T V B S T 0 1 J U 0 9 T X z I w M j U v Q X V 0 b 1 J l b W 9 2 Z W R D b 2 x 1 b W 5 z M S 5 7 b m l 0 L D E x f S Z x d W 9 0 O y w m c X V v d D t T Z W N 0 a W 9 u M S 9 D T 0 1 Q U k 9 N S V N P U 1 8 y M D I 1 L 0 F 1 d G 9 S Z W 1 v d m V k Q 2 9 s d W 1 u c z E u e 2 5 v b W J y Z S w x M n 0 m c X V v d D s s J n F 1 b 3 Q 7 U 2 V j d G l v b j E v Q 0 9 N U F J P T U l T T 1 N f M j A y N S 9 B d X R v U m V t b 3 Z l Z E N v b H V t b n M x L n t u b 2 1 i c m V f Z W 1 w c m V z Y S w x M 3 0 m c X V v d D s s J n F 1 b 3 Q 7 U 2 V j d G l v b j E v Q 0 9 N U F J P T U l T T 1 N f M j A y N S 9 B d X R v U m V t b 3 Z l Z E N v b H V t b n M x L n t u b 2 1 i c m V f Z G V w Z W 5 k Z W 5 j a W E s M T R 9 J n F 1 b 3 Q 7 L C Z x d W 9 0 O 1 N l Y 3 R p b 2 4 x L 0 N P T V B S T 0 1 J U 0 9 T X z I w M j U v Q X V 0 b 1 J l b W 9 2 Z W R D b 2 x 1 b W 5 z M S 5 7 c m V p b n R l Z 3 J v c y w x N X 0 m c X V v d D s s J n F 1 b 3 Q 7 U 2 V j d G l v b j E v Q 0 9 N U F J P T U l T T 1 N f M j A y N S 9 B d X R v U m V t b 3 Z l Z E N v b H V t b n M x L n t 0 b 3 R h b F 9 v c m R l b m V z L D E 2 f S Z x d W 9 0 O y w m c X V v d D t T Z W N 0 a W 9 u M S 9 D T 0 1 Q U k 9 N S V N P U 1 8 y M D I 1 L 0 F 1 d G 9 S Z W 1 v d m V k Q 2 9 s d W 1 u c z E u e 3 R v d G F s X 2 N h b m N l b G F k b y w x N 3 0 m c X V v d D s s J n F 1 b 3 Q 7 U 2 V j d G l v b j E v Q 0 9 N U F J P T U l T T 1 N f M j A y N S 9 B d X R v U m V t b 3 Z l Z E N v b H V t b n M x L n t T Y W x k b y w x O H 0 m c X V v d D t d L C Z x d W 9 0 O 1 J l b G F 0 a W 9 u c 2 h p c E l u Z m 8 m c X V v d D s 6 W 1 1 9 I i A v P j w v U 3 R h Y m x l R W 5 0 c m l l c z 4 8 L 0 l 0 Z W 0 + P E l 0 Z W 0 + P E l 0 Z W 1 M b 2 N h d G l v b j 4 8 S X R l b V R 5 c G U + R m 9 y b X V s Y T w v S X R l b V R 5 c G U + P E l 0 Z W 1 Q Y X R o P l N l Y 3 R p b 2 4 x L 0 N P T V B S T 0 1 J U 0 9 T X z I w M j U v T 3 J p Z 2 V u P C 9 J d G V t U G F 0 a D 4 8 L 0 l 0 Z W 1 M b 2 N h d G l v b j 4 8 U 3 R h Y m x l R W 5 0 c m l l c y A v P j w v S X R l b T 4 8 S X R l b T 4 8 S X R l b U x v Y 2 F 0 a W 9 u P j x J d G V t V H l w Z T 5 G b 3 J t d W x h P C 9 J d G V t V H l w Z T 4 8 S X R l b V B h d G g + U 2 V j d G l v b j E v Q 0 9 N U F J P T U l T T 1 N f M j A y N S 9 G a W x h c y U y M G Z p b H R y Y W R h c z w v S X R l b V B h d G g + P C 9 J d G V t T G 9 j Y X R p b 2 4 + P F N 0 Y W J s Z U V u d H J p Z X M g L z 4 8 L 0 l 0 Z W 0 + P E l 0 Z W 0 + P E l 0 Z W 1 M b 2 N h d G l v b j 4 8 S X R l b V R 5 c G U + R m 9 y b X V s Y T w v S X R l b V R 5 c G U + P E l 0 Z W 1 Q Y X R o P l N l Y 3 R p b 2 4 x L 0 N P T V B S T 0 1 J U 0 9 T X z I w M j U v R m l s Y X M l M j B v c m R l b m F k Y X M 8 L 0 l 0 Z W 1 Q Y X R o P j w v S X R l b U x v Y 2 F 0 a W 9 u P j x T d G F i b G V F b n R y a W V z I C 8 + P C 9 J d G V t P j x J d G V t P j x J d G V t T G 9 j Y X R p b 2 4 + P E l 0 Z W 1 U e X B l P k Z v c m 1 1 b G E 8 L 0 l 0 Z W 1 U e X B l P j x J d G V t U G F 0 a D 5 T Z W N 0 a W 9 u M S 9 D T 0 1 Q U k 9 N S V N P U 1 8 y M D I 1 L 0 N P T V B S T 0 1 J U 0 9 T X z I w M j Q l M j B 4 b H N f a H R 0 c H M l M 0 E l M k Y l M k Z p b m R l c G 9 y d G V z Y W 5 0 a W 9 x d W l h J T I w c 2 h h c m V w b 2 l u d C U y M G N v b S U y R n N p d G V z J T J G T 2 J z Z X J 2 Y X R v c m l v Z G V s R G V w b 3 J 0 Z U l u Z m 9 y b W V z Z G V h b m F s d G l j Y S U y R k R v Y 3 V t Z W 5 0 b 3 M l M j B j b 2 1 w Y X J 0 a W R v c y U y R k l u Z m 9 y b W V z J T I w Z G U l M j B B b m F s J U M z J U F E d G l j Y S U y R k l O R E l D Q U R P U k V T J T J G R E 9 D X 0 l O U 1 V N T 1 9 Q Q U E l M k Y 8 L 0 l 0 Z W 1 Q Y X R o P j w v S X R l b U x v Y 2 F 0 a W 9 u P j x T d G F i b G V F b n R y a W V z I C 8 + P C 9 J d G V t P j x J d G V t P j x J d G V t T G 9 j Y X R p b 2 4 + P E l 0 Z W 1 U e X B l P k Z v c m 1 1 b G E 8 L 0 l 0 Z W 1 U e X B l P j x J d G V t U G F 0 a D 5 T Z W N 0 a W 9 u M S 9 D T 0 1 Q U k 9 N S V N P U 1 8 y M D I 1 L 0 x p Y n J v J T I w Z G U l M j B F e G N l b C U y M G l t c G 9 y d G F k b z w v S X R l b V B h d G g + P C 9 J d G V t T G 9 j Y X R p b 2 4 + P F N 0 Y W J s Z U V u d H J p Z X M g L z 4 8 L 0 l 0 Z W 0 + P E l 0 Z W 0 + P E l 0 Z W 1 M b 2 N h d G l v b j 4 8 S X R l b V R 5 c G U + R m 9 y b X V s Y T w v S X R l b V R 5 c G U + P E l 0 Z W 1 Q Y X R o P l N l Y 3 R p b 2 4 x L 0 N P T V B S T 0 1 J U 0 9 T X z I w M j U v Q 2 9 t c H J v b W l z b 3 M 8 L 0 l 0 Z W 1 Q Y X R o P j w v S X R l b U x v Y 2 F 0 a W 9 u P j x T d G F i b G V F b n R y a W V z I C 8 + P C 9 J d G V t P j x J d G V t P j x J d G V t T G 9 j Y X R p b 2 4 + P E l 0 Z W 1 U e X B l P k Z v c m 1 1 b G E 8 L 0 l 0 Z W 1 U e X B l P j x J d G V t U G F 0 a D 5 T Z W N 0 a W 9 u M S 9 D T 0 1 Q U k 9 N S V N P U 1 8 y M D I 1 L 0 V u Y 2 F i Z X p h Z G 9 z J T I w c H J v b W 9 2 a W R v c z w v S X R l b V B h d G g + P C 9 J d G V t T G 9 j Y X R p b 2 4 + P F N 0 Y W J s Z U V u d H J p Z X M g L z 4 8 L 0 l 0 Z W 0 + P E l 0 Z W 0 + P E l 0 Z W 1 M b 2 N h d G l v b j 4 8 S X R l b V R 5 c G U + R m 9 y b X V s Y T w v S X R l b V R 5 c G U + P E l 0 Z W 1 Q Y X R o P l N l Y 3 R p b 2 4 x L 0 N P T V B S T 0 1 J U 0 9 T X z I w M j U v V G l w b y U y M G N h b W J p Y W R v P C 9 J d G V t U G F 0 a D 4 8 L 0 l 0 Z W 1 M b 2 N h d G l v b j 4 8 U 3 R h Y m x l R W 5 0 c m l l c y A v P j w v S X R l b T 4 8 S X R l b T 4 8 S X R l b U x v Y 2 F 0 a W 9 u P j x J d G V t V H l w Z T 5 G b 3 J t d W x h P C 9 J d G V t V H l w Z T 4 8 S X R l b V B h d G g + U 2 V j d G l v b j E v Q 0 9 N U F J P T U l T T 1 N f M j A y N S 9 Q Z X J z b 2 5 h b G l 6 Y W R h J T I w Y W d y Z W d h Z G E 8 L 0 l 0 Z W 1 Q Y X R o P j w v S X R l b U x v Y 2 F 0 a W 9 u P j x T d G F i b G V F b n R y a W V z I C 8 + P C 9 J d G V t P j x J d G V t P j x J d G V t T G 9 j Y X R p b 2 4 + P E l 0 Z W 1 U e X B l P k Z v c m 1 1 b G E 8 L 0 l 0 Z W 1 U e X B l P j x J d G V t U G F 0 a D 5 T Z W N 0 a W 9 u M S 9 D T 0 1 Q U k 9 N S V N P U 1 8 y M D I 1 L 1 R p c G 8 l M j B j Y W 1 i a W F k b z E 8 L 0 l 0 Z W 1 Q Y X R o P j w v S X R l b U x v Y 2 F 0 a W 9 u P j x T d G F i b G V F b n R y a W V z I C 8 + P C 9 J d G V t P j x J d G V t P j x J d G V t T G 9 j Y X R p b 2 4 + P E l 0 Z W 1 U e X B l P k Z v c m 1 1 b G E 8 L 0 l 0 Z W 1 U e X B l P j x J d G V t U G F 0 a D 5 T Z W N 0 a W 9 u M S 9 Q R V J T T 0 5 B T F 9 B Q 1 R J V k 9 f M j A y N T w v S X R l b V B h d G g + P C 9 J d G V t T G 9 j Y X R p b 2 4 + P F N 0 Y W J s Z U V u d H J p Z X M + P E V u d H J 5 I F R 5 c G U 9 I k l z U H J p d m F 0 Z S I g V m F s d W U 9 I m w w I i A v P j x F b n R y e S B U e X B l P S J R d W V y e U l E I i B W Y W x 1 Z T 0 i c 2 I z Z D U w O D M 3 L W F i O W M t N D Z l M S 0 4 Y T M 5 L W Q 1 Y z B l O D J j Z m V l M S 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V n Y W N p w 7 N u I i A v P j x F b n R y e S B U e X B l P S J G a W x s V G F y Z 2 V 0 I i B W Y W x 1 Z T 0 i c 1 B F U l N P T k F M X 0 F D V E l W T 1 8 y M D I 1 I i A v P j x F b n R y e S B U e X B l P S J G a W x s Z W R D b 2 1 w b G V 0 Z V J l c 3 V s d F R v V 2 9 y a 3 N o Z W V 0 I i B W Y W x 1 Z T 0 i b D E i I C 8 + P E V u d H J 5 I F R 5 c G U 9 I k Z p b G x F c n J v c k N v d W 5 0 I i B W Y W x 1 Z T 0 i b D A i I C 8 + P E V u d H J 5 I F R 5 c G U 9 I k Z p b G x F c n J v c k N v Z G U i I F Z h b H V l P S J z V W 5 r b m 9 3 b i I g L z 4 8 R W 5 0 c n k g V H l w Z T 0 i R m l s b E x h c 3 R V c G R h d G V k I i B W Y W x 1 Z T 0 i Z D I w M j U t M D Q t M T F U M T c 6 M z M 6 M j Y u M T k 1 M D Y 3 M 1 o i I C 8 + P E V u d H J 5 I F R 5 c G U 9 I k Z p b G x D b 2 x 1 b W 5 U e X B l c y I g V m F s d W U 9 I n N C U V l H Q m d Z R 0 J n T T 0 i I C 8 + P E V u d H J 5 I F R 5 c G U 9 I k Z p b G x D b 3 V u d C I g V m F s d W U 9 I m w x M z A i I C 8 + P E V u d H J 5 I F R 5 c G U 9 I k Z p b G x D b 2 x 1 b W 5 O Y W 1 l c y I g V m F s d W U 9 I n N b J n F 1 b 3 Q 7 b m l 0 J n F 1 b 3 Q 7 L C Z x d W 9 0 O 2 F w Z W x s a W R v M S Z x d W 9 0 O y w m c X V v d D t h c G V s b G l k b z I m c X V v d D s s J n F 1 b 3 Q 7 b m 9 t Y n J l M S Z x d W 9 0 O y w m c X V v d D t u b 2 1 i c m U y J n F 1 b 3 Q 7 L C Z x d W 9 0 O 2 V t Y W l s J n F 1 b 3 Q 7 L C Z x d W 9 0 O 0 5 P T U J S R S B D T 0 1 Q T E V U T y Z x d W 9 0 O y w m c X V v d D t E T 0 N V T U V O V E 8 m c X V v d D t d I i A v P j x F b n R y e S B U e X B l P S J B Z G R l Z F R v R G F 0 Y U 1 v Z G V s I i B W Y W x 1 Z T 0 i b D A i I C 8 + P E V u d H J 5 I F R 5 c G U 9 I k Z p b G x T d G F 0 d X M i I F Z h b H V l P S J z Q 2 9 t c G x l d G U i I C 8 + P E V u d H J 5 I F R 5 c G U 9 I l J l b G F 0 a W 9 u c 2 h p c E l u Z m 9 D b 2 5 0 Y W l u Z X I i I F Z h b H V l P S J z e y Z x d W 9 0 O 2 N v b H V t b k N v d W 5 0 J n F 1 b 3 Q 7 O j g s J n F 1 b 3 Q 7 a 2 V 5 Q 2 9 s d W 1 u T m F t Z X M m c X V v d D s 6 W 1 0 s J n F 1 b 3 Q 7 c X V l c n l S Z W x h d G l v b n N o a X B z J n F 1 b 3 Q 7 O l t d L C Z x d W 9 0 O 2 N v b H V t b k l k Z W 5 0 a X R p Z X M m c X V v d D s 6 W y Z x d W 9 0 O 1 N l Y 3 R p b 2 4 x L 1 B F U l N P T k F M X 0 F D V E l W T 1 8 y M D I 1 L 0 F 1 d G 9 S Z W 1 v d m V k Q 2 9 s d W 1 u c z E u e 2 5 p d C w w f S Z x d W 9 0 O y w m c X V v d D t T Z W N 0 a W 9 u M S 9 Q R V J T T 0 5 B T F 9 B Q 1 R J V k 9 f M j A y N S 9 B d X R v U m V t b 3 Z l Z E N v b H V t b n M x L n t h c G V s b G l k b z E s M X 0 m c X V v d D s s J n F 1 b 3 Q 7 U 2 V j d G l v b j E v U E V S U 0 9 O Q U x f Q U N U S V Z P X z I w M j U v Q X V 0 b 1 J l b W 9 2 Z W R D b 2 x 1 b W 5 z M S 5 7 Y X B l b G x p Z G 8 y L D J 9 J n F 1 b 3 Q 7 L C Z x d W 9 0 O 1 N l Y 3 R p b 2 4 x L 1 B F U l N P T k F M X 0 F D V E l W T 1 8 y M D I 1 L 0 F 1 d G 9 S Z W 1 v d m V k Q 2 9 s d W 1 u c z E u e 2 5 v b W J y Z T E s M 3 0 m c X V v d D s s J n F 1 b 3 Q 7 U 2 V j d G l v b j E v U E V S U 0 9 O Q U x f Q U N U S V Z P X z I w M j U v Q X V 0 b 1 J l b W 9 2 Z W R D b 2 x 1 b W 5 z M S 5 7 b m 9 t Y n J l M i w 0 f S Z x d W 9 0 O y w m c X V v d D t T Z W N 0 a W 9 u M S 9 Q R V J T T 0 5 B T F 9 B Q 1 R J V k 9 f M j A y N S 9 B d X R v U m V t b 3 Z l Z E N v b H V t b n M x L n t l b W F p b C w 1 f S Z x d W 9 0 O y w m c X V v d D t T Z W N 0 a W 9 u M S 9 Q R V J T T 0 5 B T F 9 B Q 1 R J V k 9 f M j A y N S 9 B d X R v U m V t b 3 Z l Z E N v b H V t b n M x L n t O T 0 1 C U k U g Q 0 9 N U E x F V E 8 s N n 0 m c X V v d D s s J n F 1 b 3 Q 7 U 2 V j d G l v b j E v U E V S U 0 9 O Q U x f Q U N U S V Z P X z I w M j U v Q X V 0 b 1 J l b W 9 2 Z W R D b 2 x 1 b W 5 z M S 5 7 R E 9 D V U 1 F T l R P L D d 9 J n F 1 b 3 Q 7 X S w m c X V v d D t D b 2 x 1 b W 5 D b 3 V u d C Z x d W 9 0 O z o 4 L C Z x d W 9 0 O 0 t l e U N v b H V t b k 5 h b W V z J n F 1 b 3 Q 7 O l t d L C Z x d W 9 0 O 0 N v b H V t b k l k Z W 5 0 a X R p Z X M m c X V v d D s 6 W y Z x d W 9 0 O 1 N l Y 3 R p b 2 4 x L 1 B F U l N P T k F M X 0 F D V E l W T 1 8 y M D I 1 L 0 F 1 d G 9 S Z W 1 v d m V k Q 2 9 s d W 1 u c z E u e 2 5 p d C w w f S Z x d W 9 0 O y w m c X V v d D t T Z W N 0 a W 9 u M S 9 Q R V J T T 0 5 B T F 9 B Q 1 R J V k 9 f M j A y N S 9 B d X R v U m V t b 3 Z l Z E N v b H V t b n M x L n t h c G V s b G l k b z E s M X 0 m c X V v d D s s J n F 1 b 3 Q 7 U 2 V j d G l v b j E v U E V S U 0 9 O Q U x f Q U N U S V Z P X z I w M j U v Q X V 0 b 1 J l b W 9 2 Z W R D b 2 x 1 b W 5 z M S 5 7 Y X B l b G x p Z G 8 y L D J 9 J n F 1 b 3 Q 7 L C Z x d W 9 0 O 1 N l Y 3 R p b 2 4 x L 1 B F U l N P T k F M X 0 F D V E l W T 1 8 y M D I 1 L 0 F 1 d G 9 S Z W 1 v d m V k Q 2 9 s d W 1 u c z E u e 2 5 v b W J y Z T E s M 3 0 m c X V v d D s s J n F 1 b 3 Q 7 U 2 V j d G l v b j E v U E V S U 0 9 O Q U x f Q U N U S V Z P X z I w M j U v Q X V 0 b 1 J l b W 9 2 Z W R D b 2 x 1 b W 5 z M S 5 7 b m 9 t Y n J l M i w 0 f S Z x d W 9 0 O y w m c X V v d D t T Z W N 0 a W 9 u M S 9 Q R V J T T 0 5 B T F 9 B Q 1 R J V k 9 f M j A y N S 9 B d X R v U m V t b 3 Z l Z E N v b H V t b n M x L n t l b W F p b C w 1 f S Z x d W 9 0 O y w m c X V v d D t T Z W N 0 a W 9 u M S 9 Q R V J T T 0 5 B T F 9 B Q 1 R J V k 9 f M j A y N S 9 B d X R v U m V t b 3 Z l Z E N v b H V t b n M x L n t O T 0 1 C U k U g Q 0 9 N U E x F V E 8 s N n 0 m c X V v d D s s J n F 1 b 3 Q 7 U 2 V j d G l v b j E v U E V S U 0 9 O Q U x f Q U N U S V Z P X z I w M j U v Q X V 0 b 1 J l b W 9 2 Z W R D b 2 x 1 b W 5 z M S 5 7 R E 9 D V U 1 F T l R P L D d 9 J n F 1 b 3 Q 7 X S w m c X V v d D t S Z W x h d G l v b n N o a X B J b m Z v J n F 1 b 3 Q 7 O l t d f S I g L z 4 8 L 1 N 0 Y W J s Z U V u d H J p Z X M + P C 9 J d G V t P j x J d G V t P j x J d G V t T G 9 j Y X R p b 2 4 + P E l 0 Z W 1 U e X B l P k Z v c m 1 1 b G E 8 L 0 l 0 Z W 1 U e X B l P j x J d G V t U G F 0 a D 5 T Z W N 0 a W 9 u M S 9 Q R V J T T 0 5 B T F 9 B Q 1 R J V k 9 f M j A y N S 9 P c m l n Z W 4 8 L 0 l 0 Z W 1 Q Y X R o P j w v S X R l b U x v Y 2 F 0 a W 9 u P j x T d G F i b G V F b n R y a W V z I C 8 + P C 9 J d G V t P j x J d G V t P j x J d G V t T G 9 j Y X R p b 2 4 + P E l 0 Z W 1 U e X B l P k Z v c m 1 1 b G E 8 L 0 l 0 Z W 1 U e X B l P j x J d G V t U G F 0 a D 5 T Z W N 0 a W 9 u M S 9 Q R V J T T 0 5 B T F 9 B Q 1 R J V k 9 f M j A y N S 9 G a W x h c y U y M G Z p b H R y Y W R h c z w v S X R l b V B h d G g + P C 9 J d G V t T G 9 j Y X R p b 2 4 + P F N 0 Y W J s Z U V u d H J p Z X M g L z 4 8 L 0 l 0 Z W 0 + P E l 0 Z W 0 + P E l 0 Z W 1 M b 2 N h d G l v b j 4 8 S X R l b V R 5 c G U + R m 9 y b X V s Y T w v S X R l b V R 5 c G U + P E l 0 Z W 1 Q Y X R o P l N l Y 3 R p b 2 4 x L 1 B F U l N P T k F M X 0 F D V E l W T 1 8 y M D I 1 L 0 Z p b G F z J T I w b 3 J k Z W 5 h Z G F z P C 9 J d G V t U G F 0 a D 4 8 L 0 l 0 Z W 1 M b 2 N h d G l v b j 4 8 U 3 R h Y m x l R W 5 0 c m l l c y A v P j w v S X R l b T 4 8 S X R l b T 4 8 S X R l b U x v Y 2 F 0 a W 9 u P j x J d G V t V H l w Z T 5 G b 3 J t d W x h P C 9 J d G V t V H l w Z T 4 8 S X R l b V B h d G g + U 2 V j d G l v b j E v U E V S U 0 9 O Q U x f Q U N U S V Z P X z I w M j U v U E V S U 0 9 O Q U x f Q U N U S V Z P X z I w M j U l M j B 4 b H N 4 X 2 h 0 d H B z J T N B J T J G J T J G a W 5 k Z X B v c n R l c 2 F u d G l v c X V p Y S U y M H N o Y X J l c G 9 p b n Q l M j B j b 2 0 l M k Z z a X R l c y U y R k 9 i c 2 V y d m F 0 b 3 J p b 2 R l b E R l c G 9 y d G V J b m Z v c m 1 l c 2 R l Y W 5 h b H R p Y 2 E l M k Z E b 2 N 1 b W V u d G 9 z J T I w Y 2 9 t c G F y d G l k b 3 M l M k Z J b m Z v c m 1 l c y U y M G R l J T I w Q W 5 h b C V D M y V B R H R p Y 2 E l M k Z J T k R J Q 0 F E T 1 J F U y U y R k R P Q 1 9 J T l N V T U 9 f U E F B J T J G P C 9 J d G V t U G F 0 a D 4 8 L 0 l 0 Z W 1 M b 2 N h d G l v b j 4 8 U 3 R h Y m x l R W 5 0 c m l l c y A v P j w v S X R l b T 4 8 S X R l b T 4 8 S X R l b U x v Y 2 F 0 a W 9 u P j x J d G V t V H l w Z T 5 G b 3 J t d W x h P C 9 J d G V t V H l w Z T 4 8 S X R l b V B h d G g + U 2 V j d G l v b j E v U E V S U 0 9 O Q U x f Q U N U S V Z P X z I w M j U v T G l i c m 8 l M j B k Z S U y M E V 4 Y 2 V s J T I w a W 1 w b 3 J 0 Y W R v P C 9 J d G V t U G F 0 a D 4 8 L 0 l 0 Z W 1 M b 2 N h d G l v b j 4 8 U 3 R h Y m x l R W 5 0 c m l l c y A v P j w v S X R l b T 4 8 S X R l b T 4 8 S X R l b U x v Y 2 F 0 a W 9 u P j x J d G V t V H l w Z T 5 G b 3 J t d W x h P C 9 J d G V t V H l w Z T 4 8 S X R l b V B h d G g + U 2 V j d G l v b j E v U E V S U 0 9 O Q U x f Q U N U S V Z P X z I w M j U v S G 9 q Y T F f U 2 h l Z X Q 8 L 0 l 0 Z W 1 Q Y X R o P j w v S X R l b U x v Y 2 F 0 a W 9 u P j x T d G F i b G V F b n R y a W V z I C 8 + P C 9 J d G V t P j x J d G V t P j x J d G V t T G 9 j Y X R p b 2 4 + P E l 0 Z W 1 U e X B l P k Z v c m 1 1 b G E 8 L 0 l 0 Z W 1 U e X B l P j x J d G V t U G F 0 a D 5 T Z W N 0 a W 9 u M S 9 Q R V J T T 0 5 B T F 9 B Q 1 R J V k 9 f M j A y N S 9 F b m N h Y m V 6 Y W R v c y U y M H B y b 2 1 v d m l k b 3 M 8 L 0 l 0 Z W 1 Q Y X R o P j w v S X R l b U x v Y 2 F 0 a W 9 u P j x T d G F i b G V F b n R y a W V z I C 8 + P C 9 J d G V t P j x J d G V t P j x J d G V t T G 9 j Y X R p b 2 4 + P E l 0 Z W 1 U e X B l P k Z v c m 1 1 b G E 8 L 0 l 0 Z W 1 U e X B l P j x J d G V t U G F 0 a D 5 T Z W N 0 a W 9 u M S 9 Q R V J T T 0 5 B T F 9 B Q 1 R J V k 9 f M j A y N S 9 U a X B v J T I w Y 2 F t Y m l h Z G 8 8 L 0 l 0 Z W 1 Q Y X R o P j w v S X R l b U x v Y 2 F 0 a W 9 u P j x T d G F i b G V F b n R y a W V z I C 8 + P C 9 J d G V t P j x J d G V t P j x J d G V t T G 9 j Y X R p b 2 4 + P E l 0 Z W 1 U e X B l P k Z v c m 1 1 b G E 8 L 0 l 0 Z W 1 U e X B l P j x J d G V t U G F 0 a D 5 T Z W N 0 a W 9 u M S 9 Q R V J T T 0 5 B T F 9 B Q 1 R J V k 9 f M j A y N S 9 D b 2 x 1 b W 5 h J T I w Y 2 9 t Y m l u Y W R h J T I w a W 5 z Z X J 0 Y W R h P C 9 J d G V t U G F 0 a D 4 8 L 0 l 0 Z W 1 M b 2 N h d G l v b j 4 8 U 3 R h Y m x l R W 5 0 c m l l c y A v P j w v S X R l b T 4 8 S X R l b T 4 8 S X R l b U x v Y 2 F 0 a W 9 u P j x J d G V t V H l w Z T 5 G b 3 J t d W x h P C 9 J d G V t V H l w Z T 4 8 S X R l b V B h d G g + U 2 V j d G l v b j E v U E V S U 0 9 O Q U x f Q U N U S V Z P X z I w M j U v V G V 4 d G 8 l M j B p b n N l c n R h Z G 8 l M j B h b n R l c y U y M G R l b C U y M G R l b G l t a X R h Z G 9 y P C 9 J d G V t U G F 0 a D 4 8 L 0 l 0 Z W 1 M b 2 N h d G l v b j 4 8 U 3 R h Y m x l R W 5 0 c m l l c y A v P j w v S X R l b T 4 8 S X R l b T 4 8 S X R l b U x v Y 2 F 0 a W 9 u P j x J d G V t V H l w Z T 5 G b 3 J t d W x h P C 9 J d G V t V H l w Z T 4 8 S X R l b V B h d G g + U 2 V j d G l v b j E v U E V S U 0 9 O Q U x f Q U N U S V Z P X z I w M j U v V G l w b y U y M G N h b W J p Y W R v M T w v S X R l b V B h d G g + P C 9 J d G V t T G 9 j Y X R p b 2 4 + P F N 0 Y W J s Z U V u d H J p Z X M g L z 4 8 L 0 l 0 Z W 0 + P E l 0 Z W 0 + P E l 0 Z W 1 M b 2 N h d G l v b j 4 8 S X R l b V R 5 c G U + R m 9 y b X V s Y T w v S X R l b V R 5 c G U + P E l 0 Z W 1 Q Y X R o P l N l Y 3 R p b 2 4 x L 1 B F U l N P T k F M X 0 F D V E l W T 1 8 y M D I 1 L 0 N v b H V t b m F z J T I w Y 2 9 u J T I w b m 9 t Y n J l J T I w Y 2 F t Y m l h Z G 8 8 L 0 l 0 Z W 1 Q Y X R o P j w v S X R l b U x v Y 2 F 0 a W 9 u P j x T d G F i b G V F b n R y a W V z I C 8 + P C 9 J d G V t P j w v S X R l b X M + P C 9 M b 2 N h b F B h Y 2 t h Z 2 V N Z X R h Z G F 0 Y U Z p b G U + F g A A A F B L B Q Y A A A A A A A A A A A A A A A A A A A A A A A A m A Q A A A Q A A A N C M n d 8 B F d E R j H o A w E / C l + s B A A A A S O O R y 1 o o a E q T + b 5 1 g W p u v g A A A A A C A A A A A A A Q Z g A A A A E A A C A A A A D 8 c l B 9 z a h 0 v C q m b T B Q v q P m F u Z b H b l + d g a A p E / p + 0 O Y d w A A A A A O g A A A A A I A A C A A A A C h a 0 P 4 m P v W K F / q q y + O Z + m d w e o B N S g v M j P x + e f W V r L 2 O V A A A A A P w 5 y 8 H G f 6 W L B U n 1 f 2 H b d 4 s D E s W n 6 t v k B / / g S 1 o l z u q R N m / K Z k B T 5 l f E 6 f w 0 N F s D x p C R + q x e a f V L n L 0 v W k Z p F p G + B J y g Z e X I q T 1 o a c y E S l 2 E A A A A B t x J M b i W z o o p 1 N 2 A H X 9 s N N f F P u U Z a o Y C J 7 L k U o c r T N e h F F z c 9 L 8 N G N p R g B r W 1 Q b j 9 a + 0 m N a t l T X J G x x L 4 u l b D / < / D a t a M a s h u p > 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o" ma:contentTypeID="0x010100E1CB13F33D978C4DB742CB7385623FD6" ma:contentTypeVersion="6" ma:contentTypeDescription="Crear nuevo documento." ma:contentTypeScope="" ma:versionID="23c76f7eb1fcf7df7e445fb7b4853a1a">
  <xsd:schema xmlns:xsd="http://www.w3.org/2001/XMLSchema" xmlns:xs="http://www.w3.org/2001/XMLSchema" xmlns:p="http://schemas.microsoft.com/office/2006/metadata/properties" xmlns:ns2="c8c9426d-bf1a-405b-8f68-2c559a1326f7" xmlns:ns3="e457d1df-1db2-4b2c-9c92-ae72ac845d4f" targetNamespace="http://schemas.microsoft.com/office/2006/metadata/properties" ma:root="true" ma:fieldsID="3681ef83ae3e7fc648c82b9bc28f963f" ns2:_="" ns3:_="">
    <xsd:import namespace="c8c9426d-bf1a-405b-8f68-2c559a1326f7"/>
    <xsd:import namespace="e457d1df-1db2-4b2c-9c92-ae72ac845d4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c9426d-bf1a-405b-8f68-2c559a1326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e457d1df-1db2-4b2c-9c92-ae72ac845d4f"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7BD83F2-4AFB-4CB2-88A9-E11933DEC455}">
  <ds:schemaRefs>
    <ds:schemaRef ds:uri="http://schemas.openxmlformats.org/package/2006/metadata/core-properties"/>
    <ds:schemaRef ds:uri="e457d1df-1db2-4b2c-9c92-ae72ac845d4f"/>
    <ds:schemaRef ds:uri="http://purl.org/dc/terms/"/>
    <ds:schemaRef ds:uri="http://schemas.microsoft.com/office/2006/documentManagement/types"/>
    <ds:schemaRef ds:uri="http://schemas.microsoft.com/office/2006/metadata/properties"/>
    <ds:schemaRef ds:uri="http://purl.org/dc/elements/1.1/"/>
    <ds:schemaRef ds:uri="http://schemas.microsoft.com/office/infopath/2007/PartnerControls"/>
    <ds:schemaRef ds:uri="c8c9426d-bf1a-405b-8f68-2c559a1326f7"/>
    <ds:schemaRef ds:uri="http://www.w3.org/XML/1998/namespace"/>
    <ds:schemaRef ds:uri="http://purl.org/dc/dcmitype/"/>
  </ds:schemaRefs>
</ds:datastoreItem>
</file>

<file path=customXml/itemProps2.xml><?xml version="1.0" encoding="utf-8"?>
<ds:datastoreItem xmlns:ds="http://schemas.openxmlformats.org/officeDocument/2006/customXml" ds:itemID="{672CFDAE-4628-417E-BD76-E1D56F9A593C}">
  <ds:schemaRefs>
    <ds:schemaRef ds:uri="http://schemas.microsoft.com/DataMashup"/>
  </ds:schemaRefs>
</ds:datastoreItem>
</file>

<file path=customXml/itemProps3.xml><?xml version="1.0" encoding="utf-8"?>
<ds:datastoreItem xmlns:ds="http://schemas.openxmlformats.org/officeDocument/2006/customXml" ds:itemID="{DCAAD622-C3FB-4497-B4BA-AE7D60E94550}">
  <ds:schemaRefs>
    <ds:schemaRef ds:uri="http://schemas.microsoft.com/sharepoint/v3/contenttype/forms"/>
  </ds:schemaRefs>
</ds:datastoreItem>
</file>

<file path=customXml/itemProps4.xml><?xml version="1.0" encoding="utf-8"?>
<ds:datastoreItem xmlns:ds="http://schemas.openxmlformats.org/officeDocument/2006/customXml" ds:itemID="{7362B0E4-6A56-4BD6-A451-9E4FC7EF8D6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c9426d-bf1a-405b-8f68-2c559a1326f7"/>
    <ds:schemaRef ds:uri="e457d1df-1db2-4b2c-9c92-ae72ac845d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2</vt:i4>
      </vt:variant>
    </vt:vector>
  </HeadingPairs>
  <TitlesOfParts>
    <vt:vector size="15" baseType="lpstr">
      <vt:lpstr>PAA 2025</vt:lpstr>
      <vt:lpstr>Contrato</vt:lpstr>
      <vt:lpstr>INCORPORACIONES</vt:lpstr>
      <vt:lpstr>DISPONIBILIDADES_2025</vt:lpstr>
      <vt:lpstr>SECOP_II</vt:lpstr>
      <vt:lpstr>COMPROMISOS_2025</vt:lpstr>
      <vt:lpstr>RUBROS</vt:lpstr>
      <vt:lpstr>Hoja1</vt:lpstr>
      <vt:lpstr>PROYECTOS</vt:lpstr>
      <vt:lpstr>Consulta1</vt:lpstr>
      <vt:lpstr>Corrección Contrato-cdp</vt:lpstr>
      <vt:lpstr>DEPENDECIA</vt:lpstr>
      <vt:lpstr>PERSONAL_ACTIVO_2025</vt:lpstr>
      <vt:lpstr>Contrato!Área_de_impresión</vt:lpstr>
      <vt:lpstr>'PAA 2025'!Área_de_impresión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Victor Daniel Lezcano Quintero</dc:creator>
  <cp:keywords/>
  <dc:description/>
  <cp:lastModifiedBy>Ledy Julieth Echeverri Escobar</cp:lastModifiedBy>
  <cp:revision/>
  <dcterms:created xsi:type="dcterms:W3CDTF">2020-06-25T21:53:16Z</dcterms:created>
  <dcterms:modified xsi:type="dcterms:W3CDTF">2025-05-06T18:13:27Z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id">
    <vt:lpwstr>3524472b-f9e0-41d4-86f9-fc20edb27de1</vt:lpwstr>
  </property>
  <property fmtid="{D5CDD505-2E9C-101B-9397-08002B2CF9AE}" pid="3" name="Workbook type">
    <vt:lpwstr>Custom</vt:lpwstr>
  </property>
  <property fmtid="{D5CDD505-2E9C-101B-9397-08002B2CF9AE}" pid="4" name="Workbook version">
    <vt:lpwstr>Custom</vt:lpwstr>
  </property>
  <property fmtid="{D5CDD505-2E9C-101B-9397-08002B2CF9AE}" pid="5" name="ContentTypeId">
    <vt:lpwstr>0x010100E1CB13F33D978C4DB742CB7385623FD6</vt:lpwstr>
  </property>
</Properties>
</file>